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omments2.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omments4.xml" ContentType="application/vnd.openxmlformats-officedocument.spreadsheetml.comments+xml"/>
  <Override PartName="/xl/charts/chart13.xml" ContentType="application/vnd.openxmlformats-officedocument.drawingml.chart+xml"/>
  <Override PartName="/xl/drawings/drawing11.xml" ContentType="application/vnd.openxmlformats-officedocument.drawingml.chartshapes+xml"/>
  <Override PartName="/xl/charts/chart14.xml" ContentType="application/vnd.openxmlformats-officedocument.drawingml.chart+xml"/>
  <Override PartName="/xl/drawings/drawing12.xml" ContentType="application/vnd.openxmlformats-officedocument.drawingml.chartshapes+xml"/>
  <Override PartName="/xl/charts/chart15.xml" ContentType="application/vnd.openxmlformats-officedocument.drawingml.chart+xml"/>
  <Override PartName="/xl/drawings/drawing13.xml" ContentType="application/vnd.openxmlformats-officedocument.drawingml.chartshapes+xml"/>
  <Override PartName="/xl/tables/table2.xml" ContentType="application/vnd.openxmlformats-officedocument.spreadsheetml.table+xml"/>
  <Override PartName="/xl/pivotTables/pivotTable1.xml" ContentType="application/vnd.openxmlformats-officedocument.spreadsheetml.pivotTable+xml"/>
  <Override PartName="/xl/comments5.xml" ContentType="application/vnd.openxmlformats-officedocument.spreadsheetml.comments+xml"/>
  <Override PartName="/xl/tables/table3.xml" ContentType="application/vnd.openxmlformats-officedocument.spreadsheetml.table+xml"/>
  <Override PartName="/xl/drawings/drawing14.xml" ContentType="application/vnd.openxmlformats-officedocument.drawing+xml"/>
  <Override PartName="/xl/tables/table4.xml" ContentType="application/vnd.openxmlformats-officedocument.spreadsheetml.table+xml"/>
  <Override PartName="/xl/comments6.xml" ContentType="application/vnd.openxmlformats-officedocument.spreadsheetml.comments+xml"/>
  <Override PartName="/xl/threadedComments/threadedComment2.xml" ContentType="application/vnd.ms-excel.threadedcomments+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cedelft.sharepoint.com/sites/240279/Intern/4. Werkdocumenten/"/>
    </mc:Choice>
  </mc:AlternateContent>
  <xr:revisionPtr revIDLastSave="11" documentId="8_{0ACF5412-45E8-410B-A3C2-C38DE72B3EDF}" xr6:coauthVersionLast="47" xr6:coauthVersionMax="47" xr10:uidLastSave="{203AA960-D82E-4204-9BC8-E3FD0FFBE3BC}"/>
  <workbookProtection workbookAlgorithmName="SHA-512" workbookHashValue="7XdQrNARTbCyiuvMAm/usMDzPESMbnEv/UXnQUw2MySuNLz+1PdYmy24uWADnsZ5BzMkDm8eld18NcUisZjQOQ==" workbookSaltValue="RFpdjJ+NRtmjpGVKvBf+Fg==" workbookSpinCount="100000" lockStructure="1"/>
  <bookViews>
    <workbookView xWindow="-120" yWindow="-120" windowWidth="29040" windowHeight="15720" tabRatio="913" firstSheet="1" activeTab="2" xr2:uid="{CB405740-9C14-42E0-9CCF-B9895273C7E6}"/>
  </bookViews>
  <sheets>
    <sheet name="Voorblad" sheetId="47" state="hidden" r:id="rId1"/>
    <sheet name="Info" sheetId="48" r:id="rId2"/>
    <sheet name="Keuzemenu" sheetId="39" r:id="rId3"/>
    <sheet name="Resultaten" sheetId="45" r:id="rId4"/>
    <sheet name="Resultaten_tabellen" sheetId="46" state="hidden" r:id="rId5"/>
    <sheet name="Input_lists" sheetId="42" state="hidden" r:id="rId6"/>
    <sheet name="Selectie_voertuigen" sheetId="43" state="hidden" r:id="rId7"/>
    <sheet name="Input_voertuig" sheetId="54" state="hidden" r:id="rId8"/>
    <sheet name="Input_massa" sheetId="51" state="hidden" r:id="rId9"/>
    <sheet name="Input_EVverbruik" sheetId="52" state="hidden" r:id="rId10"/>
    <sheet name="Input_WLTP" sheetId="50" state="hidden" r:id="rId11"/>
    <sheet name="Input_voertuigprijzen" sheetId="49" state="hidden" r:id="rId12"/>
    <sheet name="calc_COSTREAM" sheetId="26" state="hidden" r:id="rId13"/>
    <sheet name="calc_TCO" sheetId="3" state="hidden" r:id="rId14"/>
    <sheet name="input_data" sheetId="4" state="hidden" r:id="rId15"/>
    <sheet name="control panel" sheetId="1" state="hidden" r:id="rId16"/>
    <sheet name="scenario_module" sheetId="12" state="hidden" r:id="rId17"/>
    <sheet name="input_voertuigen" sheetId="25" state="hidden" r:id="rId18"/>
    <sheet name="input_names" sheetId="2" state="hidden" r:id="rId19"/>
    <sheet name="voertuigen_module" sheetId="7" state="hidden" r:id="rId20"/>
    <sheet name="voertuigen_database" sheetId="13" state="hidden" r:id="rId21"/>
    <sheet name="brandstofkosten" sheetId="5" state="hidden" r:id="rId22"/>
    <sheet name="BPM" sheetId="18" state="hidden" r:id="rId23"/>
    <sheet name="MRB_module" sheetId="11" state="hidden" r:id="rId24"/>
    <sheet name="afschrijving" sheetId="20" state="hidden" r:id="rId25"/>
    <sheet name="verzekering" sheetId="15" state="hidden" r:id="rId26"/>
    <sheet name="banden" sheetId="21" state="hidden" r:id="rId27"/>
    <sheet name="onderhoud" sheetId="22" state="hidden" r:id="rId28"/>
    <sheet name="brandstofverbruik" sheetId="24" state="hidden" r:id="rId29"/>
  </sheets>
  <definedNames>
    <definedName name="_xlnm._FilterDatabase" localSheetId="14" hidden="1">input_data!$AF$225:$AJ$262</definedName>
    <definedName name="_xlnm._FilterDatabase" localSheetId="23" hidden="1">MRB_module!#REF!</definedName>
    <definedName name="_xlnm._FilterDatabase" localSheetId="19" hidden="1">voertuigen_module!#REF!</definedName>
    <definedName name="Aantal_voertuigen">Selectie_voertuigen!$C$50</definedName>
    <definedName name="beschikbaarheid_windNL">#REF!</definedName>
    <definedName name="beschikbaarheid_zonES">#REF!</definedName>
    <definedName name="BEV_battery">OFFSET(#REF!,0,range_start,1,range_end)</definedName>
    <definedName name="BEV_CO2_reduction_costs">OFFSET(#REF!,0,range_start,1,range_end)</definedName>
    <definedName name="BEV_Indirect_costs">OFFSET(#REF!,0,range_start,1,range_end)</definedName>
    <definedName name="BEV_powertrain">OFFSET(#REF!,0,range_start,1,range_end)</definedName>
    <definedName name="BEV_vehicle_costs">OFFSET(#REF!,0,range_start,1,range_end)</definedName>
    <definedName name="CAPEX_h2_leiding">#REF!</definedName>
    <definedName name="default_afschrijving_a">afschrijving!$AW$4:$BA$62</definedName>
    <definedName name="default_afschrijving_c">afschrijving!$BD$4:$BH$62</definedName>
    <definedName name="default_afschrijving_var">afschrijving!$BK$4:$BO$62</definedName>
    <definedName name="default_banden">banden!$D$4:$H$62</definedName>
    <definedName name="default_kmax">onderhoud!$K$5:$O$63</definedName>
    <definedName name="default_kstart">onderhoud!$E$5:$I$63</definedName>
    <definedName name="default_massa">MRB_module!#REF!</definedName>
    <definedName name="default_testwaardeCO2">brandstofverbruik!$I$4:$M$62</definedName>
    <definedName name="default_verbruikelektrisch">brandstofverbruik!$R$4:$V$62</definedName>
    <definedName name="default_verzekering">verzekering!$D$3:$H$61</definedName>
    <definedName name="dollar2euro">#REF!</definedName>
    <definedName name="draaiuren">#REF!</definedName>
    <definedName name="eff_autotank">#REF!</definedName>
    <definedName name="eff_brandstofcel">#REF!</definedName>
    <definedName name="eff_chem">#REF!</definedName>
    <definedName name="eff_comp">#REF!</definedName>
    <definedName name="eff_compr_rs">#REF!</definedName>
    <definedName name="eff_crycompr_rs">#REF!</definedName>
    <definedName name="eff_elektromotor">#REF!</definedName>
    <definedName name="eff_fc">#REF!</definedName>
    <definedName name="eff_h2_compressie_700bar">#REF!</definedName>
    <definedName name="eff_H2_opslag_700bar">#REF!</definedName>
    <definedName name="eff_H2_opslag_liq">#REF!</definedName>
    <definedName name="eff_H2_tankwagen_gas">#REF!</definedName>
    <definedName name="eff_H2_tankwagen_liq">#REF!</definedName>
    <definedName name="eff_liq_h2">#REF!</definedName>
    <definedName name="eff_liq_LNG">#REF!</definedName>
    <definedName name="eff_opsl_liqh2">#REF!</definedName>
    <definedName name="eff_pem">#REF!</definedName>
    <definedName name="eff_pem_LHV">#REF!</definedName>
    <definedName name="eff_pipeline_gas">#REF!</definedName>
    <definedName name="eprijsES">#REF!</definedName>
    <definedName name="eprijsNL">#REF!</definedName>
    <definedName name="H2loss_tankwagen_liq">#REF!</definedName>
    <definedName name="HHV_ch4_kg">#REF!</definedName>
    <definedName name="HHV_ch4_m3">#REF!</definedName>
    <definedName name="HHV_h2_kg">#REF!</definedName>
    <definedName name="Hide_AF_FFR">#REF!</definedName>
    <definedName name="Inflatiecorrectie">verzekering!$J$7</definedName>
    <definedName name="input_afname_voertuigkosten">'control panel'!$D$56</definedName>
    <definedName name="input_basisjaar">'control panel'!$D$11</definedName>
    <definedName name="input_batterij_levensduur">'control panel'!$F$47</definedName>
    <definedName name="input_batterijkosten">'control panel'!$D$45</definedName>
    <definedName name="input_BPM">'control panel'!$D$73</definedName>
    <definedName name="input_btw">'control panel'!$D$75</definedName>
    <definedName name="input_CO2_norm">'control panel'!$D$77</definedName>
    <definedName name="input_eenheid">'control panel'!$D$17</definedName>
    <definedName name="input_efficiencyverbetering_EV">'control panel'!$D$58</definedName>
    <definedName name="input_efficiencyverbetering_ICEV">'control panel'!$D$60</definedName>
    <definedName name="input_el_H2optie1">#REF!</definedName>
    <definedName name="input_gebruik">Selectie_voertuigen!$C$39</definedName>
    <definedName name="input_gebruiksduur">'control panel'!$D$26</definedName>
    <definedName name="input_jaarkilometrage">'control panel'!$D$23</definedName>
    <definedName name="input_jaarkm">Selectie_voertuigen!$C$40</definedName>
    <definedName name="input_jaarkm_anders">'control panel'!$D$24</definedName>
    <definedName name="input_kosten_CO2reductie">'control panel'!$D$54</definedName>
    <definedName name="input_laadverlies">'control panel'!$D$41</definedName>
    <definedName name="input_levensduur_batterij">'control panel'!$D$47</definedName>
    <definedName name="input_MRB_EV">'control panel'!$D$71</definedName>
    <definedName name="input_olieprijs">'control panel'!$D$69</definedName>
    <definedName name="input_onderhoud_EV">'control panel'!$D$31</definedName>
    <definedName name="input_onderhoud_PHEV">'control panel'!$D$32</definedName>
    <definedName name="input_onderhoudkosten">'control panel'!$D$113</definedName>
    <definedName name="input_PHEV_perc_elektrisch">'control panel'!$D$29</definedName>
    <definedName name="input_range_doelbereik">'control panel'!$D$51</definedName>
    <definedName name="input_range_ratiokostenreductie">'control panel'!$D$52</definedName>
    <definedName name="input_rente">'control panel'!$F$19</definedName>
    <definedName name="input_rentevoet">'control panel'!$D$19</definedName>
    <definedName name="input_RPE_EV">'control panel'!$D$64</definedName>
    <definedName name="input_RPE_EV_over_15_jaar">'control panel'!$D$65</definedName>
    <definedName name="input_RPE_ICEV">'control panel'!$D$62</definedName>
    <definedName name="input_segment">'control panel'!$D$15</definedName>
    <definedName name="input_thuisladen">'control panel'!$D$37</definedName>
    <definedName name="input_value_laadverlies">'control panel'!$F$41</definedName>
    <definedName name="input_verzekering">'control panel'!$D$112</definedName>
    <definedName name="input_zichtjaar">Selectie_voertuigen!$C$38</definedName>
    <definedName name="IRR">#REF!</definedName>
    <definedName name="IRR_gas">#REF!</definedName>
    <definedName name="ktonpjNH3">#REF!</definedName>
    <definedName name="kWh2MJ">#REF!</definedName>
    <definedName name="LHV_ch4_m3">#REF!</definedName>
    <definedName name="list_afname_voertuigkosten">input_names!$B$10:$D$10</definedName>
    <definedName name="list_batterij_levensduur">input_names!$B$16:$E$16</definedName>
    <definedName name="list_batterijkosten">input_names!$B$8:$D$8</definedName>
    <definedName name="list_BPM">input_names!$B$11:$C$11</definedName>
    <definedName name="list_brandstoftype">input_names!$B$3:$F$3</definedName>
    <definedName name="list_costclasses">input_data!$C$284:$C$342</definedName>
    <definedName name="list_eenheid">input_names!$B$14:$F$14</definedName>
    <definedName name="list_efficiencyverbetering_EV">input_names!$B$12:$E$12</definedName>
    <definedName name="list_efficiencyverbetering_ICEV">input_names!$B$13:$D$13</definedName>
    <definedName name="list_gebruiksduur">input_names!$B$6:$E$6</definedName>
    <definedName name="list_jaarkm">input_names!$B$5:$E$5</definedName>
    <definedName name="list_laadverlies">input_names!$B$17:$E$17</definedName>
    <definedName name="list_MRB_EV">input_names!$B$18:$D$18</definedName>
    <definedName name="list_olieprijs">input_names!$B$4:$D$4</definedName>
    <definedName name="list_onderhoud">input_names!$B$15:$E$15</definedName>
    <definedName name="list_rentevoet">input_names!$B$7:$E$7</definedName>
    <definedName name="list_scenario_input">scenario_module!A1:A31</definedName>
    <definedName name="list_segment">input_names!$B$2:$F$2</definedName>
    <definedName name="list_voertuigen">input_voertuigen!#REF!</definedName>
    <definedName name="M_ch4">#REF!</definedName>
    <definedName name="M_co2">#REF!</definedName>
    <definedName name="M_h2">#REF!</definedName>
    <definedName name="M_h2o">#REF!</definedName>
    <definedName name="M_o2">#REF!</definedName>
    <definedName name="MainList">INDEX(#REF!,1):INDEX(#REF!,COUNTA(#REF!))</definedName>
    <definedName name="naam_scenario">'control panel'!$D$8</definedName>
    <definedName name="Olieprijs2010_2050">brandstofkosten!$I$61:$K$101</definedName>
    <definedName name="OPEX_Chem">#REF!</definedName>
    <definedName name="output_MWh_h2">#REF!</definedName>
    <definedName name="prijs_el">#REF!</definedName>
    <definedName name="prijs_GvO_mean">#REF!</definedName>
    <definedName name="prijs_ontzilting_m3">#REF!</definedName>
    <definedName name="prijs_water">#REF!</definedName>
    <definedName name="prijsCO2">#REF!</definedName>
    <definedName name="Radio_Choice">#REF!</definedName>
    <definedName name="range_end">'control panel'!$D$115</definedName>
    <definedName name="range_start">'control panel'!$D$114</definedName>
    <definedName name="rho_ch4">#REF!</definedName>
    <definedName name="rho_co2">#REF!</definedName>
    <definedName name="rho_h2">#REF!</definedName>
    <definedName name="rho_h20_L">#REF!</definedName>
    <definedName name="rho_h20_m3">#REF!</definedName>
    <definedName name="RiskCollectDistributionSamples">2</definedName>
    <definedName name="RiskFixedSeed">1</definedName>
    <definedName name="RiskHasSettings">TRUE</definedName>
    <definedName name="RiskMinimizeOnStart">FALSE</definedName>
    <definedName name="RiskMonitorConvergence">FALSE</definedName>
    <definedName name="RiskNumIterations">500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ngC_Scr_Hide">#REF!</definedName>
    <definedName name="rngC_Scr_Shown">#REF!</definedName>
    <definedName name="rngComm">#REF!</definedName>
    <definedName name="rngCommentScreenShown">#REF!</definedName>
    <definedName name="rngCommentsScreenHide">#REF!</definedName>
    <definedName name="rngCommentsScreenOriginalText">#REF!</definedName>
    <definedName name="rngCommentsScreenOriginalTitle">#REF!</definedName>
    <definedName name="rngHelpScreenHide">#REF!</definedName>
    <definedName name="rngNew">#REF!</definedName>
    <definedName name="runmodule_scenariolist">OFFSET(scenario_module!$C$38,0,0,scenario_module!$C$37,1)</definedName>
    <definedName name="scenario_nr">scenario_module!$C$36</definedName>
    <definedName name="scenario_start">scenario_module!$F$7</definedName>
    <definedName name="SegmentPersonenauto">Input_lists!$B$7:$D$7</definedName>
    <definedName name="SegmentTaxibusje">Input_lists!$B$8</definedName>
    <definedName name="Selecteer_beginjaar">'control panel'!$F$11</definedName>
    <definedName name="Selecteer_eindjaar">'control panel'!$F$13</definedName>
    <definedName name="std_OPEX">#REF!</definedName>
    <definedName name="STEG_draaiuren">#REF!</definedName>
    <definedName name="SubList">IF(OR(#REF!="Choose…",#REF!=""),"",INDEX(#REF!,1,MATCH(#REF!,#REF!,0)):INDEX(#REF!,COUNTA(INDEX(#REF!,,MATCH(#REF!,#REF!,0))),MATCH(#REF!,#REF!,0)))</definedName>
    <definedName name="tabel_WLTP">input_data!$B$100:$D$105</definedName>
    <definedName name="TCO_afschrijving">OFFSET(Resultaten_tabellen!$B$8,,,1,Aantal_voertuigen)</definedName>
    <definedName name="TCO_energie">OFFSET(Resultaten_tabellen!$B$12,,,1,Aantal_voertuigen)</definedName>
    <definedName name="TCO_gederfd">OFFSET(Resultaten_tabellen!#REF!,,,1,Aantal_voertuigen)</definedName>
    <definedName name="TCO_mrb">OFFSET(Resultaten_tabellen!$B$10,,,1,Aantal_voertuigen)</definedName>
    <definedName name="TCO_overig">OFFSET(Resultaten_tabellen!$B$13,,,1,Aantal_voertuigen)</definedName>
    <definedName name="TCO_rob">OFFSET(Resultaten_tabellen!$B$11,,,1,Aantal_voertuigen)</definedName>
    <definedName name="TCO_verzekering">OFFSET(Resultaten_tabellen!$B$9,,,1,Aantal_voertuigen)</definedName>
    <definedName name="TCO_voertuigen">OFFSET(Resultaten_tabellen!$B$7,,,1,Aantal_voertuigen)</definedName>
    <definedName name="TCOA_benzine">OFFSET('control panel'!$P$104,0,range_start,1,range_end)</definedName>
    <definedName name="TCOA_diesel">OFFSET('control panel'!$P$105,0,range_start,1,range_end)</definedName>
    <definedName name="TCOA_elek">OFFSET('control panel'!$P$103,0,range_start,1,range_end)</definedName>
    <definedName name="TCOA_PHEV">OFFSET('control panel'!$P$106,0,range_start,1,range_end)</definedName>
    <definedName name="TCOA_xrange">OFFSET('control panel'!$P$102,0,range_start,1,range_end)</definedName>
    <definedName name="TCOE_afschrijving">OFFSET('control panel'!$W$111,0,range_start,1,range_end)</definedName>
    <definedName name="TCOE_energie">OFFSET('control panel'!$W$115,0,range_start,1,range_end)</definedName>
    <definedName name="TCOE_mrb">OFFSET('control panel'!$W$113,0,range_start,1,range_end)</definedName>
    <definedName name="TCOE_overig">OFFSET('control panel'!$W$117,0,range_start,1,range_end)</definedName>
    <definedName name="TCOE_rob">OFFSET('control panel'!$W$114,0,range_start,1,range_end)</definedName>
    <definedName name="TCOE_verzekering">OFFSET('control panel'!$W$112,0,range_start,1,range_end)</definedName>
    <definedName name="TCOkm_afschrijving">OFFSET(Resultaten_tabellen!$B$23,,,1,Aantal_voertuigen)</definedName>
    <definedName name="TCOkm_energie">OFFSET(Resultaten_tabellen!$B$27,,,1,Aantal_voertuigen)</definedName>
    <definedName name="TCOkm_gederfd">OFFSET(Resultaten_tabellen!#REF!,,,1,Aantal_voertuigen)</definedName>
    <definedName name="TCOkm_mrb">OFFSET(Resultaten_tabellen!$B$25,,,1,Aantal_voertuigen)</definedName>
    <definedName name="TCOkm_overig">OFFSET(Resultaten_tabellen!$B$28,,,1,Aantal_voertuigen)</definedName>
    <definedName name="TCOkm_rob">OFFSET(Resultaten_tabellen!$B$26,,,1,Aantal_voertuigen)</definedName>
    <definedName name="TCOkm_verzekering">OFFSET(Resultaten_tabellen!$B$24,,,1,Aantal_voertuigen)</definedName>
    <definedName name="TCOkm_voertuigen">OFFSET(Resultaten_tabellen!$B$22,,,1,Aantal_voertuigen)</definedName>
    <definedName name="totale_energievraag_output">#REF!</definedName>
    <definedName name="value_laadpaalkosten">input_data!$C$254:$C$279</definedName>
    <definedName name="value_MRB">MRB_module!$J$5:$BC$154</definedName>
    <definedName name="value_prijselektrisch">brandstofkosten!$D$34:$BB$36</definedName>
    <definedName name="value_prijsfossiel">brandstofkosten!$D$32:$BB$33</definedName>
    <definedName name="verl_h2leiding">#REF!</definedName>
    <definedName name="verl_h2schip">#REF!</definedName>
    <definedName name="verl_LNGschip">#REF!</definedName>
    <definedName name="verl_var_transformatie_HVAC">#REF!</definedName>
    <definedName name="verl_var_transformatie_HVDC">#REF!</definedName>
    <definedName name="verl_vast_transformatie_HVAC">#REF!</definedName>
    <definedName name="verl_vast_transformatie_HVDC">#REF!</definedName>
    <definedName name="vol_water_h2optie1">#REF!</definedName>
    <definedName name="wb">#REF!</definedName>
    <definedName name="WLTP_EV">input_data!$C$105</definedName>
  </definedNames>
  <calcPr calcId="191029"/>
  <pivotCaches>
    <pivotCache cacheId="0"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5" i="5" l="1"/>
  <c r="S25" i="5"/>
  <c r="R26" i="5"/>
  <c r="F26" i="39"/>
  <c r="F27" i="39"/>
  <c r="F28" i="39"/>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D35" i="5"/>
  <c r="D34" i="5"/>
  <c r="D36" i="5"/>
  <c r="H29" i="39"/>
  <c r="K28" i="39"/>
  <c r="K27" i="39"/>
  <c r="K26" i="39"/>
  <c r="C44" i="43"/>
  <c r="C50" i="43"/>
  <c r="E177" i="26" s="1"/>
  <c r="F25" i="39"/>
  <c r="C41" i="43"/>
  <c r="C42" i="43" s="1"/>
  <c r="C43" i="43" s="1"/>
  <c r="B56" i="39" a="1"/>
  <c r="B56" i="39" s="1"/>
  <c r="F7" i="43"/>
  <c r="E7" i="43"/>
  <c r="D7" i="43"/>
  <c r="C7" i="43"/>
  <c r="D47" i="43"/>
  <c r="D48" i="43"/>
  <c r="D46" i="43"/>
  <c r="O177" i="26" l="1"/>
  <c r="N177" i="26"/>
  <c r="L177" i="26"/>
  <c r="K177" i="26"/>
  <c r="I177" i="26"/>
  <c r="H177" i="26"/>
  <c r="F177" i="26"/>
  <c r="N42" i="18"/>
  <c r="K38" i="18" l="1"/>
  <c r="K37" i="18"/>
  <c r="N39" i="18"/>
  <c r="N38" i="18"/>
  <c r="N35" i="18"/>
  <c r="N36" i="18"/>
  <c r="N37" i="18"/>
  <c r="N29" i="18"/>
  <c r="N30" i="18"/>
  <c r="N31" i="18"/>
  <c r="N32" i="18"/>
  <c r="N45" i="18"/>
  <c r="O45" i="18" s="1"/>
  <c r="P45" i="18" s="1"/>
  <c r="Q45" i="18" s="1"/>
  <c r="R45" i="18" s="1"/>
  <c r="S45" i="18" s="1"/>
  <c r="T45" i="18" s="1"/>
  <c r="U45" i="18" s="1"/>
  <c r="V45" i="18" s="1"/>
  <c r="W45" i="18" s="1"/>
  <c r="X45" i="18" s="1"/>
  <c r="Y45" i="18" s="1"/>
  <c r="Z45" i="18" s="1"/>
  <c r="AA45" i="18" s="1"/>
  <c r="AB45" i="18" s="1"/>
  <c r="AC45" i="18" s="1"/>
  <c r="AD45" i="18" s="1"/>
  <c r="AE45" i="18" s="1"/>
  <c r="AF45" i="18" s="1"/>
  <c r="AG45" i="18" s="1"/>
  <c r="AH45" i="18" s="1"/>
  <c r="AI45" i="18" s="1"/>
  <c r="AJ45" i="18" s="1"/>
  <c r="AK45" i="18" s="1"/>
  <c r="AL45" i="18" s="1"/>
  <c r="AM45" i="18" s="1"/>
  <c r="C59" i="39" a="1"/>
  <c r="C59" i="39" s="1"/>
  <c r="C57" i="39" a="1"/>
  <c r="C57" i="39" s="1"/>
  <c r="C49" i="39" l="1" a="1"/>
  <c r="C49" i="39" s="1"/>
  <c r="T231" i="54"/>
  <c r="S231" i="54"/>
  <c r="R231" i="54"/>
  <c r="Q231" i="54"/>
  <c r="P231" i="54"/>
  <c r="O231" i="54"/>
  <c r="N231" i="54"/>
  <c r="M231" i="54"/>
  <c r="L231" i="54"/>
  <c r="K231" i="54"/>
  <c r="J231" i="54"/>
  <c r="I231" i="54"/>
  <c r="H231" i="54"/>
  <c r="G231" i="54"/>
  <c r="F231" i="54"/>
  <c r="F23" i="43"/>
  <c r="F220" i="26"/>
  <c r="H220" i="26"/>
  <c r="I220" i="26"/>
  <c r="K220" i="26"/>
  <c r="L220" i="26"/>
  <c r="N220" i="26"/>
  <c r="O220" i="26"/>
  <c r="E220" i="26"/>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00" i="4"/>
  <c r="D301" i="4"/>
  <c r="D302" i="4"/>
  <c r="D303" i="4"/>
  <c r="D304" i="4"/>
  <c r="D305" i="4"/>
  <c r="D306" i="4"/>
  <c r="D307" i="4"/>
  <c r="D308" i="4"/>
  <c r="BM5" i="20"/>
  <c r="BM6" i="20"/>
  <c r="BM7" i="20"/>
  <c r="BM8" i="20"/>
  <c r="BM9" i="20"/>
  <c r="BM10" i="20"/>
  <c r="BM11" i="20"/>
  <c r="BM12" i="20"/>
  <c r="BM13" i="20"/>
  <c r="BM14" i="20"/>
  <c r="BM15" i="20"/>
  <c r="BM16" i="20"/>
  <c r="BM17" i="20"/>
  <c r="BM18" i="20"/>
  <c r="BM19" i="20"/>
  <c r="BM20" i="20"/>
  <c r="BM21" i="20"/>
  <c r="BM22" i="20"/>
  <c r="BM23" i="20"/>
  <c r="BM24" i="20"/>
  <c r="BM25" i="20"/>
  <c r="BM26" i="20"/>
  <c r="BM27" i="20"/>
  <c r="BM28" i="20"/>
  <c r="BM29" i="20"/>
  <c r="BM30" i="20"/>
  <c r="BM31" i="20"/>
  <c r="BM32" i="20"/>
  <c r="BM33" i="20"/>
  <c r="BM34" i="20"/>
  <c r="BM35" i="20"/>
  <c r="BM36" i="20"/>
  <c r="BM37" i="20"/>
  <c r="BM38" i="20"/>
  <c r="BM39" i="20"/>
  <c r="BM40" i="20"/>
  <c r="BM41" i="20"/>
  <c r="BM42" i="20"/>
  <c r="BM43" i="20"/>
  <c r="BM44" i="20"/>
  <c r="BM45" i="20"/>
  <c r="BM46" i="20"/>
  <c r="BM47" i="20"/>
  <c r="BM48" i="20"/>
  <c r="BM49" i="20"/>
  <c r="BM50" i="20"/>
  <c r="BM51" i="20"/>
  <c r="BM52" i="20"/>
  <c r="BM53" i="20"/>
  <c r="BM54" i="20"/>
  <c r="BM55" i="20"/>
  <c r="BM56" i="20"/>
  <c r="BM57" i="20"/>
  <c r="BM58" i="20"/>
  <c r="BM59" i="20"/>
  <c r="BM60" i="20"/>
  <c r="BM61" i="20"/>
  <c r="BM62" i="20"/>
  <c r="BM4" i="20"/>
  <c r="F45" i="26"/>
  <c r="H45" i="26"/>
  <c r="I45" i="26"/>
  <c r="K45" i="26"/>
  <c r="L45" i="26"/>
  <c r="N45" i="26"/>
  <c r="O45" i="26"/>
  <c r="E45" i="26"/>
  <c r="C47" i="39" a="1"/>
  <c r="C47" i="39" s="1"/>
  <c r="C9" i="43"/>
  <c r="C30" i="43" s="1"/>
  <c r="D9" i="43"/>
  <c r="D30" i="43" s="1"/>
  <c r="E9" i="43"/>
  <c r="E30" i="43" s="1"/>
  <c r="F9" i="43"/>
  <c r="F30" i="43" s="1"/>
  <c r="F8" i="43"/>
  <c r="F31" i="43" s="1"/>
  <c r="E8" i="43"/>
  <c r="E31" i="43" s="1"/>
  <c r="D8" i="43"/>
  <c r="D31" i="43" s="1"/>
  <c r="C8" i="43"/>
  <c r="C55" i="39" a="1"/>
  <c r="C55" i="39" s="1"/>
  <c r="C53" i="39" a="1"/>
  <c r="C53" i="39" s="1"/>
  <c r="C51" i="39" a="1"/>
  <c r="C51" i="39" s="1"/>
  <c r="C31" i="43" l="1"/>
  <c r="F35" i="43"/>
  <c r="D35" i="43"/>
  <c r="E35" i="43"/>
  <c r="C35" i="43"/>
  <c r="F2" i="50"/>
  <c r="G2" i="50"/>
  <c r="H2" i="50"/>
  <c r="I2" i="50"/>
  <c r="J2" i="50"/>
  <c r="K2" i="50"/>
  <c r="L2" i="50"/>
  <c r="M2" i="50"/>
  <c r="N2" i="50"/>
  <c r="O2" i="50"/>
  <c r="P2" i="50"/>
  <c r="Q2" i="50"/>
  <c r="R2" i="50"/>
  <c r="S2" i="50"/>
  <c r="T2" i="50"/>
  <c r="F3" i="50"/>
  <c r="G3" i="50"/>
  <c r="H3" i="50"/>
  <c r="I3" i="50"/>
  <c r="J3" i="50"/>
  <c r="K3" i="50"/>
  <c r="L3" i="50"/>
  <c r="M3" i="50"/>
  <c r="N3" i="50"/>
  <c r="O3" i="50"/>
  <c r="P3" i="50"/>
  <c r="F4" i="50"/>
  <c r="G4" i="50"/>
  <c r="H4" i="50"/>
  <c r="I4" i="50"/>
  <c r="J4" i="50"/>
  <c r="K4" i="50"/>
  <c r="L4" i="50"/>
  <c r="M4" i="50"/>
  <c r="N4" i="50"/>
  <c r="O4" i="50"/>
  <c r="P4" i="50"/>
  <c r="Q4" i="50"/>
  <c r="R4" i="50"/>
  <c r="S4" i="50"/>
  <c r="T4" i="50"/>
  <c r="F5" i="50"/>
  <c r="F6" i="50"/>
  <c r="G6" i="50"/>
  <c r="H6" i="50"/>
  <c r="I6" i="50"/>
  <c r="J6" i="50"/>
  <c r="K6" i="50"/>
  <c r="L6" i="50"/>
  <c r="M6" i="50"/>
  <c r="N6" i="50"/>
  <c r="O6" i="50"/>
  <c r="P6" i="50"/>
  <c r="Q6" i="50"/>
  <c r="F7" i="50"/>
  <c r="F8" i="50"/>
  <c r="G8" i="50"/>
  <c r="H8" i="50"/>
  <c r="I8" i="50"/>
  <c r="J8" i="50"/>
  <c r="K8" i="50"/>
  <c r="L8" i="50"/>
  <c r="M8" i="50"/>
  <c r="N8" i="50"/>
  <c r="O8" i="50"/>
  <c r="F9" i="50"/>
  <c r="G9" i="50"/>
  <c r="H9" i="50"/>
  <c r="I9" i="50"/>
  <c r="J9" i="50"/>
  <c r="K9" i="50"/>
  <c r="L9" i="50"/>
  <c r="M9" i="50"/>
  <c r="N9" i="50"/>
  <c r="O9" i="50"/>
  <c r="P9" i="50"/>
  <c r="Q9" i="50"/>
  <c r="R9" i="50"/>
  <c r="S9" i="50"/>
  <c r="T9" i="50"/>
  <c r="F10" i="50"/>
  <c r="G10" i="50"/>
  <c r="H10" i="50"/>
  <c r="I10" i="50"/>
  <c r="J10" i="50"/>
  <c r="K10" i="50"/>
  <c r="L10" i="50"/>
  <c r="M10" i="50"/>
  <c r="N10" i="50"/>
  <c r="O10" i="50"/>
  <c r="P10" i="50"/>
  <c r="Q10" i="50"/>
  <c r="R10" i="50"/>
  <c r="S10" i="50"/>
  <c r="T10" i="50"/>
  <c r="F11" i="50"/>
  <c r="G11" i="50"/>
  <c r="H11" i="50"/>
  <c r="I11" i="50"/>
  <c r="J11" i="50"/>
  <c r="K11" i="50"/>
  <c r="L11" i="50"/>
  <c r="M11" i="50"/>
  <c r="N11" i="50"/>
  <c r="O11" i="50"/>
  <c r="P11" i="50"/>
  <c r="Q11" i="50"/>
  <c r="F12" i="50"/>
  <c r="G12" i="50"/>
  <c r="H12" i="50"/>
  <c r="I12" i="50"/>
  <c r="J12" i="50"/>
  <c r="K12" i="50"/>
  <c r="L12" i="50"/>
  <c r="M12" i="50"/>
  <c r="N12" i="50"/>
  <c r="O12" i="50"/>
  <c r="F13" i="50"/>
  <c r="F14" i="50"/>
  <c r="G14" i="50"/>
  <c r="H14" i="50"/>
  <c r="I14" i="50"/>
  <c r="J14" i="50"/>
  <c r="K14" i="50"/>
  <c r="L14" i="50"/>
  <c r="M14" i="50"/>
  <c r="N14" i="50"/>
  <c r="O14" i="50"/>
  <c r="P14" i="50"/>
  <c r="Q14" i="50"/>
  <c r="R14" i="50"/>
  <c r="S14" i="50"/>
  <c r="T14" i="50"/>
  <c r="F15" i="50"/>
  <c r="F16" i="50"/>
  <c r="G16" i="50"/>
  <c r="H16" i="50"/>
  <c r="I16" i="50"/>
  <c r="J16" i="50"/>
  <c r="K16" i="50"/>
  <c r="L16" i="50"/>
  <c r="M16" i="50"/>
  <c r="N16" i="50"/>
  <c r="O16" i="50"/>
  <c r="P16" i="50"/>
  <c r="Q16" i="50"/>
  <c r="R16" i="50"/>
  <c r="S16" i="50"/>
  <c r="T16" i="50"/>
  <c r="F17" i="50"/>
  <c r="M17" i="50"/>
  <c r="L17" i="50" s="1"/>
  <c r="K17" i="50" s="1"/>
  <c r="J17" i="50" s="1"/>
  <c r="I17" i="50" s="1"/>
  <c r="H17" i="50" s="1"/>
  <c r="G17" i="50" s="1"/>
  <c r="N17" i="50"/>
  <c r="O17" i="50"/>
  <c r="T17" i="50"/>
  <c r="S17" i="50" s="1"/>
  <c r="R17" i="50" s="1"/>
  <c r="Q17" i="50" s="1"/>
  <c r="P17" i="50" s="1"/>
  <c r="F18" i="50"/>
  <c r="F19" i="50"/>
  <c r="T19" i="50"/>
  <c r="S19" i="50" s="1"/>
  <c r="R19" i="50" s="1"/>
  <c r="Q19" i="50" s="1"/>
  <c r="P19" i="50" s="1"/>
  <c r="O19" i="50" s="1"/>
  <c r="N19" i="50" s="1"/>
  <c r="M19" i="50" s="1"/>
  <c r="L19" i="50" s="1"/>
  <c r="K19" i="50" s="1"/>
  <c r="J19" i="50" s="1"/>
  <c r="I19" i="50" s="1"/>
  <c r="H19" i="50" s="1"/>
  <c r="G19" i="50" s="1"/>
  <c r="F20" i="50"/>
  <c r="F21" i="50"/>
  <c r="G21" i="50"/>
  <c r="H21" i="50"/>
  <c r="I21" i="50"/>
  <c r="J21" i="50"/>
  <c r="K21" i="50"/>
  <c r="L21" i="50"/>
  <c r="M21" i="50"/>
  <c r="N21" i="50"/>
  <c r="O21" i="50"/>
  <c r="P21" i="50"/>
  <c r="Q21" i="50"/>
  <c r="R21" i="50"/>
  <c r="S21" i="50"/>
  <c r="T21" i="50"/>
  <c r="F22" i="50"/>
  <c r="F23" i="50"/>
  <c r="G23" i="50"/>
  <c r="H23" i="50"/>
  <c r="I23" i="50"/>
  <c r="J23" i="50"/>
  <c r="K23" i="50"/>
  <c r="L23" i="50"/>
  <c r="M23" i="50"/>
  <c r="N23" i="50"/>
  <c r="O23" i="50"/>
  <c r="P23" i="50"/>
  <c r="Q23" i="50"/>
  <c r="R23" i="50"/>
  <c r="S23" i="50"/>
  <c r="T23" i="50"/>
  <c r="F24" i="50"/>
  <c r="G24" i="50"/>
  <c r="H24" i="50"/>
  <c r="I24" i="50"/>
  <c r="J24" i="50"/>
  <c r="K24" i="50"/>
  <c r="L24" i="50"/>
  <c r="M24" i="50"/>
  <c r="N24" i="50"/>
  <c r="O24" i="50"/>
  <c r="P24" i="50"/>
  <c r="Q24" i="50"/>
  <c r="R24" i="50"/>
  <c r="S24" i="50"/>
  <c r="T24" i="50"/>
  <c r="F25" i="50"/>
  <c r="M25" i="50"/>
  <c r="L25" i="50" s="1"/>
  <c r="K25" i="50" s="1"/>
  <c r="J25" i="50" s="1"/>
  <c r="I25" i="50" s="1"/>
  <c r="H25" i="50" s="1"/>
  <c r="G25" i="50" s="1"/>
  <c r="N25" i="50"/>
  <c r="O25" i="50"/>
  <c r="P25" i="50"/>
  <c r="Q25" i="50"/>
  <c r="S25" i="50"/>
  <c r="R25" i="50" s="1"/>
  <c r="F26" i="50"/>
  <c r="G26" i="50"/>
  <c r="H26" i="50"/>
  <c r="I26" i="50"/>
  <c r="J26" i="50"/>
  <c r="K26" i="50"/>
  <c r="L26" i="50"/>
  <c r="M26" i="50"/>
  <c r="N26" i="50"/>
  <c r="O26" i="50"/>
  <c r="P26" i="50"/>
  <c r="Q26" i="50"/>
  <c r="R26" i="50"/>
  <c r="S26" i="50"/>
  <c r="T26" i="50"/>
  <c r="F27" i="50"/>
  <c r="F29" i="50"/>
  <c r="M29" i="50"/>
  <c r="L29" i="50" s="1"/>
  <c r="K29" i="50" s="1"/>
  <c r="J29" i="50" s="1"/>
  <c r="I29" i="50" s="1"/>
  <c r="H29" i="50" s="1"/>
  <c r="G29" i="50" s="1"/>
  <c r="N29" i="50"/>
  <c r="O29" i="50"/>
  <c r="T29" i="50"/>
  <c r="S29" i="50" s="1"/>
  <c r="R29" i="50" s="1"/>
  <c r="Q29" i="50" s="1"/>
  <c r="P29" i="50" s="1"/>
  <c r="F31" i="50"/>
  <c r="F32" i="50"/>
  <c r="H32" i="50"/>
  <c r="G32" i="50" s="1"/>
  <c r="I32" i="50"/>
  <c r="J32" i="50"/>
  <c r="K32" i="50"/>
  <c r="L32" i="50"/>
  <c r="M32" i="50"/>
  <c r="N32" i="50"/>
  <c r="O32" i="50"/>
  <c r="P32" i="50"/>
  <c r="Q32" i="50"/>
  <c r="R32" i="50"/>
  <c r="S32" i="50"/>
  <c r="T32" i="50"/>
  <c r="F33" i="50"/>
  <c r="T33" i="50"/>
  <c r="S33" i="50" s="1"/>
  <c r="R33" i="50" s="1"/>
  <c r="Q33" i="50" s="1"/>
  <c r="P33" i="50" s="1"/>
  <c r="O33" i="50" s="1"/>
  <c r="N33" i="50" s="1"/>
  <c r="M33" i="50" s="1"/>
  <c r="L33" i="50" s="1"/>
  <c r="K33" i="50" s="1"/>
  <c r="J33" i="50" s="1"/>
  <c r="I33" i="50" s="1"/>
  <c r="H33" i="50" s="1"/>
  <c r="G33" i="50" s="1"/>
  <c r="F34" i="50"/>
  <c r="F35" i="50"/>
  <c r="F36" i="50"/>
  <c r="G36" i="50"/>
  <c r="H36" i="50"/>
  <c r="I36" i="50"/>
  <c r="J36" i="50"/>
  <c r="K36" i="50"/>
  <c r="L36" i="50"/>
  <c r="M36" i="50"/>
  <c r="N36" i="50"/>
  <c r="O36" i="50"/>
  <c r="P36" i="50"/>
  <c r="Q36" i="50"/>
  <c r="R36" i="50"/>
  <c r="S36" i="50"/>
  <c r="T36" i="50"/>
  <c r="F37" i="50"/>
  <c r="G37" i="50"/>
  <c r="H37" i="50"/>
  <c r="I37" i="50"/>
  <c r="J37" i="50"/>
  <c r="L37" i="50"/>
  <c r="K37" i="50" s="1"/>
  <c r="M37" i="50"/>
  <c r="N37" i="50"/>
  <c r="O37" i="50"/>
  <c r="P37" i="50"/>
  <c r="Q37" i="50"/>
  <c r="R37" i="50"/>
  <c r="S37" i="50"/>
  <c r="T37" i="50"/>
  <c r="F38" i="50"/>
  <c r="H38" i="50"/>
  <c r="G38" i="50" s="1"/>
  <c r="I38" i="50"/>
  <c r="J38" i="50"/>
  <c r="K38" i="50"/>
  <c r="L38" i="50"/>
  <c r="M38" i="50"/>
  <c r="N38" i="50"/>
  <c r="O38" i="50"/>
  <c r="P38" i="50"/>
  <c r="Q38" i="50"/>
  <c r="R38" i="50"/>
  <c r="F39" i="50"/>
  <c r="L39" i="50"/>
  <c r="K39" i="50" s="1"/>
  <c r="J39" i="50" s="1"/>
  <c r="I39" i="50" s="1"/>
  <c r="H39" i="50" s="1"/>
  <c r="G39" i="50" s="1"/>
  <c r="M39" i="50"/>
  <c r="N39" i="50"/>
  <c r="O39" i="50"/>
  <c r="R39" i="50"/>
  <c r="Q39" i="50" s="1"/>
  <c r="P39" i="50" s="1"/>
  <c r="S39" i="50"/>
  <c r="F40" i="50"/>
  <c r="F41" i="50"/>
  <c r="L41" i="50"/>
  <c r="K41" i="50" s="1"/>
  <c r="J41" i="50" s="1"/>
  <c r="I41" i="50" s="1"/>
  <c r="H41" i="50" s="1"/>
  <c r="G41" i="50" s="1"/>
  <c r="M41" i="50"/>
  <c r="O41" i="50"/>
  <c r="N41" i="50" s="1"/>
  <c r="S41" i="50"/>
  <c r="R41" i="50" s="1"/>
  <c r="Q41" i="50" s="1"/>
  <c r="P41" i="50" s="1"/>
  <c r="F42" i="50"/>
  <c r="G42" i="50"/>
  <c r="H42" i="50"/>
  <c r="I42" i="50"/>
  <c r="J42" i="50"/>
  <c r="K42" i="50"/>
  <c r="L42" i="50"/>
  <c r="M42" i="50"/>
  <c r="N42" i="50"/>
  <c r="O42" i="50"/>
  <c r="P42" i="50"/>
  <c r="Q42" i="50"/>
  <c r="R42" i="50"/>
  <c r="S42" i="50"/>
  <c r="T42" i="50"/>
  <c r="F43" i="50"/>
  <c r="K43" i="50"/>
  <c r="J43" i="50" s="1"/>
  <c r="I43" i="50" s="1"/>
  <c r="H43" i="50" s="1"/>
  <c r="G43" i="50" s="1"/>
  <c r="L43" i="50"/>
  <c r="M43" i="50"/>
  <c r="N43" i="50"/>
  <c r="F44" i="50"/>
  <c r="K44" i="50"/>
  <c r="J44" i="50" s="1"/>
  <c r="I44" i="50" s="1"/>
  <c r="H44" i="50" s="1"/>
  <c r="G44" i="50" s="1"/>
  <c r="L44" i="50"/>
  <c r="M44" i="50"/>
  <c r="N44" i="50"/>
  <c r="O44" i="50"/>
  <c r="P44" i="50"/>
  <c r="Q44" i="50"/>
  <c r="R44" i="50"/>
  <c r="S44" i="50"/>
  <c r="T44" i="50"/>
  <c r="F45" i="50"/>
  <c r="F46" i="50"/>
  <c r="H46" i="50"/>
  <c r="G46" i="50" s="1"/>
  <c r="I46" i="50"/>
  <c r="L46" i="50"/>
  <c r="K46" i="50" s="1"/>
  <c r="J46" i="50" s="1"/>
  <c r="M46" i="50"/>
  <c r="N46" i="50"/>
  <c r="O46" i="50"/>
  <c r="P46" i="50"/>
  <c r="Q46" i="50"/>
  <c r="R46" i="50"/>
  <c r="S46" i="50"/>
  <c r="T46" i="50"/>
  <c r="F47" i="50"/>
  <c r="F48" i="50"/>
  <c r="G48" i="50"/>
  <c r="H48" i="50"/>
  <c r="I48" i="50"/>
  <c r="J48" i="50"/>
  <c r="K48" i="50"/>
  <c r="L48" i="50"/>
  <c r="M48" i="50"/>
  <c r="N48" i="50"/>
  <c r="O48" i="50"/>
  <c r="P48" i="50"/>
  <c r="Q48" i="50"/>
  <c r="F49" i="50"/>
  <c r="H49" i="50"/>
  <c r="G49" i="50" s="1"/>
  <c r="I49" i="50"/>
  <c r="J49" i="50"/>
  <c r="L49" i="50"/>
  <c r="K49" i="50" s="1"/>
  <c r="M49" i="50"/>
  <c r="N49" i="50"/>
  <c r="O49" i="50"/>
  <c r="P49" i="50"/>
  <c r="F50" i="50"/>
  <c r="H50" i="50"/>
  <c r="G50" i="50" s="1"/>
  <c r="I50" i="50"/>
  <c r="J50" i="50"/>
  <c r="L50" i="50"/>
  <c r="K50" i="50" s="1"/>
  <c r="M50" i="50"/>
  <c r="N50" i="50"/>
  <c r="O50" i="50"/>
  <c r="P50" i="50"/>
  <c r="Q50" i="50"/>
  <c r="R50" i="50"/>
  <c r="T50" i="50"/>
  <c r="S50" i="50" s="1"/>
  <c r="F52" i="50"/>
  <c r="F53" i="50"/>
  <c r="F54" i="50"/>
  <c r="I54" i="50"/>
  <c r="H54" i="50" s="1"/>
  <c r="G54" i="50" s="1"/>
  <c r="J54" i="50"/>
  <c r="K54" i="50"/>
  <c r="L54" i="50"/>
  <c r="M54" i="50"/>
  <c r="N54" i="50"/>
  <c r="P54" i="50"/>
  <c r="O54" i="50" s="1"/>
  <c r="R54" i="50"/>
  <c r="Q54" i="50" s="1"/>
  <c r="S54" i="50"/>
  <c r="F55" i="50"/>
  <c r="G55" i="50"/>
  <c r="H55" i="50"/>
  <c r="I55" i="50"/>
  <c r="J55" i="50"/>
  <c r="K55" i="50"/>
  <c r="L55" i="50"/>
  <c r="M55" i="50"/>
  <c r="N55" i="50"/>
  <c r="O55" i="50"/>
  <c r="P55" i="50"/>
  <c r="Q55" i="50"/>
  <c r="R55" i="50"/>
  <c r="S55" i="50"/>
  <c r="T55" i="50"/>
  <c r="F56" i="50"/>
  <c r="H56" i="50"/>
  <c r="G56" i="50" s="1"/>
  <c r="I56" i="50"/>
  <c r="J56" i="50"/>
  <c r="K56" i="50"/>
  <c r="L56" i="50"/>
  <c r="M56" i="50"/>
  <c r="N56" i="50"/>
  <c r="O56" i="50"/>
  <c r="P56" i="50"/>
  <c r="Q56" i="50"/>
  <c r="R56" i="50"/>
  <c r="S56" i="50"/>
  <c r="T56" i="50"/>
  <c r="F57" i="50"/>
  <c r="F58" i="50"/>
  <c r="F59" i="50"/>
  <c r="G59" i="50"/>
  <c r="H59" i="50"/>
  <c r="I59" i="50"/>
  <c r="J59" i="50"/>
  <c r="K59" i="50"/>
  <c r="L59" i="50"/>
  <c r="M59" i="50"/>
  <c r="N59" i="50"/>
  <c r="O59" i="50"/>
  <c r="P59" i="50"/>
  <c r="Q59" i="50"/>
  <c r="F60" i="50"/>
  <c r="F61" i="50"/>
  <c r="M61" i="50"/>
  <c r="L61" i="50" s="1"/>
  <c r="K61" i="50" s="1"/>
  <c r="J61" i="50" s="1"/>
  <c r="I61" i="50" s="1"/>
  <c r="H61" i="50" s="1"/>
  <c r="G61" i="50" s="1"/>
  <c r="N61" i="50"/>
  <c r="O61" i="50"/>
  <c r="P61" i="50"/>
  <c r="F62" i="50"/>
  <c r="G62" i="50"/>
  <c r="H62" i="50"/>
  <c r="I62" i="50"/>
  <c r="J62" i="50"/>
  <c r="K62" i="50"/>
  <c r="L62" i="50"/>
  <c r="M62" i="50"/>
  <c r="N62" i="50"/>
  <c r="O62" i="50"/>
  <c r="P62" i="50"/>
  <c r="Q62" i="50"/>
  <c r="R62" i="50"/>
  <c r="S62" i="50"/>
  <c r="T62" i="50"/>
  <c r="F63" i="50"/>
  <c r="G63" i="50"/>
  <c r="H63" i="50"/>
  <c r="I63" i="50"/>
  <c r="J63" i="50"/>
  <c r="K63" i="50"/>
  <c r="L63" i="50"/>
  <c r="M63" i="50"/>
  <c r="N63" i="50"/>
  <c r="O63" i="50"/>
  <c r="P63" i="50"/>
  <c r="F64" i="50"/>
  <c r="G64" i="50"/>
  <c r="H64" i="50"/>
  <c r="I64" i="50"/>
  <c r="J64" i="50"/>
  <c r="K64" i="50"/>
  <c r="L64" i="50"/>
  <c r="M64" i="50"/>
  <c r="N64" i="50"/>
  <c r="O64" i="50"/>
  <c r="P64" i="50"/>
  <c r="Q64" i="50"/>
  <c r="F65" i="50"/>
  <c r="G65" i="50"/>
  <c r="H65" i="50"/>
  <c r="I65" i="50"/>
  <c r="J65" i="50"/>
  <c r="K65" i="50"/>
  <c r="L65" i="50"/>
  <c r="M65" i="50"/>
  <c r="N65" i="50"/>
  <c r="O65" i="50"/>
  <c r="F66" i="50"/>
  <c r="F67" i="50"/>
  <c r="F68" i="50"/>
  <c r="F69" i="50"/>
  <c r="F70" i="50"/>
  <c r="F71" i="50"/>
  <c r="G71" i="50"/>
  <c r="H71" i="50"/>
  <c r="I71" i="50"/>
  <c r="J71" i="50"/>
  <c r="K71" i="50"/>
  <c r="L71" i="50"/>
  <c r="M71" i="50"/>
  <c r="N71" i="50"/>
  <c r="O71" i="50"/>
  <c r="P71" i="50"/>
  <c r="F72" i="50"/>
  <c r="H72" i="50"/>
  <c r="G72" i="50" s="1"/>
  <c r="I72" i="50"/>
  <c r="J72" i="50"/>
  <c r="M72" i="50"/>
  <c r="L72" i="50" s="1"/>
  <c r="K72" i="50" s="1"/>
  <c r="N72" i="50"/>
  <c r="O72" i="50"/>
  <c r="P72" i="50"/>
  <c r="Q72" i="50"/>
  <c r="R72" i="50"/>
  <c r="S72" i="50"/>
  <c r="T72" i="50"/>
  <c r="F73" i="50"/>
  <c r="G73" i="50"/>
  <c r="H73" i="50"/>
  <c r="I73" i="50"/>
  <c r="J73" i="50"/>
  <c r="K73" i="50"/>
  <c r="L73" i="50"/>
  <c r="M73" i="50"/>
  <c r="N73" i="50"/>
  <c r="O73" i="50"/>
  <c r="P73" i="50"/>
  <c r="Q73" i="50"/>
  <c r="R73" i="50"/>
  <c r="S73" i="50"/>
  <c r="T73" i="50"/>
  <c r="F74" i="50"/>
  <c r="G74" i="50"/>
  <c r="H74" i="50"/>
  <c r="I74" i="50"/>
  <c r="J74" i="50"/>
  <c r="K74" i="50"/>
  <c r="L74" i="50"/>
  <c r="M74" i="50"/>
  <c r="N74" i="50"/>
  <c r="O74" i="50"/>
  <c r="P74" i="50"/>
  <c r="Q74" i="50"/>
  <c r="S74" i="50"/>
  <c r="R74" i="50" s="1"/>
  <c r="T74" i="50"/>
  <c r="F75" i="50"/>
  <c r="G75" i="50"/>
  <c r="H75" i="50"/>
  <c r="I75" i="50"/>
  <c r="J75" i="50"/>
  <c r="K75" i="50"/>
  <c r="L75" i="50"/>
  <c r="M75" i="50"/>
  <c r="N75" i="50"/>
  <c r="O75" i="50"/>
  <c r="P75" i="50"/>
  <c r="F76" i="50"/>
  <c r="F77" i="50"/>
  <c r="F78" i="50"/>
  <c r="F79" i="50"/>
  <c r="F80" i="50"/>
  <c r="F81" i="50"/>
  <c r="F82" i="50"/>
  <c r="K82" i="50"/>
  <c r="J82" i="50" s="1"/>
  <c r="I82" i="50" s="1"/>
  <c r="H82" i="50" s="1"/>
  <c r="G82" i="50" s="1"/>
  <c r="L82" i="50"/>
  <c r="N82" i="50"/>
  <c r="M82" i="50" s="1"/>
  <c r="O82" i="50"/>
  <c r="P82" i="50"/>
  <c r="Q82" i="50"/>
  <c r="R82" i="50"/>
  <c r="S82" i="50"/>
  <c r="T82" i="50"/>
  <c r="F83" i="50"/>
  <c r="F84" i="50"/>
  <c r="F85" i="50"/>
  <c r="F86" i="50"/>
  <c r="G86" i="50"/>
  <c r="H86" i="50"/>
  <c r="I86" i="50"/>
  <c r="L86" i="50"/>
  <c r="K86" i="50" s="1"/>
  <c r="J86" i="50" s="1"/>
  <c r="M86" i="50"/>
  <c r="N86" i="50"/>
  <c r="O86" i="50"/>
  <c r="F87" i="50"/>
  <c r="I87" i="50"/>
  <c r="H87" i="50" s="1"/>
  <c r="G87" i="50" s="1"/>
  <c r="L87" i="50"/>
  <c r="K87" i="50" s="1"/>
  <c r="J87" i="50" s="1"/>
  <c r="M87" i="50"/>
  <c r="N87" i="50"/>
  <c r="O87" i="50"/>
  <c r="P87" i="50"/>
  <c r="Q87" i="50"/>
  <c r="R87" i="50"/>
  <c r="S87" i="50"/>
  <c r="F88" i="50"/>
  <c r="F89" i="50"/>
  <c r="P89" i="50"/>
  <c r="O89" i="50" s="1"/>
  <c r="N89" i="50" s="1"/>
  <c r="M89" i="50" s="1"/>
  <c r="L89" i="50" s="1"/>
  <c r="K89" i="50" s="1"/>
  <c r="J89" i="50" s="1"/>
  <c r="I89" i="50" s="1"/>
  <c r="H89" i="50" s="1"/>
  <c r="G89" i="50" s="1"/>
  <c r="R89" i="50"/>
  <c r="Q89" i="50" s="1"/>
  <c r="F90" i="50"/>
  <c r="G90" i="50"/>
  <c r="H90" i="50"/>
  <c r="I90" i="50"/>
  <c r="J90" i="50"/>
  <c r="L90" i="50"/>
  <c r="K90" i="50" s="1"/>
  <c r="M90" i="50"/>
  <c r="N90" i="50"/>
  <c r="O90" i="50"/>
  <c r="P90" i="50"/>
  <c r="Q90" i="50"/>
  <c r="R90" i="50"/>
  <c r="S90" i="50"/>
  <c r="T90" i="50"/>
  <c r="F91" i="50"/>
  <c r="G91" i="50"/>
  <c r="H91" i="50"/>
  <c r="I91" i="50"/>
  <c r="L91" i="50"/>
  <c r="K91" i="50" s="1"/>
  <c r="J91" i="50" s="1"/>
  <c r="M91" i="50"/>
  <c r="N91" i="50"/>
  <c r="O91" i="50"/>
  <c r="P91" i="50"/>
  <c r="Q91" i="50"/>
  <c r="R91" i="50"/>
  <c r="S91" i="50"/>
  <c r="T91" i="50"/>
  <c r="F92" i="50"/>
  <c r="G92" i="50"/>
  <c r="H92" i="50"/>
  <c r="I92" i="50"/>
  <c r="J92" i="50"/>
  <c r="K92" i="50"/>
  <c r="L92" i="50"/>
  <c r="M92" i="50"/>
  <c r="N92" i="50"/>
  <c r="F93" i="50"/>
  <c r="K93" i="50"/>
  <c r="J93" i="50" s="1"/>
  <c r="I93" i="50" s="1"/>
  <c r="H93" i="50" s="1"/>
  <c r="G93" i="50" s="1"/>
  <c r="L93" i="50"/>
  <c r="M93" i="50"/>
  <c r="N93" i="50"/>
  <c r="O93" i="50"/>
  <c r="P93" i="50"/>
  <c r="Q93" i="50"/>
  <c r="R93" i="50"/>
  <c r="S93" i="50"/>
  <c r="T93" i="50"/>
  <c r="F94" i="50"/>
  <c r="F95" i="50"/>
  <c r="G95" i="50"/>
  <c r="H95" i="50"/>
  <c r="I95" i="50"/>
  <c r="J95" i="50"/>
  <c r="L95" i="50"/>
  <c r="K95" i="50" s="1"/>
  <c r="M95" i="50"/>
  <c r="N95" i="50"/>
  <c r="O95" i="50"/>
  <c r="P95" i="50"/>
  <c r="F96" i="50"/>
  <c r="L96" i="50"/>
  <c r="K96" i="50" s="1"/>
  <c r="J96" i="50" s="1"/>
  <c r="I96" i="50" s="1"/>
  <c r="H96" i="50" s="1"/>
  <c r="G96" i="50" s="1"/>
  <c r="P96" i="50"/>
  <c r="O96" i="50" s="1"/>
  <c r="N96" i="50" s="1"/>
  <c r="M96" i="50" s="1"/>
  <c r="S96" i="50"/>
  <c r="R96" i="50" s="1"/>
  <c r="Q96" i="50" s="1"/>
  <c r="T96" i="50"/>
  <c r="F97" i="50"/>
  <c r="H97" i="50"/>
  <c r="G97" i="50" s="1"/>
  <c r="I97" i="50"/>
  <c r="K97" i="50"/>
  <c r="J97" i="50" s="1"/>
  <c r="L97" i="50"/>
  <c r="M97" i="50"/>
  <c r="N97" i="50"/>
  <c r="P97" i="50"/>
  <c r="O97" i="50" s="1"/>
  <c r="Q97" i="50"/>
  <c r="R97" i="50"/>
  <c r="F98" i="50"/>
  <c r="L98" i="50"/>
  <c r="K98" i="50" s="1"/>
  <c r="J98" i="50" s="1"/>
  <c r="I98" i="50" s="1"/>
  <c r="H98" i="50" s="1"/>
  <c r="G98" i="50" s="1"/>
  <c r="M98" i="50"/>
  <c r="N98" i="50"/>
  <c r="O98" i="50"/>
  <c r="P98" i="50"/>
  <c r="R98" i="50"/>
  <c r="Q98" i="50" s="1"/>
  <c r="S98" i="50"/>
  <c r="F99" i="50"/>
  <c r="Q99" i="50"/>
  <c r="P99" i="50" s="1"/>
  <c r="O99" i="50" s="1"/>
  <c r="N99" i="50" s="1"/>
  <c r="M99" i="50" s="1"/>
  <c r="L99" i="50" s="1"/>
  <c r="K99" i="50" s="1"/>
  <c r="J99" i="50" s="1"/>
  <c r="I99" i="50" s="1"/>
  <c r="H99" i="50" s="1"/>
  <c r="G99" i="50" s="1"/>
  <c r="R99" i="50"/>
  <c r="S99" i="50"/>
  <c r="T99" i="50"/>
  <c r="F100" i="50"/>
  <c r="G100" i="50"/>
  <c r="I100" i="50"/>
  <c r="H100" i="50" s="1"/>
  <c r="N100" i="50"/>
  <c r="M100" i="50" s="1"/>
  <c r="L100" i="50" s="1"/>
  <c r="K100" i="50" s="1"/>
  <c r="J100" i="50" s="1"/>
  <c r="Q100" i="50"/>
  <c r="P100" i="50" s="1"/>
  <c r="O100" i="50" s="1"/>
  <c r="R100" i="50"/>
  <c r="S100" i="50"/>
  <c r="T100" i="50"/>
  <c r="F101" i="50"/>
  <c r="I101" i="50"/>
  <c r="H101" i="50" s="1"/>
  <c r="G101" i="50" s="1"/>
  <c r="L101" i="50"/>
  <c r="K101" i="50" s="1"/>
  <c r="J101" i="50" s="1"/>
  <c r="M101" i="50"/>
  <c r="N101" i="50"/>
  <c r="P101" i="50"/>
  <c r="O101" i="50" s="1"/>
  <c r="Q101" i="50"/>
  <c r="R101" i="50"/>
  <c r="S101" i="50"/>
  <c r="T101" i="50"/>
  <c r="F102" i="50"/>
  <c r="F103" i="50"/>
  <c r="I103" i="50"/>
  <c r="H103" i="50" s="1"/>
  <c r="G103" i="50" s="1"/>
  <c r="J103" i="50"/>
  <c r="K103" i="50"/>
  <c r="L103" i="50"/>
  <c r="M103" i="50"/>
  <c r="N103" i="50"/>
  <c r="F104" i="50"/>
  <c r="G104" i="50"/>
  <c r="H104" i="50"/>
  <c r="I104" i="50"/>
  <c r="L104" i="50"/>
  <c r="K104" i="50" s="1"/>
  <c r="J104" i="50" s="1"/>
  <c r="M104" i="50"/>
  <c r="N104" i="50"/>
  <c r="O104" i="50"/>
  <c r="P104" i="50"/>
  <c r="Q104" i="50"/>
  <c r="R104" i="50"/>
  <c r="T104" i="50"/>
  <c r="S104" i="50" s="1"/>
  <c r="F105" i="50"/>
  <c r="F106" i="50"/>
  <c r="G106" i="50"/>
  <c r="H106" i="50"/>
  <c r="I106" i="50"/>
  <c r="J106" i="50"/>
  <c r="K106" i="50"/>
  <c r="L106" i="50"/>
  <c r="M106" i="50"/>
  <c r="N106" i="50"/>
  <c r="O106" i="50"/>
  <c r="P106" i="50"/>
  <c r="F107" i="50"/>
  <c r="P107" i="50"/>
  <c r="O107" i="50" s="1"/>
  <c r="N107" i="50" s="1"/>
  <c r="M107" i="50" s="1"/>
  <c r="L107" i="50" s="1"/>
  <c r="K107" i="50" s="1"/>
  <c r="J107" i="50" s="1"/>
  <c r="I107" i="50" s="1"/>
  <c r="H107" i="50" s="1"/>
  <c r="G107" i="50" s="1"/>
  <c r="Q107" i="50"/>
  <c r="R107" i="50"/>
  <c r="S107" i="50"/>
  <c r="T107" i="50"/>
  <c r="F108" i="50"/>
  <c r="G108" i="50"/>
  <c r="H108" i="50"/>
  <c r="I108" i="50"/>
  <c r="J108" i="50"/>
  <c r="L108" i="50"/>
  <c r="K108" i="50" s="1"/>
  <c r="M108" i="50"/>
  <c r="N108" i="50"/>
  <c r="O108" i="50"/>
  <c r="P108" i="50"/>
  <c r="Q108" i="50"/>
  <c r="R108" i="50"/>
  <c r="S108" i="50"/>
  <c r="T108" i="50"/>
  <c r="F109" i="50"/>
  <c r="M109" i="50"/>
  <c r="L109" i="50" s="1"/>
  <c r="K109" i="50" s="1"/>
  <c r="J109" i="50" s="1"/>
  <c r="I109" i="50" s="1"/>
  <c r="H109" i="50" s="1"/>
  <c r="G109" i="50" s="1"/>
  <c r="P109" i="50"/>
  <c r="O109" i="50" s="1"/>
  <c r="N109" i="50" s="1"/>
  <c r="Q109" i="50"/>
  <c r="R109" i="50"/>
  <c r="S109" i="50"/>
  <c r="T109" i="50"/>
  <c r="F110" i="50"/>
  <c r="G110" i="50"/>
  <c r="H110" i="50"/>
  <c r="I110" i="50"/>
  <c r="J110" i="50"/>
  <c r="L110" i="50"/>
  <c r="K110" i="50" s="1"/>
  <c r="M110" i="50"/>
  <c r="N110" i="50"/>
  <c r="O110" i="50"/>
  <c r="P110" i="50"/>
  <c r="Q110" i="50"/>
  <c r="R110" i="50"/>
  <c r="S110" i="50"/>
  <c r="F111" i="50"/>
  <c r="I111" i="50"/>
  <c r="H111" i="50" s="1"/>
  <c r="G111" i="50" s="1"/>
  <c r="J111" i="50"/>
  <c r="L111" i="50"/>
  <c r="K111" i="50" s="1"/>
  <c r="M111" i="50"/>
  <c r="N111" i="50"/>
  <c r="O111" i="50"/>
  <c r="P111" i="50"/>
  <c r="Q111" i="50"/>
  <c r="F112" i="50"/>
  <c r="F113" i="50"/>
  <c r="F115" i="50"/>
  <c r="F116" i="50"/>
  <c r="I116" i="50"/>
  <c r="H116" i="50" s="1"/>
  <c r="G116" i="50" s="1"/>
  <c r="J116" i="50"/>
  <c r="K116" i="50"/>
  <c r="L116" i="50"/>
  <c r="M116" i="50"/>
  <c r="O116" i="50"/>
  <c r="N116" i="50" s="1"/>
  <c r="R116" i="50"/>
  <c r="Q116" i="50" s="1"/>
  <c r="P116" i="50" s="1"/>
  <c r="F117" i="50"/>
  <c r="F118" i="50"/>
  <c r="G118" i="50"/>
  <c r="H118" i="50"/>
  <c r="I118" i="50"/>
  <c r="L118" i="50"/>
  <c r="K118" i="50" s="1"/>
  <c r="J118" i="50" s="1"/>
  <c r="M118" i="50"/>
  <c r="N118" i="50"/>
  <c r="O118" i="50"/>
  <c r="Q118" i="50"/>
  <c r="P118" i="50" s="1"/>
  <c r="R118" i="50"/>
  <c r="S118" i="50"/>
  <c r="T118" i="50"/>
  <c r="F119" i="50"/>
  <c r="H119" i="50"/>
  <c r="G119" i="50" s="1"/>
  <c r="I119" i="50"/>
  <c r="L119" i="50"/>
  <c r="K119" i="50" s="1"/>
  <c r="J119" i="50" s="1"/>
  <c r="N119" i="50"/>
  <c r="M119" i="50" s="1"/>
  <c r="O119" i="50"/>
  <c r="P119" i="50"/>
  <c r="Q119" i="50"/>
  <c r="R119" i="50"/>
  <c r="S119" i="50"/>
  <c r="T119" i="50"/>
  <c r="F120" i="50"/>
  <c r="F121" i="50"/>
  <c r="I121" i="50"/>
  <c r="H121" i="50" s="1"/>
  <c r="G121" i="50" s="1"/>
  <c r="F122" i="50"/>
  <c r="T122" i="50"/>
  <c r="S122" i="50" s="1"/>
  <c r="R122" i="50" s="1"/>
  <c r="Q122" i="50" s="1"/>
  <c r="P122" i="50" s="1"/>
  <c r="O122" i="50" s="1"/>
  <c r="N122" i="50" s="1"/>
  <c r="M122" i="50" s="1"/>
  <c r="L122" i="50" s="1"/>
  <c r="K122" i="50" s="1"/>
  <c r="J122" i="50" s="1"/>
  <c r="I122" i="50" s="1"/>
  <c r="H122" i="50" s="1"/>
  <c r="G122" i="50" s="1"/>
  <c r="F123" i="50"/>
  <c r="F124" i="50"/>
  <c r="F125" i="50"/>
  <c r="G125" i="50"/>
  <c r="H125" i="50"/>
  <c r="F126" i="50"/>
  <c r="G126" i="50"/>
  <c r="H126" i="50"/>
  <c r="I126" i="50"/>
  <c r="J126" i="50"/>
  <c r="K126" i="50"/>
  <c r="L126" i="50"/>
  <c r="M126" i="50"/>
  <c r="N126" i="50"/>
  <c r="O126" i="50"/>
  <c r="P126" i="50"/>
  <c r="Q126" i="50"/>
  <c r="R126" i="50"/>
  <c r="S126" i="50"/>
  <c r="F127" i="50"/>
  <c r="L127" i="50"/>
  <c r="K127" i="50" s="1"/>
  <c r="J127" i="50" s="1"/>
  <c r="I127" i="50" s="1"/>
  <c r="H127" i="50" s="1"/>
  <c r="G127" i="50" s="1"/>
  <c r="M127" i="50"/>
  <c r="N127" i="50"/>
  <c r="O127" i="50"/>
  <c r="P127" i="50"/>
  <c r="R127" i="50"/>
  <c r="Q127" i="50" s="1"/>
  <c r="F128" i="50"/>
  <c r="H128" i="50"/>
  <c r="G128" i="50" s="1"/>
  <c r="K128" i="50"/>
  <c r="J128" i="50" s="1"/>
  <c r="I128" i="50" s="1"/>
  <c r="M128" i="50"/>
  <c r="L128" i="50" s="1"/>
  <c r="N128" i="50"/>
  <c r="O128" i="50"/>
  <c r="R128" i="50"/>
  <c r="Q128" i="50" s="1"/>
  <c r="P128" i="50" s="1"/>
  <c r="S128" i="50"/>
  <c r="T128" i="50"/>
  <c r="F129" i="50"/>
  <c r="J129" i="50"/>
  <c r="I129" i="50" s="1"/>
  <c r="H129" i="50" s="1"/>
  <c r="G129" i="50" s="1"/>
  <c r="L129" i="50"/>
  <c r="K129" i="50" s="1"/>
  <c r="M129" i="50"/>
  <c r="N129" i="50"/>
  <c r="O129" i="50"/>
  <c r="P129" i="50"/>
  <c r="Q129" i="50"/>
  <c r="R129" i="50"/>
  <c r="S129" i="50"/>
  <c r="T129" i="50"/>
  <c r="F130" i="50"/>
  <c r="G130" i="50"/>
  <c r="L130" i="50"/>
  <c r="K130" i="50" s="1"/>
  <c r="J130" i="50" s="1"/>
  <c r="I130" i="50" s="1"/>
  <c r="H130" i="50" s="1"/>
  <c r="M130" i="50"/>
  <c r="N130" i="50"/>
  <c r="O130" i="50"/>
  <c r="P130" i="50"/>
  <c r="Q130" i="50"/>
  <c r="F131" i="50"/>
  <c r="F132" i="50"/>
  <c r="F133" i="50"/>
  <c r="H133" i="50"/>
  <c r="G133" i="50" s="1"/>
  <c r="L133" i="50"/>
  <c r="K133" i="50" s="1"/>
  <c r="J133" i="50" s="1"/>
  <c r="I133" i="50" s="1"/>
  <c r="N133" i="50"/>
  <c r="M133" i="50" s="1"/>
  <c r="O133" i="50"/>
  <c r="P133" i="50"/>
  <c r="S133" i="50"/>
  <c r="R133" i="50" s="1"/>
  <c r="Q133" i="50" s="1"/>
  <c r="T133" i="50"/>
  <c r="F134" i="50"/>
  <c r="L134" i="50"/>
  <c r="K134" i="50" s="1"/>
  <c r="J134" i="50" s="1"/>
  <c r="I134" i="50" s="1"/>
  <c r="H134" i="50" s="1"/>
  <c r="G134" i="50" s="1"/>
  <c r="M134" i="50"/>
  <c r="N134" i="50"/>
  <c r="O134" i="50"/>
  <c r="P134" i="50"/>
  <c r="Q134" i="50"/>
  <c r="S134" i="50"/>
  <c r="R134" i="50" s="1"/>
  <c r="T134" i="50"/>
  <c r="F135" i="50"/>
  <c r="I135" i="50"/>
  <c r="H135" i="50" s="1"/>
  <c r="G135" i="50" s="1"/>
  <c r="K135" i="50"/>
  <c r="J135" i="50" s="1"/>
  <c r="L135" i="50"/>
  <c r="N135" i="50"/>
  <c r="M135" i="50" s="1"/>
  <c r="O135" i="50"/>
  <c r="P135" i="50"/>
  <c r="Q135" i="50"/>
  <c r="R135" i="50"/>
  <c r="S135" i="50"/>
  <c r="F136" i="50"/>
  <c r="G136" i="50"/>
  <c r="H136" i="50"/>
  <c r="I136" i="50"/>
  <c r="J136" i="50"/>
  <c r="K136" i="50"/>
  <c r="L136" i="50"/>
  <c r="M136" i="50"/>
  <c r="N136" i="50"/>
  <c r="F137" i="50"/>
  <c r="H137" i="50"/>
  <c r="G137" i="50" s="1"/>
  <c r="I137" i="50"/>
  <c r="L137" i="50"/>
  <c r="K137" i="50" s="1"/>
  <c r="J137" i="50" s="1"/>
  <c r="M137" i="50"/>
  <c r="N137" i="50"/>
  <c r="O137" i="50"/>
  <c r="P137" i="50"/>
  <c r="Q137" i="50"/>
  <c r="S137" i="50"/>
  <c r="R137" i="50" s="1"/>
  <c r="F138" i="50"/>
  <c r="G138" i="50"/>
  <c r="H138" i="50"/>
  <c r="I138" i="50"/>
  <c r="J138" i="50"/>
  <c r="K138" i="50"/>
  <c r="M138" i="50"/>
  <c r="L138" i="50" s="1"/>
  <c r="N138" i="50"/>
  <c r="O138" i="50"/>
  <c r="F139" i="50"/>
  <c r="S139" i="50"/>
  <c r="R139" i="50" s="1"/>
  <c r="Q139" i="50" s="1"/>
  <c r="P139" i="50" s="1"/>
  <c r="O139" i="50" s="1"/>
  <c r="N139" i="50" s="1"/>
  <c r="M139" i="50" s="1"/>
  <c r="L139" i="50" s="1"/>
  <c r="K139" i="50" s="1"/>
  <c r="J139" i="50" s="1"/>
  <c r="I139" i="50" s="1"/>
  <c r="H139" i="50" s="1"/>
  <c r="G139" i="50" s="1"/>
  <c r="T139" i="50"/>
  <c r="F140" i="50"/>
  <c r="G140" i="50"/>
  <c r="I140" i="50"/>
  <c r="H140" i="50" s="1"/>
  <c r="J140" i="50"/>
  <c r="L140" i="50"/>
  <c r="K140" i="50" s="1"/>
  <c r="M140" i="50"/>
  <c r="N140" i="50"/>
  <c r="O140" i="50"/>
  <c r="P140" i="50"/>
  <c r="Q140" i="50"/>
  <c r="R140" i="50"/>
  <c r="S140" i="50"/>
  <c r="T140" i="50"/>
  <c r="F141" i="50"/>
  <c r="J141" i="50"/>
  <c r="I141" i="50" s="1"/>
  <c r="H141" i="50" s="1"/>
  <c r="G141" i="50" s="1"/>
  <c r="K141" i="50"/>
  <c r="L141" i="50"/>
  <c r="M141" i="50"/>
  <c r="Q141" i="50"/>
  <c r="P141" i="50" s="1"/>
  <c r="O141" i="50" s="1"/>
  <c r="N141" i="50" s="1"/>
  <c r="F142" i="50"/>
  <c r="H142" i="50"/>
  <c r="G142" i="50" s="1"/>
  <c r="J142" i="50"/>
  <c r="I142" i="50" s="1"/>
  <c r="N142" i="50"/>
  <c r="M142" i="50" s="1"/>
  <c r="L142" i="50" s="1"/>
  <c r="K142" i="50" s="1"/>
  <c r="O142" i="50"/>
  <c r="P142" i="50"/>
  <c r="Q142" i="50"/>
  <c r="R142" i="50"/>
  <c r="S142" i="50"/>
  <c r="T142" i="50"/>
  <c r="F143" i="50"/>
  <c r="G143" i="50"/>
  <c r="H143" i="50"/>
  <c r="J143" i="50"/>
  <c r="I143" i="50" s="1"/>
  <c r="K143" i="50"/>
  <c r="L143" i="50"/>
  <c r="M143" i="50"/>
  <c r="N143" i="50"/>
  <c r="O143" i="50"/>
  <c r="F144" i="50"/>
  <c r="P144" i="50"/>
  <c r="O144" i="50" s="1"/>
  <c r="N144" i="50" s="1"/>
  <c r="M144" i="50" s="1"/>
  <c r="L144" i="50" s="1"/>
  <c r="K144" i="50" s="1"/>
  <c r="J144" i="50" s="1"/>
  <c r="I144" i="50" s="1"/>
  <c r="H144" i="50" s="1"/>
  <c r="G144" i="50" s="1"/>
  <c r="F145" i="50"/>
  <c r="F146" i="50"/>
  <c r="F147" i="50"/>
  <c r="F148" i="50"/>
  <c r="H148" i="50"/>
  <c r="G148" i="50" s="1"/>
  <c r="I148" i="50"/>
  <c r="J148" i="50"/>
  <c r="K148" i="50"/>
  <c r="L148" i="50"/>
  <c r="N148" i="50"/>
  <c r="M148" i="50" s="1"/>
  <c r="O148" i="50"/>
  <c r="P148" i="50"/>
  <c r="Q148" i="50"/>
  <c r="R148" i="50"/>
  <c r="T148" i="50"/>
  <c r="S148" i="50" s="1"/>
  <c r="F149" i="50"/>
  <c r="G149" i="50"/>
  <c r="H149" i="50"/>
  <c r="L149" i="50"/>
  <c r="K149" i="50" s="1"/>
  <c r="J149" i="50" s="1"/>
  <c r="I149" i="50" s="1"/>
  <c r="F150" i="50"/>
  <c r="L150" i="50"/>
  <c r="K150" i="50" s="1"/>
  <c r="J150" i="50" s="1"/>
  <c r="I150" i="50" s="1"/>
  <c r="H150" i="50" s="1"/>
  <c r="G150" i="50" s="1"/>
  <c r="M150" i="50"/>
  <c r="N150" i="50"/>
  <c r="P150" i="50"/>
  <c r="O150" i="50" s="1"/>
  <c r="Q150" i="50"/>
  <c r="R150" i="50"/>
  <c r="S150" i="50"/>
  <c r="T150" i="50"/>
  <c r="F151" i="50"/>
  <c r="G151" i="50"/>
  <c r="H151" i="50"/>
  <c r="I151" i="50"/>
  <c r="J151" i="50"/>
  <c r="L151" i="50"/>
  <c r="K151" i="50" s="1"/>
  <c r="M151" i="50"/>
  <c r="N151" i="50"/>
  <c r="F152" i="50"/>
  <c r="F153" i="50"/>
  <c r="M153" i="50"/>
  <c r="L153" i="50" s="1"/>
  <c r="K153" i="50" s="1"/>
  <c r="J153" i="50" s="1"/>
  <c r="I153" i="50" s="1"/>
  <c r="H153" i="50" s="1"/>
  <c r="G153" i="50" s="1"/>
  <c r="N153" i="50"/>
  <c r="O153" i="50"/>
  <c r="P153" i="50"/>
  <c r="Q153" i="50"/>
  <c r="R153" i="50"/>
  <c r="F154" i="50"/>
  <c r="F155" i="50"/>
  <c r="G155" i="50"/>
  <c r="H155" i="50"/>
  <c r="I155" i="50"/>
  <c r="J155" i="50"/>
  <c r="K155" i="50"/>
  <c r="L155" i="50"/>
  <c r="M155" i="50"/>
  <c r="N155" i="50"/>
  <c r="F156" i="50"/>
  <c r="G156" i="50"/>
  <c r="K156" i="50"/>
  <c r="J156" i="50" s="1"/>
  <c r="I156" i="50" s="1"/>
  <c r="H156" i="50" s="1"/>
  <c r="L156" i="50"/>
  <c r="M156" i="50"/>
  <c r="N156" i="50"/>
  <c r="F157" i="50"/>
  <c r="F158" i="50"/>
  <c r="F159" i="50"/>
  <c r="H159" i="50"/>
  <c r="G159" i="50" s="1"/>
  <c r="I159" i="50"/>
  <c r="J159" i="50"/>
  <c r="M159" i="50"/>
  <c r="L159" i="50" s="1"/>
  <c r="K159" i="50" s="1"/>
  <c r="O159" i="50"/>
  <c r="N159" i="50" s="1"/>
  <c r="P159" i="50"/>
  <c r="Q159" i="50"/>
  <c r="R159" i="50"/>
  <c r="F160" i="50"/>
  <c r="I160" i="50"/>
  <c r="H160" i="50" s="1"/>
  <c r="G160" i="50" s="1"/>
  <c r="L160" i="50"/>
  <c r="K160" i="50" s="1"/>
  <c r="J160" i="50" s="1"/>
  <c r="M160" i="50"/>
  <c r="F161" i="50"/>
  <c r="G161" i="50"/>
  <c r="I161" i="50"/>
  <c r="H161" i="50" s="1"/>
  <c r="J161" i="50"/>
  <c r="K161" i="50"/>
  <c r="L161" i="50"/>
  <c r="M161" i="50"/>
  <c r="N161" i="50"/>
  <c r="O161" i="50"/>
  <c r="F162" i="50"/>
  <c r="I162" i="50"/>
  <c r="H162" i="50" s="1"/>
  <c r="G162" i="50" s="1"/>
  <c r="J162" i="50"/>
  <c r="L162" i="50"/>
  <c r="K162" i="50" s="1"/>
  <c r="M162" i="50"/>
  <c r="N162" i="50"/>
  <c r="O162" i="50"/>
  <c r="P162" i="50"/>
  <c r="Q162" i="50"/>
  <c r="R162" i="50"/>
  <c r="S162" i="50"/>
  <c r="T162" i="50"/>
  <c r="F163" i="50"/>
  <c r="H163" i="50"/>
  <c r="G163" i="50" s="1"/>
  <c r="I163" i="50"/>
  <c r="J163" i="50"/>
  <c r="K163" i="50"/>
  <c r="L163" i="50"/>
  <c r="M163" i="50"/>
  <c r="N163" i="50"/>
  <c r="O163" i="50"/>
  <c r="P163" i="50"/>
  <c r="Q163" i="50"/>
  <c r="S163" i="50"/>
  <c r="R163" i="50" s="1"/>
  <c r="T163" i="50"/>
  <c r="F164" i="50"/>
  <c r="F165" i="50"/>
  <c r="G165" i="50"/>
  <c r="H165" i="50"/>
  <c r="K165" i="50"/>
  <c r="J165" i="50" s="1"/>
  <c r="I165" i="50" s="1"/>
  <c r="L165" i="50"/>
  <c r="N165" i="50"/>
  <c r="M165" i="50" s="1"/>
  <c r="Q165" i="50"/>
  <c r="P165" i="50" s="1"/>
  <c r="O165" i="50" s="1"/>
  <c r="F166" i="50"/>
  <c r="F167" i="50"/>
  <c r="H167" i="50"/>
  <c r="G167" i="50" s="1"/>
  <c r="F168" i="50"/>
  <c r="S168" i="50"/>
  <c r="R168" i="50" s="1"/>
  <c r="Q168" i="50" s="1"/>
  <c r="P168" i="50" s="1"/>
  <c r="O168" i="50" s="1"/>
  <c r="N168" i="50" s="1"/>
  <c r="M168" i="50" s="1"/>
  <c r="L168" i="50" s="1"/>
  <c r="K168" i="50" s="1"/>
  <c r="J168" i="50" s="1"/>
  <c r="I168" i="50" s="1"/>
  <c r="H168" i="50" s="1"/>
  <c r="G168" i="50" s="1"/>
  <c r="F169" i="50"/>
  <c r="M169" i="50"/>
  <c r="L169" i="50" s="1"/>
  <c r="K169" i="50" s="1"/>
  <c r="J169" i="50" s="1"/>
  <c r="I169" i="50" s="1"/>
  <c r="H169" i="50" s="1"/>
  <c r="G169" i="50" s="1"/>
  <c r="N169" i="50"/>
  <c r="O169" i="50"/>
  <c r="P169" i="50"/>
  <c r="Q169" i="50"/>
  <c r="F170" i="50"/>
  <c r="L170" i="50"/>
  <c r="K170" i="50" s="1"/>
  <c r="J170" i="50" s="1"/>
  <c r="I170" i="50" s="1"/>
  <c r="H170" i="50" s="1"/>
  <c r="G170" i="50" s="1"/>
  <c r="M170" i="50"/>
  <c r="N170" i="50"/>
  <c r="O170" i="50"/>
  <c r="P170" i="50"/>
  <c r="Q170" i="50"/>
  <c r="F171" i="50"/>
  <c r="K171" i="50"/>
  <c r="J171" i="50" s="1"/>
  <c r="I171" i="50" s="1"/>
  <c r="H171" i="50" s="1"/>
  <c r="G171" i="50" s="1"/>
  <c r="L171" i="50"/>
  <c r="N171" i="50"/>
  <c r="M171" i="50" s="1"/>
  <c r="O171" i="50"/>
  <c r="Q171" i="50"/>
  <c r="P171" i="50" s="1"/>
  <c r="S171" i="50"/>
  <c r="R171" i="50" s="1"/>
  <c r="T171" i="50"/>
  <c r="F172" i="50"/>
  <c r="H172" i="50"/>
  <c r="G172" i="50" s="1"/>
  <c r="I172" i="50"/>
  <c r="L172" i="50"/>
  <c r="K172" i="50" s="1"/>
  <c r="J172" i="50" s="1"/>
  <c r="M172" i="50"/>
  <c r="N172" i="50"/>
  <c r="O172" i="50"/>
  <c r="P172" i="50"/>
  <c r="R172" i="50"/>
  <c r="Q172" i="50" s="1"/>
  <c r="F173" i="50"/>
  <c r="H173" i="50"/>
  <c r="G173" i="50" s="1"/>
  <c r="I173" i="50"/>
  <c r="K173" i="50"/>
  <c r="J173" i="50" s="1"/>
  <c r="L173" i="50"/>
  <c r="M173" i="50"/>
  <c r="N173" i="50"/>
  <c r="S173" i="50"/>
  <c r="R173" i="50" s="1"/>
  <c r="Q173" i="50" s="1"/>
  <c r="P173" i="50" s="1"/>
  <c r="O173" i="50" s="1"/>
  <c r="F174" i="50"/>
  <c r="H174" i="50"/>
  <c r="G174" i="50" s="1"/>
  <c r="J174" i="50"/>
  <c r="I174" i="50" s="1"/>
  <c r="K174" i="50"/>
  <c r="M174" i="50"/>
  <c r="L174" i="50" s="1"/>
  <c r="N174" i="50"/>
  <c r="O174" i="50"/>
  <c r="P174" i="50"/>
  <c r="Q174" i="50"/>
  <c r="R174" i="50"/>
  <c r="F175" i="50"/>
  <c r="F176" i="50"/>
  <c r="O176" i="50"/>
  <c r="N176" i="50" s="1"/>
  <c r="M176" i="50" s="1"/>
  <c r="L176" i="50" s="1"/>
  <c r="K176" i="50" s="1"/>
  <c r="J176" i="50" s="1"/>
  <c r="I176" i="50" s="1"/>
  <c r="H176" i="50" s="1"/>
  <c r="G176" i="50" s="1"/>
  <c r="P176" i="50"/>
  <c r="S176" i="50"/>
  <c r="R176" i="50" s="1"/>
  <c r="Q176" i="50" s="1"/>
  <c r="T176" i="50"/>
  <c r="F177" i="50"/>
  <c r="I177" i="50"/>
  <c r="H177" i="50" s="1"/>
  <c r="G177" i="50" s="1"/>
  <c r="P177" i="50"/>
  <c r="O177" i="50" s="1"/>
  <c r="N177" i="50" s="1"/>
  <c r="M177" i="50" s="1"/>
  <c r="L177" i="50" s="1"/>
  <c r="K177" i="50" s="1"/>
  <c r="J177" i="50" s="1"/>
  <c r="F178" i="50"/>
  <c r="T178" i="50"/>
  <c r="S178" i="50" s="1"/>
  <c r="R178" i="50" s="1"/>
  <c r="Q178" i="50" s="1"/>
  <c r="P178" i="50" s="1"/>
  <c r="O178" i="50" s="1"/>
  <c r="N178" i="50" s="1"/>
  <c r="M178" i="50" s="1"/>
  <c r="L178" i="50" s="1"/>
  <c r="K178" i="50" s="1"/>
  <c r="J178" i="50" s="1"/>
  <c r="I178" i="50" s="1"/>
  <c r="H178" i="50" s="1"/>
  <c r="G178" i="50" s="1"/>
  <c r="F179" i="50"/>
  <c r="F180" i="50"/>
  <c r="F181" i="50"/>
  <c r="F182" i="50"/>
  <c r="S182" i="50"/>
  <c r="R182" i="50" s="1"/>
  <c r="Q182" i="50" s="1"/>
  <c r="P182" i="50" s="1"/>
  <c r="O182" i="50" s="1"/>
  <c r="N182" i="50" s="1"/>
  <c r="M182" i="50" s="1"/>
  <c r="L182" i="50" s="1"/>
  <c r="K182" i="50" s="1"/>
  <c r="J182" i="50" s="1"/>
  <c r="I182" i="50" s="1"/>
  <c r="H182" i="50" s="1"/>
  <c r="G182" i="50" s="1"/>
  <c r="F183" i="50"/>
  <c r="F184" i="50"/>
  <c r="F185" i="50"/>
  <c r="F186" i="50"/>
  <c r="F187" i="50"/>
  <c r="L187" i="50"/>
  <c r="K187" i="50" s="1"/>
  <c r="J187" i="50" s="1"/>
  <c r="I187" i="50" s="1"/>
  <c r="H187" i="50" s="1"/>
  <c r="G187" i="50" s="1"/>
  <c r="N187" i="50"/>
  <c r="M187" i="50" s="1"/>
  <c r="P187" i="50"/>
  <c r="O187" i="50" s="1"/>
  <c r="Q187" i="50"/>
  <c r="R187" i="50"/>
  <c r="S187" i="50"/>
  <c r="F188" i="50"/>
  <c r="G188" i="50"/>
  <c r="H188" i="50"/>
  <c r="I188" i="50"/>
  <c r="K188" i="50"/>
  <c r="J188" i="50" s="1"/>
  <c r="L188" i="50"/>
  <c r="M188" i="50"/>
  <c r="N188" i="50"/>
  <c r="Q188" i="50"/>
  <c r="P188" i="50" s="1"/>
  <c r="O188" i="50" s="1"/>
  <c r="R188" i="50"/>
  <c r="S188" i="50"/>
  <c r="F189" i="50"/>
  <c r="F190" i="50"/>
  <c r="L190" i="50"/>
  <c r="K190" i="50" s="1"/>
  <c r="J190" i="50" s="1"/>
  <c r="I190" i="50" s="1"/>
  <c r="H190" i="50" s="1"/>
  <c r="G190" i="50" s="1"/>
  <c r="M190" i="50"/>
  <c r="N190" i="50"/>
  <c r="O190" i="50"/>
  <c r="P190" i="50"/>
  <c r="Q190" i="50"/>
  <c r="R190" i="50"/>
  <c r="F191" i="50"/>
  <c r="H191" i="50"/>
  <c r="G191" i="50" s="1"/>
  <c r="J191" i="50"/>
  <c r="I191" i="50" s="1"/>
  <c r="L191" i="50"/>
  <c r="K191" i="50" s="1"/>
  <c r="M191" i="50"/>
  <c r="N191" i="50"/>
  <c r="O191" i="50"/>
  <c r="R191" i="50"/>
  <c r="Q191" i="50" s="1"/>
  <c r="P191" i="50" s="1"/>
  <c r="F192" i="50"/>
  <c r="G192" i="50"/>
  <c r="H192" i="50"/>
  <c r="I192" i="50"/>
  <c r="L192" i="50"/>
  <c r="K192" i="50" s="1"/>
  <c r="J192" i="50" s="1"/>
  <c r="M192" i="50"/>
  <c r="N192" i="50"/>
  <c r="F193" i="50"/>
  <c r="F194" i="50"/>
  <c r="F195" i="50"/>
  <c r="G195" i="50"/>
  <c r="H195" i="50"/>
  <c r="I195" i="50"/>
  <c r="K195" i="50"/>
  <c r="J195" i="50" s="1"/>
  <c r="L195" i="50"/>
  <c r="F196" i="50"/>
  <c r="N196" i="50"/>
  <c r="M196" i="50" s="1"/>
  <c r="L196" i="50" s="1"/>
  <c r="K196" i="50" s="1"/>
  <c r="J196" i="50" s="1"/>
  <c r="I196" i="50" s="1"/>
  <c r="H196" i="50" s="1"/>
  <c r="G196" i="50" s="1"/>
  <c r="P196" i="50"/>
  <c r="O196" i="50" s="1"/>
  <c r="F197" i="50"/>
  <c r="J197" i="50"/>
  <c r="I197" i="50" s="1"/>
  <c r="H197" i="50" s="1"/>
  <c r="G197" i="50" s="1"/>
  <c r="M197" i="50"/>
  <c r="L197" i="50" s="1"/>
  <c r="K197" i="50" s="1"/>
  <c r="N197" i="50"/>
  <c r="O197" i="50"/>
  <c r="P197" i="50"/>
  <c r="F198" i="50"/>
  <c r="M198" i="50"/>
  <c r="L198" i="50" s="1"/>
  <c r="K198" i="50" s="1"/>
  <c r="J198" i="50" s="1"/>
  <c r="I198" i="50" s="1"/>
  <c r="H198" i="50" s="1"/>
  <c r="G198" i="50" s="1"/>
  <c r="N198" i="50"/>
  <c r="O198" i="50"/>
  <c r="F199" i="50"/>
  <c r="N199" i="50"/>
  <c r="M199" i="50" s="1"/>
  <c r="L199" i="50" s="1"/>
  <c r="K199" i="50" s="1"/>
  <c r="J199" i="50" s="1"/>
  <c r="I199" i="50" s="1"/>
  <c r="H199" i="50" s="1"/>
  <c r="G199" i="50" s="1"/>
  <c r="O199" i="50"/>
  <c r="S199" i="50"/>
  <c r="R199" i="50" s="1"/>
  <c r="Q199" i="50" s="1"/>
  <c r="P199" i="50" s="1"/>
  <c r="T199" i="50"/>
  <c r="F200" i="50"/>
  <c r="H200" i="50"/>
  <c r="G200" i="50" s="1"/>
  <c r="J200" i="50"/>
  <c r="I200" i="50" s="1"/>
  <c r="M200" i="50"/>
  <c r="L200" i="50" s="1"/>
  <c r="K200" i="50" s="1"/>
  <c r="N200" i="50"/>
  <c r="P200" i="50"/>
  <c r="O200" i="50" s="1"/>
  <c r="Q200" i="50"/>
  <c r="F201" i="50"/>
  <c r="G201" i="50"/>
  <c r="H201" i="50"/>
  <c r="I201" i="50"/>
  <c r="J201" i="50"/>
  <c r="L201" i="50"/>
  <c r="K201" i="50" s="1"/>
  <c r="M201" i="50"/>
  <c r="F202" i="50"/>
  <c r="F203" i="50"/>
  <c r="F204" i="50"/>
  <c r="K204" i="50"/>
  <c r="J204" i="50" s="1"/>
  <c r="I204" i="50" s="1"/>
  <c r="H204" i="50" s="1"/>
  <c r="G204" i="50" s="1"/>
  <c r="L204" i="50"/>
  <c r="M204" i="50"/>
  <c r="N204" i="50"/>
  <c r="F205" i="50"/>
  <c r="F206" i="50"/>
  <c r="G206" i="50"/>
  <c r="I206" i="50"/>
  <c r="H206" i="50" s="1"/>
  <c r="L206" i="50"/>
  <c r="K206" i="50" s="1"/>
  <c r="J206" i="50" s="1"/>
  <c r="M206" i="50"/>
  <c r="Q206" i="50"/>
  <c r="P206" i="50" s="1"/>
  <c r="O206" i="50" s="1"/>
  <c r="N206" i="50" s="1"/>
  <c r="R206" i="50"/>
  <c r="S206" i="50"/>
  <c r="F207" i="50"/>
  <c r="K207" i="50"/>
  <c r="J207" i="50" s="1"/>
  <c r="I207" i="50" s="1"/>
  <c r="H207" i="50" s="1"/>
  <c r="G207" i="50" s="1"/>
  <c r="L207" i="50"/>
  <c r="M207" i="50"/>
  <c r="N207" i="50"/>
  <c r="O207" i="50"/>
  <c r="P207" i="50"/>
  <c r="Q207" i="50"/>
  <c r="F208" i="50"/>
  <c r="I208" i="50"/>
  <c r="H208" i="50" s="1"/>
  <c r="G208" i="50" s="1"/>
  <c r="K208" i="50"/>
  <c r="J208" i="50" s="1"/>
  <c r="L208" i="50"/>
  <c r="M208" i="50"/>
  <c r="P208" i="50"/>
  <c r="O208" i="50" s="1"/>
  <c r="N208" i="50" s="1"/>
  <c r="S208" i="50"/>
  <c r="R208" i="50" s="1"/>
  <c r="Q208" i="50" s="1"/>
  <c r="F209" i="50"/>
  <c r="I209" i="50"/>
  <c r="H209" i="50" s="1"/>
  <c r="G209" i="50" s="1"/>
  <c r="L209" i="50"/>
  <c r="K209" i="50" s="1"/>
  <c r="J209" i="50" s="1"/>
  <c r="M209" i="50"/>
  <c r="N209" i="50"/>
  <c r="O209" i="50"/>
  <c r="F210" i="50"/>
  <c r="I210" i="50"/>
  <c r="H210" i="50" s="1"/>
  <c r="G210" i="50" s="1"/>
  <c r="K210" i="50"/>
  <c r="J210" i="50" s="1"/>
  <c r="M210" i="50"/>
  <c r="L210" i="50" s="1"/>
  <c r="F211" i="50"/>
  <c r="F213" i="50"/>
  <c r="P213" i="50"/>
  <c r="O213" i="50" s="1"/>
  <c r="N213" i="50" s="1"/>
  <c r="M213" i="50" s="1"/>
  <c r="L213" i="50" s="1"/>
  <c r="K213" i="50" s="1"/>
  <c r="J213" i="50" s="1"/>
  <c r="I213" i="50" s="1"/>
  <c r="H213" i="50" s="1"/>
  <c r="G213" i="50" s="1"/>
  <c r="Q213" i="50"/>
  <c r="R213" i="50"/>
  <c r="T213" i="50"/>
  <c r="S213" i="50" s="1"/>
  <c r="F214" i="50"/>
  <c r="J214" i="50"/>
  <c r="I214" i="50" s="1"/>
  <c r="H214" i="50" s="1"/>
  <c r="G214" i="50" s="1"/>
  <c r="N214" i="50"/>
  <c r="M214" i="50" s="1"/>
  <c r="L214" i="50" s="1"/>
  <c r="K214" i="50" s="1"/>
  <c r="O214" i="50"/>
  <c r="P214" i="50"/>
  <c r="S214" i="50"/>
  <c r="R214" i="50" s="1"/>
  <c r="Q214" i="50" s="1"/>
  <c r="F215" i="50"/>
  <c r="F216" i="50"/>
  <c r="L216" i="50"/>
  <c r="K216" i="50" s="1"/>
  <c r="J216" i="50" s="1"/>
  <c r="I216" i="50" s="1"/>
  <c r="H216" i="50" s="1"/>
  <c r="G216" i="50" s="1"/>
  <c r="N216" i="50"/>
  <c r="M216" i="50" s="1"/>
  <c r="Q216" i="50"/>
  <c r="P216" i="50" s="1"/>
  <c r="O216" i="50" s="1"/>
  <c r="R216" i="50"/>
  <c r="F217" i="50"/>
  <c r="H217" i="50"/>
  <c r="G217" i="50" s="1"/>
  <c r="I217" i="50"/>
  <c r="K217" i="50"/>
  <c r="J217" i="50" s="1"/>
  <c r="L217" i="50"/>
  <c r="M217" i="50"/>
  <c r="N217" i="50"/>
  <c r="Q217" i="50"/>
  <c r="P217" i="50" s="1"/>
  <c r="O217" i="50" s="1"/>
  <c r="F218" i="50"/>
  <c r="H218" i="50"/>
  <c r="G218" i="50" s="1"/>
  <c r="L218" i="50"/>
  <c r="K218" i="50" s="1"/>
  <c r="J218" i="50" s="1"/>
  <c r="I218" i="50" s="1"/>
  <c r="M218" i="50"/>
  <c r="N218" i="50"/>
  <c r="F219" i="50"/>
  <c r="G219" i="50"/>
  <c r="H219" i="50"/>
  <c r="J219" i="50"/>
  <c r="I219" i="50" s="1"/>
  <c r="M219" i="50"/>
  <c r="L219" i="50" s="1"/>
  <c r="K219" i="50" s="1"/>
  <c r="N219" i="50"/>
  <c r="O219" i="50"/>
  <c r="P219" i="50"/>
  <c r="S219" i="50"/>
  <c r="R219" i="50" s="1"/>
  <c r="Q219" i="50" s="1"/>
  <c r="T219" i="50"/>
  <c r="F220" i="50"/>
  <c r="M220" i="50"/>
  <c r="L220" i="50" s="1"/>
  <c r="K220" i="50" s="1"/>
  <c r="J220" i="50" s="1"/>
  <c r="I220" i="50" s="1"/>
  <c r="H220" i="50" s="1"/>
  <c r="G220" i="50" s="1"/>
  <c r="N220" i="50"/>
  <c r="O220" i="50"/>
  <c r="S220" i="50"/>
  <c r="R220" i="50" s="1"/>
  <c r="Q220" i="50" s="1"/>
  <c r="P220" i="50" s="1"/>
  <c r="T220" i="50"/>
  <c r="F221" i="50"/>
  <c r="I221" i="50"/>
  <c r="H221" i="50" s="1"/>
  <c r="G221" i="50" s="1"/>
  <c r="N221" i="50"/>
  <c r="M221" i="50" s="1"/>
  <c r="L221" i="50" s="1"/>
  <c r="K221" i="50" s="1"/>
  <c r="J221" i="50" s="1"/>
  <c r="O221" i="50"/>
  <c r="P221" i="50"/>
  <c r="Q221" i="50"/>
  <c r="R221" i="50"/>
  <c r="T221" i="50"/>
  <c r="S221" i="50" s="1"/>
  <c r="F222" i="50"/>
  <c r="I222" i="50"/>
  <c r="H222" i="50" s="1"/>
  <c r="G222" i="50" s="1"/>
  <c r="M222" i="50"/>
  <c r="L222" i="50" s="1"/>
  <c r="K222" i="50" s="1"/>
  <c r="J222" i="50" s="1"/>
  <c r="O222" i="50"/>
  <c r="N222" i="50" s="1"/>
  <c r="P222" i="50"/>
  <c r="Q222" i="50"/>
  <c r="F223" i="50"/>
  <c r="I223" i="50"/>
  <c r="H223" i="50" s="1"/>
  <c r="G223" i="50" s="1"/>
  <c r="J223" i="50"/>
  <c r="L223" i="50"/>
  <c r="K223" i="50" s="1"/>
  <c r="M223" i="50"/>
  <c r="N223" i="50"/>
  <c r="P223" i="50"/>
  <c r="O223" i="50" s="1"/>
  <c r="S223" i="50"/>
  <c r="R223" i="50" s="1"/>
  <c r="Q223" i="50" s="1"/>
  <c r="F224" i="50"/>
  <c r="F225" i="50"/>
  <c r="H225" i="50"/>
  <c r="G225" i="50" s="1"/>
  <c r="I225" i="50"/>
  <c r="L225" i="50"/>
  <c r="K225" i="50" s="1"/>
  <c r="J225" i="50" s="1"/>
  <c r="M225" i="50"/>
  <c r="N225" i="50"/>
  <c r="F226" i="50"/>
  <c r="F227" i="50"/>
  <c r="F228" i="50"/>
  <c r="M228" i="50"/>
  <c r="L228" i="50" s="1"/>
  <c r="K228" i="50" s="1"/>
  <c r="J228" i="50" s="1"/>
  <c r="I228" i="50" s="1"/>
  <c r="H228" i="50" s="1"/>
  <c r="G228" i="50" s="1"/>
  <c r="P228" i="50"/>
  <c r="O228" i="50" s="1"/>
  <c r="N228" i="50" s="1"/>
  <c r="F229" i="50"/>
  <c r="U2" i="50"/>
  <c r="U3" i="50"/>
  <c r="T3" i="50" s="1"/>
  <c r="S3" i="50" s="1"/>
  <c r="R3" i="50" s="1"/>
  <c r="Q3" i="50" s="1"/>
  <c r="U4" i="50"/>
  <c r="U5" i="50"/>
  <c r="T5" i="50" s="1"/>
  <c r="S5" i="50" s="1"/>
  <c r="R5" i="50" s="1"/>
  <c r="Q5" i="50" s="1"/>
  <c r="P5" i="50" s="1"/>
  <c r="O5" i="50" s="1"/>
  <c r="N5" i="50" s="1"/>
  <c r="M5" i="50" s="1"/>
  <c r="L5" i="50" s="1"/>
  <c r="K5" i="50" s="1"/>
  <c r="J5" i="50" s="1"/>
  <c r="I5" i="50" s="1"/>
  <c r="H5" i="50" s="1"/>
  <c r="G5" i="50" s="1"/>
  <c r="U6" i="50"/>
  <c r="T6" i="50" s="1"/>
  <c r="S6" i="50" s="1"/>
  <c r="R6" i="50" s="1"/>
  <c r="U7" i="50"/>
  <c r="T7" i="50" s="1"/>
  <c r="S7" i="50" s="1"/>
  <c r="R7" i="50" s="1"/>
  <c r="Q7" i="50" s="1"/>
  <c r="P7" i="50" s="1"/>
  <c r="O7" i="50" s="1"/>
  <c r="N7" i="50" s="1"/>
  <c r="M7" i="50" s="1"/>
  <c r="L7" i="50" s="1"/>
  <c r="K7" i="50" s="1"/>
  <c r="J7" i="50" s="1"/>
  <c r="I7" i="50" s="1"/>
  <c r="H7" i="50" s="1"/>
  <c r="G7" i="50" s="1"/>
  <c r="U8" i="50"/>
  <c r="T8" i="50" s="1"/>
  <c r="S8" i="50" s="1"/>
  <c r="R8" i="50" s="1"/>
  <c r="Q8" i="50" s="1"/>
  <c r="P8" i="50" s="1"/>
  <c r="U9" i="50"/>
  <c r="U10" i="50"/>
  <c r="U11" i="50"/>
  <c r="T11" i="50" s="1"/>
  <c r="S11" i="50" s="1"/>
  <c r="R11" i="50" s="1"/>
  <c r="U12" i="50"/>
  <c r="T12" i="50" s="1"/>
  <c r="S12" i="50" s="1"/>
  <c r="R12" i="50" s="1"/>
  <c r="Q12" i="50" s="1"/>
  <c r="P12" i="50" s="1"/>
  <c r="U13" i="50"/>
  <c r="T13" i="50" s="1"/>
  <c r="S13" i="50" s="1"/>
  <c r="R13" i="50" s="1"/>
  <c r="Q13" i="50" s="1"/>
  <c r="P13" i="50" s="1"/>
  <c r="O13" i="50" s="1"/>
  <c r="N13" i="50" s="1"/>
  <c r="M13" i="50" s="1"/>
  <c r="L13" i="50" s="1"/>
  <c r="K13" i="50" s="1"/>
  <c r="J13" i="50" s="1"/>
  <c r="I13" i="50" s="1"/>
  <c r="H13" i="50" s="1"/>
  <c r="G13" i="50" s="1"/>
  <c r="U14" i="50"/>
  <c r="U15" i="50"/>
  <c r="T15" i="50" s="1"/>
  <c r="S15" i="50" s="1"/>
  <c r="R15" i="50" s="1"/>
  <c r="Q15" i="50" s="1"/>
  <c r="P15" i="50" s="1"/>
  <c r="O15" i="50" s="1"/>
  <c r="N15" i="50" s="1"/>
  <c r="M15" i="50" s="1"/>
  <c r="L15" i="50" s="1"/>
  <c r="K15" i="50" s="1"/>
  <c r="J15" i="50" s="1"/>
  <c r="I15" i="50" s="1"/>
  <c r="H15" i="50" s="1"/>
  <c r="G15" i="50" s="1"/>
  <c r="U16" i="50"/>
  <c r="U17" i="50"/>
  <c r="U18" i="50"/>
  <c r="T18" i="50" s="1"/>
  <c r="S18" i="50" s="1"/>
  <c r="R18" i="50" s="1"/>
  <c r="Q18" i="50" s="1"/>
  <c r="P18" i="50" s="1"/>
  <c r="O18" i="50" s="1"/>
  <c r="N18" i="50" s="1"/>
  <c r="M18" i="50" s="1"/>
  <c r="L18" i="50" s="1"/>
  <c r="K18" i="50" s="1"/>
  <c r="J18" i="50" s="1"/>
  <c r="I18" i="50" s="1"/>
  <c r="H18" i="50" s="1"/>
  <c r="G18" i="50" s="1"/>
  <c r="U19" i="50"/>
  <c r="U20" i="50"/>
  <c r="T20" i="50" s="1"/>
  <c r="S20" i="50" s="1"/>
  <c r="R20" i="50" s="1"/>
  <c r="Q20" i="50" s="1"/>
  <c r="P20" i="50" s="1"/>
  <c r="O20" i="50" s="1"/>
  <c r="N20" i="50" s="1"/>
  <c r="M20" i="50" s="1"/>
  <c r="L20" i="50" s="1"/>
  <c r="K20" i="50" s="1"/>
  <c r="J20" i="50" s="1"/>
  <c r="I20" i="50" s="1"/>
  <c r="H20" i="50" s="1"/>
  <c r="G20" i="50" s="1"/>
  <c r="U21" i="50"/>
  <c r="U22" i="50"/>
  <c r="T22" i="50" s="1"/>
  <c r="S22" i="50" s="1"/>
  <c r="R22" i="50" s="1"/>
  <c r="Q22" i="50" s="1"/>
  <c r="P22" i="50" s="1"/>
  <c r="O22" i="50" s="1"/>
  <c r="N22" i="50" s="1"/>
  <c r="M22" i="50" s="1"/>
  <c r="L22" i="50" s="1"/>
  <c r="K22" i="50" s="1"/>
  <c r="J22" i="50" s="1"/>
  <c r="I22" i="50" s="1"/>
  <c r="H22" i="50" s="1"/>
  <c r="G22" i="50" s="1"/>
  <c r="U23" i="50"/>
  <c r="U24" i="50"/>
  <c r="U25" i="50"/>
  <c r="T25" i="50" s="1"/>
  <c r="U26" i="50"/>
  <c r="U27" i="50"/>
  <c r="T27" i="50" s="1"/>
  <c r="S27" i="50" s="1"/>
  <c r="R27" i="50" s="1"/>
  <c r="Q27" i="50" s="1"/>
  <c r="P27" i="50" s="1"/>
  <c r="O27" i="50" s="1"/>
  <c r="N27" i="50" s="1"/>
  <c r="M27" i="50" s="1"/>
  <c r="L27" i="50" s="1"/>
  <c r="K27" i="50" s="1"/>
  <c r="J27" i="50" s="1"/>
  <c r="I27" i="50" s="1"/>
  <c r="H27" i="50" s="1"/>
  <c r="G27" i="50" s="1"/>
  <c r="U29" i="50"/>
  <c r="U31" i="50"/>
  <c r="T31" i="50" s="1"/>
  <c r="S31" i="50" s="1"/>
  <c r="R31" i="50" s="1"/>
  <c r="Q31" i="50" s="1"/>
  <c r="P31" i="50" s="1"/>
  <c r="O31" i="50" s="1"/>
  <c r="N31" i="50" s="1"/>
  <c r="M31" i="50" s="1"/>
  <c r="L31" i="50" s="1"/>
  <c r="K31" i="50" s="1"/>
  <c r="J31" i="50" s="1"/>
  <c r="I31" i="50" s="1"/>
  <c r="H31" i="50" s="1"/>
  <c r="G31" i="50" s="1"/>
  <c r="U32" i="50"/>
  <c r="U33" i="50"/>
  <c r="U34" i="50"/>
  <c r="T34" i="50" s="1"/>
  <c r="S34" i="50" s="1"/>
  <c r="R34" i="50" s="1"/>
  <c r="Q34" i="50" s="1"/>
  <c r="P34" i="50" s="1"/>
  <c r="O34" i="50" s="1"/>
  <c r="N34" i="50" s="1"/>
  <c r="M34" i="50" s="1"/>
  <c r="L34" i="50" s="1"/>
  <c r="K34" i="50" s="1"/>
  <c r="J34" i="50" s="1"/>
  <c r="I34" i="50" s="1"/>
  <c r="H34" i="50" s="1"/>
  <c r="G34" i="50" s="1"/>
  <c r="U35" i="50"/>
  <c r="T35" i="50" s="1"/>
  <c r="S35" i="50" s="1"/>
  <c r="R35" i="50" s="1"/>
  <c r="Q35" i="50" s="1"/>
  <c r="P35" i="50" s="1"/>
  <c r="O35" i="50" s="1"/>
  <c r="N35" i="50" s="1"/>
  <c r="M35" i="50" s="1"/>
  <c r="L35" i="50" s="1"/>
  <c r="K35" i="50" s="1"/>
  <c r="J35" i="50" s="1"/>
  <c r="I35" i="50" s="1"/>
  <c r="H35" i="50" s="1"/>
  <c r="G35" i="50" s="1"/>
  <c r="U36" i="50"/>
  <c r="U37" i="50"/>
  <c r="U38" i="50"/>
  <c r="T38" i="50" s="1"/>
  <c r="S38" i="50" s="1"/>
  <c r="U39" i="50"/>
  <c r="T39" i="50" s="1"/>
  <c r="U40" i="50"/>
  <c r="T40" i="50" s="1"/>
  <c r="S40" i="50" s="1"/>
  <c r="R40" i="50" s="1"/>
  <c r="Q40" i="50" s="1"/>
  <c r="P40" i="50" s="1"/>
  <c r="O40" i="50" s="1"/>
  <c r="N40" i="50" s="1"/>
  <c r="M40" i="50" s="1"/>
  <c r="L40" i="50" s="1"/>
  <c r="K40" i="50" s="1"/>
  <c r="J40" i="50" s="1"/>
  <c r="I40" i="50" s="1"/>
  <c r="H40" i="50" s="1"/>
  <c r="G40" i="50" s="1"/>
  <c r="U41" i="50"/>
  <c r="T41" i="50" s="1"/>
  <c r="U42" i="50"/>
  <c r="U43" i="50"/>
  <c r="T43" i="50" s="1"/>
  <c r="S43" i="50" s="1"/>
  <c r="R43" i="50" s="1"/>
  <c r="Q43" i="50" s="1"/>
  <c r="P43" i="50" s="1"/>
  <c r="O43" i="50" s="1"/>
  <c r="U44" i="50"/>
  <c r="U45" i="50"/>
  <c r="T45" i="50" s="1"/>
  <c r="S45" i="50" s="1"/>
  <c r="R45" i="50" s="1"/>
  <c r="Q45" i="50" s="1"/>
  <c r="P45" i="50" s="1"/>
  <c r="O45" i="50" s="1"/>
  <c r="N45" i="50" s="1"/>
  <c r="M45" i="50" s="1"/>
  <c r="L45" i="50" s="1"/>
  <c r="K45" i="50" s="1"/>
  <c r="J45" i="50" s="1"/>
  <c r="I45" i="50" s="1"/>
  <c r="H45" i="50" s="1"/>
  <c r="G45" i="50" s="1"/>
  <c r="U46" i="50"/>
  <c r="U47" i="50"/>
  <c r="T47" i="50" s="1"/>
  <c r="S47" i="50" s="1"/>
  <c r="R47" i="50" s="1"/>
  <c r="Q47" i="50" s="1"/>
  <c r="P47" i="50" s="1"/>
  <c r="O47" i="50" s="1"/>
  <c r="N47" i="50" s="1"/>
  <c r="M47" i="50" s="1"/>
  <c r="L47" i="50" s="1"/>
  <c r="K47" i="50" s="1"/>
  <c r="J47" i="50" s="1"/>
  <c r="I47" i="50" s="1"/>
  <c r="H47" i="50" s="1"/>
  <c r="G47" i="50" s="1"/>
  <c r="U48" i="50"/>
  <c r="T48" i="50" s="1"/>
  <c r="S48" i="50" s="1"/>
  <c r="R48" i="50" s="1"/>
  <c r="U49" i="50"/>
  <c r="T49" i="50" s="1"/>
  <c r="S49" i="50" s="1"/>
  <c r="R49" i="50" s="1"/>
  <c r="Q49" i="50" s="1"/>
  <c r="U50" i="50"/>
  <c r="U52" i="50"/>
  <c r="T52" i="50" s="1"/>
  <c r="S52" i="50" s="1"/>
  <c r="R52" i="50" s="1"/>
  <c r="Q52" i="50" s="1"/>
  <c r="P52" i="50" s="1"/>
  <c r="O52" i="50" s="1"/>
  <c r="N52" i="50" s="1"/>
  <c r="M52" i="50" s="1"/>
  <c r="L52" i="50" s="1"/>
  <c r="K52" i="50" s="1"/>
  <c r="J52" i="50" s="1"/>
  <c r="I52" i="50" s="1"/>
  <c r="H52" i="50" s="1"/>
  <c r="G52" i="50" s="1"/>
  <c r="U53" i="50"/>
  <c r="T53" i="50" s="1"/>
  <c r="S53" i="50" s="1"/>
  <c r="R53" i="50" s="1"/>
  <c r="Q53" i="50" s="1"/>
  <c r="P53" i="50" s="1"/>
  <c r="O53" i="50" s="1"/>
  <c r="N53" i="50" s="1"/>
  <c r="M53" i="50" s="1"/>
  <c r="L53" i="50" s="1"/>
  <c r="K53" i="50" s="1"/>
  <c r="J53" i="50" s="1"/>
  <c r="I53" i="50" s="1"/>
  <c r="H53" i="50" s="1"/>
  <c r="G53" i="50" s="1"/>
  <c r="U54" i="50"/>
  <c r="T54" i="50" s="1"/>
  <c r="U55" i="50"/>
  <c r="U56" i="50"/>
  <c r="U57" i="50"/>
  <c r="T57" i="50" s="1"/>
  <c r="S57" i="50" s="1"/>
  <c r="R57" i="50" s="1"/>
  <c r="Q57" i="50" s="1"/>
  <c r="P57" i="50" s="1"/>
  <c r="O57" i="50" s="1"/>
  <c r="N57" i="50" s="1"/>
  <c r="M57" i="50" s="1"/>
  <c r="L57" i="50" s="1"/>
  <c r="K57" i="50" s="1"/>
  <c r="J57" i="50" s="1"/>
  <c r="I57" i="50" s="1"/>
  <c r="H57" i="50" s="1"/>
  <c r="G57" i="50" s="1"/>
  <c r="U58" i="50"/>
  <c r="T58" i="50" s="1"/>
  <c r="S58" i="50" s="1"/>
  <c r="R58" i="50" s="1"/>
  <c r="Q58" i="50" s="1"/>
  <c r="P58" i="50" s="1"/>
  <c r="O58" i="50" s="1"/>
  <c r="N58" i="50" s="1"/>
  <c r="M58" i="50" s="1"/>
  <c r="L58" i="50" s="1"/>
  <c r="K58" i="50" s="1"/>
  <c r="J58" i="50" s="1"/>
  <c r="I58" i="50" s="1"/>
  <c r="H58" i="50" s="1"/>
  <c r="G58" i="50" s="1"/>
  <c r="U59" i="50"/>
  <c r="T59" i="50" s="1"/>
  <c r="S59" i="50" s="1"/>
  <c r="R59" i="50" s="1"/>
  <c r="U60" i="50"/>
  <c r="T60" i="50" s="1"/>
  <c r="S60" i="50" s="1"/>
  <c r="R60" i="50" s="1"/>
  <c r="Q60" i="50" s="1"/>
  <c r="P60" i="50" s="1"/>
  <c r="O60" i="50" s="1"/>
  <c r="N60" i="50" s="1"/>
  <c r="M60" i="50" s="1"/>
  <c r="L60" i="50" s="1"/>
  <c r="K60" i="50" s="1"/>
  <c r="J60" i="50" s="1"/>
  <c r="I60" i="50" s="1"/>
  <c r="H60" i="50" s="1"/>
  <c r="G60" i="50" s="1"/>
  <c r="U61" i="50"/>
  <c r="T61" i="50" s="1"/>
  <c r="S61" i="50" s="1"/>
  <c r="R61" i="50" s="1"/>
  <c r="Q61" i="50" s="1"/>
  <c r="U62" i="50"/>
  <c r="U63" i="50"/>
  <c r="T63" i="50" s="1"/>
  <c r="S63" i="50" s="1"/>
  <c r="R63" i="50" s="1"/>
  <c r="Q63" i="50" s="1"/>
  <c r="U64" i="50"/>
  <c r="T64" i="50" s="1"/>
  <c r="S64" i="50" s="1"/>
  <c r="R64" i="50" s="1"/>
  <c r="U65" i="50"/>
  <c r="T65" i="50" s="1"/>
  <c r="S65" i="50" s="1"/>
  <c r="R65" i="50" s="1"/>
  <c r="Q65" i="50" s="1"/>
  <c r="P65" i="50" s="1"/>
  <c r="U66" i="50"/>
  <c r="T66" i="50" s="1"/>
  <c r="S66" i="50" s="1"/>
  <c r="R66" i="50" s="1"/>
  <c r="Q66" i="50" s="1"/>
  <c r="P66" i="50" s="1"/>
  <c r="O66" i="50" s="1"/>
  <c r="N66" i="50" s="1"/>
  <c r="M66" i="50" s="1"/>
  <c r="L66" i="50" s="1"/>
  <c r="K66" i="50" s="1"/>
  <c r="J66" i="50" s="1"/>
  <c r="I66" i="50" s="1"/>
  <c r="H66" i="50" s="1"/>
  <c r="G66" i="50" s="1"/>
  <c r="U67" i="50"/>
  <c r="T67" i="50" s="1"/>
  <c r="S67" i="50" s="1"/>
  <c r="R67" i="50" s="1"/>
  <c r="Q67" i="50" s="1"/>
  <c r="P67" i="50" s="1"/>
  <c r="O67" i="50" s="1"/>
  <c r="N67" i="50" s="1"/>
  <c r="M67" i="50" s="1"/>
  <c r="L67" i="50" s="1"/>
  <c r="K67" i="50" s="1"/>
  <c r="J67" i="50" s="1"/>
  <c r="I67" i="50" s="1"/>
  <c r="H67" i="50" s="1"/>
  <c r="G67" i="50" s="1"/>
  <c r="U68" i="50"/>
  <c r="T68" i="50" s="1"/>
  <c r="S68" i="50" s="1"/>
  <c r="R68" i="50" s="1"/>
  <c r="Q68" i="50" s="1"/>
  <c r="P68" i="50" s="1"/>
  <c r="O68" i="50" s="1"/>
  <c r="N68" i="50" s="1"/>
  <c r="M68" i="50" s="1"/>
  <c r="L68" i="50" s="1"/>
  <c r="K68" i="50" s="1"/>
  <c r="J68" i="50" s="1"/>
  <c r="I68" i="50" s="1"/>
  <c r="H68" i="50" s="1"/>
  <c r="G68" i="50" s="1"/>
  <c r="U69" i="50"/>
  <c r="T69" i="50" s="1"/>
  <c r="S69" i="50" s="1"/>
  <c r="R69" i="50" s="1"/>
  <c r="Q69" i="50" s="1"/>
  <c r="P69" i="50" s="1"/>
  <c r="O69" i="50" s="1"/>
  <c r="N69" i="50" s="1"/>
  <c r="M69" i="50" s="1"/>
  <c r="L69" i="50" s="1"/>
  <c r="K69" i="50" s="1"/>
  <c r="J69" i="50" s="1"/>
  <c r="I69" i="50" s="1"/>
  <c r="H69" i="50" s="1"/>
  <c r="G69" i="50" s="1"/>
  <c r="U70" i="50"/>
  <c r="T70" i="50" s="1"/>
  <c r="S70" i="50" s="1"/>
  <c r="R70" i="50" s="1"/>
  <c r="Q70" i="50" s="1"/>
  <c r="P70" i="50" s="1"/>
  <c r="O70" i="50" s="1"/>
  <c r="N70" i="50" s="1"/>
  <c r="M70" i="50" s="1"/>
  <c r="L70" i="50" s="1"/>
  <c r="K70" i="50" s="1"/>
  <c r="J70" i="50" s="1"/>
  <c r="I70" i="50" s="1"/>
  <c r="H70" i="50" s="1"/>
  <c r="G70" i="50" s="1"/>
  <c r="U71" i="50"/>
  <c r="T71" i="50" s="1"/>
  <c r="S71" i="50" s="1"/>
  <c r="R71" i="50" s="1"/>
  <c r="Q71" i="50" s="1"/>
  <c r="U72" i="50"/>
  <c r="U73" i="50"/>
  <c r="U74" i="50"/>
  <c r="U75" i="50"/>
  <c r="T75" i="50" s="1"/>
  <c r="S75" i="50" s="1"/>
  <c r="R75" i="50" s="1"/>
  <c r="Q75" i="50" s="1"/>
  <c r="U76" i="50"/>
  <c r="T76" i="50" s="1"/>
  <c r="S76" i="50" s="1"/>
  <c r="R76" i="50" s="1"/>
  <c r="Q76" i="50" s="1"/>
  <c r="P76" i="50" s="1"/>
  <c r="O76" i="50" s="1"/>
  <c r="N76" i="50" s="1"/>
  <c r="M76" i="50" s="1"/>
  <c r="L76" i="50" s="1"/>
  <c r="K76" i="50" s="1"/>
  <c r="J76" i="50" s="1"/>
  <c r="I76" i="50" s="1"/>
  <c r="H76" i="50" s="1"/>
  <c r="G76" i="50" s="1"/>
  <c r="U77" i="50"/>
  <c r="T77" i="50" s="1"/>
  <c r="S77" i="50" s="1"/>
  <c r="R77" i="50" s="1"/>
  <c r="Q77" i="50" s="1"/>
  <c r="P77" i="50" s="1"/>
  <c r="O77" i="50" s="1"/>
  <c r="N77" i="50" s="1"/>
  <c r="M77" i="50" s="1"/>
  <c r="L77" i="50" s="1"/>
  <c r="K77" i="50" s="1"/>
  <c r="J77" i="50" s="1"/>
  <c r="I77" i="50" s="1"/>
  <c r="H77" i="50" s="1"/>
  <c r="G77" i="50" s="1"/>
  <c r="U78" i="50"/>
  <c r="T78" i="50" s="1"/>
  <c r="S78" i="50" s="1"/>
  <c r="R78" i="50" s="1"/>
  <c r="Q78" i="50" s="1"/>
  <c r="P78" i="50" s="1"/>
  <c r="O78" i="50" s="1"/>
  <c r="N78" i="50" s="1"/>
  <c r="M78" i="50" s="1"/>
  <c r="L78" i="50" s="1"/>
  <c r="K78" i="50" s="1"/>
  <c r="J78" i="50" s="1"/>
  <c r="I78" i="50" s="1"/>
  <c r="H78" i="50" s="1"/>
  <c r="G78" i="50" s="1"/>
  <c r="U79" i="50"/>
  <c r="T79" i="50" s="1"/>
  <c r="S79" i="50" s="1"/>
  <c r="R79" i="50" s="1"/>
  <c r="Q79" i="50" s="1"/>
  <c r="P79" i="50" s="1"/>
  <c r="O79" i="50" s="1"/>
  <c r="N79" i="50" s="1"/>
  <c r="M79" i="50" s="1"/>
  <c r="L79" i="50" s="1"/>
  <c r="K79" i="50" s="1"/>
  <c r="J79" i="50" s="1"/>
  <c r="I79" i="50" s="1"/>
  <c r="H79" i="50" s="1"/>
  <c r="G79" i="50" s="1"/>
  <c r="U80" i="50"/>
  <c r="T80" i="50" s="1"/>
  <c r="S80" i="50" s="1"/>
  <c r="R80" i="50" s="1"/>
  <c r="Q80" i="50" s="1"/>
  <c r="P80" i="50" s="1"/>
  <c r="O80" i="50" s="1"/>
  <c r="N80" i="50" s="1"/>
  <c r="M80" i="50" s="1"/>
  <c r="L80" i="50" s="1"/>
  <c r="K80" i="50" s="1"/>
  <c r="J80" i="50" s="1"/>
  <c r="I80" i="50" s="1"/>
  <c r="H80" i="50" s="1"/>
  <c r="G80" i="50" s="1"/>
  <c r="U81" i="50"/>
  <c r="T81" i="50" s="1"/>
  <c r="S81" i="50" s="1"/>
  <c r="R81" i="50" s="1"/>
  <c r="Q81" i="50" s="1"/>
  <c r="P81" i="50" s="1"/>
  <c r="O81" i="50" s="1"/>
  <c r="N81" i="50" s="1"/>
  <c r="M81" i="50" s="1"/>
  <c r="L81" i="50" s="1"/>
  <c r="K81" i="50" s="1"/>
  <c r="J81" i="50" s="1"/>
  <c r="I81" i="50" s="1"/>
  <c r="H81" i="50" s="1"/>
  <c r="G81" i="50" s="1"/>
  <c r="U82" i="50"/>
  <c r="U83" i="50"/>
  <c r="T83" i="50" s="1"/>
  <c r="S83" i="50" s="1"/>
  <c r="R83" i="50" s="1"/>
  <c r="Q83" i="50" s="1"/>
  <c r="P83" i="50" s="1"/>
  <c r="O83" i="50" s="1"/>
  <c r="N83" i="50" s="1"/>
  <c r="M83" i="50" s="1"/>
  <c r="L83" i="50" s="1"/>
  <c r="K83" i="50" s="1"/>
  <c r="J83" i="50" s="1"/>
  <c r="I83" i="50" s="1"/>
  <c r="H83" i="50" s="1"/>
  <c r="G83" i="50" s="1"/>
  <c r="U84" i="50"/>
  <c r="T84" i="50" s="1"/>
  <c r="S84" i="50" s="1"/>
  <c r="R84" i="50" s="1"/>
  <c r="Q84" i="50" s="1"/>
  <c r="P84" i="50" s="1"/>
  <c r="O84" i="50" s="1"/>
  <c r="N84" i="50" s="1"/>
  <c r="M84" i="50" s="1"/>
  <c r="L84" i="50" s="1"/>
  <c r="K84" i="50" s="1"/>
  <c r="J84" i="50" s="1"/>
  <c r="I84" i="50" s="1"/>
  <c r="H84" i="50" s="1"/>
  <c r="G84" i="50" s="1"/>
  <c r="U85" i="50"/>
  <c r="T85" i="50" s="1"/>
  <c r="S85" i="50" s="1"/>
  <c r="R85" i="50" s="1"/>
  <c r="Q85" i="50" s="1"/>
  <c r="P85" i="50" s="1"/>
  <c r="O85" i="50" s="1"/>
  <c r="N85" i="50" s="1"/>
  <c r="M85" i="50" s="1"/>
  <c r="L85" i="50" s="1"/>
  <c r="K85" i="50" s="1"/>
  <c r="J85" i="50" s="1"/>
  <c r="I85" i="50" s="1"/>
  <c r="H85" i="50" s="1"/>
  <c r="G85" i="50" s="1"/>
  <c r="U86" i="50"/>
  <c r="T86" i="50" s="1"/>
  <c r="S86" i="50" s="1"/>
  <c r="R86" i="50" s="1"/>
  <c r="Q86" i="50" s="1"/>
  <c r="P86" i="50" s="1"/>
  <c r="U87" i="50"/>
  <c r="T87" i="50" s="1"/>
  <c r="U88" i="50"/>
  <c r="T88" i="50" s="1"/>
  <c r="S88" i="50" s="1"/>
  <c r="R88" i="50" s="1"/>
  <c r="Q88" i="50" s="1"/>
  <c r="P88" i="50" s="1"/>
  <c r="O88" i="50" s="1"/>
  <c r="N88" i="50" s="1"/>
  <c r="M88" i="50" s="1"/>
  <c r="L88" i="50" s="1"/>
  <c r="K88" i="50" s="1"/>
  <c r="J88" i="50" s="1"/>
  <c r="I88" i="50" s="1"/>
  <c r="H88" i="50" s="1"/>
  <c r="G88" i="50" s="1"/>
  <c r="U89" i="50"/>
  <c r="T89" i="50" s="1"/>
  <c r="S89" i="50" s="1"/>
  <c r="U90" i="50"/>
  <c r="U91" i="50"/>
  <c r="U92" i="50"/>
  <c r="T92" i="50" s="1"/>
  <c r="S92" i="50" s="1"/>
  <c r="R92" i="50" s="1"/>
  <c r="Q92" i="50" s="1"/>
  <c r="P92" i="50" s="1"/>
  <c r="O92" i="50" s="1"/>
  <c r="U93" i="50"/>
  <c r="U94" i="50"/>
  <c r="T94" i="50" s="1"/>
  <c r="S94" i="50" s="1"/>
  <c r="R94" i="50" s="1"/>
  <c r="Q94" i="50" s="1"/>
  <c r="P94" i="50" s="1"/>
  <c r="O94" i="50" s="1"/>
  <c r="N94" i="50" s="1"/>
  <c r="M94" i="50" s="1"/>
  <c r="L94" i="50" s="1"/>
  <c r="K94" i="50" s="1"/>
  <c r="J94" i="50" s="1"/>
  <c r="I94" i="50" s="1"/>
  <c r="H94" i="50" s="1"/>
  <c r="G94" i="50" s="1"/>
  <c r="U95" i="50"/>
  <c r="T95" i="50" s="1"/>
  <c r="S95" i="50" s="1"/>
  <c r="R95" i="50" s="1"/>
  <c r="Q95" i="50" s="1"/>
  <c r="U96" i="50"/>
  <c r="U97" i="50"/>
  <c r="T97" i="50" s="1"/>
  <c r="S97" i="50" s="1"/>
  <c r="U98" i="50"/>
  <c r="T98" i="50" s="1"/>
  <c r="U99" i="50"/>
  <c r="U100" i="50"/>
  <c r="U101" i="50"/>
  <c r="U102" i="50"/>
  <c r="T102" i="50" s="1"/>
  <c r="S102" i="50" s="1"/>
  <c r="R102" i="50" s="1"/>
  <c r="Q102" i="50" s="1"/>
  <c r="P102" i="50" s="1"/>
  <c r="O102" i="50" s="1"/>
  <c r="N102" i="50" s="1"/>
  <c r="M102" i="50" s="1"/>
  <c r="L102" i="50" s="1"/>
  <c r="K102" i="50" s="1"/>
  <c r="J102" i="50" s="1"/>
  <c r="I102" i="50" s="1"/>
  <c r="H102" i="50" s="1"/>
  <c r="G102" i="50" s="1"/>
  <c r="U103" i="50"/>
  <c r="T103" i="50" s="1"/>
  <c r="S103" i="50" s="1"/>
  <c r="R103" i="50" s="1"/>
  <c r="Q103" i="50" s="1"/>
  <c r="P103" i="50" s="1"/>
  <c r="O103" i="50" s="1"/>
  <c r="U104" i="50"/>
  <c r="U105" i="50"/>
  <c r="T105" i="50" s="1"/>
  <c r="S105" i="50" s="1"/>
  <c r="R105" i="50" s="1"/>
  <c r="Q105" i="50" s="1"/>
  <c r="P105" i="50" s="1"/>
  <c r="O105" i="50" s="1"/>
  <c r="N105" i="50" s="1"/>
  <c r="M105" i="50" s="1"/>
  <c r="L105" i="50" s="1"/>
  <c r="K105" i="50" s="1"/>
  <c r="J105" i="50" s="1"/>
  <c r="I105" i="50" s="1"/>
  <c r="H105" i="50" s="1"/>
  <c r="G105" i="50" s="1"/>
  <c r="U106" i="50"/>
  <c r="T106" i="50" s="1"/>
  <c r="S106" i="50" s="1"/>
  <c r="R106" i="50" s="1"/>
  <c r="Q106" i="50" s="1"/>
  <c r="U107" i="50"/>
  <c r="U108" i="50"/>
  <c r="U109" i="50"/>
  <c r="U110" i="50"/>
  <c r="T110" i="50" s="1"/>
  <c r="U111" i="50"/>
  <c r="T111" i="50" s="1"/>
  <c r="S111" i="50" s="1"/>
  <c r="R111" i="50" s="1"/>
  <c r="U112" i="50"/>
  <c r="T112" i="50" s="1"/>
  <c r="S112" i="50" s="1"/>
  <c r="R112" i="50" s="1"/>
  <c r="Q112" i="50" s="1"/>
  <c r="P112" i="50" s="1"/>
  <c r="O112" i="50" s="1"/>
  <c r="N112" i="50" s="1"/>
  <c r="M112" i="50" s="1"/>
  <c r="L112" i="50" s="1"/>
  <c r="K112" i="50" s="1"/>
  <c r="J112" i="50" s="1"/>
  <c r="I112" i="50" s="1"/>
  <c r="H112" i="50" s="1"/>
  <c r="G112" i="50" s="1"/>
  <c r="U113" i="50"/>
  <c r="T113" i="50" s="1"/>
  <c r="S113" i="50" s="1"/>
  <c r="R113" i="50" s="1"/>
  <c r="Q113" i="50" s="1"/>
  <c r="P113" i="50" s="1"/>
  <c r="O113" i="50" s="1"/>
  <c r="N113" i="50" s="1"/>
  <c r="M113" i="50" s="1"/>
  <c r="L113" i="50" s="1"/>
  <c r="K113" i="50" s="1"/>
  <c r="J113" i="50" s="1"/>
  <c r="I113" i="50" s="1"/>
  <c r="H113" i="50" s="1"/>
  <c r="G113" i="50" s="1"/>
  <c r="U115" i="50"/>
  <c r="T115" i="50" s="1"/>
  <c r="S115" i="50" s="1"/>
  <c r="R115" i="50" s="1"/>
  <c r="Q115" i="50" s="1"/>
  <c r="P115" i="50" s="1"/>
  <c r="O115" i="50" s="1"/>
  <c r="N115" i="50" s="1"/>
  <c r="M115" i="50" s="1"/>
  <c r="L115" i="50" s="1"/>
  <c r="K115" i="50" s="1"/>
  <c r="J115" i="50" s="1"/>
  <c r="I115" i="50" s="1"/>
  <c r="H115" i="50" s="1"/>
  <c r="G115" i="50" s="1"/>
  <c r="U116" i="50"/>
  <c r="T116" i="50" s="1"/>
  <c r="S116" i="50" s="1"/>
  <c r="U117" i="50"/>
  <c r="T117" i="50" s="1"/>
  <c r="S117" i="50" s="1"/>
  <c r="R117" i="50" s="1"/>
  <c r="Q117" i="50" s="1"/>
  <c r="P117" i="50" s="1"/>
  <c r="O117" i="50" s="1"/>
  <c r="N117" i="50" s="1"/>
  <c r="M117" i="50" s="1"/>
  <c r="L117" i="50" s="1"/>
  <c r="K117" i="50" s="1"/>
  <c r="J117" i="50" s="1"/>
  <c r="I117" i="50" s="1"/>
  <c r="H117" i="50" s="1"/>
  <c r="G117" i="50" s="1"/>
  <c r="U118" i="50"/>
  <c r="U119" i="50"/>
  <c r="U120" i="50"/>
  <c r="T120" i="50" s="1"/>
  <c r="S120" i="50" s="1"/>
  <c r="R120" i="50" s="1"/>
  <c r="Q120" i="50" s="1"/>
  <c r="P120" i="50" s="1"/>
  <c r="O120" i="50" s="1"/>
  <c r="N120" i="50" s="1"/>
  <c r="M120" i="50" s="1"/>
  <c r="L120" i="50" s="1"/>
  <c r="K120" i="50" s="1"/>
  <c r="J120" i="50" s="1"/>
  <c r="I120" i="50" s="1"/>
  <c r="H120" i="50" s="1"/>
  <c r="G120" i="50" s="1"/>
  <c r="U121" i="50"/>
  <c r="T121" i="50" s="1"/>
  <c r="S121" i="50" s="1"/>
  <c r="R121" i="50" s="1"/>
  <c r="Q121" i="50" s="1"/>
  <c r="P121" i="50" s="1"/>
  <c r="O121" i="50" s="1"/>
  <c r="N121" i="50" s="1"/>
  <c r="M121" i="50" s="1"/>
  <c r="L121" i="50" s="1"/>
  <c r="K121" i="50" s="1"/>
  <c r="J121" i="50" s="1"/>
  <c r="U122" i="50"/>
  <c r="U123" i="50"/>
  <c r="T123" i="50" s="1"/>
  <c r="S123" i="50" s="1"/>
  <c r="R123" i="50" s="1"/>
  <c r="Q123" i="50" s="1"/>
  <c r="P123" i="50" s="1"/>
  <c r="O123" i="50" s="1"/>
  <c r="N123" i="50" s="1"/>
  <c r="M123" i="50" s="1"/>
  <c r="L123" i="50" s="1"/>
  <c r="K123" i="50" s="1"/>
  <c r="J123" i="50" s="1"/>
  <c r="I123" i="50" s="1"/>
  <c r="H123" i="50" s="1"/>
  <c r="G123" i="50" s="1"/>
  <c r="U124" i="50"/>
  <c r="T124" i="50" s="1"/>
  <c r="S124" i="50" s="1"/>
  <c r="R124" i="50" s="1"/>
  <c r="Q124" i="50" s="1"/>
  <c r="P124" i="50" s="1"/>
  <c r="O124" i="50" s="1"/>
  <c r="N124" i="50" s="1"/>
  <c r="M124" i="50" s="1"/>
  <c r="L124" i="50" s="1"/>
  <c r="K124" i="50" s="1"/>
  <c r="J124" i="50" s="1"/>
  <c r="I124" i="50" s="1"/>
  <c r="H124" i="50" s="1"/>
  <c r="G124" i="50" s="1"/>
  <c r="U125" i="50"/>
  <c r="T125" i="50" s="1"/>
  <c r="S125" i="50" s="1"/>
  <c r="R125" i="50" s="1"/>
  <c r="Q125" i="50" s="1"/>
  <c r="P125" i="50" s="1"/>
  <c r="O125" i="50" s="1"/>
  <c r="N125" i="50" s="1"/>
  <c r="M125" i="50" s="1"/>
  <c r="L125" i="50" s="1"/>
  <c r="K125" i="50" s="1"/>
  <c r="J125" i="50" s="1"/>
  <c r="I125" i="50" s="1"/>
  <c r="U126" i="50"/>
  <c r="T126" i="50" s="1"/>
  <c r="U127" i="50"/>
  <c r="T127" i="50" s="1"/>
  <c r="S127" i="50" s="1"/>
  <c r="U128" i="50"/>
  <c r="U129" i="50"/>
  <c r="U130" i="50"/>
  <c r="T130" i="50" s="1"/>
  <c r="S130" i="50" s="1"/>
  <c r="R130" i="50" s="1"/>
  <c r="U131" i="50"/>
  <c r="T131" i="50" s="1"/>
  <c r="S131" i="50" s="1"/>
  <c r="R131" i="50" s="1"/>
  <c r="Q131" i="50" s="1"/>
  <c r="P131" i="50" s="1"/>
  <c r="O131" i="50" s="1"/>
  <c r="N131" i="50" s="1"/>
  <c r="M131" i="50" s="1"/>
  <c r="L131" i="50" s="1"/>
  <c r="K131" i="50" s="1"/>
  <c r="J131" i="50" s="1"/>
  <c r="I131" i="50" s="1"/>
  <c r="H131" i="50" s="1"/>
  <c r="G131" i="50" s="1"/>
  <c r="U132" i="50"/>
  <c r="T132" i="50" s="1"/>
  <c r="S132" i="50" s="1"/>
  <c r="R132" i="50" s="1"/>
  <c r="Q132" i="50" s="1"/>
  <c r="P132" i="50" s="1"/>
  <c r="O132" i="50" s="1"/>
  <c r="N132" i="50" s="1"/>
  <c r="M132" i="50" s="1"/>
  <c r="L132" i="50" s="1"/>
  <c r="K132" i="50" s="1"/>
  <c r="J132" i="50" s="1"/>
  <c r="I132" i="50" s="1"/>
  <c r="H132" i="50" s="1"/>
  <c r="G132" i="50" s="1"/>
  <c r="U133" i="50"/>
  <c r="U134" i="50"/>
  <c r="U135" i="50"/>
  <c r="T135" i="50" s="1"/>
  <c r="U136" i="50"/>
  <c r="T136" i="50" s="1"/>
  <c r="S136" i="50" s="1"/>
  <c r="R136" i="50" s="1"/>
  <c r="Q136" i="50" s="1"/>
  <c r="P136" i="50" s="1"/>
  <c r="O136" i="50" s="1"/>
  <c r="U137" i="50"/>
  <c r="T137" i="50" s="1"/>
  <c r="U138" i="50"/>
  <c r="T138" i="50" s="1"/>
  <c r="S138" i="50" s="1"/>
  <c r="R138" i="50" s="1"/>
  <c r="Q138" i="50" s="1"/>
  <c r="P138" i="50" s="1"/>
  <c r="U139" i="50"/>
  <c r="U140" i="50"/>
  <c r="U141" i="50"/>
  <c r="T141" i="50" s="1"/>
  <c r="S141" i="50" s="1"/>
  <c r="R141" i="50" s="1"/>
  <c r="U142" i="50"/>
  <c r="U143" i="50"/>
  <c r="T143" i="50" s="1"/>
  <c r="S143" i="50" s="1"/>
  <c r="R143" i="50" s="1"/>
  <c r="Q143" i="50" s="1"/>
  <c r="P143" i="50" s="1"/>
  <c r="U144" i="50"/>
  <c r="T144" i="50" s="1"/>
  <c r="S144" i="50" s="1"/>
  <c r="R144" i="50" s="1"/>
  <c r="Q144" i="50" s="1"/>
  <c r="U145" i="50"/>
  <c r="T145" i="50" s="1"/>
  <c r="S145" i="50" s="1"/>
  <c r="R145" i="50" s="1"/>
  <c r="Q145" i="50" s="1"/>
  <c r="P145" i="50" s="1"/>
  <c r="O145" i="50" s="1"/>
  <c r="N145" i="50" s="1"/>
  <c r="M145" i="50" s="1"/>
  <c r="L145" i="50" s="1"/>
  <c r="K145" i="50" s="1"/>
  <c r="J145" i="50" s="1"/>
  <c r="I145" i="50" s="1"/>
  <c r="H145" i="50" s="1"/>
  <c r="G145" i="50" s="1"/>
  <c r="U146" i="50"/>
  <c r="T146" i="50" s="1"/>
  <c r="S146" i="50" s="1"/>
  <c r="R146" i="50" s="1"/>
  <c r="Q146" i="50" s="1"/>
  <c r="P146" i="50" s="1"/>
  <c r="O146" i="50" s="1"/>
  <c r="N146" i="50" s="1"/>
  <c r="M146" i="50" s="1"/>
  <c r="L146" i="50" s="1"/>
  <c r="K146" i="50" s="1"/>
  <c r="J146" i="50" s="1"/>
  <c r="I146" i="50" s="1"/>
  <c r="H146" i="50" s="1"/>
  <c r="G146" i="50" s="1"/>
  <c r="U147" i="50"/>
  <c r="T147" i="50" s="1"/>
  <c r="S147" i="50" s="1"/>
  <c r="R147" i="50" s="1"/>
  <c r="Q147" i="50" s="1"/>
  <c r="P147" i="50" s="1"/>
  <c r="O147" i="50" s="1"/>
  <c r="N147" i="50" s="1"/>
  <c r="M147" i="50" s="1"/>
  <c r="L147" i="50" s="1"/>
  <c r="K147" i="50" s="1"/>
  <c r="J147" i="50" s="1"/>
  <c r="I147" i="50" s="1"/>
  <c r="H147" i="50" s="1"/>
  <c r="G147" i="50" s="1"/>
  <c r="U148" i="50"/>
  <c r="U149" i="50"/>
  <c r="T149" i="50" s="1"/>
  <c r="S149" i="50" s="1"/>
  <c r="R149" i="50" s="1"/>
  <c r="Q149" i="50" s="1"/>
  <c r="P149" i="50" s="1"/>
  <c r="O149" i="50" s="1"/>
  <c r="N149" i="50" s="1"/>
  <c r="M149" i="50" s="1"/>
  <c r="U150" i="50"/>
  <c r="U151" i="50"/>
  <c r="T151" i="50" s="1"/>
  <c r="S151" i="50" s="1"/>
  <c r="R151" i="50" s="1"/>
  <c r="Q151" i="50" s="1"/>
  <c r="P151" i="50" s="1"/>
  <c r="O151" i="50" s="1"/>
  <c r="U152" i="50"/>
  <c r="T152" i="50" s="1"/>
  <c r="S152" i="50" s="1"/>
  <c r="R152" i="50" s="1"/>
  <c r="Q152" i="50" s="1"/>
  <c r="P152" i="50" s="1"/>
  <c r="O152" i="50" s="1"/>
  <c r="N152" i="50" s="1"/>
  <c r="M152" i="50" s="1"/>
  <c r="L152" i="50" s="1"/>
  <c r="K152" i="50" s="1"/>
  <c r="J152" i="50" s="1"/>
  <c r="I152" i="50" s="1"/>
  <c r="H152" i="50" s="1"/>
  <c r="G152" i="50" s="1"/>
  <c r="U153" i="50"/>
  <c r="T153" i="50" s="1"/>
  <c r="S153" i="50" s="1"/>
  <c r="U154" i="50"/>
  <c r="T154" i="50" s="1"/>
  <c r="S154" i="50" s="1"/>
  <c r="R154" i="50" s="1"/>
  <c r="Q154" i="50" s="1"/>
  <c r="P154" i="50" s="1"/>
  <c r="O154" i="50" s="1"/>
  <c r="N154" i="50" s="1"/>
  <c r="M154" i="50" s="1"/>
  <c r="L154" i="50" s="1"/>
  <c r="K154" i="50" s="1"/>
  <c r="J154" i="50" s="1"/>
  <c r="I154" i="50" s="1"/>
  <c r="H154" i="50" s="1"/>
  <c r="G154" i="50" s="1"/>
  <c r="U155" i="50"/>
  <c r="T155" i="50" s="1"/>
  <c r="S155" i="50" s="1"/>
  <c r="R155" i="50" s="1"/>
  <c r="Q155" i="50" s="1"/>
  <c r="P155" i="50" s="1"/>
  <c r="O155" i="50" s="1"/>
  <c r="U156" i="50"/>
  <c r="T156" i="50" s="1"/>
  <c r="S156" i="50" s="1"/>
  <c r="R156" i="50" s="1"/>
  <c r="Q156" i="50" s="1"/>
  <c r="P156" i="50" s="1"/>
  <c r="O156" i="50" s="1"/>
  <c r="U157" i="50"/>
  <c r="T157" i="50" s="1"/>
  <c r="S157" i="50" s="1"/>
  <c r="R157" i="50" s="1"/>
  <c r="Q157" i="50" s="1"/>
  <c r="P157" i="50" s="1"/>
  <c r="O157" i="50" s="1"/>
  <c r="N157" i="50" s="1"/>
  <c r="M157" i="50" s="1"/>
  <c r="L157" i="50" s="1"/>
  <c r="K157" i="50" s="1"/>
  <c r="J157" i="50" s="1"/>
  <c r="I157" i="50" s="1"/>
  <c r="H157" i="50" s="1"/>
  <c r="G157" i="50" s="1"/>
  <c r="U158" i="50"/>
  <c r="T158" i="50" s="1"/>
  <c r="S158" i="50" s="1"/>
  <c r="R158" i="50" s="1"/>
  <c r="Q158" i="50" s="1"/>
  <c r="P158" i="50" s="1"/>
  <c r="O158" i="50" s="1"/>
  <c r="N158" i="50" s="1"/>
  <c r="M158" i="50" s="1"/>
  <c r="L158" i="50" s="1"/>
  <c r="K158" i="50" s="1"/>
  <c r="J158" i="50" s="1"/>
  <c r="I158" i="50" s="1"/>
  <c r="H158" i="50" s="1"/>
  <c r="G158" i="50" s="1"/>
  <c r="U159" i="50"/>
  <c r="T159" i="50" s="1"/>
  <c r="S159" i="50" s="1"/>
  <c r="U160" i="50"/>
  <c r="T160" i="50" s="1"/>
  <c r="S160" i="50" s="1"/>
  <c r="R160" i="50" s="1"/>
  <c r="Q160" i="50" s="1"/>
  <c r="P160" i="50" s="1"/>
  <c r="O160" i="50" s="1"/>
  <c r="N160" i="50" s="1"/>
  <c r="U161" i="50"/>
  <c r="T161" i="50" s="1"/>
  <c r="S161" i="50" s="1"/>
  <c r="R161" i="50" s="1"/>
  <c r="Q161" i="50" s="1"/>
  <c r="P161" i="50" s="1"/>
  <c r="U162" i="50"/>
  <c r="U163" i="50"/>
  <c r="U164" i="50"/>
  <c r="T164" i="50" s="1"/>
  <c r="S164" i="50" s="1"/>
  <c r="R164" i="50" s="1"/>
  <c r="Q164" i="50" s="1"/>
  <c r="P164" i="50" s="1"/>
  <c r="O164" i="50" s="1"/>
  <c r="N164" i="50" s="1"/>
  <c r="M164" i="50" s="1"/>
  <c r="L164" i="50" s="1"/>
  <c r="K164" i="50" s="1"/>
  <c r="J164" i="50" s="1"/>
  <c r="I164" i="50" s="1"/>
  <c r="H164" i="50" s="1"/>
  <c r="G164" i="50" s="1"/>
  <c r="U165" i="50"/>
  <c r="T165" i="50" s="1"/>
  <c r="S165" i="50" s="1"/>
  <c r="R165" i="50" s="1"/>
  <c r="U166" i="50"/>
  <c r="T166" i="50" s="1"/>
  <c r="S166" i="50" s="1"/>
  <c r="R166" i="50" s="1"/>
  <c r="Q166" i="50" s="1"/>
  <c r="P166" i="50" s="1"/>
  <c r="O166" i="50" s="1"/>
  <c r="N166" i="50" s="1"/>
  <c r="M166" i="50" s="1"/>
  <c r="L166" i="50" s="1"/>
  <c r="K166" i="50" s="1"/>
  <c r="J166" i="50" s="1"/>
  <c r="I166" i="50" s="1"/>
  <c r="H166" i="50" s="1"/>
  <c r="G166" i="50" s="1"/>
  <c r="U167" i="50"/>
  <c r="T167" i="50" s="1"/>
  <c r="S167" i="50" s="1"/>
  <c r="R167" i="50" s="1"/>
  <c r="Q167" i="50" s="1"/>
  <c r="P167" i="50" s="1"/>
  <c r="O167" i="50" s="1"/>
  <c r="N167" i="50" s="1"/>
  <c r="M167" i="50" s="1"/>
  <c r="L167" i="50" s="1"/>
  <c r="K167" i="50" s="1"/>
  <c r="J167" i="50" s="1"/>
  <c r="I167" i="50" s="1"/>
  <c r="U168" i="50"/>
  <c r="T168" i="50" s="1"/>
  <c r="U169" i="50"/>
  <c r="T169" i="50" s="1"/>
  <c r="S169" i="50" s="1"/>
  <c r="R169" i="50" s="1"/>
  <c r="U170" i="50"/>
  <c r="T170" i="50" s="1"/>
  <c r="S170" i="50" s="1"/>
  <c r="R170" i="50" s="1"/>
  <c r="U171" i="50"/>
  <c r="U172" i="50"/>
  <c r="T172" i="50" s="1"/>
  <c r="S172" i="50" s="1"/>
  <c r="U173" i="50"/>
  <c r="T173" i="50" s="1"/>
  <c r="U174" i="50"/>
  <c r="T174" i="50" s="1"/>
  <c r="S174" i="50" s="1"/>
  <c r="U175" i="50"/>
  <c r="T175" i="50" s="1"/>
  <c r="S175" i="50" s="1"/>
  <c r="R175" i="50" s="1"/>
  <c r="Q175" i="50" s="1"/>
  <c r="P175" i="50" s="1"/>
  <c r="O175" i="50" s="1"/>
  <c r="N175" i="50" s="1"/>
  <c r="M175" i="50" s="1"/>
  <c r="L175" i="50" s="1"/>
  <c r="K175" i="50" s="1"/>
  <c r="J175" i="50" s="1"/>
  <c r="I175" i="50" s="1"/>
  <c r="H175" i="50" s="1"/>
  <c r="G175" i="50" s="1"/>
  <c r="U176" i="50"/>
  <c r="U177" i="50"/>
  <c r="T177" i="50" s="1"/>
  <c r="S177" i="50" s="1"/>
  <c r="R177" i="50" s="1"/>
  <c r="Q177" i="50" s="1"/>
  <c r="U178" i="50"/>
  <c r="U179" i="50"/>
  <c r="T179" i="50" s="1"/>
  <c r="S179" i="50" s="1"/>
  <c r="R179" i="50" s="1"/>
  <c r="Q179" i="50" s="1"/>
  <c r="P179" i="50" s="1"/>
  <c r="O179" i="50" s="1"/>
  <c r="N179" i="50" s="1"/>
  <c r="M179" i="50" s="1"/>
  <c r="L179" i="50" s="1"/>
  <c r="K179" i="50" s="1"/>
  <c r="J179" i="50" s="1"/>
  <c r="I179" i="50" s="1"/>
  <c r="H179" i="50" s="1"/>
  <c r="G179" i="50" s="1"/>
  <c r="U180" i="50"/>
  <c r="T180" i="50" s="1"/>
  <c r="S180" i="50" s="1"/>
  <c r="R180" i="50" s="1"/>
  <c r="Q180" i="50" s="1"/>
  <c r="P180" i="50" s="1"/>
  <c r="O180" i="50" s="1"/>
  <c r="N180" i="50" s="1"/>
  <c r="M180" i="50" s="1"/>
  <c r="L180" i="50" s="1"/>
  <c r="K180" i="50" s="1"/>
  <c r="J180" i="50" s="1"/>
  <c r="I180" i="50" s="1"/>
  <c r="H180" i="50" s="1"/>
  <c r="G180" i="50" s="1"/>
  <c r="U181" i="50"/>
  <c r="T181" i="50" s="1"/>
  <c r="S181" i="50" s="1"/>
  <c r="R181" i="50" s="1"/>
  <c r="Q181" i="50" s="1"/>
  <c r="P181" i="50" s="1"/>
  <c r="O181" i="50" s="1"/>
  <c r="N181" i="50" s="1"/>
  <c r="M181" i="50" s="1"/>
  <c r="L181" i="50" s="1"/>
  <c r="K181" i="50" s="1"/>
  <c r="J181" i="50" s="1"/>
  <c r="I181" i="50" s="1"/>
  <c r="H181" i="50" s="1"/>
  <c r="G181" i="50" s="1"/>
  <c r="U182" i="50"/>
  <c r="T182" i="50" s="1"/>
  <c r="U183" i="50"/>
  <c r="T183" i="50" s="1"/>
  <c r="S183" i="50" s="1"/>
  <c r="R183" i="50" s="1"/>
  <c r="Q183" i="50" s="1"/>
  <c r="P183" i="50" s="1"/>
  <c r="O183" i="50" s="1"/>
  <c r="N183" i="50" s="1"/>
  <c r="M183" i="50" s="1"/>
  <c r="L183" i="50" s="1"/>
  <c r="K183" i="50" s="1"/>
  <c r="J183" i="50" s="1"/>
  <c r="I183" i="50" s="1"/>
  <c r="H183" i="50" s="1"/>
  <c r="G183" i="50" s="1"/>
  <c r="U184" i="50"/>
  <c r="T184" i="50" s="1"/>
  <c r="S184" i="50" s="1"/>
  <c r="R184" i="50" s="1"/>
  <c r="Q184" i="50" s="1"/>
  <c r="P184" i="50" s="1"/>
  <c r="O184" i="50" s="1"/>
  <c r="N184" i="50" s="1"/>
  <c r="M184" i="50" s="1"/>
  <c r="L184" i="50" s="1"/>
  <c r="K184" i="50" s="1"/>
  <c r="J184" i="50" s="1"/>
  <c r="I184" i="50" s="1"/>
  <c r="H184" i="50" s="1"/>
  <c r="G184" i="50" s="1"/>
  <c r="U185" i="50"/>
  <c r="T185" i="50" s="1"/>
  <c r="S185" i="50" s="1"/>
  <c r="R185" i="50" s="1"/>
  <c r="Q185" i="50" s="1"/>
  <c r="P185" i="50" s="1"/>
  <c r="O185" i="50" s="1"/>
  <c r="N185" i="50" s="1"/>
  <c r="M185" i="50" s="1"/>
  <c r="L185" i="50" s="1"/>
  <c r="K185" i="50" s="1"/>
  <c r="J185" i="50" s="1"/>
  <c r="I185" i="50" s="1"/>
  <c r="H185" i="50" s="1"/>
  <c r="G185" i="50" s="1"/>
  <c r="U186" i="50"/>
  <c r="T186" i="50" s="1"/>
  <c r="S186" i="50" s="1"/>
  <c r="R186" i="50" s="1"/>
  <c r="Q186" i="50" s="1"/>
  <c r="P186" i="50" s="1"/>
  <c r="O186" i="50" s="1"/>
  <c r="N186" i="50" s="1"/>
  <c r="M186" i="50" s="1"/>
  <c r="L186" i="50" s="1"/>
  <c r="K186" i="50" s="1"/>
  <c r="J186" i="50" s="1"/>
  <c r="I186" i="50" s="1"/>
  <c r="H186" i="50" s="1"/>
  <c r="G186" i="50" s="1"/>
  <c r="U187" i="50"/>
  <c r="T187" i="50" s="1"/>
  <c r="U188" i="50"/>
  <c r="T188" i="50" s="1"/>
  <c r="U189" i="50"/>
  <c r="T189" i="50" s="1"/>
  <c r="S189" i="50" s="1"/>
  <c r="R189" i="50" s="1"/>
  <c r="Q189" i="50" s="1"/>
  <c r="P189" i="50" s="1"/>
  <c r="O189" i="50" s="1"/>
  <c r="N189" i="50" s="1"/>
  <c r="M189" i="50" s="1"/>
  <c r="L189" i="50" s="1"/>
  <c r="K189" i="50" s="1"/>
  <c r="J189" i="50" s="1"/>
  <c r="I189" i="50" s="1"/>
  <c r="H189" i="50" s="1"/>
  <c r="G189" i="50" s="1"/>
  <c r="U190" i="50"/>
  <c r="T190" i="50" s="1"/>
  <c r="S190" i="50" s="1"/>
  <c r="U191" i="50"/>
  <c r="T191" i="50" s="1"/>
  <c r="S191" i="50" s="1"/>
  <c r="U192" i="50"/>
  <c r="T192" i="50" s="1"/>
  <c r="S192" i="50" s="1"/>
  <c r="R192" i="50" s="1"/>
  <c r="Q192" i="50" s="1"/>
  <c r="P192" i="50" s="1"/>
  <c r="O192" i="50" s="1"/>
  <c r="U193" i="50"/>
  <c r="T193" i="50" s="1"/>
  <c r="S193" i="50" s="1"/>
  <c r="R193" i="50" s="1"/>
  <c r="Q193" i="50" s="1"/>
  <c r="P193" i="50" s="1"/>
  <c r="O193" i="50" s="1"/>
  <c r="N193" i="50" s="1"/>
  <c r="M193" i="50" s="1"/>
  <c r="L193" i="50" s="1"/>
  <c r="K193" i="50" s="1"/>
  <c r="J193" i="50" s="1"/>
  <c r="I193" i="50" s="1"/>
  <c r="H193" i="50" s="1"/>
  <c r="G193" i="50" s="1"/>
  <c r="U194" i="50"/>
  <c r="T194" i="50" s="1"/>
  <c r="S194" i="50" s="1"/>
  <c r="R194" i="50" s="1"/>
  <c r="Q194" i="50" s="1"/>
  <c r="P194" i="50" s="1"/>
  <c r="O194" i="50" s="1"/>
  <c r="N194" i="50" s="1"/>
  <c r="M194" i="50" s="1"/>
  <c r="L194" i="50" s="1"/>
  <c r="K194" i="50" s="1"/>
  <c r="J194" i="50" s="1"/>
  <c r="I194" i="50" s="1"/>
  <c r="H194" i="50" s="1"/>
  <c r="G194" i="50" s="1"/>
  <c r="U195" i="50"/>
  <c r="T195" i="50" s="1"/>
  <c r="S195" i="50" s="1"/>
  <c r="R195" i="50" s="1"/>
  <c r="Q195" i="50" s="1"/>
  <c r="P195" i="50" s="1"/>
  <c r="O195" i="50" s="1"/>
  <c r="N195" i="50" s="1"/>
  <c r="M195" i="50" s="1"/>
  <c r="U196" i="50"/>
  <c r="T196" i="50" s="1"/>
  <c r="S196" i="50" s="1"/>
  <c r="R196" i="50" s="1"/>
  <c r="Q196" i="50" s="1"/>
  <c r="U197" i="50"/>
  <c r="T197" i="50" s="1"/>
  <c r="S197" i="50" s="1"/>
  <c r="R197" i="50" s="1"/>
  <c r="Q197" i="50" s="1"/>
  <c r="U198" i="50"/>
  <c r="T198" i="50" s="1"/>
  <c r="S198" i="50" s="1"/>
  <c r="R198" i="50" s="1"/>
  <c r="Q198" i="50" s="1"/>
  <c r="P198" i="50" s="1"/>
  <c r="U199" i="50"/>
  <c r="U200" i="50"/>
  <c r="T200" i="50" s="1"/>
  <c r="S200" i="50" s="1"/>
  <c r="R200" i="50" s="1"/>
  <c r="U201" i="50"/>
  <c r="T201" i="50" s="1"/>
  <c r="S201" i="50" s="1"/>
  <c r="R201" i="50" s="1"/>
  <c r="Q201" i="50" s="1"/>
  <c r="P201" i="50" s="1"/>
  <c r="O201" i="50" s="1"/>
  <c r="N201" i="50" s="1"/>
  <c r="U202" i="50"/>
  <c r="T202" i="50" s="1"/>
  <c r="S202" i="50" s="1"/>
  <c r="R202" i="50" s="1"/>
  <c r="Q202" i="50" s="1"/>
  <c r="P202" i="50" s="1"/>
  <c r="O202" i="50" s="1"/>
  <c r="N202" i="50" s="1"/>
  <c r="M202" i="50" s="1"/>
  <c r="L202" i="50" s="1"/>
  <c r="K202" i="50" s="1"/>
  <c r="J202" i="50" s="1"/>
  <c r="I202" i="50" s="1"/>
  <c r="H202" i="50" s="1"/>
  <c r="G202" i="50" s="1"/>
  <c r="U203" i="50"/>
  <c r="T203" i="50" s="1"/>
  <c r="S203" i="50" s="1"/>
  <c r="R203" i="50" s="1"/>
  <c r="Q203" i="50" s="1"/>
  <c r="P203" i="50" s="1"/>
  <c r="O203" i="50" s="1"/>
  <c r="N203" i="50" s="1"/>
  <c r="M203" i="50" s="1"/>
  <c r="L203" i="50" s="1"/>
  <c r="K203" i="50" s="1"/>
  <c r="J203" i="50" s="1"/>
  <c r="I203" i="50" s="1"/>
  <c r="H203" i="50" s="1"/>
  <c r="G203" i="50" s="1"/>
  <c r="U204" i="50"/>
  <c r="T204" i="50" s="1"/>
  <c r="S204" i="50" s="1"/>
  <c r="R204" i="50" s="1"/>
  <c r="Q204" i="50" s="1"/>
  <c r="P204" i="50" s="1"/>
  <c r="O204" i="50" s="1"/>
  <c r="U205" i="50"/>
  <c r="T205" i="50" s="1"/>
  <c r="S205" i="50" s="1"/>
  <c r="R205" i="50" s="1"/>
  <c r="Q205" i="50" s="1"/>
  <c r="P205" i="50" s="1"/>
  <c r="O205" i="50" s="1"/>
  <c r="N205" i="50" s="1"/>
  <c r="M205" i="50" s="1"/>
  <c r="L205" i="50" s="1"/>
  <c r="K205" i="50" s="1"/>
  <c r="J205" i="50" s="1"/>
  <c r="I205" i="50" s="1"/>
  <c r="H205" i="50" s="1"/>
  <c r="G205" i="50" s="1"/>
  <c r="U206" i="50"/>
  <c r="T206" i="50" s="1"/>
  <c r="U207" i="50"/>
  <c r="T207" i="50" s="1"/>
  <c r="S207" i="50" s="1"/>
  <c r="R207" i="50" s="1"/>
  <c r="U208" i="50"/>
  <c r="T208" i="50" s="1"/>
  <c r="U209" i="50"/>
  <c r="T209" i="50" s="1"/>
  <c r="S209" i="50" s="1"/>
  <c r="R209" i="50" s="1"/>
  <c r="Q209" i="50" s="1"/>
  <c r="P209" i="50" s="1"/>
  <c r="U210" i="50"/>
  <c r="T210" i="50" s="1"/>
  <c r="S210" i="50" s="1"/>
  <c r="R210" i="50" s="1"/>
  <c r="Q210" i="50" s="1"/>
  <c r="P210" i="50" s="1"/>
  <c r="O210" i="50" s="1"/>
  <c r="N210" i="50" s="1"/>
  <c r="U211" i="50"/>
  <c r="T211" i="50" s="1"/>
  <c r="S211" i="50" s="1"/>
  <c r="R211" i="50" s="1"/>
  <c r="Q211" i="50" s="1"/>
  <c r="P211" i="50" s="1"/>
  <c r="O211" i="50" s="1"/>
  <c r="N211" i="50" s="1"/>
  <c r="M211" i="50" s="1"/>
  <c r="L211" i="50" s="1"/>
  <c r="K211" i="50" s="1"/>
  <c r="J211" i="50" s="1"/>
  <c r="I211" i="50" s="1"/>
  <c r="H211" i="50" s="1"/>
  <c r="G211" i="50" s="1"/>
  <c r="U213" i="50"/>
  <c r="U214" i="50"/>
  <c r="T214" i="50" s="1"/>
  <c r="U215" i="50"/>
  <c r="T215" i="50" s="1"/>
  <c r="S215" i="50" s="1"/>
  <c r="R215" i="50" s="1"/>
  <c r="Q215" i="50" s="1"/>
  <c r="P215" i="50" s="1"/>
  <c r="O215" i="50" s="1"/>
  <c r="N215" i="50" s="1"/>
  <c r="M215" i="50" s="1"/>
  <c r="L215" i="50" s="1"/>
  <c r="K215" i="50" s="1"/>
  <c r="J215" i="50" s="1"/>
  <c r="I215" i="50" s="1"/>
  <c r="H215" i="50" s="1"/>
  <c r="G215" i="50" s="1"/>
  <c r="U216" i="50"/>
  <c r="T216" i="50" s="1"/>
  <c r="S216" i="50" s="1"/>
  <c r="U217" i="50"/>
  <c r="T217" i="50" s="1"/>
  <c r="S217" i="50" s="1"/>
  <c r="R217" i="50" s="1"/>
  <c r="U218" i="50"/>
  <c r="T218" i="50" s="1"/>
  <c r="S218" i="50" s="1"/>
  <c r="R218" i="50" s="1"/>
  <c r="Q218" i="50" s="1"/>
  <c r="P218" i="50" s="1"/>
  <c r="O218" i="50" s="1"/>
  <c r="U219" i="50"/>
  <c r="U220" i="50"/>
  <c r="U221" i="50"/>
  <c r="U222" i="50"/>
  <c r="T222" i="50" s="1"/>
  <c r="S222" i="50" s="1"/>
  <c r="R222" i="50" s="1"/>
  <c r="U223" i="50"/>
  <c r="T223" i="50" s="1"/>
  <c r="U224" i="50"/>
  <c r="T224" i="50" s="1"/>
  <c r="S224" i="50" s="1"/>
  <c r="R224" i="50" s="1"/>
  <c r="Q224" i="50" s="1"/>
  <c r="P224" i="50" s="1"/>
  <c r="O224" i="50" s="1"/>
  <c r="N224" i="50" s="1"/>
  <c r="M224" i="50" s="1"/>
  <c r="L224" i="50" s="1"/>
  <c r="K224" i="50" s="1"/>
  <c r="J224" i="50" s="1"/>
  <c r="I224" i="50" s="1"/>
  <c r="H224" i="50" s="1"/>
  <c r="G224" i="50" s="1"/>
  <c r="U225" i="50"/>
  <c r="T225" i="50" s="1"/>
  <c r="S225" i="50" s="1"/>
  <c r="R225" i="50" s="1"/>
  <c r="Q225" i="50" s="1"/>
  <c r="P225" i="50" s="1"/>
  <c r="O225" i="50" s="1"/>
  <c r="U226" i="50"/>
  <c r="T226" i="50" s="1"/>
  <c r="S226" i="50" s="1"/>
  <c r="R226" i="50" s="1"/>
  <c r="Q226" i="50" s="1"/>
  <c r="P226" i="50" s="1"/>
  <c r="O226" i="50" s="1"/>
  <c r="N226" i="50" s="1"/>
  <c r="M226" i="50" s="1"/>
  <c r="L226" i="50" s="1"/>
  <c r="K226" i="50" s="1"/>
  <c r="J226" i="50" s="1"/>
  <c r="I226" i="50" s="1"/>
  <c r="H226" i="50" s="1"/>
  <c r="G226" i="50" s="1"/>
  <c r="U227" i="50"/>
  <c r="T227" i="50" s="1"/>
  <c r="S227" i="50" s="1"/>
  <c r="R227" i="50" s="1"/>
  <c r="Q227" i="50" s="1"/>
  <c r="P227" i="50" s="1"/>
  <c r="O227" i="50" s="1"/>
  <c r="N227" i="50" s="1"/>
  <c r="M227" i="50" s="1"/>
  <c r="L227" i="50" s="1"/>
  <c r="K227" i="50" s="1"/>
  <c r="J227" i="50" s="1"/>
  <c r="I227" i="50" s="1"/>
  <c r="H227" i="50" s="1"/>
  <c r="G227" i="50" s="1"/>
  <c r="U228" i="50"/>
  <c r="T228" i="50" s="1"/>
  <c r="S228" i="50" s="1"/>
  <c r="R228" i="50" s="1"/>
  <c r="Q228" i="50" s="1"/>
  <c r="U229" i="50"/>
  <c r="T229" i="50" s="1"/>
  <c r="S229" i="50" s="1"/>
  <c r="R229" i="50" s="1"/>
  <c r="Q229" i="50" s="1"/>
  <c r="P229" i="50" s="1"/>
  <c r="O229" i="50" s="1"/>
  <c r="N229" i="50" s="1"/>
  <c r="M229" i="50" s="1"/>
  <c r="L229" i="50" s="1"/>
  <c r="K229" i="50" s="1"/>
  <c r="J229" i="50" s="1"/>
  <c r="I229" i="50" s="1"/>
  <c r="H229" i="50" s="1"/>
  <c r="G229" i="50" s="1"/>
  <c r="F2" i="49"/>
  <c r="G2" i="49"/>
  <c r="H2" i="49"/>
  <c r="I2" i="49"/>
  <c r="J2" i="49"/>
  <c r="K2" i="49"/>
  <c r="L2" i="49"/>
  <c r="M2" i="49"/>
  <c r="N2" i="49"/>
  <c r="O2" i="49"/>
  <c r="P2" i="49"/>
  <c r="Q2" i="49"/>
  <c r="R2" i="49"/>
  <c r="S2" i="49"/>
  <c r="T2" i="49"/>
  <c r="U2" i="49"/>
  <c r="F3" i="49"/>
  <c r="G3" i="49"/>
  <c r="H3" i="49"/>
  <c r="I3" i="49"/>
  <c r="J3" i="49"/>
  <c r="K3" i="49"/>
  <c r="L3" i="49"/>
  <c r="M3" i="49"/>
  <c r="N3" i="49"/>
  <c r="O3" i="49"/>
  <c r="P3" i="49"/>
  <c r="U3" i="49"/>
  <c r="T3" i="49" s="1"/>
  <c r="S3" i="49" s="1"/>
  <c r="R3" i="49" s="1"/>
  <c r="Q3" i="49" s="1"/>
  <c r="F4" i="49"/>
  <c r="G4" i="49"/>
  <c r="H4" i="49"/>
  <c r="I4" i="49"/>
  <c r="J4" i="49"/>
  <c r="K4" i="49"/>
  <c r="L4" i="49"/>
  <c r="M4" i="49"/>
  <c r="N4" i="49"/>
  <c r="O4" i="49"/>
  <c r="P4" i="49"/>
  <c r="Q4" i="49"/>
  <c r="R4" i="49"/>
  <c r="S4" i="49"/>
  <c r="T4" i="49"/>
  <c r="U4" i="49"/>
  <c r="F5" i="49"/>
  <c r="G5" i="49"/>
  <c r="H5" i="49"/>
  <c r="I5" i="49"/>
  <c r="J5" i="49"/>
  <c r="K5" i="49"/>
  <c r="L5" i="49"/>
  <c r="M5" i="49"/>
  <c r="U5" i="49"/>
  <c r="T5" i="49" s="1"/>
  <c r="S5" i="49" s="1"/>
  <c r="R5" i="49" s="1"/>
  <c r="Q5" i="49" s="1"/>
  <c r="P5" i="49" s="1"/>
  <c r="O5" i="49" s="1"/>
  <c r="N5" i="49" s="1"/>
  <c r="F6" i="49"/>
  <c r="G6" i="49"/>
  <c r="H6" i="49"/>
  <c r="I6" i="49"/>
  <c r="J6" i="49"/>
  <c r="K6" i="49"/>
  <c r="L6" i="49"/>
  <c r="M6" i="49"/>
  <c r="N6" i="49"/>
  <c r="O6" i="49"/>
  <c r="P6" i="49"/>
  <c r="Q6" i="49"/>
  <c r="U6" i="49"/>
  <c r="T6" i="49" s="1"/>
  <c r="S6" i="49" s="1"/>
  <c r="R6" i="49" s="1"/>
  <c r="F7" i="49"/>
  <c r="G7" i="49"/>
  <c r="H7" i="49"/>
  <c r="I7" i="49"/>
  <c r="J7" i="49"/>
  <c r="U7" i="49"/>
  <c r="T7" i="49" s="1"/>
  <c r="S7" i="49" s="1"/>
  <c r="R7" i="49" s="1"/>
  <c r="Q7" i="49" s="1"/>
  <c r="P7" i="49" s="1"/>
  <c r="O7" i="49" s="1"/>
  <c r="N7" i="49" s="1"/>
  <c r="M7" i="49" s="1"/>
  <c r="L7" i="49" s="1"/>
  <c r="K7" i="49" s="1"/>
  <c r="F8" i="49"/>
  <c r="G8" i="49"/>
  <c r="H8" i="49"/>
  <c r="I8" i="49"/>
  <c r="J8" i="49"/>
  <c r="K8" i="49"/>
  <c r="L8" i="49"/>
  <c r="M8" i="49"/>
  <c r="N8" i="49"/>
  <c r="O8" i="49"/>
  <c r="U8" i="49"/>
  <c r="T8" i="49" s="1"/>
  <c r="S8" i="49" s="1"/>
  <c r="R8" i="49" s="1"/>
  <c r="Q8" i="49" s="1"/>
  <c r="P8" i="49" s="1"/>
  <c r="F9" i="49"/>
  <c r="G9" i="49"/>
  <c r="H9" i="49"/>
  <c r="I9" i="49"/>
  <c r="J9" i="49"/>
  <c r="K9" i="49"/>
  <c r="L9" i="49"/>
  <c r="M9" i="49"/>
  <c r="N9" i="49"/>
  <c r="O9" i="49"/>
  <c r="P9" i="49"/>
  <c r="Q9" i="49"/>
  <c r="R9" i="49"/>
  <c r="S9" i="49"/>
  <c r="T9" i="49"/>
  <c r="U9" i="49"/>
  <c r="F10" i="49"/>
  <c r="G10" i="49"/>
  <c r="H10" i="49"/>
  <c r="I10" i="49"/>
  <c r="J10" i="49"/>
  <c r="K10" i="49"/>
  <c r="L10" i="49"/>
  <c r="M10" i="49"/>
  <c r="N10" i="49"/>
  <c r="O10" i="49"/>
  <c r="P10" i="49"/>
  <c r="Q10" i="49"/>
  <c r="R10" i="49"/>
  <c r="S10" i="49"/>
  <c r="T10" i="49"/>
  <c r="U10" i="49"/>
  <c r="F11" i="49"/>
  <c r="G11" i="49"/>
  <c r="H11" i="49"/>
  <c r="I11" i="49"/>
  <c r="J11" i="49"/>
  <c r="K11" i="49"/>
  <c r="L11" i="49"/>
  <c r="M11" i="49"/>
  <c r="N11" i="49"/>
  <c r="O11" i="49"/>
  <c r="P11" i="49"/>
  <c r="Q11" i="49"/>
  <c r="U11" i="49"/>
  <c r="T11" i="49" s="1"/>
  <c r="S11" i="49" s="1"/>
  <c r="R11" i="49" s="1"/>
  <c r="F12" i="49"/>
  <c r="G12" i="49"/>
  <c r="H12" i="49"/>
  <c r="I12" i="49"/>
  <c r="J12" i="49"/>
  <c r="K12" i="49"/>
  <c r="L12" i="49"/>
  <c r="M12" i="49"/>
  <c r="N12" i="49"/>
  <c r="O12" i="49"/>
  <c r="U12" i="49"/>
  <c r="T12" i="49" s="1"/>
  <c r="S12" i="49" s="1"/>
  <c r="R12" i="49" s="1"/>
  <c r="Q12" i="49" s="1"/>
  <c r="P12" i="49" s="1"/>
  <c r="F13" i="49"/>
  <c r="G13" i="49"/>
  <c r="H13" i="49"/>
  <c r="I13" i="49"/>
  <c r="J13" i="49"/>
  <c r="K13" i="49"/>
  <c r="L13" i="49"/>
  <c r="U13" i="49"/>
  <c r="T13" i="49" s="1"/>
  <c r="S13" i="49" s="1"/>
  <c r="R13" i="49" s="1"/>
  <c r="Q13" i="49" s="1"/>
  <c r="P13" i="49" s="1"/>
  <c r="O13" i="49" s="1"/>
  <c r="N13" i="49" s="1"/>
  <c r="M13" i="49" s="1"/>
  <c r="F14" i="49"/>
  <c r="G14" i="49"/>
  <c r="H14" i="49"/>
  <c r="I14" i="49"/>
  <c r="J14" i="49"/>
  <c r="K14" i="49"/>
  <c r="L14" i="49"/>
  <c r="M14" i="49"/>
  <c r="N14" i="49"/>
  <c r="O14" i="49"/>
  <c r="P14" i="49"/>
  <c r="Q14" i="49"/>
  <c r="R14" i="49"/>
  <c r="S14" i="49"/>
  <c r="T14" i="49"/>
  <c r="U14" i="49"/>
  <c r="F15" i="49"/>
  <c r="G15" i="49"/>
  <c r="H15" i="49"/>
  <c r="I15" i="49"/>
  <c r="J15" i="49"/>
  <c r="U15" i="49"/>
  <c r="T15" i="49" s="1"/>
  <c r="S15" i="49" s="1"/>
  <c r="R15" i="49" s="1"/>
  <c r="Q15" i="49" s="1"/>
  <c r="P15" i="49" s="1"/>
  <c r="O15" i="49" s="1"/>
  <c r="N15" i="49" s="1"/>
  <c r="M15" i="49" s="1"/>
  <c r="L15" i="49" s="1"/>
  <c r="K15" i="49" s="1"/>
  <c r="F16" i="49"/>
  <c r="G16" i="49"/>
  <c r="H16" i="49"/>
  <c r="I16" i="49"/>
  <c r="J16" i="49"/>
  <c r="K16" i="49"/>
  <c r="L16" i="49"/>
  <c r="M16" i="49"/>
  <c r="N16" i="49"/>
  <c r="O16" i="49"/>
  <c r="P16" i="49"/>
  <c r="Q16" i="49"/>
  <c r="R16" i="49"/>
  <c r="S16" i="49"/>
  <c r="T16" i="49"/>
  <c r="U16" i="49"/>
  <c r="F17" i="49"/>
  <c r="M17" i="49"/>
  <c r="L17" i="49" s="1"/>
  <c r="K17" i="49" s="1"/>
  <c r="J17" i="49" s="1"/>
  <c r="I17" i="49" s="1"/>
  <c r="H17" i="49" s="1"/>
  <c r="G17" i="49" s="1"/>
  <c r="N17" i="49"/>
  <c r="O17" i="49"/>
  <c r="T17" i="49"/>
  <c r="S17" i="49" s="1"/>
  <c r="R17" i="49" s="1"/>
  <c r="Q17" i="49" s="1"/>
  <c r="P17" i="49" s="1"/>
  <c r="U17" i="49"/>
  <c r="F18" i="49"/>
  <c r="G18" i="49"/>
  <c r="H18" i="49"/>
  <c r="I18" i="49"/>
  <c r="J18" i="49"/>
  <c r="U18" i="49"/>
  <c r="T18" i="49" s="1"/>
  <c r="S18" i="49" s="1"/>
  <c r="R18" i="49" s="1"/>
  <c r="Q18" i="49" s="1"/>
  <c r="P18" i="49" s="1"/>
  <c r="O18" i="49" s="1"/>
  <c r="N18" i="49" s="1"/>
  <c r="M18" i="49" s="1"/>
  <c r="L18" i="49" s="1"/>
  <c r="K18" i="49" s="1"/>
  <c r="F19" i="49"/>
  <c r="T19" i="49"/>
  <c r="S19" i="49" s="1"/>
  <c r="R19" i="49" s="1"/>
  <c r="Q19" i="49" s="1"/>
  <c r="P19" i="49" s="1"/>
  <c r="O19" i="49" s="1"/>
  <c r="N19" i="49" s="1"/>
  <c r="M19" i="49" s="1"/>
  <c r="L19" i="49" s="1"/>
  <c r="K19" i="49" s="1"/>
  <c r="J19" i="49" s="1"/>
  <c r="I19" i="49" s="1"/>
  <c r="H19" i="49" s="1"/>
  <c r="G19" i="49" s="1"/>
  <c r="U19" i="49"/>
  <c r="F20" i="49"/>
  <c r="G20" i="49"/>
  <c r="H20" i="49"/>
  <c r="I20" i="49"/>
  <c r="J20" i="49"/>
  <c r="K20" i="49"/>
  <c r="L20" i="49"/>
  <c r="U20" i="49"/>
  <c r="T20" i="49" s="1"/>
  <c r="S20" i="49" s="1"/>
  <c r="R20" i="49" s="1"/>
  <c r="Q20" i="49" s="1"/>
  <c r="P20" i="49" s="1"/>
  <c r="O20" i="49" s="1"/>
  <c r="N20" i="49" s="1"/>
  <c r="M20" i="49" s="1"/>
  <c r="F21" i="49"/>
  <c r="G21" i="49"/>
  <c r="H21" i="49"/>
  <c r="I21" i="49"/>
  <c r="J21" i="49"/>
  <c r="K21" i="49"/>
  <c r="L21" i="49"/>
  <c r="M21" i="49"/>
  <c r="N21" i="49"/>
  <c r="O21" i="49"/>
  <c r="P21" i="49"/>
  <c r="Q21" i="49"/>
  <c r="R21" i="49"/>
  <c r="S21" i="49"/>
  <c r="T21" i="49"/>
  <c r="U21" i="49"/>
  <c r="F22" i="49"/>
  <c r="G22" i="49"/>
  <c r="H22" i="49"/>
  <c r="I22" i="49"/>
  <c r="J22" i="49"/>
  <c r="K22" i="49"/>
  <c r="U22" i="49"/>
  <c r="T22" i="49" s="1"/>
  <c r="S22" i="49" s="1"/>
  <c r="R22" i="49" s="1"/>
  <c r="Q22" i="49" s="1"/>
  <c r="P22" i="49" s="1"/>
  <c r="O22" i="49" s="1"/>
  <c r="N22" i="49" s="1"/>
  <c r="M22" i="49" s="1"/>
  <c r="L22" i="49" s="1"/>
  <c r="F23" i="49"/>
  <c r="G23" i="49"/>
  <c r="H23" i="49"/>
  <c r="I23" i="49"/>
  <c r="J23" i="49"/>
  <c r="K23" i="49"/>
  <c r="L23" i="49"/>
  <c r="M23" i="49"/>
  <c r="N23" i="49"/>
  <c r="O23" i="49"/>
  <c r="P23" i="49"/>
  <c r="Q23" i="49"/>
  <c r="R23" i="49"/>
  <c r="S23" i="49"/>
  <c r="T23" i="49"/>
  <c r="U23" i="49"/>
  <c r="F24" i="49"/>
  <c r="G24" i="49"/>
  <c r="H24" i="49"/>
  <c r="I24" i="49"/>
  <c r="J24" i="49"/>
  <c r="K24" i="49"/>
  <c r="L24" i="49"/>
  <c r="M24" i="49"/>
  <c r="N24" i="49"/>
  <c r="O24" i="49"/>
  <c r="P24" i="49"/>
  <c r="Q24" i="49"/>
  <c r="R24" i="49"/>
  <c r="S24" i="49"/>
  <c r="T24" i="49"/>
  <c r="U24" i="49"/>
  <c r="F25" i="49"/>
  <c r="M25" i="49"/>
  <c r="L25" i="49" s="1"/>
  <c r="K25" i="49" s="1"/>
  <c r="J25" i="49" s="1"/>
  <c r="I25" i="49" s="1"/>
  <c r="H25" i="49" s="1"/>
  <c r="G25" i="49" s="1"/>
  <c r="N25" i="49"/>
  <c r="O25" i="49"/>
  <c r="P25" i="49"/>
  <c r="Q25" i="49"/>
  <c r="S25" i="49"/>
  <c r="R25" i="49" s="1"/>
  <c r="U25" i="49"/>
  <c r="T25" i="49" s="1"/>
  <c r="F26" i="49"/>
  <c r="G26" i="49"/>
  <c r="H26" i="49"/>
  <c r="I26" i="49"/>
  <c r="J26" i="49"/>
  <c r="K26" i="49"/>
  <c r="L26" i="49"/>
  <c r="M26" i="49"/>
  <c r="N26" i="49"/>
  <c r="O26" i="49"/>
  <c r="P26" i="49"/>
  <c r="Q26" i="49"/>
  <c r="R26" i="49"/>
  <c r="S26" i="49"/>
  <c r="T26" i="49"/>
  <c r="U26" i="49"/>
  <c r="F27" i="49"/>
  <c r="G27" i="49"/>
  <c r="H27" i="49"/>
  <c r="I27" i="49"/>
  <c r="J27" i="49"/>
  <c r="U27" i="49"/>
  <c r="T27" i="49" s="1"/>
  <c r="S27" i="49" s="1"/>
  <c r="R27" i="49" s="1"/>
  <c r="Q27" i="49" s="1"/>
  <c r="P27" i="49" s="1"/>
  <c r="O27" i="49" s="1"/>
  <c r="N27" i="49" s="1"/>
  <c r="M27" i="49" s="1"/>
  <c r="L27" i="49" s="1"/>
  <c r="K27" i="49" s="1"/>
  <c r="F28" i="49"/>
  <c r="L28" i="49"/>
  <c r="K28" i="49" s="1"/>
  <c r="J28" i="49" s="1"/>
  <c r="I28" i="49" s="1"/>
  <c r="H28" i="49" s="1"/>
  <c r="G28" i="49" s="1"/>
  <c r="M28" i="49"/>
  <c r="N28" i="49"/>
  <c r="O28" i="49"/>
  <c r="P28" i="49"/>
  <c r="Q28" i="49"/>
  <c r="U28" i="49"/>
  <c r="T28" i="49" s="1"/>
  <c r="S28" i="49" s="1"/>
  <c r="R28" i="49" s="1"/>
  <c r="F29" i="49"/>
  <c r="M29" i="49"/>
  <c r="L29" i="49" s="1"/>
  <c r="K29" i="49" s="1"/>
  <c r="J29" i="49" s="1"/>
  <c r="I29" i="49" s="1"/>
  <c r="H29" i="49" s="1"/>
  <c r="G29" i="49" s="1"/>
  <c r="N29" i="49"/>
  <c r="O29" i="49"/>
  <c r="S29" i="49"/>
  <c r="R29" i="49" s="1"/>
  <c r="Q29" i="49" s="1"/>
  <c r="P29" i="49" s="1"/>
  <c r="T29" i="49"/>
  <c r="U29" i="49"/>
  <c r="F30" i="49"/>
  <c r="G30" i="49"/>
  <c r="H30" i="49"/>
  <c r="I30" i="49"/>
  <c r="J30" i="49"/>
  <c r="K30" i="49"/>
  <c r="L30" i="49"/>
  <c r="U30" i="49"/>
  <c r="T30" i="49" s="1"/>
  <c r="S30" i="49" s="1"/>
  <c r="R30" i="49" s="1"/>
  <c r="Q30" i="49" s="1"/>
  <c r="P30" i="49" s="1"/>
  <c r="O30" i="49" s="1"/>
  <c r="N30" i="49" s="1"/>
  <c r="M30" i="49" s="1"/>
  <c r="F31" i="49"/>
  <c r="H31" i="49"/>
  <c r="G31" i="49" s="1"/>
  <c r="I31" i="49"/>
  <c r="J31" i="49"/>
  <c r="K31" i="49"/>
  <c r="U31" i="49"/>
  <c r="T31" i="49" s="1"/>
  <c r="S31" i="49" s="1"/>
  <c r="R31" i="49" s="1"/>
  <c r="Q31" i="49" s="1"/>
  <c r="P31" i="49" s="1"/>
  <c r="O31" i="49" s="1"/>
  <c r="N31" i="49" s="1"/>
  <c r="M31" i="49" s="1"/>
  <c r="L31" i="49" s="1"/>
  <c r="F32" i="49"/>
  <c r="H32" i="49"/>
  <c r="G32" i="49" s="1"/>
  <c r="I32" i="49"/>
  <c r="J32" i="49"/>
  <c r="K32" i="49"/>
  <c r="L32" i="49"/>
  <c r="M32" i="49"/>
  <c r="N32" i="49"/>
  <c r="O32" i="49"/>
  <c r="P32" i="49"/>
  <c r="Q32" i="49"/>
  <c r="R32" i="49"/>
  <c r="S32" i="49"/>
  <c r="T32" i="49"/>
  <c r="U32" i="49"/>
  <c r="F33" i="49"/>
  <c r="T33" i="49"/>
  <c r="S33" i="49" s="1"/>
  <c r="R33" i="49" s="1"/>
  <c r="Q33" i="49" s="1"/>
  <c r="P33" i="49" s="1"/>
  <c r="O33" i="49" s="1"/>
  <c r="N33" i="49" s="1"/>
  <c r="M33" i="49" s="1"/>
  <c r="L33" i="49" s="1"/>
  <c r="K33" i="49" s="1"/>
  <c r="J33" i="49" s="1"/>
  <c r="I33" i="49" s="1"/>
  <c r="H33" i="49" s="1"/>
  <c r="G33" i="49" s="1"/>
  <c r="U33" i="49"/>
  <c r="F34" i="49"/>
  <c r="G34" i="49"/>
  <c r="I34" i="49"/>
  <c r="H34" i="49" s="1"/>
  <c r="J34" i="49"/>
  <c r="K34" i="49"/>
  <c r="L34" i="49"/>
  <c r="M34" i="49"/>
  <c r="N34" i="49"/>
  <c r="O34" i="49"/>
  <c r="U34" i="49"/>
  <c r="T34" i="49" s="1"/>
  <c r="S34" i="49" s="1"/>
  <c r="R34" i="49" s="1"/>
  <c r="Q34" i="49" s="1"/>
  <c r="P34" i="49" s="1"/>
  <c r="F35" i="49"/>
  <c r="G35" i="49"/>
  <c r="H35" i="49"/>
  <c r="U35" i="49"/>
  <c r="T35" i="49" s="1"/>
  <c r="S35" i="49" s="1"/>
  <c r="R35" i="49" s="1"/>
  <c r="Q35" i="49" s="1"/>
  <c r="P35" i="49" s="1"/>
  <c r="O35" i="49" s="1"/>
  <c r="N35" i="49" s="1"/>
  <c r="M35" i="49" s="1"/>
  <c r="L35" i="49" s="1"/>
  <c r="K35" i="49" s="1"/>
  <c r="J35" i="49" s="1"/>
  <c r="I35" i="49" s="1"/>
  <c r="F36" i="49"/>
  <c r="G36" i="49"/>
  <c r="H36" i="49"/>
  <c r="I36" i="49"/>
  <c r="J36" i="49"/>
  <c r="K36" i="49"/>
  <c r="L36" i="49"/>
  <c r="M36" i="49"/>
  <c r="N36" i="49"/>
  <c r="O36" i="49"/>
  <c r="P36" i="49"/>
  <c r="Q36" i="49"/>
  <c r="R36" i="49"/>
  <c r="S36" i="49"/>
  <c r="T36" i="49"/>
  <c r="U36" i="49"/>
  <c r="F37" i="49"/>
  <c r="G37" i="49"/>
  <c r="H37" i="49"/>
  <c r="I37" i="49"/>
  <c r="J37" i="49"/>
  <c r="L37" i="49"/>
  <c r="K37" i="49" s="1"/>
  <c r="M37" i="49"/>
  <c r="N37" i="49"/>
  <c r="O37" i="49"/>
  <c r="P37" i="49"/>
  <c r="Q37" i="49"/>
  <c r="R37" i="49"/>
  <c r="S37" i="49"/>
  <c r="T37" i="49"/>
  <c r="U37" i="49"/>
  <c r="F38" i="49"/>
  <c r="H38" i="49"/>
  <c r="G38" i="49" s="1"/>
  <c r="I38" i="49"/>
  <c r="J38" i="49"/>
  <c r="K38" i="49"/>
  <c r="L38" i="49"/>
  <c r="M38" i="49"/>
  <c r="N38" i="49"/>
  <c r="O38" i="49"/>
  <c r="P38" i="49"/>
  <c r="Q38" i="49"/>
  <c r="R38" i="49"/>
  <c r="U38" i="49"/>
  <c r="T38" i="49" s="1"/>
  <c r="S38" i="49" s="1"/>
  <c r="F39" i="49"/>
  <c r="L39" i="49"/>
  <c r="K39" i="49" s="1"/>
  <c r="J39" i="49" s="1"/>
  <c r="I39" i="49" s="1"/>
  <c r="H39" i="49" s="1"/>
  <c r="G39" i="49" s="1"/>
  <c r="M39" i="49"/>
  <c r="N39" i="49"/>
  <c r="O39" i="49"/>
  <c r="R39" i="49"/>
  <c r="Q39" i="49" s="1"/>
  <c r="P39" i="49" s="1"/>
  <c r="S39" i="49"/>
  <c r="U39" i="49"/>
  <c r="T39" i="49" s="1"/>
  <c r="F40" i="49"/>
  <c r="G40" i="49"/>
  <c r="H40" i="49"/>
  <c r="I40" i="49"/>
  <c r="U40" i="49"/>
  <c r="T40" i="49" s="1"/>
  <c r="S40" i="49" s="1"/>
  <c r="R40" i="49" s="1"/>
  <c r="Q40" i="49" s="1"/>
  <c r="P40" i="49" s="1"/>
  <c r="O40" i="49" s="1"/>
  <c r="N40" i="49" s="1"/>
  <c r="M40" i="49" s="1"/>
  <c r="L40" i="49" s="1"/>
  <c r="K40" i="49" s="1"/>
  <c r="J40" i="49" s="1"/>
  <c r="F41" i="49"/>
  <c r="L41" i="49"/>
  <c r="K41" i="49" s="1"/>
  <c r="J41" i="49" s="1"/>
  <c r="I41" i="49" s="1"/>
  <c r="H41" i="49" s="1"/>
  <c r="G41" i="49" s="1"/>
  <c r="M41" i="49"/>
  <c r="O41" i="49"/>
  <c r="N41" i="49" s="1"/>
  <c r="S41" i="49"/>
  <c r="R41" i="49" s="1"/>
  <c r="Q41" i="49" s="1"/>
  <c r="P41" i="49" s="1"/>
  <c r="U41" i="49"/>
  <c r="T41" i="49" s="1"/>
  <c r="F42" i="49"/>
  <c r="G42" i="49"/>
  <c r="H42" i="49"/>
  <c r="I42" i="49"/>
  <c r="J42" i="49"/>
  <c r="K42" i="49"/>
  <c r="L42" i="49"/>
  <c r="M42" i="49"/>
  <c r="N42" i="49"/>
  <c r="O42" i="49"/>
  <c r="P42" i="49"/>
  <c r="Q42" i="49"/>
  <c r="R42" i="49"/>
  <c r="S42" i="49"/>
  <c r="T42" i="49"/>
  <c r="U42" i="49"/>
  <c r="F43" i="49"/>
  <c r="K43" i="49"/>
  <c r="J43" i="49" s="1"/>
  <c r="I43" i="49" s="1"/>
  <c r="H43" i="49" s="1"/>
  <c r="G43" i="49" s="1"/>
  <c r="L43" i="49"/>
  <c r="M43" i="49"/>
  <c r="N43" i="49"/>
  <c r="U43" i="49"/>
  <c r="T43" i="49" s="1"/>
  <c r="S43" i="49" s="1"/>
  <c r="R43" i="49" s="1"/>
  <c r="Q43" i="49" s="1"/>
  <c r="P43" i="49" s="1"/>
  <c r="O43" i="49" s="1"/>
  <c r="F44" i="49"/>
  <c r="K44" i="49"/>
  <c r="J44" i="49" s="1"/>
  <c r="I44" i="49" s="1"/>
  <c r="H44" i="49" s="1"/>
  <c r="G44" i="49" s="1"/>
  <c r="L44" i="49"/>
  <c r="M44" i="49"/>
  <c r="N44" i="49"/>
  <c r="O44" i="49"/>
  <c r="P44" i="49"/>
  <c r="Q44" i="49"/>
  <c r="R44" i="49"/>
  <c r="S44" i="49"/>
  <c r="T44" i="49"/>
  <c r="U44" i="49"/>
  <c r="F45" i="49"/>
  <c r="G45" i="49"/>
  <c r="H45" i="49"/>
  <c r="I45" i="49"/>
  <c r="J45" i="49"/>
  <c r="U45" i="49"/>
  <c r="T45" i="49" s="1"/>
  <c r="S45" i="49" s="1"/>
  <c r="R45" i="49" s="1"/>
  <c r="Q45" i="49" s="1"/>
  <c r="P45" i="49" s="1"/>
  <c r="O45" i="49" s="1"/>
  <c r="N45" i="49" s="1"/>
  <c r="M45" i="49" s="1"/>
  <c r="L45" i="49" s="1"/>
  <c r="K45" i="49" s="1"/>
  <c r="F46" i="49"/>
  <c r="H46" i="49"/>
  <c r="G46" i="49" s="1"/>
  <c r="I46" i="49"/>
  <c r="L46" i="49"/>
  <c r="K46" i="49" s="1"/>
  <c r="J46" i="49" s="1"/>
  <c r="M46" i="49"/>
  <c r="N46" i="49"/>
  <c r="O46" i="49"/>
  <c r="P46" i="49"/>
  <c r="Q46" i="49"/>
  <c r="R46" i="49"/>
  <c r="S46" i="49"/>
  <c r="T46" i="49"/>
  <c r="U46" i="49"/>
  <c r="F47" i="49"/>
  <c r="G47" i="49"/>
  <c r="H47" i="49"/>
  <c r="I47" i="49"/>
  <c r="J47" i="49"/>
  <c r="U47" i="49"/>
  <c r="T47" i="49" s="1"/>
  <c r="S47" i="49" s="1"/>
  <c r="R47" i="49" s="1"/>
  <c r="Q47" i="49" s="1"/>
  <c r="P47" i="49" s="1"/>
  <c r="O47" i="49" s="1"/>
  <c r="N47" i="49" s="1"/>
  <c r="M47" i="49" s="1"/>
  <c r="L47" i="49" s="1"/>
  <c r="K47" i="49" s="1"/>
  <c r="F48" i="49"/>
  <c r="G48" i="49"/>
  <c r="H48" i="49"/>
  <c r="I48" i="49"/>
  <c r="J48" i="49"/>
  <c r="K48" i="49"/>
  <c r="L48" i="49"/>
  <c r="M48" i="49"/>
  <c r="N48" i="49"/>
  <c r="O48" i="49"/>
  <c r="P48" i="49"/>
  <c r="Q48" i="49"/>
  <c r="U48" i="49"/>
  <c r="T48" i="49" s="1"/>
  <c r="S48" i="49" s="1"/>
  <c r="R48" i="49" s="1"/>
  <c r="F49" i="49"/>
  <c r="H49" i="49"/>
  <c r="G49" i="49" s="1"/>
  <c r="I49" i="49"/>
  <c r="J49" i="49"/>
  <c r="L49" i="49"/>
  <c r="K49" i="49" s="1"/>
  <c r="M49" i="49"/>
  <c r="N49" i="49"/>
  <c r="O49" i="49"/>
  <c r="P49" i="49"/>
  <c r="U49" i="49"/>
  <c r="T49" i="49" s="1"/>
  <c r="S49" i="49" s="1"/>
  <c r="R49" i="49" s="1"/>
  <c r="Q49" i="49" s="1"/>
  <c r="F50" i="49"/>
  <c r="H50" i="49"/>
  <c r="G50" i="49" s="1"/>
  <c r="I50" i="49"/>
  <c r="J50" i="49"/>
  <c r="L50" i="49"/>
  <c r="K50" i="49" s="1"/>
  <c r="M50" i="49"/>
  <c r="N50" i="49"/>
  <c r="O50" i="49"/>
  <c r="P50" i="49"/>
  <c r="Q50" i="49"/>
  <c r="R50" i="49"/>
  <c r="T50" i="49"/>
  <c r="S50" i="49" s="1"/>
  <c r="U50" i="49"/>
  <c r="F51" i="49"/>
  <c r="H51" i="49"/>
  <c r="G51" i="49" s="1"/>
  <c r="I51" i="49"/>
  <c r="J51" i="49"/>
  <c r="K51" i="49"/>
  <c r="L51" i="49"/>
  <c r="M51" i="49"/>
  <c r="N51" i="49"/>
  <c r="O51" i="49"/>
  <c r="U51" i="49"/>
  <c r="T51" i="49" s="1"/>
  <c r="S51" i="49" s="1"/>
  <c r="R51" i="49" s="1"/>
  <c r="Q51" i="49" s="1"/>
  <c r="P51" i="49" s="1"/>
  <c r="F52" i="49"/>
  <c r="G52" i="49"/>
  <c r="I52" i="49"/>
  <c r="H52" i="49" s="1"/>
  <c r="J52" i="49"/>
  <c r="K52" i="49"/>
  <c r="L52" i="49"/>
  <c r="M52" i="49"/>
  <c r="U52" i="49"/>
  <c r="T52" i="49" s="1"/>
  <c r="S52" i="49" s="1"/>
  <c r="R52" i="49" s="1"/>
  <c r="Q52" i="49" s="1"/>
  <c r="P52" i="49" s="1"/>
  <c r="O52" i="49" s="1"/>
  <c r="N52" i="49" s="1"/>
  <c r="F53" i="49"/>
  <c r="G53" i="49"/>
  <c r="H53" i="49"/>
  <c r="I53" i="49"/>
  <c r="J53" i="49"/>
  <c r="K53" i="49"/>
  <c r="U53" i="49"/>
  <c r="T53" i="49" s="1"/>
  <c r="S53" i="49" s="1"/>
  <c r="R53" i="49" s="1"/>
  <c r="Q53" i="49" s="1"/>
  <c r="P53" i="49" s="1"/>
  <c r="O53" i="49" s="1"/>
  <c r="N53" i="49" s="1"/>
  <c r="M53" i="49" s="1"/>
  <c r="L53" i="49" s="1"/>
  <c r="F54" i="49"/>
  <c r="I54" i="49"/>
  <c r="H54" i="49" s="1"/>
  <c r="G54" i="49" s="1"/>
  <c r="J54" i="49"/>
  <c r="K54" i="49"/>
  <c r="L54" i="49"/>
  <c r="M54" i="49"/>
  <c r="N54" i="49"/>
  <c r="P54" i="49"/>
  <c r="O54" i="49" s="1"/>
  <c r="R54" i="49"/>
  <c r="Q54" i="49" s="1"/>
  <c r="S54" i="49"/>
  <c r="U54" i="49"/>
  <c r="T54" i="49" s="1"/>
  <c r="F55" i="49"/>
  <c r="G55" i="49"/>
  <c r="H55" i="49"/>
  <c r="I55" i="49"/>
  <c r="J55" i="49"/>
  <c r="K55" i="49"/>
  <c r="L55" i="49"/>
  <c r="M55" i="49"/>
  <c r="N55" i="49"/>
  <c r="O55" i="49"/>
  <c r="P55" i="49"/>
  <c r="Q55" i="49"/>
  <c r="R55" i="49"/>
  <c r="S55" i="49"/>
  <c r="T55" i="49"/>
  <c r="U55" i="49"/>
  <c r="F56" i="49"/>
  <c r="H56" i="49"/>
  <c r="G56" i="49" s="1"/>
  <c r="I56" i="49"/>
  <c r="J56" i="49"/>
  <c r="K56" i="49"/>
  <c r="L56" i="49"/>
  <c r="M56" i="49"/>
  <c r="N56" i="49"/>
  <c r="O56" i="49"/>
  <c r="P56" i="49"/>
  <c r="Q56" i="49"/>
  <c r="R56" i="49"/>
  <c r="S56" i="49"/>
  <c r="T56" i="49"/>
  <c r="U56" i="49"/>
  <c r="F57" i="49"/>
  <c r="G57" i="49"/>
  <c r="H57" i="49"/>
  <c r="I57" i="49"/>
  <c r="U57" i="49"/>
  <c r="T57" i="49" s="1"/>
  <c r="S57" i="49" s="1"/>
  <c r="R57" i="49" s="1"/>
  <c r="Q57" i="49" s="1"/>
  <c r="P57" i="49" s="1"/>
  <c r="O57" i="49" s="1"/>
  <c r="N57" i="49" s="1"/>
  <c r="M57" i="49" s="1"/>
  <c r="L57" i="49" s="1"/>
  <c r="K57" i="49" s="1"/>
  <c r="J57" i="49" s="1"/>
  <c r="F58" i="49"/>
  <c r="G58" i="49"/>
  <c r="H58" i="49"/>
  <c r="I58" i="49"/>
  <c r="U58" i="49"/>
  <c r="T58" i="49" s="1"/>
  <c r="S58" i="49" s="1"/>
  <c r="R58" i="49" s="1"/>
  <c r="Q58" i="49" s="1"/>
  <c r="P58" i="49" s="1"/>
  <c r="O58" i="49" s="1"/>
  <c r="N58" i="49" s="1"/>
  <c r="M58" i="49" s="1"/>
  <c r="L58" i="49" s="1"/>
  <c r="K58" i="49" s="1"/>
  <c r="J58" i="49" s="1"/>
  <c r="F59" i="49"/>
  <c r="G59" i="49"/>
  <c r="H59" i="49"/>
  <c r="I59" i="49"/>
  <c r="J59" i="49"/>
  <c r="K59" i="49"/>
  <c r="L59" i="49"/>
  <c r="M59" i="49"/>
  <c r="N59" i="49"/>
  <c r="O59" i="49"/>
  <c r="P59" i="49"/>
  <c r="Q59" i="49"/>
  <c r="U59" i="49"/>
  <c r="T59" i="49" s="1"/>
  <c r="S59" i="49" s="1"/>
  <c r="R59" i="49" s="1"/>
  <c r="F60" i="49"/>
  <c r="G60" i="49"/>
  <c r="H60" i="49"/>
  <c r="I60" i="49"/>
  <c r="J60" i="49"/>
  <c r="U60" i="49"/>
  <c r="T60" i="49" s="1"/>
  <c r="S60" i="49" s="1"/>
  <c r="R60" i="49" s="1"/>
  <c r="Q60" i="49" s="1"/>
  <c r="P60" i="49" s="1"/>
  <c r="O60" i="49" s="1"/>
  <c r="N60" i="49" s="1"/>
  <c r="M60" i="49" s="1"/>
  <c r="L60" i="49" s="1"/>
  <c r="K60" i="49" s="1"/>
  <c r="F61" i="49"/>
  <c r="M61" i="49"/>
  <c r="L61" i="49" s="1"/>
  <c r="K61" i="49" s="1"/>
  <c r="J61" i="49" s="1"/>
  <c r="I61" i="49" s="1"/>
  <c r="H61" i="49" s="1"/>
  <c r="G61" i="49" s="1"/>
  <c r="N61" i="49"/>
  <c r="O61" i="49"/>
  <c r="P61" i="49"/>
  <c r="U61" i="49"/>
  <c r="T61" i="49" s="1"/>
  <c r="S61" i="49" s="1"/>
  <c r="R61" i="49" s="1"/>
  <c r="Q61" i="49" s="1"/>
  <c r="F62" i="49"/>
  <c r="G62" i="49"/>
  <c r="H62" i="49"/>
  <c r="I62" i="49"/>
  <c r="J62" i="49"/>
  <c r="K62" i="49"/>
  <c r="L62" i="49"/>
  <c r="M62" i="49"/>
  <c r="N62" i="49"/>
  <c r="O62" i="49"/>
  <c r="P62" i="49"/>
  <c r="Q62" i="49"/>
  <c r="R62" i="49"/>
  <c r="S62" i="49"/>
  <c r="T62" i="49"/>
  <c r="U62" i="49"/>
  <c r="F63" i="49"/>
  <c r="G63" i="49"/>
  <c r="H63" i="49"/>
  <c r="I63" i="49"/>
  <c r="J63" i="49"/>
  <c r="K63" i="49"/>
  <c r="L63" i="49"/>
  <c r="M63" i="49"/>
  <c r="N63" i="49"/>
  <c r="O63" i="49"/>
  <c r="P63" i="49"/>
  <c r="U63" i="49"/>
  <c r="T63" i="49" s="1"/>
  <c r="S63" i="49" s="1"/>
  <c r="R63" i="49" s="1"/>
  <c r="Q63" i="49" s="1"/>
  <c r="F64" i="49"/>
  <c r="G64" i="49"/>
  <c r="H64" i="49"/>
  <c r="I64" i="49"/>
  <c r="J64" i="49"/>
  <c r="K64" i="49"/>
  <c r="L64" i="49"/>
  <c r="M64" i="49"/>
  <c r="N64" i="49"/>
  <c r="O64" i="49"/>
  <c r="P64" i="49"/>
  <c r="Q64" i="49"/>
  <c r="U64" i="49"/>
  <c r="T64" i="49" s="1"/>
  <c r="S64" i="49" s="1"/>
  <c r="R64" i="49" s="1"/>
  <c r="F65" i="49"/>
  <c r="G65" i="49"/>
  <c r="H65" i="49"/>
  <c r="I65" i="49"/>
  <c r="J65" i="49"/>
  <c r="K65" i="49"/>
  <c r="L65" i="49"/>
  <c r="M65" i="49"/>
  <c r="N65" i="49"/>
  <c r="O65" i="49"/>
  <c r="U65" i="49"/>
  <c r="T65" i="49" s="1"/>
  <c r="S65" i="49" s="1"/>
  <c r="R65" i="49" s="1"/>
  <c r="Q65" i="49" s="1"/>
  <c r="P65" i="49" s="1"/>
  <c r="F66" i="49"/>
  <c r="H66" i="49"/>
  <c r="G66" i="49" s="1"/>
  <c r="I66" i="49"/>
  <c r="J66" i="49"/>
  <c r="K66" i="49"/>
  <c r="L66" i="49"/>
  <c r="U66" i="49"/>
  <c r="T66" i="49" s="1"/>
  <c r="S66" i="49" s="1"/>
  <c r="R66" i="49" s="1"/>
  <c r="Q66" i="49" s="1"/>
  <c r="P66" i="49" s="1"/>
  <c r="O66" i="49" s="1"/>
  <c r="N66" i="49" s="1"/>
  <c r="M66" i="49" s="1"/>
  <c r="F67" i="49"/>
  <c r="I67" i="49"/>
  <c r="H67" i="49" s="1"/>
  <c r="G67" i="49" s="1"/>
  <c r="J67" i="49"/>
  <c r="K67" i="49"/>
  <c r="L67" i="49"/>
  <c r="M67" i="49"/>
  <c r="O67" i="49"/>
  <c r="N67" i="49" s="1"/>
  <c r="U67" i="49"/>
  <c r="T67" i="49" s="1"/>
  <c r="S67" i="49" s="1"/>
  <c r="R67" i="49" s="1"/>
  <c r="Q67" i="49" s="1"/>
  <c r="P67" i="49" s="1"/>
  <c r="F68" i="49"/>
  <c r="G68" i="49"/>
  <c r="H68" i="49"/>
  <c r="I68" i="49"/>
  <c r="K68" i="49"/>
  <c r="J68" i="49" s="1"/>
  <c r="L68" i="49"/>
  <c r="M68" i="49"/>
  <c r="N68" i="49"/>
  <c r="O68" i="49"/>
  <c r="P68" i="49"/>
  <c r="Q68" i="49"/>
  <c r="R68" i="49"/>
  <c r="U68" i="49"/>
  <c r="T68" i="49" s="1"/>
  <c r="S68" i="49" s="1"/>
  <c r="F69" i="49"/>
  <c r="G69" i="49"/>
  <c r="H69" i="49"/>
  <c r="I69" i="49"/>
  <c r="J69" i="49"/>
  <c r="K69" i="49"/>
  <c r="L69" i="49"/>
  <c r="M69" i="49"/>
  <c r="U69" i="49"/>
  <c r="T69" i="49" s="1"/>
  <c r="S69" i="49" s="1"/>
  <c r="R69" i="49" s="1"/>
  <c r="Q69" i="49" s="1"/>
  <c r="P69" i="49" s="1"/>
  <c r="O69" i="49" s="1"/>
  <c r="N69" i="49" s="1"/>
  <c r="F70" i="49"/>
  <c r="G70" i="49"/>
  <c r="H70" i="49"/>
  <c r="I70" i="49"/>
  <c r="K70" i="49"/>
  <c r="J70" i="49" s="1"/>
  <c r="L70" i="49"/>
  <c r="M70" i="49"/>
  <c r="N70" i="49"/>
  <c r="O70" i="49"/>
  <c r="P70" i="49"/>
  <c r="Q70" i="49"/>
  <c r="R70" i="49"/>
  <c r="U70" i="49"/>
  <c r="T70" i="49" s="1"/>
  <c r="S70" i="49" s="1"/>
  <c r="F71" i="49"/>
  <c r="G71" i="49"/>
  <c r="H71" i="49"/>
  <c r="I71" i="49"/>
  <c r="J71" i="49"/>
  <c r="K71" i="49"/>
  <c r="L71" i="49"/>
  <c r="M71" i="49"/>
  <c r="N71" i="49"/>
  <c r="O71" i="49"/>
  <c r="P71" i="49"/>
  <c r="U71" i="49"/>
  <c r="T71" i="49" s="1"/>
  <c r="S71" i="49" s="1"/>
  <c r="R71" i="49" s="1"/>
  <c r="Q71" i="49" s="1"/>
  <c r="F72" i="49"/>
  <c r="H72" i="49"/>
  <c r="G72" i="49" s="1"/>
  <c r="I72" i="49"/>
  <c r="J72" i="49"/>
  <c r="M72" i="49"/>
  <c r="L72" i="49" s="1"/>
  <c r="K72" i="49" s="1"/>
  <c r="N72" i="49"/>
  <c r="O72" i="49"/>
  <c r="P72" i="49"/>
  <c r="Q72" i="49"/>
  <c r="R72" i="49"/>
  <c r="S72" i="49"/>
  <c r="T72" i="49"/>
  <c r="U72" i="49"/>
  <c r="F73" i="49"/>
  <c r="G73" i="49"/>
  <c r="H73" i="49"/>
  <c r="I73" i="49"/>
  <c r="J73" i="49"/>
  <c r="K73" i="49"/>
  <c r="L73" i="49"/>
  <c r="M73" i="49"/>
  <c r="N73" i="49"/>
  <c r="O73" i="49"/>
  <c r="P73" i="49"/>
  <c r="Q73" i="49"/>
  <c r="R73" i="49"/>
  <c r="S73" i="49"/>
  <c r="T73" i="49"/>
  <c r="U73" i="49"/>
  <c r="F74" i="49"/>
  <c r="G74" i="49"/>
  <c r="H74" i="49"/>
  <c r="I74" i="49"/>
  <c r="J74" i="49"/>
  <c r="K74" i="49"/>
  <c r="L74" i="49"/>
  <c r="M74" i="49"/>
  <c r="N74" i="49"/>
  <c r="O74" i="49"/>
  <c r="P74" i="49"/>
  <c r="Q74" i="49"/>
  <c r="S74" i="49"/>
  <c r="R74" i="49" s="1"/>
  <c r="T74" i="49"/>
  <c r="U74" i="49"/>
  <c r="F75" i="49"/>
  <c r="G75" i="49"/>
  <c r="H75" i="49"/>
  <c r="I75" i="49"/>
  <c r="J75" i="49"/>
  <c r="K75" i="49"/>
  <c r="L75" i="49"/>
  <c r="U75" i="49"/>
  <c r="T75" i="49" s="1"/>
  <c r="S75" i="49" s="1"/>
  <c r="R75" i="49" s="1"/>
  <c r="Q75" i="49" s="1"/>
  <c r="P75" i="49" s="1"/>
  <c r="O75" i="49" s="1"/>
  <c r="N75" i="49" s="1"/>
  <c r="M75" i="49" s="1"/>
  <c r="F76" i="49"/>
  <c r="H76" i="49"/>
  <c r="G76" i="49" s="1"/>
  <c r="I76" i="49"/>
  <c r="J76" i="49"/>
  <c r="U76" i="49"/>
  <c r="T76" i="49" s="1"/>
  <c r="S76" i="49" s="1"/>
  <c r="R76" i="49" s="1"/>
  <c r="Q76" i="49" s="1"/>
  <c r="P76" i="49" s="1"/>
  <c r="O76" i="49" s="1"/>
  <c r="N76" i="49" s="1"/>
  <c r="M76" i="49" s="1"/>
  <c r="L76" i="49" s="1"/>
  <c r="K76" i="49" s="1"/>
  <c r="F77" i="49"/>
  <c r="G77" i="49"/>
  <c r="H77" i="49"/>
  <c r="I77" i="49"/>
  <c r="J77" i="49"/>
  <c r="U77" i="49"/>
  <c r="T77" i="49" s="1"/>
  <c r="S77" i="49" s="1"/>
  <c r="R77" i="49" s="1"/>
  <c r="Q77" i="49" s="1"/>
  <c r="P77" i="49" s="1"/>
  <c r="O77" i="49" s="1"/>
  <c r="N77" i="49" s="1"/>
  <c r="M77" i="49" s="1"/>
  <c r="L77" i="49" s="1"/>
  <c r="K77" i="49" s="1"/>
  <c r="F78" i="49"/>
  <c r="U78" i="49"/>
  <c r="T78" i="49" s="1"/>
  <c r="S78" i="49" s="1"/>
  <c r="R78" i="49" s="1"/>
  <c r="Q78" i="49" s="1"/>
  <c r="P78" i="49" s="1"/>
  <c r="O78" i="49" s="1"/>
  <c r="N78" i="49" s="1"/>
  <c r="M78" i="49" s="1"/>
  <c r="L78" i="49" s="1"/>
  <c r="K78" i="49" s="1"/>
  <c r="J78" i="49" s="1"/>
  <c r="I78" i="49" s="1"/>
  <c r="H78" i="49" s="1"/>
  <c r="G78" i="49" s="1"/>
  <c r="F79" i="49"/>
  <c r="U79" i="49"/>
  <c r="T79" i="49" s="1"/>
  <c r="S79" i="49" s="1"/>
  <c r="R79" i="49" s="1"/>
  <c r="Q79" i="49" s="1"/>
  <c r="P79" i="49" s="1"/>
  <c r="O79" i="49" s="1"/>
  <c r="N79" i="49" s="1"/>
  <c r="M79" i="49" s="1"/>
  <c r="L79" i="49" s="1"/>
  <c r="K79" i="49" s="1"/>
  <c r="J79" i="49" s="1"/>
  <c r="I79" i="49" s="1"/>
  <c r="H79" i="49" s="1"/>
  <c r="G79" i="49" s="1"/>
  <c r="F80" i="49"/>
  <c r="G80" i="49"/>
  <c r="H80" i="49"/>
  <c r="I80" i="49"/>
  <c r="L80" i="49"/>
  <c r="K80" i="49" s="1"/>
  <c r="J80" i="49" s="1"/>
  <c r="M80" i="49"/>
  <c r="N80" i="49"/>
  <c r="O80" i="49"/>
  <c r="U80" i="49"/>
  <c r="T80" i="49" s="1"/>
  <c r="S80" i="49" s="1"/>
  <c r="R80" i="49" s="1"/>
  <c r="Q80" i="49" s="1"/>
  <c r="P80" i="49" s="1"/>
  <c r="F81" i="49"/>
  <c r="G81" i="49"/>
  <c r="H81" i="49"/>
  <c r="I81" i="49"/>
  <c r="J81" i="49"/>
  <c r="K81" i="49"/>
  <c r="U81" i="49"/>
  <c r="T81" i="49" s="1"/>
  <c r="S81" i="49" s="1"/>
  <c r="R81" i="49" s="1"/>
  <c r="Q81" i="49" s="1"/>
  <c r="P81" i="49" s="1"/>
  <c r="O81" i="49" s="1"/>
  <c r="N81" i="49" s="1"/>
  <c r="M81" i="49" s="1"/>
  <c r="L81" i="49" s="1"/>
  <c r="F82" i="49"/>
  <c r="L82" i="49"/>
  <c r="K82" i="49" s="1"/>
  <c r="J82" i="49" s="1"/>
  <c r="I82" i="49" s="1"/>
  <c r="H82" i="49" s="1"/>
  <c r="G82" i="49" s="1"/>
  <c r="N82" i="49"/>
  <c r="M82" i="49" s="1"/>
  <c r="O82" i="49"/>
  <c r="P82" i="49"/>
  <c r="Q82" i="49"/>
  <c r="R82" i="49"/>
  <c r="S82" i="49"/>
  <c r="T82" i="49"/>
  <c r="U82" i="49"/>
  <c r="F83" i="49"/>
  <c r="G83" i="49"/>
  <c r="H83" i="49"/>
  <c r="I83" i="49"/>
  <c r="J83" i="49"/>
  <c r="U83" i="49"/>
  <c r="T83" i="49" s="1"/>
  <c r="S83" i="49" s="1"/>
  <c r="R83" i="49" s="1"/>
  <c r="Q83" i="49" s="1"/>
  <c r="P83" i="49" s="1"/>
  <c r="O83" i="49" s="1"/>
  <c r="N83" i="49" s="1"/>
  <c r="M83" i="49" s="1"/>
  <c r="L83" i="49" s="1"/>
  <c r="K83" i="49" s="1"/>
  <c r="F84" i="49"/>
  <c r="I84" i="49"/>
  <c r="H84" i="49" s="1"/>
  <c r="G84" i="49" s="1"/>
  <c r="K84" i="49"/>
  <c r="J84" i="49" s="1"/>
  <c r="L84" i="49"/>
  <c r="S84" i="49"/>
  <c r="R84" i="49" s="1"/>
  <c r="Q84" i="49" s="1"/>
  <c r="P84" i="49" s="1"/>
  <c r="O84" i="49" s="1"/>
  <c r="N84" i="49" s="1"/>
  <c r="M84" i="49" s="1"/>
  <c r="U84" i="49"/>
  <c r="T84" i="49" s="1"/>
  <c r="F85" i="49"/>
  <c r="G85" i="49"/>
  <c r="H85" i="49"/>
  <c r="U85" i="49"/>
  <c r="T85" i="49" s="1"/>
  <c r="S85" i="49" s="1"/>
  <c r="R85" i="49" s="1"/>
  <c r="Q85" i="49" s="1"/>
  <c r="P85" i="49" s="1"/>
  <c r="O85" i="49" s="1"/>
  <c r="N85" i="49" s="1"/>
  <c r="M85" i="49" s="1"/>
  <c r="L85" i="49" s="1"/>
  <c r="K85" i="49" s="1"/>
  <c r="J85" i="49" s="1"/>
  <c r="I85" i="49" s="1"/>
  <c r="F86" i="49"/>
  <c r="G86" i="49"/>
  <c r="H86" i="49"/>
  <c r="I86" i="49"/>
  <c r="L86" i="49"/>
  <c r="K86" i="49" s="1"/>
  <c r="J86" i="49" s="1"/>
  <c r="M86" i="49"/>
  <c r="N86" i="49"/>
  <c r="O86" i="49"/>
  <c r="U86" i="49"/>
  <c r="T86" i="49" s="1"/>
  <c r="S86" i="49" s="1"/>
  <c r="R86" i="49" s="1"/>
  <c r="Q86" i="49" s="1"/>
  <c r="P86" i="49" s="1"/>
  <c r="F87" i="49"/>
  <c r="I87" i="49"/>
  <c r="H87" i="49" s="1"/>
  <c r="G87" i="49" s="1"/>
  <c r="L87" i="49"/>
  <c r="K87" i="49" s="1"/>
  <c r="J87" i="49" s="1"/>
  <c r="M87" i="49"/>
  <c r="N87" i="49"/>
  <c r="O87" i="49"/>
  <c r="P87" i="49"/>
  <c r="Q87" i="49"/>
  <c r="R87" i="49"/>
  <c r="S87" i="49"/>
  <c r="U87" i="49"/>
  <c r="T87" i="49" s="1"/>
  <c r="F88" i="49"/>
  <c r="G88" i="49"/>
  <c r="U88" i="49"/>
  <c r="T88" i="49" s="1"/>
  <c r="S88" i="49" s="1"/>
  <c r="R88" i="49" s="1"/>
  <c r="Q88" i="49" s="1"/>
  <c r="P88" i="49" s="1"/>
  <c r="O88" i="49" s="1"/>
  <c r="N88" i="49" s="1"/>
  <c r="M88" i="49" s="1"/>
  <c r="L88" i="49" s="1"/>
  <c r="K88" i="49" s="1"/>
  <c r="J88" i="49" s="1"/>
  <c r="I88" i="49" s="1"/>
  <c r="H88" i="49" s="1"/>
  <c r="F89" i="49"/>
  <c r="U89" i="49"/>
  <c r="T89" i="49" s="1"/>
  <c r="S89" i="49" s="1"/>
  <c r="R89" i="49" s="1"/>
  <c r="Q89" i="49" s="1"/>
  <c r="P89" i="49" s="1"/>
  <c r="O89" i="49" s="1"/>
  <c r="N89" i="49" s="1"/>
  <c r="M89" i="49" s="1"/>
  <c r="L89" i="49" s="1"/>
  <c r="K89" i="49" s="1"/>
  <c r="J89" i="49" s="1"/>
  <c r="I89" i="49" s="1"/>
  <c r="H89" i="49" s="1"/>
  <c r="G89" i="49" s="1"/>
  <c r="F90" i="49"/>
  <c r="G90" i="49"/>
  <c r="H90" i="49"/>
  <c r="I90" i="49"/>
  <c r="J90" i="49"/>
  <c r="L90" i="49"/>
  <c r="K90" i="49" s="1"/>
  <c r="M90" i="49"/>
  <c r="N90" i="49"/>
  <c r="O90" i="49"/>
  <c r="P90" i="49"/>
  <c r="Q90" i="49"/>
  <c r="R90" i="49"/>
  <c r="S90" i="49"/>
  <c r="T90" i="49"/>
  <c r="U90" i="49"/>
  <c r="F91" i="49"/>
  <c r="G91" i="49"/>
  <c r="H91" i="49"/>
  <c r="L91" i="49"/>
  <c r="K91" i="49" s="1"/>
  <c r="J91" i="49" s="1"/>
  <c r="I91" i="49" s="1"/>
  <c r="M91" i="49"/>
  <c r="N91" i="49"/>
  <c r="O91" i="49"/>
  <c r="P91" i="49"/>
  <c r="Q91" i="49"/>
  <c r="R91" i="49"/>
  <c r="S91" i="49"/>
  <c r="T91" i="49"/>
  <c r="U91" i="49"/>
  <c r="F92" i="49"/>
  <c r="G92" i="49"/>
  <c r="H92" i="49"/>
  <c r="I92" i="49"/>
  <c r="J92" i="49"/>
  <c r="K92" i="49"/>
  <c r="L92" i="49"/>
  <c r="M92" i="49"/>
  <c r="N92" i="49"/>
  <c r="U92" i="49"/>
  <c r="T92" i="49" s="1"/>
  <c r="S92" i="49" s="1"/>
  <c r="R92" i="49" s="1"/>
  <c r="Q92" i="49" s="1"/>
  <c r="P92" i="49" s="1"/>
  <c r="O92" i="49" s="1"/>
  <c r="F93" i="49"/>
  <c r="K93" i="49"/>
  <c r="J93" i="49" s="1"/>
  <c r="I93" i="49" s="1"/>
  <c r="H93" i="49" s="1"/>
  <c r="G93" i="49" s="1"/>
  <c r="L93" i="49"/>
  <c r="M93" i="49"/>
  <c r="N93" i="49"/>
  <c r="O93" i="49"/>
  <c r="P93" i="49"/>
  <c r="Q93" i="49"/>
  <c r="R93" i="49"/>
  <c r="S93" i="49"/>
  <c r="T93" i="49"/>
  <c r="U93" i="49"/>
  <c r="F94" i="49"/>
  <c r="K94" i="49"/>
  <c r="J94" i="49" s="1"/>
  <c r="I94" i="49" s="1"/>
  <c r="H94" i="49" s="1"/>
  <c r="G94" i="49" s="1"/>
  <c r="L94" i="49"/>
  <c r="M94" i="49"/>
  <c r="N94" i="49"/>
  <c r="U94" i="49"/>
  <c r="T94" i="49" s="1"/>
  <c r="S94" i="49" s="1"/>
  <c r="R94" i="49" s="1"/>
  <c r="Q94" i="49" s="1"/>
  <c r="P94" i="49" s="1"/>
  <c r="O94" i="49" s="1"/>
  <c r="F95" i="49"/>
  <c r="G95" i="49"/>
  <c r="H95" i="49"/>
  <c r="I95" i="49"/>
  <c r="J95" i="49"/>
  <c r="L95" i="49"/>
  <c r="K95" i="49" s="1"/>
  <c r="M95" i="49"/>
  <c r="N95" i="49"/>
  <c r="O95" i="49"/>
  <c r="P95" i="49"/>
  <c r="U95" i="49"/>
  <c r="T95" i="49" s="1"/>
  <c r="S95" i="49" s="1"/>
  <c r="R95" i="49" s="1"/>
  <c r="Q95" i="49" s="1"/>
  <c r="F96" i="49"/>
  <c r="L96" i="49"/>
  <c r="K96" i="49" s="1"/>
  <c r="J96" i="49" s="1"/>
  <c r="I96" i="49" s="1"/>
  <c r="H96" i="49" s="1"/>
  <c r="G96" i="49" s="1"/>
  <c r="S96" i="49"/>
  <c r="R96" i="49" s="1"/>
  <c r="Q96" i="49" s="1"/>
  <c r="P96" i="49" s="1"/>
  <c r="O96" i="49" s="1"/>
  <c r="N96" i="49" s="1"/>
  <c r="M96" i="49" s="1"/>
  <c r="T96" i="49"/>
  <c r="U96" i="49"/>
  <c r="F97" i="49"/>
  <c r="H97" i="49"/>
  <c r="G97" i="49" s="1"/>
  <c r="I97" i="49"/>
  <c r="K97" i="49"/>
  <c r="J97" i="49" s="1"/>
  <c r="L97" i="49"/>
  <c r="M97" i="49"/>
  <c r="N97" i="49"/>
  <c r="P97" i="49"/>
  <c r="O97" i="49" s="1"/>
  <c r="Q97" i="49"/>
  <c r="R97" i="49"/>
  <c r="U97" i="49"/>
  <c r="T97" i="49" s="1"/>
  <c r="S97" i="49" s="1"/>
  <c r="F98" i="49"/>
  <c r="L98" i="49"/>
  <c r="K98" i="49" s="1"/>
  <c r="J98" i="49" s="1"/>
  <c r="I98" i="49" s="1"/>
  <c r="H98" i="49" s="1"/>
  <c r="G98" i="49" s="1"/>
  <c r="M98" i="49"/>
  <c r="N98" i="49"/>
  <c r="O98" i="49"/>
  <c r="P98" i="49"/>
  <c r="R98" i="49"/>
  <c r="Q98" i="49" s="1"/>
  <c r="S98" i="49"/>
  <c r="U98" i="49"/>
  <c r="T98" i="49" s="1"/>
  <c r="F99" i="49"/>
  <c r="Q99" i="49"/>
  <c r="P99" i="49" s="1"/>
  <c r="O99" i="49" s="1"/>
  <c r="N99" i="49" s="1"/>
  <c r="M99" i="49" s="1"/>
  <c r="L99" i="49" s="1"/>
  <c r="K99" i="49" s="1"/>
  <c r="J99" i="49" s="1"/>
  <c r="I99" i="49" s="1"/>
  <c r="H99" i="49" s="1"/>
  <c r="G99" i="49" s="1"/>
  <c r="R99" i="49"/>
  <c r="S99" i="49"/>
  <c r="T99" i="49"/>
  <c r="U99" i="49"/>
  <c r="F100" i="49"/>
  <c r="G100" i="49"/>
  <c r="I100" i="49"/>
  <c r="H100" i="49" s="1"/>
  <c r="N100" i="49"/>
  <c r="M100" i="49" s="1"/>
  <c r="L100" i="49" s="1"/>
  <c r="K100" i="49" s="1"/>
  <c r="J100" i="49" s="1"/>
  <c r="Q100" i="49"/>
  <c r="P100" i="49" s="1"/>
  <c r="O100" i="49" s="1"/>
  <c r="R100" i="49"/>
  <c r="S100" i="49"/>
  <c r="T100" i="49"/>
  <c r="U100" i="49"/>
  <c r="F101" i="49"/>
  <c r="I101" i="49"/>
  <c r="H101" i="49" s="1"/>
  <c r="G101" i="49" s="1"/>
  <c r="L101" i="49"/>
  <c r="K101" i="49" s="1"/>
  <c r="J101" i="49" s="1"/>
  <c r="M101" i="49"/>
  <c r="N101" i="49"/>
  <c r="P101" i="49"/>
  <c r="O101" i="49" s="1"/>
  <c r="Q101" i="49"/>
  <c r="R101" i="49"/>
  <c r="S101" i="49"/>
  <c r="T101" i="49"/>
  <c r="U101" i="49"/>
  <c r="F102" i="49"/>
  <c r="G102" i="49"/>
  <c r="H102" i="49"/>
  <c r="I102" i="49"/>
  <c r="J102" i="49"/>
  <c r="U102" i="49"/>
  <c r="T102" i="49" s="1"/>
  <c r="S102" i="49" s="1"/>
  <c r="R102" i="49" s="1"/>
  <c r="Q102" i="49" s="1"/>
  <c r="P102" i="49" s="1"/>
  <c r="O102" i="49" s="1"/>
  <c r="N102" i="49" s="1"/>
  <c r="M102" i="49" s="1"/>
  <c r="L102" i="49" s="1"/>
  <c r="K102" i="49" s="1"/>
  <c r="F103" i="49"/>
  <c r="I103" i="49"/>
  <c r="H103" i="49" s="1"/>
  <c r="G103" i="49" s="1"/>
  <c r="J103" i="49"/>
  <c r="K103" i="49"/>
  <c r="L103" i="49"/>
  <c r="M103" i="49"/>
  <c r="N103" i="49"/>
  <c r="U103" i="49"/>
  <c r="T103" i="49" s="1"/>
  <c r="S103" i="49" s="1"/>
  <c r="R103" i="49" s="1"/>
  <c r="Q103" i="49" s="1"/>
  <c r="P103" i="49" s="1"/>
  <c r="O103" i="49" s="1"/>
  <c r="F104" i="49"/>
  <c r="G104" i="49"/>
  <c r="H104" i="49"/>
  <c r="I104" i="49"/>
  <c r="L104" i="49"/>
  <c r="K104" i="49" s="1"/>
  <c r="J104" i="49" s="1"/>
  <c r="M104" i="49"/>
  <c r="N104" i="49"/>
  <c r="O104" i="49"/>
  <c r="P104" i="49"/>
  <c r="Q104" i="49"/>
  <c r="R104" i="49"/>
  <c r="T104" i="49"/>
  <c r="S104" i="49" s="1"/>
  <c r="U104" i="49"/>
  <c r="F105" i="49"/>
  <c r="G105" i="49"/>
  <c r="H105" i="49"/>
  <c r="I105" i="49"/>
  <c r="J105" i="49"/>
  <c r="K105" i="49"/>
  <c r="U105" i="49"/>
  <c r="T105" i="49" s="1"/>
  <c r="S105" i="49" s="1"/>
  <c r="R105" i="49" s="1"/>
  <c r="Q105" i="49" s="1"/>
  <c r="P105" i="49" s="1"/>
  <c r="O105" i="49" s="1"/>
  <c r="N105" i="49" s="1"/>
  <c r="M105" i="49" s="1"/>
  <c r="L105" i="49" s="1"/>
  <c r="F106" i="49"/>
  <c r="G106" i="49"/>
  <c r="H106" i="49"/>
  <c r="I106" i="49"/>
  <c r="J106" i="49"/>
  <c r="K106" i="49"/>
  <c r="L106" i="49"/>
  <c r="M106" i="49"/>
  <c r="N106" i="49"/>
  <c r="O106" i="49"/>
  <c r="P106" i="49"/>
  <c r="U106" i="49"/>
  <c r="T106" i="49" s="1"/>
  <c r="S106" i="49" s="1"/>
  <c r="R106" i="49" s="1"/>
  <c r="Q106" i="49" s="1"/>
  <c r="F107" i="49"/>
  <c r="P107" i="49"/>
  <c r="O107" i="49" s="1"/>
  <c r="N107" i="49" s="1"/>
  <c r="M107" i="49" s="1"/>
  <c r="L107" i="49" s="1"/>
  <c r="K107" i="49" s="1"/>
  <c r="J107" i="49" s="1"/>
  <c r="I107" i="49" s="1"/>
  <c r="H107" i="49" s="1"/>
  <c r="G107" i="49" s="1"/>
  <c r="Q107" i="49"/>
  <c r="R107" i="49"/>
  <c r="S107" i="49"/>
  <c r="T107" i="49"/>
  <c r="U107" i="49"/>
  <c r="F108" i="49"/>
  <c r="G108" i="49"/>
  <c r="H108" i="49"/>
  <c r="I108" i="49"/>
  <c r="L108" i="49"/>
  <c r="K108" i="49" s="1"/>
  <c r="J108" i="49" s="1"/>
  <c r="M108" i="49"/>
  <c r="N108" i="49"/>
  <c r="O108" i="49"/>
  <c r="T108" i="49"/>
  <c r="S108" i="49" s="1"/>
  <c r="R108" i="49" s="1"/>
  <c r="Q108" i="49" s="1"/>
  <c r="P108" i="49" s="1"/>
  <c r="U108" i="49"/>
  <c r="F109" i="49"/>
  <c r="U109" i="49"/>
  <c r="T109" i="49" s="1"/>
  <c r="S109" i="49" s="1"/>
  <c r="R109" i="49" s="1"/>
  <c r="Q109" i="49" s="1"/>
  <c r="P109" i="49" s="1"/>
  <c r="O109" i="49" s="1"/>
  <c r="N109" i="49" s="1"/>
  <c r="M109" i="49" s="1"/>
  <c r="L109" i="49" s="1"/>
  <c r="K109" i="49" s="1"/>
  <c r="J109" i="49" s="1"/>
  <c r="I109" i="49" s="1"/>
  <c r="H109" i="49" s="1"/>
  <c r="G109" i="49" s="1"/>
  <c r="F110" i="49"/>
  <c r="G110" i="49"/>
  <c r="H110" i="49"/>
  <c r="I110" i="49"/>
  <c r="J110" i="49"/>
  <c r="L110" i="49"/>
  <c r="K110" i="49" s="1"/>
  <c r="M110" i="49"/>
  <c r="N110" i="49"/>
  <c r="O110" i="49"/>
  <c r="P110" i="49"/>
  <c r="Q110" i="49"/>
  <c r="R110" i="49"/>
  <c r="S110" i="49"/>
  <c r="U110" i="49"/>
  <c r="T110" i="49" s="1"/>
  <c r="F111" i="49"/>
  <c r="M111" i="49"/>
  <c r="L111" i="49" s="1"/>
  <c r="K111" i="49" s="1"/>
  <c r="J111" i="49" s="1"/>
  <c r="I111" i="49" s="1"/>
  <c r="H111" i="49" s="1"/>
  <c r="G111" i="49" s="1"/>
  <c r="P111" i="49"/>
  <c r="O111" i="49" s="1"/>
  <c r="N111" i="49" s="1"/>
  <c r="Q111" i="49"/>
  <c r="U111" i="49"/>
  <c r="T111" i="49" s="1"/>
  <c r="S111" i="49" s="1"/>
  <c r="R111" i="49" s="1"/>
  <c r="F112" i="49"/>
  <c r="U112" i="49"/>
  <c r="T112" i="49" s="1"/>
  <c r="S112" i="49" s="1"/>
  <c r="R112" i="49" s="1"/>
  <c r="Q112" i="49" s="1"/>
  <c r="P112" i="49" s="1"/>
  <c r="O112" i="49" s="1"/>
  <c r="N112" i="49" s="1"/>
  <c r="M112" i="49" s="1"/>
  <c r="L112" i="49" s="1"/>
  <c r="K112" i="49" s="1"/>
  <c r="J112" i="49" s="1"/>
  <c r="I112" i="49" s="1"/>
  <c r="H112" i="49" s="1"/>
  <c r="G112" i="49" s="1"/>
  <c r="F113" i="49"/>
  <c r="K113" i="49"/>
  <c r="J113" i="49" s="1"/>
  <c r="I113" i="49" s="1"/>
  <c r="H113" i="49" s="1"/>
  <c r="G113" i="49" s="1"/>
  <c r="L113" i="49"/>
  <c r="M113" i="49"/>
  <c r="N113" i="49"/>
  <c r="O113" i="49"/>
  <c r="U113" i="49"/>
  <c r="T113" i="49" s="1"/>
  <c r="S113" i="49" s="1"/>
  <c r="R113" i="49" s="1"/>
  <c r="Q113" i="49" s="1"/>
  <c r="P113" i="49" s="1"/>
  <c r="F114" i="49"/>
  <c r="H114" i="49"/>
  <c r="G114" i="49" s="1"/>
  <c r="J114" i="49"/>
  <c r="I114" i="49" s="1"/>
  <c r="K114" i="49"/>
  <c r="L114" i="49"/>
  <c r="M114" i="49"/>
  <c r="N114" i="49"/>
  <c r="O114" i="49"/>
  <c r="S114" i="49"/>
  <c r="R114" i="49" s="1"/>
  <c r="Q114" i="49" s="1"/>
  <c r="P114" i="49" s="1"/>
  <c r="U114" i="49"/>
  <c r="T114" i="49" s="1"/>
  <c r="F115" i="49"/>
  <c r="J115" i="49"/>
  <c r="I115" i="49" s="1"/>
  <c r="H115" i="49" s="1"/>
  <c r="G115" i="49" s="1"/>
  <c r="L115" i="49"/>
  <c r="K115" i="49" s="1"/>
  <c r="U115" i="49"/>
  <c r="T115" i="49" s="1"/>
  <c r="S115" i="49" s="1"/>
  <c r="R115" i="49" s="1"/>
  <c r="Q115" i="49" s="1"/>
  <c r="P115" i="49" s="1"/>
  <c r="O115" i="49" s="1"/>
  <c r="N115" i="49" s="1"/>
  <c r="M115" i="49" s="1"/>
  <c r="F116" i="49"/>
  <c r="I116" i="49"/>
  <c r="H116" i="49" s="1"/>
  <c r="G116" i="49" s="1"/>
  <c r="J116" i="49"/>
  <c r="K116" i="49"/>
  <c r="L116" i="49"/>
  <c r="U116" i="49"/>
  <c r="T116" i="49" s="1"/>
  <c r="S116" i="49" s="1"/>
  <c r="R116" i="49" s="1"/>
  <c r="Q116" i="49" s="1"/>
  <c r="P116" i="49" s="1"/>
  <c r="O116" i="49" s="1"/>
  <c r="N116" i="49" s="1"/>
  <c r="M116" i="49" s="1"/>
  <c r="F117" i="49"/>
  <c r="I117" i="49"/>
  <c r="H117" i="49" s="1"/>
  <c r="G117" i="49" s="1"/>
  <c r="K117" i="49"/>
  <c r="J117" i="49" s="1"/>
  <c r="M117" i="49"/>
  <c r="L117" i="49" s="1"/>
  <c r="U117" i="49"/>
  <c r="T117" i="49" s="1"/>
  <c r="S117" i="49" s="1"/>
  <c r="R117" i="49" s="1"/>
  <c r="Q117" i="49" s="1"/>
  <c r="P117" i="49" s="1"/>
  <c r="O117" i="49" s="1"/>
  <c r="N117" i="49" s="1"/>
  <c r="F118" i="49"/>
  <c r="I118" i="49"/>
  <c r="H118" i="49" s="1"/>
  <c r="G118" i="49" s="1"/>
  <c r="L118" i="49"/>
  <c r="K118" i="49" s="1"/>
  <c r="J118" i="49" s="1"/>
  <c r="M118" i="49"/>
  <c r="U118" i="49"/>
  <c r="T118" i="49" s="1"/>
  <c r="S118" i="49" s="1"/>
  <c r="R118" i="49" s="1"/>
  <c r="Q118" i="49" s="1"/>
  <c r="P118" i="49" s="1"/>
  <c r="O118" i="49" s="1"/>
  <c r="N118" i="49" s="1"/>
  <c r="F119" i="49"/>
  <c r="H119" i="49"/>
  <c r="G119" i="49" s="1"/>
  <c r="I119" i="49"/>
  <c r="L119" i="49"/>
  <c r="K119" i="49" s="1"/>
  <c r="J119" i="49" s="1"/>
  <c r="N119" i="49"/>
  <c r="M119" i="49" s="1"/>
  <c r="O119" i="49"/>
  <c r="P119" i="49"/>
  <c r="Q119" i="49"/>
  <c r="R119" i="49"/>
  <c r="S119" i="49"/>
  <c r="T119" i="49"/>
  <c r="U119" i="49"/>
  <c r="F120" i="49"/>
  <c r="L120" i="49"/>
  <c r="K120" i="49" s="1"/>
  <c r="J120" i="49" s="1"/>
  <c r="I120" i="49" s="1"/>
  <c r="H120" i="49" s="1"/>
  <c r="G120" i="49" s="1"/>
  <c r="M120" i="49"/>
  <c r="Q120" i="49"/>
  <c r="P120" i="49" s="1"/>
  <c r="O120" i="49" s="1"/>
  <c r="N120" i="49" s="1"/>
  <c r="U120" i="49"/>
  <c r="T120" i="49" s="1"/>
  <c r="S120" i="49" s="1"/>
  <c r="R120" i="49" s="1"/>
  <c r="F121" i="49"/>
  <c r="U121" i="49"/>
  <c r="T121" i="49" s="1"/>
  <c r="S121" i="49" s="1"/>
  <c r="R121" i="49" s="1"/>
  <c r="Q121" i="49" s="1"/>
  <c r="P121" i="49" s="1"/>
  <c r="O121" i="49" s="1"/>
  <c r="N121" i="49" s="1"/>
  <c r="M121" i="49" s="1"/>
  <c r="L121" i="49" s="1"/>
  <c r="K121" i="49" s="1"/>
  <c r="J121" i="49" s="1"/>
  <c r="I121" i="49" s="1"/>
  <c r="H121" i="49" s="1"/>
  <c r="G121" i="49" s="1"/>
  <c r="F122" i="49"/>
  <c r="T122" i="49"/>
  <c r="S122" i="49" s="1"/>
  <c r="R122" i="49" s="1"/>
  <c r="Q122" i="49" s="1"/>
  <c r="P122" i="49" s="1"/>
  <c r="O122" i="49" s="1"/>
  <c r="N122" i="49" s="1"/>
  <c r="M122" i="49" s="1"/>
  <c r="L122" i="49" s="1"/>
  <c r="K122" i="49" s="1"/>
  <c r="J122" i="49" s="1"/>
  <c r="I122" i="49" s="1"/>
  <c r="H122" i="49" s="1"/>
  <c r="G122" i="49" s="1"/>
  <c r="U122" i="49"/>
  <c r="F123" i="49"/>
  <c r="G123" i="49"/>
  <c r="H123" i="49"/>
  <c r="I123" i="49"/>
  <c r="J123" i="49"/>
  <c r="K123" i="49"/>
  <c r="L123" i="49"/>
  <c r="U123" i="49"/>
  <c r="T123" i="49" s="1"/>
  <c r="S123" i="49" s="1"/>
  <c r="R123" i="49" s="1"/>
  <c r="Q123" i="49" s="1"/>
  <c r="P123" i="49" s="1"/>
  <c r="O123" i="49" s="1"/>
  <c r="N123" i="49" s="1"/>
  <c r="M123" i="49" s="1"/>
  <c r="F124" i="49"/>
  <c r="G124" i="49"/>
  <c r="H124" i="49"/>
  <c r="I124" i="49"/>
  <c r="U124" i="49"/>
  <c r="T124" i="49" s="1"/>
  <c r="S124" i="49" s="1"/>
  <c r="R124" i="49" s="1"/>
  <c r="Q124" i="49" s="1"/>
  <c r="P124" i="49" s="1"/>
  <c r="O124" i="49" s="1"/>
  <c r="N124" i="49" s="1"/>
  <c r="M124" i="49" s="1"/>
  <c r="L124" i="49" s="1"/>
  <c r="K124" i="49" s="1"/>
  <c r="J124" i="49" s="1"/>
  <c r="F125" i="49"/>
  <c r="G125" i="49"/>
  <c r="H125" i="49"/>
  <c r="U125" i="49"/>
  <c r="T125" i="49" s="1"/>
  <c r="S125" i="49" s="1"/>
  <c r="R125" i="49" s="1"/>
  <c r="Q125" i="49" s="1"/>
  <c r="P125" i="49" s="1"/>
  <c r="O125" i="49" s="1"/>
  <c r="N125" i="49" s="1"/>
  <c r="M125" i="49" s="1"/>
  <c r="L125" i="49" s="1"/>
  <c r="K125" i="49" s="1"/>
  <c r="J125" i="49" s="1"/>
  <c r="I125" i="49" s="1"/>
  <c r="F126" i="49"/>
  <c r="G126" i="49"/>
  <c r="H126" i="49"/>
  <c r="I126" i="49"/>
  <c r="J126" i="49"/>
  <c r="K126" i="49"/>
  <c r="L126" i="49"/>
  <c r="M126" i="49"/>
  <c r="N126" i="49"/>
  <c r="O126" i="49"/>
  <c r="P126" i="49"/>
  <c r="Q126" i="49"/>
  <c r="R126" i="49"/>
  <c r="S126" i="49"/>
  <c r="U126" i="49"/>
  <c r="T126" i="49" s="1"/>
  <c r="F127" i="49"/>
  <c r="L127" i="49"/>
  <c r="K127" i="49" s="1"/>
  <c r="J127" i="49" s="1"/>
  <c r="I127" i="49" s="1"/>
  <c r="H127" i="49" s="1"/>
  <c r="G127" i="49" s="1"/>
  <c r="M127" i="49"/>
  <c r="N127" i="49"/>
  <c r="O127" i="49"/>
  <c r="P127" i="49"/>
  <c r="R127" i="49"/>
  <c r="Q127" i="49" s="1"/>
  <c r="U127" i="49"/>
  <c r="T127" i="49" s="1"/>
  <c r="S127" i="49" s="1"/>
  <c r="F128" i="49"/>
  <c r="H128" i="49"/>
  <c r="G128" i="49" s="1"/>
  <c r="K128" i="49"/>
  <c r="J128" i="49" s="1"/>
  <c r="I128" i="49" s="1"/>
  <c r="M128" i="49"/>
  <c r="L128" i="49" s="1"/>
  <c r="N128" i="49"/>
  <c r="O128" i="49"/>
  <c r="R128" i="49"/>
  <c r="Q128" i="49" s="1"/>
  <c r="P128" i="49" s="1"/>
  <c r="S128" i="49"/>
  <c r="T128" i="49"/>
  <c r="U128" i="49"/>
  <c r="F129" i="49"/>
  <c r="J129" i="49"/>
  <c r="I129" i="49" s="1"/>
  <c r="H129" i="49" s="1"/>
  <c r="G129" i="49" s="1"/>
  <c r="M129" i="49"/>
  <c r="L129" i="49" s="1"/>
  <c r="K129" i="49" s="1"/>
  <c r="N129" i="49"/>
  <c r="O129" i="49"/>
  <c r="P129" i="49"/>
  <c r="Q129" i="49"/>
  <c r="R129" i="49"/>
  <c r="S129" i="49"/>
  <c r="T129" i="49"/>
  <c r="U129" i="49"/>
  <c r="F130" i="49"/>
  <c r="G130" i="49"/>
  <c r="L130" i="49"/>
  <c r="K130" i="49" s="1"/>
  <c r="J130" i="49" s="1"/>
  <c r="I130" i="49" s="1"/>
  <c r="H130" i="49" s="1"/>
  <c r="M130" i="49"/>
  <c r="N130" i="49"/>
  <c r="O130" i="49"/>
  <c r="P130" i="49"/>
  <c r="Q130" i="49"/>
  <c r="U130" i="49"/>
  <c r="T130" i="49" s="1"/>
  <c r="S130" i="49" s="1"/>
  <c r="R130" i="49" s="1"/>
  <c r="F131" i="49"/>
  <c r="U131" i="49"/>
  <c r="T131" i="49" s="1"/>
  <c r="S131" i="49" s="1"/>
  <c r="R131" i="49" s="1"/>
  <c r="Q131" i="49" s="1"/>
  <c r="P131" i="49" s="1"/>
  <c r="O131" i="49" s="1"/>
  <c r="N131" i="49" s="1"/>
  <c r="M131" i="49" s="1"/>
  <c r="L131" i="49" s="1"/>
  <c r="K131" i="49" s="1"/>
  <c r="J131" i="49" s="1"/>
  <c r="I131" i="49" s="1"/>
  <c r="H131" i="49" s="1"/>
  <c r="G131" i="49" s="1"/>
  <c r="F132" i="49"/>
  <c r="H132" i="49"/>
  <c r="G132" i="49" s="1"/>
  <c r="I132" i="49"/>
  <c r="J132" i="49"/>
  <c r="U132" i="49"/>
  <c r="T132" i="49" s="1"/>
  <c r="S132" i="49" s="1"/>
  <c r="R132" i="49" s="1"/>
  <c r="Q132" i="49" s="1"/>
  <c r="P132" i="49" s="1"/>
  <c r="O132" i="49" s="1"/>
  <c r="N132" i="49" s="1"/>
  <c r="M132" i="49" s="1"/>
  <c r="L132" i="49" s="1"/>
  <c r="K132" i="49" s="1"/>
  <c r="F133" i="49"/>
  <c r="H133" i="49"/>
  <c r="G133" i="49" s="1"/>
  <c r="L133" i="49"/>
  <c r="K133" i="49" s="1"/>
  <c r="J133" i="49" s="1"/>
  <c r="I133" i="49" s="1"/>
  <c r="N133" i="49"/>
  <c r="M133" i="49" s="1"/>
  <c r="O133" i="49"/>
  <c r="P133" i="49"/>
  <c r="S133" i="49"/>
  <c r="R133" i="49" s="1"/>
  <c r="Q133" i="49" s="1"/>
  <c r="T133" i="49"/>
  <c r="U133" i="49"/>
  <c r="F134" i="49"/>
  <c r="L134" i="49"/>
  <c r="K134" i="49" s="1"/>
  <c r="J134" i="49" s="1"/>
  <c r="I134" i="49" s="1"/>
  <c r="H134" i="49" s="1"/>
  <c r="G134" i="49" s="1"/>
  <c r="M134" i="49"/>
  <c r="N134" i="49"/>
  <c r="O134" i="49"/>
  <c r="P134" i="49"/>
  <c r="Q134" i="49"/>
  <c r="S134" i="49"/>
  <c r="R134" i="49" s="1"/>
  <c r="T134" i="49"/>
  <c r="U134" i="49"/>
  <c r="F135" i="49"/>
  <c r="I135" i="49"/>
  <c r="H135" i="49" s="1"/>
  <c r="G135" i="49" s="1"/>
  <c r="K135" i="49"/>
  <c r="J135" i="49" s="1"/>
  <c r="L135" i="49"/>
  <c r="N135" i="49"/>
  <c r="M135" i="49" s="1"/>
  <c r="O135" i="49"/>
  <c r="P135" i="49"/>
  <c r="Q135" i="49"/>
  <c r="R135" i="49"/>
  <c r="S135" i="49"/>
  <c r="U135" i="49"/>
  <c r="T135" i="49" s="1"/>
  <c r="F136" i="49"/>
  <c r="G136" i="49"/>
  <c r="H136" i="49"/>
  <c r="I136" i="49"/>
  <c r="J136" i="49"/>
  <c r="K136" i="49"/>
  <c r="L136" i="49"/>
  <c r="M136" i="49"/>
  <c r="N136" i="49"/>
  <c r="U136" i="49"/>
  <c r="T136" i="49" s="1"/>
  <c r="S136" i="49" s="1"/>
  <c r="R136" i="49" s="1"/>
  <c r="Q136" i="49" s="1"/>
  <c r="P136" i="49" s="1"/>
  <c r="O136" i="49" s="1"/>
  <c r="F137" i="49"/>
  <c r="H137" i="49"/>
  <c r="G137" i="49" s="1"/>
  <c r="I137" i="49"/>
  <c r="L137" i="49"/>
  <c r="K137" i="49" s="1"/>
  <c r="J137" i="49" s="1"/>
  <c r="M137" i="49"/>
  <c r="N137" i="49"/>
  <c r="O137" i="49"/>
  <c r="P137" i="49"/>
  <c r="Q137" i="49"/>
  <c r="S137" i="49"/>
  <c r="R137" i="49" s="1"/>
  <c r="U137" i="49"/>
  <c r="T137" i="49" s="1"/>
  <c r="F138" i="49"/>
  <c r="G138" i="49"/>
  <c r="H138" i="49"/>
  <c r="I138" i="49"/>
  <c r="J138" i="49"/>
  <c r="K138" i="49"/>
  <c r="M138" i="49"/>
  <c r="L138" i="49" s="1"/>
  <c r="N138" i="49"/>
  <c r="O138" i="49"/>
  <c r="U138" i="49"/>
  <c r="T138" i="49" s="1"/>
  <c r="S138" i="49" s="1"/>
  <c r="R138" i="49" s="1"/>
  <c r="Q138" i="49" s="1"/>
  <c r="P138" i="49" s="1"/>
  <c r="F139" i="49"/>
  <c r="S139" i="49"/>
  <c r="R139" i="49" s="1"/>
  <c r="Q139" i="49" s="1"/>
  <c r="P139" i="49" s="1"/>
  <c r="O139" i="49" s="1"/>
  <c r="N139" i="49" s="1"/>
  <c r="M139" i="49" s="1"/>
  <c r="L139" i="49" s="1"/>
  <c r="K139" i="49" s="1"/>
  <c r="J139" i="49" s="1"/>
  <c r="I139" i="49" s="1"/>
  <c r="H139" i="49" s="1"/>
  <c r="G139" i="49" s="1"/>
  <c r="T139" i="49"/>
  <c r="U139" i="49"/>
  <c r="F140" i="49"/>
  <c r="G140" i="49"/>
  <c r="I140" i="49"/>
  <c r="H140" i="49" s="1"/>
  <c r="J140" i="49"/>
  <c r="L140" i="49"/>
  <c r="K140" i="49" s="1"/>
  <c r="M140" i="49"/>
  <c r="N140" i="49"/>
  <c r="O140" i="49"/>
  <c r="P140" i="49"/>
  <c r="Q140" i="49"/>
  <c r="R140" i="49"/>
  <c r="S140" i="49"/>
  <c r="T140" i="49"/>
  <c r="U140" i="49"/>
  <c r="F141" i="49"/>
  <c r="J141" i="49"/>
  <c r="I141" i="49" s="1"/>
  <c r="H141" i="49" s="1"/>
  <c r="G141" i="49" s="1"/>
  <c r="K141" i="49"/>
  <c r="L141" i="49"/>
  <c r="M141" i="49"/>
  <c r="Q141" i="49"/>
  <c r="P141" i="49" s="1"/>
  <c r="O141" i="49" s="1"/>
  <c r="N141" i="49" s="1"/>
  <c r="U141" i="49"/>
  <c r="T141" i="49" s="1"/>
  <c r="S141" i="49" s="1"/>
  <c r="R141" i="49" s="1"/>
  <c r="F142" i="49"/>
  <c r="H142" i="49"/>
  <c r="G142" i="49" s="1"/>
  <c r="J142" i="49"/>
  <c r="I142" i="49" s="1"/>
  <c r="N142" i="49"/>
  <c r="M142" i="49" s="1"/>
  <c r="L142" i="49" s="1"/>
  <c r="K142" i="49" s="1"/>
  <c r="O142" i="49"/>
  <c r="P142" i="49"/>
  <c r="Q142" i="49"/>
  <c r="R142" i="49"/>
  <c r="S142" i="49"/>
  <c r="T142" i="49"/>
  <c r="U142" i="49"/>
  <c r="F143" i="49"/>
  <c r="G143" i="49"/>
  <c r="H143" i="49"/>
  <c r="J143" i="49"/>
  <c r="I143" i="49" s="1"/>
  <c r="K143" i="49"/>
  <c r="L143" i="49"/>
  <c r="M143" i="49"/>
  <c r="N143" i="49"/>
  <c r="O143" i="49"/>
  <c r="U143" i="49"/>
  <c r="T143" i="49" s="1"/>
  <c r="S143" i="49" s="1"/>
  <c r="R143" i="49" s="1"/>
  <c r="Q143" i="49" s="1"/>
  <c r="P143" i="49" s="1"/>
  <c r="F144" i="49"/>
  <c r="U144" i="49"/>
  <c r="T144" i="49" s="1"/>
  <c r="S144" i="49" s="1"/>
  <c r="R144" i="49" s="1"/>
  <c r="Q144" i="49" s="1"/>
  <c r="P144" i="49" s="1"/>
  <c r="O144" i="49" s="1"/>
  <c r="N144" i="49" s="1"/>
  <c r="M144" i="49" s="1"/>
  <c r="L144" i="49" s="1"/>
  <c r="K144" i="49" s="1"/>
  <c r="J144" i="49" s="1"/>
  <c r="I144" i="49" s="1"/>
  <c r="H144" i="49" s="1"/>
  <c r="G144" i="49" s="1"/>
  <c r="F145" i="49"/>
  <c r="U145" i="49"/>
  <c r="T145" i="49" s="1"/>
  <c r="S145" i="49" s="1"/>
  <c r="R145" i="49" s="1"/>
  <c r="Q145" i="49" s="1"/>
  <c r="P145" i="49" s="1"/>
  <c r="O145" i="49" s="1"/>
  <c r="N145" i="49" s="1"/>
  <c r="M145" i="49" s="1"/>
  <c r="L145" i="49" s="1"/>
  <c r="K145" i="49" s="1"/>
  <c r="J145" i="49" s="1"/>
  <c r="I145" i="49" s="1"/>
  <c r="H145" i="49" s="1"/>
  <c r="G145" i="49" s="1"/>
  <c r="F146" i="49"/>
  <c r="U146" i="49"/>
  <c r="T146" i="49" s="1"/>
  <c r="S146" i="49" s="1"/>
  <c r="R146" i="49" s="1"/>
  <c r="Q146" i="49" s="1"/>
  <c r="P146" i="49" s="1"/>
  <c r="O146" i="49" s="1"/>
  <c r="N146" i="49" s="1"/>
  <c r="M146" i="49" s="1"/>
  <c r="L146" i="49" s="1"/>
  <c r="K146" i="49" s="1"/>
  <c r="J146" i="49" s="1"/>
  <c r="I146" i="49" s="1"/>
  <c r="H146" i="49" s="1"/>
  <c r="G146" i="49" s="1"/>
  <c r="F147" i="49"/>
  <c r="G147" i="49"/>
  <c r="H147" i="49"/>
  <c r="I147" i="49"/>
  <c r="U147" i="49"/>
  <c r="T147" i="49" s="1"/>
  <c r="S147" i="49" s="1"/>
  <c r="R147" i="49" s="1"/>
  <c r="Q147" i="49" s="1"/>
  <c r="P147" i="49" s="1"/>
  <c r="O147" i="49" s="1"/>
  <c r="N147" i="49" s="1"/>
  <c r="M147" i="49" s="1"/>
  <c r="L147" i="49" s="1"/>
  <c r="K147" i="49" s="1"/>
  <c r="J147" i="49" s="1"/>
  <c r="F148" i="49"/>
  <c r="H148" i="49"/>
  <c r="G148" i="49" s="1"/>
  <c r="I148" i="49"/>
  <c r="J148" i="49"/>
  <c r="Q148" i="49"/>
  <c r="P148" i="49" s="1"/>
  <c r="O148" i="49" s="1"/>
  <c r="N148" i="49" s="1"/>
  <c r="M148" i="49" s="1"/>
  <c r="L148" i="49" s="1"/>
  <c r="K148" i="49" s="1"/>
  <c r="U148" i="49"/>
  <c r="T148" i="49" s="1"/>
  <c r="S148" i="49" s="1"/>
  <c r="R148" i="49" s="1"/>
  <c r="F149" i="49"/>
  <c r="G149" i="49"/>
  <c r="H149" i="49"/>
  <c r="L149" i="49"/>
  <c r="K149" i="49" s="1"/>
  <c r="J149" i="49" s="1"/>
  <c r="I149" i="49" s="1"/>
  <c r="U149" i="49"/>
  <c r="T149" i="49" s="1"/>
  <c r="S149" i="49" s="1"/>
  <c r="R149" i="49" s="1"/>
  <c r="Q149" i="49" s="1"/>
  <c r="P149" i="49" s="1"/>
  <c r="O149" i="49" s="1"/>
  <c r="N149" i="49" s="1"/>
  <c r="M149" i="49" s="1"/>
  <c r="F150" i="49"/>
  <c r="L150" i="49"/>
  <c r="K150" i="49" s="1"/>
  <c r="J150" i="49" s="1"/>
  <c r="I150" i="49" s="1"/>
  <c r="H150" i="49" s="1"/>
  <c r="G150" i="49" s="1"/>
  <c r="U150" i="49"/>
  <c r="T150" i="49" s="1"/>
  <c r="S150" i="49" s="1"/>
  <c r="R150" i="49" s="1"/>
  <c r="Q150" i="49" s="1"/>
  <c r="P150" i="49" s="1"/>
  <c r="O150" i="49" s="1"/>
  <c r="N150" i="49" s="1"/>
  <c r="M150" i="49" s="1"/>
  <c r="F151" i="49"/>
  <c r="I151" i="49"/>
  <c r="H151" i="49" s="1"/>
  <c r="G151" i="49" s="1"/>
  <c r="L151" i="49"/>
  <c r="K151" i="49" s="1"/>
  <c r="J151" i="49" s="1"/>
  <c r="M151" i="49"/>
  <c r="N151" i="49"/>
  <c r="U151" i="49"/>
  <c r="T151" i="49" s="1"/>
  <c r="S151" i="49" s="1"/>
  <c r="R151" i="49" s="1"/>
  <c r="Q151" i="49" s="1"/>
  <c r="P151" i="49" s="1"/>
  <c r="O151" i="49" s="1"/>
  <c r="F152" i="49"/>
  <c r="H152" i="49"/>
  <c r="G152" i="49" s="1"/>
  <c r="I152" i="49"/>
  <c r="J152" i="49"/>
  <c r="U152" i="49"/>
  <c r="T152" i="49" s="1"/>
  <c r="S152" i="49" s="1"/>
  <c r="R152" i="49" s="1"/>
  <c r="Q152" i="49" s="1"/>
  <c r="P152" i="49" s="1"/>
  <c r="O152" i="49" s="1"/>
  <c r="N152" i="49" s="1"/>
  <c r="M152" i="49" s="1"/>
  <c r="L152" i="49" s="1"/>
  <c r="K152" i="49" s="1"/>
  <c r="F153" i="49"/>
  <c r="U153" i="49"/>
  <c r="T153" i="49" s="1"/>
  <c r="S153" i="49" s="1"/>
  <c r="R153" i="49" s="1"/>
  <c r="Q153" i="49" s="1"/>
  <c r="P153" i="49" s="1"/>
  <c r="O153" i="49" s="1"/>
  <c r="N153" i="49" s="1"/>
  <c r="M153" i="49" s="1"/>
  <c r="L153" i="49" s="1"/>
  <c r="K153" i="49" s="1"/>
  <c r="J153" i="49" s="1"/>
  <c r="I153" i="49" s="1"/>
  <c r="H153" i="49" s="1"/>
  <c r="G153" i="49" s="1"/>
  <c r="F154" i="49"/>
  <c r="U154" i="49"/>
  <c r="T154" i="49" s="1"/>
  <c r="S154" i="49" s="1"/>
  <c r="R154" i="49" s="1"/>
  <c r="Q154" i="49" s="1"/>
  <c r="P154" i="49" s="1"/>
  <c r="O154" i="49" s="1"/>
  <c r="N154" i="49" s="1"/>
  <c r="M154" i="49" s="1"/>
  <c r="L154" i="49" s="1"/>
  <c r="K154" i="49" s="1"/>
  <c r="J154" i="49" s="1"/>
  <c r="I154" i="49" s="1"/>
  <c r="H154" i="49" s="1"/>
  <c r="G154" i="49" s="1"/>
  <c r="F155" i="49"/>
  <c r="G155" i="49"/>
  <c r="H155" i="49"/>
  <c r="I155" i="49"/>
  <c r="J155" i="49"/>
  <c r="K155" i="49"/>
  <c r="L155" i="49"/>
  <c r="M155" i="49"/>
  <c r="N155" i="49"/>
  <c r="U155" i="49"/>
  <c r="T155" i="49" s="1"/>
  <c r="S155" i="49" s="1"/>
  <c r="R155" i="49" s="1"/>
  <c r="Q155" i="49" s="1"/>
  <c r="P155" i="49" s="1"/>
  <c r="O155" i="49" s="1"/>
  <c r="F156" i="49"/>
  <c r="G156" i="49"/>
  <c r="K156" i="49"/>
  <c r="J156" i="49" s="1"/>
  <c r="I156" i="49" s="1"/>
  <c r="H156" i="49" s="1"/>
  <c r="L156" i="49"/>
  <c r="M156" i="49"/>
  <c r="N156" i="49"/>
  <c r="U156" i="49"/>
  <c r="T156" i="49" s="1"/>
  <c r="S156" i="49" s="1"/>
  <c r="R156" i="49" s="1"/>
  <c r="Q156" i="49" s="1"/>
  <c r="P156" i="49" s="1"/>
  <c r="O156" i="49" s="1"/>
  <c r="F157" i="49"/>
  <c r="G157" i="49"/>
  <c r="H157" i="49"/>
  <c r="U157" i="49"/>
  <c r="T157" i="49" s="1"/>
  <c r="S157" i="49" s="1"/>
  <c r="R157" i="49" s="1"/>
  <c r="Q157" i="49" s="1"/>
  <c r="P157" i="49" s="1"/>
  <c r="O157" i="49" s="1"/>
  <c r="N157" i="49" s="1"/>
  <c r="M157" i="49" s="1"/>
  <c r="L157" i="49" s="1"/>
  <c r="K157" i="49" s="1"/>
  <c r="J157" i="49" s="1"/>
  <c r="I157" i="49" s="1"/>
  <c r="F158" i="49"/>
  <c r="G158" i="49"/>
  <c r="H158" i="49"/>
  <c r="I158" i="49"/>
  <c r="J158" i="49"/>
  <c r="U158" i="49"/>
  <c r="T158" i="49" s="1"/>
  <c r="S158" i="49" s="1"/>
  <c r="R158" i="49" s="1"/>
  <c r="Q158" i="49" s="1"/>
  <c r="P158" i="49" s="1"/>
  <c r="O158" i="49" s="1"/>
  <c r="N158" i="49" s="1"/>
  <c r="M158" i="49" s="1"/>
  <c r="L158" i="49" s="1"/>
  <c r="K158" i="49" s="1"/>
  <c r="F159" i="49"/>
  <c r="H159" i="49"/>
  <c r="G159" i="49" s="1"/>
  <c r="I159" i="49"/>
  <c r="J159" i="49"/>
  <c r="M159" i="49"/>
  <c r="L159" i="49" s="1"/>
  <c r="K159" i="49" s="1"/>
  <c r="O159" i="49"/>
  <c r="N159" i="49" s="1"/>
  <c r="P159" i="49"/>
  <c r="Q159" i="49"/>
  <c r="R159" i="49"/>
  <c r="U159" i="49"/>
  <c r="T159" i="49" s="1"/>
  <c r="S159" i="49" s="1"/>
  <c r="F160" i="49"/>
  <c r="I160" i="49"/>
  <c r="H160" i="49" s="1"/>
  <c r="G160" i="49" s="1"/>
  <c r="L160" i="49"/>
  <c r="K160" i="49" s="1"/>
  <c r="J160" i="49" s="1"/>
  <c r="M160" i="49"/>
  <c r="U160" i="49"/>
  <c r="T160" i="49" s="1"/>
  <c r="S160" i="49" s="1"/>
  <c r="R160" i="49" s="1"/>
  <c r="Q160" i="49" s="1"/>
  <c r="P160" i="49" s="1"/>
  <c r="O160" i="49" s="1"/>
  <c r="N160" i="49" s="1"/>
  <c r="F161" i="49"/>
  <c r="G161" i="49"/>
  <c r="I161" i="49"/>
  <c r="H161" i="49" s="1"/>
  <c r="J161" i="49"/>
  <c r="K161" i="49"/>
  <c r="L161" i="49"/>
  <c r="M161" i="49"/>
  <c r="N161" i="49"/>
  <c r="O161" i="49"/>
  <c r="U161" i="49"/>
  <c r="T161" i="49" s="1"/>
  <c r="S161" i="49" s="1"/>
  <c r="R161" i="49" s="1"/>
  <c r="Q161" i="49" s="1"/>
  <c r="P161" i="49" s="1"/>
  <c r="F162" i="49"/>
  <c r="I162" i="49"/>
  <c r="H162" i="49" s="1"/>
  <c r="G162" i="49" s="1"/>
  <c r="J162" i="49"/>
  <c r="L162" i="49"/>
  <c r="K162" i="49" s="1"/>
  <c r="M162" i="49"/>
  <c r="N162" i="49"/>
  <c r="O162" i="49"/>
  <c r="P162" i="49"/>
  <c r="Q162" i="49"/>
  <c r="R162" i="49"/>
  <c r="S162" i="49"/>
  <c r="T162" i="49"/>
  <c r="U162" i="49"/>
  <c r="F163" i="49"/>
  <c r="H163" i="49"/>
  <c r="G163" i="49" s="1"/>
  <c r="I163" i="49"/>
  <c r="J163" i="49"/>
  <c r="K163" i="49"/>
  <c r="L163" i="49"/>
  <c r="M163" i="49"/>
  <c r="N163" i="49"/>
  <c r="O163" i="49"/>
  <c r="P163" i="49"/>
  <c r="Q163" i="49"/>
  <c r="S163" i="49"/>
  <c r="R163" i="49" s="1"/>
  <c r="T163" i="49"/>
  <c r="U163" i="49"/>
  <c r="F164" i="49"/>
  <c r="G164" i="49"/>
  <c r="H164" i="49"/>
  <c r="I164" i="49"/>
  <c r="J164" i="49"/>
  <c r="K164" i="49"/>
  <c r="U164" i="49"/>
  <c r="T164" i="49" s="1"/>
  <c r="S164" i="49" s="1"/>
  <c r="R164" i="49" s="1"/>
  <c r="Q164" i="49" s="1"/>
  <c r="P164" i="49" s="1"/>
  <c r="O164" i="49" s="1"/>
  <c r="N164" i="49" s="1"/>
  <c r="M164" i="49" s="1"/>
  <c r="L164" i="49" s="1"/>
  <c r="F165" i="49"/>
  <c r="G165" i="49"/>
  <c r="H165" i="49"/>
  <c r="K165" i="49"/>
  <c r="J165" i="49" s="1"/>
  <c r="I165" i="49" s="1"/>
  <c r="L165" i="49"/>
  <c r="N165" i="49"/>
  <c r="M165" i="49" s="1"/>
  <c r="Q165" i="49"/>
  <c r="P165" i="49" s="1"/>
  <c r="O165" i="49" s="1"/>
  <c r="U165" i="49"/>
  <c r="T165" i="49" s="1"/>
  <c r="S165" i="49" s="1"/>
  <c r="R165" i="49" s="1"/>
  <c r="F166" i="49"/>
  <c r="U166" i="49"/>
  <c r="T166" i="49" s="1"/>
  <c r="S166" i="49" s="1"/>
  <c r="R166" i="49" s="1"/>
  <c r="Q166" i="49" s="1"/>
  <c r="P166" i="49" s="1"/>
  <c r="O166" i="49" s="1"/>
  <c r="N166" i="49" s="1"/>
  <c r="M166" i="49" s="1"/>
  <c r="L166" i="49" s="1"/>
  <c r="K166" i="49" s="1"/>
  <c r="J166" i="49" s="1"/>
  <c r="I166" i="49" s="1"/>
  <c r="H166" i="49" s="1"/>
  <c r="G166" i="49" s="1"/>
  <c r="F167" i="49"/>
  <c r="U167" i="49"/>
  <c r="T167" i="49" s="1"/>
  <c r="S167" i="49" s="1"/>
  <c r="R167" i="49" s="1"/>
  <c r="Q167" i="49" s="1"/>
  <c r="P167" i="49" s="1"/>
  <c r="O167" i="49" s="1"/>
  <c r="N167" i="49" s="1"/>
  <c r="M167" i="49" s="1"/>
  <c r="L167" i="49" s="1"/>
  <c r="K167" i="49" s="1"/>
  <c r="J167" i="49" s="1"/>
  <c r="I167" i="49" s="1"/>
  <c r="H167" i="49" s="1"/>
  <c r="G167" i="49" s="1"/>
  <c r="F168" i="49"/>
  <c r="U168" i="49"/>
  <c r="T168" i="49" s="1"/>
  <c r="S168" i="49" s="1"/>
  <c r="R168" i="49" s="1"/>
  <c r="Q168" i="49" s="1"/>
  <c r="P168" i="49" s="1"/>
  <c r="O168" i="49" s="1"/>
  <c r="N168" i="49" s="1"/>
  <c r="M168" i="49" s="1"/>
  <c r="L168" i="49" s="1"/>
  <c r="K168" i="49" s="1"/>
  <c r="J168" i="49" s="1"/>
  <c r="I168" i="49" s="1"/>
  <c r="H168" i="49" s="1"/>
  <c r="G168" i="49" s="1"/>
  <c r="F169" i="49"/>
  <c r="M169" i="49"/>
  <c r="L169" i="49" s="1"/>
  <c r="K169" i="49" s="1"/>
  <c r="J169" i="49" s="1"/>
  <c r="I169" i="49" s="1"/>
  <c r="H169" i="49" s="1"/>
  <c r="G169" i="49" s="1"/>
  <c r="N169" i="49"/>
  <c r="O169" i="49"/>
  <c r="P169" i="49"/>
  <c r="Q169" i="49"/>
  <c r="U169" i="49"/>
  <c r="T169" i="49" s="1"/>
  <c r="S169" i="49" s="1"/>
  <c r="R169" i="49" s="1"/>
  <c r="F170" i="49"/>
  <c r="L170" i="49"/>
  <c r="K170" i="49" s="1"/>
  <c r="J170" i="49" s="1"/>
  <c r="I170" i="49" s="1"/>
  <c r="H170" i="49" s="1"/>
  <c r="G170" i="49" s="1"/>
  <c r="M170" i="49"/>
  <c r="N170" i="49"/>
  <c r="O170" i="49"/>
  <c r="P170" i="49"/>
  <c r="Q170" i="49"/>
  <c r="U170" i="49"/>
  <c r="T170" i="49" s="1"/>
  <c r="S170" i="49" s="1"/>
  <c r="R170" i="49" s="1"/>
  <c r="F171" i="49"/>
  <c r="L171" i="49"/>
  <c r="K171" i="49" s="1"/>
  <c r="J171" i="49" s="1"/>
  <c r="I171" i="49" s="1"/>
  <c r="H171" i="49" s="1"/>
  <c r="G171" i="49" s="1"/>
  <c r="N171" i="49"/>
  <c r="M171" i="49" s="1"/>
  <c r="O171" i="49"/>
  <c r="Q171" i="49"/>
  <c r="P171" i="49" s="1"/>
  <c r="S171" i="49"/>
  <c r="R171" i="49" s="1"/>
  <c r="T171" i="49"/>
  <c r="U171" i="49"/>
  <c r="F172" i="49"/>
  <c r="H172" i="49"/>
  <c r="G172" i="49" s="1"/>
  <c r="I172" i="49"/>
  <c r="L172" i="49"/>
  <c r="K172" i="49" s="1"/>
  <c r="J172" i="49" s="1"/>
  <c r="M172" i="49"/>
  <c r="N172" i="49"/>
  <c r="O172" i="49"/>
  <c r="P172" i="49"/>
  <c r="R172" i="49"/>
  <c r="Q172" i="49" s="1"/>
  <c r="U172" i="49"/>
  <c r="T172" i="49" s="1"/>
  <c r="S172" i="49" s="1"/>
  <c r="F173" i="49"/>
  <c r="H173" i="49"/>
  <c r="G173" i="49" s="1"/>
  <c r="I173" i="49"/>
  <c r="K173" i="49"/>
  <c r="J173" i="49" s="1"/>
  <c r="L173" i="49"/>
  <c r="M173" i="49"/>
  <c r="N173" i="49"/>
  <c r="S173" i="49"/>
  <c r="R173" i="49" s="1"/>
  <c r="Q173" i="49" s="1"/>
  <c r="P173" i="49" s="1"/>
  <c r="O173" i="49" s="1"/>
  <c r="U173" i="49"/>
  <c r="T173" i="49" s="1"/>
  <c r="F174" i="49"/>
  <c r="H174" i="49"/>
  <c r="G174" i="49" s="1"/>
  <c r="J174" i="49"/>
  <c r="I174" i="49" s="1"/>
  <c r="K174" i="49"/>
  <c r="M174" i="49"/>
  <c r="L174" i="49" s="1"/>
  <c r="N174" i="49"/>
  <c r="O174" i="49"/>
  <c r="P174" i="49"/>
  <c r="Q174" i="49"/>
  <c r="R174" i="49"/>
  <c r="U174" i="49"/>
  <c r="T174" i="49" s="1"/>
  <c r="S174" i="49" s="1"/>
  <c r="F175" i="49"/>
  <c r="U175" i="49"/>
  <c r="T175" i="49" s="1"/>
  <c r="S175" i="49" s="1"/>
  <c r="R175" i="49" s="1"/>
  <c r="Q175" i="49" s="1"/>
  <c r="P175" i="49" s="1"/>
  <c r="O175" i="49" s="1"/>
  <c r="N175" i="49" s="1"/>
  <c r="M175" i="49" s="1"/>
  <c r="L175" i="49" s="1"/>
  <c r="K175" i="49" s="1"/>
  <c r="J175" i="49" s="1"/>
  <c r="I175" i="49" s="1"/>
  <c r="H175" i="49" s="1"/>
  <c r="G175" i="49" s="1"/>
  <c r="F176" i="49"/>
  <c r="P176" i="49"/>
  <c r="O176" i="49" s="1"/>
  <c r="N176" i="49" s="1"/>
  <c r="M176" i="49" s="1"/>
  <c r="L176" i="49" s="1"/>
  <c r="K176" i="49" s="1"/>
  <c r="J176" i="49" s="1"/>
  <c r="I176" i="49" s="1"/>
  <c r="H176" i="49" s="1"/>
  <c r="G176" i="49" s="1"/>
  <c r="U176" i="49"/>
  <c r="T176" i="49" s="1"/>
  <c r="S176" i="49" s="1"/>
  <c r="R176" i="49" s="1"/>
  <c r="Q176" i="49" s="1"/>
  <c r="F177" i="49"/>
  <c r="U177" i="49"/>
  <c r="T177" i="49" s="1"/>
  <c r="S177" i="49" s="1"/>
  <c r="R177" i="49" s="1"/>
  <c r="Q177" i="49" s="1"/>
  <c r="P177" i="49" s="1"/>
  <c r="O177" i="49" s="1"/>
  <c r="N177" i="49" s="1"/>
  <c r="M177" i="49" s="1"/>
  <c r="L177" i="49" s="1"/>
  <c r="K177" i="49" s="1"/>
  <c r="J177" i="49" s="1"/>
  <c r="I177" i="49" s="1"/>
  <c r="H177" i="49" s="1"/>
  <c r="G177" i="49" s="1"/>
  <c r="F178" i="49"/>
  <c r="U178" i="49"/>
  <c r="T178" i="49" s="1"/>
  <c r="S178" i="49" s="1"/>
  <c r="R178" i="49" s="1"/>
  <c r="Q178" i="49" s="1"/>
  <c r="P178" i="49" s="1"/>
  <c r="O178" i="49" s="1"/>
  <c r="N178" i="49" s="1"/>
  <c r="M178" i="49" s="1"/>
  <c r="L178" i="49" s="1"/>
  <c r="K178" i="49" s="1"/>
  <c r="J178" i="49" s="1"/>
  <c r="I178" i="49" s="1"/>
  <c r="H178" i="49" s="1"/>
  <c r="G178" i="49" s="1"/>
  <c r="F179" i="49"/>
  <c r="U179" i="49"/>
  <c r="T179" i="49" s="1"/>
  <c r="S179" i="49" s="1"/>
  <c r="R179" i="49" s="1"/>
  <c r="Q179" i="49" s="1"/>
  <c r="P179" i="49" s="1"/>
  <c r="O179" i="49" s="1"/>
  <c r="N179" i="49" s="1"/>
  <c r="M179" i="49" s="1"/>
  <c r="L179" i="49" s="1"/>
  <c r="K179" i="49" s="1"/>
  <c r="J179" i="49" s="1"/>
  <c r="I179" i="49" s="1"/>
  <c r="H179" i="49" s="1"/>
  <c r="G179" i="49" s="1"/>
  <c r="F180" i="49"/>
  <c r="I180" i="49"/>
  <c r="H180" i="49" s="1"/>
  <c r="G180" i="49" s="1"/>
  <c r="U180" i="49"/>
  <c r="T180" i="49" s="1"/>
  <c r="S180" i="49" s="1"/>
  <c r="R180" i="49" s="1"/>
  <c r="Q180" i="49" s="1"/>
  <c r="P180" i="49" s="1"/>
  <c r="O180" i="49" s="1"/>
  <c r="N180" i="49" s="1"/>
  <c r="M180" i="49" s="1"/>
  <c r="L180" i="49" s="1"/>
  <c r="K180" i="49" s="1"/>
  <c r="J180" i="49" s="1"/>
  <c r="F181" i="49"/>
  <c r="K181" i="49"/>
  <c r="J181" i="49" s="1"/>
  <c r="I181" i="49" s="1"/>
  <c r="H181" i="49" s="1"/>
  <c r="G181" i="49" s="1"/>
  <c r="L181" i="49"/>
  <c r="M181" i="49"/>
  <c r="U181" i="49"/>
  <c r="T181" i="49" s="1"/>
  <c r="S181" i="49" s="1"/>
  <c r="R181" i="49" s="1"/>
  <c r="Q181" i="49" s="1"/>
  <c r="P181" i="49" s="1"/>
  <c r="O181" i="49" s="1"/>
  <c r="N181" i="49" s="1"/>
  <c r="F182" i="49"/>
  <c r="S182" i="49"/>
  <c r="R182" i="49" s="1"/>
  <c r="Q182" i="49" s="1"/>
  <c r="P182" i="49" s="1"/>
  <c r="O182" i="49" s="1"/>
  <c r="N182" i="49" s="1"/>
  <c r="M182" i="49" s="1"/>
  <c r="L182" i="49" s="1"/>
  <c r="K182" i="49" s="1"/>
  <c r="J182" i="49" s="1"/>
  <c r="I182" i="49" s="1"/>
  <c r="H182" i="49" s="1"/>
  <c r="G182" i="49" s="1"/>
  <c r="U182" i="49"/>
  <c r="T182" i="49" s="1"/>
  <c r="F183" i="49"/>
  <c r="U183" i="49"/>
  <c r="T183" i="49" s="1"/>
  <c r="S183" i="49" s="1"/>
  <c r="R183" i="49" s="1"/>
  <c r="Q183" i="49" s="1"/>
  <c r="P183" i="49" s="1"/>
  <c r="O183" i="49" s="1"/>
  <c r="N183" i="49" s="1"/>
  <c r="M183" i="49" s="1"/>
  <c r="L183" i="49" s="1"/>
  <c r="K183" i="49" s="1"/>
  <c r="J183" i="49" s="1"/>
  <c r="I183" i="49" s="1"/>
  <c r="H183" i="49" s="1"/>
  <c r="G183" i="49" s="1"/>
  <c r="F184" i="49"/>
  <c r="G184" i="49"/>
  <c r="K184" i="49"/>
  <c r="J184" i="49" s="1"/>
  <c r="I184" i="49" s="1"/>
  <c r="H184" i="49" s="1"/>
  <c r="L184" i="49"/>
  <c r="M184" i="49"/>
  <c r="N184" i="49"/>
  <c r="O184" i="49"/>
  <c r="P184" i="49"/>
  <c r="U184" i="49"/>
  <c r="T184" i="49" s="1"/>
  <c r="S184" i="49" s="1"/>
  <c r="R184" i="49" s="1"/>
  <c r="Q184" i="49" s="1"/>
  <c r="F185" i="49"/>
  <c r="G185" i="49"/>
  <c r="H185" i="49"/>
  <c r="O185" i="49"/>
  <c r="N185" i="49" s="1"/>
  <c r="M185" i="49" s="1"/>
  <c r="L185" i="49" s="1"/>
  <c r="K185" i="49" s="1"/>
  <c r="J185" i="49" s="1"/>
  <c r="I185" i="49" s="1"/>
  <c r="P185" i="49"/>
  <c r="U185" i="49"/>
  <c r="T185" i="49" s="1"/>
  <c r="S185" i="49" s="1"/>
  <c r="R185" i="49" s="1"/>
  <c r="Q185" i="49" s="1"/>
  <c r="F186" i="49"/>
  <c r="H186" i="49"/>
  <c r="G186" i="49" s="1"/>
  <c r="I186" i="49"/>
  <c r="J186" i="49"/>
  <c r="U186" i="49"/>
  <c r="T186" i="49" s="1"/>
  <c r="S186" i="49" s="1"/>
  <c r="R186" i="49" s="1"/>
  <c r="Q186" i="49" s="1"/>
  <c r="P186" i="49" s="1"/>
  <c r="O186" i="49" s="1"/>
  <c r="N186" i="49" s="1"/>
  <c r="M186" i="49" s="1"/>
  <c r="L186" i="49" s="1"/>
  <c r="K186" i="49" s="1"/>
  <c r="F187" i="49"/>
  <c r="L187" i="49"/>
  <c r="K187" i="49" s="1"/>
  <c r="J187" i="49" s="1"/>
  <c r="I187" i="49" s="1"/>
  <c r="H187" i="49" s="1"/>
  <c r="G187" i="49" s="1"/>
  <c r="N187" i="49"/>
  <c r="M187" i="49" s="1"/>
  <c r="P187" i="49"/>
  <c r="O187" i="49" s="1"/>
  <c r="Q187" i="49"/>
  <c r="R187" i="49"/>
  <c r="S187" i="49"/>
  <c r="U187" i="49"/>
  <c r="T187" i="49" s="1"/>
  <c r="F188" i="49"/>
  <c r="G188" i="49"/>
  <c r="H188" i="49"/>
  <c r="I188" i="49"/>
  <c r="K188" i="49"/>
  <c r="J188" i="49" s="1"/>
  <c r="L188" i="49"/>
  <c r="M188" i="49"/>
  <c r="N188" i="49"/>
  <c r="Q188" i="49"/>
  <c r="P188" i="49" s="1"/>
  <c r="O188" i="49" s="1"/>
  <c r="R188" i="49"/>
  <c r="S188" i="49"/>
  <c r="U188" i="49"/>
  <c r="T188" i="49" s="1"/>
  <c r="F189" i="49"/>
  <c r="H189" i="49"/>
  <c r="G189" i="49" s="1"/>
  <c r="I189" i="49"/>
  <c r="J189" i="49"/>
  <c r="U189" i="49"/>
  <c r="T189" i="49" s="1"/>
  <c r="S189" i="49" s="1"/>
  <c r="R189" i="49" s="1"/>
  <c r="Q189" i="49" s="1"/>
  <c r="P189" i="49" s="1"/>
  <c r="O189" i="49" s="1"/>
  <c r="N189" i="49" s="1"/>
  <c r="M189" i="49" s="1"/>
  <c r="L189" i="49" s="1"/>
  <c r="K189" i="49" s="1"/>
  <c r="F190" i="49"/>
  <c r="L190" i="49"/>
  <c r="K190" i="49" s="1"/>
  <c r="J190" i="49" s="1"/>
  <c r="I190" i="49" s="1"/>
  <c r="H190" i="49" s="1"/>
  <c r="G190" i="49" s="1"/>
  <c r="M190" i="49"/>
  <c r="N190" i="49"/>
  <c r="O190" i="49"/>
  <c r="P190" i="49"/>
  <c r="Q190" i="49"/>
  <c r="R190" i="49"/>
  <c r="U190" i="49"/>
  <c r="T190" i="49" s="1"/>
  <c r="S190" i="49" s="1"/>
  <c r="F191" i="49"/>
  <c r="H191" i="49"/>
  <c r="G191" i="49" s="1"/>
  <c r="J191" i="49"/>
  <c r="I191" i="49" s="1"/>
  <c r="L191" i="49"/>
  <c r="K191" i="49" s="1"/>
  <c r="M191" i="49"/>
  <c r="N191" i="49"/>
  <c r="O191" i="49"/>
  <c r="R191" i="49"/>
  <c r="Q191" i="49" s="1"/>
  <c r="P191" i="49" s="1"/>
  <c r="U191" i="49"/>
  <c r="T191" i="49" s="1"/>
  <c r="S191" i="49" s="1"/>
  <c r="F192" i="49"/>
  <c r="G192" i="49"/>
  <c r="H192" i="49"/>
  <c r="I192" i="49"/>
  <c r="L192" i="49"/>
  <c r="K192" i="49" s="1"/>
  <c r="J192" i="49" s="1"/>
  <c r="M192" i="49"/>
  <c r="N192" i="49"/>
  <c r="U192" i="49"/>
  <c r="T192" i="49" s="1"/>
  <c r="S192" i="49" s="1"/>
  <c r="R192" i="49" s="1"/>
  <c r="Q192" i="49" s="1"/>
  <c r="P192" i="49" s="1"/>
  <c r="O192" i="49" s="1"/>
  <c r="F193" i="49"/>
  <c r="G193" i="49"/>
  <c r="H193" i="49"/>
  <c r="I193" i="49"/>
  <c r="J193" i="49"/>
  <c r="K193" i="49"/>
  <c r="L193" i="49"/>
  <c r="U193" i="49"/>
  <c r="T193" i="49" s="1"/>
  <c r="S193" i="49" s="1"/>
  <c r="R193" i="49" s="1"/>
  <c r="Q193" i="49" s="1"/>
  <c r="P193" i="49" s="1"/>
  <c r="O193" i="49" s="1"/>
  <c r="N193" i="49" s="1"/>
  <c r="M193" i="49" s="1"/>
  <c r="F194" i="49"/>
  <c r="G194" i="49"/>
  <c r="H194" i="49"/>
  <c r="I194" i="49"/>
  <c r="U194" i="49"/>
  <c r="T194" i="49" s="1"/>
  <c r="S194" i="49" s="1"/>
  <c r="R194" i="49" s="1"/>
  <c r="Q194" i="49" s="1"/>
  <c r="P194" i="49" s="1"/>
  <c r="O194" i="49" s="1"/>
  <c r="N194" i="49" s="1"/>
  <c r="M194" i="49" s="1"/>
  <c r="L194" i="49" s="1"/>
  <c r="K194" i="49" s="1"/>
  <c r="J194" i="49" s="1"/>
  <c r="F195" i="49"/>
  <c r="G195" i="49"/>
  <c r="H195" i="49"/>
  <c r="I195" i="49"/>
  <c r="K195" i="49"/>
  <c r="J195" i="49" s="1"/>
  <c r="L195" i="49"/>
  <c r="U195" i="49"/>
  <c r="T195" i="49" s="1"/>
  <c r="S195" i="49" s="1"/>
  <c r="R195" i="49" s="1"/>
  <c r="Q195" i="49" s="1"/>
  <c r="P195" i="49" s="1"/>
  <c r="O195" i="49" s="1"/>
  <c r="N195" i="49" s="1"/>
  <c r="M195" i="49" s="1"/>
  <c r="F196" i="49"/>
  <c r="N196" i="49"/>
  <c r="M196" i="49" s="1"/>
  <c r="L196" i="49" s="1"/>
  <c r="K196" i="49" s="1"/>
  <c r="J196" i="49" s="1"/>
  <c r="I196" i="49" s="1"/>
  <c r="H196" i="49" s="1"/>
  <c r="G196" i="49" s="1"/>
  <c r="P196" i="49"/>
  <c r="O196" i="49" s="1"/>
  <c r="U196" i="49"/>
  <c r="T196" i="49" s="1"/>
  <c r="S196" i="49" s="1"/>
  <c r="R196" i="49" s="1"/>
  <c r="Q196" i="49" s="1"/>
  <c r="F197" i="49"/>
  <c r="J197" i="49"/>
  <c r="I197" i="49" s="1"/>
  <c r="H197" i="49" s="1"/>
  <c r="G197" i="49" s="1"/>
  <c r="M197" i="49"/>
  <c r="L197" i="49" s="1"/>
  <c r="K197" i="49" s="1"/>
  <c r="N197" i="49"/>
  <c r="O197" i="49"/>
  <c r="P197" i="49"/>
  <c r="U197" i="49"/>
  <c r="T197" i="49" s="1"/>
  <c r="S197" i="49" s="1"/>
  <c r="R197" i="49" s="1"/>
  <c r="Q197" i="49" s="1"/>
  <c r="F198" i="49"/>
  <c r="M198" i="49"/>
  <c r="L198" i="49" s="1"/>
  <c r="K198" i="49" s="1"/>
  <c r="J198" i="49" s="1"/>
  <c r="I198" i="49" s="1"/>
  <c r="H198" i="49" s="1"/>
  <c r="G198" i="49" s="1"/>
  <c r="N198" i="49"/>
  <c r="O198" i="49"/>
  <c r="U198" i="49"/>
  <c r="T198" i="49" s="1"/>
  <c r="S198" i="49" s="1"/>
  <c r="R198" i="49" s="1"/>
  <c r="Q198" i="49" s="1"/>
  <c r="P198" i="49" s="1"/>
  <c r="F199" i="49"/>
  <c r="N199" i="49"/>
  <c r="M199" i="49" s="1"/>
  <c r="L199" i="49" s="1"/>
  <c r="K199" i="49" s="1"/>
  <c r="J199" i="49" s="1"/>
  <c r="I199" i="49" s="1"/>
  <c r="H199" i="49" s="1"/>
  <c r="G199" i="49" s="1"/>
  <c r="O199" i="49"/>
  <c r="S199" i="49"/>
  <c r="R199" i="49" s="1"/>
  <c r="Q199" i="49" s="1"/>
  <c r="P199" i="49" s="1"/>
  <c r="T199" i="49"/>
  <c r="U199" i="49"/>
  <c r="F200" i="49"/>
  <c r="H200" i="49"/>
  <c r="G200" i="49" s="1"/>
  <c r="J200" i="49"/>
  <c r="I200" i="49" s="1"/>
  <c r="M200" i="49"/>
  <c r="L200" i="49" s="1"/>
  <c r="K200" i="49" s="1"/>
  <c r="N200" i="49"/>
  <c r="P200" i="49"/>
  <c r="O200" i="49" s="1"/>
  <c r="Q200" i="49"/>
  <c r="U200" i="49"/>
  <c r="T200" i="49" s="1"/>
  <c r="S200" i="49" s="1"/>
  <c r="R200" i="49" s="1"/>
  <c r="F201" i="49"/>
  <c r="G201" i="49"/>
  <c r="H201" i="49"/>
  <c r="I201" i="49"/>
  <c r="J201" i="49"/>
  <c r="L201" i="49"/>
  <c r="K201" i="49" s="1"/>
  <c r="M201" i="49"/>
  <c r="U201" i="49"/>
  <c r="T201" i="49" s="1"/>
  <c r="S201" i="49" s="1"/>
  <c r="R201" i="49" s="1"/>
  <c r="Q201" i="49" s="1"/>
  <c r="P201" i="49" s="1"/>
  <c r="O201" i="49" s="1"/>
  <c r="N201" i="49" s="1"/>
  <c r="F202" i="49"/>
  <c r="H202" i="49"/>
  <c r="G202" i="49" s="1"/>
  <c r="K202" i="49"/>
  <c r="J202" i="49" s="1"/>
  <c r="I202" i="49" s="1"/>
  <c r="U202" i="49"/>
  <c r="T202" i="49" s="1"/>
  <c r="S202" i="49" s="1"/>
  <c r="R202" i="49" s="1"/>
  <c r="Q202" i="49" s="1"/>
  <c r="P202" i="49" s="1"/>
  <c r="O202" i="49" s="1"/>
  <c r="N202" i="49" s="1"/>
  <c r="M202" i="49" s="1"/>
  <c r="L202" i="49" s="1"/>
  <c r="F203" i="49"/>
  <c r="G203" i="49"/>
  <c r="H203" i="49"/>
  <c r="I203" i="49"/>
  <c r="U203" i="49"/>
  <c r="T203" i="49" s="1"/>
  <c r="S203" i="49" s="1"/>
  <c r="R203" i="49" s="1"/>
  <c r="Q203" i="49" s="1"/>
  <c r="P203" i="49" s="1"/>
  <c r="O203" i="49" s="1"/>
  <c r="N203" i="49" s="1"/>
  <c r="M203" i="49" s="1"/>
  <c r="L203" i="49" s="1"/>
  <c r="K203" i="49" s="1"/>
  <c r="J203" i="49" s="1"/>
  <c r="F204" i="49"/>
  <c r="K204" i="49"/>
  <c r="J204" i="49" s="1"/>
  <c r="I204" i="49" s="1"/>
  <c r="H204" i="49" s="1"/>
  <c r="G204" i="49" s="1"/>
  <c r="L204" i="49"/>
  <c r="U204" i="49"/>
  <c r="T204" i="49" s="1"/>
  <c r="S204" i="49" s="1"/>
  <c r="R204" i="49" s="1"/>
  <c r="Q204" i="49" s="1"/>
  <c r="P204" i="49" s="1"/>
  <c r="O204" i="49" s="1"/>
  <c r="N204" i="49" s="1"/>
  <c r="M204" i="49" s="1"/>
  <c r="F205" i="49"/>
  <c r="U205" i="49"/>
  <c r="T205" i="49" s="1"/>
  <c r="S205" i="49" s="1"/>
  <c r="R205" i="49" s="1"/>
  <c r="Q205" i="49" s="1"/>
  <c r="P205" i="49" s="1"/>
  <c r="O205" i="49" s="1"/>
  <c r="N205" i="49" s="1"/>
  <c r="M205" i="49" s="1"/>
  <c r="L205" i="49" s="1"/>
  <c r="K205" i="49" s="1"/>
  <c r="J205" i="49" s="1"/>
  <c r="I205" i="49" s="1"/>
  <c r="H205" i="49" s="1"/>
  <c r="G205" i="49" s="1"/>
  <c r="F206" i="49"/>
  <c r="I206" i="49"/>
  <c r="H206" i="49" s="1"/>
  <c r="G206" i="49" s="1"/>
  <c r="S206" i="49"/>
  <c r="R206" i="49" s="1"/>
  <c r="Q206" i="49" s="1"/>
  <c r="P206" i="49" s="1"/>
  <c r="O206" i="49" s="1"/>
  <c r="N206" i="49" s="1"/>
  <c r="M206" i="49" s="1"/>
  <c r="L206" i="49" s="1"/>
  <c r="K206" i="49" s="1"/>
  <c r="J206" i="49" s="1"/>
  <c r="U206" i="49"/>
  <c r="T206" i="49" s="1"/>
  <c r="F207" i="49"/>
  <c r="K207" i="49"/>
  <c r="J207" i="49" s="1"/>
  <c r="I207" i="49" s="1"/>
  <c r="H207" i="49" s="1"/>
  <c r="G207" i="49" s="1"/>
  <c r="L207" i="49"/>
  <c r="M207" i="49"/>
  <c r="P207" i="49"/>
  <c r="O207" i="49" s="1"/>
  <c r="N207" i="49" s="1"/>
  <c r="Q207" i="49"/>
  <c r="U207" i="49"/>
  <c r="T207" i="49" s="1"/>
  <c r="S207" i="49" s="1"/>
  <c r="R207" i="49" s="1"/>
  <c r="F208" i="49"/>
  <c r="K208" i="49"/>
  <c r="J208" i="49" s="1"/>
  <c r="I208" i="49" s="1"/>
  <c r="H208" i="49" s="1"/>
  <c r="G208" i="49" s="1"/>
  <c r="L208" i="49"/>
  <c r="M208" i="49"/>
  <c r="P208" i="49"/>
  <c r="O208" i="49" s="1"/>
  <c r="N208" i="49" s="1"/>
  <c r="S208" i="49"/>
  <c r="R208" i="49" s="1"/>
  <c r="Q208" i="49" s="1"/>
  <c r="U208" i="49"/>
  <c r="T208" i="49" s="1"/>
  <c r="F209" i="49"/>
  <c r="I209" i="49"/>
  <c r="H209" i="49" s="1"/>
  <c r="G209" i="49" s="1"/>
  <c r="L209" i="49"/>
  <c r="K209" i="49" s="1"/>
  <c r="J209" i="49" s="1"/>
  <c r="M209" i="49"/>
  <c r="N209" i="49"/>
  <c r="U209" i="49"/>
  <c r="T209" i="49" s="1"/>
  <c r="S209" i="49" s="1"/>
  <c r="R209" i="49" s="1"/>
  <c r="Q209" i="49" s="1"/>
  <c r="P209" i="49" s="1"/>
  <c r="O209" i="49" s="1"/>
  <c r="F210" i="49"/>
  <c r="I210" i="49"/>
  <c r="H210" i="49" s="1"/>
  <c r="G210" i="49" s="1"/>
  <c r="M210" i="49"/>
  <c r="L210" i="49" s="1"/>
  <c r="K210" i="49" s="1"/>
  <c r="J210" i="49" s="1"/>
  <c r="U210" i="49"/>
  <c r="T210" i="49" s="1"/>
  <c r="S210" i="49" s="1"/>
  <c r="R210" i="49" s="1"/>
  <c r="Q210" i="49" s="1"/>
  <c r="P210" i="49" s="1"/>
  <c r="O210" i="49" s="1"/>
  <c r="N210" i="49" s="1"/>
  <c r="F211" i="49"/>
  <c r="I211" i="49"/>
  <c r="H211" i="49" s="1"/>
  <c r="G211" i="49" s="1"/>
  <c r="M211" i="49"/>
  <c r="L211" i="49" s="1"/>
  <c r="K211" i="49" s="1"/>
  <c r="J211" i="49" s="1"/>
  <c r="U211" i="49"/>
  <c r="T211" i="49" s="1"/>
  <c r="S211" i="49" s="1"/>
  <c r="R211" i="49" s="1"/>
  <c r="Q211" i="49" s="1"/>
  <c r="P211" i="49" s="1"/>
  <c r="O211" i="49" s="1"/>
  <c r="N211" i="49" s="1"/>
  <c r="F213" i="49"/>
  <c r="T213" i="49"/>
  <c r="S213" i="49" s="1"/>
  <c r="R213" i="49" s="1"/>
  <c r="Q213" i="49" s="1"/>
  <c r="P213" i="49" s="1"/>
  <c r="O213" i="49" s="1"/>
  <c r="N213" i="49" s="1"/>
  <c r="M213" i="49" s="1"/>
  <c r="L213" i="49" s="1"/>
  <c r="K213" i="49" s="1"/>
  <c r="J213" i="49" s="1"/>
  <c r="I213" i="49" s="1"/>
  <c r="H213" i="49" s="1"/>
  <c r="G213" i="49" s="1"/>
  <c r="U213" i="49"/>
  <c r="F214" i="49"/>
  <c r="P214" i="49"/>
  <c r="O214" i="49" s="1"/>
  <c r="N214" i="49" s="1"/>
  <c r="M214" i="49" s="1"/>
  <c r="L214" i="49" s="1"/>
  <c r="K214" i="49" s="1"/>
  <c r="J214" i="49" s="1"/>
  <c r="I214" i="49" s="1"/>
  <c r="H214" i="49" s="1"/>
  <c r="G214" i="49" s="1"/>
  <c r="U214" i="49"/>
  <c r="T214" i="49" s="1"/>
  <c r="S214" i="49" s="1"/>
  <c r="R214" i="49" s="1"/>
  <c r="Q214" i="49" s="1"/>
  <c r="F215" i="49"/>
  <c r="U215" i="49"/>
  <c r="T215" i="49" s="1"/>
  <c r="S215" i="49" s="1"/>
  <c r="R215" i="49" s="1"/>
  <c r="Q215" i="49" s="1"/>
  <c r="P215" i="49" s="1"/>
  <c r="O215" i="49" s="1"/>
  <c r="N215" i="49" s="1"/>
  <c r="M215" i="49" s="1"/>
  <c r="L215" i="49" s="1"/>
  <c r="K215" i="49" s="1"/>
  <c r="J215" i="49" s="1"/>
  <c r="I215" i="49" s="1"/>
  <c r="H215" i="49" s="1"/>
  <c r="G215" i="49" s="1"/>
  <c r="F216" i="49"/>
  <c r="Q216" i="49"/>
  <c r="P216" i="49" s="1"/>
  <c r="O216" i="49" s="1"/>
  <c r="N216" i="49" s="1"/>
  <c r="M216" i="49" s="1"/>
  <c r="L216" i="49" s="1"/>
  <c r="K216" i="49" s="1"/>
  <c r="J216" i="49" s="1"/>
  <c r="I216" i="49" s="1"/>
  <c r="H216" i="49" s="1"/>
  <c r="G216" i="49" s="1"/>
  <c r="R216" i="49"/>
  <c r="U216" i="49"/>
  <c r="T216" i="49" s="1"/>
  <c r="S216" i="49" s="1"/>
  <c r="F217" i="49"/>
  <c r="L217" i="49"/>
  <c r="K217" i="49" s="1"/>
  <c r="J217" i="49" s="1"/>
  <c r="I217" i="49" s="1"/>
  <c r="H217" i="49" s="1"/>
  <c r="G217" i="49" s="1"/>
  <c r="N217" i="49"/>
  <c r="M217" i="49" s="1"/>
  <c r="Q217" i="49"/>
  <c r="P217" i="49" s="1"/>
  <c r="O217" i="49" s="1"/>
  <c r="U217" i="49"/>
  <c r="T217" i="49" s="1"/>
  <c r="S217" i="49" s="1"/>
  <c r="R217" i="49" s="1"/>
  <c r="F218" i="49"/>
  <c r="H218" i="49"/>
  <c r="G218" i="49" s="1"/>
  <c r="L218" i="49"/>
  <c r="K218" i="49" s="1"/>
  <c r="J218" i="49" s="1"/>
  <c r="I218" i="49" s="1"/>
  <c r="M218" i="49"/>
  <c r="N218" i="49"/>
  <c r="U218" i="49"/>
  <c r="T218" i="49" s="1"/>
  <c r="S218" i="49" s="1"/>
  <c r="R218" i="49" s="1"/>
  <c r="Q218" i="49" s="1"/>
  <c r="P218" i="49" s="1"/>
  <c r="O218" i="49" s="1"/>
  <c r="F219" i="49"/>
  <c r="H219" i="49"/>
  <c r="G219" i="49" s="1"/>
  <c r="M219" i="49"/>
  <c r="L219" i="49" s="1"/>
  <c r="K219" i="49" s="1"/>
  <c r="J219" i="49" s="1"/>
  <c r="I219" i="49" s="1"/>
  <c r="N219" i="49"/>
  <c r="T219" i="49"/>
  <c r="S219" i="49" s="1"/>
  <c r="R219" i="49" s="1"/>
  <c r="Q219" i="49" s="1"/>
  <c r="P219" i="49" s="1"/>
  <c r="O219" i="49" s="1"/>
  <c r="U219" i="49"/>
  <c r="F220" i="49"/>
  <c r="M220" i="49"/>
  <c r="L220" i="49" s="1"/>
  <c r="K220" i="49" s="1"/>
  <c r="J220" i="49" s="1"/>
  <c r="I220" i="49" s="1"/>
  <c r="H220" i="49" s="1"/>
  <c r="G220" i="49" s="1"/>
  <c r="N220" i="49"/>
  <c r="O220" i="49"/>
  <c r="S220" i="49"/>
  <c r="R220" i="49" s="1"/>
  <c r="Q220" i="49" s="1"/>
  <c r="P220" i="49" s="1"/>
  <c r="T220" i="49"/>
  <c r="U220" i="49"/>
  <c r="F221" i="49"/>
  <c r="N221" i="49"/>
  <c r="M221" i="49" s="1"/>
  <c r="L221" i="49" s="1"/>
  <c r="K221" i="49" s="1"/>
  <c r="J221" i="49" s="1"/>
  <c r="I221" i="49" s="1"/>
  <c r="H221" i="49" s="1"/>
  <c r="G221" i="49" s="1"/>
  <c r="R221" i="49"/>
  <c r="Q221" i="49" s="1"/>
  <c r="P221" i="49" s="1"/>
  <c r="O221" i="49" s="1"/>
  <c r="T221" i="49"/>
  <c r="S221" i="49" s="1"/>
  <c r="U221" i="49"/>
  <c r="F222" i="49"/>
  <c r="I222" i="49"/>
  <c r="H222" i="49" s="1"/>
  <c r="G222" i="49" s="1"/>
  <c r="P222" i="49"/>
  <c r="O222" i="49" s="1"/>
  <c r="N222" i="49" s="1"/>
  <c r="M222" i="49" s="1"/>
  <c r="L222" i="49" s="1"/>
  <c r="K222" i="49" s="1"/>
  <c r="J222" i="49" s="1"/>
  <c r="Q222" i="49"/>
  <c r="U222" i="49"/>
  <c r="T222" i="49" s="1"/>
  <c r="S222" i="49" s="1"/>
  <c r="R222" i="49" s="1"/>
  <c r="F223" i="49"/>
  <c r="I223" i="49"/>
  <c r="H223" i="49" s="1"/>
  <c r="G223" i="49" s="1"/>
  <c r="L223" i="49"/>
  <c r="K223" i="49" s="1"/>
  <c r="J223" i="49" s="1"/>
  <c r="M223" i="49"/>
  <c r="P223" i="49"/>
  <c r="O223" i="49" s="1"/>
  <c r="N223" i="49" s="1"/>
  <c r="U223" i="49"/>
  <c r="T223" i="49" s="1"/>
  <c r="S223" i="49" s="1"/>
  <c r="R223" i="49" s="1"/>
  <c r="Q223" i="49" s="1"/>
  <c r="F224" i="49"/>
  <c r="J224" i="49"/>
  <c r="I224" i="49" s="1"/>
  <c r="H224" i="49" s="1"/>
  <c r="G224" i="49" s="1"/>
  <c r="L224" i="49"/>
  <c r="K224" i="49" s="1"/>
  <c r="U224" i="49"/>
  <c r="T224" i="49" s="1"/>
  <c r="S224" i="49" s="1"/>
  <c r="R224" i="49" s="1"/>
  <c r="Q224" i="49" s="1"/>
  <c r="P224" i="49" s="1"/>
  <c r="O224" i="49" s="1"/>
  <c r="N224" i="49" s="1"/>
  <c r="M224" i="49" s="1"/>
  <c r="F225" i="49"/>
  <c r="H225" i="49"/>
  <c r="G225" i="49" s="1"/>
  <c r="L225" i="49"/>
  <c r="K225" i="49" s="1"/>
  <c r="J225" i="49" s="1"/>
  <c r="I225" i="49" s="1"/>
  <c r="U225" i="49"/>
  <c r="T225" i="49" s="1"/>
  <c r="S225" i="49" s="1"/>
  <c r="R225" i="49" s="1"/>
  <c r="Q225" i="49" s="1"/>
  <c r="P225" i="49" s="1"/>
  <c r="O225" i="49" s="1"/>
  <c r="N225" i="49" s="1"/>
  <c r="M225" i="49" s="1"/>
  <c r="F226" i="49"/>
  <c r="H226" i="49"/>
  <c r="G226" i="49" s="1"/>
  <c r="U226" i="49"/>
  <c r="T226" i="49" s="1"/>
  <c r="S226" i="49" s="1"/>
  <c r="R226" i="49" s="1"/>
  <c r="Q226" i="49" s="1"/>
  <c r="P226" i="49" s="1"/>
  <c r="O226" i="49" s="1"/>
  <c r="N226" i="49" s="1"/>
  <c r="M226" i="49" s="1"/>
  <c r="L226" i="49" s="1"/>
  <c r="K226" i="49" s="1"/>
  <c r="J226" i="49" s="1"/>
  <c r="I226" i="49" s="1"/>
  <c r="F227" i="49"/>
  <c r="G227" i="49"/>
  <c r="H227" i="49"/>
  <c r="U227" i="49"/>
  <c r="T227" i="49" s="1"/>
  <c r="S227" i="49" s="1"/>
  <c r="R227" i="49" s="1"/>
  <c r="Q227" i="49" s="1"/>
  <c r="P227" i="49" s="1"/>
  <c r="O227" i="49" s="1"/>
  <c r="N227" i="49" s="1"/>
  <c r="M227" i="49" s="1"/>
  <c r="L227" i="49" s="1"/>
  <c r="K227" i="49" s="1"/>
  <c r="J227" i="49" s="1"/>
  <c r="I227" i="49" s="1"/>
  <c r="F228" i="49"/>
  <c r="U228" i="49"/>
  <c r="T228" i="49" s="1"/>
  <c r="S228" i="49" s="1"/>
  <c r="R228" i="49" s="1"/>
  <c r="Q228" i="49" s="1"/>
  <c r="P228" i="49" s="1"/>
  <c r="O228" i="49" s="1"/>
  <c r="N228" i="49" s="1"/>
  <c r="M228" i="49" s="1"/>
  <c r="L228" i="49" s="1"/>
  <c r="K228" i="49" s="1"/>
  <c r="J228" i="49" s="1"/>
  <c r="I228" i="49" s="1"/>
  <c r="H228" i="49" s="1"/>
  <c r="G228" i="49" s="1"/>
  <c r="F229" i="49"/>
  <c r="P229" i="49"/>
  <c r="O229" i="49" s="1"/>
  <c r="N229" i="49" s="1"/>
  <c r="M229" i="49" s="1"/>
  <c r="L229" i="49" s="1"/>
  <c r="K229" i="49" s="1"/>
  <c r="J229" i="49" s="1"/>
  <c r="I229" i="49" s="1"/>
  <c r="H229" i="49" s="1"/>
  <c r="G229" i="49" s="1"/>
  <c r="U229" i="49"/>
  <c r="T229" i="49" s="1"/>
  <c r="S229" i="49" s="1"/>
  <c r="R229" i="49" s="1"/>
  <c r="Q229" i="49" s="1"/>
  <c r="E348" i="4" l="1"/>
  <c r="F348" i="4"/>
  <c r="L352" i="4"/>
  <c r="F19" i="52"/>
  <c r="U19" i="52"/>
  <c r="T19" i="52" s="1"/>
  <c r="S19" i="52" s="1"/>
  <c r="R19" i="52" s="1"/>
  <c r="Q19" i="52" s="1"/>
  <c r="P19" i="52" s="1"/>
  <c r="O19" i="52" s="1"/>
  <c r="N19" i="52" s="1"/>
  <c r="M19" i="52" s="1"/>
  <c r="L19" i="52" s="1"/>
  <c r="K19" i="52" s="1"/>
  <c r="J19" i="52" s="1"/>
  <c r="I19" i="52" s="1"/>
  <c r="H19" i="52" s="1"/>
  <c r="G19" i="52" s="1"/>
  <c r="F16" i="43"/>
  <c r="E16" i="43"/>
  <c r="D16" i="43"/>
  <c r="R17" i="5"/>
  <c r="F13" i="43"/>
  <c r="E13" i="43"/>
  <c r="D13" i="43"/>
  <c r="C13" i="43"/>
  <c r="F14" i="43" l="1"/>
  <c r="F15" i="43"/>
  <c r="E14" i="43"/>
  <c r="E15" i="43"/>
  <c r="C16" i="43"/>
  <c r="D14" i="43"/>
  <c r="D15" i="43"/>
  <c r="C15" i="43"/>
  <c r="C14" i="43"/>
  <c r="F4" i="43"/>
  <c r="E4" i="43"/>
  <c r="D4" i="43"/>
  <c r="C4" i="43"/>
  <c r="G3" i="54"/>
  <c r="H3" i="54"/>
  <c r="I3" i="54"/>
  <c r="J3" i="54"/>
  <c r="K3" i="54"/>
  <c r="L3" i="54"/>
  <c r="M3" i="54"/>
  <c r="N3" i="54"/>
  <c r="O3" i="54"/>
  <c r="P3" i="54"/>
  <c r="Q3" i="54"/>
  <c r="R3" i="54"/>
  <c r="S3" i="54"/>
  <c r="T3" i="54"/>
  <c r="G4" i="54"/>
  <c r="H4" i="54"/>
  <c r="I4" i="54"/>
  <c r="J4" i="54"/>
  <c r="K4" i="54"/>
  <c r="L4" i="54"/>
  <c r="M4" i="54"/>
  <c r="N4" i="54"/>
  <c r="O4" i="54"/>
  <c r="P4" i="54"/>
  <c r="Q4" i="54"/>
  <c r="R4" i="54"/>
  <c r="S4" i="54"/>
  <c r="T4" i="54"/>
  <c r="G5" i="54"/>
  <c r="H5" i="54"/>
  <c r="I5" i="54"/>
  <c r="J5" i="54"/>
  <c r="K5" i="54"/>
  <c r="L5" i="54"/>
  <c r="M5" i="54"/>
  <c r="N5" i="54"/>
  <c r="O5" i="54"/>
  <c r="P5" i="54"/>
  <c r="Q5" i="54"/>
  <c r="R5" i="54"/>
  <c r="S5" i="54"/>
  <c r="T5" i="54"/>
  <c r="G6" i="54"/>
  <c r="H6" i="54"/>
  <c r="I6" i="54"/>
  <c r="J6" i="54"/>
  <c r="K6" i="54"/>
  <c r="L6" i="54"/>
  <c r="M6" i="54"/>
  <c r="N6" i="54"/>
  <c r="O6" i="54"/>
  <c r="P6" i="54"/>
  <c r="Q6" i="54"/>
  <c r="R6" i="54"/>
  <c r="S6" i="54"/>
  <c r="T6" i="54"/>
  <c r="G7" i="54"/>
  <c r="H7" i="54"/>
  <c r="I7" i="54"/>
  <c r="J7" i="54"/>
  <c r="K7" i="54"/>
  <c r="L7" i="54"/>
  <c r="M7" i="54"/>
  <c r="N7" i="54"/>
  <c r="O7" i="54"/>
  <c r="P7" i="54"/>
  <c r="Q7" i="54"/>
  <c r="R7" i="54"/>
  <c r="S7" i="54"/>
  <c r="T7" i="54"/>
  <c r="G8" i="54"/>
  <c r="H8" i="54"/>
  <c r="I8" i="54"/>
  <c r="J8" i="54"/>
  <c r="K8" i="54"/>
  <c r="L8" i="54"/>
  <c r="M8" i="54"/>
  <c r="N8" i="54"/>
  <c r="O8" i="54"/>
  <c r="P8" i="54"/>
  <c r="Q8" i="54"/>
  <c r="R8" i="54"/>
  <c r="S8" i="54"/>
  <c r="T8" i="54"/>
  <c r="G9" i="54"/>
  <c r="H9" i="54"/>
  <c r="I9" i="54"/>
  <c r="J9" i="54"/>
  <c r="K9" i="54"/>
  <c r="L9" i="54"/>
  <c r="M9" i="54"/>
  <c r="N9" i="54"/>
  <c r="O9" i="54"/>
  <c r="P9" i="54"/>
  <c r="Q9" i="54"/>
  <c r="R9" i="54"/>
  <c r="S9" i="54"/>
  <c r="T9" i="54"/>
  <c r="G10" i="54"/>
  <c r="H10" i="54"/>
  <c r="I10" i="54"/>
  <c r="J10" i="54"/>
  <c r="K10" i="54"/>
  <c r="L10" i="54"/>
  <c r="M10" i="54"/>
  <c r="N10" i="54"/>
  <c r="O10" i="54"/>
  <c r="P10" i="54"/>
  <c r="Q10" i="54"/>
  <c r="R10" i="54"/>
  <c r="S10" i="54"/>
  <c r="T10" i="54"/>
  <c r="G11" i="54"/>
  <c r="H11" i="54"/>
  <c r="I11" i="54"/>
  <c r="J11" i="54"/>
  <c r="K11" i="54"/>
  <c r="L11" i="54"/>
  <c r="M11" i="54"/>
  <c r="N11" i="54"/>
  <c r="O11" i="54"/>
  <c r="P11" i="54"/>
  <c r="Q11" i="54"/>
  <c r="R11" i="54"/>
  <c r="S11" i="54"/>
  <c r="T11" i="54"/>
  <c r="G12" i="54"/>
  <c r="H12" i="54"/>
  <c r="I12" i="54"/>
  <c r="J12" i="54"/>
  <c r="K12" i="54"/>
  <c r="L12" i="54"/>
  <c r="M12" i="54"/>
  <c r="N12" i="54"/>
  <c r="O12" i="54"/>
  <c r="P12" i="54"/>
  <c r="Q12" i="54"/>
  <c r="R12" i="54"/>
  <c r="S12" i="54"/>
  <c r="T12" i="54"/>
  <c r="G13" i="54"/>
  <c r="H13" i="54"/>
  <c r="I13" i="54"/>
  <c r="J13" i="54"/>
  <c r="K13" i="54"/>
  <c r="L13" i="54"/>
  <c r="M13" i="54"/>
  <c r="N13" i="54"/>
  <c r="O13" i="54"/>
  <c r="P13" i="54"/>
  <c r="Q13" i="54"/>
  <c r="R13" i="54"/>
  <c r="S13" i="54"/>
  <c r="T13" i="54"/>
  <c r="G14" i="54"/>
  <c r="H14" i="54"/>
  <c r="I14" i="54"/>
  <c r="J14" i="54"/>
  <c r="K14" i="54"/>
  <c r="L14" i="54"/>
  <c r="M14" i="54"/>
  <c r="N14" i="54"/>
  <c r="O14" i="54"/>
  <c r="P14" i="54"/>
  <c r="Q14" i="54"/>
  <c r="R14" i="54"/>
  <c r="S14" i="54"/>
  <c r="T14" i="54"/>
  <c r="G15" i="54"/>
  <c r="H15" i="54"/>
  <c r="I15" i="54"/>
  <c r="J15" i="54"/>
  <c r="K15" i="54"/>
  <c r="L15" i="54"/>
  <c r="M15" i="54"/>
  <c r="N15" i="54"/>
  <c r="O15" i="54"/>
  <c r="P15" i="54"/>
  <c r="Q15" i="54"/>
  <c r="R15" i="54"/>
  <c r="S15" i="54"/>
  <c r="T15" i="54"/>
  <c r="G16" i="54"/>
  <c r="H16" i="54"/>
  <c r="I16" i="54"/>
  <c r="J16" i="54"/>
  <c r="K16" i="54"/>
  <c r="L16" i="54"/>
  <c r="M16" i="54"/>
  <c r="N16" i="54"/>
  <c r="O16" i="54"/>
  <c r="P16" i="54"/>
  <c r="Q16" i="54"/>
  <c r="R16" i="54"/>
  <c r="S16" i="54"/>
  <c r="T16" i="54"/>
  <c r="G17" i="54"/>
  <c r="H17" i="54"/>
  <c r="I17" i="54"/>
  <c r="J17" i="54"/>
  <c r="K17" i="54"/>
  <c r="L17" i="54"/>
  <c r="M17" i="54"/>
  <c r="N17" i="54"/>
  <c r="O17" i="54"/>
  <c r="P17" i="54"/>
  <c r="Q17" i="54"/>
  <c r="R17" i="54"/>
  <c r="S17" i="54"/>
  <c r="T17" i="54"/>
  <c r="G18" i="54"/>
  <c r="H18" i="54"/>
  <c r="I18" i="54"/>
  <c r="J18" i="54"/>
  <c r="K18" i="54"/>
  <c r="L18" i="54"/>
  <c r="M18" i="54"/>
  <c r="N18" i="54"/>
  <c r="O18" i="54"/>
  <c r="P18" i="54"/>
  <c r="Q18" i="54"/>
  <c r="R18" i="54"/>
  <c r="S18" i="54"/>
  <c r="T18" i="54"/>
  <c r="G19" i="54"/>
  <c r="H19" i="54"/>
  <c r="I19" i="54"/>
  <c r="J19" i="54"/>
  <c r="K19" i="54"/>
  <c r="L19" i="54"/>
  <c r="M19" i="54"/>
  <c r="N19" i="54"/>
  <c r="O19" i="54"/>
  <c r="P19" i="54"/>
  <c r="Q19" i="54"/>
  <c r="R19" i="54"/>
  <c r="S19" i="54"/>
  <c r="T19" i="54"/>
  <c r="G20" i="54"/>
  <c r="H20" i="54"/>
  <c r="I20" i="54"/>
  <c r="J20" i="54"/>
  <c r="K20" i="54"/>
  <c r="L20" i="54"/>
  <c r="M20" i="54"/>
  <c r="N20" i="54"/>
  <c r="O20" i="54"/>
  <c r="P20" i="54"/>
  <c r="Q20" i="54"/>
  <c r="R20" i="54"/>
  <c r="S20" i="54"/>
  <c r="T20" i="54"/>
  <c r="G21" i="54"/>
  <c r="H21" i="54"/>
  <c r="I21" i="54"/>
  <c r="J21" i="54"/>
  <c r="K21" i="54"/>
  <c r="L21" i="54"/>
  <c r="M21" i="54"/>
  <c r="N21" i="54"/>
  <c r="O21" i="54"/>
  <c r="P21" i="54"/>
  <c r="Q21" i="54"/>
  <c r="R21" i="54"/>
  <c r="S21" i="54"/>
  <c r="T21" i="54"/>
  <c r="G22" i="54"/>
  <c r="H22" i="54"/>
  <c r="I22" i="54"/>
  <c r="J22" i="54"/>
  <c r="K22" i="54"/>
  <c r="L22" i="54"/>
  <c r="M22" i="54"/>
  <c r="N22" i="54"/>
  <c r="O22" i="54"/>
  <c r="P22" i="54"/>
  <c r="Q22" i="54"/>
  <c r="R22" i="54"/>
  <c r="S22" i="54"/>
  <c r="T22" i="54"/>
  <c r="G23" i="54"/>
  <c r="H23" i="54"/>
  <c r="I23" i="54"/>
  <c r="J23" i="54"/>
  <c r="K23" i="54"/>
  <c r="L23" i="54"/>
  <c r="M23" i="54"/>
  <c r="N23" i="54"/>
  <c r="O23" i="54"/>
  <c r="P23" i="54"/>
  <c r="Q23" i="54"/>
  <c r="R23" i="54"/>
  <c r="S23" i="54"/>
  <c r="T23" i="54"/>
  <c r="G24" i="54"/>
  <c r="H24" i="54"/>
  <c r="I24" i="54"/>
  <c r="J24" i="54"/>
  <c r="K24" i="54"/>
  <c r="L24" i="54"/>
  <c r="M24" i="54"/>
  <c r="N24" i="54"/>
  <c r="O24" i="54"/>
  <c r="P24" i="54"/>
  <c r="Q24" i="54"/>
  <c r="R24" i="54"/>
  <c r="S24" i="54"/>
  <c r="T24" i="54"/>
  <c r="G25" i="54"/>
  <c r="H25" i="54"/>
  <c r="I25" i="54"/>
  <c r="J25" i="54"/>
  <c r="K25" i="54"/>
  <c r="L25" i="54"/>
  <c r="M25" i="54"/>
  <c r="N25" i="54"/>
  <c r="O25" i="54"/>
  <c r="P25" i="54"/>
  <c r="Q25" i="54"/>
  <c r="R25" i="54"/>
  <c r="S25" i="54"/>
  <c r="T25" i="54"/>
  <c r="G26" i="54"/>
  <c r="H26" i="54"/>
  <c r="I26" i="54"/>
  <c r="J26" i="54"/>
  <c r="K26" i="54"/>
  <c r="L26" i="54"/>
  <c r="M26" i="54"/>
  <c r="N26" i="54"/>
  <c r="O26" i="54"/>
  <c r="P26" i="54"/>
  <c r="Q26" i="54"/>
  <c r="R26" i="54"/>
  <c r="S26" i="54"/>
  <c r="T26" i="54"/>
  <c r="G27" i="54"/>
  <c r="H27" i="54"/>
  <c r="I27" i="54"/>
  <c r="J27" i="54"/>
  <c r="K27" i="54"/>
  <c r="L27" i="54"/>
  <c r="M27" i="54"/>
  <c r="N27" i="54"/>
  <c r="O27" i="54"/>
  <c r="P27" i="54"/>
  <c r="Q27" i="54"/>
  <c r="R27" i="54"/>
  <c r="S27" i="54"/>
  <c r="T27" i="54"/>
  <c r="G28" i="54"/>
  <c r="H28" i="54"/>
  <c r="I28" i="54"/>
  <c r="J28" i="54"/>
  <c r="K28" i="54"/>
  <c r="L28" i="54"/>
  <c r="M28" i="54"/>
  <c r="N28" i="54"/>
  <c r="O28" i="54"/>
  <c r="P28" i="54"/>
  <c r="Q28" i="54"/>
  <c r="R28" i="54"/>
  <c r="S28" i="54"/>
  <c r="T28" i="54"/>
  <c r="G29" i="54"/>
  <c r="H29" i="54"/>
  <c r="I29" i="54"/>
  <c r="J29" i="54"/>
  <c r="K29" i="54"/>
  <c r="L29" i="54"/>
  <c r="M29" i="54"/>
  <c r="N29" i="54"/>
  <c r="O29" i="54"/>
  <c r="P29" i="54"/>
  <c r="Q29" i="54"/>
  <c r="R29" i="54"/>
  <c r="S29" i="54"/>
  <c r="T29" i="54"/>
  <c r="G30" i="54"/>
  <c r="H30" i="54"/>
  <c r="I30" i="54"/>
  <c r="J30" i="54"/>
  <c r="K30" i="54"/>
  <c r="L30" i="54"/>
  <c r="M30" i="54"/>
  <c r="N30" i="54"/>
  <c r="O30" i="54"/>
  <c r="P30" i="54"/>
  <c r="Q30" i="54"/>
  <c r="R30" i="54"/>
  <c r="S30" i="54"/>
  <c r="T30" i="54"/>
  <c r="G31" i="54"/>
  <c r="H31" i="54"/>
  <c r="I31" i="54"/>
  <c r="J31" i="54"/>
  <c r="K31" i="54"/>
  <c r="L31" i="54"/>
  <c r="M31" i="54"/>
  <c r="N31" i="54"/>
  <c r="O31" i="54"/>
  <c r="P31" i="54"/>
  <c r="Q31" i="54"/>
  <c r="R31" i="54"/>
  <c r="S31" i="54"/>
  <c r="T31" i="54"/>
  <c r="G32" i="54"/>
  <c r="H32" i="54"/>
  <c r="I32" i="54"/>
  <c r="J32" i="54"/>
  <c r="K32" i="54"/>
  <c r="L32" i="54"/>
  <c r="M32" i="54"/>
  <c r="N32" i="54"/>
  <c r="O32" i="54"/>
  <c r="P32" i="54"/>
  <c r="Q32" i="54"/>
  <c r="R32" i="54"/>
  <c r="S32" i="54"/>
  <c r="T32" i="54"/>
  <c r="G33" i="54"/>
  <c r="H33" i="54"/>
  <c r="I33" i="54"/>
  <c r="J33" i="54"/>
  <c r="K33" i="54"/>
  <c r="L33" i="54"/>
  <c r="M33" i="54"/>
  <c r="N33" i="54"/>
  <c r="O33" i="54"/>
  <c r="P33" i="54"/>
  <c r="Q33" i="54"/>
  <c r="R33" i="54"/>
  <c r="S33" i="54"/>
  <c r="T33" i="54"/>
  <c r="G34" i="54"/>
  <c r="H34" i="54"/>
  <c r="I34" i="54"/>
  <c r="J34" i="54"/>
  <c r="K34" i="54"/>
  <c r="L34" i="54"/>
  <c r="M34" i="54"/>
  <c r="N34" i="54"/>
  <c r="O34" i="54"/>
  <c r="P34" i="54"/>
  <c r="Q34" i="54"/>
  <c r="R34" i="54"/>
  <c r="S34" i="54"/>
  <c r="T34" i="54"/>
  <c r="G35" i="54"/>
  <c r="H35" i="54"/>
  <c r="I35" i="54"/>
  <c r="J35" i="54"/>
  <c r="K35" i="54"/>
  <c r="L35" i="54"/>
  <c r="M35" i="54"/>
  <c r="N35" i="54"/>
  <c r="O35" i="54"/>
  <c r="P35" i="54"/>
  <c r="Q35" i="54"/>
  <c r="R35" i="54"/>
  <c r="S35" i="54"/>
  <c r="T35" i="54"/>
  <c r="G36" i="54"/>
  <c r="H36" i="54"/>
  <c r="I36" i="54"/>
  <c r="J36" i="54"/>
  <c r="K36" i="54"/>
  <c r="L36" i="54"/>
  <c r="M36" i="54"/>
  <c r="N36" i="54"/>
  <c r="O36" i="54"/>
  <c r="P36" i="54"/>
  <c r="Q36" i="54"/>
  <c r="R36" i="54"/>
  <c r="S36" i="54"/>
  <c r="T36" i="54"/>
  <c r="G37" i="54"/>
  <c r="H37" i="54"/>
  <c r="I37" i="54"/>
  <c r="J37" i="54"/>
  <c r="K37" i="54"/>
  <c r="L37" i="54"/>
  <c r="M37" i="54"/>
  <c r="N37" i="54"/>
  <c r="O37" i="54"/>
  <c r="P37" i="54"/>
  <c r="Q37" i="54"/>
  <c r="R37" i="54"/>
  <c r="S37" i="54"/>
  <c r="T37" i="54"/>
  <c r="G38" i="54"/>
  <c r="H38" i="54"/>
  <c r="I38" i="54"/>
  <c r="J38" i="54"/>
  <c r="K38" i="54"/>
  <c r="L38" i="54"/>
  <c r="M38" i="54"/>
  <c r="N38" i="54"/>
  <c r="O38" i="54"/>
  <c r="P38" i="54"/>
  <c r="Q38" i="54"/>
  <c r="R38" i="54"/>
  <c r="S38" i="54"/>
  <c r="T38" i="54"/>
  <c r="G39" i="54"/>
  <c r="H39" i="54"/>
  <c r="I39" i="54"/>
  <c r="J39" i="54"/>
  <c r="K39" i="54"/>
  <c r="L39" i="54"/>
  <c r="M39" i="54"/>
  <c r="N39" i="54"/>
  <c r="O39" i="54"/>
  <c r="P39" i="54"/>
  <c r="Q39" i="54"/>
  <c r="R39" i="54"/>
  <c r="S39" i="54"/>
  <c r="T39" i="54"/>
  <c r="G40" i="54"/>
  <c r="H40" i="54"/>
  <c r="I40" i="54"/>
  <c r="J40" i="54"/>
  <c r="K40" i="54"/>
  <c r="L40" i="54"/>
  <c r="M40" i="54"/>
  <c r="N40" i="54"/>
  <c r="O40" i="54"/>
  <c r="P40" i="54"/>
  <c r="Q40" i="54"/>
  <c r="R40" i="54"/>
  <c r="S40" i="54"/>
  <c r="T40" i="54"/>
  <c r="G41" i="54"/>
  <c r="H41" i="54"/>
  <c r="I41" i="54"/>
  <c r="J41" i="54"/>
  <c r="K41" i="54"/>
  <c r="L41" i="54"/>
  <c r="M41" i="54"/>
  <c r="N41" i="54"/>
  <c r="O41" i="54"/>
  <c r="P41" i="54"/>
  <c r="Q41" i="54"/>
  <c r="R41" i="54"/>
  <c r="S41" i="54"/>
  <c r="T41" i="54"/>
  <c r="G42" i="54"/>
  <c r="H42" i="54"/>
  <c r="I42" i="54"/>
  <c r="J42" i="54"/>
  <c r="K42" i="54"/>
  <c r="L42" i="54"/>
  <c r="M42" i="54"/>
  <c r="N42" i="54"/>
  <c r="O42" i="54"/>
  <c r="P42" i="54"/>
  <c r="Q42" i="54"/>
  <c r="R42" i="54"/>
  <c r="S42" i="54"/>
  <c r="T42" i="54"/>
  <c r="G43" i="54"/>
  <c r="H43" i="54"/>
  <c r="I43" i="54"/>
  <c r="J43" i="54"/>
  <c r="K43" i="54"/>
  <c r="L43" i="54"/>
  <c r="M43" i="54"/>
  <c r="N43" i="54"/>
  <c r="O43" i="54"/>
  <c r="P43" i="54"/>
  <c r="Q43" i="54"/>
  <c r="R43" i="54"/>
  <c r="S43" i="54"/>
  <c r="T43" i="54"/>
  <c r="G44" i="54"/>
  <c r="H44" i="54"/>
  <c r="I44" i="54"/>
  <c r="J44" i="54"/>
  <c r="K44" i="54"/>
  <c r="L44" i="54"/>
  <c r="M44" i="54"/>
  <c r="N44" i="54"/>
  <c r="O44" i="54"/>
  <c r="P44" i="54"/>
  <c r="Q44" i="54"/>
  <c r="R44" i="54"/>
  <c r="S44" i="54"/>
  <c r="T44" i="54"/>
  <c r="G45" i="54"/>
  <c r="H45" i="54"/>
  <c r="I45" i="54"/>
  <c r="J45" i="54"/>
  <c r="K45" i="54"/>
  <c r="L45" i="54"/>
  <c r="M45" i="54"/>
  <c r="N45" i="54"/>
  <c r="O45" i="54"/>
  <c r="P45" i="54"/>
  <c r="Q45" i="54"/>
  <c r="R45" i="54"/>
  <c r="S45" i="54"/>
  <c r="T45" i="54"/>
  <c r="G46" i="54"/>
  <c r="H46" i="54"/>
  <c r="I46" i="54"/>
  <c r="J46" i="54"/>
  <c r="K46" i="54"/>
  <c r="L46" i="54"/>
  <c r="M46" i="54"/>
  <c r="N46" i="54"/>
  <c r="O46" i="54"/>
  <c r="P46" i="54"/>
  <c r="Q46" i="54"/>
  <c r="R46" i="54"/>
  <c r="S46" i="54"/>
  <c r="T46" i="54"/>
  <c r="G47" i="54"/>
  <c r="H47" i="54"/>
  <c r="I47" i="54"/>
  <c r="J47" i="54"/>
  <c r="K47" i="54"/>
  <c r="L47" i="54"/>
  <c r="M47" i="54"/>
  <c r="N47" i="54"/>
  <c r="O47" i="54"/>
  <c r="P47" i="54"/>
  <c r="Q47" i="54"/>
  <c r="R47" i="54"/>
  <c r="S47" i="54"/>
  <c r="T47" i="54"/>
  <c r="G48" i="54"/>
  <c r="H48" i="54"/>
  <c r="I48" i="54"/>
  <c r="J48" i="54"/>
  <c r="K48" i="54"/>
  <c r="L48" i="54"/>
  <c r="M48" i="54"/>
  <c r="N48" i="54"/>
  <c r="O48" i="54"/>
  <c r="P48" i="54"/>
  <c r="Q48" i="54"/>
  <c r="R48" i="54"/>
  <c r="S48" i="54"/>
  <c r="T48" i="54"/>
  <c r="G49" i="54"/>
  <c r="H49" i="54"/>
  <c r="I49" i="54"/>
  <c r="J49" i="54"/>
  <c r="K49" i="54"/>
  <c r="L49" i="54"/>
  <c r="M49" i="54"/>
  <c r="N49" i="54"/>
  <c r="O49" i="54"/>
  <c r="P49" i="54"/>
  <c r="Q49" i="54"/>
  <c r="R49" i="54"/>
  <c r="S49" i="54"/>
  <c r="T49" i="54"/>
  <c r="G50" i="54"/>
  <c r="H50" i="54"/>
  <c r="I50" i="54"/>
  <c r="J50" i="54"/>
  <c r="K50" i="54"/>
  <c r="L50" i="54"/>
  <c r="M50" i="54"/>
  <c r="N50" i="54"/>
  <c r="O50" i="54"/>
  <c r="P50" i="54"/>
  <c r="Q50" i="54"/>
  <c r="R50" i="54"/>
  <c r="S50" i="54"/>
  <c r="T50" i="54"/>
  <c r="G51" i="54"/>
  <c r="H51" i="54"/>
  <c r="I51" i="54"/>
  <c r="J51" i="54"/>
  <c r="K51" i="54"/>
  <c r="L51" i="54"/>
  <c r="M51" i="54"/>
  <c r="N51" i="54"/>
  <c r="O51" i="54"/>
  <c r="P51" i="54"/>
  <c r="Q51" i="54"/>
  <c r="R51" i="54"/>
  <c r="S51" i="54"/>
  <c r="T51" i="54"/>
  <c r="G52" i="54"/>
  <c r="H52" i="54"/>
  <c r="I52" i="54"/>
  <c r="J52" i="54"/>
  <c r="K52" i="54"/>
  <c r="L52" i="54"/>
  <c r="M52" i="54"/>
  <c r="N52" i="54"/>
  <c r="O52" i="54"/>
  <c r="P52" i="54"/>
  <c r="Q52" i="54"/>
  <c r="R52" i="54"/>
  <c r="S52" i="54"/>
  <c r="T52" i="54"/>
  <c r="G53" i="54"/>
  <c r="H53" i="54"/>
  <c r="I53" i="54"/>
  <c r="J53" i="54"/>
  <c r="K53" i="54"/>
  <c r="L53" i="54"/>
  <c r="M53" i="54"/>
  <c r="N53" i="54"/>
  <c r="O53" i="54"/>
  <c r="P53" i="54"/>
  <c r="Q53" i="54"/>
  <c r="R53" i="54"/>
  <c r="S53" i="54"/>
  <c r="T53" i="54"/>
  <c r="G54" i="54"/>
  <c r="H54" i="54"/>
  <c r="I54" i="54"/>
  <c r="J54" i="54"/>
  <c r="K54" i="54"/>
  <c r="L54" i="54"/>
  <c r="M54" i="54"/>
  <c r="N54" i="54"/>
  <c r="O54" i="54"/>
  <c r="P54" i="54"/>
  <c r="Q54" i="54"/>
  <c r="R54" i="54"/>
  <c r="S54" i="54"/>
  <c r="T54" i="54"/>
  <c r="G55" i="54"/>
  <c r="H55" i="54"/>
  <c r="I55" i="54"/>
  <c r="J55" i="54"/>
  <c r="K55" i="54"/>
  <c r="L55" i="54"/>
  <c r="M55" i="54"/>
  <c r="N55" i="54"/>
  <c r="O55" i="54"/>
  <c r="P55" i="54"/>
  <c r="Q55" i="54"/>
  <c r="R55" i="54"/>
  <c r="S55" i="54"/>
  <c r="T55" i="54"/>
  <c r="G56" i="54"/>
  <c r="H56" i="54"/>
  <c r="I56" i="54"/>
  <c r="J56" i="54"/>
  <c r="K56" i="54"/>
  <c r="L56" i="54"/>
  <c r="M56" i="54"/>
  <c r="N56" i="54"/>
  <c r="O56" i="54"/>
  <c r="P56" i="54"/>
  <c r="Q56" i="54"/>
  <c r="R56" i="54"/>
  <c r="S56" i="54"/>
  <c r="T56" i="54"/>
  <c r="G57" i="54"/>
  <c r="H57" i="54"/>
  <c r="I57" i="54"/>
  <c r="J57" i="54"/>
  <c r="K57" i="54"/>
  <c r="L57" i="54"/>
  <c r="M57" i="54"/>
  <c r="N57" i="54"/>
  <c r="O57" i="54"/>
  <c r="P57" i="54"/>
  <c r="Q57" i="54"/>
  <c r="R57" i="54"/>
  <c r="S57" i="54"/>
  <c r="T57" i="54"/>
  <c r="G58" i="54"/>
  <c r="H58" i="54"/>
  <c r="I58" i="54"/>
  <c r="J58" i="54"/>
  <c r="K58" i="54"/>
  <c r="L58" i="54"/>
  <c r="M58" i="54"/>
  <c r="N58" i="54"/>
  <c r="O58" i="54"/>
  <c r="P58" i="54"/>
  <c r="Q58" i="54"/>
  <c r="R58" i="54"/>
  <c r="S58" i="54"/>
  <c r="T58" i="54"/>
  <c r="G59" i="54"/>
  <c r="H59" i="54"/>
  <c r="I59" i="54"/>
  <c r="J59" i="54"/>
  <c r="K59" i="54"/>
  <c r="L59" i="54"/>
  <c r="M59" i="54"/>
  <c r="N59" i="54"/>
  <c r="O59" i="54"/>
  <c r="P59" i="54"/>
  <c r="Q59" i="54"/>
  <c r="R59" i="54"/>
  <c r="S59" i="54"/>
  <c r="T59" i="54"/>
  <c r="G60" i="54"/>
  <c r="H60" i="54"/>
  <c r="I60" i="54"/>
  <c r="J60" i="54"/>
  <c r="K60" i="54"/>
  <c r="L60" i="54"/>
  <c r="M60" i="54"/>
  <c r="N60" i="54"/>
  <c r="O60" i="54"/>
  <c r="P60" i="54"/>
  <c r="Q60" i="54"/>
  <c r="R60" i="54"/>
  <c r="S60" i="54"/>
  <c r="T60" i="54"/>
  <c r="G61" i="54"/>
  <c r="H61" i="54"/>
  <c r="I61" i="54"/>
  <c r="J61" i="54"/>
  <c r="K61" i="54"/>
  <c r="L61" i="54"/>
  <c r="M61" i="54"/>
  <c r="N61" i="54"/>
  <c r="O61" i="54"/>
  <c r="P61" i="54"/>
  <c r="Q61" i="54"/>
  <c r="R61" i="54"/>
  <c r="S61" i="54"/>
  <c r="T61" i="54"/>
  <c r="G62" i="54"/>
  <c r="H62" i="54"/>
  <c r="I62" i="54"/>
  <c r="J62" i="54"/>
  <c r="K62" i="54"/>
  <c r="L62" i="54"/>
  <c r="M62" i="54"/>
  <c r="N62" i="54"/>
  <c r="O62" i="54"/>
  <c r="P62" i="54"/>
  <c r="Q62" i="54"/>
  <c r="R62" i="54"/>
  <c r="S62" i="54"/>
  <c r="T62" i="54"/>
  <c r="G63" i="54"/>
  <c r="H63" i="54"/>
  <c r="I63" i="54"/>
  <c r="J63" i="54"/>
  <c r="K63" i="54"/>
  <c r="L63" i="54"/>
  <c r="M63" i="54"/>
  <c r="N63" i="54"/>
  <c r="O63" i="54"/>
  <c r="P63" i="54"/>
  <c r="Q63" i="54"/>
  <c r="R63" i="54"/>
  <c r="S63" i="54"/>
  <c r="T63" i="54"/>
  <c r="G64" i="54"/>
  <c r="H64" i="54"/>
  <c r="I64" i="54"/>
  <c r="J64" i="54"/>
  <c r="K64" i="54"/>
  <c r="L64" i="54"/>
  <c r="M64" i="54"/>
  <c r="N64" i="54"/>
  <c r="O64" i="54"/>
  <c r="P64" i="54"/>
  <c r="Q64" i="54"/>
  <c r="R64" i="54"/>
  <c r="S64" i="54"/>
  <c r="T64" i="54"/>
  <c r="G65" i="54"/>
  <c r="H65" i="54"/>
  <c r="I65" i="54"/>
  <c r="J65" i="54"/>
  <c r="K65" i="54"/>
  <c r="L65" i="54"/>
  <c r="M65" i="54"/>
  <c r="N65" i="54"/>
  <c r="O65" i="54"/>
  <c r="P65" i="54"/>
  <c r="Q65" i="54"/>
  <c r="R65" i="54"/>
  <c r="S65" i="54"/>
  <c r="T65" i="54"/>
  <c r="G66" i="54"/>
  <c r="H66" i="54"/>
  <c r="I66" i="54"/>
  <c r="J66" i="54"/>
  <c r="K66" i="54"/>
  <c r="L66" i="54"/>
  <c r="M66" i="54"/>
  <c r="N66" i="54"/>
  <c r="O66" i="54"/>
  <c r="P66" i="54"/>
  <c r="Q66" i="54"/>
  <c r="R66" i="54"/>
  <c r="S66" i="54"/>
  <c r="T66" i="54"/>
  <c r="G67" i="54"/>
  <c r="H67" i="54"/>
  <c r="I67" i="54"/>
  <c r="J67" i="54"/>
  <c r="K67" i="54"/>
  <c r="L67" i="54"/>
  <c r="M67" i="54"/>
  <c r="N67" i="54"/>
  <c r="O67" i="54"/>
  <c r="P67" i="54"/>
  <c r="Q67" i="54"/>
  <c r="R67" i="54"/>
  <c r="S67" i="54"/>
  <c r="T67" i="54"/>
  <c r="G68" i="54"/>
  <c r="H68" i="54"/>
  <c r="I68" i="54"/>
  <c r="J68" i="54"/>
  <c r="K68" i="54"/>
  <c r="L68" i="54"/>
  <c r="M68" i="54"/>
  <c r="N68" i="54"/>
  <c r="O68" i="54"/>
  <c r="P68" i="54"/>
  <c r="Q68" i="54"/>
  <c r="R68" i="54"/>
  <c r="S68" i="54"/>
  <c r="T68" i="54"/>
  <c r="G70" i="54"/>
  <c r="H70" i="54"/>
  <c r="I70" i="54"/>
  <c r="J70" i="54"/>
  <c r="K70" i="54"/>
  <c r="L70" i="54"/>
  <c r="M70" i="54"/>
  <c r="N70" i="54"/>
  <c r="O70" i="54"/>
  <c r="P70" i="54"/>
  <c r="Q70" i="54"/>
  <c r="R70" i="54"/>
  <c r="S70" i="54"/>
  <c r="T70" i="54"/>
  <c r="G71" i="54"/>
  <c r="H71" i="54"/>
  <c r="I71" i="54"/>
  <c r="J71" i="54"/>
  <c r="K71" i="54"/>
  <c r="L71" i="54"/>
  <c r="M71" i="54"/>
  <c r="N71" i="54"/>
  <c r="O71" i="54"/>
  <c r="P71" i="54"/>
  <c r="Q71" i="54"/>
  <c r="R71" i="54"/>
  <c r="S71" i="54"/>
  <c r="T71" i="54"/>
  <c r="G72" i="54"/>
  <c r="H72" i="54"/>
  <c r="I72" i="54"/>
  <c r="J72" i="54"/>
  <c r="K72" i="54"/>
  <c r="L72" i="54"/>
  <c r="M72" i="54"/>
  <c r="N72" i="54"/>
  <c r="O72" i="54"/>
  <c r="P72" i="54"/>
  <c r="Q72" i="54"/>
  <c r="R72" i="54"/>
  <c r="S72" i="54"/>
  <c r="T72" i="54"/>
  <c r="G73" i="54"/>
  <c r="H73" i="54"/>
  <c r="I73" i="54"/>
  <c r="J73" i="54"/>
  <c r="K73" i="54"/>
  <c r="L73" i="54"/>
  <c r="M73" i="54"/>
  <c r="N73" i="54"/>
  <c r="O73" i="54"/>
  <c r="P73" i="54"/>
  <c r="Q73" i="54"/>
  <c r="R73" i="54"/>
  <c r="S73" i="54"/>
  <c r="T73" i="54"/>
  <c r="G74" i="54"/>
  <c r="H74" i="54"/>
  <c r="I74" i="54"/>
  <c r="J74" i="54"/>
  <c r="K74" i="54"/>
  <c r="L74" i="54"/>
  <c r="M74" i="54"/>
  <c r="N74" i="54"/>
  <c r="O74" i="54"/>
  <c r="P74" i="54"/>
  <c r="Q74" i="54"/>
  <c r="R74" i="54"/>
  <c r="S74" i="54"/>
  <c r="T74" i="54"/>
  <c r="G75" i="54"/>
  <c r="H75" i="54"/>
  <c r="I75" i="54"/>
  <c r="J75" i="54"/>
  <c r="K75" i="54"/>
  <c r="L75" i="54"/>
  <c r="M75" i="54"/>
  <c r="N75" i="54"/>
  <c r="O75" i="54"/>
  <c r="P75" i="54"/>
  <c r="Q75" i="54"/>
  <c r="R75" i="54"/>
  <c r="S75" i="54"/>
  <c r="T75" i="54"/>
  <c r="G76" i="54"/>
  <c r="H76" i="54"/>
  <c r="I76" i="54"/>
  <c r="J76" i="54"/>
  <c r="K76" i="54"/>
  <c r="L76" i="54"/>
  <c r="M76" i="54"/>
  <c r="N76" i="54"/>
  <c r="O76" i="54"/>
  <c r="P76" i="54"/>
  <c r="Q76" i="54"/>
  <c r="R76" i="54"/>
  <c r="S76" i="54"/>
  <c r="T76" i="54"/>
  <c r="G77" i="54"/>
  <c r="H77" i="54"/>
  <c r="I77" i="54"/>
  <c r="J77" i="54"/>
  <c r="K77" i="54"/>
  <c r="L77" i="54"/>
  <c r="M77" i="54"/>
  <c r="N77" i="54"/>
  <c r="O77" i="54"/>
  <c r="P77" i="54"/>
  <c r="Q77" i="54"/>
  <c r="R77" i="54"/>
  <c r="S77" i="54"/>
  <c r="T77" i="54"/>
  <c r="G78" i="54"/>
  <c r="H78" i="54"/>
  <c r="I78" i="54"/>
  <c r="J78" i="54"/>
  <c r="K78" i="54"/>
  <c r="L78" i="54"/>
  <c r="M78" i="54"/>
  <c r="N78" i="54"/>
  <c r="O78" i="54"/>
  <c r="P78" i="54"/>
  <c r="Q78" i="54"/>
  <c r="R78" i="54"/>
  <c r="S78" i="54"/>
  <c r="T78" i="54"/>
  <c r="G79" i="54"/>
  <c r="H79" i="54"/>
  <c r="I79" i="54"/>
  <c r="J79" i="54"/>
  <c r="K79" i="54"/>
  <c r="L79" i="54"/>
  <c r="M79" i="54"/>
  <c r="N79" i="54"/>
  <c r="O79" i="54"/>
  <c r="P79" i="54"/>
  <c r="Q79" i="54"/>
  <c r="R79" i="54"/>
  <c r="S79" i="54"/>
  <c r="T79" i="54"/>
  <c r="G80" i="54"/>
  <c r="H80" i="54"/>
  <c r="I80" i="54"/>
  <c r="J80" i="54"/>
  <c r="K80" i="54"/>
  <c r="L80" i="54"/>
  <c r="M80" i="54"/>
  <c r="N80" i="54"/>
  <c r="O80" i="54"/>
  <c r="P80" i="54"/>
  <c r="Q80" i="54"/>
  <c r="R80" i="54"/>
  <c r="S80" i="54"/>
  <c r="T80" i="54"/>
  <c r="G81" i="54"/>
  <c r="H81" i="54"/>
  <c r="I81" i="54"/>
  <c r="J81" i="54"/>
  <c r="K81" i="54"/>
  <c r="L81" i="54"/>
  <c r="M81" i="54"/>
  <c r="N81" i="54"/>
  <c r="O81" i="54"/>
  <c r="P81" i="54"/>
  <c r="Q81" i="54"/>
  <c r="R81" i="54"/>
  <c r="S81" i="54"/>
  <c r="T81" i="54"/>
  <c r="G82" i="54"/>
  <c r="H82" i="54"/>
  <c r="I82" i="54"/>
  <c r="J82" i="54"/>
  <c r="K82" i="54"/>
  <c r="L82" i="54"/>
  <c r="M82" i="54"/>
  <c r="N82" i="54"/>
  <c r="O82" i="54"/>
  <c r="P82" i="54"/>
  <c r="Q82" i="54"/>
  <c r="R82" i="54"/>
  <c r="S82" i="54"/>
  <c r="T82" i="54"/>
  <c r="G83" i="54"/>
  <c r="H83" i="54"/>
  <c r="I83" i="54"/>
  <c r="J83" i="54"/>
  <c r="K83" i="54"/>
  <c r="L83" i="54"/>
  <c r="M83" i="54"/>
  <c r="N83" i="54"/>
  <c r="O83" i="54"/>
  <c r="P83" i="54"/>
  <c r="Q83" i="54"/>
  <c r="R83" i="54"/>
  <c r="S83" i="54"/>
  <c r="T83" i="54"/>
  <c r="G84" i="54"/>
  <c r="H84" i="54"/>
  <c r="I84" i="54"/>
  <c r="J84" i="54"/>
  <c r="K84" i="54"/>
  <c r="L84" i="54"/>
  <c r="M84" i="54"/>
  <c r="N84" i="54"/>
  <c r="O84" i="54"/>
  <c r="P84" i="54"/>
  <c r="Q84" i="54"/>
  <c r="R84" i="54"/>
  <c r="S84" i="54"/>
  <c r="T84" i="54"/>
  <c r="G85" i="54"/>
  <c r="H85" i="54"/>
  <c r="I85" i="54"/>
  <c r="J85" i="54"/>
  <c r="K85" i="54"/>
  <c r="L85" i="54"/>
  <c r="M85" i="54"/>
  <c r="N85" i="54"/>
  <c r="O85" i="54"/>
  <c r="P85" i="54"/>
  <c r="Q85" i="54"/>
  <c r="R85" i="54"/>
  <c r="S85" i="54"/>
  <c r="T85" i="54"/>
  <c r="G86" i="54"/>
  <c r="H86" i="54"/>
  <c r="I86" i="54"/>
  <c r="J86" i="54"/>
  <c r="K86" i="54"/>
  <c r="L86" i="54"/>
  <c r="M86" i="54"/>
  <c r="N86" i="54"/>
  <c r="O86" i="54"/>
  <c r="P86" i="54"/>
  <c r="Q86" i="54"/>
  <c r="R86" i="54"/>
  <c r="S86" i="54"/>
  <c r="T86" i="54"/>
  <c r="G87" i="54"/>
  <c r="H87" i="54"/>
  <c r="I87" i="54"/>
  <c r="J87" i="54"/>
  <c r="K87" i="54"/>
  <c r="L87" i="54"/>
  <c r="M87" i="54"/>
  <c r="N87" i="54"/>
  <c r="O87" i="54"/>
  <c r="P87" i="54"/>
  <c r="Q87" i="54"/>
  <c r="R87" i="54"/>
  <c r="S87" i="54"/>
  <c r="T87" i="54"/>
  <c r="G88" i="54"/>
  <c r="H88" i="54"/>
  <c r="I88" i="54"/>
  <c r="J88" i="54"/>
  <c r="K88" i="54"/>
  <c r="L88" i="54"/>
  <c r="M88" i="54"/>
  <c r="N88" i="54"/>
  <c r="O88" i="54"/>
  <c r="P88" i="54"/>
  <c r="Q88" i="54"/>
  <c r="R88" i="54"/>
  <c r="S88" i="54"/>
  <c r="T88" i="54"/>
  <c r="G89" i="54"/>
  <c r="H89" i="54"/>
  <c r="I89" i="54"/>
  <c r="J89" i="54"/>
  <c r="K89" i="54"/>
  <c r="L89" i="54"/>
  <c r="M89" i="54"/>
  <c r="N89" i="54"/>
  <c r="O89" i="54"/>
  <c r="P89" i="54"/>
  <c r="Q89" i="54"/>
  <c r="R89" i="54"/>
  <c r="S89" i="54"/>
  <c r="T89" i="54"/>
  <c r="G90" i="54"/>
  <c r="H90" i="54"/>
  <c r="I90" i="54"/>
  <c r="J90" i="54"/>
  <c r="K90" i="54"/>
  <c r="L90" i="54"/>
  <c r="M90" i="54"/>
  <c r="N90" i="54"/>
  <c r="O90" i="54"/>
  <c r="P90" i="54"/>
  <c r="Q90" i="54"/>
  <c r="R90" i="54"/>
  <c r="S90" i="54"/>
  <c r="T90" i="54"/>
  <c r="G91" i="54"/>
  <c r="H91" i="54"/>
  <c r="I91" i="54"/>
  <c r="J91" i="54"/>
  <c r="K91" i="54"/>
  <c r="L91" i="54"/>
  <c r="M91" i="54"/>
  <c r="N91" i="54"/>
  <c r="O91" i="54"/>
  <c r="P91" i="54"/>
  <c r="Q91" i="54"/>
  <c r="R91" i="54"/>
  <c r="S91" i="54"/>
  <c r="T91" i="54"/>
  <c r="G92" i="54"/>
  <c r="H92" i="54"/>
  <c r="I92" i="54"/>
  <c r="J92" i="54"/>
  <c r="K92" i="54"/>
  <c r="L92" i="54"/>
  <c r="M92" i="54"/>
  <c r="N92" i="54"/>
  <c r="O92" i="54"/>
  <c r="P92" i="54"/>
  <c r="Q92" i="54"/>
  <c r="R92" i="54"/>
  <c r="S92" i="54"/>
  <c r="T92" i="54"/>
  <c r="G93" i="54"/>
  <c r="H93" i="54"/>
  <c r="I93" i="54"/>
  <c r="J93" i="54"/>
  <c r="K93" i="54"/>
  <c r="L93" i="54"/>
  <c r="M93" i="54"/>
  <c r="N93" i="54"/>
  <c r="O93" i="54"/>
  <c r="P93" i="54"/>
  <c r="Q93" i="54"/>
  <c r="R93" i="54"/>
  <c r="S93" i="54"/>
  <c r="T93" i="54"/>
  <c r="G94" i="54"/>
  <c r="H94" i="54"/>
  <c r="I94" i="54"/>
  <c r="J94" i="54"/>
  <c r="K94" i="54"/>
  <c r="L94" i="54"/>
  <c r="M94" i="54"/>
  <c r="N94" i="54"/>
  <c r="O94" i="54"/>
  <c r="P94" i="54"/>
  <c r="Q94" i="54"/>
  <c r="R94" i="54"/>
  <c r="S94" i="54"/>
  <c r="T94" i="54"/>
  <c r="G95" i="54"/>
  <c r="H95" i="54"/>
  <c r="I95" i="54"/>
  <c r="J95" i="54"/>
  <c r="K95" i="54"/>
  <c r="L95" i="54"/>
  <c r="M95" i="54"/>
  <c r="N95" i="54"/>
  <c r="O95" i="54"/>
  <c r="P95" i="54"/>
  <c r="Q95" i="54"/>
  <c r="R95" i="54"/>
  <c r="S95" i="54"/>
  <c r="T95" i="54"/>
  <c r="G96" i="54"/>
  <c r="H96" i="54"/>
  <c r="I96" i="54"/>
  <c r="J96" i="54"/>
  <c r="K96" i="54"/>
  <c r="L96" i="54"/>
  <c r="M96" i="54"/>
  <c r="N96" i="54"/>
  <c r="O96" i="54"/>
  <c r="P96" i="54"/>
  <c r="Q96" i="54"/>
  <c r="R96" i="54"/>
  <c r="S96" i="54"/>
  <c r="T96" i="54"/>
  <c r="G97" i="54"/>
  <c r="H97" i="54"/>
  <c r="I97" i="54"/>
  <c r="J97" i="54"/>
  <c r="K97" i="54"/>
  <c r="L97" i="54"/>
  <c r="M97" i="54"/>
  <c r="N97" i="54"/>
  <c r="O97" i="54"/>
  <c r="P97" i="54"/>
  <c r="Q97" i="54"/>
  <c r="R97" i="54"/>
  <c r="S97" i="54"/>
  <c r="T97" i="54"/>
  <c r="G98" i="54"/>
  <c r="H98" i="54"/>
  <c r="I98" i="54"/>
  <c r="J98" i="54"/>
  <c r="K98" i="54"/>
  <c r="L98" i="54"/>
  <c r="M98" i="54"/>
  <c r="N98" i="54"/>
  <c r="O98" i="54"/>
  <c r="P98" i="54"/>
  <c r="Q98" i="54"/>
  <c r="R98" i="54"/>
  <c r="S98" i="54"/>
  <c r="T98" i="54"/>
  <c r="G99" i="54"/>
  <c r="H99" i="54"/>
  <c r="I99" i="54"/>
  <c r="J99" i="54"/>
  <c r="K99" i="54"/>
  <c r="L99" i="54"/>
  <c r="M99" i="54"/>
  <c r="N99" i="54"/>
  <c r="O99" i="54"/>
  <c r="P99" i="54"/>
  <c r="Q99" i="54"/>
  <c r="R99" i="54"/>
  <c r="S99" i="54"/>
  <c r="T99" i="54"/>
  <c r="G100" i="54"/>
  <c r="H100" i="54"/>
  <c r="I100" i="54"/>
  <c r="J100" i="54"/>
  <c r="K100" i="54"/>
  <c r="L100" i="54"/>
  <c r="M100" i="54"/>
  <c r="N100" i="54"/>
  <c r="O100" i="54"/>
  <c r="P100" i="54"/>
  <c r="Q100" i="54"/>
  <c r="R100" i="54"/>
  <c r="S100" i="54"/>
  <c r="T100" i="54"/>
  <c r="G101" i="54"/>
  <c r="H101" i="54"/>
  <c r="I101" i="54"/>
  <c r="J101" i="54"/>
  <c r="K101" i="54"/>
  <c r="L101" i="54"/>
  <c r="M101" i="54"/>
  <c r="N101" i="54"/>
  <c r="O101" i="54"/>
  <c r="P101" i="54"/>
  <c r="Q101" i="54"/>
  <c r="R101" i="54"/>
  <c r="S101" i="54"/>
  <c r="T101" i="54"/>
  <c r="G102" i="54"/>
  <c r="H102" i="54"/>
  <c r="I102" i="54"/>
  <c r="J102" i="54"/>
  <c r="K102" i="54"/>
  <c r="L102" i="54"/>
  <c r="M102" i="54"/>
  <c r="N102" i="54"/>
  <c r="O102" i="54"/>
  <c r="P102" i="54"/>
  <c r="Q102" i="54"/>
  <c r="R102" i="54"/>
  <c r="S102" i="54"/>
  <c r="T102" i="54"/>
  <c r="G103" i="54"/>
  <c r="H103" i="54"/>
  <c r="I103" i="54"/>
  <c r="J103" i="54"/>
  <c r="K103" i="54"/>
  <c r="L103" i="54"/>
  <c r="M103" i="54"/>
  <c r="N103" i="54"/>
  <c r="O103" i="54"/>
  <c r="P103" i="54"/>
  <c r="Q103" i="54"/>
  <c r="R103" i="54"/>
  <c r="S103" i="54"/>
  <c r="T103" i="54"/>
  <c r="G104" i="54"/>
  <c r="H104" i="54"/>
  <c r="I104" i="54"/>
  <c r="J104" i="54"/>
  <c r="K104" i="54"/>
  <c r="L104" i="54"/>
  <c r="M104" i="54"/>
  <c r="N104" i="54"/>
  <c r="O104" i="54"/>
  <c r="P104" i="54"/>
  <c r="Q104" i="54"/>
  <c r="R104" i="54"/>
  <c r="S104" i="54"/>
  <c r="T104" i="54"/>
  <c r="G105" i="54"/>
  <c r="H105" i="54"/>
  <c r="I105" i="54"/>
  <c r="J105" i="54"/>
  <c r="K105" i="54"/>
  <c r="L105" i="54"/>
  <c r="M105" i="54"/>
  <c r="N105" i="54"/>
  <c r="O105" i="54"/>
  <c r="P105" i="54"/>
  <c r="Q105" i="54"/>
  <c r="R105" i="54"/>
  <c r="S105" i="54"/>
  <c r="T105" i="54"/>
  <c r="G106" i="54"/>
  <c r="H106" i="54"/>
  <c r="I106" i="54"/>
  <c r="J106" i="54"/>
  <c r="K106" i="54"/>
  <c r="L106" i="54"/>
  <c r="M106" i="54"/>
  <c r="N106" i="54"/>
  <c r="O106" i="54"/>
  <c r="P106" i="54"/>
  <c r="Q106" i="54"/>
  <c r="R106" i="54"/>
  <c r="S106" i="54"/>
  <c r="T106" i="54"/>
  <c r="G107" i="54"/>
  <c r="H107" i="54"/>
  <c r="I107" i="54"/>
  <c r="J107" i="54"/>
  <c r="K107" i="54"/>
  <c r="L107" i="54"/>
  <c r="M107" i="54"/>
  <c r="N107" i="54"/>
  <c r="O107" i="54"/>
  <c r="P107" i="54"/>
  <c r="Q107" i="54"/>
  <c r="R107" i="54"/>
  <c r="S107" i="54"/>
  <c r="T107" i="54"/>
  <c r="G108" i="54"/>
  <c r="H108" i="54"/>
  <c r="I108" i="54"/>
  <c r="J108" i="54"/>
  <c r="K108" i="54"/>
  <c r="L108" i="54"/>
  <c r="M108" i="54"/>
  <c r="N108" i="54"/>
  <c r="O108" i="54"/>
  <c r="P108" i="54"/>
  <c r="Q108" i="54"/>
  <c r="R108" i="54"/>
  <c r="S108" i="54"/>
  <c r="T108" i="54"/>
  <c r="G109" i="54"/>
  <c r="H109" i="54"/>
  <c r="I109" i="54"/>
  <c r="J109" i="54"/>
  <c r="K109" i="54"/>
  <c r="L109" i="54"/>
  <c r="M109" i="54"/>
  <c r="N109" i="54"/>
  <c r="O109" i="54"/>
  <c r="P109" i="54"/>
  <c r="Q109" i="54"/>
  <c r="R109" i="54"/>
  <c r="S109" i="54"/>
  <c r="T109" i="54"/>
  <c r="G110" i="54"/>
  <c r="H110" i="54"/>
  <c r="I110" i="54"/>
  <c r="J110" i="54"/>
  <c r="K110" i="54"/>
  <c r="L110" i="54"/>
  <c r="M110" i="54"/>
  <c r="N110" i="54"/>
  <c r="O110" i="54"/>
  <c r="P110" i="54"/>
  <c r="Q110" i="54"/>
  <c r="R110" i="54"/>
  <c r="S110" i="54"/>
  <c r="T110" i="54"/>
  <c r="G111" i="54"/>
  <c r="H111" i="54"/>
  <c r="I111" i="54"/>
  <c r="J111" i="54"/>
  <c r="K111" i="54"/>
  <c r="L111" i="54"/>
  <c r="M111" i="54"/>
  <c r="N111" i="54"/>
  <c r="O111" i="54"/>
  <c r="P111" i="54"/>
  <c r="Q111" i="54"/>
  <c r="R111" i="54"/>
  <c r="S111" i="54"/>
  <c r="T111" i="54"/>
  <c r="G112" i="54"/>
  <c r="H112" i="54"/>
  <c r="I112" i="54"/>
  <c r="J112" i="54"/>
  <c r="K112" i="54"/>
  <c r="L112" i="54"/>
  <c r="M112" i="54"/>
  <c r="N112" i="54"/>
  <c r="O112" i="54"/>
  <c r="P112" i="54"/>
  <c r="Q112" i="54"/>
  <c r="R112" i="54"/>
  <c r="S112" i="54"/>
  <c r="T112" i="54"/>
  <c r="G113" i="54"/>
  <c r="H113" i="54"/>
  <c r="I113" i="54"/>
  <c r="J113" i="54"/>
  <c r="K113" i="54"/>
  <c r="L113" i="54"/>
  <c r="M113" i="54"/>
  <c r="N113" i="54"/>
  <c r="O113" i="54"/>
  <c r="P113" i="54"/>
  <c r="Q113" i="54"/>
  <c r="R113" i="54"/>
  <c r="S113" i="54"/>
  <c r="T113" i="54"/>
  <c r="G114" i="54"/>
  <c r="H114" i="54"/>
  <c r="I114" i="54"/>
  <c r="J114" i="54"/>
  <c r="K114" i="54"/>
  <c r="L114" i="54"/>
  <c r="M114" i="54"/>
  <c r="N114" i="54"/>
  <c r="O114" i="54"/>
  <c r="P114" i="54"/>
  <c r="Q114" i="54"/>
  <c r="R114" i="54"/>
  <c r="S114" i="54"/>
  <c r="T114" i="54"/>
  <c r="G115" i="54"/>
  <c r="H115" i="54"/>
  <c r="I115" i="54"/>
  <c r="J115" i="54"/>
  <c r="K115" i="54"/>
  <c r="L115" i="54"/>
  <c r="M115" i="54"/>
  <c r="N115" i="54"/>
  <c r="O115" i="54"/>
  <c r="P115" i="54"/>
  <c r="Q115" i="54"/>
  <c r="R115" i="54"/>
  <c r="S115" i="54"/>
  <c r="T115" i="54"/>
  <c r="G116" i="54"/>
  <c r="H116" i="54"/>
  <c r="I116" i="54"/>
  <c r="J116" i="54"/>
  <c r="K116" i="54"/>
  <c r="L116" i="54"/>
  <c r="M116" i="54"/>
  <c r="N116" i="54"/>
  <c r="O116" i="54"/>
  <c r="P116" i="54"/>
  <c r="Q116" i="54"/>
  <c r="R116" i="54"/>
  <c r="S116" i="54"/>
  <c r="T116" i="54"/>
  <c r="G117" i="54"/>
  <c r="H117" i="54"/>
  <c r="I117" i="54"/>
  <c r="J117" i="54"/>
  <c r="K117" i="54"/>
  <c r="L117" i="54"/>
  <c r="M117" i="54"/>
  <c r="N117" i="54"/>
  <c r="O117" i="54"/>
  <c r="P117" i="54"/>
  <c r="Q117" i="54"/>
  <c r="R117" i="54"/>
  <c r="S117" i="54"/>
  <c r="T117" i="54"/>
  <c r="G118" i="54"/>
  <c r="H118" i="54"/>
  <c r="I118" i="54"/>
  <c r="J118" i="54"/>
  <c r="K118" i="54"/>
  <c r="L118" i="54"/>
  <c r="M118" i="54"/>
  <c r="N118" i="54"/>
  <c r="O118" i="54"/>
  <c r="P118" i="54"/>
  <c r="Q118" i="54"/>
  <c r="R118" i="54"/>
  <c r="S118" i="54"/>
  <c r="T118" i="54"/>
  <c r="G119" i="54"/>
  <c r="H119" i="54"/>
  <c r="I119" i="54"/>
  <c r="J119" i="54"/>
  <c r="K119" i="54"/>
  <c r="L119" i="54"/>
  <c r="M119" i="54"/>
  <c r="N119" i="54"/>
  <c r="O119" i="54"/>
  <c r="P119" i="54"/>
  <c r="Q119" i="54"/>
  <c r="R119" i="54"/>
  <c r="S119" i="54"/>
  <c r="T119" i="54"/>
  <c r="G120" i="54"/>
  <c r="H120" i="54"/>
  <c r="I120" i="54"/>
  <c r="J120" i="54"/>
  <c r="K120" i="54"/>
  <c r="L120" i="54"/>
  <c r="M120" i="54"/>
  <c r="N120" i="54"/>
  <c r="O120" i="54"/>
  <c r="P120" i="54"/>
  <c r="Q120" i="54"/>
  <c r="R120" i="54"/>
  <c r="S120" i="54"/>
  <c r="T120" i="54"/>
  <c r="G121" i="54"/>
  <c r="H121" i="54"/>
  <c r="I121" i="54"/>
  <c r="J121" i="54"/>
  <c r="K121" i="54"/>
  <c r="L121" i="54"/>
  <c r="M121" i="54"/>
  <c r="N121" i="54"/>
  <c r="O121" i="54"/>
  <c r="P121" i="54"/>
  <c r="Q121" i="54"/>
  <c r="R121" i="54"/>
  <c r="S121" i="54"/>
  <c r="T121" i="54"/>
  <c r="G122" i="54"/>
  <c r="H122" i="54"/>
  <c r="I122" i="54"/>
  <c r="J122" i="54"/>
  <c r="K122" i="54"/>
  <c r="L122" i="54"/>
  <c r="M122" i="54"/>
  <c r="N122" i="54"/>
  <c r="O122" i="54"/>
  <c r="P122" i="54"/>
  <c r="Q122" i="54"/>
  <c r="R122" i="54"/>
  <c r="S122" i="54"/>
  <c r="T122" i="54"/>
  <c r="G123" i="54"/>
  <c r="H123" i="54"/>
  <c r="I123" i="54"/>
  <c r="J123" i="54"/>
  <c r="K123" i="54"/>
  <c r="L123" i="54"/>
  <c r="M123" i="54"/>
  <c r="N123" i="54"/>
  <c r="O123" i="54"/>
  <c r="P123" i="54"/>
  <c r="Q123" i="54"/>
  <c r="R123" i="54"/>
  <c r="S123" i="54"/>
  <c r="T123" i="54"/>
  <c r="G124" i="54"/>
  <c r="H124" i="54"/>
  <c r="I124" i="54"/>
  <c r="J124" i="54"/>
  <c r="K124" i="54"/>
  <c r="L124" i="54"/>
  <c r="M124" i="54"/>
  <c r="N124" i="54"/>
  <c r="O124" i="54"/>
  <c r="P124" i="54"/>
  <c r="Q124" i="54"/>
  <c r="R124" i="54"/>
  <c r="S124" i="54"/>
  <c r="T124" i="54"/>
  <c r="G125" i="54"/>
  <c r="H125" i="54"/>
  <c r="I125" i="54"/>
  <c r="J125" i="54"/>
  <c r="K125" i="54"/>
  <c r="L125" i="54"/>
  <c r="M125" i="54"/>
  <c r="N125" i="54"/>
  <c r="O125" i="54"/>
  <c r="P125" i="54"/>
  <c r="Q125" i="54"/>
  <c r="R125" i="54"/>
  <c r="S125" i="54"/>
  <c r="T125" i="54"/>
  <c r="G126" i="54"/>
  <c r="H126" i="54"/>
  <c r="I126" i="54"/>
  <c r="J126" i="54"/>
  <c r="K126" i="54"/>
  <c r="L126" i="54"/>
  <c r="M126" i="54"/>
  <c r="N126" i="54"/>
  <c r="O126" i="54"/>
  <c r="P126" i="54"/>
  <c r="Q126" i="54"/>
  <c r="R126" i="54"/>
  <c r="S126" i="54"/>
  <c r="T126" i="54"/>
  <c r="G127" i="54"/>
  <c r="H127" i="54"/>
  <c r="I127" i="54"/>
  <c r="J127" i="54"/>
  <c r="K127" i="54"/>
  <c r="L127" i="54"/>
  <c r="M127" i="54"/>
  <c r="N127" i="54"/>
  <c r="O127" i="54"/>
  <c r="P127" i="54"/>
  <c r="Q127" i="54"/>
  <c r="R127" i="54"/>
  <c r="S127" i="54"/>
  <c r="T127" i="54"/>
  <c r="G128" i="54"/>
  <c r="H128" i="54"/>
  <c r="I128" i="54"/>
  <c r="J128" i="54"/>
  <c r="K128" i="54"/>
  <c r="L128" i="54"/>
  <c r="M128" i="54"/>
  <c r="N128" i="54"/>
  <c r="O128" i="54"/>
  <c r="P128" i="54"/>
  <c r="Q128" i="54"/>
  <c r="R128" i="54"/>
  <c r="S128" i="54"/>
  <c r="T128" i="54"/>
  <c r="G129" i="54"/>
  <c r="H129" i="54"/>
  <c r="I129" i="54"/>
  <c r="J129" i="54"/>
  <c r="K129" i="54"/>
  <c r="L129" i="54"/>
  <c r="M129" i="54"/>
  <c r="N129" i="54"/>
  <c r="O129" i="54"/>
  <c r="P129" i="54"/>
  <c r="Q129" i="54"/>
  <c r="R129" i="54"/>
  <c r="S129" i="54"/>
  <c r="T129" i="54"/>
  <c r="G130" i="54"/>
  <c r="H130" i="54"/>
  <c r="I130" i="54"/>
  <c r="J130" i="54"/>
  <c r="K130" i="54"/>
  <c r="L130" i="54"/>
  <c r="M130" i="54"/>
  <c r="N130" i="54"/>
  <c r="O130" i="54"/>
  <c r="P130" i="54"/>
  <c r="Q130" i="54"/>
  <c r="R130" i="54"/>
  <c r="S130" i="54"/>
  <c r="T130" i="54"/>
  <c r="G131" i="54"/>
  <c r="H131" i="54"/>
  <c r="I131" i="54"/>
  <c r="J131" i="54"/>
  <c r="K131" i="54"/>
  <c r="L131" i="54"/>
  <c r="M131" i="54"/>
  <c r="N131" i="54"/>
  <c r="O131" i="54"/>
  <c r="P131" i="54"/>
  <c r="Q131" i="54"/>
  <c r="R131" i="54"/>
  <c r="S131" i="54"/>
  <c r="T131" i="54"/>
  <c r="G132" i="54"/>
  <c r="H132" i="54"/>
  <c r="I132" i="54"/>
  <c r="J132" i="54"/>
  <c r="K132" i="54"/>
  <c r="L132" i="54"/>
  <c r="M132" i="54"/>
  <c r="N132" i="54"/>
  <c r="O132" i="54"/>
  <c r="P132" i="54"/>
  <c r="Q132" i="54"/>
  <c r="R132" i="54"/>
  <c r="S132" i="54"/>
  <c r="T132" i="54"/>
  <c r="G133" i="54"/>
  <c r="H133" i="54"/>
  <c r="I133" i="54"/>
  <c r="J133" i="54"/>
  <c r="K133" i="54"/>
  <c r="L133" i="54"/>
  <c r="M133" i="54"/>
  <c r="N133" i="54"/>
  <c r="O133" i="54"/>
  <c r="P133" i="54"/>
  <c r="Q133" i="54"/>
  <c r="R133" i="54"/>
  <c r="S133" i="54"/>
  <c r="T133" i="54"/>
  <c r="G134" i="54"/>
  <c r="H134" i="54"/>
  <c r="I134" i="54"/>
  <c r="J134" i="54"/>
  <c r="K134" i="54"/>
  <c r="L134" i="54"/>
  <c r="M134" i="54"/>
  <c r="N134" i="54"/>
  <c r="O134" i="54"/>
  <c r="P134" i="54"/>
  <c r="Q134" i="54"/>
  <c r="R134" i="54"/>
  <c r="S134" i="54"/>
  <c r="T134" i="54"/>
  <c r="G135" i="54"/>
  <c r="H135" i="54"/>
  <c r="I135" i="54"/>
  <c r="J135" i="54"/>
  <c r="K135" i="54"/>
  <c r="L135" i="54"/>
  <c r="M135" i="54"/>
  <c r="N135" i="54"/>
  <c r="O135" i="54"/>
  <c r="P135" i="54"/>
  <c r="Q135" i="54"/>
  <c r="R135" i="54"/>
  <c r="S135" i="54"/>
  <c r="T135" i="54"/>
  <c r="G136" i="54"/>
  <c r="H136" i="54"/>
  <c r="I136" i="54"/>
  <c r="J136" i="54"/>
  <c r="K136" i="54"/>
  <c r="L136" i="54"/>
  <c r="M136" i="54"/>
  <c r="N136" i="54"/>
  <c r="O136" i="54"/>
  <c r="P136" i="54"/>
  <c r="Q136" i="54"/>
  <c r="R136" i="54"/>
  <c r="S136" i="54"/>
  <c r="T136" i="54"/>
  <c r="G137" i="54"/>
  <c r="H137" i="54"/>
  <c r="I137" i="54"/>
  <c r="J137" i="54"/>
  <c r="K137" i="54"/>
  <c r="L137" i="54"/>
  <c r="M137" i="54"/>
  <c r="N137" i="54"/>
  <c r="O137" i="54"/>
  <c r="P137" i="54"/>
  <c r="Q137" i="54"/>
  <c r="R137" i="54"/>
  <c r="S137" i="54"/>
  <c r="T137" i="54"/>
  <c r="G138" i="54"/>
  <c r="H138" i="54"/>
  <c r="I138" i="54"/>
  <c r="J138" i="54"/>
  <c r="K138" i="54"/>
  <c r="L138" i="54"/>
  <c r="M138" i="54"/>
  <c r="N138" i="54"/>
  <c r="O138" i="54"/>
  <c r="P138" i="54"/>
  <c r="Q138" i="54"/>
  <c r="R138" i="54"/>
  <c r="S138" i="54"/>
  <c r="T138" i="54"/>
  <c r="G139" i="54"/>
  <c r="H139" i="54"/>
  <c r="I139" i="54"/>
  <c r="J139" i="54"/>
  <c r="K139" i="54"/>
  <c r="L139" i="54"/>
  <c r="M139" i="54"/>
  <c r="N139" i="54"/>
  <c r="O139" i="54"/>
  <c r="P139" i="54"/>
  <c r="Q139" i="54"/>
  <c r="R139" i="54"/>
  <c r="S139" i="54"/>
  <c r="T139" i="54"/>
  <c r="G140" i="54"/>
  <c r="H140" i="54"/>
  <c r="I140" i="54"/>
  <c r="J140" i="54"/>
  <c r="K140" i="54"/>
  <c r="L140" i="54"/>
  <c r="M140" i="54"/>
  <c r="N140" i="54"/>
  <c r="O140" i="54"/>
  <c r="P140" i="54"/>
  <c r="Q140" i="54"/>
  <c r="R140" i="54"/>
  <c r="S140" i="54"/>
  <c r="T140" i="54"/>
  <c r="G141" i="54"/>
  <c r="H141" i="54"/>
  <c r="I141" i="54"/>
  <c r="J141" i="54"/>
  <c r="K141" i="54"/>
  <c r="L141" i="54"/>
  <c r="M141" i="54"/>
  <c r="N141" i="54"/>
  <c r="O141" i="54"/>
  <c r="P141" i="54"/>
  <c r="Q141" i="54"/>
  <c r="R141" i="54"/>
  <c r="S141" i="54"/>
  <c r="T141" i="54"/>
  <c r="G142" i="54"/>
  <c r="H142" i="54"/>
  <c r="I142" i="54"/>
  <c r="J142" i="54"/>
  <c r="K142" i="54"/>
  <c r="L142" i="54"/>
  <c r="M142" i="54"/>
  <c r="N142" i="54"/>
  <c r="O142" i="54"/>
  <c r="P142" i="54"/>
  <c r="Q142" i="54"/>
  <c r="R142" i="54"/>
  <c r="S142" i="54"/>
  <c r="T142" i="54"/>
  <c r="G143" i="54"/>
  <c r="H143" i="54"/>
  <c r="I143" i="54"/>
  <c r="J143" i="54"/>
  <c r="K143" i="54"/>
  <c r="L143" i="54"/>
  <c r="M143" i="54"/>
  <c r="N143" i="54"/>
  <c r="O143" i="54"/>
  <c r="P143" i="54"/>
  <c r="Q143" i="54"/>
  <c r="R143" i="54"/>
  <c r="S143" i="54"/>
  <c r="T143" i="54"/>
  <c r="G144" i="54"/>
  <c r="H144" i="54"/>
  <c r="I144" i="54"/>
  <c r="J144" i="54"/>
  <c r="K144" i="54"/>
  <c r="L144" i="54"/>
  <c r="M144" i="54"/>
  <c r="N144" i="54"/>
  <c r="O144" i="54"/>
  <c r="P144" i="54"/>
  <c r="Q144" i="54"/>
  <c r="R144" i="54"/>
  <c r="S144" i="54"/>
  <c r="T144" i="54"/>
  <c r="G145" i="54"/>
  <c r="H145" i="54"/>
  <c r="I145" i="54"/>
  <c r="J145" i="54"/>
  <c r="K145" i="54"/>
  <c r="L145" i="54"/>
  <c r="M145" i="54"/>
  <c r="N145" i="54"/>
  <c r="O145" i="54"/>
  <c r="P145" i="54"/>
  <c r="Q145" i="54"/>
  <c r="R145" i="54"/>
  <c r="S145" i="54"/>
  <c r="T145" i="54"/>
  <c r="G146" i="54"/>
  <c r="H146" i="54"/>
  <c r="I146" i="54"/>
  <c r="J146" i="54"/>
  <c r="K146" i="54"/>
  <c r="L146" i="54"/>
  <c r="M146" i="54"/>
  <c r="N146" i="54"/>
  <c r="O146" i="54"/>
  <c r="P146" i="54"/>
  <c r="Q146" i="54"/>
  <c r="R146" i="54"/>
  <c r="S146" i="54"/>
  <c r="T146" i="54"/>
  <c r="G147" i="54"/>
  <c r="H147" i="54"/>
  <c r="I147" i="54"/>
  <c r="J147" i="54"/>
  <c r="K147" i="54"/>
  <c r="L147" i="54"/>
  <c r="M147" i="54"/>
  <c r="N147" i="54"/>
  <c r="O147" i="54"/>
  <c r="P147" i="54"/>
  <c r="Q147" i="54"/>
  <c r="R147" i="54"/>
  <c r="S147" i="54"/>
  <c r="T147" i="54"/>
  <c r="G148" i="54"/>
  <c r="H148" i="54"/>
  <c r="I148" i="54"/>
  <c r="J148" i="54"/>
  <c r="K148" i="54"/>
  <c r="L148" i="54"/>
  <c r="M148" i="54"/>
  <c r="N148" i="54"/>
  <c r="O148" i="54"/>
  <c r="P148" i="54"/>
  <c r="Q148" i="54"/>
  <c r="R148" i="54"/>
  <c r="S148" i="54"/>
  <c r="T148" i="54"/>
  <c r="G149" i="54"/>
  <c r="H149" i="54"/>
  <c r="I149" i="54"/>
  <c r="J149" i="54"/>
  <c r="K149" i="54"/>
  <c r="L149" i="54"/>
  <c r="M149" i="54"/>
  <c r="N149" i="54"/>
  <c r="O149" i="54"/>
  <c r="P149" i="54"/>
  <c r="Q149" i="54"/>
  <c r="R149" i="54"/>
  <c r="S149" i="54"/>
  <c r="T149" i="54"/>
  <c r="G150" i="54"/>
  <c r="H150" i="54"/>
  <c r="I150" i="54"/>
  <c r="J150" i="54"/>
  <c r="K150" i="54"/>
  <c r="L150" i="54"/>
  <c r="M150" i="54"/>
  <c r="N150" i="54"/>
  <c r="O150" i="54"/>
  <c r="P150" i="54"/>
  <c r="Q150" i="54"/>
  <c r="R150" i="54"/>
  <c r="S150" i="54"/>
  <c r="T150" i="54"/>
  <c r="G151" i="54"/>
  <c r="H151" i="54"/>
  <c r="I151" i="54"/>
  <c r="J151" i="54"/>
  <c r="K151" i="54"/>
  <c r="L151" i="54"/>
  <c r="M151" i="54"/>
  <c r="N151" i="54"/>
  <c r="O151" i="54"/>
  <c r="P151" i="54"/>
  <c r="Q151" i="54"/>
  <c r="R151" i="54"/>
  <c r="S151" i="54"/>
  <c r="T151" i="54"/>
  <c r="G152" i="54"/>
  <c r="H152" i="54"/>
  <c r="I152" i="54"/>
  <c r="J152" i="54"/>
  <c r="K152" i="54"/>
  <c r="L152" i="54"/>
  <c r="M152" i="54"/>
  <c r="N152" i="54"/>
  <c r="O152" i="54"/>
  <c r="P152" i="54"/>
  <c r="Q152" i="54"/>
  <c r="R152" i="54"/>
  <c r="S152" i="54"/>
  <c r="T152" i="54"/>
  <c r="G153" i="54"/>
  <c r="H153" i="54"/>
  <c r="I153" i="54"/>
  <c r="J153" i="54"/>
  <c r="K153" i="54"/>
  <c r="L153" i="54"/>
  <c r="M153" i="54"/>
  <c r="N153" i="54"/>
  <c r="O153" i="54"/>
  <c r="P153" i="54"/>
  <c r="Q153" i="54"/>
  <c r="R153" i="54"/>
  <c r="S153" i="54"/>
  <c r="T153" i="54"/>
  <c r="G154" i="54"/>
  <c r="H154" i="54"/>
  <c r="I154" i="54"/>
  <c r="J154" i="54"/>
  <c r="K154" i="54"/>
  <c r="L154" i="54"/>
  <c r="M154" i="54"/>
  <c r="N154" i="54"/>
  <c r="O154" i="54"/>
  <c r="P154" i="54"/>
  <c r="Q154" i="54"/>
  <c r="R154" i="54"/>
  <c r="S154" i="54"/>
  <c r="T154" i="54"/>
  <c r="G155" i="54"/>
  <c r="H155" i="54"/>
  <c r="I155" i="54"/>
  <c r="J155" i="54"/>
  <c r="K155" i="54"/>
  <c r="L155" i="54"/>
  <c r="M155" i="54"/>
  <c r="N155" i="54"/>
  <c r="O155" i="54"/>
  <c r="P155" i="54"/>
  <c r="Q155" i="54"/>
  <c r="R155" i="54"/>
  <c r="S155" i="54"/>
  <c r="T155" i="54"/>
  <c r="G156" i="54"/>
  <c r="H156" i="54"/>
  <c r="I156" i="54"/>
  <c r="J156" i="54"/>
  <c r="K156" i="54"/>
  <c r="L156" i="54"/>
  <c r="M156" i="54"/>
  <c r="N156" i="54"/>
  <c r="O156" i="54"/>
  <c r="P156" i="54"/>
  <c r="Q156" i="54"/>
  <c r="R156" i="54"/>
  <c r="S156" i="54"/>
  <c r="T156" i="54"/>
  <c r="G157" i="54"/>
  <c r="H157" i="54"/>
  <c r="I157" i="54"/>
  <c r="J157" i="54"/>
  <c r="K157" i="54"/>
  <c r="L157" i="54"/>
  <c r="M157" i="54"/>
  <c r="N157" i="54"/>
  <c r="O157" i="54"/>
  <c r="P157" i="54"/>
  <c r="Q157" i="54"/>
  <c r="R157" i="54"/>
  <c r="S157" i="54"/>
  <c r="T157" i="54"/>
  <c r="G158" i="54"/>
  <c r="H158" i="54"/>
  <c r="I158" i="54"/>
  <c r="J158" i="54"/>
  <c r="K158" i="54"/>
  <c r="L158" i="54"/>
  <c r="M158" i="54"/>
  <c r="N158" i="54"/>
  <c r="O158" i="54"/>
  <c r="P158" i="54"/>
  <c r="Q158" i="54"/>
  <c r="R158" i="54"/>
  <c r="S158" i="54"/>
  <c r="T158" i="54"/>
  <c r="G159" i="54"/>
  <c r="H159" i="54"/>
  <c r="I159" i="54"/>
  <c r="J159" i="54"/>
  <c r="K159" i="54"/>
  <c r="L159" i="54"/>
  <c r="M159" i="54"/>
  <c r="N159" i="54"/>
  <c r="O159" i="54"/>
  <c r="P159" i="54"/>
  <c r="Q159" i="54"/>
  <c r="R159" i="54"/>
  <c r="S159" i="54"/>
  <c r="T159" i="54"/>
  <c r="G160" i="54"/>
  <c r="H160" i="54"/>
  <c r="I160" i="54"/>
  <c r="J160" i="54"/>
  <c r="K160" i="54"/>
  <c r="L160" i="54"/>
  <c r="M160" i="54"/>
  <c r="N160" i="54"/>
  <c r="O160" i="54"/>
  <c r="P160" i="54"/>
  <c r="Q160" i="54"/>
  <c r="R160" i="54"/>
  <c r="S160" i="54"/>
  <c r="T160" i="54"/>
  <c r="G161" i="54"/>
  <c r="H161" i="54"/>
  <c r="I161" i="54"/>
  <c r="J161" i="54"/>
  <c r="K161" i="54"/>
  <c r="L161" i="54"/>
  <c r="M161" i="54"/>
  <c r="N161" i="54"/>
  <c r="O161" i="54"/>
  <c r="P161" i="54"/>
  <c r="Q161" i="54"/>
  <c r="R161" i="54"/>
  <c r="S161" i="54"/>
  <c r="T161" i="54"/>
  <c r="G162" i="54"/>
  <c r="H162" i="54"/>
  <c r="I162" i="54"/>
  <c r="J162" i="54"/>
  <c r="K162" i="54"/>
  <c r="L162" i="54"/>
  <c r="M162" i="54"/>
  <c r="N162" i="54"/>
  <c r="O162" i="54"/>
  <c r="P162" i="54"/>
  <c r="Q162" i="54"/>
  <c r="R162" i="54"/>
  <c r="S162" i="54"/>
  <c r="T162" i="54"/>
  <c r="G163" i="54"/>
  <c r="H163" i="54"/>
  <c r="I163" i="54"/>
  <c r="J163" i="54"/>
  <c r="K163" i="54"/>
  <c r="L163" i="54"/>
  <c r="M163" i="54"/>
  <c r="N163" i="54"/>
  <c r="O163" i="54"/>
  <c r="P163" i="54"/>
  <c r="Q163" i="54"/>
  <c r="R163" i="54"/>
  <c r="S163" i="54"/>
  <c r="T163" i="54"/>
  <c r="G164" i="54"/>
  <c r="H164" i="54"/>
  <c r="I164" i="54"/>
  <c r="J164" i="54"/>
  <c r="K164" i="54"/>
  <c r="L164" i="54"/>
  <c r="M164" i="54"/>
  <c r="N164" i="54"/>
  <c r="O164" i="54"/>
  <c r="P164" i="54"/>
  <c r="Q164" i="54"/>
  <c r="R164" i="54"/>
  <c r="S164" i="54"/>
  <c r="T164" i="54"/>
  <c r="G165" i="54"/>
  <c r="H165" i="54"/>
  <c r="I165" i="54"/>
  <c r="J165" i="54"/>
  <c r="K165" i="54"/>
  <c r="L165" i="54"/>
  <c r="M165" i="54"/>
  <c r="N165" i="54"/>
  <c r="O165" i="54"/>
  <c r="P165" i="54"/>
  <c r="Q165" i="54"/>
  <c r="R165" i="54"/>
  <c r="S165" i="54"/>
  <c r="T165" i="54"/>
  <c r="G166" i="54"/>
  <c r="H166" i="54"/>
  <c r="I166" i="54"/>
  <c r="J166" i="54"/>
  <c r="K166" i="54"/>
  <c r="L166" i="54"/>
  <c r="M166" i="54"/>
  <c r="N166" i="54"/>
  <c r="O166" i="54"/>
  <c r="P166" i="54"/>
  <c r="Q166" i="54"/>
  <c r="R166" i="54"/>
  <c r="S166" i="54"/>
  <c r="T166" i="54"/>
  <c r="G167" i="54"/>
  <c r="H167" i="54"/>
  <c r="I167" i="54"/>
  <c r="J167" i="54"/>
  <c r="K167" i="54"/>
  <c r="L167" i="54"/>
  <c r="M167" i="54"/>
  <c r="N167" i="54"/>
  <c r="O167" i="54"/>
  <c r="P167" i="54"/>
  <c r="Q167" i="54"/>
  <c r="R167" i="54"/>
  <c r="S167" i="54"/>
  <c r="T167" i="54"/>
  <c r="G168" i="54"/>
  <c r="H168" i="54"/>
  <c r="I168" i="54"/>
  <c r="J168" i="54"/>
  <c r="K168" i="54"/>
  <c r="L168" i="54"/>
  <c r="M168" i="54"/>
  <c r="N168" i="54"/>
  <c r="O168" i="54"/>
  <c r="P168" i="54"/>
  <c r="Q168" i="54"/>
  <c r="R168" i="54"/>
  <c r="S168" i="54"/>
  <c r="T168" i="54"/>
  <c r="G169" i="54"/>
  <c r="H169" i="54"/>
  <c r="I169" i="54"/>
  <c r="J169" i="54"/>
  <c r="K169" i="54"/>
  <c r="L169" i="54"/>
  <c r="M169" i="54"/>
  <c r="N169" i="54"/>
  <c r="O169" i="54"/>
  <c r="P169" i="54"/>
  <c r="Q169" i="54"/>
  <c r="R169" i="54"/>
  <c r="S169" i="54"/>
  <c r="T169" i="54"/>
  <c r="G170" i="54"/>
  <c r="H170" i="54"/>
  <c r="I170" i="54"/>
  <c r="J170" i="54"/>
  <c r="K170" i="54"/>
  <c r="L170" i="54"/>
  <c r="M170" i="54"/>
  <c r="N170" i="54"/>
  <c r="O170" i="54"/>
  <c r="P170" i="54"/>
  <c r="Q170" i="54"/>
  <c r="R170" i="54"/>
  <c r="S170" i="54"/>
  <c r="T170" i="54"/>
  <c r="G171" i="54"/>
  <c r="H171" i="54"/>
  <c r="I171" i="54"/>
  <c r="J171" i="54"/>
  <c r="K171" i="54"/>
  <c r="L171" i="54"/>
  <c r="M171" i="54"/>
  <c r="N171" i="54"/>
  <c r="O171" i="54"/>
  <c r="P171" i="54"/>
  <c r="Q171" i="54"/>
  <c r="R171" i="54"/>
  <c r="S171" i="54"/>
  <c r="T171" i="54"/>
  <c r="G172" i="54"/>
  <c r="H172" i="54"/>
  <c r="I172" i="54"/>
  <c r="J172" i="54"/>
  <c r="K172" i="54"/>
  <c r="L172" i="54"/>
  <c r="M172" i="54"/>
  <c r="N172" i="54"/>
  <c r="O172" i="54"/>
  <c r="P172" i="54"/>
  <c r="Q172" i="54"/>
  <c r="R172" i="54"/>
  <c r="S172" i="54"/>
  <c r="T172" i="54"/>
  <c r="G173" i="54"/>
  <c r="H173" i="54"/>
  <c r="I173" i="54"/>
  <c r="J173" i="54"/>
  <c r="K173" i="54"/>
  <c r="L173" i="54"/>
  <c r="M173" i="54"/>
  <c r="N173" i="54"/>
  <c r="O173" i="54"/>
  <c r="P173" i="54"/>
  <c r="Q173" i="54"/>
  <c r="R173" i="54"/>
  <c r="S173" i="54"/>
  <c r="T173" i="54"/>
  <c r="G174" i="54"/>
  <c r="H174" i="54"/>
  <c r="I174" i="54"/>
  <c r="J174" i="54"/>
  <c r="K174" i="54"/>
  <c r="L174" i="54"/>
  <c r="M174" i="54"/>
  <c r="N174" i="54"/>
  <c r="O174" i="54"/>
  <c r="P174" i="54"/>
  <c r="Q174" i="54"/>
  <c r="R174" i="54"/>
  <c r="S174" i="54"/>
  <c r="T174" i="54"/>
  <c r="G175" i="54"/>
  <c r="H175" i="54"/>
  <c r="I175" i="54"/>
  <c r="J175" i="54"/>
  <c r="K175" i="54"/>
  <c r="L175" i="54"/>
  <c r="M175" i="54"/>
  <c r="N175" i="54"/>
  <c r="O175" i="54"/>
  <c r="P175" i="54"/>
  <c r="Q175" i="54"/>
  <c r="R175" i="54"/>
  <c r="S175" i="54"/>
  <c r="T175" i="54"/>
  <c r="G176" i="54"/>
  <c r="H176" i="54"/>
  <c r="I176" i="54"/>
  <c r="J176" i="54"/>
  <c r="K176" i="54"/>
  <c r="L176" i="54"/>
  <c r="M176" i="54"/>
  <c r="N176" i="54"/>
  <c r="O176" i="54"/>
  <c r="P176" i="54"/>
  <c r="Q176" i="54"/>
  <c r="R176" i="54"/>
  <c r="S176" i="54"/>
  <c r="T176" i="54"/>
  <c r="G177" i="54"/>
  <c r="H177" i="54"/>
  <c r="I177" i="54"/>
  <c r="J177" i="54"/>
  <c r="K177" i="54"/>
  <c r="L177" i="54"/>
  <c r="M177" i="54"/>
  <c r="N177" i="54"/>
  <c r="O177" i="54"/>
  <c r="P177" i="54"/>
  <c r="Q177" i="54"/>
  <c r="R177" i="54"/>
  <c r="S177" i="54"/>
  <c r="T177" i="54"/>
  <c r="G178" i="54"/>
  <c r="H178" i="54"/>
  <c r="I178" i="54"/>
  <c r="J178" i="54"/>
  <c r="K178" i="54"/>
  <c r="L178" i="54"/>
  <c r="M178" i="54"/>
  <c r="N178" i="54"/>
  <c r="O178" i="54"/>
  <c r="P178" i="54"/>
  <c r="Q178" i="54"/>
  <c r="R178" i="54"/>
  <c r="S178" i="54"/>
  <c r="T178" i="54"/>
  <c r="G179" i="54"/>
  <c r="H179" i="54"/>
  <c r="I179" i="54"/>
  <c r="J179" i="54"/>
  <c r="K179" i="54"/>
  <c r="L179" i="54"/>
  <c r="M179" i="54"/>
  <c r="N179" i="54"/>
  <c r="O179" i="54"/>
  <c r="P179" i="54"/>
  <c r="Q179" i="54"/>
  <c r="R179" i="54"/>
  <c r="S179" i="54"/>
  <c r="T179" i="54"/>
  <c r="G180" i="54"/>
  <c r="H180" i="54"/>
  <c r="I180" i="54"/>
  <c r="J180" i="54"/>
  <c r="K180" i="54"/>
  <c r="L180" i="54"/>
  <c r="M180" i="54"/>
  <c r="N180" i="54"/>
  <c r="O180" i="54"/>
  <c r="P180" i="54"/>
  <c r="Q180" i="54"/>
  <c r="R180" i="54"/>
  <c r="S180" i="54"/>
  <c r="T180" i="54"/>
  <c r="G181" i="54"/>
  <c r="H181" i="54"/>
  <c r="I181" i="54"/>
  <c r="J181" i="54"/>
  <c r="K181" i="54"/>
  <c r="L181" i="54"/>
  <c r="M181" i="54"/>
  <c r="N181" i="54"/>
  <c r="O181" i="54"/>
  <c r="P181" i="54"/>
  <c r="Q181" i="54"/>
  <c r="R181" i="54"/>
  <c r="S181" i="54"/>
  <c r="T181" i="54"/>
  <c r="G182" i="54"/>
  <c r="H182" i="54"/>
  <c r="I182" i="54"/>
  <c r="J182" i="54"/>
  <c r="K182" i="54"/>
  <c r="L182" i="54"/>
  <c r="M182" i="54"/>
  <c r="N182" i="54"/>
  <c r="O182" i="54"/>
  <c r="P182" i="54"/>
  <c r="Q182" i="54"/>
  <c r="R182" i="54"/>
  <c r="S182" i="54"/>
  <c r="T182" i="54"/>
  <c r="G183" i="54"/>
  <c r="H183" i="54"/>
  <c r="I183" i="54"/>
  <c r="J183" i="54"/>
  <c r="K183" i="54"/>
  <c r="L183" i="54"/>
  <c r="M183" i="54"/>
  <c r="N183" i="54"/>
  <c r="O183" i="54"/>
  <c r="P183" i="54"/>
  <c r="Q183" i="54"/>
  <c r="R183" i="54"/>
  <c r="S183" i="54"/>
  <c r="T183" i="54"/>
  <c r="G184" i="54"/>
  <c r="H184" i="54"/>
  <c r="I184" i="54"/>
  <c r="J184" i="54"/>
  <c r="K184" i="54"/>
  <c r="L184" i="54"/>
  <c r="M184" i="54"/>
  <c r="N184" i="54"/>
  <c r="O184" i="54"/>
  <c r="P184" i="54"/>
  <c r="Q184" i="54"/>
  <c r="R184" i="54"/>
  <c r="S184" i="54"/>
  <c r="T184" i="54"/>
  <c r="G185" i="54"/>
  <c r="H185" i="54"/>
  <c r="I185" i="54"/>
  <c r="J185" i="54"/>
  <c r="K185" i="54"/>
  <c r="L185" i="54"/>
  <c r="M185" i="54"/>
  <c r="N185" i="54"/>
  <c r="O185" i="54"/>
  <c r="P185" i="54"/>
  <c r="Q185" i="54"/>
  <c r="R185" i="54"/>
  <c r="S185" i="54"/>
  <c r="T185" i="54"/>
  <c r="G186" i="54"/>
  <c r="H186" i="54"/>
  <c r="I186" i="54"/>
  <c r="J186" i="54"/>
  <c r="K186" i="54"/>
  <c r="L186" i="54"/>
  <c r="M186" i="54"/>
  <c r="N186" i="54"/>
  <c r="O186" i="54"/>
  <c r="P186" i="54"/>
  <c r="Q186" i="54"/>
  <c r="R186" i="54"/>
  <c r="S186" i="54"/>
  <c r="T186" i="54"/>
  <c r="G187" i="54"/>
  <c r="H187" i="54"/>
  <c r="I187" i="54"/>
  <c r="J187" i="54"/>
  <c r="K187" i="54"/>
  <c r="L187" i="54"/>
  <c r="M187" i="54"/>
  <c r="N187" i="54"/>
  <c r="O187" i="54"/>
  <c r="P187" i="54"/>
  <c r="Q187" i="54"/>
  <c r="R187" i="54"/>
  <c r="S187" i="54"/>
  <c r="T187" i="54"/>
  <c r="G188" i="54"/>
  <c r="H188" i="54"/>
  <c r="I188" i="54"/>
  <c r="J188" i="54"/>
  <c r="K188" i="54"/>
  <c r="L188" i="54"/>
  <c r="M188" i="54"/>
  <c r="N188" i="54"/>
  <c r="O188" i="54"/>
  <c r="P188" i="54"/>
  <c r="Q188" i="54"/>
  <c r="R188" i="54"/>
  <c r="S188" i="54"/>
  <c r="T188" i="54"/>
  <c r="G189" i="54"/>
  <c r="H189" i="54"/>
  <c r="I189" i="54"/>
  <c r="J189" i="54"/>
  <c r="K189" i="54"/>
  <c r="L189" i="54"/>
  <c r="M189" i="54"/>
  <c r="N189" i="54"/>
  <c r="O189" i="54"/>
  <c r="P189" i="54"/>
  <c r="Q189" i="54"/>
  <c r="R189" i="54"/>
  <c r="S189" i="54"/>
  <c r="T189" i="54"/>
  <c r="G190" i="54"/>
  <c r="H190" i="54"/>
  <c r="I190" i="54"/>
  <c r="J190" i="54"/>
  <c r="K190" i="54"/>
  <c r="L190" i="54"/>
  <c r="M190" i="54"/>
  <c r="N190" i="54"/>
  <c r="O190" i="54"/>
  <c r="P190" i="54"/>
  <c r="Q190" i="54"/>
  <c r="R190" i="54"/>
  <c r="S190" i="54"/>
  <c r="T190" i="54"/>
  <c r="G191" i="54"/>
  <c r="H191" i="54"/>
  <c r="I191" i="54"/>
  <c r="J191" i="54"/>
  <c r="K191" i="54"/>
  <c r="L191" i="54"/>
  <c r="M191" i="54"/>
  <c r="N191" i="54"/>
  <c r="O191" i="54"/>
  <c r="P191" i="54"/>
  <c r="Q191" i="54"/>
  <c r="R191" i="54"/>
  <c r="S191" i="54"/>
  <c r="T191" i="54"/>
  <c r="G192" i="54"/>
  <c r="H192" i="54"/>
  <c r="I192" i="54"/>
  <c r="J192" i="54"/>
  <c r="K192" i="54"/>
  <c r="L192" i="54"/>
  <c r="M192" i="54"/>
  <c r="N192" i="54"/>
  <c r="O192" i="54"/>
  <c r="P192" i="54"/>
  <c r="Q192" i="54"/>
  <c r="R192" i="54"/>
  <c r="S192" i="54"/>
  <c r="T192" i="54"/>
  <c r="G193" i="54"/>
  <c r="H193" i="54"/>
  <c r="I193" i="54"/>
  <c r="J193" i="54"/>
  <c r="K193" i="54"/>
  <c r="L193" i="54"/>
  <c r="M193" i="54"/>
  <c r="N193" i="54"/>
  <c r="O193" i="54"/>
  <c r="P193" i="54"/>
  <c r="Q193" i="54"/>
  <c r="R193" i="54"/>
  <c r="S193" i="54"/>
  <c r="T193" i="54"/>
  <c r="G194" i="54"/>
  <c r="H194" i="54"/>
  <c r="I194" i="54"/>
  <c r="J194" i="54"/>
  <c r="K194" i="54"/>
  <c r="L194" i="54"/>
  <c r="M194" i="54"/>
  <c r="N194" i="54"/>
  <c r="O194" i="54"/>
  <c r="P194" i="54"/>
  <c r="Q194" i="54"/>
  <c r="R194" i="54"/>
  <c r="S194" i="54"/>
  <c r="T194" i="54"/>
  <c r="G195" i="54"/>
  <c r="H195" i="54"/>
  <c r="I195" i="54"/>
  <c r="J195" i="54"/>
  <c r="K195" i="54"/>
  <c r="L195" i="54"/>
  <c r="M195" i="54"/>
  <c r="N195" i="54"/>
  <c r="O195" i="54"/>
  <c r="P195" i="54"/>
  <c r="Q195" i="54"/>
  <c r="R195" i="54"/>
  <c r="S195" i="54"/>
  <c r="T195" i="54"/>
  <c r="G196" i="54"/>
  <c r="H196" i="54"/>
  <c r="I196" i="54"/>
  <c r="J196" i="54"/>
  <c r="K196" i="54"/>
  <c r="L196" i="54"/>
  <c r="M196" i="54"/>
  <c r="N196" i="54"/>
  <c r="O196" i="54"/>
  <c r="P196" i="54"/>
  <c r="Q196" i="54"/>
  <c r="R196" i="54"/>
  <c r="S196" i="54"/>
  <c r="T196" i="54"/>
  <c r="G197" i="54"/>
  <c r="H197" i="54"/>
  <c r="I197" i="54"/>
  <c r="J197" i="54"/>
  <c r="K197" i="54"/>
  <c r="L197" i="54"/>
  <c r="M197" i="54"/>
  <c r="N197" i="54"/>
  <c r="O197" i="54"/>
  <c r="P197" i="54"/>
  <c r="Q197" i="54"/>
  <c r="R197" i="54"/>
  <c r="S197" i="54"/>
  <c r="T197" i="54"/>
  <c r="G198" i="54"/>
  <c r="H198" i="54"/>
  <c r="I198" i="54"/>
  <c r="J198" i="54"/>
  <c r="K198" i="54"/>
  <c r="L198" i="54"/>
  <c r="M198" i="54"/>
  <c r="N198" i="54"/>
  <c r="O198" i="54"/>
  <c r="P198" i="54"/>
  <c r="Q198" i="54"/>
  <c r="R198" i="54"/>
  <c r="S198" i="54"/>
  <c r="T198" i="54"/>
  <c r="G199" i="54"/>
  <c r="H199" i="54"/>
  <c r="I199" i="54"/>
  <c r="J199" i="54"/>
  <c r="K199" i="54"/>
  <c r="L199" i="54"/>
  <c r="M199" i="54"/>
  <c r="N199" i="54"/>
  <c r="O199" i="54"/>
  <c r="P199" i="54"/>
  <c r="Q199" i="54"/>
  <c r="R199" i="54"/>
  <c r="S199" i="54"/>
  <c r="T199" i="54"/>
  <c r="G200" i="54"/>
  <c r="H200" i="54"/>
  <c r="I200" i="54"/>
  <c r="J200" i="54"/>
  <c r="K200" i="54"/>
  <c r="L200" i="54"/>
  <c r="M200" i="54"/>
  <c r="N200" i="54"/>
  <c r="O200" i="54"/>
  <c r="P200" i="54"/>
  <c r="Q200" i="54"/>
  <c r="R200" i="54"/>
  <c r="S200" i="54"/>
  <c r="T200" i="54"/>
  <c r="G201" i="54"/>
  <c r="H201" i="54"/>
  <c r="I201" i="54"/>
  <c r="J201" i="54"/>
  <c r="K201" i="54"/>
  <c r="L201" i="54"/>
  <c r="M201" i="54"/>
  <c r="N201" i="54"/>
  <c r="O201" i="54"/>
  <c r="P201" i="54"/>
  <c r="Q201" i="54"/>
  <c r="R201" i="54"/>
  <c r="S201" i="54"/>
  <c r="T201" i="54"/>
  <c r="G202" i="54"/>
  <c r="H202" i="54"/>
  <c r="I202" i="54"/>
  <c r="J202" i="54"/>
  <c r="K202" i="54"/>
  <c r="L202" i="54"/>
  <c r="M202" i="54"/>
  <c r="N202" i="54"/>
  <c r="O202" i="54"/>
  <c r="P202" i="54"/>
  <c r="Q202" i="54"/>
  <c r="R202" i="54"/>
  <c r="S202" i="54"/>
  <c r="T202" i="54"/>
  <c r="G203" i="54"/>
  <c r="H203" i="54"/>
  <c r="I203" i="54"/>
  <c r="J203" i="54"/>
  <c r="K203" i="54"/>
  <c r="L203" i="54"/>
  <c r="M203" i="54"/>
  <c r="N203" i="54"/>
  <c r="O203" i="54"/>
  <c r="P203" i="54"/>
  <c r="Q203" i="54"/>
  <c r="R203" i="54"/>
  <c r="S203" i="54"/>
  <c r="T203" i="54"/>
  <c r="G204" i="54"/>
  <c r="H204" i="54"/>
  <c r="I204" i="54"/>
  <c r="J204" i="54"/>
  <c r="K204" i="54"/>
  <c r="L204" i="54"/>
  <c r="M204" i="54"/>
  <c r="N204" i="54"/>
  <c r="O204" i="54"/>
  <c r="P204" i="54"/>
  <c r="Q204" i="54"/>
  <c r="R204" i="54"/>
  <c r="S204" i="54"/>
  <c r="T204" i="54"/>
  <c r="G205" i="54"/>
  <c r="H205" i="54"/>
  <c r="I205" i="54"/>
  <c r="J205" i="54"/>
  <c r="K205" i="54"/>
  <c r="L205" i="54"/>
  <c r="M205" i="54"/>
  <c r="N205" i="54"/>
  <c r="O205" i="54"/>
  <c r="P205" i="54"/>
  <c r="Q205" i="54"/>
  <c r="R205" i="54"/>
  <c r="S205" i="54"/>
  <c r="T205" i="54"/>
  <c r="G206" i="54"/>
  <c r="H206" i="54"/>
  <c r="I206" i="54"/>
  <c r="J206" i="54"/>
  <c r="K206" i="54"/>
  <c r="L206" i="54"/>
  <c r="M206" i="54"/>
  <c r="N206" i="54"/>
  <c r="O206" i="54"/>
  <c r="P206" i="54"/>
  <c r="Q206" i="54"/>
  <c r="R206" i="54"/>
  <c r="S206" i="54"/>
  <c r="T206" i="54"/>
  <c r="G207" i="54"/>
  <c r="H207" i="54"/>
  <c r="I207" i="54"/>
  <c r="J207" i="54"/>
  <c r="K207" i="54"/>
  <c r="L207" i="54"/>
  <c r="M207" i="54"/>
  <c r="N207" i="54"/>
  <c r="O207" i="54"/>
  <c r="P207" i="54"/>
  <c r="Q207" i="54"/>
  <c r="R207" i="54"/>
  <c r="S207" i="54"/>
  <c r="T207" i="54"/>
  <c r="G208" i="54"/>
  <c r="H208" i="54"/>
  <c r="I208" i="54"/>
  <c r="J208" i="54"/>
  <c r="K208" i="54"/>
  <c r="L208" i="54"/>
  <c r="M208" i="54"/>
  <c r="N208" i="54"/>
  <c r="O208" i="54"/>
  <c r="P208" i="54"/>
  <c r="Q208" i="54"/>
  <c r="R208" i="54"/>
  <c r="S208" i="54"/>
  <c r="T208" i="54"/>
  <c r="G209" i="54"/>
  <c r="H209" i="54"/>
  <c r="I209" i="54"/>
  <c r="J209" i="54"/>
  <c r="K209" i="54"/>
  <c r="L209" i="54"/>
  <c r="M209" i="54"/>
  <c r="N209" i="54"/>
  <c r="O209" i="54"/>
  <c r="P209" i="54"/>
  <c r="Q209" i="54"/>
  <c r="R209" i="54"/>
  <c r="S209" i="54"/>
  <c r="T209" i="54"/>
  <c r="G210" i="54"/>
  <c r="H210" i="54"/>
  <c r="I210" i="54"/>
  <c r="J210" i="54"/>
  <c r="K210" i="54"/>
  <c r="L210" i="54"/>
  <c r="M210" i="54"/>
  <c r="N210" i="54"/>
  <c r="O210" i="54"/>
  <c r="P210" i="54"/>
  <c r="Q210" i="54"/>
  <c r="R210" i="54"/>
  <c r="S210" i="54"/>
  <c r="T210" i="54"/>
  <c r="G211" i="54"/>
  <c r="H211" i="54"/>
  <c r="I211" i="54"/>
  <c r="J211" i="54"/>
  <c r="K211" i="54"/>
  <c r="L211" i="54"/>
  <c r="M211" i="54"/>
  <c r="N211" i="54"/>
  <c r="O211" i="54"/>
  <c r="P211" i="54"/>
  <c r="Q211" i="54"/>
  <c r="R211" i="54"/>
  <c r="S211" i="54"/>
  <c r="T211" i="54"/>
  <c r="G214" i="54"/>
  <c r="H214" i="54"/>
  <c r="I214" i="54"/>
  <c r="J214" i="54"/>
  <c r="K214" i="54"/>
  <c r="L214" i="54"/>
  <c r="M214" i="54"/>
  <c r="N214" i="54"/>
  <c r="O214" i="54"/>
  <c r="P214" i="54"/>
  <c r="Q214" i="54"/>
  <c r="R214" i="54"/>
  <c r="S214" i="54"/>
  <c r="T214" i="54"/>
  <c r="G215" i="54"/>
  <c r="H215" i="54"/>
  <c r="I215" i="54"/>
  <c r="J215" i="54"/>
  <c r="K215" i="54"/>
  <c r="L215" i="54"/>
  <c r="M215" i="54"/>
  <c r="N215" i="54"/>
  <c r="O215" i="54"/>
  <c r="P215" i="54"/>
  <c r="Q215" i="54"/>
  <c r="R215" i="54"/>
  <c r="S215" i="54"/>
  <c r="T215" i="54"/>
  <c r="G216" i="54"/>
  <c r="H216" i="54"/>
  <c r="I216" i="54"/>
  <c r="J216" i="54"/>
  <c r="K216" i="54"/>
  <c r="L216" i="54"/>
  <c r="M216" i="54"/>
  <c r="N216" i="54"/>
  <c r="O216" i="54"/>
  <c r="P216" i="54"/>
  <c r="Q216" i="54"/>
  <c r="R216" i="54"/>
  <c r="S216" i="54"/>
  <c r="T216" i="54"/>
  <c r="G217" i="54"/>
  <c r="H217" i="54"/>
  <c r="I217" i="54"/>
  <c r="J217" i="54"/>
  <c r="K217" i="54"/>
  <c r="L217" i="54"/>
  <c r="M217" i="54"/>
  <c r="N217" i="54"/>
  <c r="O217" i="54"/>
  <c r="P217" i="54"/>
  <c r="Q217" i="54"/>
  <c r="R217" i="54"/>
  <c r="S217" i="54"/>
  <c r="T217" i="54"/>
  <c r="G218" i="54"/>
  <c r="H218" i="54"/>
  <c r="I218" i="54"/>
  <c r="J218" i="54"/>
  <c r="K218" i="54"/>
  <c r="L218" i="54"/>
  <c r="M218" i="54"/>
  <c r="N218" i="54"/>
  <c r="O218" i="54"/>
  <c r="P218" i="54"/>
  <c r="Q218" i="54"/>
  <c r="R218" i="54"/>
  <c r="S218" i="54"/>
  <c r="T218" i="54"/>
  <c r="G219" i="54"/>
  <c r="H219" i="54"/>
  <c r="I219" i="54"/>
  <c r="J219" i="54"/>
  <c r="K219" i="54"/>
  <c r="L219" i="54"/>
  <c r="M219" i="54"/>
  <c r="N219" i="54"/>
  <c r="O219" i="54"/>
  <c r="P219" i="54"/>
  <c r="Q219" i="54"/>
  <c r="R219" i="54"/>
  <c r="S219" i="54"/>
  <c r="T219" i="54"/>
  <c r="G220" i="54"/>
  <c r="H220" i="54"/>
  <c r="I220" i="54"/>
  <c r="J220" i="54"/>
  <c r="K220" i="54"/>
  <c r="L220" i="54"/>
  <c r="M220" i="54"/>
  <c r="N220" i="54"/>
  <c r="O220" i="54"/>
  <c r="P220" i="54"/>
  <c r="Q220" i="54"/>
  <c r="R220" i="54"/>
  <c r="S220" i="54"/>
  <c r="T220" i="54"/>
  <c r="G221" i="54"/>
  <c r="H221" i="54"/>
  <c r="I221" i="54"/>
  <c r="J221" i="54"/>
  <c r="K221" i="54"/>
  <c r="L221" i="54"/>
  <c r="M221" i="54"/>
  <c r="N221" i="54"/>
  <c r="O221" i="54"/>
  <c r="P221" i="54"/>
  <c r="Q221" i="54"/>
  <c r="R221" i="54"/>
  <c r="S221" i="54"/>
  <c r="T221" i="54"/>
  <c r="G222" i="54"/>
  <c r="H222" i="54"/>
  <c r="I222" i="54"/>
  <c r="J222" i="54"/>
  <c r="K222" i="54"/>
  <c r="L222" i="54"/>
  <c r="M222" i="54"/>
  <c r="N222" i="54"/>
  <c r="O222" i="54"/>
  <c r="P222" i="54"/>
  <c r="Q222" i="54"/>
  <c r="R222" i="54"/>
  <c r="S222" i="54"/>
  <c r="T222" i="54"/>
  <c r="G223" i="54"/>
  <c r="H223" i="54"/>
  <c r="I223" i="54"/>
  <c r="J223" i="54"/>
  <c r="K223" i="54"/>
  <c r="L223" i="54"/>
  <c r="M223" i="54"/>
  <c r="N223" i="54"/>
  <c r="O223" i="54"/>
  <c r="P223" i="54"/>
  <c r="Q223" i="54"/>
  <c r="R223" i="54"/>
  <c r="S223" i="54"/>
  <c r="T223" i="54"/>
  <c r="G224" i="54"/>
  <c r="H224" i="54"/>
  <c r="I224" i="54"/>
  <c r="J224" i="54"/>
  <c r="K224" i="54"/>
  <c r="L224" i="54"/>
  <c r="M224" i="54"/>
  <c r="N224" i="54"/>
  <c r="O224" i="54"/>
  <c r="P224" i="54"/>
  <c r="Q224" i="54"/>
  <c r="R224" i="54"/>
  <c r="S224" i="54"/>
  <c r="T224" i="54"/>
  <c r="G225" i="54"/>
  <c r="H225" i="54"/>
  <c r="I225" i="54"/>
  <c r="J225" i="54"/>
  <c r="K225" i="54"/>
  <c r="L225" i="54"/>
  <c r="M225" i="54"/>
  <c r="N225" i="54"/>
  <c r="O225" i="54"/>
  <c r="P225" i="54"/>
  <c r="Q225" i="54"/>
  <c r="R225" i="54"/>
  <c r="S225" i="54"/>
  <c r="T225" i="54"/>
  <c r="G226" i="54"/>
  <c r="H226" i="54"/>
  <c r="I226" i="54"/>
  <c r="J226" i="54"/>
  <c r="K226" i="54"/>
  <c r="L226" i="54"/>
  <c r="M226" i="54"/>
  <c r="N226" i="54"/>
  <c r="O226" i="54"/>
  <c r="P226" i="54"/>
  <c r="Q226" i="54"/>
  <c r="R226" i="54"/>
  <c r="S226" i="54"/>
  <c r="T226" i="54"/>
  <c r="G227" i="54"/>
  <c r="H227" i="54"/>
  <c r="I227" i="54"/>
  <c r="J227" i="54"/>
  <c r="K227" i="54"/>
  <c r="L227" i="54"/>
  <c r="M227" i="54"/>
  <c r="N227" i="54"/>
  <c r="O227" i="54"/>
  <c r="P227" i="54"/>
  <c r="Q227" i="54"/>
  <c r="R227" i="54"/>
  <c r="S227" i="54"/>
  <c r="T227" i="54"/>
  <c r="G228" i="54"/>
  <c r="H228" i="54"/>
  <c r="I228" i="54"/>
  <c r="J228" i="54"/>
  <c r="K228" i="54"/>
  <c r="L228" i="54"/>
  <c r="M228" i="54"/>
  <c r="N228" i="54"/>
  <c r="O228" i="54"/>
  <c r="P228" i="54"/>
  <c r="Q228" i="54"/>
  <c r="R228" i="54"/>
  <c r="S228" i="54"/>
  <c r="T228" i="54"/>
  <c r="G229" i="54"/>
  <c r="H229" i="54"/>
  <c r="I229" i="54"/>
  <c r="J229" i="54"/>
  <c r="K229" i="54"/>
  <c r="L229" i="54"/>
  <c r="M229" i="54"/>
  <c r="N229" i="54"/>
  <c r="O229" i="54"/>
  <c r="P229" i="54"/>
  <c r="Q229" i="54"/>
  <c r="R229" i="54"/>
  <c r="S229" i="54"/>
  <c r="T229" i="54"/>
  <c r="G230" i="54"/>
  <c r="H230" i="54"/>
  <c r="I230" i="54"/>
  <c r="J230" i="54"/>
  <c r="K230" i="54"/>
  <c r="L230" i="54"/>
  <c r="M230" i="54"/>
  <c r="N230" i="54"/>
  <c r="O230" i="54"/>
  <c r="P230" i="54"/>
  <c r="Q230" i="54"/>
  <c r="R230" i="54"/>
  <c r="S230" i="54"/>
  <c r="T230" i="54"/>
  <c r="F4" i="54"/>
  <c r="F5" i="54"/>
  <c r="F6" i="54"/>
  <c r="F7" i="54"/>
  <c r="F8" i="54"/>
  <c r="F9" i="54"/>
  <c r="F10" i="54"/>
  <c r="F11" i="54"/>
  <c r="F12" i="54"/>
  <c r="F13" i="54"/>
  <c r="F14" i="54"/>
  <c r="F15" i="54"/>
  <c r="F16" i="54"/>
  <c r="F17" i="54"/>
  <c r="F18" i="54"/>
  <c r="F19" i="54"/>
  <c r="F20" i="54"/>
  <c r="F21" i="54"/>
  <c r="F22" i="54"/>
  <c r="F23" i="54"/>
  <c r="F24" i="54"/>
  <c r="F25" i="54"/>
  <c r="F26"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4" i="54"/>
  <c r="F135" i="54"/>
  <c r="F136" i="54"/>
  <c r="F137" i="54"/>
  <c r="F138" i="54"/>
  <c r="F139" i="54"/>
  <c r="F140" i="54"/>
  <c r="F141" i="54"/>
  <c r="F142" i="54"/>
  <c r="F143" i="54"/>
  <c r="F144" i="54"/>
  <c r="F145" i="54"/>
  <c r="F146" i="54"/>
  <c r="F147" i="54"/>
  <c r="F148" i="54"/>
  <c r="F149" i="54"/>
  <c r="F150" i="54"/>
  <c r="F151" i="54"/>
  <c r="F152" i="54"/>
  <c r="F153" i="54"/>
  <c r="F154" i="54"/>
  <c r="F155" i="54"/>
  <c r="F156" i="54"/>
  <c r="F157" i="54"/>
  <c r="F158" i="54"/>
  <c r="F159" i="54"/>
  <c r="F160" i="54"/>
  <c r="F161" i="54"/>
  <c r="F162" i="54"/>
  <c r="F163" i="54"/>
  <c r="F164" i="54"/>
  <c r="F165" i="54"/>
  <c r="F166" i="54"/>
  <c r="F167" i="54"/>
  <c r="F168" i="54"/>
  <c r="F169" i="54"/>
  <c r="F170" i="54"/>
  <c r="F171" i="54"/>
  <c r="F172" i="54"/>
  <c r="F173" i="54"/>
  <c r="F174" i="54"/>
  <c r="F175" i="54"/>
  <c r="F176" i="54"/>
  <c r="F177" i="54"/>
  <c r="F178" i="54"/>
  <c r="F179" i="54"/>
  <c r="F180" i="54"/>
  <c r="F181" i="54"/>
  <c r="F182" i="54"/>
  <c r="F183" i="54"/>
  <c r="F184" i="54"/>
  <c r="F185" i="54"/>
  <c r="F186" i="54"/>
  <c r="F187" i="54"/>
  <c r="F188" i="54"/>
  <c r="F189" i="54"/>
  <c r="F190" i="54"/>
  <c r="F191" i="54"/>
  <c r="F192" i="54"/>
  <c r="F193" i="54"/>
  <c r="F194" i="54"/>
  <c r="F195" i="54"/>
  <c r="F196" i="54"/>
  <c r="F197" i="54"/>
  <c r="F198" i="54"/>
  <c r="F199" i="54"/>
  <c r="F200" i="54"/>
  <c r="F201" i="54"/>
  <c r="F202" i="54"/>
  <c r="F203" i="54"/>
  <c r="F204" i="54"/>
  <c r="F205" i="54"/>
  <c r="F206" i="54"/>
  <c r="F207" i="54"/>
  <c r="F208" i="54"/>
  <c r="F209" i="54"/>
  <c r="F210" i="54"/>
  <c r="F211" i="54"/>
  <c r="F214" i="54"/>
  <c r="F215" i="54"/>
  <c r="F216" i="54"/>
  <c r="F217" i="54"/>
  <c r="F218" i="54"/>
  <c r="F219" i="54"/>
  <c r="F220" i="54"/>
  <c r="F221" i="54"/>
  <c r="F222" i="54"/>
  <c r="F223" i="54"/>
  <c r="F224" i="54"/>
  <c r="F225" i="54"/>
  <c r="F226" i="54"/>
  <c r="F227" i="54"/>
  <c r="F228" i="54"/>
  <c r="F229" i="54"/>
  <c r="F230" i="54"/>
  <c r="F3" i="54"/>
  <c r="U230" i="51"/>
  <c r="T230" i="51" s="1"/>
  <c r="S230" i="51" s="1"/>
  <c r="R230" i="51" s="1"/>
  <c r="Q230" i="51" s="1"/>
  <c r="P230" i="51"/>
  <c r="O230" i="51"/>
  <c r="N230" i="51" s="1"/>
  <c r="M230" i="51" s="1"/>
  <c r="L230" i="51" s="1"/>
  <c r="K230" i="51" s="1"/>
  <c r="J230" i="51" s="1"/>
  <c r="I230" i="51" s="1"/>
  <c r="H230" i="51" s="1"/>
  <c r="G230" i="51" s="1"/>
  <c r="U229" i="51"/>
  <c r="T229" i="51" s="1"/>
  <c r="S229" i="51" s="1"/>
  <c r="R229" i="51" s="1"/>
  <c r="Q229" i="51" s="1"/>
  <c r="P229" i="51"/>
  <c r="O229" i="51" s="1"/>
  <c r="N229" i="51" s="1"/>
  <c r="M229" i="51" s="1"/>
  <c r="L229" i="51" s="1"/>
  <c r="K229" i="51" s="1"/>
  <c r="J229" i="51" s="1"/>
  <c r="I229" i="51" s="1"/>
  <c r="H229" i="51" s="1"/>
  <c r="G229" i="51" s="1"/>
  <c r="U228" i="51"/>
  <c r="T228" i="51" s="1"/>
  <c r="S228" i="51" s="1"/>
  <c r="R228" i="51" s="1"/>
  <c r="Q228" i="51" s="1"/>
  <c r="P228" i="51" s="1"/>
  <c r="O228" i="51" s="1"/>
  <c r="N228" i="51" s="1"/>
  <c r="M228" i="51" s="1"/>
  <c r="L228" i="51" s="1"/>
  <c r="K228" i="51" s="1"/>
  <c r="J228" i="51" s="1"/>
  <c r="I228" i="51" s="1"/>
  <c r="H228" i="51" s="1"/>
  <c r="G228" i="51" s="1"/>
  <c r="U227" i="51"/>
  <c r="T227" i="51" s="1"/>
  <c r="S227" i="51" s="1"/>
  <c r="R227" i="51" s="1"/>
  <c r="Q227" i="51" s="1"/>
  <c r="P227" i="51" s="1"/>
  <c r="O227" i="51" s="1"/>
  <c r="N227" i="51" s="1"/>
  <c r="M227" i="51" s="1"/>
  <c r="L227" i="51" s="1"/>
  <c r="K227" i="51" s="1"/>
  <c r="J227" i="51" s="1"/>
  <c r="I227" i="51" s="1"/>
  <c r="H227" i="51"/>
  <c r="G227" i="51"/>
  <c r="U226" i="51"/>
  <c r="T226" i="51" s="1"/>
  <c r="S226" i="51" s="1"/>
  <c r="R226" i="51" s="1"/>
  <c r="Q226" i="51" s="1"/>
  <c r="P226" i="51" s="1"/>
  <c r="O226" i="51" s="1"/>
  <c r="N226" i="51" s="1"/>
  <c r="M226" i="51" s="1"/>
  <c r="L226" i="51" s="1"/>
  <c r="K226" i="51" s="1"/>
  <c r="J226" i="51" s="1"/>
  <c r="I226" i="51" s="1"/>
  <c r="H226" i="51"/>
  <c r="G226" i="51" s="1"/>
  <c r="U225" i="51"/>
  <c r="T225" i="51" s="1"/>
  <c r="S225" i="51" s="1"/>
  <c r="R225" i="51" s="1"/>
  <c r="Q225" i="51" s="1"/>
  <c r="P225" i="51" s="1"/>
  <c r="O225" i="51" s="1"/>
  <c r="N225" i="51" s="1"/>
  <c r="M225" i="51" s="1"/>
  <c r="L225" i="51"/>
  <c r="K225" i="51" s="1"/>
  <c r="J225" i="51" s="1"/>
  <c r="I225" i="51" s="1"/>
  <c r="H225" i="51"/>
  <c r="G225" i="51" s="1"/>
  <c r="U224" i="51"/>
  <c r="T224" i="51" s="1"/>
  <c r="S224" i="51" s="1"/>
  <c r="R224" i="51" s="1"/>
  <c r="Q224" i="51" s="1"/>
  <c r="P224" i="51" s="1"/>
  <c r="O224" i="51" s="1"/>
  <c r="N224" i="51" s="1"/>
  <c r="M224" i="51" s="1"/>
  <c r="L224" i="51"/>
  <c r="K224" i="51" s="1"/>
  <c r="J224" i="51"/>
  <c r="I224" i="51" s="1"/>
  <c r="H224" i="51" s="1"/>
  <c r="G224" i="51" s="1"/>
  <c r="U223" i="51"/>
  <c r="T223" i="51" s="1"/>
  <c r="S223" i="51" s="1"/>
  <c r="R223" i="51" s="1"/>
  <c r="Q223" i="51" s="1"/>
  <c r="P223" i="51"/>
  <c r="O223" i="51" s="1"/>
  <c r="N223" i="51" s="1"/>
  <c r="M223" i="51"/>
  <c r="L223" i="51" s="1"/>
  <c r="K223" i="51" s="1"/>
  <c r="J223" i="51" s="1"/>
  <c r="I223" i="51"/>
  <c r="H223" i="51" s="1"/>
  <c r="G223" i="51" s="1"/>
  <c r="U222" i="51"/>
  <c r="T222" i="51" s="1"/>
  <c r="S222" i="51" s="1"/>
  <c r="R222" i="51" s="1"/>
  <c r="Q222" i="51"/>
  <c r="P222" i="51"/>
  <c r="O222" i="51"/>
  <c r="N222" i="51" s="1"/>
  <c r="M222" i="51" s="1"/>
  <c r="L222" i="51" s="1"/>
  <c r="K222" i="51" s="1"/>
  <c r="J222" i="51" s="1"/>
  <c r="I222" i="51"/>
  <c r="H222" i="51" s="1"/>
  <c r="G222" i="51" s="1"/>
  <c r="U221" i="51"/>
  <c r="T221" i="51"/>
  <c r="S221" i="51" s="1"/>
  <c r="R221" i="51" s="1"/>
  <c r="Q221" i="51" s="1"/>
  <c r="P221" i="51" s="1"/>
  <c r="O221" i="51"/>
  <c r="N221" i="51"/>
  <c r="M221" i="51" s="1"/>
  <c r="L221" i="51" s="1"/>
  <c r="K221" i="51" s="1"/>
  <c r="J221" i="51" s="1"/>
  <c r="I221" i="51" s="1"/>
  <c r="H221" i="51" s="1"/>
  <c r="G221" i="51" s="1"/>
  <c r="U220" i="51"/>
  <c r="T220" i="51"/>
  <c r="S220" i="51"/>
  <c r="R220" i="51" s="1"/>
  <c r="Q220" i="51" s="1"/>
  <c r="P220" i="51" s="1"/>
  <c r="O220" i="51"/>
  <c r="N220" i="51"/>
  <c r="M220" i="51"/>
  <c r="L220" i="51" s="1"/>
  <c r="K220" i="51" s="1"/>
  <c r="J220" i="51" s="1"/>
  <c r="I220" i="51" s="1"/>
  <c r="H220" i="51" s="1"/>
  <c r="G220" i="51" s="1"/>
  <c r="U219" i="51"/>
  <c r="T219" i="51" s="1"/>
  <c r="S219" i="51" s="1"/>
  <c r="R219" i="51" s="1"/>
  <c r="Q219" i="51" s="1"/>
  <c r="P219" i="51" s="1"/>
  <c r="O219" i="51" s="1"/>
  <c r="N219" i="51"/>
  <c r="M219" i="51"/>
  <c r="L219" i="51" s="1"/>
  <c r="K219" i="51" s="1"/>
  <c r="J219" i="51" s="1"/>
  <c r="I219" i="51" s="1"/>
  <c r="H219" i="51"/>
  <c r="G219" i="51" s="1"/>
  <c r="U218" i="51"/>
  <c r="T218" i="51" s="1"/>
  <c r="S218" i="51" s="1"/>
  <c r="R218" i="51" s="1"/>
  <c r="Q218" i="51" s="1"/>
  <c r="P218" i="51" s="1"/>
  <c r="O218" i="51" s="1"/>
  <c r="N218" i="51"/>
  <c r="M218" i="51"/>
  <c r="L218" i="51"/>
  <c r="K218" i="51" s="1"/>
  <c r="J218" i="51" s="1"/>
  <c r="I218" i="51" s="1"/>
  <c r="H218" i="51"/>
  <c r="G218" i="51" s="1"/>
  <c r="U217" i="51"/>
  <c r="T217" i="51" s="1"/>
  <c r="S217" i="51" s="1"/>
  <c r="R217" i="51" s="1"/>
  <c r="Q217" i="51"/>
  <c r="P217" i="51" s="1"/>
  <c r="O217" i="51" s="1"/>
  <c r="N217" i="51"/>
  <c r="M217" i="51" s="1"/>
  <c r="L217" i="51"/>
  <c r="K217" i="51"/>
  <c r="J217" i="51" s="1"/>
  <c r="I217" i="51" s="1"/>
  <c r="H217" i="51" s="1"/>
  <c r="G217" i="51" s="1"/>
  <c r="U216" i="51"/>
  <c r="T216" i="51" s="1"/>
  <c r="S216" i="51" s="1"/>
  <c r="R216" i="51"/>
  <c r="Q216" i="51"/>
  <c r="P216" i="51" s="1"/>
  <c r="O216" i="51" s="1"/>
  <c r="N216" i="51" s="1"/>
  <c r="M216" i="51" s="1"/>
  <c r="L216" i="51" s="1"/>
  <c r="K216" i="51" s="1"/>
  <c r="J216" i="51" s="1"/>
  <c r="I216" i="51" s="1"/>
  <c r="H216" i="51" s="1"/>
  <c r="G216" i="51" s="1"/>
  <c r="U215" i="51"/>
  <c r="T215" i="51" s="1"/>
  <c r="S215" i="51" s="1"/>
  <c r="R215" i="51" s="1"/>
  <c r="Q215" i="51" s="1"/>
  <c r="P215" i="51" s="1"/>
  <c r="O215" i="51" s="1"/>
  <c r="N215" i="51" s="1"/>
  <c r="M215" i="51" s="1"/>
  <c r="L215" i="51" s="1"/>
  <c r="K215" i="51" s="1"/>
  <c r="J215" i="51" s="1"/>
  <c r="I215" i="51" s="1"/>
  <c r="H215" i="51" s="1"/>
  <c r="G215" i="51" s="1"/>
  <c r="U214" i="51"/>
  <c r="T214" i="51" s="1"/>
  <c r="S214" i="51"/>
  <c r="R214" i="51" s="1"/>
  <c r="Q214" i="51" s="1"/>
  <c r="P214" i="51"/>
  <c r="O214" i="51" s="1"/>
  <c r="N214" i="51" s="1"/>
  <c r="M214" i="51" s="1"/>
  <c r="L214" i="51" s="1"/>
  <c r="K214" i="51" s="1"/>
  <c r="J214" i="51" s="1"/>
  <c r="I214" i="51" s="1"/>
  <c r="H214" i="51" s="1"/>
  <c r="G214" i="51" s="1"/>
  <c r="U213" i="51"/>
  <c r="T213" i="51" s="1"/>
  <c r="S213" i="51" s="1"/>
  <c r="R213" i="51" s="1"/>
  <c r="Q213" i="51" s="1"/>
  <c r="P213" i="51" s="1"/>
  <c r="O213" i="51" s="1"/>
  <c r="N213" i="51" s="1"/>
  <c r="M213" i="51" s="1"/>
  <c r="L213" i="51" s="1"/>
  <c r="K213" i="51" s="1"/>
  <c r="J213" i="51" s="1"/>
  <c r="I213" i="51" s="1"/>
  <c r="H213" i="51" s="1"/>
  <c r="G213" i="51" s="1"/>
  <c r="U211" i="51"/>
  <c r="T211" i="51" s="1"/>
  <c r="S211" i="51" s="1"/>
  <c r="R211" i="51" s="1"/>
  <c r="Q211" i="51" s="1"/>
  <c r="P211" i="51" s="1"/>
  <c r="O211" i="51" s="1"/>
  <c r="N211" i="51" s="1"/>
  <c r="M211" i="51"/>
  <c r="L211" i="51" s="1"/>
  <c r="K211" i="51" s="1"/>
  <c r="J211" i="51" s="1"/>
  <c r="I211" i="51"/>
  <c r="H211" i="51" s="1"/>
  <c r="G211" i="51" s="1"/>
  <c r="U210" i="51"/>
  <c r="T210" i="51" s="1"/>
  <c r="S210" i="51" s="1"/>
  <c r="R210" i="51" s="1"/>
  <c r="Q210" i="51" s="1"/>
  <c r="P210" i="51" s="1"/>
  <c r="O210" i="51" s="1"/>
  <c r="N210" i="51" s="1"/>
  <c r="M210" i="51"/>
  <c r="L210" i="51" s="1"/>
  <c r="K210" i="51" s="1"/>
  <c r="J210" i="51" s="1"/>
  <c r="I210" i="51"/>
  <c r="H210" i="51" s="1"/>
  <c r="G210" i="51" s="1"/>
  <c r="U209" i="51"/>
  <c r="T209" i="51" s="1"/>
  <c r="S209" i="51" s="1"/>
  <c r="R209" i="51" s="1"/>
  <c r="Q209" i="51" s="1"/>
  <c r="P209" i="51" s="1"/>
  <c r="O209" i="51"/>
  <c r="N209" i="51" s="1"/>
  <c r="M209" i="51"/>
  <c r="L209" i="51"/>
  <c r="K209" i="51" s="1"/>
  <c r="J209" i="51" s="1"/>
  <c r="I209" i="51"/>
  <c r="H209" i="51" s="1"/>
  <c r="G209" i="51" s="1"/>
  <c r="U208" i="51"/>
  <c r="T208" i="51" s="1"/>
  <c r="S208" i="51" s="1"/>
  <c r="R208" i="51" s="1"/>
  <c r="Q208" i="51" s="1"/>
  <c r="P208" i="51"/>
  <c r="O208" i="51" s="1"/>
  <c r="N208" i="51" s="1"/>
  <c r="M208" i="51"/>
  <c r="L208" i="51"/>
  <c r="K208" i="51"/>
  <c r="J208" i="51" s="1"/>
  <c r="I208" i="51" s="1"/>
  <c r="H208" i="51" s="1"/>
  <c r="G208" i="51" s="1"/>
  <c r="U207" i="51"/>
  <c r="T207" i="51" s="1"/>
  <c r="S207" i="51" s="1"/>
  <c r="R207" i="51" s="1"/>
  <c r="Q207" i="51"/>
  <c r="P207" i="51" s="1"/>
  <c r="O207" i="51" s="1"/>
  <c r="N207" i="51" s="1"/>
  <c r="M207" i="51"/>
  <c r="L207" i="51"/>
  <c r="K207" i="51" s="1"/>
  <c r="J207" i="51" s="1"/>
  <c r="I207" i="51" s="1"/>
  <c r="H207" i="51" s="1"/>
  <c r="G207" i="51" s="1"/>
  <c r="U206" i="51"/>
  <c r="T206" i="51" s="1"/>
  <c r="S206" i="51" s="1"/>
  <c r="R206" i="51" s="1"/>
  <c r="Q206" i="51" s="1"/>
  <c r="P206" i="51" s="1"/>
  <c r="O206" i="51" s="1"/>
  <c r="N206" i="51" s="1"/>
  <c r="M206" i="51" s="1"/>
  <c r="L206" i="51" s="1"/>
  <c r="K206" i="51" s="1"/>
  <c r="J206" i="51" s="1"/>
  <c r="I206" i="51"/>
  <c r="H206" i="51" s="1"/>
  <c r="G206" i="51" s="1"/>
  <c r="U205" i="51"/>
  <c r="T205" i="51" s="1"/>
  <c r="S205" i="51" s="1"/>
  <c r="R205" i="51" s="1"/>
  <c r="Q205" i="51" s="1"/>
  <c r="P205" i="51" s="1"/>
  <c r="O205" i="51" s="1"/>
  <c r="N205" i="51" s="1"/>
  <c r="M205" i="51" s="1"/>
  <c r="L205" i="51" s="1"/>
  <c r="K205" i="51" s="1"/>
  <c r="J205" i="51" s="1"/>
  <c r="I205" i="51" s="1"/>
  <c r="H205" i="51" s="1"/>
  <c r="G205" i="51" s="1"/>
  <c r="U204" i="51"/>
  <c r="T204" i="51" s="1"/>
  <c r="S204" i="51" s="1"/>
  <c r="R204" i="51" s="1"/>
  <c r="Q204" i="51" s="1"/>
  <c r="P204" i="51" s="1"/>
  <c r="O204" i="51" s="1"/>
  <c r="N204" i="51" s="1"/>
  <c r="M204" i="51" s="1"/>
  <c r="L204" i="51"/>
  <c r="K204" i="51"/>
  <c r="J204" i="51" s="1"/>
  <c r="I204" i="51" s="1"/>
  <c r="H204" i="51" s="1"/>
  <c r="G204" i="51" s="1"/>
  <c r="U203" i="51"/>
  <c r="T203" i="51" s="1"/>
  <c r="S203" i="51" s="1"/>
  <c r="R203" i="51" s="1"/>
  <c r="Q203" i="51" s="1"/>
  <c r="P203" i="51" s="1"/>
  <c r="O203" i="51" s="1"/>
  <c r="N203" i="51" s="1"/>
  <c r="M203" i="51" s="1"/>
  <c r="L203" i="51" s="1"/>
  <c r="K203" i="51" s="1"/>
  <c r="J203" i="51" s="1"/>
  <c r="I203" i="51"/>
  <c r="H203" i="51"/>
  <c r="G203" i="51"/>
  <c r="U202" i="51"/>
  <c r="T202" i="51" s="1"/>
  <c r="S202" i="51" s="1"/>
  <c r="R202" i="51" s="1"/>
  <c r="Q202" i="51" s="1"/>
  <c r="P202" i="51" s="1"/>
  <c r="O202" i="51" s="1"/>
  <c r="N202" i="51" s="1"/>
  <c r="M202" i="51" s="1"/>
  <c r="L202" i="51" s="1"/>
  <c r="K202" i="51"/>
  <c r="J202" i="51" s="1"/>
  <c r="I202" i="51" s="1"/>
  <c r="H202" i="51"/>
  <c r="G202" i="51" s="1"/>
  <c r="U201" i="51"/>
  <c r="T201" i="51" s="1"/>
  <c r="S201" i="51" s="1"/>
  <c r="R201" i="51" s="1"/>
  <c r="Q201" i="51" s="1"/>
  <c r="P201" i="51" s="1"/>
  <c r="O201" i="51" s="1"/>
  <c r="N201" i="51" s="1"/>
  <c r="M201" i="51"/>
  <c r="L201" i="51"/>
  <c r="K201" i="51" s="1"/>
  <c r="J201" i="51"/>
  <c r="I201" i="51"/>
  <c r="H201" i="51"/>
  <c r="G201" i="51"/>
  <c r="U200" i="51"/>
  <c r="T200" i="51" s="1"/>
  <c r="S200" i="51" s="1"/>
  <c r="R200" i="51" s="1"/>
  <c r="Q200" i="51"/>
  <c r="P200" i="51"/>
  <c r="O200" i="51" s="1"/>
  <c r="N200" i="51"/>
  <c r="M200" i="51"/>
  <c r="L200" i="51" s="1"/>
  <c r="K200" i="51" s="1"/>
  <c r="J200" i="51"/>
  <c r="I200" i="51" s="1"/>
  <c r="H200" i="51"/>
  <c r="G200" i="51" s="1"/>
  <c r="U199" i="51"/>
  <c r="T199" i="51"/>
  <c r="S199" i="51"/>
  <c r="R199" i="51" s="1"/>
  <c r="Q199" i="51" s="1"/>
  <c r="P199" i="51" s="1"/>
  <c r="O199" i="51"/>
  <c r="N199" i="51"/>
  <c r="M199" i="51" s="1"/>
  <c r="L199" i="51" s="1"/>
  <c r="K199" i="51" s="1"/>
  <c r="J199" i="51" s="1"/>
  <c r="I199" i="51" s="1"/>
  <c r="H199" i="51" s="1"/>
  <c r="G199" i="51" s="1"/>
  <c r="U198" i="51"/>
  <c r="T198" i="51" s="1"/>
  <c r="S198" i="51" s="1"/>
  <c r="R198" i="51" s="1"/>
  <c r="Q198" i="51" s="1"/>
  <c r="P198" i="51" s="1"/>
  <c r="O198" i="51"/>
  <c r="N198" i="51"/>
  <c r="M198" i="51"/>
  <c r="L198" i="51" s="1"/>
  <c r="K198" i="51" s="1"/>
  <c r="J198" i="51" s="1"/>
  <c r="I198" i="51" s="1"/>
  <c r="H198" i="51" s="1"/>
  <c r="G198" i="51" s="1"/>
  <c r="U197" i="51"/>
  <c r="T197" i="51" s="1"/>
  <c r="S197" i="51" s="1"/>
  <c r="R197" i="51" s="1"/>
  <c r="Q197" i="51" s="1"/>
  <c r="P197" i="51"/>
  <c r="O197" i="51"/>
  <c r="N197" i="51"/>
  <c r="M197" i="51"/>
  <c r="L197" i="51" s="1"/>
  <c r="K197" i="51" s="1"/>
  <c r="J197" i="51"/>
  <c r="I197" i="51" s="1"/>
  <c r="H197" i="51" s="1"/>
  <c r="G197" i="51" s="1"/>
  <c r="U196" i="51"/>
  <c r="T196" i="51" s="1"/>
  <c r="S196" i="51" s="1"/>
  <c r="R196" i="51" s="1"/>
  <c r="Q196" i="51" s="1"/>
  <c r="P196" i="51"/>
  <c r="O196" i="51" s="1"/>
  <c r="N196" i="51"/>
  <c r="M196" i="51" s="1"/>
  <c r="L196" i="51" s="1"/>
  <c r="K196" i="51" s="1"/>
  <c r="J196" i="51" s="1"/>
  <c r="I196" i="51" s="1"/>
  <c r="H196" i="51" s="1"/>
  <c r="G196" i="51" s="1"/>
  <c r="U195" i="51"/>
  <c r="T195" i="51" s="1"/>
  <c r="S195" i="51" s="1"/>
  <c r="R195" i="51" s="1"/>
  <c r="Q195" i="51" s="1"/>
  <c r="P195" i="51" s="1"/>
  <c r="O195" i="51" s="1"/>
  <c r="N195" i="51" s="1"/>
  <c r="M195" i="51" s="1"/>
  <c r="L195" i="51"/>
  <c r="K195" i="51"/>
  <c r="J195" i="51" s="1"/>
  <c r="I195" i="51"/>
  <c r="H195" i="51"/>
  <c r="G195" i="51"/>
  <c r="U194" i="51"/>
  <c r="T194" i="51" s="1"/>
  <c r="S194" i="51" s="1"/>
  <c r="R194" i="51" s="1"/>
  <c r="Q194" i="51" s="1"/>
  <c r="P194" i="51" s="1"/>
  <c r="O194" i="51" s="1"/>
  <c r="N194" i="51" s="1"/>
  <c r="M194" i="51" s="1"/>
  <c r="L194" i="51" s="1"/>
  <c r="K194" i="51" s="1"/>
  <c r="J194" i="51" s="1"/>
  <c r="I194" i="51"/>
  <c r="H194" i="51"/>
  <c r="G194" i="51"/>
  <c r="U193" i="51"/>
  <c r="T193" i="51" s="1"/>
  <c r="S193" i="51" s="1"/>
  <c r="R193" i="51" s="1"/>
  <c r="Q193" i="51" s="1"/>
  <c r="P193" i="51" s="1"/>
  <c r="O193" i="51" s="1"/>
  <c r="N193" i="51" s="1"/>
  <c r="M193" i="51" s="1"/>
  <c r="L193" i="51"/>
  <c r="K193" i="51"/>
  <c r="J193" i="51"/>
  <c r="I193" i="51"/>
  <c r="H193" i="51"/>
  <c r="G193" i="51"/>
  <c r="U192" i="51"/>
  <c r="T192" i="51" s="1"/>
  <c r="S192" i="51" s="1"/>
  <c r="R192" i="51" s="1"/>
  <c r="Q192" i="51" s="1"/>
  <c r="P192" i="51" s="1"/>
  <c r="O192" i="51" s="1"/>
  <c r="N192" i="51"/>
  <c r="M192" i="51"/>
  <c r="L192" i="51"/>
  <c r="K192" i="51" s="1"/>
  <c r="J192" i="51" s="1"/>
  <c r="I192" i="51"/>
  <c r="H192" i="51"/>
  <c r="G192" i="51"/>
  <c r="U191" i="51"/>
  <c r="T191" i="51" s="1"/>
  <c r="S191" i="51" s="1"/>
  <c r="R191" i="51"/>
  <c r="Q191" i="51" s="1"/>
  <c r="P191" i="51" s="1"/>
  <c r="O191" i="51"/>
  <c r="N191" i="51"/>
  <c r="M191" i="51"/>
  <c r="L191" i="51"/>
  <c r="K191" i="51" s="1"/>
  <c r="J191" i="51"/>
  <c r="I191" i="51" s="1"/>
  <c r="H191" i="51"/>
  <c r="G191" i="51" s="1"/>
  <c r="U190" i="51"/>
  <c r="T190" i="51" s="1"/>
  <c r="S190" i="51" s="1"/>
  <c r="R190" i="51"/>
  <c r="Q190" i="51"/>
  <c r="P190" i="51"/>
  <c r="O190" i="51"/>
  <c r="N190" i="51"/>
  <c r="M190" i="51"/>
  <c r="L190" i="51"/>
  <c r="K190" i="51" s="1"/>
  <c r="J190" i="51" s="1"/>
  <c r="I190" i="51" s="1"/>
  <c r="H190" i="51" s="1"/>
  <c r="G190" i="51" s="1"/>
  <c r="U189" i="51"/>
  <c r="T189" i="51" s="1"/>
  <c r="S189" i="51" s="1"/>
  <c r="R189" i="51" s="1"/>
  <c r="Q189" i="51" s="1"/>
  <c r="P189" i="51" s="1"/>
  <c r="O189" i="51" s="1"/>
  <c r="N189" i="51" s="1"/>
  <c r="M189" i="51" s="1"/>
  <c r="L189" i="51" s="1"/>
  <c r="K189" i="51" s="1"/>
  <c r="J189" i="51"/>
  <c r="I189" i="51"/>
  <c r="H189" i="51"/>
  <c r="G189" i="51" s="1"/>
  <c r="U188" i="51"/>
  <c r="T188" i="51" s="1"/>
  <c r="S188" i="51"/>
  <c r="R188" i="51"/>
  <c r="Q188" i="51"/>
  <c r="P188" i="51" s="1"/>
  <c r="O188" i="51" s="1"/>
  <c r="N188" i="51"/>
  <c r="M188" i="51"/>
  <c r="L188" i="51"/>
  <c r="K188" i="51"/>
  <c r="J188" i="51" s="1"/>
  <c r="I188" i="51"/>
  <c r="H188" i="51"/>
  <c r="G188" i="51"/>
  <c r="U187" i="51"/>
  <c r="T187" i="51" s="1"/>
  <c r="S187" i="51"/>
  <c r="R187" i="51"/>
  <c r="Q187" i="51"/>
  <c r="P187" i="51"/>
  <c r="O187" i="51" s="1"/>
  <c r="N187" i="51"/>
  <c r="M187" i="51" s="1"/>
  <c r="L187" i="51"/>
  <c r="K187" i="51" s="1"/>
  <c r="J187" i="51" s="1"/>
  <c r="I187" i="51" s="1"/>
  <c r="H187" i="51" s="1"/>
  <c r="G187" i="51" s="1"/>
  <c r="U186" i="51"/>
  <c r="T186" i="51" s="1"/>
  <c r="S186" i="51" s="1"/>
  <c r="R186" i="51" s="1"/>
  <c r="Q186" i="51" s="1"/>
  <c r="P186" i="51" s="1"/>
  <c r="O186" i="51" s="1"/>
  <c r="N186" i="51" s="1"/>
  <c r="M186" i="51" s="1"/>
  <c r="L186" i="51" s="1"/>
  <c r="K186" i="51" s="1"/>
  <c r="J186" i="51"/>
  <c r="I186" i="51"/>
  <c r="H186" i="51"/>
  <c r="G186" i="51" s="1"/>
  <c r="U185" i="51"/>
  <c r="T185" i="51" s="1"/>
  <c r="S185" i="51" s="1"/>
  <c r="R185" i="51" s="1"/>
  <c r="Q185" i="51" s="1"/>
  <c r="P185" i="51"/>
  <c r="O185" i="51"/>
  <c r="N185" i="51" s="1"/>
  <c r="M185" i="51" s="1"/>
  <c r="L185" i="51" s="1"/>
  <c r="K185" i="51" s="1"/>
  <c r="J185" i="51" s="1"/>
  <c r="I185" i="51" s="1"/>
  <c r="H185" i="51"/>
  <c r="G185" i="51"/>
  <c r="U184" i="51"/>
  <c r="T184" i="51" s="1"/>
  <c r="S184" i="51" s="1"/>
  <c r="R184" i="51" s="1"/>
  <c r="Q184" i="51" s="1"/>
  <c r="P184" i="51"/>
  <c r="O184" i="51"/>
  <c r="N184" i="51"/>
  <c r="M184" i="51"/>
  <c r="L184" i="51"/>
  <c r="K184" i="51"/>
  <c r="J184" i="51" s="1"/>
  <c r="I184" i="51" s="1"/>
  <c r="H184" i="51" s="1"/>
  <c r="G184" i="51"/>
  <c r="U183" i="51"/>
  <c r="T183" i="51" s="1"/>
  <c r="S183" i="51" s="1"/>
  <c r="R183" i="51" s="1"/>
  <c r="Q183" i="51" s="1"/>
  <c r="P183" i="51" s="1"/>
  <c r="O183" i="51" s="1"/>
  <c r="N183" i="51" s="1"/>
  <c r="M183" i="51" s="1"/>
  <c r="L183" i="51" s="1"/>
  <c r="K183" i="51"/>
  <c r="J183" i="51" s="1"/>
  <c r="I183" i="51" s="1"/>
  <c r="H183" i="51" s="1"/>
  <c r="G183" i="51" s="1"/>
  <c r="U182" i="51"/>
  <c r="T182" i="51" s="1"/>
  <c r="S182" i="51"/>
  <c r="R182" i="51" s="1"/>
  <c r="Q182" i="51" s="1"/>
  <c r="P182" i="51" s="1"/>
  <c r="O182" i="51" s="1"/>
  <c r="N182" i="51" s="1"/>
  <c r="M182" i="51" s="1"/>
  <c r="L182" i="51" s="1"/>
  <c r="K182" i="51" s="1"/>
  <c r="J182" i="51" s="1"/>
  <c r="I182" i="51" s="1"/>
  <c r="H182" i="51" s="1"/>
  <c r="G182" i="51" s="1"/>
  <c r="U181" i="51"/>
  <c r="T181" i="51" s="1"/>
  <c r="S181" i="51" s="1"/>
  <c r="R181" i="51" s="1"/>
  <c r="Q181" i="51" s="1"/>
  <c r="P181" i="51" s="1"/>
  <c r="O181" i="51" s="1"/>
  <c r="N181" i="51" s="1"/>
  <c r="M181" i="51"/>
  <c r="L181" i="51"/>
  <c r="K181" i="51"/>
  <c r="J181" i="51" s="1"/>
  <c r="I181" i="51" s="1"/>
  <c r="H181" i="51" s="1"/>
  <c r="G181" i="51" s="1"/>
  <c r="U180" i="51"/>
  <c r="T180" i="51" s="1"/>
  <c r="S180" i="51" s="1"/>
  <c r="R180" i="51" s="1"/>
  <c r="Q180" i="51" s="1"/>
  <c r="P180" i="51" s="1"/>
  <c r="O180" i="51" s="1"/>
  <c r="N180" i="51" s="1"/>
  <c r="M180" i="51" s="1"/>
  <c r="L180" i="51" s="1"/>
  <c r="K180" i="51" s="1"/>
  <c r="J180" i="51" s="1"/>
  <c r="I180" i="51" s="1"/>
  <c r="H180" i="51" s="1"/>
  <c r="G180" i="51" s="1"/>
  <c r="U179" i="51"/>
  <c r="T179" i="51" s="1"/>
  <c r="S179" i="51" s="1"/>
  <c r="R179" i="51" s="1"/>
  <c r="Q179" i="51" s="1"/>
  <c r="P179" i="51" s="1"/>
  <c r="O179" i="51" s="1"/>
  <c r="N179" i="51" s="1"/>
  <c r="M179" i="51" s="1"/>
  <c r="L179" i="51" s="1"/>
  <c r="K179" i="51" s="1"/>
  <c r="J179" i="51" s="1"/>
  <c r="I179" i="51" s="1"/>
  <c r="H179" i="51" s="1"/>
  <c r="G179" i="51" s="1"/>
  <c r="U178" i="51"/>
  <c r="T178" i="51" s="1"/>
  <c r="S178" i="51" s="1"/>
  <c r="R178" i="51" s="1"/>
  <c r="Q178" i="51" s="1"/>
  <c r="P178" i="51" s="1"/>
  <c r="O178" i="51" s="1"/>
  <c r="N178" i="51" s="1"/>
  <c r="M178" i="51" s="1"/>
  <c r="L178" i="51" s="1"/>
  <c r="K178" i="51" s="1"/>
  <c r="J178" i="51" s="1"/>
  <c r="I178" i="51" s="1"/>
  <c r="H178" i="51" s="1"/>
  <c r="G178" i="51" s="1"/>
  <c r="U177" i="51"/>
  <c r="T177" i="51" s="1"/>
  <c r="S177" i="51" s="1"/>
  <c r="R177" i="51" s="1"/>
  <c r="Q177" i="51" s="1"/>
  <c r="P177" i="51" s="1"/>
  <c r="O177" i="51" s="1"/>
  <c r="N177" i="51" s="1"/>
  <c r="M177" i="51" s="1"/>
  <c r="L177" i="51" s="1"/>
  <c r="K177" i="51" s="1"/>
  <c r="J177" i="51" s="1"/>
  <c r="I177" i="51" s="1"/>
  <c r="H177" i="51" s="1"/>
  <c r="G177" i="51" s="1"/>
  <c r="U176" i="51"/>
  <c r="T176" i="51" s="1"/>
  <c r="S176" i="51" s="1"/>
  <c r="R176" i="51" s="1"/>
  <c r="Q176" i="51" s="1"/>
  <c r="P176" i="51"/>
  <c r="O176" i="51" s="1"/>
  <c r="N176" i="51" s="1"/>
  <c r="M176" i="51" s="1"/>
  <c r="L176" i="51" s="1"/>
  <c r="K176" i="51" s="1"/>
  <c r="J176" i="51" s="1"/>
  <c r="I176" i="51" s="1"/>
  <c r="H176" i="51" s="1"/>
  <c r="G176" i="51" s="1"/>
  <c r="U175" i="51"/>
  <c r="T175" i="51" s="1"/>
  <c r="S175" i="51" s="1"/>
  <c r="R175" i="51" s="1"/>
  <c r="Q175" i="51" s="1"/>
  <c r="P175" i="51" s="1"/>
  <c r="O175" i="51" s="1"/>
  <c r="N175" i="51" s="1"/>
  <c r="M175" i="51" s="1"/>
  <c r="L175" i="51" s="1"/>
  <c r="K175" i="51" s="1"/>
  <c r="J175" i="51" s="1"/>
  <c r="I175" i="51" s="1"/>
  <c r="H175" i="51" s="1"/>
  <c r="G175" i="51" s="1"/>
  <c r="U174" i="51"/>
  <c r="T174" i="51" s="1"/>
  <c r="S174" i="51" s="1"/>
  <c r="R174" i="51"/>
  <c r="Q174" i="51"/>
  <c r="P174" i="51"/>
  <c r="O174" i="51"/>
  <c r="N174" i="51"/>
  <c r="M174" i="51"/>
  <c r="L174" i="51" s="1"/>
  <c r="K174" i="51"/>
  <c r="J174" i="51"/>
  <c r="I174" i="51" s="1"/>
  <c r="H174" i="51"/>
  <c r="G174" i="51" s="1"/>
  <c r="U173" i="51"/>
  <c r="T173" i="51" s="1"/>
  <c r="S173" i="51"/>
  <c r="R173" i="51" s="1"/>
  <c r="Q173" i="51" s="1"/>
  <c r="P173" i="51" s="1"/>
  <c r="O173" i="51" s="1"/>
  <c r="N173" i="51"/>
  <c r="M173" i="51"/>
  <c r="L173" i="51"/>
  <c r="K173" i="51"/>
  <c r="J173" i="51" s="1"/>
  <c r="I173" i="51"/>
  <c r="H173" i="51"/>
  <c r="G173" i="51" s="1"/>
  <c r="U172" i="51"/>
  <c r="T172" i="51" s="1"/>
  <c r="S172" i="51" s="1"/>
  <c r="R172" i="51"/>
  <c r="Q172" i="51" s="1"/>
  <c r="P172" i="51"/>
  <c r="O172" i="51"/>
  <c r="N172" i="51"/>
  <c r="M172" i="51"/>
  <c r="L172" i="51"/>
  <c r="K172" i="51" s="1"/>
  <c r="J172" i="51" s="1"/>
  <c r="I172" i="51"/>
  <c r="H172" i="51"/>
  <c r="G172" i="51" s="1"/>
  <c r="U171" i="51"/>
  <c r="T171" i="51"/>
  <c r="S171" i="51"/>
  <c r="R171" i="51" s="1"/>
  <c r="Q171" i="51"/>
  <c r="P171" i="51" s="1"/>
  <c r="O171" i="51"/>
  <c r="N171" i="51"/>
  <c r="M171" i="51" s="1"/>
  <c r="L171" i="51"/>
  <c r="K171" i="51"/>
  <c r="J171" i="51" s="1"/>
  <c r="I171" i="51" s="1"/>
  <c r="H171" i="51" s="1"/>
  <c r="G171" i="51" s="1"/>
  <c r="U170" i="51"/>
  <c r="T170" i="51" s="1"/>
  <c r="S170" i="51" s="1"/>
  <c r="R170" i="51" s="1"/>
  <c r="Q170" i="51"/>
  <c r="P170" i="51"/>
  <c r="O170" i="51"/>
  <c r="N170" i="51"/>
  <c r="M170" i="51"/>
  <c r="L170" i="51"/>
  <c r="K170" i="51" s="1"/>
  <c r="J170" i="51" s="1"/>
  <c r="I170" i="51" s="1"/>
  <c r="H170" i="51" s="1"/>
  <c r="G170" i="51" s="1"/>
  <c r="U169" i="51"/>
  <c r="T169" i="51" s="1"/>
  <c r="S169" i="51" s="1"/>
  <c r="R169" i="51" s="1"/>
  <c r="Q169" i="51"/>
  <c r="P169" i="51"/>
  <c r="O169" i="51"/>
  <c r="N169" i="51"/>
  <c r="M169" i="51"/>
  <c r="L169" i="51" s="1"/>
  <c r="K169" i="51" s="1"/>
  <c r="J169" i="51" s="1"/>
  <c r="I169" i="51" s="1"/>
  <c r="H169" i="51" s="1"/>
  <c r="G169" i="51" s="1"/>
  <c r="U168" i="51"/>
  <c r="T168" i="51" s="1"/>
  <c r="S168" i="51"/>
  <c r="R168" i="51" s="1"/>
  <c r="Q168" i="51" s="1"/>
  <c r="P168" i="51" s="1"/>
  <c r="O168" i="51" s="1"/>
  <c r="N168" i="51" s="1"/>
  <c r="M168" i="51" s="1"/>
  <c r="L168" i="51" s="1"/>
  <c r="K168" i="51" s="1"/>
  <c r="J168" i="51" s="1"/>
  <c r="I168" i="51" s="1"/>
  <c r="H168" i="51" s="1"/>
  <c r="G168" i="51" s="1"/>
  <c r="U167" i="51"/>
  <c r="T167" i="51" s="1"/>
  <c r="S167" i="51" s="1"/>
  <c r="R167" i="51" s="1"/>
  <c r="Q167" i="51" s="1"/>
  <c r="P167" i="51" s="1"/>
  <c r="O167" i="51" s="1"/>
  <c r="N167" i="51" s="1"/>
  <c r="M167" i="51" s="1"/>
  <c r="L167" i="51" s="1"/>
  <c r="K167" i="51" s="1"/>
  <c r="J167" i="51" s="1"/>
  <c r="I167" i="51" s="1"/>
  <c r="H167" i="51"/>
  <c r="G167" i="51" s="1"/>
  <c r="U166" i="51"/>
  <c r="T166" i="51" s="1"/>
  <c r="S166" i="51" s="1"/>
  <c r="R166" i="51" s="1"/>
  <c r="Q166" i="51" s="1"/>
  <c r="P166" i="51" s="1"/>
  <c r="O166" i="51" s="1"/>
  <c r="N166" i="51" s="1"/>
  <c r="M166" i="51" s="1"/>
  <c r="L166" i="51" s="1"/>
  <c r="K166" i="51" s="1"/>
  <c r="J166" i="51" s="1"/>
  <c r="I166" i="51" s="1"/>
  <c r="H166" i="51" s="1"/>
  <c r="G166" i="51" s="1"/>
  <c r="U165" i="51"/>
  <c r="T165" i="51" s="1"/>
  <c r="S165" i="51" s="1"/>
  <c r="R165" i="51" s="1"/>
  <c r="Q165" i="51"/>
  <c r="P165" i="51" s="1"/>
  <c r="O165" i="51" s="1"/>
  <c r="N165" i="51"/>
  <c r="M165" i="51" s="1"/>
  <c r="L165" i="51"/>
  <c r="K165" i="51"/>
  <c r="J165" i="51" s="1"/>
  <c r="I165" i="51" s="1"/>
  <c r="H165" i="51"/>
  <c r="G165" i="51"/>
  <c r="U164" i="51"/>
  <c r="T164" i="51" s="1"/>
  <c r="S164" i="51" s="1"/>
  <c r="R164" i="51" s="1"/>
  <c r="Q164" i="51" s="1"/>
  <c r="P164" i="51" s="1"/>
  <c r="O164" i="51" s="1"/>
  <c r="N164" i="51" s="1"/>
  <c r="M164" i="51" s="1"/>
  <c r="L164" i="51" s="1"/>
  <c r="K164" i="51"/>
  <c r="J164" i="51"/>
  <c r="I164" i="51"/>
  <c r="H164" i="51"/>
  <c r="G164" i="51"/>
  <c r="U163" i="51"/>
  <c r="T163" i="51"/>
  <c r="S163" i="51"/>
  <c r="R163" i="51" s="1"/>
  <c r="Q163" i="51"/>
  <c r="P163" i="51"/>
  <c r="O163" i="51"/>
  <c r="N163" i="51"/>
  <c r="M163" i="51"/>
  <c r="L163" i="51"/>
  <c r="K163" i="51"/>
  <c r="J163" i="51"/>
  <c r="I163" i="51"/>
  <c r="H163" i="51"/>
  <c r="G163" i="51" s="1"/>
  <c r="U162" i="51"/>
  <c r="T162" i="51"/>
  <c r="S162" i="51"/>
  <c r="R162" i="51"/>
  <c r="Q162" i="51"/>
  <c r="P162" i="51"/>
  <c r="O162" i="51"/>
  <c r="N162" i="51"/>
  <c r="M162" i="51"/>
  <c r="L162" i="51"/>
  <c r="K162" i="51" s="1"/>
  <c r="J162" i="51"/>
  <c r="I162" i="51"/>
  <c r="H162" i="51" s="1"/>
  <c r="G162" i="51" s="1"/>
  <c r="U161" i="51"/>
  <c r="T161" i="51" s="1"/>
  <c r="S161" i="51" s="1"/>
  <c r="R161" i="51" s="1"/>
  <c r="Q161" i="51" s="1"/>
  <c r="P161" i="51" s="1"/>
  <c r="O161" i="51"/>
  <c r="N161" i="51"/>
  <c r="M161" i="51"/>
  <c r="L161" i="51"/>
  <c r="K161" i="51"/>
  <c r="J161" i="51"/>
  <c r="I161" i="51"/>
  <c r="H161" i="51" s="1"/>
  <c r="G161" i="51"/>
  <c r="U160" i="51"/>
  <c r="T160" i="51" s="1"/>
  <c r="S160" i="51" s="1"/>
  <c r="R160" i="51" s="1"/>
  <c r="Q160" i="51" s="1"/>
  <c r="P160" i="51" s="1"/>
  <c r="O160" i="51" s="1"/>
  <c r="N160" i="51" s="1"/>
  <c r="M160" i="51"/>
  <c r="L160" i="51"/>
  <c r="K160" i="51" s="1"/>
  <c r="J160" i="51" s="1"/>
  <c r="I160" i="51"/>
  <c r="H160" i="51" s="1"/>
  <c r="G160" i="51" s="1"/>
  <c r="U159" i="51"/>
  <c r="T159" i="51" s="1"/>
  <c r="S159" i="51" s="1"/>
  <c r="R159" i="51"/>
  <c r="Q159" i="51"/>
  <c r="P159" i="51"/>
  <c r="O159" i="51"/>
  <c r="N159" i="51" s="1"/>
  <c r="M159" i="51"/>
  <c r="L159" i="51" s="1"/>
  <c r="K159" i="51" s="1"/>
  <c r="J159" i="51"/>
  <c r="I159" i="51"/>
  <c r="H159" i="51"/>
  <c r="G159" i="51" s="1"/>
  <c r="U158" i="51"/>
  <c r="T158" i="51" s="1"/>
  <c r="S158" i="51" s="1"/>
  <c r="R158" i="51" s="1"/>
  <c r="Q158" i="51" s="1"/>
  <c r="P158" i="51" s="1"/>
  <c r="O158" i="51" s="1"/>
  <c r="N158" i="51" s="1"/>
  <c r="M158" i="51" s="1"/>
  <c r="L158" i="51" s="1"/>
  <c r="K158" i="51" s="1"/>
  <c r="J158" i="51"/>
  <c r="I158" i="51"/>
  <c r="H158" i="51"/>
  <c r="G158" i="51"/>
  <c r="U157" i="51"/>
  <c r="T157" i="51" s="1"/>
  <c r="S157" i="51" s="1"/>
  <c r="R157" i="51" s="1"/>
  <c r="Q157" i="51" s="1"/>
  <c r="P157" i="51" s="1"/>
  <c r="O157" i="51" s="1"/>
  <c r="N157" i="51" s="1"/>
  <c r="M157" i="51" s="1"/>
  <c r="L157" i="51" s="1"/>
  <c r="K157" i="51" s="1"/>
  <c r="J157" i="51" s="1"/>
  <c r="I157" i="51" s="1"/>
  <c r="H157" i="51"/>
  <c r="G157" i="51"/>
  <c r="U156" i="51"/>
  <c r="T156" i="51" s="1"/>
  <c r="S156" i="51" s="1"/>
  <c r="R156" i="51" s="1"/>
  <c r="Q156" i="51" s="1"/>
  <c r="P156" i="51" s="1"/>
  <c r="O156" i="51" s="1"/>
  <c r="N156" i="51"/>
  <c r="M156" i="51"/>
  <c r="L156" i="51"/>
  <c r="K156" i="51"/>
  <c r="J156" i="51" s="1"/>
  <c r="I156" i="51" s="1"/>
  <c r="H156" i="51" s="1"/>
  <c r="G156" i="51"/>
  <c r="U155" i="51"/>
  <c r="T155" i="51" s="1"/>
  <c r="S155" i="51" s="1"/>
  <c r="R155" i="51" s="1"/>
  <c r="Q155" i="51" s="1"/>
  <c r="P155" i="51" s="1"/>
  <c r="O155" i="51" s="1"/>
  <c r="N155" i="51"/>
  <c r="M155" i="51"/>
  <c r="L155" i="51"/>
  <c r="K155" i="51"/>
  <c r="J155" i="51"/>
  <c r="I155" i="51"/>
  <c r="H155" i="51"/>
  <c r="G155" i="51"/>
  <c r="U154" i="51"/>
  <c r="T154" i="51" s="1"/>
  <c r="S154" i="51" s="1"/>
  <c r="R154" i="51" s="1"/>
  <c r="Q154" i="51" s="1"/>
  <c r="P154" i="51" s="1"/>
  <c r="O154" i="51" s="1"/>
  <c r="N154" i="51" s="1"/>
  <c r="M154" i="51" s="1"/>
  <c r="L154" i="51" s="1"/>
  <c r="K154" i="51" s="1"/>
  <c r="J154" i="51" s="1"/>
  <c r="I154" i="51" s="1"/>
  <c r="H154" i="51" s="1"/>
  <c r="G154" i="51" s="1"/>
  <c r="U153" i="51"/>
  <c r="T153" i="51" s="1"/>
  <c r="S153" i="51" s="1"/>
  <c r="R153" i="51" s="1"/>
  <c r="Q153" i="51" s="1"/>
  <c r="P153" i="51" s="1"/>
  <c r="O153" i="51" s="1"/>
  <c r="N153" i="51" s="1"/>
  <c r="M153" i="51" s="1"/>
  <c r="L153" i="51" s="1"/>
  <c r="K153" i="51" s="1"/>
  <c r="J153" i="51" s="1"/>
  <c r="I153" i="51" s="1"/>
  <c r="H153" i="51" s="1"/>
  <c r="G153" i="51" s="1"/>
  <c r="U152" i="51"/>
  <c r="T152" i="51" s="1"/>
  <c r="S152" i="51" s="1"/>
  <c r="R152" i="51" s="1"/>
  <c r="Q152" i="51" s="1"/>
  <c r="P152" i="51" s="1"/>
  <c r="O152" i="51" s="1"/>
  <c r="N152" i="51" s="1"/>
  <c r="M152" i="51" s="1"/>
  <c r="L152" i="51" s="1"/>
  <c r="K152" i="51" s="1"/>
  <c r="J152" i="51"/>
  <c r="I152" i="51"/>
  <c r="H152" i="51"/>
  <c r="G152" i="51" s="1"/>
  <c r="U151" i="51"/>
  <c r="T151" i="51" s="1"/>
  <c r="S151" i="51" s="1"/>
  <c r="R151" i="51" s="1"/>
  <c r="Q151" i="51" s="1"/>
  <c r="P151" i="51" s="1"/>
  <c r="O151" i="51" s="1"/>
  <c r="N151" i="51"/>
  <c r="M151" i="51"/>
  <c r="L151" i="51"/>
  <c r="K151" i="51" s="1"/>
  <c r="J151" i="51" s="1"/>
  <c r="I151" i="51" s="1"/>
  <c r="H151" i="51" s="1"/>
  <c r="G151" i="51" s="1"/>
  <c r="U150" i="51"/>
  <c r="T150" i="51" s="1"/>
  <c r="S150" i="51" s="1"/>
  <c r="R150" i="51" s="1"/>
  <c r="Q150" i="51"/>
  <c r="P150" i="51" s="1"/>
  <c r="O150" i="51" s="1"/>
  <c r="N150" i="51" s="1"/>
  <c r="M150" i="51" s="1"/>
  <c r="L150" i="51"/>
  <c r="K150" i="51" s="1"/>
  <c r="J150" i="51" s="1"/>
  <c r="I150" i="51" s="1"/>
  <c r="H150" i="51" s="1"/>
  <c r="G150" i="51" s="1"/>
  <c r="U149" i="51"/>
  <c r="T149" i="51" s="1"/>
  <c r="S149" i="51" s="1"/>
  <c r="R149" i="51" s="1"/>
  <c r="Q149" i="51" s="1"/>
  <c r="P149" i="51" s="1"/>
  <c r="O149" i="51" s="1"/>
  <c r="N149" i="51" s="1"/>
  <c r="M149" i="51" s="1"/>
  <c r="L149" i="51"/>
  <c r="K149" i="51" s="1"/>
  <c r="J149" i="51" s="1"/>
  <c r="I149" i="51" s="1"/>
  <c r="H149" i="51"/>
  <c r="G149" i="51"/>
  <c r="U148" i="51"/>
  <c r="T148" i="51" s="1"/>
  <c r="S148" i="51" s="1"/>
  <c r="R148" i="51" s="1"/>
  <c r="Q148" i="51" s="1"/>
  <c r="P148" i="51" s="1"/>
  <c r="O148" i="51" s="1"/>
  <c r="N148" i="51" s="1"/>
  <c r="M148" i="51" s="1"/>
  <c r="L148" i="51" s="1"/>
  <c r="K148" i="51" s="1"/>
  <c r="J148" i="51"/>
  <c r="I148" i="51"/>
  <c r="H148" i="51"/>
  <c r="G148" i="51" s="1"/>
  <c r="U147" i="51"/>
  <c r="T147" i="51" s="1"/>
  <c r="S147" i="51" s="1"/>
  <c r="R147" i="51" s="1"/>
  <c r="Q147" i="51" s="1"/>
  <c r="P147" i="51" s="1"/>
  <c r="O147" i="51" s="1"/>
  <c r="N147" i="51" s="1"/>
  <c r="M147" i="51" s="1"/>
  <c r="L147" i="51" s="1"/>
  <c r="K147" i="51" s="1"/>
  <c r="J147" i="51" s="1"/>
  <c r="I147" i="51"/>
  <c r="H147" i="51"/>
  <c r="G147" i="51"/>
  <c r="U146" i="51"/>
  <c r="T146" i="51" s="1"/>
  <c r="S146" i="51" s="1"/>
  <c r="R146" i="51" s="1"/>
  <c r="Q146" i="51" s="1"/>
  <c r="P146" i="51" s="1"/>
  <c r="O146" i="51" s="1"/>
  <c r="N146" i="51" s="1"/>
  <c r="M146" i="51" s="1"/>
  <c r="L146" i="51" s="1"/>
  <c r="K146" i="51" s="1"/>
  <c r="J146" i="51" s="1"/>
  <c r="I146" i="51" s="1"/>
  <c r="H146" i="51" s="1"/>
  <c r="G146" i="51" s="1"/>
  <c r="U145" i="51"/>
  <c r="T145" i="51" s="1"/>
  <c r="S145" i="51" s="1"/>
  <c r="R145" i="51" s="1"/>
  <c r="Q145" i="51" s="1"/>
  <c r="P145" i="51"/>
  <c r="O145" i="51" s="1"/>
  <c r="N145" i="51" s="1"/>
  <c r="M145" i="51" s="1"/>
  <c r="L145" i="51" s="1"/>
  <c r="K145" i="51" s="1"/>
  <c r="J145" i="51" s="1"/>
  <c r="I145" i="51" s="1"/>
  <c r="H145" i="51" s="1"/>
  <c r="G145" i="51" s="1"/>
  <c r="U144" i="51"/>
  <c r="T144" i="51" s="1"/>
  <c r="S144" i="51" s="1"/>
  <c r="R144" i="51" s="1"/>
  <c r="Q144" i="51" s="1"/>
  <c r="P144" i="51" s="1"/>
  <c r="O144" i="51" s="1"/>
  <c r="N144" i="51" s="1"/>
  <c r="M144" i="51" s="1"/>
  <c r="L144" i="51" s="1"/>
  <c r="K144" i="51" s="1"/>
  <c r="J144" i="51" s="1"/>
  <c r="I144" i="51" s="1"/>
  <c r="H144" i="51" s="1"/>
  <c r="G144" i="51" s="1"/>
  <c r="U143" i="51"/>
  <c r="T143" i="51" s="1"/>
  <c r="S143" i="51" s="1"/>
  <c r="R143" i="51" s="1"/>
  <c r="Q143" i="51" s="1"/>
  <c r="P143" i="51" s="1"/>
  <c r="O143" i="51"/>
  <c r="N143" i="51"/>
  <c r="M143" i="51"/>
  <c r="L143" i="51"/>
  <c r="K143" i="51"/>
  <c r="J143" i="51"/>
  <c r="I143" i="51" s="1"/>
  <c r="H143" i="51"/>
  <c r="G143" i="51"/>
  <c r="U142" i="51"/>
  <c r="T142" i="51"/>
  <c r="S142" i="51"/>
  <c r="R142" i="51"/>
  <c r="Q142" i="51"/>
  <c r="P142" i="51"/>
  <c r="O142" i="51"/>
  <c r="N142" i="51"/>
  <c r="M142" i="51" s="1"/>
  <c r="L142" i="51" s="1"/>
  <c r="K142" i="51" s="1"/>
  <c r="J142" i="51"/>
  <c r="I142" i="51" s="1"/>
  <c r="H142" i="51"/>
  <c r="G142" i="51" s="1"/>
  <c r="U141" i="51"/>
  <c r="T141" i="51" s="1"/>
  <c r="S141" i="51" s="1"/>
  <c r="R141" i="51" s="1"/>
  <c r="Q141" i="51"/>
  <c r="P141" i="51" s="1"/>
  <c r="O141" i="51" s="1"/>
  <c r="N141" i="51" s="1"/>
  <c r="M141" i="51"/>
  <c r="L141" i="51"/>
  <c r="K141" i="51"/>
  <c r="J141" i="51"/>
  <c r="I141" i="51" s="1"/>
  <c r="H141" i="51" s="1"/>
  <c r="G141" i="51" s="1"/>
  <c r="U140" i="51"/>
  <c r="T140" i="51"/>
  <c r="S140" i="51"/>
  <c r="R140" i="51"/>
  <c r="Q140" i="51"/>
  <c r="P140" i="51"/>
  <c r="O140" i="51"/>
  <c r="N140" i="51"/>
  <c r="M140" i="51"/>
  <c r="L140" i="51"/>
  <c r="K140" i="51" s="1"/>
  <c r="J140" i="51"/>
  <c r="I140" i="51"/>
  <c r="H140" i="51" s="1"/>
  <c r="G140" i="51"/>
  <c r="U139" i="51"/>
  <c r="T139" i="51"/>
  <c r="S139" i="51"/>
  <c r="R139" i="51" s="1"/>
  <c r="Q139" i="51" s="1"/>
  <c r="P139" i="51" s="1"/>
  <c r="O139" i="51" s="1"/>
  <c r="N139" i="51" s="1"/>
  <c r="M139" i="51" s="1"/>
  <c r="L139" i="51" s="1"/>
  <c r="K139" i="51" s="1"/>
  <c r="J139" i="51" s="1"/>
  <c r="I139" i="51" s="1"/>
  <c r="H139" i="51" s="1"/>
  <c r="G139" i="51" s="1"/>
  <c r="U138" i="51"/>
  <c r="T138" i="51" s="1"/>
  <c r="S138" i="51" s="1"/>
  <c r="R138" i="51" s="1"/>
  <c r="Q138" i="51" s="1"/>
  <c r="P138" i="51" s="1"/>
  <c r="O138" i="51"/>
  <c r="N138" i="51"/>
  <c r="M138" i="51"/>
  <c r="L138" i="51" s="1"/>
  <c r="K138" i="51"/>
  <c r="J138" i="51"/>
  <c r="I138" i="51"/>
  <c r="H138" i="51"/>
  <c r="G138" i="51"/>
  <c r="U137" i="51"/>
  <c r="T137" i="51" s="1"/>
  <c r="S137" i="51"/>
  <c r="R137" i="51" s="1"/>
  <c r="Q137" i="51"/>
  <c r="P137" i="51"/>
  <c r="O137" i="51"/>
  <c r="N137" i="51"/>
  <c r="M137" i="51"/>
  <c r="L137" i="51"/>
  <c r="K137" i="51" s="1"/>
  <c r="J137" i="51" s="1"/>
  <c r="I137" i="51"/>
  <c r="H137" i="51"/>
  <c r="G137" i="51" s="1"/>
  <c r="U136" i="51"/>
  <c r="T136" i="51" s="1"/>
  <c r="S136" i="51" s="1"/>
  <c r="R136" i="51" s="1"/>
  <c r="Q136" i="51" s="1"/>
  <c r="P136" i="51" s="1"/>
  <c r="O136" i="51" s="1"/>
  <c r="N136" i="51"/>
  <c r="M136" i="51"/>
  <c r="L136" i="51"/>
  <c r="K136" i="51"/>
  <c r="J136" i="51"/>
  <c r="I136" i="51"/>
  <c r="H136" i="51"/>
  <c r="G136" i="51"/>
  <c r="U135" i="51"/>
  <c r="T135" i="51" s="1"/>
  <c r="S135" i="51"/>
  <c r="R135" i="51"/>
  <c r="Q135" i="51"/>
  <c r="P135" i="51"/>
  <c r="O135" i="51"/>
  <c r="N135" i="51"/>
  <c r="M135" i="51" s="1"/>
  <c r="L135" i="51"/>
  <c r="K135" i="51"/>
  <c r="J135" i="51" s="1"/>
  <c r="I135" i="51"/>
  <c r="H135" i="51" s="1"/>
  <c r="G135" i="51" s="1"/>
  <c r="U134" i="51"/>
  <c r="T134" i="51"/>
  <c r="S134" i="51"/>
  <c r="R134" i="51" s="1"/>
  <c r="Q134" i="51"/>
  <c r="P134" i="51"/>
  <c r="O134" i="51"/>
  <c r="N134" i="51"/>
  <c r="M134" i="51"/>
  <c r="L134" i="51"/>
  <c r="K134" i="51" s="1"/>
  <c r="J134" i="51" s="1"/>
  <c r="I134" i="51" s="1"/>
  <c r="H134" i="51" s="1"/>
  <c r="G134" i="51" s="1"/>
  <c r="U133" i="51"/>
  <c r="T133" i="51"/>
  <c r="S133" i="51"/>
  <c r="R133" i="51" s="1"/>
  <c r="Q133" i="51" s="1"/>
  <c r="P133" i="51"/>
  <c r="O133" i="51"/>
  <c r="N133" i="51"/>
  <c r="M133" i="51" s="1"/>
  <c r="L133" i="51"/>
  <c r="K133" i="51" s="1"/>
  <c r="J133" i="51" s="1"/>
  <c r="I133" i="51" s="1"/>
  <c r="H133" i="51"/>
  <c r="G133" i="51" s="1"/>
  <c r="U132" i="51"/>
  <c r="T132" i="51" s="1"/>
  <c r="S132" i="51" s="1"/>
  <c r="R132" i="51" s="1"/>
  <c r="Q132" i="51" s="1"/>
  <c r="P132" i="51" s="1"/>
  <c r="O132" i="51" s="1"/>
  <c r="N132" i="51" s="1"/>
  <c r="M132" i="51" s="1"/>
  <c r="L132" i="51" s="1"/>
  <c r="K132" i="51" s="1"/>
  <c r="J132" i="51"/>
  <c r="I132" i="51"/>
  <c r="H132" i="51"/>
  <c r="G132" i="51" s="1"/>
  <c r="U131" i="51"/>
  <c r="T131" i="51" s="1"/>
  <c r="S131" i="51" s="1"/>
  <c r="R131" i="51" s="1"/>
  <c r="Q131" i="51" s="1"/>
  <c r="P131" i="51" s="1"/>
  <c r="O131" i="51" s="1"/>
  <c r="N131" i="51" s="1"/>
  <c r="M131" i="51" s="1"/>
  <c r="L131" i="51" s="1"/>
  <c r="K131" i="51" s="1"/>
  <c r="J131" i="51" s="1"/>
  <c r="I131" i="51" s="1"/>
  <c r="H131" i="51" s="1"/>
  <c r="G131" i="51" s="1"/>
  <c r="U130" i="51"/>
  <c r="T130" i="51" s="1"/>
  <c r="S130" i="51" s="1"/>
  <c r="R130" i="51" s="1"/>
  <c r="Q130" i="51"/>
  <c r="P130" i="51"/>
  <c r="O130" i="51"/>
  <c r="N130" i="51"/>
  <c r="M130" i="51"/>
  <c r="L130" i="51"/>
  <c r="K130" i="51" s="1"/>
  <c r="J130" i="51" s="1"/>
  <c r="I130" i="51" s="1"/>
  <c r="H130" i="51" s="1"/>
  <c r="G130" i="51"/>
  <c r="U129" i="51"/>
  <c r="T129" i="51"/>
  <c r="S129" i="51"/>
  <c r="R129" i="51"/>
  <c r="Q129" i="51"/>
  <c r="P129" i="51"/>
  <c r="O129" i="51"/>
  <c r="N129" i="51"/>
  <c r="M129" i="51"/>
  <c r="L129" i="51"/>
  <c r="K129" i="51" s="1"/>
  <c r="J129" i="51"/>
  <c r="I129" i="51" s="1"/>
  <c r="H129" i="51" s="1"/>
  <c r="G129" i="51" s="1"/>
  <c r="U128" i="51"/>
  <c r="T128" i="51"/>
  <c r="S128" i="51"/>
  <c r="R128" i="51"/>
  <c r="Q128" i="51" s="1"/>
  <c r="P128" i="51" s="1"/>
  <c r="O128" i="51"/>
  <c r="N128" i="51"/>
  <c r="M128" i="51"/>
  <c r="L128" i="51" s="1"/>
  <c r="K128" i="51"/>
  <c r="J128" i="51" s="1"/>
  <c r="I128" i="51" s="1"/>
  <c r="H128" i="51"/>
  <c r="G128" i="51" s="1"/>
  <c r="U127" i="51"/>
  <c r="T127" i="51" s="1"/>
  <c r="S127" i="51" s="1"/>
  <c r="R127" i="51"/>
  <c r="Q127" i="51" s="1"/>
  <c r="P127" i="51"/>
  <c r="O127" i="51"/>
  <c r="N127" i="51"/>
  <c r="M127" i="51"/>
  <c r="L127" i="51"/>
  <c r="K127" i="51" s="1"/>
  <c r="J127" i="51" s="1"/>
  <c r="I127" i="51" s="1"/>
  <c r="H127" i="51" s="1"/>
  <c r="G127" i="51" s="1"/>
  <c r="U126" i="51"/>
  <c r="T126" i="51" s="1"/>
  <c r="S126" i="51"/>
  <c r="R126" i="51"/>
  <c r="Q126" i="51"/>
  <c r="P126" i="51"/>
  <c r="O126" i="51"/>
  <c r="N126" i="51"/>
  <c r="M126" i="51"/>
  <c r="L126" i="51"/>
  <c r="K126" i="51"/>
  <c r="J126" i="51"/>
  <c r="I126" i="51"/>
  <c r="H126" i="51"/>
  <c r="G126" i="51"/>
  <c r="U125" i="51"/>
  <c r="T125" i="51" s="1"/>
  <c r="S125" i="51" s="1"/>
  <c r="R125" i="51" s="1"/>
  <c r="Q125" i="51" s="1"/>
  <c r="P125" i="51" s="1"/>
  <c r="O125" i="51" s="1"/>
  <c r="N125" i="51" s="1"/>
  <c r="M125" i="51" s="1"/>
  <c r="L125" i="51" s="1"/>
  <c r="K125" i="51" s="1"/>
  <c r="J125" i="51" s="1"/>
  <c r="I125" i="51" s="1"/>
  <c r="H125" i="51"/>
  <c r="G125" i="51"/>
  <c r="U124" i="51"/>
  <c r="T124" i="51" s="1"/>
  <c r="S124" i="51" s="1"/>
  <c r="R124" i="51" s="1"/>
  <c r="Q124" i="51" s="1"/>
  <c r="P124" i="51" s="1"/>
  <c r="O124" i="51" s="1"/>
  <c r="N124" i="51" s="1"/>
  <c r="M124" i="51" s="1"/>
  <c r="L124" i="51" s="1"/>
  <c r="K124" i="51" s="1"/>
  <c r="J124" i="51" s="1"/>
  <c r="I124" i="51"/>
  <c r="H124" i="51"/>
  <c r="G124" i="51"/>
  <c r="U123" i="51"/>
  <c r="T123" i="51" s="1"/>
  <c r="S123" i="51" s="1"/>
  <c r="R123" i="51" s="1"/>
  <c r="Q123" i="51" s="1"/>
  <c r="P123" i="51" s="1"/>
  <c r="O123" i="51" s="1"/>
  <c r="N123" i="51" s="1"/>
  <c r="M123" i="51" s="1"/>
  <c r="L123" i="51"/>
  <c r="K123" i="51"/>
  <c r="J123" i="51"/>
  <c r="I123" i="51"/>
  <c r="H123" i="51"/>
  <c r="G123" i="51"/>
  <c r="U122" i="51"/>
  <c r="T122" i="51" s="1"/>
  <c r="S122" i="51" s="1"/>
  <c r="R122" i="51" s="1"/>
  <c r="Q122" i="51" s="1"/>
  <c r="P122" i="51" s="1"/>
  <c r="O122" i="51" s="1"/>
  <c r="N122" i="51" s="1"/>
  <c r="M122" i="51" s="1"/>
  <c r="L122" i="51" s="1"/>
  <c r="K122" i="51" s="1"/>
  <c r="J122" i="51" s="1"/>
  <c r="I122" i="51" s="1"/>
  <c r="H122" i="51" s="1"/>
  <c r="G122" i="51" s="1"/>
  <c r="U121" i="51"/>
  <c r="T121" i="51" s="1"/>
  <c r="S121" i="51" s="1"/>
  <c r="R121" i="51" s="1"/>
  <c r="Q121" i="51" s="1"/>
  <c r="P121" i="51" s="1"/>
  <c r="O121" i="51" s="1"/>
  <c r="N121" i="51" s="1"/>
  <c r="M121" i="51" s="1"/>
  <c r="L121" i="51" s="1"/>
  <c r="K121" i="51" s="1"/>
  <c r="J121" i="51" s="1"/>
  <c r="I121" i="51" s="1"/>
  <c r="H121" i="51" s="1"/>
  <c r="G121" i="51" s="1"/>
  <c r="U120" i="51"/>
  <c r="T120" i="51" s="1"/>
  <c r="S120" i="51" s="1"/>
  <c r="R120" i="51" s="1"/>
  <c r="Q120" i="51"/>
  <c r="P120" i="51" s="1"/>
  <c r="O120" i="51" s="1"/>
  <c r="N120" i="51" s="1"/>
  <c r="M120" i="51" s="1"/>
  <c r="L120" i="51"/>
  <c r="K120" i="51" s="1"/>
  <c r="J120" i="51" s="1"/>
  <c r="I120" i="51" s="1"/>
  <c r="H120" i="51" s="1"/>
  <c r="G120" i="51" s="1"/>
  <c r="U119" i="51"/>
  <c r="T119" i="51"/>
  <c r="S119" i="51"/>
  <c r="R119" i="51"/>
  <c r="Q119" i="51"/>
  <c r="P119" i="51" s="1"/>
  <c r="O119" i="51"/>
  <c r="N119" i="51"/>
  <c r="M119" i="51" s="1"/>
  <c r="L119" i="51"/>
  <c r="K119" i="51" s="1"/>
  <c r="J119" i="51" s="1"/>
  <c r="I119" i="51"/>
  <c r="H119" i="51"/>
  <c r="G119" i="51" s="1"/>
  <c r="U118" i="51"/>
  <c r="T118" i="51" s="1"/>
  <c r="S118" i="51" s="1"/>
  <c r="R118" i="51"/>
  <c r="Q118" i="51"/>
  <c r="P118" i="51" s="1"/>
  <c r="O118" i="51" s="1"/>
  <c r="N118" i="51" s="1"/>
  <c r="M118" i="51"/>
  <c r="L118" i="51" s="1"/>
  <c r="K118" i="51" s="1"/>
  <c r="J118" i="51" s="1"/>
  <c r="I118" i="51"/>
  <c r="H118" i="51" s="1"/>
  <c r="G118" i="51" s="1"/>
  <c r="U117" i="51"/>
  <c r="T117" i="51" s="1"/>
  <c r="S117" i="51" s="1"/>
  <c r="R117" i="51" s="1"/>
  <c r="Q117" i="51" s="1"/>
  <c r="P117" i="51" s="1"/>
  <c r="O117" i="51" s="1"/>
  <c r="N117" i="51" s="1"/>
  <c r="M117" i="51"/>
  <c r="L117" i="51" s="1"/>
  <c r="K117" i="51"/>
  <c r="J117" i="51" s="1"/>
  <c r="I117" i="51"/>
  <c r="H117" i="51" s="1"/>
  <c r="G117" i="51" s="1"/>
  <c r="U116" i="51"/>
  <c r="T116" i="51" s="1"/>
  <c r="S116" i="51" s="1"/>
  <c r="R116" i="51" s="1"/>
  <c r="Q116" i="51" s="1"/>
  <c r="P116" i="51" s="1"/>
  <c r="O116" i="51" s="1"/>
  <c r="N116" i="51" s="1"/>
  <c r="M116" i="51" s="1"/>
  <c r="L116" i="51"/>
  <c r="K116" i="51" s="1"/>
  <c r="J116" i="51"/>
  <c r="I116" i="51"/>
  <c r="H116" i="51" s="1"/>
  <c r="G116" i="51" s="1"/>
  <c r="U115" i="51"/>
  <c r="T115" i="51" s="1"/>
  <c r="S115" i="51" s="1"/>
  <c r="R115" i="51" s="1"/>
  <c r="Q115" i="51" s="1"/>
  <c r="P115" i="51" s="1"/>
  <c r="O115" i="51" s="1"/>
  <c r="N115" i="51" s="1"/>
  <c r="M115" i="51" s="1"/>
  <c r="L115" i="51"/>
  <c r="K115" i="51" s="1"/>
  <c r="J115" i="51"/>
  <c r="I115" i="51" s="1"/>
  <c r="H115" i="51" s="1"/>
  <c r="G115" i="51" s="1"/>
  <c r="U114" i="51"/>
  <c r="T114" i="51" s="1"/>
  <c r="S114" i="51" s="1"/>
  <c r="R114" i="51" s="1"/>
  <c r="Q114" i="51" s="1"/>
  <c r="P114" i="51" s="1"/>
  <c r="O114" i="51"/>
  <c r="N114" i="51"/>
  <c r="M114" i="51"/>
  <c r="L114" i="51"/>
  <c r="K114" i="51"/>
  <c r="J114" i="51" s="1"/>
  <c r="I114" i="51" s="1"/>
  <c r="H114" i="51" s="1"/>
  <c r="G114" i="51" s="1"/>
  <c r="U113" i="51"/>
  <c r="T113" i="51" s="1"/>
  <c r="S113" i="51" s="1"/>
  <c r="R113" i="51" s="1"/>
  <c r="Q113" i="51" s="1"/>
  <c r="P113" i="51" s="1"/>
  <c r="O113" i="51"/>
  <c r="N113" i="51"/>
  <c r="M113" i="51"/>
  <c r="L113" i="51"/>
  <c r="K113" i="51" s="1"/>
  <c r="J113" i="51" s="1"/>
  <c r="I113" i="51" s="1"/>
  <c r="H113" i="51" s="1"/>
  <c r="G113" i="51" s="1"/>
  <c r="U112" i="51"/>
  <c r="T112" i="51" s="1"/>
  <c r="S112" i="51" s="1"/>
  <c r="R112" i="51" s="1"/>
  <c r="Q112" i="51" s="1"/>
  <c r="P112" i="51" s="1"/>
  <c r="O112" i="51" s="1"/>
  <c r="N112" i="51" s="1"/>
  <c r="M112" i="51" s="1"/>
  <c r="L112" i="51" s="1"/>
  <c r="K112" i="51" s="1"/>
  <c r="J112" i="51" s="1"/>
  <c r="I112" i="51" s="1"/>
  <c r="H112" i="51" s="1"/>
  <c r="G112" i="51" s="1"/>
  <c r="U111" i="51"/>
  <c r="T111" i="51" s="1"/>
  <c r="S111" i="51" s="1"/>
  <c r="R111" i="51" s="1"/>
  <c r="Q111" i="51"/>
  <c r="P111" i="51"/>
  <c r="O111" i="51" s="1"/>
  <c r="N111" i="51" s="1"/>
  <c r="M111" i="51"/>
  <c r="L111" i="51"/>
  <c r="K111" i="51" s="1"/>
  <c r="J111" i="51"/>
  <c r="I111" i="51" s="1"/>
  <c r="H111" i="51" s="1"/>
  <c r="G111" i="51" s="1"/>
  <c r="U110" i="51"/>
  <c r="T110" i="51" s="1"/>
  <c r="S110" i="51"/>
  <c r="R110" i="51"/>
  <c r="Q110" i="51"/>
  <c r="P110" i="51"/>
  <c r="O110" i="51"/>
  <c r="N110" i="51"/>
  <c r="M110" i="51"/>
  <c r="L110" i="51"/>
  <c r="K110" i="51" s="1"/>
  <c r="J110" i="51"/>
  <c r="I110" i="51"/>
  <c r="H110" i="51"/>
  <c r="G110" i="51"/>
  <c r="U109" i="51"/>
  <c r="T109" i="51" s="1"/>
  <c r="S109" i="51" s="1"/>
  <c r="R109" i="51" s="1"/>
  <c r="Q109" i="51" s="1"/>
  <c r="P109" i="51" s="1"/>
  <c r="O109" i="51" s="1"/>
  <c r="N109" i="51" s="1"/>
  <c r="M109" i="51" s="1"/>
  <c r="L109" i="51" s="1"/>
  <c r="K109" i="51" s="1"/>
  <c r="J109" i="51" s="1"/>
  <c r="I109" i="51" s="1"/>
  <c r="H109" i="51" s="1"/>
  <c r="G109" i="51" s="1"/>
  <c r="U108" i="51"/>
  <c r="T108" i="51" s="1"/>
  <c r="S108" i="51" s="1"/>
  <c r="R108" i="51" s="1"/>
  <c r="Q108" i="51" s="1"/>
  <c r="P108" i="51" s="1"/>
  <c r="O108" i="51"/>
  <c r="N108" i="51"/>
  <c r="M108" i="51"/>
  <c r="L108" i="51"/>
  <c r="K108" i="51" s="1"/>
  <c r="J108" i="51" s="1"/>
  <c r="I108" i="51"/>
  <c r="H108" i="51"/>
  <c r="G108" i="51"/>
  <c r="U107" i="51"/>
  <c r="T107" i="51"/>
  <c r="S107" i="51"/>
  <c r="R107" i="51"/>
  <c r="Q107" i="51"/>
  <c r="P107" i="51"/>
  <c r="O107" i="51" s="1"/>
  <c r="N107" i="51" s="1"/>
  <c r="M107" i="51" s="1"/>
  <c r="L107" i="51" s="1"/>
  <c r="K107" i="51" s="1"/>
  <c r="J107" i="51" s="1"/>
  <c r="I107" i="51" s="1"/>
  <c r="H107" i="51" s="1"/>
  <c r="G107" i="51" s="1"/>
  <c r="U106" i="51"/>
  <c r="T106" i="51" s="1"/>
  <c r="S106" i="51" s="1"/>
  <c r="R106" i="51" s="1"/>
  <c r="Q106" i="51" s="1"/>
  <c r="P106" i="51"/>
  <c r="O106" i="51"/>
  <c r="N106" i="51"/>
  <c r="M106" i="51"/>
  <c r="L106" i="51"/>
  <c r="K106" i="51"/>
  <c r="J106" i="51"/>
  <c r="I106" i="51"/>
  <c r="H106" i="51"/>
  <c r="G106" i="51"/>
  <c r="U105" i="51"/>
  <c r="T105" i="51" s="1"/>
  <c r="S105" i="51" s="1"/>
  <c r="R105" i="51" s="1"/>
  <c r="Q105" i="51" s="1"/>
  <c r="P105" i="51" s="1"/>
  <c r="O105" i="51" s="1"/>
  <c r="N105" i="51" s="1"/>
  <c r="M105" i="51" s="1"/>
  <c r="L105" i="51" s="1"/>
  <c r="K105" i="51"/>
  <c r="J105" i="51"/>
  <c r="I105" i="51"/>
  <c r="H105" i="51"/>
  <c r="G105" i="51"/>
  <c r="U104" i="51"/>
  <c r="T104" i="51"/>
  <c r="S104" i="51" s="1"/>
  <c r="R104" i="51"/>
  <c r="Q104" i="51"/>
  <c r="P104" i="51"/>
  <c r="O104" i="51"/>
  <c r="N104" i="51"/>
  <c r="M104" i="51"/>
  <c r="L104" i="51"/>
  <c r="K104" i="51" s="1"/>
  <c r="J104" i="51" s="1"/>
  <c r="I104" i="51"/>
  <c r="H104" i="51"/>
  <c r="G104" i="51"/>
  <c r="U103" i="51"/>
  <c r="T103" i="51" s="1"/>
  <c r="S103" i="51" s="1"/>
  <c r="R103" i="51" s="1"/>
  <c r="Q103" i="51" s="1"/>
  <c r="P103" i="51" s="1"/>
  <c r="O103" i="51" s="1"/>
  <c r="N103" i="51"/>
  <c r="M103" i="51"/>
  <c r="L103" i="51"/>
  <c r="K103" i="51"/>
  <c r="J103" i="51"/>
  <c r="I103" i="51"/>
  <c r="H103" i="51" s="1"/>
  <c r="G103" i="51" s="1"/>
  <c r="U102" i="51"/>
  <c r="T102" i="51" s="1"/>
  <c r="S102" i="51" s="1"/>
  <c r="R102" i="51" s="1"/>
  <c r="Q102" i="51" s="1"/>
  <c r="P102" i="51" s="1"/>
  <c r="O102" i="51" s="1"/>
  <c r="N102" i="51" s="1"/>
  <c r="M102" i="51" s="1"/>
  <c r="L102" i="51" s="1"/>
  <c r="K102" i="51" s="1"/>
  <c r="J102" i="51"/>
  <c r="I102" i="51"/>
  <c r="H102" i="51"/>
  <c r="G102" i="51"/>
  <c r="U101" i="51"/>
  <c r="T101" i="51"/>
  <c r="S101" i="51"/>
  <c r="R101" i="51"/>
  <c r="Q101" i="51"/>
  <c r="P101" i="51"/>
  <c r="O101" i="51" s="1"/>
  <c r="N101" i="51"/>
  <c r="M101" i="51"/>
  <c r="L101" i="51"/>
  <c r="K101" i="51" s="1"/>
  <c r="J101" i="51" s="1"/>
  <c r="I101" i="51"/>
  <c r="H101" i="51" s="1"/>
  <c r="G101" i="51" s="1"/>
  <c r="U100" i="51"/>
  <c r="T100" i="51"/>
  <c r="S100" i="51"/>
  <c r="R100" i="51"/>
  <c r="Q100" i="51"/>
  <c r="P100" i="51" s="1"/>
  <c r="O100" i="51" s="1"/>
  <c r="N100" i="51"/>
  <c r="M100" i="51" s="1"/>
  <c r="L100" i="51" s="1"/>
  <c r="K100" i="51" s="1"/>
  <c r="J100" i="51" s="1"/>
  <c r="I100" i="51"/>
  <c r="H100" i="51" s="1"/>
  <c r="G100" i="51"/>
  <c r="U99" i="51"/>
  <c r="T99" i="51"/>
  <c r="S99" i="51"/>
  <c r="R99" i="51"/>
  <c r="Q99" i="51"/>
  <c r="P99" i="51" s="1"/>
  <c r="O99" i="51" s="1"/>
  <c r="N99" i="51" s="1"/>
  <c r="M99" i="51" s="1"/>
  <c r="L99" i="51" s="1"/>
  <c r="K99" i="51" s="1"/>
  <c r="J99" i="51" s="1"/>
  <c r="I99" i="51" s="1"/>
  <c r="H99" i="51" s="1"/>
  <c r="G99" i="51" s="1"/>
  <c r="U98" i="51"/>
  <c r="T98" i="51" s="1"/>
  <c r="S98" i="51"/>
  <c r="R98" i="51"/>
  <c r="Q98" i="51" s="1"/>
  <c r="P98" i="51"/>
  <c r="O98" i="51"/>
  <c r="N98" i="51"/>
  <c r="M98" i="51"/>
  <c r="L98" i="51"/>
  <c r="K98" i="51" s="1"/>
  <c r="J98" i="51" s="1"/>
  <c r="I98" i="51" s="1"/>
  <c r="H98" i="51" s="1"/>
  <c r="G98" i="51" s="1"/>
  <c r="U97" i="51"/>
  <c r="T97" i="51" s="1"/>
  <c r="S97" i="51" s="1"/>
  <c r="R97" i="51"/>
  <c r="Q97" i="51"/>
  <c r="P97" i="51"/>
  <c r="O97" i="51" s="1"/>
  <c r="N97" i="51"/>
  <c r="M97" i="51"/>
  <c r="L97" i="51"/>
  <c r="K97" i="51"/>
  <c r="J97" i="51" s="1"/>
  <c r="I97" i="51"/>
  <c r="H97" i="51"/>
  <c r="G97" i="51" s="1"/>
  <c r="U96" i="51"/>
  <c r="T96" i="51"/>
  <c r="S96" i="51"/>
  <c r="R96" i="51" s="1"/>
  <c r="Q96" i="51" s="1"/>
  <c r="P96" i="51"/>
  <c r="O96" i="51" s="1"/>
  <c r="N96" i="51" s="1"/>
  <c r="M96" i="51" s="1"/>
  <c r="L96" i="51"/>
  <c r="K96" i="51" s="1"/>
  <c r="J96" i="51" s="1"/>
  <c r="I96" i="51" s="1"/>
  <c r="H96" i="51" s="1"/>
  <c r="G96" i="51" s="1"/>
  <c r="U95" i="51"/>
  <c r="T95" i="51" s="1"/>
  <c r="S95" i="51" s="1"/>
  <c r="R95" i="51" s="1"/>
  <c r="Q95" i="51" s="1"/>
  <c r="P95" i="51"/>
  <c r="O95" i="51"/>
  <c r="N95" i="51"/>
  <c r="M95" i="51"/>
  <c r="L95" i="51"/>
  <c r="K95" i="51" s="1"/>
  <c r="J95" i="51"/>
  <c r="I95" i="51"/>
  <c r="H95" i="51"/>
  <c r="G95" i="51"/>
  <c r="U94" i="51"/>
  <c r="T94" i="51" s="1"/>
  <c r="S94" i="51" s="1"/>
  <c r="R94" i="51" s="1"/>
  <c r="Q94" i="51" s="1"/>
  <c r="P94" i="51" s="1"/>
  <c r="O94" i="51" s="1"/>
  <c r="N94" i="51"/>
  <c r="M94" i="51"/>
  <c r="L94" i="51"/>
  <c r="K94" i="51"/>
  <c r="J94" i="51" s="1"/>
  <c r="I94" i="51" s="1"/>
  <c r="H94" i="51" s="1"/>
  <c r="G94" i="51" s="1"/>
  <c r="U93" i="51"/>
  <c r="T93" i="51"/>
  <c r="S93" i="51"/>
  <c r="R93" i="51"/>
  <c r="Q93" i="51"/>
  <c r="P93" i="51"/>
  <c r="O93" i="51"/>
  <c r="N93" i="51"/>
  <c r="M93" i="51"/>
  <c r="L93" i="51"/>
  <c r="K93" i="51"/>
  <c r="J93" i="51" s="1"/>
  <c r="I93" i="51" s="1"/>
  <c r="H93" i="51" s="1"/>
  <c r="G93" i="51" s="1"/>
  <c r="U92" i="51"/>
  <c r="T92" i="51" s="1"/>
  <c r="S92" i="51" s="1"/>
  <c r="R92" i="51" s="1"/>
  <c r="Q92" i="51" s="1"/>
  <c r="P92" i="51" s="1"/>
  <c r="O92" i="51" s="1"/>
  <c r="N92" i="51"/>
  <c r="M92" i="51"/>
  <c r="L92" i="51"/>
  <c r="K92" i="51"/>
  <c r="J92" i="51"/>
  <c r="I92" i="51"/>
  <c r="H92" i="51"/>
  <c r="G92" i="51"/>
  <c r="U91" i="51"/>
  <c r="T91" i="51"/>
  <c r="S91" i="51"/>
  <c r="R91" i="51"/>
  <c r="Q91" i="51"/>
  <c r="P91" i="51"/>
  <c r="O91" i="51"/>
  <c r="N91" i="51"/>
  <c r="M91" i="51"/>
  <c r="L91" i="51"/>
  <c r="K91" i="51" s="1"/>
  <c r="J91" i="51" s="1"/>
  <c r="I91" i="51"/>
  <c r="H91" i="51"/>
  <c r="G91" i="51"/>
  <c r="U90" i="51"/>
  <c r="T90" i="51"/>
  <c r="S90" i="51"/>
  <c r="R90" i="51"/>
  <c r="Q90" i="51"/>
  <c r="P90" i="51"/>
  <c r="O90" i="51"/>
  <c r="N90" i="51"/>
  <c r="M90" i="51"/>
  <c r="L90" i="51"/>
  <c r="K90" i="51" s="1"/>
  <c r="J90" i="51"/>
  <c r="I90" i="51"/>
  <c r="H90" i="51"/>
  <c r="G90" i="51"/>
  <c r="U89" i="51"/>
  <c r="T89" i="51" s="1"/>
  <c r="S89" i="51" s="1"/>
  <c r="R89" i="51"/>
  <c r="Q89" i="51" s="1"/>
  <c r="P89" i="51" s="1"/>
  <c r="O89" i="51" s="1"/>
  <c r="N89" i="51" s="1"/>
  <c r="M89" i="51" s="1"/>
  <c r="L89" i="51" s="1"/>
  <c r="K89" i="51" s="1"/>
  <c r="J89" i="51" s="1"/>
  <c r="I89" i="51" s="1"/>
  <c r="H89" i="51" s="1"/>
  <c r="G89" i="51" s="1"/>
  <c r="U88" i="51"/>
  <c r="T88" i="51" s="1"/>
  <c r="S88" i="51" s="1"/>
  <c r="R88" i="51" s="1"/>
  <c r="Q88" i="51" s="1"/>
  <c r="P88" i="51" s="1"/>
  <c r="O88" i="51" s="1"/>
  <c r="N88" i="51" s="1"/>
  <c r="M88" i="51" s="1"/>
  <c r="L88" i="51" s="1"/>
  <c r="K88" i="51" s="1"/>
  <c r="J88" i="51" s="1"/>
  <c r="I88" i="51" s="1"/>
  <c r="H88" i="51" s="1"/>
  <c r="G88" i="51"/>
  <c r="U87" i="51"/>
  <c r="T87" i="51" s="1"/>
  <c r="S87" i="51"/>
  <c r="R87" i="51"/>
  <c r="Q87" i="51"/>
  <c r="P87" i="51"/>
  <c r="O87" i="51"/>
  <c r="N87" i="51"/>
  <c r="M87" i="51"/>
  <c r="L87" i="51"/>
  <c r="K87" i="51" s="1"/>
  <c r="J87" i="51" s="1"/>
  <c r="I87" i="51"/>
  <c r="H87" i="51" s="1"/>
  <c r="G87" i="51" s="1"/>
  <c r="U86" i="51"/>
  <c r="T86" i="51" s="1"/>
  <c r="S86" i="51" s="1"/>
  <c r="R86" i="51" s="1"/>
  <c r="Q86" i="51" s="1"/>
  <c r="P86" i="51" s="1"/>
  <c r="O86" i="51"/>
  <c r="N86" i="51"/>
  <c r="M86" i="51"/>
  <c r="L86" i="51"/>
  <c r="K86" i="51" s="1"/>
  <c r="J86" i="51" s="1"/>
  <c r="I86" i="51"/>
  <c r="H86" i="51"/>
  <c r="G86" i="51"/>
  <c r="U85" i="51"/>
  <c r="T85" i="51" s="1"/>
  <c r="S85" i="51" s="1"/>
  <c r="R85" i="51" s="1"/>
  <c r="Q85" i="51" s="1"/>
  <c r="P85" i="51" s="1"/>
  <c r="O85" i="51" s="1"/>
  <c r="N85" i="51" s="1"/>
  <c r="M85" i="51" s="1"/>
  <c r="L85" i="51" s="1"/>
  <c r="K85" i="51" s="1"/>
  <c r="J85" i="51" s="1"/>
  <c r="I85" i="51" s="1"/>
  <c r="H85" i="51"/>
  <c r="G85" i="51"/>
  <c r="U84" i="51"/>
  <c r="T84" i="51" s="1"/>
  <c r="S84" i="51"/>
  <c r="R84" i="51" s="1"/>
  <c r="Q84" i="51" s="1"/>
  <c r="P84" i="51" s="1"/>
  <c r="O84" i="51" s="1"/>
  <c r="N84" i="51" s="1"/>
  <c r="M84" i="51" s="1"/>
  <c r="L84" i="51"/>
  <c r="K84" i="51"/>
  <c r="J84" i="51" s="1"/>
  <c r="I84" i="51"/>
  <c r="H84" i="51" s="1"/>
  <c r="G84" i="51" s="1"/>
  <c r="U83" i="51"/>
  <c r="T83" i="51" s="1"/>
  <c r="S83" i="51" s="1"/>
  <c r="R83" i="51" s="1"/>
  <c r="Q83" i="51" s="1"/>
  <c r="P83" i="51" s="1"/>
  <c r="O83" i="51" s="1"/>
  <c r="N83" i="51" s="1"/>
  <c r="M83" i="51" s="1"/>
  <c r="L83" i="51" s="1"/>
  <c r="K83" i="51" s="1"/>
  <c r="J83" i="51"/>
  <c r="I83" i="51"/>
  <c r="H83" i="51"/>
  <c r="G83" i="51"/>
  <c r="U82" i="51"/>
  <c r="T82" i="51"/>
  <c r="S82" i="51"/>
  <c r="R82" i="51"/>
  <c r="Q82" i="51"/>
  <c r="P82" i="51"/>
  <c r="O82" i="51"/>
  <c r="N82" i="51"/>
  <c r="M82" i="51" s="1"/>
  <c r="L82" i="51"/>
  <c r="K82" i="51"/>
  <c r="J82" i="51" s="1"/>
  <c r="I82" i="51" s="1"/>
  <c r="H82" i="51" s="1"/>
  <c r="G82" i="51" s="1"/>
  <c r="U81" i="51"/>
  <c r="T81" i="51" s="1"/>
  <c r="S81" i="51" s="1"/>
  <c r="R81" i="51" s="1"/>
  <c r="Q81" i="51" s="1"/>
  <c r="P81" i="51" s="1"/>
  <c r="O81" i="51" s="1"/>
  <c r="N81" i="51" s="1"/>
  <c r="M81" i="51" s="1"/>
  <c r="L81" i="51" s="1"/>
  <c r="K81" i="51"/>
  <c r="J81" i="51"/>
  <c r="I81" i="51"/>
  <c r="H81" i="51"/>
  <c r="G81" i="51"/>
  <c r="U80" i="51"/>
  <c r="T80" i="51" s="1"/>
  <c r="S80" i="51" s="1"/>
  <c r="R80" i="51" s="1"/>
  <c r="Q80" i="51" s="1"/>
  <c r="P80" i="51" s="1"/>
  <c r="O80" i="51"/>
  <c r="N80" i="51"/>
  <c r="M80" i="51"/>
  <c r="L80" i="51"/>
  <c r="K80" i="51" s="1"/>
  <c r="J80" i="51" s="1"/>
  <c r="I80" i="51"/>
  <c r="H80" i="51"/>
  <c r="G80" i="51"/>
  <c r="U79" i="51"/>
  <c r="T79" i="51" s="1"/>
  <c r="S79" i="51" s="1"/>
  <c r="R79" i="51" s="1"/>
  <c r="Q79" i="51" s="1"/>
  <c r="P79" i="51" s="1"/>
  <c r="O79" i="51" s="1"/>
  <c r="N79" i="51" s="1"/>
  <c r="M79" i="51" s="1"/>
  <c r="L79" i="51" s="1"/>
  <c r="K79" i="51" s="1"/>
  <c r="J79" i="51" s="1"/>
  <c r="I79" i="51" s="1"/>
  <c r="H79" i="51" s="1"/>
  <c r="G79" i="51" s="1"/>
  <c r="U78" i="51"/>
  <c r="T78" i="51" s="1"/>
  <c r="S78" i="51" s="1"/>
  <c r="R78" i="51" s="1"/>
  <c r="Q78" i="51" s="1"/>
  <c r="P78" i="51" s="1"/>
  <c r="O78" i="51" s="1"/>
  <c r="N78" i="51" s="1"/>
  <c r="M78" i="51" s="1"/>
  <c r="L78" i="51" s="1"/>
  <c r="K78" i="51" s="1"/>
  <c r="J78" i="51" s="1"/>
  <c r="I78" i="51" s="1"/>
  <c r="H78" i="51" s="1"/>
  <c r="G78" i="51" s="1"/>
  <c r="U77" i="51"/>
  <c r="T77" i="51" s="1"/>
  <c r="S77" i="51" s="1"/>
  <c r="R77" i="51" s="1"/>
  <c r="Q77" i="51" s="1"/>
  <c r="P77" i="51" s="1"/>
  <c r="O77" i="51" s="1"/>
  <c r="N77" i="51" s="1"/>
  <c r="M77" i="51" s="1"/>
  <c r="L77" i="51" s="1"/>
  <c r="K77" i="51" s="1"/>
  <c r="J77" i="51"/>
  <c r="I77" i="51"/>
  <c r="H77" i="51"/>
  <c r="G77" i="51"/>
  <c r="U76" i="51"/>
  <c r="T76" i="51" s="1"/>
  <c r="S76" i="51" s="1"/>
  <c r="R76" i="51" s="1"/>
  <c r="Q76" i="51" s="1"/>
  <c r="P76" i="51" s="1"/>
  <c r="O76" i="51" s="1"/>
  <c r="N76" i="51" s="1"/>
  <c r="M76" i="51" s="1"/>
  <c r="L76" i="51" s="1"/>
  <c r="K76" i="51" s="1"/>
  <c r="J76" i="51"/>
  <c r="I76" i="51"/>
  <c r="H76" i="51"/>
  <c r="G76" i="51" s="1"/>
  <c r="U75" i="51"/>
  <c r="T75" i="51" s="1"/>
  <c r="S75" i="51" s="1"/>
  <c r="R75" i="51" s="1"/>
  <c r="Q75" i="51" s="1"/>
  <c r="P75" i="51" s="1"/>
  <c r="O75" i="51" s="1"/>
  <c r="N75" i="51" s="1"/>
  <c r="M75" i="51" s="1"/>
  <c r="L75" i="51"/>
  <c r="K75" i="51"/>
  <c r="J75" i="51"/>
  <c r="I75" i="51"/>
  <c r="H75" i="51"/>
  <c r="G75" i="51"/>
  <c r="U74" i="51"/>
  <c r="T74" i="51"/>
  <c r="S74" i="51"/>
  <c r="R74" i="51" s="1"/>
  <c r="Q74" i="51"/>
  <c r="P74" i="51"/>
  <c r="O74" i="51"/>
  <c r="N74" i="51"/>
  <c r="M74" i="51"/>
  <c r="L74" i="51"/>
  <c r="K74" i="51"/>
  <c r="J74" i="51"/>
  <c r="I74" i="51"/>
  <c r="H74" i="51"/>
  <c r="G74" i="51"/>
  <c r="U73" i="51"/>
  <c r="T73" i="51"/>
  <c r="S73" i="51"/>
  <c r="R73" i="51"/>
  <c r="Q73" i="51"/>
  <c r="P73" i="51"/>
  <c r="O73" i="51"/>
  <c r="N73" i="51"/>
  <c r="M73" i="51"/>
  <c r="L73" i="51"/>
  <c r="K73" i="51"/>
  <c r="J73" i="51"/>
  <c r="I73" i="51"/>
  <c r="H73" i="51"/>
  <c r="G73" i="51"/>
  <c r="U72" i="51"/>
  <c r="T72" i="51"/>
  <c r="S72" i="51"/>
  <c r="R72" i="51"/>
  <c r="Q72" i="51"/>
  <c r="P72" i="51"/>
  <c r="O72" i="51"/>
  <c r="N72" i="51"/>
  <c r="M72" i="51"/>
  <c r="L72" i="51" s="1"/>
  <c r="K72" i="51" s="1"/>
  <c r="J72" i="51"/>
  <c r="I72" i="51"/>
  <c r="H72" i="51"/>
  <c r="G72" i="51" s="1"/>
  <c r="U71" i="51"/>
  <c r="T71" i="51" s="1"/>
  <c r="S71" i="51" s="1"/>
  <c r="R71" i="51" s="1"/>
  <c r="Q71" i="51" s="1"/>
  <c r="P71" i="51"/>
  <c r="O71" i="51"/>
  <c r="N71" i="51"/>
  <c r="M71" i="51"/>
  <c r="L71" i="51"/>
  <c r="K71" i="51"/>
  <c r="J71" i="51"/>
  <c r="I71" i="51"/>
  <c r="H71" i="51"/>
  <c r="G71" i="51"/>
  <c r="U70" i="51"/>
  <c r="T70" i="51" s="1"/>
  <c r="S70" i="51" s="1"/>
  <c r="R70" i="51"/>
  <c r="Q70" i="51"/>
  <c r="P70" i="51"/>
  <c r="O70" i="51"/>
  <c r="N70" i="51"/>
  <c r="M70" i="51"/>
  <c r="L70" i="51"/>
  <c r="K70" i="51"/>
  <c r="J70" i="51" s="1"/>
  <c r="I70" i="51"/>
  <c r="H70" i="51"/>
  <c r="G70" i="51"/>
  <c r="U69" i="51"/>
  <c r="T69" i="51" s="1"/>
  <c r="S69" i="51" s="1"/>
  <c r="R69" i="51" s="1"/>
  <c r="Q69" i="51" s="1"/>
  <c r="P69" i="51" s="1"/>
  <c r="O69" i="51" s="1"/>
  <c r="N69" i="51" s="1"/>
  <c r="M69" i="51"/>
  <c r="L69" i="51"/>
  <c r="K69" i="51"/>
  <c r="J69" i="51"/>
  <c r="I69" i="51"/>
  <c r="H69" i="51"/>
  <c r="G69" i="51"/>
  <c r="U68" i="51"/>
  <c r="T68" i="51" s="1"/>
  <c r="S68" i="51" s="1"/>
  <c r="R68" i="51"/>
  <c r="Q68" i="51"/>
  <c r="P68" i="51"/>
  <c r="O68" i="51"/>
  <c r="N68" i="51"/>
  <c r="M68" i="51"/>
  <c r="L68" i="51"/>
  <c r="K68" i="51"/>
  <c r="J68" i="51" s="1"/>
  <c r="I68" i="51"/>
  <c r="H68" i="51"/>
  <c r="G68" i="51"/>
  <c r="U67" i="51"/>
  <c r="T67" i="51" s="1"/>
  <c r="S67" i="51" s="1"/>
  <c r="R67" i="51" s="1"/>
  <c r="Q67" i="51" s="1"/>
  <c r="P67" i="51" s="1"/>
  <c r="O67" i="51"/>
  <c r="N67" i="51" s="1"/>
  <c r="M67" i="51"/>
  <c r="L67" i="51"/>
  <c r="K67" i="51"/>
  <c r="J67" i="51"/>
  <c r="I67" i="51"/>
  <c r="H67" i="51" s="1"/>
  <c r="G67" i="51" s="1"/>
  <c r="U66" i="51"/>
  <c r="T66" i="51" s="1"/>
  <c r="S66" i="51" s="1"/>
  <c r="R66" i="51" s="1"/>
  <c r="Q66" i="51" s="1"/>
  <c r="P66" i="51" s="1"/>
  <c r="O66" i="51" s="1"/>
  <c r="N66" i="51" s="1"/>
  <c r="M66" i="51" s="1"/>
  <c r="L66" i="51"/>
  <c r="K66" i="51"/>
  <c r="J66" i="51"/>
  <c r="I66" i="51"/>
  <c r="H66" i="51"/>
  <c r="G66" i="51" s="1"/>
  <c r="U65" i="51"/>
  <c r="T65" i="51" s="1"/>
  <c r="S65" i="51" s="1"/>
  <c r="R65" i="51" s="1"/>
  <c r="Q65" i="51" s="1"/>
  <c r="P65" i="51" s="1"/>
  <c r="O65" i="51"/>
  <c r="N65" i="51"/>
  <c r="M65" i="51"/>
  <c r="L65" i="51"/>
  <c r="K65" i="51"/>
  <c r="J65" i="51"/>
  <c r="I65" i="51"/>
  <c r="H65" i="51"/>
  <c r="G65" i="51"/>
  <c r="U64" i="51"/>
  <c r="T64" i="51" s="1"/>
  <c r="S64" i="51" s="1"/>
  <c r="R64" i="51" s="1"/>
  <c r="Q64" i="51"/>
  <c r="P64" i="51"/>
  <c r="O64" i="51"/>
  <c r="N64" i="51"/>
  <c r="M64" i="51"/>
  <c r="L64" i="51"/>
  <c r="K64" i="51"/>
  <c r="J64" i="51"/>
  <c r="I64" i="51"/>
  <c r="H64" i="51"/>
  <c r="G64" i="51"/>
  <c r="U63" i="51"/>
  <c r="T63" i="51" s="1"/>
  <c r="S63" i="51" s="1"/>
  <c r="R63" i="51" s="1"/>
  <c r="Q63" i="51" s="1"/>
  <c r="P63" i="51"/>
  <c r="O63" i="51"/>
  <c r="N63" i="51"/>
  <c r="M63" i="51"/>
  <c r="L63" i="51"/>
  <c r="K63" i="51"/>
  <c r="J63" i="51"/>
  <c r="I63" i="51"/>
  <c r="H63" i="51"/>
  <c r="G63" i="51"/>
  <c r="U62" i="51"/>
  <c r="T62" i="51"/>
  <c r="S62" i="51"/>
  <c r="R62" i="51"/>
  <c r="Q62" i="51"/>
  <c r="P62" i="51"/>
  <c r="O62" i="51"/>
  <c r="N62" i="51"/>
  <c r="M62" i="51"/>
  <c r="L62" i="51"/>
  <c r="K62" i="51"/>
  <c r="J62" i="51"/>
  <c r="I62" i="51"/>
  <c r="H62" i="51"/>
  <c r="G62" i="51"/>
  <c r="U61" i="51"/>
  <c r="T61" i="51" s="1"/>
  <c r="S61" i="51" s="1"/>
  <c r="R61" i="51" s="1"/>
  <c r="Q61" i="51" s="1"/>
  <c r="P61" i="51"/>
  <c r="O61" i="51"/>
  <c r="N61" i="51"/>
  <c r="M61" i="51"/>
  <c r="L61" i="51" s="1"/>
  <c r="K61" i="51" s="1"/>
  <c r="J61" i="51" s="1"/>
  <c r="I61" i="51" s="1"/>
  <c r="H61" i="51" s="1"/>
  <c r="G61" i="51" s="1"/>
  <c r="U60" i="51"/>
  <c r="T60" i="51" s="1"/>
  <c r="S60" i="51" s="1"/>
  <c r="R60" i="51" s="1"/>
  <c r="Q60" i="51" s="1"/>
  <c r="P60" i="51" s="1"/>
  <c r="O60" i="51" s="1"/>
  <c r="N60" i="51" s="1"/>
  <c r="M60" i="51" s="1"/>
  <c r="L60" i="51" s="1"/>
  <c r="K60" i="51" s="1"/>
  <c r="J60" i="51"/>
  <c r="I60" i="51"/>
  <c r="H60" i="51"/>
  <c r="G60" i="51"/>
  <c r="U59" i="51"/>
  <c r="T59" i="51" s="1"/>
  <c r="S59" i="51" s="1"/>
  <c r="R59" i="51" s="1"/>
  <c r="Q59" i="51"/>
  <c r="P59" i="51"/>
  <c r="O59" i="51"/>
  <c r="N59" i="51"/>
  <c r="M59" i="51"/>
  <c r="L59" i="51"/>
  <c r="K59" i="51"/>
  <c r="J59" i="51"/>
  <c r="I59" i="51"/>
  <c r="H59" i="51"/>
  <c r="G59" i="51"/>
  <c r="U58" i="51"/>
  <c r="T58" i="51" s="1"/>
  <c r="S58" i="51" s="1"/>
  <c r="R58" i="51" s="1"/>
  <c r="Q58" i="51" s="1"/>
  <c r="P58" i="51" s="1"/>
  <c r="O58" i="51" s="1"/>
  <c r="N58" i="51" s="1"/>
  <c r="M58" i="51" s="1"/>
  <c r="L58" i="51" s="1"/>
  <c r="K58" i="51" s="1"/>
  <c r="J58" i="51" s="1"/>
  <c r="I58" i="51"/>
  <c r="H58" i="51"/>
  <c r="G58" i="51"/>
  <c r="U57" i="51"/>
  <c r="T57" i="51" s="1"/>
  <c r="S57" i="51" s="1"/>
  <c r="R57" i="51" s="1"/>
  <c r="Q57" i="51" s="1"/>
  <c r="P57" i="51" s="1"/>
  <c r="O57" i="51" s="1"/>
  <c r="N57" i="51" s="1"/>
  <c r="M57" i="51" s="1"/>
  <c r="L57" i="51" s="1"/>
  <c r="K57" i="51" s="1"/>
  <c r="J57" i="51" s="1"/>
  <c r="I57" i="51"/>
  <c r="H57" i="51"/>
  <c r="G57" i="51"/>
  <c r="U56" i="51"/>
  <c r="T56" i="51"/>
  <c r="S56" i="51"/>
  <c r="R56" i="51"/>
  <c r="Q56" i="51"/>
  <c r="P56" i="51"/>
  <c r="O56" i="51"/>
  <c r="N56" i="51"/>
  <c r="M56" i="51"/>
  <c r="L56" i="51"/>
  <c r="K56" i="51"/>
  <c r="J56" i="51"/>
  <c r="I56" i="51"/>
  <c r="H56" i="51"/>
  <c r="G56" i="51" s="1"/>
  <c r="U55" i="51"/>
  <c r="T55" i="51"/>
  <c r="S55" i="51"/>
  <c r="R55" i="51"/>
  <c r="Q55" i="51"/>
  <c r="P55" i="51"/>
  <c r="O55" i="51"/>
  <c r="N55" i="51"/>
  <c r="M55" i="51"/>
  <c r="L55" i="51"/>
  <c r="K55" i="51"/>
  <c r="J55" i="51"/>
  <c r="I55" i="51"/>
  <c r="H55" i="51"/>
  <c r="G55" i="51"/>
  <c r="U54" i="51"/>
  <c r="T54" i="51" s="1"/>
  <c r="S54" i="51"/>
  <c r="R54" i="51"/>
  <c r="Q54" i="51" s="1"/>
  <c r="P54" i="51"/>
  <c r="O54" i="51" s="1"/>
  <c r="N54" i="51"/>
  <c r="M54" i="51"/>
  <c r="L54" i="51"/>
  <c r="K54" i="51"/>
  <c r="J54" i="51"/>
  <c r="I54" i="51"/>
  <c r="H54" i="51" s="1"/>
  <c r="G54" i="51" s="1"/>
  <c r="U53" i="51"/>
  <c r="T53" i="51" s="1"/>
  <c r="S53" i="51" s="1"/>
  <c r="R53" i="51" s="1"/>
  <c r="Q53" i="51" s="1"/>
  <c r="P53" i="51" s="1"/>
  <c r="O53" i="51" s="1"/>
  <c r="N53" i="51" s="1"/>
  <c r="M53" i="51" s="1"/>
  <c r="L53" i="51" s="1"/>
  <c r="K53" i="51"/>
  <c r="J53" i="51"/>
  <c r="I53" i="51"/>
  <c r="H53" i="51"/>
  <c r="G53" i="51"/>
  <c r="U52" i="51"/>
  <c r="T52" i="51" s="1"/>
  <c r="S52" i="51" s="1"/>
  <c r="R52" i="51" s="1"/>
  <c r="Q52" i="51" s="1"/>
  <c r="P52" i="51" s="1"/>
  <c r="O52" i="51" s="1"/>
  <c r="N52" i="51" s="1"/>
  <c r="M52" i="51"/>
  <c r="L52" i="51"/>
  <c r="K52" i="51"/>
  <c r="J52" i="51"/>
  <c r="I52" i="51"/>
  <c r="H52" i="51" s="1"/>
  <c r="G52" i="51"/>
  <c r="U51" i="51"/>
  <c r="T51" i="51" s="1"/>
  <c r="S51" i="51" s="1"/>
  <c r="R51" i="51" s="1"/>
  <c r="Q51" i="51" s="1"/>
  <c r="P51" i="51" s="1"/>
  <c r="O51" i="51"/>
  <c r="N51" i="51"/>
  <c r="M51" i="51"/>
  <c r="L51" i="51"/>
  <c r="K51" i="51"/>
  <c r="J51" i="51"/>
  <c r="I51" i="51"/>
  <c r="H51" i="51"/>
  <c r="G51" i="51" s="1"/>
  <c r="U50" i="51"/>
  <c r="T50" i="51"/>
  <c r="S50" i="51" s="1"/>
  <c r="R50" i="51"/>
  <c r="Q50" i="51"/>
  <c r="P50" i="51"/>
  <c r="O50" i="51"/>
  <c r="N50" i="51"/>
  <c r="M50" i="51"/>
  <c r="L50" i="51"/>
  <c r="K50" i="51" s="1"/>
  <c r="J50" i="51"/>
  <c r="I50" i="51"/>
  <c r="H50" i="51"/>
  <c r="G50" i="51" s="1"/>
  <c r="U49" i="51"/>
  <c r="T49" i="51" s="1"/>
  <c r="S49" i="51" s="1"/>
  <c r="R49" i="51" s="1"/>
  <c r="Q49" i="51" s="1"/>
  <c r="P49" i="51"/>
  <c r="O49" i="51"/>
  <c r="N49" i="51"/>
  <c r="M49" i="51"/>
  <c r="L49" i="51"/>
  <c r="K49" i="51" s="1"/>
  <c r="J49" i="51"/>
  <c r="I49" i="51"/>
  <c r="H49" i="51"/>
  <c r="G49" i="51" s="1"/>
  <c r="U48" i="51"/>
  <c r="T48" i="51" s="1"/>
  <c r="S48" i="51" s="1"/>
  <c r="R48" i="51" s="1"/>
  <c r="Q48" i="51"/>
  <c r="P48" i="51"/>
  <c r="O48" i="51"/>
  <c r="N48" i="51"/>
  <c r="M48" i="51"/>
  <c r="L48" i="51"/>
  <c r="K48" i="51"/>
  <c r="J48" i="51"/>
  <c r="I48" i="51"/>
  <c r="H48" i="51"/>
  <c r="G48" i="51"/>
  <c r="U47" i="51"/>
  <c r="T47" i="51" s="1"/>
  <c r="S47" i="51" s="1"/>
  <c r="R47" i="51" s="1"/>
  <c r="Q47" i="51" s="1"/>
  <c r="P47" i="51" s="1"/>
  <c r="O47" i="51" s="1"/>
  <c r="N47" i="51" s="1"/>
  <c r="M47" i="51" s="1"/>
  <c r="L47" i="51" s="1"/>
  <c r="K47" i="51" s="1"/>
  <c r="J47" i="51"/>
  <c r="I47" i="51"/>
  <c r="H47" i="51"/>
  <c r="G47" i="51"/>
  <c r="U46" i="51"/>
  <c r="T46" i="51"/>
  <c r="S46" i="51"/>
  <c r="R46" i="51"/>
  <c r="Q46" i="51"/>
  <c r="P46" i="51"/>
  <c r="O46" i="51"/>
  <c r="N46" i="51"/>
  <c r="M46" i="51"/>
  <c r="L46" i="51"/>
  <c r="K46" i="51" s="1"/>
  <c r="J46" i="51" s="1"/>
  <c r="I46" i="51"/>
  <c r="H46" i="51"/>
  <c r="G46" i="51" s="1"/>
  <c r="U45" i="51"/>
  <c r="T45" i="51" s="1"/>
  <c r="S45" i="51" s="1"/>
  <c r="R45" i="51" s="1"/>
  <c r="Q45" i="51" s="1"/>
  <c r="P45" i="51" s="1"/>
  <c r="O45" i="51" s="1"/>
  <c r="N45" i="51" s="1"/>
  <c r="M45" i="51" s="1"/>
  <c r="L45" i="51" s="1"/>
  <c r="K45" i="51" s="1"/>
  <c r="J45" i="51"/>
  <c r="I45" i="51"/>
  <c r="H45" i="51"/>
  <c r="G45" i="51"/>
  <c r="U44" i="51"/>
  <c r="T44" i="51"/>
  <c r="S44" i="51"/>
  <c r="R44" i="51"/>
  <c r="Q44" i="51"/>
  <c r="P44" i="51"/>
  <c r="O44" i="51"/>
  <c r="N44" i="51"/>
  <c r="M44" i="51"/>
  <c r="L44" i="51"/>
  <c r="K44" i="51"/>
  <c r="J44" i="51" s="1"/>
  <c r="I44" i="51" s="1"/>
  <c r="H44" i="51" s="1"/>
  <c r="G44" i="51" s="1"/>
  <c r="U43" i="51"/>
  <c r="T43" i="51" s="1"/>
  <c r="S43" i="51" s="1"/>
  <c r="R43" i="51" s="1"/>
  <c r="Q43" i="51" s="1"/>
  <c r="P43" i="51" s="1"/>
  <c r="O43" i="51" s="1"/>
  <c r="N43" i="51"/>
  <c r="M43" i="51"/>
  <c r="L43" i="51"/>
  <c r="K43" i="51"/>
  <c r="J43" i="51" s="1"/>
  <c r="I43" i="51" s="1"/>
  <c r="H43" i="51" s="1"/>
  <c r="G43" i="51" s="1"/>
  <c r="U42" i="51"/>
  <c r="T42" i="51"/>
  <c r="S42" i="51"/>
  <c r="R42" i="51"/>
  <c r="Q42" i="51"/>
  <c r="P42" i="51"/>
  <c r="O42" i="51"/>
  <c r="N42" i="51"/>
  <c r="M42" i="51"/>
  <c r="L42" i="51"/>
  <c r="K42" i="51"/>
  <c r="J42" i="51"/>
  <c r="I42" i="51"/>
  <c r="H42" i="51"/>
  <c r="G42" i="51"/>
  <c r="U41" i="51"/>
  <c r="T41" i="51" s="1"/>
  <c r="S41" i="51"/>
  <c r="R41" i="51" s="1"/>
  <c r="Q41" i="51" s="1"/>
  <c r="P41" i="51" s="1"/>
  <c r="O41" i="51"/>
  <c r="N41" i="51" s="1"/>
  <c r="M41" i="51"/>
  <c r="L41" i="51"/>
  <c r="K41" i="51" s="1"/>
  <c r="J41" i="51" s="1"/>
  <c r="I41" i="51" s="1"/>
  <c r="H41" i="51" s="1"/>
  <c r="G41" i="51" s="1"/>
  <c r="U40" i="51"/>
  <c r="T40" i="51" s="1"/>
  <c r="S40" i="51" s="1"/>
  <c r="R40" i="51" s="1"/>
  <c r="Q40" i="51" s="1"/>
  <c r="P40" i="51" s="1"/>
  <c r="O40" i="51" s="1"/>
  <c r="N40" i="51" s="1"/>
  <c r="M40" i="51" s="1"/>
  <c r="L40" i="51" s="1"/>
  <c r="K40" i="51" s="1"/>
  <c r="J40" i="51" s="1"/>
  <c r="I40" i="51"/>
  <c r="H40" i="51"/>
  <c r="G40" i="51"/>
  <c r="U39" i="51"/>
  <c r="T39" i="51" s="1"/>
  <c r="S39" i="51"/>
  <c r="R39" i="51"/>
  <c r="Q39" i="51" s="1"/>
  <c r="P39" i="51" s="1"/>
  <c r="O39" i="51"/>
  <c r="N39" i="51"/>
  <c r="M39" i="51"/>
  <c r="L39" i="51"/>
  <c r="K39" i="51" s="1"/>
  <c r="J39" i="51" s="1"/>
  <c r="I39" i="51" s="1"/>
  <c r="H39" i="51" s="1"/>
  <c r="G39" i="51" s="1"/>
  <c r="U38" i="51"/>
  <c r="T38" i="51" s="1"/>
  <c r="S38" i="51" s="1"/>
  <c r="R38" i="51"/>
  <c r="Q38" i="51"/>
  <c r="P38" i="51"/>
  <c r="O38" i="51"/>
  <c r="N38" i="51"/>
  <c r="M38" i="51"/>
  <c r="L38" i="51"/>
  <c r="K38" i="51"/>
  <c r="J38" i="51"/>
  <c r="I38" i="51"/>
  <c r="H38" i="51"/>
  <c r="G38" i="51" s="1"/>
  <c r="U37" i="51"/>
  <c r="T37" i="51"/>
  <c r="S37" i="51"/>
  <c r="R37" i="51"/>
  <c r="Q37" i="51"/>
  <c r="P37" i="51"/>
  <c r="O37" i="51"/>
  <c r="N37" i="51"/>
  <c r="M37" i="51"/>
  <c r="L37" i="51"/>
  <c r="K37" i="51" s="1"/>
  <c r="J37" i="51"/>
  <c r="I37" i="51"/>
  <c r="H37" i="51"/>
  <c r="G37" i="51"/>
  <c r="U36" i="51"/>
  <c r="T36" i="51"/>
  <c r="S36" i="51"/>
  <c r="R36" i="51"/>
  <c r="Q36" i="51"/>
  <c r="P36" i="51"/>
  <c r="O36" i="51"/>
  <c r="N36" i="51"/>
  <c r="M36" i="51"/>
  <c r="L36" i="51"/>
  <c r="K36" i="51"/>
  <c r="J36" i="51"/>
  <c r="I36" i="51"/>
  <c r="H36" i="51"/>
  <c r="G36" i="51"/>
  <c r="U35" i="51"/>
  <c r="T35" i="51" s="1"/>
  <c r="S35" i="51" s="1"/>
  <c r="R35" i="51" s="1"/>
  <c r="Q35" i="51" s="1"/>
  <c r="P35" i="51" s="1"/>
  <c r="O35" i="51" s="1"/>
  <c r="N35" i="51" s="1"/>
  <c r="M35" i="51" s="1"/>
  <c r="L35" i="51" s="1"/>
  <c r="K35" i="51" s="1"/>
  <c r="J35" i="51" s="1"/>
  <c r="I35" i="51" s="1"/>
  <c r="H35" i="51"/>
  <c r="G35" i="51"/>
  <c r="U34" i="51"/>
  <c r="T34" i="51" s="1"/>
  <c r="S34" i="51" s="1"/>
  <c r="R34" i="51" s="1"/>
  <c r="Q34" i="51" s="1"/>
  <c r="P34" i="51" s="1"/>
  <c r="O34" i="51"/>
  <c r="N34" i="51"/>
  <c r="M34" i="51"/>
  <c r="L34" i="51"/>
  <c r="K34" i="51"/>
  <c r="J34" i="51"/>
  <c r="I34" i="51"/>
  <c r="H34" i="51" s="1"/>
  <c r="G34" i="51"/>
  <c r="U33" i="51"/>
  <c r="T33" i="51"/>
  <c r="S33" i="51"/>
  <c r="R33" i="51" s="1"/>
  <c r="Q33" i="51" s="1"/>
  <c r="P33" i="51" s="1"/>
  <c r="O33" i="51" s="1"/>
  <c r="N33" i="51" s="1"/>
  <c r="M33" i="51" s="1"/>
  <c r="L33" i="51" s="1"/>
  <c r="K33" i="51" s="1"/>
  <c r="J33" i="51" s="1"/>
  <c r="I33" i="51" s="1"/>
  <c r="H33" i="51" s="1"/>
  <c r="G33" i="51" s="1"/>
  <c r="U32" i="51"/>
  <c r="T32" i="51"/>
  <c r="S32" i="51"/>
  <c r="R32" i="51"/>
  <c r="Q32" i="51"/>
  <c r="P32" i="51"/>
  <c r="O32" i="51"/>
  <c r="N32" i="51"/>
  <c r="M32" i="51"/>
  <c r="L32" i="51"/>
  <c r="K32" i="51"/>
  <c r="J32" i="51"/>
  <c r="I32" i="51"/>
  <c r="H32" i="51"/>
  <c r="G32" i="51" s="1"/>
  <c r="U31" i="51"/>
  <c r="T31" i="51" s="1"/>
  <c r="S31" i="51" s="1"/>
  <c r="R31" i="51" s="1"/>
  <c r="Q31" i="51" s="1"/>
  <c r="P31" i="51" s="1"/>
  <c r="O31" i="51" s="1"/>
  <c r="N31" i="51" s="1"/>
  <c r="M31" i="51" s="1"/>
  <c r="L31" i="51" s="1"/>
  <c r="K31" i="51"/>
  <c r="J31" i="51"/>
  <c r="I31" i="51"/>
  <c r="H31" i="51"/>
  <c r="G31" i="51" s="1"/>
  <c r="U30" i="51"/>
  <c r="T30" i="51" s="1"/>
  <c r="S30" i="51" s="1"/>
  <c r="R30" i="51" s="1"/>
  <c r="Q30" i="51" s="1"/>
  <c r="P30" i="51" s="1"/>
  <c r="O30" i="51" s="1"/>
  <c r="N30" i="51" s="1"/>
  <c r="M30" i="51" s="1"/>
  <c r="L30" i="51"/>
  <c r="K30" i="51"/>
  <c r="J30" i="51"/>
  <c r="I30" i="51"/>
  <c r="H30" i="51"/>
  <c r="G30" i="51"/>
  <c r="U29" i="51"/>
  <c r="T29" i="51"/>
  <c r="S29" i="51"/>
  <c r="R29" i="51" s="1"/>
  <c r="Q29" i="51" s="1"/>
  <c r="P29" i="51" s="1"/>
  <c r="O29" i="51"/>
  <c r="N29" i="51"/>
  <c r="M29" i="51"/>
  <c r="L29" i="51" s="1"/>
  <c r="K29" i="51" s="1"/>
  <c r="J29" i="51" s="1"/>
  <c r="I29" i="51" s="1"/>
  <c r="H29" i="51" s="1"/>
  <c r="G29" i="51" s="1"/>
  <c r="U28" i="51"/>
  <c r="T28" i="51" s="1"/>
  <c r="S28" i="51" s="1"/>
  <c r="R28" i="51" s="1"/>
  <c r="Q28" i="51"/>
  <c r="P28" i="51"/>
  <c r="O28" i="51"/>
  <c r="N28" i="51"/>
  <c r="M28" i="51"/>
  <c r="L28" i="51"/>
  <c r="K28" i="51" s="1"/>
  <c r="J28" i="51" s="1"/>
  <c r="I28" i="51" s="1"/>
  <c r="H28" i="51" s="1"/>
  <c r="G28" i="51" s="1"/>
  <c r="U27" i="51"/>
  <c r="T27" i="51" s="1"/>
  <c r="S27" i="51" s="1"/>
  <c r="R27" i="51" s="1"/>
  <c r="Q27" i="51" s="1"/>
  <c r="P27" i="51" s="1"/>
  <c r="O27" i="51" s="1"/>
  <c r="N27" i="51" s="1"/>
  <c r="M27" i="51" s="1"/>
  <c r="L27" i="51" s="1"/>
  <c r="K27" i="51" s="1"/>
  <c r="J27" i="51"/>
  <c r="I27" i="51"/>
  <c r="H27" i="51"/>
  <c r="G27" i="51"/>
  <c r="U26" i="51"/>
  <c r="T26" i="51"/>
  <c r="S26" i="51"/>
  <c r="R26" i="51"/>
  <c r="Q26" i="51"/>
  <c r="P26" i="51"/>
  <c r="O26" i="51"/>
  <c r="N26" i="51"/>
  <c r="M26" i="51"/>
  <c r="L26" i="51"/>
  <c r="K26" i="51"/>
  <c r="J26" i="51"/>
  <c r="I26" i="51"/>
  <c r="H26" i="51"/>
  <c r="G26" i="51"/>
  <c r="U25" i="51"/>
  <c r="T25" i="51" s="1"/>
  <c r="S25" i="51"/>
  <c r="R25" i="51" s="1"/>
  <c r="Q25" i="51"/>
  <c r="P25" i="51"/>
  <c r="O25" i="51"/>
  <c r="N25" i="51"/>
  <c r="M25" i="51"/>
  <c r="L25" i="51" s="1"/>
  <c r="K25" i="51" s="1"/>
  <c r="J25" i="51" s="1"/>
  <c r="I25" i="51" s="1"/>
  <c r="H25" i="51" s="1"/>
  <c r="G25" i="51" s="1"/>
  <c r="U24" i="51"/>
  <c r="T24" i="51"/>
  <c r="S24" i="51"/>
  <c r="R24" i="51"/>
  <c r="Q24" i="51"/>
  <c r="P24" i="51"/>
  <c r="O24" i="51"/>
  <c r="N24" i="51"/>
  <c r="M24" i="51"/>
  <c r="L24" i="51"/>
  <c r="K24" i="51"/>
  <c r="J24" i="51"/>
  <c r="I24" i="51"/>
  <c r="H24" i="51"/>
  <c r="G24" i="51"/>
  <c r="U23" i="51"/>
  <c r="T23" i="51"/>
  <c r="S23" i="51"/>
  <c r="R23" i="51"/>
  <c r="Q23" i="51"/>
  <c r="P23" i="51"/>
  <c r="O23" i="51"/>
  <c r="N23" i="51"/>
  <c r="M23" i="51"/>
  <c r="L23" i="51"/>
  <c r="K23" i="51"/>
  <c r="J23" i="51"/>
  <c r="I23" i="51"/>
  <c r="H23" i="51"/>
  <c r="G23" i="51"/>
  <c r="U22" i="51"/>
  <c r="T22" i="51" s="1"/>
  <c r="S22" i="51" s="1"/>
  <c r="R22" i="51" s="1"/>
  <c r="Q22" i="51" s="1"/>
  <c r="P22" i="51" s="1"/>
  <c r="O22" i="51" s="1"/>
  <c r="N22" i="51" s="1"/>
  <c r="M22" i="51" s="1"/>
  <c r="L22" i="51" s="1"/>
  <c r="K22" i="51"/>
  <c r="J22" i="51"/>
  <c r="I22" i="51"/>
  <c r="H22" i="51"/>
  <c r="G22" i="51"/>
  <c r="U21" i="51"/>
  <c r="T21" i="51"/>
  <c r="S21" i="51"/>
  <c r="R21" i="51"/>
  <c r="Q21" i="51"/>
  <c r="P21" i="51"/>
  <c r="O21" i="51"/>
  <c r="N21" i="51"/>
  <c r="M21" i="51"/>
  <c r="L21" i="51"/>
  <c r="K21" i="51"/>
  <c r="J21" i="51"/>
  <c r="I21" i="51"/>
  <c r="H21" i="51"/>
  <c r="G21" i="51"/>
  <c r="U20" i="51"/>
  <c r="T20" i="51" s="1"/>
  <c r="S20" i="51" s="1"/>
  <c r="R20" i="51" s="1"/>
  <c r="Q20" i="51" s="1"/>
  <c r="P20" i="51" s="1"/>
  <c r="O20" i="51" s="1"/>
  <c r="N20" i="51" s="1"/>
  <c r="M20" i="51" s="1"/>
  <c r="L20" i="51"/>
  <c r="K20" i="51"/>
  <c r="J20" i="51"/>
  <c r="I20" i="51"/>
  <c r="H20" i="51"/>
  <c r="G20" i="51"/>
  <c r="U19" i="51"/>
  <c r="T19" i="51"/>
  <c r="S19" i="51" s="1"/>
  <c r="R19" i="51" s="1"/>
  <c r="Q19" i="51" s="1"/>
  <c r="P19" i="51" s="1"/>
  <c r="O19" i="51" s="1"/>
  <c r="N19" i="51" s="1"/>
  <c r="M19" i="51" s="1"/>
  <c r="L19" i="51" s="1"/>
  <c r="K19" i="51" s="1"/>
  <c r="J19" i="51" s="1"/>
  <c r="I19" i="51" s="1"/>
  <c r="H19" i="51" s="1"/>
  <c r="G19" i="51" s="1"/>
  <c r="U18" i="51"/>
  <c r="T18" i="51" s="1"/>
  <c r="S18" i="51" s="1"/>
  <c r="R18" i="51" s="1"/>
  <c r="Q18" i="51" s="1"/>
  <c r="P18" i="51" s="1"/>
  <c r="O18" i="51" s="1"/>
  <c r="N18" i="51" s="1"/>
  <c r="M18" i="51" s="1"/>
  <c r="L18" i="51" s="1"/>
  <c r="K18" i="51" s="1"/>
  <c r="J18" i="51"/>
  <c r="I18" i="51"/>
  <c r="H18" i="51"/>
  <c r="G18" i="51"/>
  <c r="U17" i="51"/>
  <c r="T17" i="51"/>
  <c r="S17" i="51" s="1"/>
  <c r="R17" i="51" s="1"/>
  <c r="Q17" i="51" s="1"/>
  <c r="P17" i="51" s="1"/>
  <c r="O17" i="51"/>
  <c r="N17" i="51"/>
  <c r="M17" i="51"/>
  <c r="L17" i="51" s="1"/>
  <c r="K17" i="51" s="1"/>
  <c r="J17" i="51" s="1"/>
  <c r="I17" i="51" s="1"/>
  <c r="H17" i="51" s="1"/>
  <c r="G17" i="51" s="1"/>
  <c r="U16" i="51"/>
  <c r="T16" i="51"/>
  <c r="S16" i="51"/>
  <c r="R16" i="51"/>
  <c r="Q16" i="51"/>
  <c r="P16" i="51"/>
  <c r="O16" i="51"/>
  <c r="N16" i="51"/>
  <c r="M16" i="51"/>
  <c r="L16" i="51"/>
  <c r="K16" i="51"/>
  <c r="J16" i="51"/>
  <c r="I16" i="51"/>
  <c r="H16" i="51"/>
  <c r="G16" i="51"/>
  <c r="U15" i="51"/>
  <c r="T15" i="51" s="1"/>
  <c r="S15" i="51" s="1"/>
  <c r="R15" i="51" s="1"/>
  <c r="Q15" i="51" s="1"/>
  <c r="P15" i="51" s="1"/>
  <c r="O15" i="51" s="1"/>
  <c r="N15" i="51" s="1"/>
  <c r="M15" i="51" s="1"/>
  <c r="L15" i="51" s="1"/>
  <c r="K15" i="51" s="1"/>
  <c r="J15" i="51"/>
  <c r="I15" i="51"/>
  <c r="H15" i="51"/>
  <c r="G15" i="51"/>
  <c r="U14" i="51"/>
  <c r="T14" i="51"/>
  <c r="S14" i="51"/>
  <c r="R14" i="51"/>
  <c r="Q14" i="51"/>
  <c r="P14" i="51"/>
  <c r="O14" i="51"/>
  <c r="N14" i="51"/>
  <c r="M14" i="51"/>
  <c r="L14" i="51"/>
  <c r="K14" i="51"/>
  <c r="J14" i="51"/>
  <c r="I14" i="51"/>
  <c r="H14" i="51"/>
  <c r="G14" i="51"/>
  <c r="U13" i="51"/>
  <c r="T13" i="51" s="1"/>
  <c r="S13" i="51" s="1"/>
  <c r="R13" i="51" s="1"/>
  <c r="Q13" i="51" s="1"/>
  <c r="P13" i="51" s="1"/>
  <c r="O13" i="51" s="1"/>
  <c r="N13" i="51" s="1"/>
  <c r="M13" i="51" s="1"/>
  <c r="L13" i="51"/>
  <c r="K13" i="51"/>
  <c r="J13" i="51"/>
  <c r="I13" i="51"/>
  <c r="H13" i="51"/>
  <c r="G13" i="51"/>
  <c r="U12" i="51"/>
  <c r="T12" i="51" s="1"/>
  <c r="S12" i="51" s="1"/>
  <c r="R12" i="51" s="1"/>
  <c r="Q12" i="51" s="1"/>
  <c r="P12" i="51" s="1"/>
  <c r="O12" i="51"/>
  <c r="N12" i="51"/>
  <c r="M12" i="51"/>
  <c r="L12" i="51"/>
  <c r="K12" i="51"/>
  <c r="J12" i="51"/>
  <c r="I12" i="51"/>
  <c r="H12" i="51"/>
  <c r="G12" i="51"/>
  <c r="U11" i="51"/>
  <c r="T11" i="51" s="1"/>
  <c r="S11" i="51" s="1"/>
  <c r="R11" i="51" s="1"/>
  <c r="Q11" i="51"/>
  <c r="P11" i="51"/>
  <c r="O11" i="51"/>
  <c r="N11" i="51"/>
  <c r="M11" i="51"/>
  <c r="L11" i="51"/>
  <c r="K11" i="51"/>
  <c r="J11" i="51"/>
  <c r="I11" i="51"/>
  <c r="H11" i="51"/>
  <c r="G11" i="51"/>
  <c r="U10" i="51"/>
  <c r="T10" i="51"/>
  <c r="S10" i="51"/>
  <c r="R10" i="51"/>
  <c r="Q10" i="51"/>
  <c r="P10" i="51"/>
  <c r="O10" i="51"/>
  <c r="N10" i="51"/>
  <c r="M10" i="51"/>
  <c r="L10" i="51"/>
  <c r="K10" i="51"/>
  <c r="J10" i="51"/>
  <c r="I10" i="51"/>
  <c r="H10" i="51"/>
  <c r="G10" i="51"/>
  <c r="U9" i="51"/>
  <c r="T9" i="51"/>
  <c r="S9" i="51"/>
  <c r="R9" i="51"/>
  <c r="Q9" i="51"/>
  <c r="P9" i="51"/>
  <c r="O9" i="51"/>
  <c r="N9" i="51"/>
  <c r="M9" i="51"/>
  <c r="L9" i="51"/>
  <c r="K9" i="51"/>
  <c r="J9" i="51"/>
  <c r="I9" i="51"/>
  <c r="H9" i="51"/>
  <c r="G9" i="51"/>
  <c r="U8" i="51"/>
  <c r="T8" i="51" s="1"/>
  <c r="S8" i="51" s="1"/>
  <c r="R8" i="51" s="1"/>
  <c r="Q8" i="51" s="1"/>
  <c r="P8" i="51" s="1"/>
  <c r="O8" i="51"/>
  <c r="N8" i="51"/>
  <c r="M8" i="51"/>
  <c r="L8" i="51"/>
  <c r="K8" i="51"/>
  <c r="J8" i="51"/>
  <c r="I8" i="51"/>
  <c r="H8" i="51"/>
  <c r="G8" i="51"/>
  <c r="U7" i="51"/>
  <c r="T7" i="51" s="1"/>
  <c r="S7" i="51" s="1"/>
  <c r="R7" i="51" s="1"/>
  <c r="Q7" i="51" s="1"/>
  <c r="P7" i="51" s="1"/>
  <c r="O7" i="51" s="1"/>
  <c r="N7" i="51" s="1"/>
  <c r="M7" i="51" s="1"/>
  <c r="L7" i="51" s="1"/>
  <c r="K7" i="51" s="1"/>
  <c r="J7" i="51"/>
  <c r="I7" i="51"/>
  <c r="H7" i="51"/>
  <c r="G7" i="51"/>
  <c r="U6" i="51"/>
  <c r="T6" i="51" s="1"/>
  <c r="S6" i="51" s="1"/>
  <c r="R6" i="51" s="1"/>
  <c r="Q6" i="51"/>
  <c r="P6" i="51"/>
  <c r="O6" i="51"/>
  <c r="N6" i="51"/>
  <c r="M6" i="51"/>
  <c r="L6" i="51"/>
  <c r="K6" i="51"/>
  <c r="J6" i="51"/>
  <c r="I6" i="51"/>
  <c r="H6" i="51"/>
  <c r="G6" i="51"/>
  <c r="U5" i="51"/>
  <c r="T5" i="51" s="1"/>
  <c r="S5" i="51" s="1"/>
  <c r="R5" i="51" s="1"/>
  <c r="Q5" i="51" s="1"/>
  <c r="P5" i="51" s="1"/>
  <c r="O5" i="51" s="1"/>
  <c r="N5" i="51" s="1"/>
  <c r="M5" i="51"/>
  <c r="L5" i="51"/>
  <c r="K5" i="51"/>
  <c r="J5" i="51"/>
  <c r="I5" i="51"/>
  <c r="H5" i="51"/>
  <c r="G5" i="51"/>
  <c r="U4" i="51"/>
  <c r="T4" i="51"/>
  <c r="S4" i="51"/>
  <c r="R4" i="51"/>
  <c r="Q4" i="51"/>
  <c r="P4" i="51"/>
  <c r="O4" i="51"/>
  <c r="N4" i="51"/>
  <c r="M4" i="51"/>
  <c r="L4" i="51"/>
  <c r="K4" i="51"/>
  <c r="J4" i="51"/>
  <c r="I4" i="51"/>
  <c r="H4" i="51"/>
  <c r="G4" i="51"/>
  <c r="U3" i="51"/>
  <c r="T3" i="51" s="1"/>
  <c r="S3" i="51" s="1"/>
  <c r="R3" i="51" s="1"/>
  <c r="Q3" i="51" s="1"/>
  <c r="P3" i="51"/>
  <c r="O3" i="51"/>
  <c r="N3" i="51"/>
  <c r="M3" i="51"/>
  <c r="L3" i="51"/>
  <c r="K3" i="51"/>
  <c r="J3" i="51"/>
  <c r="I3" i="51"/>
  <c r="H3" i="51"/>
  <c r="G3" i="51"/>
  <c r="U2" i="51"/>
  <c r="T2" i="51"/>
  <c r="S2" i="51"/>
  <c r="R2" i="51"/>
  <c r="Q2" i="51"/>
  <c r="P2" i="51"/>
  <c r="O2" i="51"/>
  <c r="N2" i="51"/>
  <c r="M2" i="51"/>
  <c r="L2" i="51"/>
  <c r="K2" i="51"/>
  <c r="J2" i="51"/>
  <c r="I2" i="51"/>
  <c r="H2" i="51"/>
  <c r="G2" i="51"/>
  <c r="F230" i="49"/>
  <c r="U230" i="52"/>
  <c r="T230" i="52" s="1"/>
  <c r="S230" i="52" s="1"/>
  <c r="R230" i="52" s="1"/>
  <c r="Q230" i="52" s="1"/>
  <c r="P230" i="52" s="1"/>
  <c r="O230" i="52" s="1"/>
  <c r="N230" i="52" s="1"/>
  <c r="M230" i="52" s="1"/>
  <c r="L230" i="52" s="1"/>
  <c r="K230" i="52" s="1"/>
  <c r="J230" i="52" s="1"/>
  <c r="I230" i="52" s="1"/>
  <c r="H230" i="52" s="1"/>
  <c r="G230" i="52" s="1"/>
  <c r="U229" i="52"/>
  <c r="T229" i="52" s="1"/>
  <c r="S229" i="52" s="1"/>
  <c r="R229" i="52" s="1"/>
  <c r="Q229" i="52" s="1"/>
  <c r="P229" i="52" s="1"/>
  <c r="O229" i="52" s="1"/>
  <c r="N229" i="52" s="1"/>
  <c r="M229" i="52" s="1"/>
  <c r="L229" i="52" s="1"/>
  <c r="K229" i="52" s="1"/>
  <c r="J229" i="52" s="1"/>
  <c r="I229" i="52" s="1"/>
  <c r="H229" i="52" s="1"/>
  <c r="G229" i="52" s="1"/>
  <c r="U228" i="52"/>
  <c r="T228" i="52" s="1"/>
  <c r="S228" i="52" s="1"/>
  <c r="R228" i="52" s="1"/>
  <c r="Q228" i="52" s="1"/>
  <c r="P228" i="52" s="1"/>
  <c r="O228" i="52" s="1"/>
  <c r="N228" i="52" s="1"/>
  <c r="M228" i="52" s="1"/>
  <c r="L228" i="52" s="1"/>
  <c r="K228" i="52" s="1"/>
  <c r="J228" i="52" s="1"/>
  <c r="I228" i="52" s="1"/>
  <c r="H228" i="52" s="1"/>
  <c r="G228" i="52" s="1"/>
  <c r="U227" i="52"/>
  <c r="T227" i="52" s="1"/>
  <c r="S227" i="52" s="1"/>
  <c r="R227" i="52" s="1"/>
  <c r="Q227" i="52" s="1"/>
  <c r="P227" i="52" s="1"/>
  <c r="O227" i="52" s="1"/>
  <c r="N227" i="52" s="1"/>
  <c r="M227" i="52" s="1"/>
  <c r="L227" i="52" s="1"/>
  <c r="K227" i="52" s="1"/>
  <c r="J227" i="52" s="1"/>
  <c r="I227" i="52" s="1"/>
  <c r="H227" i="52" s="1"/>
  <c r="G227" i="52" s="1"/>
  <c r="U226" i="52"/>
  <c r="T226" i="52" s="1"/>
  <c r="S226" i="52" s="1"/>
  <c r="R226" i="52" s="1"/>
  <c r="Q226" i="52" s="1"/>
  <c r="P226" i="52" s="1"/>
  <c r="O226" i="52" s="1"/>
  <c r="N226" i="52" s="1"/>
  <c r="M226" i="52" s="1"/>
  <c r="L226" i="52" s="1"/>
  <c r="K226" i="52" s="1"/>
  <c r="J226" i="52" s="1"/>
  <c r="I226" i="52" s="1"/>
  <c r="H226" i="52" s="1"/>
  <c r="G226" i="52" s="1"/>
  <c r="U225" i="52"/>
  <c r="T225" i="52" s="1"/>
  <c r="S225" i="52" s="1"/>
  <c r="R225" i="52" s="1"/>
  <c r="Q225" i="52" s="1"/>
  <c r="P225" i="52" s="1"/>
  <c r="O225" i="52" s="1"/>
  <c r="N225" i="52" s="1"/>
  <c r="M225" i="52" s="1"/>
  <c r="L225" i="52" s="1"/>
  <c r="K225" i="52" s="1"/>
  <c r="J225" i="52" s="1"/>
  <c r="I225" i="52" s="1"/>
  <c r="H225" i="52" s="1"/>
  <c r="G225" i="52" s="1"/>
  <c r="U224" i="52"/>
  <c r="T224" i="52" s="1"/>
  <c r="S224" i="52" s="1"/>
  <c r="R224" i="52" s="1"/>
  <c r="Q224" i="52" s="1"/>
  <c r="P224" i="52" s="1"/>
  <c r="O224" i="52" s="1"/>
  <c r="N224" i="52" s="1"/>
  <c r="M224" i="52" s="1"/>
  <c r="L224" i="52" s="1"/>
  <c r="K224" i="52" s="1"/>
  <c r="J224" i="52" s="1"/>
  <c r="I224" i="52" s="1"/>
  <c r="H224" i="52" s="1"/>
  <c r="G224" i="52" s="1"/>
  <c r="U223" i="52"/>
  <c r="T223" i="52" s="1"/>
  <c r="S223" i="52" s="1"/>
  <c r="R223" i="52" s="1"/>
  <c r="Q223" i="52" s="1"/>
  <c r="P223" i="52" s="1"/>
  <c r="O223" i="52" s="1"/>
  <c r="N223" i="52" s="1"/>
  <c r="M223" i="52" s="1"/>
  <c r="L223" i="52" s="1"/>
  <c r="K223" i="52" s="1"/>
  <c r="J223" i="52" s="1"/>
  <c r="I223" i="52" s="1"/>
  <c r="H223" i="52" s="1"/>
  <c r="G223" i="52" s="1"/>
  <c r="U222" i="52"/>
  <c r="T222" i="52" s="1"/>
  <c r="S222" i="52" s="1"/>
  <c r="R222" i="52" s="1"/>
  <c r="Q222" i="52" s="1"/>
  <c r="P222" i="52" s="1"/>
  <c r="O222" i="52" s="1"/>
  <c r="N222" i="52" s="1"/>
  <c r="M222" i="52" s="1"/>
  <c r="L222" i="52" s="1"/>
  <c r="K222" i="52" s="1"/>
  <c r="J222" i="52" s="1"/>
  <c r="I222" i="52" s="1"/>
  <c r="H222" i="52" s="1"/>
  <c r="G222" i="52" s="1"/>
  <c r="U221" i="52"/>
  <c r="T221" i="52" s="1"/>
  <c r="S221" i="52" s="1"/>
  <c r="R221" i="52" s="1"/>
  <c r="Q221" i="52" s="1"/>
  <c r="P221" i="52" s="1"/>
  <c r="O221" i="52" s="1"/>
  <c r="N221" i="52" s="1"/>
  <c r="M221" i="52" s="1"/>
  <c r="L221" i="52" s="1"/>
  <c r="K221" i="52" s="1"/>
  <c r="J221" i="52" s="1"/>
  <c r="I221" i="52" s="1"/>
  <c r="H221" i="52" s="1"/>
  <c r="G221" i="52" s="1"/>
  <c r="U220" i="52"/>
  <c r="T220" i="52" s="1"/>
  <c r="S220" i="52" s="1"/>
  <c r="R220" i="52" s="1"/>
  <c r="Q220" i="52" s="1"/>
  <c r="P220" i="52" s="1"/>
  <c r="O220" i="52" s="1"/>
  <c r="N220" i="52" s="1"/>
  <c r="M220" i="52" s="1"/>
  <c r="L220" i="52" s="1"/>
  <c r="K220" i="52" s="1"/>
  <c r="J220" i="52" s="1"/>
  <c r="I220" i="52" s="1"/>
  <c r="H220" i="52" s="1"/>
  <c r="G220" i="52" s="1"/>
  <c r="U219" i="52"/>
  <c r="T219" i="52" s="1"/>
  <c r="S219" i="52" s="1"/>
  <c r="R219" i="52" s="1"/>
  <c r="Q219" i="52" s="1"/>
  <c r="P219" i="52" s="1"/>
  <c r="O219" i="52" s="1"/>
  <c r="N219" i="52" s="1"/>
  <c r="M219" i="52" s="1"/>
  <c r="L219" i="52" s="1"/>
  <c r="K219" i="52" s="1"/>
  <c r="J219" i="52" s="1"/>
  <c r="I219" i="52" s="1"/>
  <c r="H219" i="52" s="1"/>
  <c r="G219" i="52" s="1"/>
  <c r="U218" i="52"/>
  <c r="T218" i="52" s="1"/>
  <c r="S218" i="52" s="1"/>
  <c r="R218" i="52" s="1"/>
  <c r="Q218" i="52" s="1"/>
  <c r="P218" i="52" s="1"/>
  <c r="O218" i="52" s="1"/>
  <c r="N218" i="52" s="1"/>
  <c r="M218" i="52" s="1"/>
  <c r="L218" i="52" s="1"/>
  <c r="K218" i="52" s="1"/>
  <c r="J218" i="52" s="1"/>
  <c r="I218" i="52" s="1"/>
  <c r="H218" i="52" s="1"/>
  <c r="G218" i="52" s="1"/>
  <c r="U217" i="52"/>
  <c r="T217" i="52" s="1"/>
  <c r="S217" i="52" s="1"/>
  <c r="R217" i="52" s="1"/>
  <c r="Q217" i="52" s="1"/>
  <c r="P217" i="52" s="1"/>
  <c r="O217" i="52" s="1"/>
  <c r="N217" i="52" s="1"/>
  <c r="M217" i="52" s="1"/>
  <c r="L217" i="52" s="1"/>
  <c r="K217" i="52" s="1"/>
  <c r="J217" i="52" s="1"/>
  <c r="I217" i="52" s="1"/>
  <c r="H217" i="52" s="1"/>
  <c r="G217" i="52" s="1"/>
  <c r="U216" i="52"/>
  <c r="T216" i="52" s="1"/>
  <c r="S216" i="52" s="1"/>
  <c r="R216" i="52" s="1"/>
  <c r="Q216" i="52" s="1"/>
  <c r="P216" i="52" s="1"/>
  <c r="O216" i="52" s="1"/>
  <c r="N216" i="52" s="1"/>
  <c r="M216" i="52" s="1"/>
  <c r="L216" i="52" s="1"/>
  <c r="K216" i="52" s="1"/>
  <c r="J216" i="52" s="1"/>
  <c r="I216" i="52" s="1"/>
  <c r="H216" i="52" s="1"/>
  <c r="G216" i="52" s="1"/>
  <c r="U215" i="52"/>
  <c r="T215" i="52" s="1"/>
  <c r="S215" i="52" s="1"/>
  <c r="R215" i="52" s="1"/>
  <c r="Q215" i="52" s="1"/>
  <c r="P215" i="52" s="1"/>
  <c r="O215" i="52" s="1"/>
  <c r="N215" i="52" s="1"/>
  <c r="M215" i="52" s="1"/>
  <c r="L215" i="52" s="1"/>
  <c r="K215" i="52" s="1"/>
  <c r="J215" i="52" s="1"/>
  <c r="I215" i="52" s="1"/>
  <c r="H215" i="52" s="1"/>
  <c r="G215" i="52" s="1"/>
  <c r="U214" i="52"/>
  <c r="T214" i="52" s="1"/>
  <c r="S214" i="52" s="1"/>
  <c r="R214" i="52" s="1"/>
  <c r="Q214" i="52" s="1"/>
  <c r="P214" i="52" s="1"/>
  <c r="O214" i="52" s="1"/>
  <c r="N214" i="52" s="1"/>
  <c r="M214" i="52" s="1"/>
  <c r="L214" i="52" s="1"/>
  <c r="K214" i="52" s="1"/>
  <c r="J214" i="52" s="1"/>
  <c r="I214" i="52" s="1"/>
  <c r="H214" i="52" s="1"/>
  <c r="G214" i="52" s="1"/>
  <c r="U213" i="52"/>
  <c r="T213" i="52" s="1"/>
  <c r="S213" i="52" s="1"/>
  <c r="R213" i="52" s="1"/>
  <c r="Q213" i="52" s="1"/>
  <c r="P213" i="52" s="1"/>
  <c r="O213" i="52" s="1"/>
  <c r="N213" i="52" s="1"/>
  <c r="M213" i="52" s="1"/>
  <c r="L213" i="52" s="1"/>
  <c r="K213" i="52" s="1"/>
  <c r="J213" i="52" s="1"/>
  <c r="I213" i="52" s="1"/>
  <c r="H213" i="52" s="1"/>
  <c r="G213" i="52" s="1"/>
  <c r="U211" i="52"/>
  <c r="T211" i="52" s="1"/>
  <c r="S211" i="52" s="1"/>
  <c r="R211" i="52" s="1"/>
  <c r="Q211" i="52" s="1"/>
  <c r="P211" i="52" s="1"/>
  <c r="O211" i="52" s="1"/>
  <c r="N211" i="52" s="1"/>
  <c r="M211" i="52" s="1"/>
  <c r="L211" i="52" s="1"/>
  <c r="K211" i="52" s="1"/>
  <c r="J211" i="52" s="1"/>
  <c r="I211" i="52" s="1"/>
  <c r="H211" i="52" s="1"/>
  <c r="G211" i="52" s="1"/>
  <c r="U210" i="52"/>
  <c r="T210" i="52" s="1"/>
  <c r="S210" i="52" s="1"/>
  <c r="R210" i="52" s="1"/>
  <c r="Q210" i="52" s="1"/>
  <c r="P210" i="52" s="1"/>
  <c r="O210" i="52" s="1"/>
  <c r="N210" i="52" s="1"/>
  <c r="M210" i="52" s="1"/>
  <c r="L210" i="52" s="1"/>
  <c r="K210" i="52" s="1"/>
  <c r="J210" i="52" s="1"/>
  <c r="I210" i="52" s="1"/>
  <c r="H210" i="52" s="1"/>
  <c r="G210" i="52" s="1"/>
  <c r="U209" i="52"/>
  <c r="T209" i="52" s="1"/>
  <c r="S209" i="52" s="1"/>
  <c r="R209" i="52" s="1"/>
  <c r="Q209" i="52" s="1"/>
  <c r="P209" i="52" s="1"/>
  <c r="O209" i="52" s="1"/>
  <c r="N209" i="52" s="1"/>
  <c r="M209" i="52" s="1"/>
  <c r="L209" i="52" s="1"/>
  <c r="K209" i="52" s="1"/>
  <c r="J209" i="52" s="1"/>
  <c r="I209" i="52" s="1"/>
  <c r="H209" i="52" s="1"/>
  <c r="G209" i="52" s="1"/>
  <c r="U208" i="52"/>
  <c r="T208" i="52" s="1"/>
  <c r="S208" i="52" s="1"/>
  <c r="R208" i="52" s="1"/>
  <c r="Q208" i="52" s="1"/>
  <c r="P208" i="52" s="1"/>
  <c r="O208" i="52" s="1"/>
  <c r="N208" i="52" s="1"/>
  <c r="M208" i="52" s="1"/>
  <c r="L208" i="52" s="1"/>
  <c r="K208" i="52" s="1"/>
  <c r="J208" i="52" s="1"/>
  <c r="I208" i="52" s="1"/>
  <c r="H208" i="52" s="1"/>
  <c r="G208" i="52" s="1"/>
  <c r="U207" i="52"/>
  <c r="T207" i="52" s="1"/>
  <c r="S207" i="52" s="1"/>
  <c r="R207" i="52" s="1"/>
  <c r="Q207" i="52" s="1"/>
  <c r="P207" i="52" s="1"/>
  <c r="O207" i="52" s="1"/>
  <c r="N207" i="52" s="1"/>
  <c r="M207" i="52" s="1"/>
  <c r="L207" i="52" s="1"/>
  <c r="K207" i="52" s="1"/>
  <c r="J207" i="52" s="1"/>
  <c r="I207" i="52" s="1"/>
  <c r="H207" i="52" s="1"/>
  <c r="G207" i="52" s="1"/>
  <c r="U206" i="52"/>
  <c r="T206" i="52" s="1"/>
  <c r="S206" i="52" s="1"/>
  <c r="R206" i="52" s="1"/>
  <c r="Q206" i="52" s="1"/>
  <c r="P206" i="52" s="1"/>
  <c r="O206" i="52" s="1"/>
  <c r="N206" i="52" s="1"/>
  <c r="M206" i="52" s="1"/>
  <c r="L206" i="52" s="1"/>
  <c r="K206" i="52" s="1"/>
  <c r="J206" i="52" s="1"/>
  <c r="I206" i="52" s="1"/>
  <c r="H206" i="52" s="1"/>
  <c r="G206" i="52" s="1"/>
  <c r="U205" i="52"/>
  <c r="T205" i="52" s="1"/>
  <c r="S205" i="52" s="1"/>
  <c r="R205" i="52" s="1"/>
  <c r="Q205" i="52" s="1"/>
  <c r="P205" i="52" s="1"/>
  <c r="O205" i="52" s="1"/>
  <c r="N205" i="52" s="1"/>
  <c r="M205" i="52" s="1"/>
  <c r="L205" i="52" s="1"/>
  <c r="K205" i="52" s="1"/>
  <c r="J205" i="52" s="1"/>
  <c r="I205" i="52" s="1"/>
  <c r="H205" i="52" s="1"/>
  <c r="G205" i="52" s="1"/>
  <c r="U204" i="52"/>
  <c r="T204" i="52" s="1"/>
  <c r="S204" i="52" s="1"/>
  <c r="R204" i="52" s="1"/>
  <c r="Q204" i="52" s="1"/>
  <c r="P204" i="52" s="1"/>
  <c r="O204" i="52" s="1"/>
  <c r="N204" i="52" s="1"/>
  <c r="M204" i="52" s="1"/>
  <c r="L204" i="52" s="1"/>
  <c r="K204" i="52" s="1"/>
  <c r="J204" i="52" s="1"/>
  <c r="I204" i="52" s="1"/>
  <c r="H204" i="52" s="1"/>
  <c r="G204" i="52" s="1"/>
  <c r="U203" i="52"/>
  <c r="T203" i="52" s="1"/>
  <c r="S203" i="52" s="1"/>
  <c r="R203" i="52" s="1"/>
  <c r="Q203" i="52" s="1"/>
  <c r="P203" i="52" s="1"/>
  <c r="O203" i="52" s="1"/>
  <c r="N203" i="52" s="1"/>
  <c r="M203" i="52" s="1"/>
  <c r="L203" i="52" s="1"/>
  <c r="K203" i="52" s="1"/>
  <c r="J203" i="52" s="1"/>
  <c r="I203" i="52"/>
  <c r="H203" i="52"/>
  <c r="G203" i="52" s="1"/>
  <c r="U202" i="52"/>
  <c r="T202" i="52" s="1"/>
  <c r="S202" i="52" s="1"/>
  <c r="R202" i="52" s="1"/>
  <c r="Q202" i="52" s="1"/>
  <c r="P202" i="52" s="1"/>
  <c r="O202" i="52" s="1"/>
  <c r="N202" i="52" s="1"/>
  <c r="M202" i="52" s="1"/>
  <c r="L202" i="52" s="1"/>
  <c r="K202" i="52" s="1"/>
  <c r="J202" i="52" s="1"/>
  <c r="I202" i="52" s="1"/>
  <c r="H202" i="52" s="1"/>
  <c r="G202" i="52" s="1"/>
  <c r="U201" i="52"/>
  <c r="T201" i="52" s="1"/>
  <c r="S201" i="52" s="1"/>
  <c r="R201" i="52" s="1"/>
  <c r="Q201" i="52" s="1"/>
  <c r="P201" i="52" s="1"/>
  <c r="O201" i="52" s="1"/>
  <c r="N201" i="52" s="1"/>
  <c r="M201" i="52" s="1"/>
  <c r="L201" i="52" s="1"/>
  <c r="K201" i="52" s="1"/>
  <c r="J201" i="52" s="1"/>
  <c r="I201" i="52" s="1"/>
  <c r="H201" i="52" s="1"/>
  <c r="G201" i="52" s="1"/>
  <c r="U200" i="52"/>
  <c r="T200" i="52" s="1"/>
  <c r="S200" i="52" s="1"/>
  <c r="R200" i="52" s="1"/>
  <c r="Q200" i="52" s="1"/>
  <c r="P200" i="52" s="1"/>
  <c r="O200" i="52" s="1"/>
  <c r="N200" i="52" s="1"/>
  <c r="M200" i="52" s="1"/>
  <c r="L200" i="52" s="1"/>
  <c r="K200" i="52" s="1"/>
  <c r="J200" i="52" s="1"/>
  <c r="I200" i="52" s="1"/>
  <c r="H200" i="52" s="1"/>
  <c r="G200" i="52" s="1"/>
  <c r="U199" i="52"/>
  <c r="T199" i="52" s="1"/>
  <c r="S199" i="52" s="1"/>
  <c r="R199" i="52" s="1"/>
  <c r="Q199" i="52" s="1"/>
  <c r="P199" i="52" s="1"/>
  <c r="O199" i="52" s="1"/>
  <c r="N199" i="52" s="1"/>
  <c r="M199" i="52" s="1"/>
  <c r="L199" i="52" s="1"/>
  <c r="K199" i="52" s="1"/>
  <c r="J199" i="52" s="1"/>
  <c r="I199" i="52" s="1"/>
  <c r="H199" i="52" s="1"/>
  <c r="G199" i="52" s="1"/>
  <c r="U198" i="52"/>
  <c r="T198" i="52" s="1"/>
  <c r="S198" i="52" s="1"/>
  <c r="R198" i="52" s="1"/>
  <c r="Q198" i="52" s="1"/>
  <c r="P198" i="52" s="1"/>
  <c r="O198" i="52" s="1"/>
  <c r="N198" i="52" s="1"/>
  <c r="M198" i="52" s="1"/>
  <c r="L198" i="52" s="1"/>
  <c r="K198" i="52" s="1"/>
  <c r="J198" i="52" s="1"/>
  <c r="I198" i="52" s="1"/>
  <c r="H198" i="52" s="1"/>
  <c r="G198" i="52" s="1"/>
  <c r="U197" i="52"/>
  <c r="T197" i="52" s="1"/>
  <c r="S197" i="52" s="1"/>
  <c r="R197" i="52" s="1"/>
  <c r="Q197" i="52" s="1"/>
  <c r="P197" i="52" s="1"/>
  <c r="O197" i="52" s="1"/>
  <c r="N197" i="52" s="1"/>
  <c r="M197" i="52" s="1"/>
  <c r="L197" i="52" s="1"/>
  <c r="K197" i="52" s="1"/>
  <c r="J197" i="52" s="1"/>
  <c r="I197" i="52" s="1"/>
  <c r="H197" i="52" s="1"/>
  <c r="G197" i="52" s="1"/>
  <c r="U196" i="52"/>
  <c r="T196" i="52" s="1"/>
  <c r="S196" i="52" s="1"/>
  <c r="R196" i="52" s="1"/>
  <c r="Q196" i="52" s="1"/>
  <c r="P196" i="52" s="1"/>
  <c r="O196" i="52" s="1"/>
  <c r="N196" i="52" s="1"/>
  <c r="M196" i="52" s="1"/>
  <c r="L196" i="52" s="1"/>
  <c r="K196" i="52" s="1"/>
  <c r="J196" i="52" s="1"/>
  <c r="I196" i="52" s="1"/>
  <c r="H196" i="52" s="1"/>
  <c r="G196" i="52" s="1"/>
  <c r="U195" i="52"/>
  <c r="T195" i="52" s="1"/>
  <c r="S195" i="52" s="1"/>
  <c r="R195" i="52" s="1"/>
  <c r="Q195" i="52" s="1"/>
  <c r="P195" i="52" s="1"/>
  <c r="O195" i="52" s="1"/>
  <c r="N195" i="52" s="1"/>
  <c r="M195" i="52" s="1"/>
  <c r="L195" i="52" s="1"/>
  <c r="K195" i="52" s="1"/>
  <c r="J195" i="52" s="1"/>
  <c r="I195" i="52" s="1"/>
  <c r="H195" i="52" s="1"/>
  <c r="G195" i="52" s="1"/>
  <c r="U194" i="52"/>
  <c r="T194" i="52" s="1"/>
  <c r="S194" i="52" s="1"/>
  <c r="R194" i="52" s="1"/>
  <c r="Q194" i="52" s="1"/>
  <c r="P194" i="52" s="1"/>
  <c r="O194" i="52" s="1"/>
  <c r="N194" i="52" s="1"/>
  <c r="M194" i="52" s="1"/>
  <c r="L194" i="52" s="1"/>
  <c r="K194" i="52" s="1"/>
  <c r="J194" i="52" s="1"/>
  <c r="I194" i="52"/>
  <c r="H194" i="52" s="1"/>
  <c r="G194" i="52" s="1"/>
  <c r="U193" i="52"/>
  <c r="T193" i="52" s="1"/>
  <c r="S193" i="52" s="1"/>
  <c r="R193" i="52" s="1"/>
  <c r="Q193" i="52" s="1"/>
  <c r="P193" i="52" s="1"/>
  <c r="O193" i="52" s="1"/>
  <c r="N193" i="52" s="1"/>
  <c r="M193" i="52" s="1"/>
  <c r="L193" i="52" s="1"/>
  <c r="K193" i="52" s="1"/>
  <c r="J193" i="52" s="1"/>
  <c r="I193" i="52" s="1"/>
  <c r="H193" i="52" s="1"/>
  <c r="G193" i="52" s="1"/>
  <c r="U192" i="52"/>
  <c r="T192" i="52" s="1"/>
  <c r="S192" i="52" s="1"/>
  <c r="R192" i="52" s="1"/>
  <c r="Q192" i="52" s="1"/>
  <c r="P192" i="52" s="1"/>
  <c r="O192" i="52" s="1"/>
  <c r="N192" i="52" s="1"/>
  <c r="M192" i="52" s="1"/>
  <c r="L192" i="52" s="1"/>
  <c r="K192" i="52" s="1"/>
  <c r="J192" i="52" s="1"/>
  <c r="I192" i="52" s="1"/>
  <c r="H192" i="52" s="1"/>
  <c r="G192" i="52" s="1"/>
  <c r="U191" i="52"/>
  <c r="T191" i="52" s="1"/>
  <c r="S191" i="52" s="1"/>
  <c r="R191" i="52" s="1"/>
  <c r="Q191" i="52" s="1"/>
  <c r="P191" i="52" s="1"/>
  <c r="O191" i="52" s="1"/>
  <c r="N191" i="52" s="1"/>
  <c r="M191" i="52" s="1"/>
  <c r="L191" i="52" s="1"/>
  <c r="K191" i="52" s="1"/>
  <c r="J191" i="52" s="1"/>
  <c r="I191" i="52" s="1"/>
  <c r="H191" i="52" s="1"/>
  <c r="G191" i="52" s="1"/>
  <c r="U190" i="52"/>
  <c r="T190" i="52" s="1"/>
  <c r="S190" i="52" s="1"/>
  <c r="R190" i="52" s="1"/>
  <c r="Q190" i="52" s="1"/>
  <c r="P190" i="52" s="1"/>
  <c r="O190" i="52" s="1"/>
  <c r="N190" i="52" s="1"/>
  <c r="M190" i="52" s="1"/>
  <c r="L190" i="52" s="1"/>
  <c r="K190" i="52" s="1"/>
  <c r="J190" i="52" s="1"/>
  <c r="I190" i="52" s="1"/>
  <c r="H190" i="52" s="1"/>
  <c r="G190" i="52" s="1"/>
  <c r="U189" i="52"/>
  <c r="T189" i="52" s="1"/>
  <c r="S189" i="52" s="1"/>
  <c r="R189" i="52" s="1"/>
  <c r="Q189" i="52" s="1"/>
  <c r="P189" i="52" s="1"/>
  <c r="O189" i="52" s="1"/>
  <c r="N189" i="52" s="1"/>
  <c r="M189" i="52" s="1"/>
  <c r="L189" i="52" s="1"/>
  <c r="K189" i="52" s="1"/>
  <c r="J189" i="52" s="1"/>
  <c r="I189" i="52" s="1"/>
  <c r="H189" i="52" s="1"/>
  <c r="G189" i="52" s="1"/>
  <c r="U188" i="52"/>
  <c r="T188" i="52" s="1"/>
  <c r="S188" i="52" s="1"/>
  <c r="R188" i="52" s="1"/>
  <c r="Q188" i="52" s="1"/>
  <c r="P188" i="52" s="1"/>
  <c r="O188" i="52" s="1"/>
  <c r="N188" i="52" s="1"/>
  <c r="M188" i="52" s="1"/>
  <c r="L188" i="52" s="1"/>
  <c r="K188" i="52" s="1"/>
  <c r="J188" i="52" s="1"/>
  <c r="I188" i="52" s="1"/>
  <c r="H188" i="52" s="1"/>
  <c r="G188" i="52" s="1"/>
  <c r="U187" i="52"/>
  <c r="T187" i="52" s="1"/>
  <c r="S187" i="52" s="1"/>
  <c r="R187" i="52" s="1"/>
  <c r="Q187" i="52" s="1"/>
  <c r="P187" i="52" s="1"/>
  <c r="O187" i="52" s="1"/>
  <c r="N187" i="52" s="1"/>
  <c r="M187" i="52" s="1"/>
  <c r="L187" i="52" s="1"/>
  <c r="K187" i="52" s="1"/>
  <c r="J187" i="52" s="1"/>
  <c r="I187" i="52" s="1"/>
  <c r="H187" i="52" s="1"/>
  <c r="G187" i="52" s="1"/>
  <c r="U186" i="52"/>
  <c r="T186" i="52" s="1"/>
  <c r="S186" i="52" s="1"/>
  <c r="R186" i="52" s="1"/>
  <c r="Q186" i="52" s="1"/>
  <c r="P186" i="52" s="1"/>
  <c r="O186" i="52" s="1"/>
  <c r="N186" i="52" s="1"/>
  <c r="M186" i="52" s="1"/>
  <c r="L186" i="52" s="1"/>
  <c r="K186" i="52" s="1"/>
  <c r="J186" i="52" s="1"/>
  <c r="I186" i="52" s="1"/>
  <c r="H186" i="52" s="1"/>
  <c r="G186" i="52" s="1"/>
  <c r="U185" i="52"/>
  <c r="T185" i="52" s="1"/>
  <c r="S185" i="52" s="1"/>
  <c r="R185" i="52" s="1"/>
  <c r="Q185" i="52" s="1"/>
  <c r="P185" i="52" s="1"/>
  <c r="O185" i="52" s="1"/>
  <c r="N185" i="52" s="1"/>
  <c r="M185" i="52" s="1"/>
  <c r="L185" i="52" s="1"/>
  <c r="K185" i="52" s="1"/>
  <c r="J185" i="52" s="1"/>
  <c r="I185" i="52" s="1"/>
  <c r="H185" i="52" s="1"/>
  <c r="G185" i="52" s="1"/>
  <c r="U184" i="52"/>
  <c r="T184" i="52" s="1"/>
  <c r="S184" i="52" s="1"/>
  <c r="R184" i="52" s="1"/>
  <c r="Q184" i="52" s="1"/>
  <c r="P184" i="52" s="1"/>
  <c r="O184" i="52" s="1"/>
  <c r="N184" i="52" s="1"/>
  <c r="M184" i="52" s="1"/>
  <c r="L184" i="52" s="1"/>
  <c r="K184" i="52" s="1"/>
  <c r="J184" i="52" s="1"/>
  <c r="I184" i="52" s="1"/>
  <c r="H184" i="52" s="1"/>
  <c r="G184" i="52" s="1"/>
  <c r="U183" i="52"/>
  <c r="T183" i="52" s="1"/>
  <c r="S183" i="52" s="1"/>
  <c r="R183" i="52" s="1"/>
  <c r="Q183" i="52" s="1"/>
  <c r="P183" i="52" s="1"/>
  <c r="O183" i="52" s="1"/>
  <c r="N183" i="52" s="1"/>
  <c r="M183" i="52" s="1"/>
  <c r="L183" i="52" s="1"/>
  <c r="K183" i="52" s="1"/>
  <c r="J183" i="52" s="1"/>
  <c r="I183" i="52" s="1"/>
  <c r="H183" i="52" s="1"/>
  <c r="G183" i="52" s="1"/>
  <c r="U182" i="52"/>
  <c r="T182" i="52" s="1"/>
  <c r="S182" i="52" s="1"/>
  <c r="R182" i="52" s="1"/>
  <c r="Q182" i="52" s="1"/>
  <c r="P182" i="52" s="1"/>
  <c r="O182" i="52" s="1"/>
  <c r="N182" i="52" s="1"/>
  <c r="M182" i="52" s="1"/>
  <c r="L182" i="52" s="1"/>
  <c r="K182" i="52" s="1"/>
  <c r="J182" i="52" s="1"/>
  <c r="I182" i="52" s="1"/>
  <c r="H182" i="52" s="1"/>
  <c r="G182" i="52" s="1"/>
  <c r="U181" i="52"/>
  <c r="T181" i="52" s="1"/>
  <c r="S181" i="52" s="1"/>
  <c r="R181" i="52" s="1"/>
  <c r="Q181" i="52" s="1"/>
  <c r="P181" i="52" s="1"/>
  <c r="O181" i="52" s="1"/>
  <c r="N181" i="52" s="1"/>
  <c r="M181" i="52" s="1"/>
  <c r="L181" i="52" s="1"/>
  <c r="K181" i="52" s="1"/>
  <c r="J181" i="52" s="1"/>
  <c r="I181" i="52" s="1"/>
  <c r="H181" i="52" s="1"/>
  <c r="G181" i="52" s="1"/>
  <c r="U180" i="52"/>
  <c r="T180" i="52" s="1"/>
  <c r="S180" i="52" s="1"/>
  <c r="R180" i="52" s="1"/>
  <c r="Q180" i="52" s="1"/>
  <c r="P180" i="52" s="1"/>
  <c r="O180" i="52" s="1"/>
  <c r="N180" i="52" s="1"/>
  <c r="M180" i="52" s="1"/>
  <c r="L180" i="52" s="1"/>
  <c r="K180" i="52" s="1"/>
  <c r="J180" i="52" s="1"/>
  <c r="I180" i="52" s="1"/>
  <c r="H180" i="52" s="1"/>
  <c r="G180" i="52" s="1"/>
  <c r="U179" i="52"/>
  <c r="T179" i="52" s="1"/>
  <c r="S179" i="52" s="1"/>
  <c r="R179" i="52" s="1"/>
  <c r="Q179" i="52" s="1"/>
  <c r="P179" i="52" s="1"/>
  <c r="O179" i="52" s="1"/>
  <c r="N179" i="52" s="1"/>
  <c r="M179" i="52" s="1"/>
  <c r="L179" i="52" s="1"/>
  <c r="K179" i="52" s="1"/>
  <c r="J179" i="52" s="1"/>
  <c r="I179" i="52" s="1"/>
  <c r="H179" i="52" s="1"/>
  <c r="G179" i="52" s="1"/>
  <c r="U178" i="52"/>
  <c r="T178" i="52" s="1"/>
  <c r="S178" i="52" s="1"/>
  <c r="R178" i="52" s="1"/>
  <c r="Q178" i="52" s="1"/>
  <c r="P178" i="52" s="1"/>
  <c r="O178" i="52" s="1"/>
  <c r="N178" i="52" s="1"/>
  <c r="M178" i="52" s="1"/>
  <c r="L178" i="52" s="1"/>
  <c r="K178" i="52" s="1"/>
  <c r="J178" i="52" s="1"/>
  <c r="I178" i="52" s="1"/>
  <c r="H178" i="52" s="1"/>
  <c r="G178" i="52" s="1"/>
  <c r="U177" i="52"/>
  <c r="T177" i="52" s="1"/>
  <c r="S177" i="52" s="1"/>
  <c r="R177" i="52" s="1"/>
  <c r="Q177" i="52" s="1"/>
  <c r="P177" i="52" s="1"/>
  <c r="O177" i="52" s="1"/>
  <c r="N177" i="52" s="1"/>
  <c r="M177" i="52" s="1"/>
  <c r="L177" i="52" s="1"/>
  <c r="K177" i="52" s="1"/>
  <c r="J177" i="52" s="1"/>
  <c r="I177" i="52" s="1"/>
  <c r="H177" i="52" s="1"/>
  <c r="G177" i="52" s="1"/>
  <c r="U176" i="52"/>
  <c r="T176" i="52" s="1"/>
  <c r="S176" i="52" s="1"/>
  <c r="R176" i="52" s="1"/>
  <c r="Q176" i="52" s="1"/>
  <c r="P176" i="52" s="1"/>
  <c r="O176" i="52" s="1"/>
  <c r="N176" i="52" s="1"/>
  <c r="M176" i="52" s="1"/>
  <c r="L176" i="52" s="1"/>
  <c r="K176" i="52" s="1"/>
  <c r="J176" i="52" s="1"/>
  <c r="I176" i="52" s="1"/>
  <c r="H176" i="52" s="1"/>
  <c r="G176" i="52" s="1"/>
  <c r="U175" i="52"/>
  <c r="T175" i="52" s="1"/>
  <c r="S175" i="52" s="1"/>
  <c r="R175" i="52" s="1"/>
  <c r="Q175" i="52" s="1"/>
  <c r="P175" i="52" s="1"/>
  <c r="O175" i="52" s="1"/>
  <c r="N175" i="52" s="1"/>
  <c r="M175" i="52" s="1"/>
  <c r="L175" i="52" s="1"/>
  <c r="K175" i="52" s="1"/>
  <c r="J175" i="52" s="1"/>
  <c r="I175" i="52" s="1"/>
  <c r="H175" i="52" s="1"/>
  <c r="G175" i="52" s="1"/>
  <c r="U174" i="52"/>
  <c r="T174" i="52" s="1"/>
  <c r="S174" i="52" s="1"/>
  <c r="R174" i="52" s="1"/>
  <c r="Q174" i="52" s="1"/>
  <c r="P174" i="52" s="1"/>
  <c r="O174" i="52" s="1"/>
  <c r="N174" i="52" s="1"/>
  <c r="M174" i="52" s="1"/>
  <c r="L174" i="52" s="1"/>
  <c r="K174" i="52" s="1"/>
  <c r="J174" i="52" s="1"/>
  <c r="I174" i="52" s="1"/>
  <c r="H174" i="52" s="1"/>
  <c r="G174" i="52" s="1"/>
  <c r="U173" i="52"/>
  <c r="T173" i="52" s="1"/>
  <c r="S173" i="52" s="1"/>
  <c r="R173" i="52" s="1"/>
  <c r="Q173" i="52" s="1"/>
  <c r="P173" i="52" s="1"/>
  <c r="O173" i="52" s="1"/>
  <c r="N173" i="52" s="1"/>
  <c r="M173" i="52" s="1"/>
  <c r="L173" i="52" s="1"/>
  <c r="K173" i="52" s="1"/>
  <c r="J173" i="52" s="1"/>
  <c r="I173" i="52" s="1"/>
  <c r="H173" i="52" s="1"/>
  <c r="G173" i="52" s="1"/>
  <c r="U172" i="52"/>
  <c r="T172" i="52" s="1"/>
  <c r="S172" i="52" s="1"/>
  <c r="R172" i="52" s="1"/>
  <c r="Q172" i="52" s="1"/>
  <c r="P172" i="52" s="1"/>
  <c r="O172" i="52" s="1"/>
  <c r="N172" i="52" s="1"/>
  <c r="M172" i="52" s="1"/>
  <c r="L172" i="52" s="1"/>
  <c r="K172" i="52" s="1"/>
  <c r="J172" i="52" s="1"/>
  <c r="I172" i="52" s="1"/>
  <c r="H172" i="52" s="1"/>
  <c r="G172" i="52" s="1"/>
  <c r="U171" i="52"/>
  <c r="T171" i="52" s="1"/>
  <c r="S171" i="52" s="1"/>
  <c r="R171" i="52" s="1"/>
  <c r="Q171" i="52" s="1"/>
  <c r="P171" i="52" s="1"/>
  <c r="O171" i="52" s="1"/>
  <c r="N171" i="52" s="1"/>
  <c r="M171" i="52" s="1"/>
  <c r="L171" i="52" s="1"/>
  <c r="K171" i="52" s="1"/>
  <c r="J171" i="52" s="1"/>
  <c r="I171" i="52" s="1"/>
  <c r="H171" i="52" s="1"/>
  <c r="G171" i="52" s="1"/>
  <c r="U170" i="52"/>
  <c r="T170" i="52" s="1"/>
  <c r="S170" i="52" s="1"/>
  <c r="R170" i="52" s="1"/>
  <c r="Q170" i="52" s="1"/>
  <c r="P170" i="52" s="1"/>
  <c r="O170" i="52" s="1"/>
  <c r="N170" i="52" s="1"/>
  <c r="M170" i="52" s="1"/>
  <c r="L170" i="52" s="1"/>
  <c r="K170" i="52" s="1"/>
  <c r="J170" i="52" s="1"/>
  <c r="I170" i="52" s="1"/>
  <c r="H170" i="52" s="1"/>
  <c r="G170" i="52" s="1"/>
  <c r="U169" i="52"/>
  <c r="T169" i="52" s="1"/>
  <c r="S169" i="52" s="1"/>
  <c r="R169" i="52" s="1"/>
  <c r="Q169" i="52" s="1"/>
  <c r="P169" i="52" s="1"/>
  <c r="O169" i="52" s="1"/>
  <c r="N169" i="52" s="1"/>
  <c r="M169" i="52" s="1"/>
  <c r="L169" i="52" s="1"/>
  <c r="K169" i="52" s="1"/>
  <c r="J169" i="52" s="1"/>
  <c r="I169" i="52" s="1"/>
  <c r="H169" i="52" s="1"/>
  <c r="G169" i="52" s="1"/>
  <c r="U168" i="52"/>
  <c r="T168" i="52" s="1"/>
  <c r="S168" i="52" s="1"/>
  <c r="R168" i="52" s="1"/>
  <c r="Q168" i="52" s="1"/>
  <c r="P168" i="52" s="1"/>
  <c r="O168" i="52" s="1"/>
  <c r="N168" i="52" s="1"/>
  <c r="M168" i="52" s="1"/>
  <c r="L168" i="52" s="1"/>
  <c r="K168" i="52" s="1"/>
  <c r="J168" i="52" s="1"/>
  <c r="I168" i="52" s="1"/>
  <c r="H168" i="52" s="1"/>
  <c r="G168" i="52" s="1"/>
  <c r="U167" i="52"/>
  <c r="T167" i="52" s="1"/>
  <c r="S167" i="52" s="1"/>
  <c r="R167" i="52" s="1"/>
  <c r="Q167" i="52" s="1"/>
  <c r="P167" i="52" s="1"/>
  <c r="O167" i="52" s="1"/>
  <c r="N167" i="52" s="1"/>
  <c r="M167" i="52" s="1"/>
  <c r="L167" i="52" s="1"/>
  <c r="K167" i="52" s="1"/>
  <c r="J167" i="52" s="1"/>
  <c r="I167" i="52" s="1"/>
  <c r="H167" i="52" s="1"/>
  <c r="G167" i="52" s="1"/>
  <c r="U166" i="52"/>
  <c r="T166" i="52" s="1"/>
  <c r="S166" i="52" s="1"/>
  <c r="R166" i="52" s="1"/>
  <c r="Q166" i="52" s="1"/>
  <c r="P166" i="52" s="1"/>
  <c r="O166" i="52" s="1"/>
  <c r="N166" i="52" s="1"/>
  <c r="M166" i="52" s="1"/>
  <c r="L166" i="52" s="1"/>
  <c r="K166" i="52" s="1"/>
  <c r="J166" i="52" s="1"/>
  <c r="I166" i="52" s="1"/>
  <c r="H166" i="52" s="1"/>
  <c r="G166" i="52" s="1"/>
  <c r="U165" i="52"/>
  <c r="T165" i="52" s="1"/>
  <c r="S165" i="52" s="1"/>
  <c r="R165" i="52" s="1"/>
  <c r="Q165" i="52" s="1"/>
  <c r="P165" i="52" s="1"/>
  <c r="O165" i="52" s="1"/>
  <c r="N165" i="52" s="1"/>
  <c r="M165" i="52" s="1"/>
  <c r="L165" i="52" s="1"/>
  <c r="K165" i="52" s="1"/>
  <c r="J165" i="52" s="1"/>
  <c r="I165" i="52" s="1"/>
  <c r="H165" i="52" s="1"/>
  <c r="G165" i="52" s="1"/>
  <c r="U164" i="52"/>
  <c r="T164" i="52" s="1"/>
  <c r="S164" i="52" s="1"/>
  <c r="R164" i="52" s="1"/>
  <c r="Q164" i="52" s="1"/>
  <c r="P164" i="52" s="1"/>
  <c r="O164" i="52" s="1"/>
  <c r="N164" i="52" s="1"/>
  <c r="M164" i="52" s="1"/>
  <c r="L164" i="52" s="1"/>
  <c r="K164" i="52" s="1"/>
  <c r="J164" i="52" s="1"/>
  <c r="I164" i="52" s="1"/>
  <c r="H164" i="52" s="1"/>
  <c r="G164" i="52" s="1"/>
  <c r="U163" i="52"/>
  <c r="T163" i="52" s="1"/>
  <c r="S163" i="52" s="1"/>
  <c r="R163" i="52" s="1"/>
  <c r="Q163" i="52" s="1"/>
  <c r="P163" i="52" s="1"/>
  <c r="O163" i="52" s="1"/>
  <c r="N163" i="52" s="1"/>
  <c r="M163" i="52" s="1"/>
  <c r="L163" i="52" s="1"/>
  <c r="K163" i="52" s="1"/>
  <c r="J163" i="52" s="1"/>
  <c r="I163" i="52" s="1"/>
  <c r="H163" i="52" s="1"/>
  <c r="G163" i="52" s="1"/>
  <c r="U162" i="52"/>
  <c r="T162" i="52" s="1"/>
  <c r="S162" i="52" s="1"/>
  <c r="R162" i="52" s="1"/>
  <c r="Q162" i="52" s="1"/>
  <c r="P162" i="52" s="1"/>
  <c r="O162" i="52" s="1"/>
  <c r="N162" i="52" s="1"/>
  <c r="M162" i="52" s="1"/>
  <c r="L162" i="52" s="1"/>
  <c r="K162" i="52" s="1"/>
  <c r="J162" i="52" s="1"/>
  <c r="I162" i="52" s="1"/>
  <c r="H162" i="52" s="1"/>
  <c r="G162" i="52" s="1"/>
  <c r="U161" i="52"/>
  <c r="T161" i="52" s="1"/>
  <c r="S161" i="52" s="1"/>
  <c r="R161" i="52" s="1"/>
  <c r="Q161" i="52" s="1"/>
  <c r="P161" i="52" s="1"/>
  <c r="O161" i="52" s="1"/>
  <c r="N161" i="52" s="1"/>
  <c r="M161" i="52" s="1"/>
  <c r="L161" i="52" s="1"/>
  <c r="K161" i="52" s="1"/>
  <c r="J161" i="52" s="1"/>
  <c r="I161" i="52" s="1"/>
  <c r="H161" i="52" s="1"/>
  <c r="G161" i="52" s="1"/>
  <c r="U160" i="52"/>
  <c r="T160" i="52" s="1"/>
  <c r="S160" i="52" s="1"/>
  <c r="R160" i="52" s="1"/>
  <c r="Q160" i="52" s="1"/>
  <c r="P160" i="52" s="1"/>
  <c r="O160" i="52" s="1"/>
  <c r="N160" i="52" s="1"/>
  <c r="M160" i="52" s="1"/>
  <c r="L160" i="52" s="1"/>
  <c r="K160" i="52" s="1"/>
  <c r="J160" i="52" s="1"/>
  <c r="I160" i="52" s="1"/>
  <c r="H160" i="52" s="1"/>
  <c r="G160" i="52" s="1"/>
  <c r="U159" i="52"/>
  <c r="T159" i="52" s="1"/>
  <c r="S159" i="52" s="1"/>
  <c r="R159" i="52" s="1"/>
  <c r="Q159" i="52" s="1"/>
  <c r="P159" i="52" s="1"/>
  <c r="O159" i="52" s="1"/>
  <c r="N159" i="52" s="1"/>
  <c r="M159" i="52" s="1"/>
  <c r="L159" i="52" s="1"/>
  <c r="K159" i="52" s="1"/>
  <c r="J159" i="52" s="1"/>
  <c r="I159" i="52" s="1"/>
  <c r="H159" i="52" s="1"/>
  <c r="G159" i="52" s="1"/>
  <c r="U158" i="52"/>
  <c r="T158" i="52" s="1"/>
  <c r="S158" i="52" s="1"/>
  <c r="R158" i="52" s="1"/>
  <c r="Q158" i="52" s="1"/>
  <c r="P158" i="52" s="1"/>
  <c r="O158" i="52" s="1"/>
  <c r="N158" i="52" s="1"/>
  <c r="M158" i="52" s="1"/>
  <c r="L158" i="52" s="1"/>
  <c r="K158" i="52" s="1"/>
  <c r="J158" i="52"/>
  <c r="I158" i="52" s="1"/>
  <c r="H158" i="52"/>
  <c r="G158" i="52"/>
  <c r="U157" i="52"/>
  <c r="T157" i="52" s="1"/>
  <c r="S157" i="52" s="1"/>
  <c r="R157" i="52" s="1"/>
  <c r="Q157" i="52" s="1"/>
  <c r="P157" i="52" s="1"/>
  <c r="O157" i="52" s="1"/>
  <c r="N157" i="52" s="1"/>
  <c r="M157" i="52" s="1"/>
  <c r="L157" i="52" s="1"/>
  <c r="K157" i="52" s="1"/>
  <c r="J157" i="52" s="1"/>
  <c r="I157" i="52" s="1"/>
  <c r="H157" i="52"/>
  <c r="G157" i="52" s="1"/>
  <c r="U156" i="52"/>
  <c r="T156" i="52" s="1"/>
  <c r="S156" i="52" s="1"/>
  <c r="R156" i="52" s="1"/>
  <c r="Q156" i="52" s="1"/>
  <c r="P156" i="52" s="1"/>
  <c r="O156" i="52" s="1"/>
  <c r="N156" i="52" s="1"/>
  <c r="M156" i="52" s="1"/>
  <c r="L156" i="52" s="1"/>
  <c r="K156" i="52" s="1"/>
  <c r="J156" i="52" s="1"/>
  <c r="I156" i="52" s="1"/>
  <c r="H156" i="52" s="1"/>
  <c r="G156" i="52" s="1"/>
  <c r="U155" i="52"/>
  <c r="T155" i="52" s="1"/>
  <c r="S155" i="52" s="1"/>
  <c r="R155" i="52" s="1"/>
  <c r="Q155" i="52" s="1"/>
  <c r="P155" i="52" s="1"/>
  <c r="O155" i="52" s="1"/>
  <c r="N155" i="52" s="1"/>
  <c r="M155" i="52" s="1"/>
  <c r="L155" i="52" s="1"/>
  <c r="K155" i="52" s="1"/>
  <c r="J155" i="52" s="1"/>
  <c r="I155" i="52" s="1"/>
  <c r="H155" i="52" s="1"/>
  <c r="G155" i="52" s="1"/>
  <c r="U154" i="52"/>
  <c r="T154" i="52" s="1"/>
  <c r="S154" i="52" s="1"/>
  <c r="R154" i="52" s="1"/>
  <c r="Q154" i="52" s="1"/>
  <c r="P154" i="52" s="1"/>
  <c r="O154" i="52" s="1"/>
  <c r="N154" i="52" s="1"/>
  <c r="M154" i="52" s="1"/>
  <c r="L154" i="52" s="1"/>
  <c r="K154" i="52" s="1"/>
  <c r="J154" i="52" s="1"/>
  <c r="I154" i="52" s="1"/>
  <c r="H154" i="52" s="1"/>
  <c r="G154" i="52" s="1"/>
  <c r="U153" i="52"/>
  <c r="T153" i="52" s="1"/>
  <c r="S153" i="52" s="1"/>
  <c r="R153" i="52" s="1"/>
  <c r="Q153" i="52" s="1"/>
  <c r="P153" i="52" s="1"/>
  <c r="O153" i="52" s="1"/>
  <c r="N153" i="52" s="1"/>
  <c r="M153" i="52" s="1"/>
  <c r="L153" i="52" s="1"/>
  <c r="K153" i="52" s="1"/>
  <c r="J153" i="52" s="1"/>
  <c r="I153" i="52" s="1"/>
  <c r="H153" i="52" s="1"/>
  <c r="G153" i="52" s="1"/>
  <c r="U152" i="52"/>
  <c r="T152" i="52" s="1"/>
  <c r="S152" i="52" s="1"/>
  <c r="R152" i="52" s="1"/>
  <c r="Q152" i="52" s="1"/>
  <c r="P152" i="52" s="1"/>
  <c r="O152" i="52" s="1"/>
  <c r="N152" i="52" s="1"/>
  <c r="M152" i="52" s="1"/>
  <c r="L152" i="52" s="1"/>
  <c r="K152" i="52" s="1"/>
  <c r="J152" i="52" s="1"/>
  <c r="I152" i="52" s="1"/>
  <c r="H152" i="52" s="1"/>
  <c r="G152" i="52" s="1"/>
  <c r="U151" i="52"/>
  <c r="T151" i="52" s="1"/>
  <c r="S151" i="52" s="1"/>
  <c r="R151" i="52" s="1"/>
  <c r="Q151" i="52" s="1"/>
  <c r="P151" i="52" s="1"/>
  <c r="O151" i="52" s="1"/>
  <c r="N151" i="52" s="1"/>
  <c r="M151" i="52" s="1"/>
  <c r="L151" i="52" s="1"/>
  <c r="K151" i="52" s="1"/>
  <c r="J151" i="52" s="1"/>
  <c r="I151" i="52" s="1"/>
  <c r="H151" i="52" s="1"/>
  <c r="G151" i="52" s="1"/>
  <c r="U150" i="52"/>
  <c r="T150" i="52" s="1"/>
  <c r="S150" i="52" s="1"/>
  <c r="R150" i="52" s="1"/>
  <c r="Q150" i="52" s="1"/>
  <c r="P150" i="52" s="1"/>
  <c r="O150" i="52" s="1"/>
  <c r="N150" i="52" s="1"/>
  <c r="M150" i="52" s="1"/>
  <c r="L150" i="52" s="1"/>
  <c r="K150" i="52" s="1"/>
  <c r="J150" i="52" s="1"/>
  <c r="I150" i="52" s="1"/>
  <c r="H150" i="52" s="1"/>
  <c r="G150" i="52" s="1"/>
  <c r="U149" i="52"/>
  <c r="T149" i="52" s="1"/>
  <c r="S149" i="52" s="1"/>
  <c r="R149" i="52" s="1"/>
  <c r="Q149" i="52" s="1"/>
  <c r="P149" i="52" s="1"/>
  <c r="O149" i="52" s="1"/>
  <c r="N149" i="52" s="1"/>
  <c r="M149" i="52" s="1"/>
  <c r="L149" i="52" s="1"/>
  <c r="K149" i="52" s="1"/>
  <c r="J149" i="52" s="1"/>
  <c r="I149" i="52" s="1"/>
  <c r="H149" i="52" s="1"/>
  <c r="G149" i="52" s="1"/>
  <c r="U148" i="52"/>
  <c r="T148" i="52" s="1"/>
  <c r="S148" i="52" s="1"/>
  <c r="R148" i="52" s="1"/>
  <c r="Q148" i="52" s="1"/>
  <c r="P148" i="52" s="1"/>
  <c r="O148" i="52" s="1"/>
  <c r="N148" i="52" s="1"/>
  <c r="M148" i="52" s="1"/>
  <c r="L148" i="52" s="1"/>
  <c r="K148" i="52" s="1"/>
  <c r="J148" i="52" s="1"/>
  <c r="I148" i="52" s="1"/>
  <c r="H148" i="52" s="1"/>
  <c r="G148" i="52" s="1"/>
  <c r="U147" i="52"/>
  <c r="T147" i="52" s="1"/>
  <c r="S147" i="52" s="1"/>
  <c r="R147" i="52" s="1"/>
  <c r="Q147" i="52" s="1"/>
  <c r="P147" i="52" s="1"/>
  <c r="O147" i="52" s="1"/>
  <c r="N147" i="52" s="1"/>
  <c r="M147" i="52" s="1"/>
  <c r="L147" i="52" s="1"/>
  <c r="K147" i="52" s="1"/>
  <c r="J147" i="52" s="1"/>
  <c r="I147" i="52"/>
  <c r="H147" i="52"/>
  <c r="G147" i="52"/>
  <c r="U146" i="52"/>
  <c r="T146" i="52" s="1"/>
  <c r="S146" i="52" s="1"/>
  <c r="R146" i="52" s="1"/>
  <c r="Q146" i="52" s="1"/>
  <c r="P146" i="52" s="1"/>
  <c r="O146" i="52" s="1"/>
  <c r="N146" i="52" s="1"/>
  <c r="M146" i="52" s="1"/>
  <c r="L146" i="52" s="1"/>
  <c r="K146" i="52" s="1"/>
  <c r="J146" i="52" s="1"/>
  <c r="I146" i="52" s="1"/>
  <c r="H146" i="52" s="1"/>
  <c r="G146" i="52" s="1"/>
  <c r="U145" i="52"/>
  <c r="T145" i="52" s="1"/>
  <c r="S145" i="52" s="1"/>
  <c r="R145" i="52" s="1"/>
  <c r="Q145" i="52" s="1"/>
  <c r="P145" i="52" s="1"/>
  <c r="O145" i="52" s="1"/>
  <c r="N145" i="52" s="1"/>
  <c r="M145" i="52" s="1"/>
  <c r="L145" i="52" s="1"/>
  <c r="K145" i="52" s="1"/>
  <c r="J145" i="52" s="1"/>
  <c r="I145" i="52" s="1"/>
  <c r="H145" i="52" s="1"/>
  <c r="G145" i="52" s="1"/>
  <c r="U144" i="52"/>
  <c r="T144" i="52" s="1"/>
  <c r="S144" i="52" s="1"/>
  <c r="R144" i="52" s="1"/>
  <c r="Q144" i="52" s="1"/>
  <c r="P144" i="52" s="1"/>
  <c r="O144" i="52" s="1"/>
  <c r="N144" i="52" s="1"/>
  <c r="M144" i="52" s="1"/>
  <c r="L144" i="52" s="1"/>
  <c r="K144" i="52" s="1"/>
  <c r="J144" i="52" s="1"/>
  <c r="I144" i="52" s="1"/>
  <c r="H144" i="52" s="1"/>
  <c r="G144" i="52" s="1"/>
  <c r="U143" i="52"/>
  <c r="T143" i="52" s="1"/>
  <c r="S143" i="52" s="1"/>
  <c r="R143" i="52" s="1"/>
  <c r="Q143" i="52" s="1"/>
  <c r="P143" i="52" s="1"/>
  <c r="O143" i="52" s="1"/>
  <c r="N143" i="52" s="1"/>
  <c r="M143" i="52" s="1"/>
  <c r="L143" i="52" s="1"/>
  <c r="K143" i="52" s="1"/>
  <c r="J143" i="52" s="1"/>
  <c r="I143" i="52" s="1"/>
  <c r="H143" i="52" s="1"/>
  <c r="G143" i="52" s="1"/>
  <c r="U142" i="52"/>
  <c r="T142" i="52" s="1"/>
  <c r="S142" i="52" s="1"/>
  <c r="R142" i="52" s="1"/>
  <c r="Q142" i="52" s="1"/>
  <c r="P142" i="52" s="1"/>
  <c r="O142" i="52" s="1"/>
  <c r="N142" i="52" s="1"/>
  <c r="M142" i="52" s="1"/>
  <c r="L142" i="52" s="1"/>
  <c r="K142" i="52" s="1"/>
  <c r="J142" i="52" s="1"/>
  <c r="I142" i="52" s="1"/>
  <c r="H142" i="52" s="1"/>
  <c r="G142" i="52" s="1"/>
  <c r="U141" i="52"/>
  <c r="T141" i="52" s="1"/>
  <c r="S141" i="52" s="1"/>
  <c r="R141" i="52" s="1"/>
  <c r="Q141" i="52" s="1"/>
  <c r="P141" i="52" s="1"/>
  <c r="O141" i="52" s="1"/>
  <c r="N141" i="52" s="1"/>
  <c r="M141" i="52" s="1"/>
  <c r="L141" i="52" s="1"/>
  <c r="K141" i="52" s="1"/>
  <c r="J141" i="52" s="1"/>
  <c r="I141" i="52" s="1"/>
  <c r="H141" i="52" s="1"/>
  <c r="G141" i="52" s="1"/>
  <c r="U140" i="52"/>
  <c r="T140" i="52" s="1"/>
  <c r="S140" i="52" s="1"/>
  <c r="R140" i="52" s="1"/>
  <c r="Q140" i="52" s="1"/>
  <c r="P140" i="52" s="1"/>
  <c r="O140" i="52" s="1"/>
  <c r="N140" i="52" s="1"/>
  <c r="M140" i="52" s="1"/>
  <c r="L140" i="52" s="1"/>
  <c r="K140" i="52" s="1"/>
  <c r="J140" i="52" s="1"/>
  <c r="I140" i="52" s="1"/>
  <c r="H140" i="52" s="1"/>
  <c r="G140" i="52" s="1"/>
  <c r="U139" i="52"/>
  <c r="T139" i="52" s="1"/>
  <c r="S139" i="52" s="1"/>
  <c r="R139" i="52" s="1"/>
  <c r="Q139" i="52" s="1"/>
  <c r="P139" i="52" s="1"/>
  <c r="O139" i="52" s="1"/>
  <c r="N139" i="52" s="1"/>
  <c r="M139" i="52" s="1"/>
  <c r="L139" i="52" s="1"/>
  <c r="K139" i="52" s="1"/>
  <c r="J139" i="52" s="1"/>
  <c r="I139" i="52" s="1"/>
  <c r="H139" i="52" s="1"/>
  <c r="G139" i="52" s="1"/>
  <c r="U138" i="52"/>
  <c r="T138" i="52" s="1"/>
  <c r="S138" i="52" s="1"/>
  <c r="R138" i="52" s="1"/>
  <c r="Q138" i="52" s="1"/>
  <c r="P138" i="52" s="1"/>
  <c r="O138" i="52" s="1"/>
  <c r="N138" i="52" s="1"/>
  <c r="M138" i="52" s="1"/>
  <c r="L138" i="52" s="1"/>
  <c r="K138" i="52" s="1"/>
  <c r="J138" i="52" s="1"/>
  <c r="I138" i="52" s="1"/>
  <c r="H138" i="52" s="1"/>
  <c r="G138" i="52" s="1"/>
  <c r="U137" i="52"/>
  <c r="T137" i="52" s="1"/>
  <c r="S137" i="52" s="1"/>
  <c r="R137" i="52" s="1"/>
  <c r="Q137" i="52" s="1"/>
  <c r="P137" i="52" s="1"/>
  <c r="O137" i="52" s="1"/>
  <c r="N137" i="52" s="1"/>
  <c r="M137" i="52" s="1"/>
  <c r="L137" i="52" s="1"/>
  <c r="K137" i="52" s="1"/>
  <c r="J137" i="52" s="1"/>
  <c r="I137" i="52" s="1"/>
  <c r="H137" i="52" s="1"/>
  <c r="G137" i="52" s="1"/>
  <c r="U136" i="52"/>
  <c r="T136" i="52" s="1"/>
  <c r="S136" i="52" s="1"/>
  <c r="R136" i="52" s="1"/>
  <c r="Q136" i="52" s="1"/>
  <c r="P136" i="52" s="1"/>
  <c r="O136" i="52" s="1"/>
  <c r="N136" i="52" s="1"/>
  <c r="M136" i="52" s="1"/>
  <c r="L136" i="52" s="1"/>
  <c r="K136" i="52" s="1"/>
  <c r="J136" i="52" s="1"/>
  <c r="I136" i="52" s="1"/>
  <c r="H136" i="52" s="1"/>
  <c r="G136" i="52" s="1"/>
  <c r="U135" i="52"/>
  <c r="T135" i="52" s="1"/>
  <c r="S135" i="52" s="1"/>
  <c r="R135" i="52" s="1"/>
  <c r="Q135" i="52" s="1"/>
  <c r="P135" i="52" s="1"/>
  <c r="O135" i="52" s="1"/>
  <c r="N135" i="52" s="1"/>
  <c r="M135" i="52" s="1"/>
  <c r="L135" i="52" s="1"/>
  <c r="K135" i="52" s="1"/>
  <c r="J135" i="52" s="1"/>
  <c r="I135" i="52" s="1"/>
  <c r="H135" i="52" s="1"/>
  <c r="G135" i="52" s="1"/>
  <c r="U134" i="52"/>
  <c r="T134" i="52" s="1"/>
  <c r="S134" i="52" s="1"/>
  <c r="R134" i="52" s="1"/>
  <c r="Q134" i="52" s="1"/>
  <c r="P134" i="52" s="1"/>
  <c r="O134" i="52" s="1"/>
  <c r="N134" i="52" s="1"/>
  <c r="M134" i="52" s="1"/>
  <c r="L134" i="52" s="1"/>
  <c r="K134" i="52" s="1"/>
  <c r="J134" i="52" s="1"/>
  <c r="I134" i="52" s="1"/>
  <c r="H134" i="52" s="1"/>
  <c r="G134" i="52" s="1"/>
  <c r="U133" i="52"/>
  <c r="T133" i="52" s="1"/>
  <c r="S133" i="52" s="1"/>
  <c r="R133" i="52" s="1"/>
  <c r="Q133" i="52" s="1"/>
  <c r="P133" i="52" s="1"/>
  <c r="O133" i="52" s="1"/>
  <c r="N133" i="52" s="1"/>
  <c r="M133" i="52" s="1"/>
  <c r="L133" i="52" s="1"/>
  <c r="K133" i="52" s="1"/>
  <c r="J133" i="52" s="1"/>
  <c r="I133" i="52" s="1"/>
  <c r="H133" i="52" s="1"/>
  <c r="G133" i="52" s="1"/>
  <c r="U132" i="52"/>
  <c r="T132" i="52" s="1"/>
  <c r="S132" i="52" s="1"/>
  <c r="R132" i="52" s="1"/>
  <c r="Q132" i="52" s="1"/>
  <c r="P132" i="52" s="1"/>
  <c r="O132" i="52" s="1"/>
  <c r="N132" i="52" s="1"/>
  <c r="M132" i="52" s="1"/>
  <c r="L132" i="52" s="1"/>
  <c r="K132" i="52" s="1"/>
  <c r="J132" i="52"/>
  <c r="I132" i="52" s="1"/>
  <c r="H132" i="52" s="1"/>
  <c r="G132" i="52" s="1"/>
  <c r="U131" i="52"/>
  <c r="T131" i="52" s="1"/>
  <c r="S131" i="52" s="1"/>
  <c r="R131" i="52" s="1"/>
  <c r="Q131" i="52" s="1"/>
  <c r="P131" i="52" s="1"/>
  <c r="O131" i="52" s="1"/>
  <c r="N131" i="52" s="1"/>
  <c r="M131" i="52" s="1"/>
  <c r="L131" i="52" s="1"/>
  <c r="K131" i="52" s="1"/>
  <c r="J131" i="52" s="1"/>
  <c r="I131" i="52" s="1"/>
  <c r="H131" i="52" s="1"/>
  <c r="G131" i="52" s="1"/>
  <c r="U130" i="52"/>
  <c r="T130" i="52" s="1"/>
  <c r="S130" i="52" s="1"/>
  <c r="R130" i="52" s="1"/>
  <c r="Q130" i="52" s="1"/>
  <c r="P130" i="52" s="1"/>
  <c r="O130" i="52" s="1"/>
  <c r="N130" i="52" s="1"/>
  <c r="M130" i="52" s="1"/>
  <c r="L130" i="52" s="1"/>
  <c r="K130" i="52" s="1"/>
  <c r="J130" i="52" s="1"/>
  <c r="I130" i="52" s="1"/>
  <c r="H130" i="52" s="1"/>
  <c r="G130" i="52" s="1"/>
  <c r="U129" i="52"/>
  <c r="T129" i="52" s="1"/>
  <c r="S129" i="52" s="1"/>
  <c r="R129" i="52" s="1"/>
  <c r="Q129" i="52" s="1"/>
  <c r="P129" i="52" s="1"/>
  <c r="O129" i="52" s="1"/>
  <c r="N129" i="52" s="1"/>
  <c r="M129" i="52" s="1"/>
  <c r="L129" i="52" s="1"/>
  <c r="K129" i="52" s="1"/>
  <c r="J129" i="52" s="1"/>
  <c r="I129" i="52" s="1"/>
  <c r="H129" i="52" s="1"/>
  <c r="G129" i="52" s="1"/>
  <c r="U128" i="52"/>
  <c r="T128" i="52" s="1"/>
  <c r="S128" i="52" s="1"/>
  <c r="R128" i="52" s="1"/>
  <c r="Q128" i="52" s="1"/>
  <c r="P128" i="52" s="1"/>
  <c r="O128" i="52" s="1"/>
  <c r="N128" i="52" s="1"/>
  <c r="M128" i="52" s="1"/>
  <c r="L128" i="52" s="1"/>
  <c r="K128" i="52" s="1"/>
  <c r="J128" i="52" s="1"/>
  <c r="I128" i="52" s="1"/>
  <c r="H128" i="52" s="1"/>
  <c r="G128" i="52" s="1"/>
  <c r="U127" i="52"/>
  <c r="T127" i="52" s="1"/>
  <c r="S127" i="52" s="1"/>
  <c r="R127" i="52" s="1"/>
  <c r="Q127" i="52" s="1"/>
  <c r="P127" i="52" s="1"/>
  <c r="O127" i="52" s="1"/>
  <c r="N127" i="52" s="1"/>
  <c r="M127" i="52" s="1"/>
  <c r="L127" i="52" s="1"/>
  <c r="K127" i="52" s="1"/>
  <c r="J127" i="52" s="1"/>
  <c r="I127" i="52" s="1"/>
  <c r="H127" i="52" s="1"/>
  <c r="G127" i="52" s="1"/>
  <c r="U126" i="52"/>
  <c r="T126" i="52" s="1"/>
  <c r="S126" i="52" s="1"/>
  <c r="R126" i="52" s="1"/>
  <c r="Q126" i="52" s="1"/>
  <c r="P126" i="52" s="1"/>
  <c r="O126" i="52" s="1"/>
  <c r="N126" i="52" s="1"/>
  <c r="M126" i="52" s="1"/>
  <c r="L126" i="52" s="1"/>
  <c r="K126" i="52" s="1"/>
  <c r="J126" i="52" s="1"/>
  <c r="I126" i="52" s="1"/>
  <c r="H126" i="52" s="1"/>
  <c r="G126" i="52" s="1"/>
  <c r="U125" i="52"/>
  <c r="T125" i="52" s="1"/>
  <c r="S125" i="52" s="1"/>
  <c r="R125" i="52" s="1"/>
  <c r="Q125" i="52" s="1"/>
  <c r="P125" i="52" s="1"/>
  <c r="O125" i="52" s="1"/>
  <c r="N125" i="52" s="1"/>
  <c r="M125" i="52" s="1"/>
  <c r="L125" i="52" s="1"/>
  <c r="K125" i="52" s="1"/>
  <c r="J125" i="52" s="1"/>
  <c r="I125" i="52" s="1"/>
  <c r="H125" i="52" s="1"/>
  <c r="G125" i="52" s="1"/>
  <c r="U124" i="52"/>
  <c r="T124" i="52" s="1"/>
  <c r="S124" i="52" s="1"/>
  <c r="R124" i="52" s="1"/>
  <c r="Q124" i="52" s="1"/>
  <c r="P124" i="52" s="1"/>
  <c r="O124" i="52" s="1"/>
  <c r="N124" i="52" s="1"/>
  <c r="M124" i="52" s="1"/>
  <c r="L124" i="52" s="1"/>
  <c r="K124" i="52" s="1"/>
  <c r="J124" i="52" s="1"/>
  <c r="I124" i="52"/>
  <c r="H124" i="52"/>
  <c r="G124" i="52"/>
  <c r="U123" i="52"/>
  <c r="T123" i="52" s="1"/>
  <c r="S123" i="52" s="1"/>
  <c r="R123" i="52" s="1"/>
  <c r="Q123" i="52" s="1"/>
  <c r="P123" i="52" s="1"/>
  <c r="O123" i="52" s="1"/>
  <c r="N123" i="52" s="1"/>
  <c r="M123" i="52" s="1"/>
  <c r="L123" i="52" s="1"/>
  <c r="K123" i="52" s="1"/>
  <c r="J123" i="52" s="1"/>
  <c r="I123" i="52" s="1"/>
  <c r="H123" i="52" s="1"/>
  <c r="G123" i="52" s="1"/>
  <c r="U122" i="52"/>
  <c r="T122" i="52" s="1"/>
  <c r="S122" i="52" s="1"/>
  <c r="R122" i="52" s="1"/>
  <c r="Q122" i="52" s="1"/>
  <c r="P122" i="52" s="1"/>
  <c r="O122" i="52" s="1"/>
  <c r="N122" i="52" s="1"/>
  <c r="M122" i="52" s="1"/>
  <c r="L122" i="52" s="1"/>
  <c r="K122" i="52" s="1"/>
  <c r="J122" i="52" s="1"/>
  <c r="I122" i="52" s="1"/>
  <c r="H122" i="52" s="1"/>
  <c r="G122" i="52" s="1"/>
  <c r="U121" i="52"/>
  <c r="T121" i="52" s="1"/>
  <c r="S121" i="52" s="1"/>
  <c r="R121" i="52" s="1"/>
  <c r="Q121" i="52" s="1"/>
  <c r="P121" i="52" s="1"/>
  <c r="O121" i="52" s="1"/>
  <c r="N121" i="52" s="1"/>
  <c r="M121" i="52" s="1"/>
  <c r="L121" i="52" s="1"/>
  <c r="K121" i="52" s="1"/>
  <c r="J121" i="52" s="1"/>
  <c r="I121" i="52" s="1"/>
  <c r="H121" i="52" s="1"/>
  <c r="G121" i="52" s="1"/>
  <c r="U120" i="52"/>
  <c r="T120" i="52" s="1"/>
  <c r="S120" i="52" s="1"/>
  <c r="R120" i="52" s="1"/>
  <c r="Q120" i="52" s="1"/>
  <c r="P120" i="52" s="1"/>
  <c r="O120" i="52" s="1"/>
  <c r="N120" i="52" s="1"/>
  <c r="M120" i="52" s="1"/>
  <c r="L120" i="52" s="1"/>
  <c r="K120" i="52" s="1"/>
  <c r="J120" i="52" s="1"/>
  <c r="I120" i="52" s="1"/>
  <c r="H120" i="52" s="1"/>
  <c r="G120" i="52" s="1"/>
  <c r="U119" i="52"/>
  <c r="T119" i="52" s="1"/>
  <c r="S119" i="52" s="1"/>
  <c r="R119" i="52" s="1"/>
  <c r="Q119" i="52" s="1"/>
  <c r="P119" i="52" s="1"/>
  <c r="O119" i="52" s="1"/>
  <c r="N119" i="52" s="1"/>
  <c r="M119" i="52" s="1"/>
  <c r="L119" i="52" s="1"/>
  <c r="K119" i="52" s="1"/>
  <c r="J119" i="52" s="1"/>
  <c r="I119" i="52" s="1"/>
  <c r="H119" i="52" s="1"/>
  <c r="G119" i="52" s="1"/>
  <c r="U118" i="52"/>
  <c r="T118" i="52" s="1"/>
  <c r="S118" i="52" s="1"/>
  <c r="R118" i="52" s="1"/>
  <c r="Q118" i="52" s="1"/>
  <c r="P118" i="52" s="1"/>
  <c r="O118" i="52" s="1"/>
  <c r="N118" i="52" s="1"/>
  <c r="M118" i="52" s="1"/>
  <c r="L118" i="52" s="1"/>
  <c r="K118" i="52" s="1"/>
  <c r="J118" i="52" s="1"/>
  <c r="I118" i="52" s="1"/>
  <c r="H118" i="52" s="1"/>
  <c r="G118" i="52" s="1"/>
  <c r="U117" i="52"/>
  <c r="T117" i="52" s="1"/>
  <c r="S117" i="52" s="1"/>
  <c r="R117" i="52" s="1"/>
  <c r="Q117" i="52" s="1"/>
  <c r="P117" i="52" s="1"/>
  <c r="O117" i="52" s="1"/>
  <c r="N117" i="52" s="1"/>
  <c r="M117" i="52" s="1"/>
  <c r="L117" i="52" s="1"/>
  <c r="K117" i="52" s="1"/>
  <c r="J117" i="52" s="1"/>
  <c r="I117" i="52" s="1"/>
  <c r="H117" i="52" s="1"/>
  <c r="G117" i="52" s="1"/>
  <c r="U116" i="52"/>
  <c r="T116" i="52" s="1"/>
  <c r="S116" i="52" s="1"/>
  <c r="R116" i="52" s="1"/>
  <c r="Q116" i="52" s="1"/>
  <c r="P116" i="52" s="1"/>
  <c r="O116" i="52" s="1"/>
  <c r="N116" i="52" s="1"/>
  <c r="M116" i="52" s="1"/>
  <c r="L116" i="52" s="1"/>
  <c r="K116" i="52" s="1"/>
  <c r="J116" i="52" s="1"/>
  <c r="I116" i="52" s="1"/>
  <c r="H116" i="52" s="1"/>
  <c r="G116" i="52" s="1"/>
  <c r="U115" i="52"/>
  <c r="T115" i="52" s="1"/>
  <c r="S115" i="52" s="1"/>
  <c r="R115" i="52" s="1"/>
  <c r="Q115" i="52" s="1"/>
  <c r="P115" i="52" s="1"/>
  <c r="O115" i="52" s="1"/>
  <c r="N115" i="52" s="1"/>
  <c r="M115" i="52" s="1"/>
  <c r="L115" i="52" s="1"/>
  <c r="K115" i="52" s="1"/>
  <c r="J115" i="52" s="1"/>
  <c r="I115" i="52" s="1"/>
  <c r="H115" i="52" s="1"/>
  <c r="G115" i="52" s="1"/>
  <c r="U114" i="52"/>
  <c r="T114" i="52" s="1"/>
  <c r="S114" i="52" s="1"/>
  <c r="R114" i="52" s="1"/>
  <c r="Q114" i="52" s="1"/>
  <c r="P114" i="52" s="1"/>
  <c r="O114" i="52" s="1"/>
  <c r="N114" i="52" s="1"/>
  <c r="M114" i="52" s="1"/>
  <c r="L114" i="52" s="1"/>
  <c r="K114" i="52" s="1"/>
  <c r="J114" i="52" s="1"/>
  <c r="I114" i="52" s="1"/>
  <c r="H114" i="52" s="1"/>
  <c r="G114" i="52" s="1"/>
  <c r="U113" i="52"/>
  <c r="T113" i="52" s="1"/>
  <c r="S113" i="52" s="1"/>
  <c r="R113" i="52" s="1"/>
  <c r="Q113" i="52" s="1"/>
  <c r="P113" i="52" s="1"/>
  <c r="O113" i="52" s="1"/>
  <c r="N113" i="52" s="1"/>
  <c r="M113" i="52" s="1"/>
  <c r="L113" i="52" s="1"/>
  <c r="K113" i="52" s="1"/>
  <c r="J113" i="52" s="1"/>
  <c r="I113" i="52" s="1"/>
  <c r="H113" i="52" s="1"/>
  <c r="G113" i="52" s="1"/>
  <c r="U112" i="52"/>
  <c r="T112" i="52" s="1"/>
  <c r="S112" i="52" s="1"/>
  <c r="R112" i="52" s="1"/>
  <c r="Q112" i="52" s="1"/>
  <c r="P112" i="52" s="1"/>
  <c r="O112" i="52" s="1"/>
  <c r="N112" i="52" s="1"/>
  <c r="M112" i="52" s="1"/>
  <c r="L112" i="52" s="1"/>
  <c r="K112" i="52" s="1"/>
  <c r="J112" i="52" s="1"/>
  <c r="I112" i="52" s="1"/>
  <c r="H112" i="52" s="1"/>
  <c r="G112" i="52" s="1"/>
  <c r="U111" i="52"/>
  <c r="T111" i="52" s="1"/>
  <c r="S111" i="52" s="1"/>
  <c r="R111" i="52" s="1"/>
  <c r="Q111" i="52" s="1"/>
  <c r="P111" i="52" s="1"/>
  <c r="O111" i="52" s="1"/>
  <c r="N111" i="52" s="1"/>
  <c r="M111" i="52" s="1"/>
  <c r="L111" i="52" s="1"/>
  <c r="K111" i="52" s="1"/>
  <c r="J111" i="52" s="1"/>
  <c r="I111" i="52" s="1"/>
  <c r="H111" i="52" s="1"/>
  <c r="G111" i="52" s="1"/>
  <c r="U110" i="52"/>
  <c r="T110" i="52" s="1"/>
  <c r="S110" i="52" s="1"/>
  <c r="R110" i="52" s="1"/>
  <c r="Q110" i="52" s="1"/>
  <c r="P110" i="52" s="1"/>
  <c r="O110" i="52" s="1"/>
  <c r="N110" i="52" s="1"/>
  <c r="M110" i="52" s="1"/>
  <c r="L110" i="52" s="1"/>
  <c r="K110" i="52" s="1"/>
  <c r="J110" i="52" s="1"/>
  <c r="I110" i="52" s="1"/>
  <c r="H110" i="52" s="1"/>
  <c r="G110" i="52" s="1"/>
  <c r="U109" i="52"/>
  <c r="T109" i="52" s="1"/>
  <c r="S109" i="52" s="1"/>
  <c r="R109" i="52" s="1"/>
  <c r="Q109" i="52" s="1"/>
  <c r="P109" i="52" s="1"/>
  <c r="O109" i="52" s="1"/>
  <c r="N109" i="52" s="1"/>
  <c r="M109" i="52" s="1"/>
  <c r="L109" i="52" s="1"/>
  <c r="K109" i="52" s="1"/>
  <c r="J109" i="52" s="1"/>
  <c r="I109" i="52" s="1"/>
  <c r="H109" i="52" s="1"/>
  <c r="G109" i="52" s="1"/>
  <c r="U108" i="52"/>
  <c r="T108" i="52" s="1"/>
  <c r="S108" i="52" s="1"/>
  <c r="R108" i="52" s="1"/>
  <c r="Q108" i="52" s="1"/>
  <c r="P108" i="52" s="1"/>
  <c r="O108" i="52" s="1"/>
  <c r="N108" i="52" s="1"/>
  <c r="M108" i="52" s="1"/>
  <c r="L108" i="52" s="1"/>
  <c r="K108" i="52" s="1"/>
  <c r="J108" i="52" s="1"/>
  <c r="I108" i="52" s="1"/>
  <c r="H108" i="52" s="1"/>
  <c r="G108" i="52" s="1"/>
  <c r="U107" i="52"/>
  <c r="T107" i="52" s="1"/>
  <c r="S107" i="52" s="1"/>
  <c r="R107" i="52" s="1"/>
  <c r="Q107" i="52" s="1"/>
  <c r="P107" i="52" s="1"/>
  <c r="O107" i="52" s="1"/>
  <c r="N107" i="52" s="1"/>
  <c r="M107" i="52" s="1"/>
  <c r="L107" i="52" s="1"/>
  <c r="K107" i="52" s="1"/>
  <c r="J107" i="52" s="1"/>
  <c r="I107" i="52" s="1"/>
  <c r="H107" i="52" s="1"/>
  <c r="G107" i="52" s="1"/>
  <c r="U106" i="52"/>
  <c r="T106" i="52" s="1"/>
  <c r="S106" i="52" s="1"/>
  <c r="R106" i="52" s="1"/>
  <c r="Q106" i="52" s="1"/>
  <c r="P106" i="52" s="1"/>
  <c r="O106" i="52" s="1"/>
  <c r="N106" i="52" s="1"/>
  <c r="M106" i="52" s="1"/>
  <c r="L106" i="52" s="1"/>
  <c r="K106" i="52" s="1"/>
  <c r="J106" i="52" s="1"/>
  <c r="I106" i="52" s="1"/>
  <c r="H106" i="52" s="1"/>
  <c r="G106" i="52" s="1"/>
  <c r="U105" i="52"/>
  <c r="T105" i="52" s="1"/>
  <c r="S105" i="52" s="1"/>
  <c r="R105" i="52" s="1"/>
  <c r="Q105" i="52" s="1"/>
  <c r="P105" i="52" s="1"/>
  <c r="O105" i="52" s="1"/>
  <c r="N105" i="52" s="1"/>
  <c r="M105" i="52" s="1"/>
  <c r="L105" i="52" s="1"/>
  <c r="K105" i="52" s="1"/>
  <c r="J105" i="52" s="1"/>
  <c r="I105" i="52" s="1"/>
  <c r="H105" i="52" s="1"/>
  <c r="G105" i="52" s="1"/>
  <c r="U104" i="52"/>
  <c r="T104" i="52" s="1"/>
  <c r="S104" i="52" s="1"/>
  <c r="R104" i="52" s="1"/>
  <c r="Q104" i="52" s="1"/>
  <c r="P104" i="52" s="1"/>
  <c r="O104" i="52" s="1"/>
  <c r="N104" i="52" s="1"/>
  <c r="M104" i="52" s="1"/>
  <c r="L104" i="52" s="1"/>
  <c r="K104" i="52" s="1"/>
  <c r="J104" i="52" s="1"/>
  <c r="I104" i="52" s="1"/>
  <c r="H104" i="52" s="1"/>
  <c r="G104" i="52" s="1"/>
  <c r="U103" i="52"/>
  <c r="T103" i="52" s="1"/>
  <c r="S103" i="52" s="1"/>
  <c r="R103" i="52" s="1"/>
  <c r="Q103" i="52" s="1"/>
  <c r="P103" i="52" s="1"/>
  <c r="O103" i="52" s="1"/>
  <c r="N103" i="52" s="1"/>
  <c r="M103" i="52" s="1"/>
  <c r="L103" i="52" s="1"/>
  <c r="K103" i="52" s="1"/>
  <c r="J103" i="52" s="1"/>
  <c r="I103" i="52" s="1"/>
  <c r="H103" i="52" s="1"/>
  <c r="G103" i="52" s="1"/>
  <c r="U102" i="52"/>
  <c r="T102" i="52" s="1"/>
  <c r="S102" i="52" s="1"/>
  <c r="R102" i="52" s="1"/>
  <c r="Q102" i="52" s="1"/>
  <c r="P102" i="52" s="1"/>
  <c r="O102" i="52" s="1"/>
  <c r="N102" i="52" s="1"/>
  <c r="M102" i="52" s="1"/>
  <c r="L102" i="52" s="1"/>
  <c r="K102" i="52" s="1"/>
  <c r="J102" i="52" s="1"/>
  <c r="I102" i="52" s="1"/>
  <c r="H102" i="52" s="1"/>
  <c r="G102" i="52" s="1"/>
  <c r="U101" i="52"/>
  <c r="T101" i="52" s="1"/>
  <c r="S101" i="52" s="1"/>
  <c r="R101" i="52" s="1"/>
  <c r="Q101" i="52" s="1"/>
  <c r="P101" i="52" s="1"/>
  <c r="O101" i="52" s="1"/>
  <c r="N101" i="52" s="1"/>
  <c r="M101" i="52" s="1"/>
  <c r="L101" i="52" s="1"/>
  <c r="K101" i="52" s="1"/>
  <c r="J101" i="52" s="1"/>
  <c r="I101" i="52" s="1"/>
  <c r="H101" i="52" s="1"/>
  <c r="G101" i="52" s="1"/>
  <c r="U100" i="52"/>
  <c r="T100" i="52" s="1"/>
  <c r="S100" i="52" s="1"/>
  <c r="R100" i="52" s="1"/>
  <c r="Q100" i="52" s="1"/>
  <c r="P100" i="52" s="1"/>
  <c r="O100" i="52" s="1"/>
  <c r="N100" i="52" s="1"/>
  <c r="M100" i="52" s="1"/>
  <c r="L100" i="52" s="1"/>
  <c r="K100" i="52" s="1"/>
  <c r="J100" i="52" s="1"/>
  <c r="I100" i="52" s="1"/>
  <c r="H100" i="52" s="1"/>
  <c r="G100" i="52" s="1"/>
  <c r="U99" i="52"/>
  <c r="T99" i="52" s="1"/>
  <c r="S99" i="52" s="1"/>
  <c r="R99" i="52" s="1"/>
  <c r="Q99" i="52" s="1"/>
  <c r="P99" i="52" s="1"/>
  <c r="O99" i="52" s="1"/>
  <c r="N99" i="52" s="1"/>
  <c r="M99" i="52" s="1"/>
  <c r="L99" i="52" s="1"/>
  <c r="K99" i="52" s="1"/>
  <c r="J99" i="52" s="1"/>
  <c r="I99" i="52" s="1"/>
  <c r="H99" i="52" s="1"/>
  <c r="G99" i="52" s="1"/>
  <c r="U98" i="52"/>
  <c r="T98" i="52" s="1"/>
  <c r="S98" i="52" s="1"/>
  <c r="R98" i="52" s="1"/>
  <c r="Q98" i="52" s="1"/>
  <c r="P98" i="52" s="1"/>
  <c r="O98" i="52" s="1"/>
  <c r="N98" i="52" s="1"/>
  <c r="M98" i="52" s="1"/>
  <c r="L98" i="52" s="1"/>
  <c r="K98" i="52" s="1"/>
  <c r="J98" i="52" s="1"/>
  <c r="I98" i="52" s="1"/>
  <c r="H98" i="52" s="1"/>
  <c r="G98" i="52" s="1"/>
  <c r="U97" i="52"/>
  <c r="T97" i="52" s="1"/>
  <c r="S97" i="52" s="1"/>
  <c r="R97" i="52" s="1"/>
  <c r="Q97" i="52" s="1"/>
  <c r="P97" i="52" s="1"/>
  <c r="O97" i="52" s="1"/>
  <c r="N97" i="52" s="1"/>
  <c r="M97" i="52" s="1"/>
  <c r="L97" i="52" s="1"/>
  <c r="K97" i="52" s="1"/>
  <c r="J97" i="52" s="1"/>
  <c r="I97" i="52" s="1"/>
  <c r="H97" i="52" s="1"/>
  <c r="G97" i="52" s="1"/>
  <c r="U96" i="52"/>
  <c r="T96" i="52" s="1"/>
  <c r="S96" i="52" s="1"/>
  <c r="R96" i="52" s="1"/>
  <c r="Q96" i="52" s="1"/>
  <c r="P96" i="52" s="1"/>
  <c r="O96" i="52" s="1"/>
  <c r="N96" i="52" s="1"/>
  <c r="M96" i="52" s="1"/>
  <c r="L96" i="52" s="1"/>
  <c r="K96" i="52" s="1"/>
  <c r="J96" i="52" s="1"/>
  <c r="I96" i="52" s="1"/>
  <c r="H96" i="52" s="1"/>
  <c r="G96" i="52" s="1"/>
  <c r="U95" i="52"/>
  <c r="T95" i="52" s="1"/>
  <c r="S95" i="52" s="1"/>
  <c r="R95" i="52" s="1"/>
  <c r="Q95" i="52" s="1"/>
  <c r="P95" i="52" s="1"/>
  <c r="O95" i="52" s="1"/>
  <c r="N95" i="52" s="1"/>
  <c r="M95" i="52" s="1"/>
  <c r="L95" i="52" s="1"/>
  <c r="K95" i="52" s="1"/>
  <c r="J95" i="52" s="1"/>
  <c r="I95" i="52" s="1"/>
  <c r="H95" i="52" s="1"/>
  <c r="G95" i="52" s="1"/>
  <c r="U94" i="52"/>
  <c r="T94" i="52" s="1"/>
  <c r="S94" i="52" s="1"/>
  <c r="R94" i="52" s="1"/>
  <c r="Q94" i="52" s="1"/>
  <c r="P94" i="52" s="1"/>
  <c r="O94" i="52" s="1"/>
  <c r="N94" i="52" s="1"/>
  <c r="M94" i="52" s="1"/>
  <c r="L94" i="52" s="1"/>
  <c r="K94" i="52" s="1"/>
  <c r="J94" i="52" s="1"/>
  <c r="I94" i="52" s="1"/>
  <c r="H94" i="52" s="1"/>
  <c r="G94" i="52" s="1"/>
  <c r="U93" i="52"/>
  <c r="T93" i="52" s="1"/>
  <c r="S93" i="52" s="1"/>
  <c r="R93" i="52" s="1"/>
  <c r="Q93" i="52" s="1"/>
  <c r="P93" i="52" s="1"/>
  <c r="O93" i="52" s="1"/>
  <c r="N93" i="52" s="1"/>
  <c r="M93" i="52" s="1"/>
  <c r="L93" i="52" s="1"/>
  <c r="K93" i="52" s="1"/>
  <c r="J93" i="52" s="1"/>
  <c r="I93" i="52" s="1"/>
  <c r="H93" i="52" s="1"/>
  <c r="G93" i="52" s="1"/>
  <c r="U92" i="52"/>
  <c r="T92" i="52" s="1"/>
  <c r="S92" i="52" s="1"/>
  <c r="R92" i="52" s="1"/>
  <c r="Q92" i="52" s="1"/>
  <c r="P92" i="52" s="1"/>
  <c r="O92" i="52" s="1"/>
  <c r="N92" i="52" s="1"/>
  <c r="M92" i="52" s="1"/>
  <c r="L92" i="52" s="1"/>
  <c r="K92" i="52" s="1"/>
  <c r="J92" i="52" s="1"/>
  <c r="I92" i="52" s="1"/>
  <c r="H92" i="52" s="1"/>
  <c r="G92" i="52" s="1"/>
  <c r="U91" i="52"/>
  <c r="T91" i="52" s="1"/>
  <c r="S91" i="52" s="1"/>
  <c r="R91" i="52" s="1"/>
  <c r="Q91" i="52" s="1"/>
  <c r="P91" i="52" s="1"/>
  <c r="O91" i="52" s="1"/>
  <c r="N91" i="52" s="1"/>
  <c r="M91" i="52" s="1"/>
  <c r="L91" i="52" s="1"/>
  <c r="K91" i="52" s="1"/>
  <c r="J91" i="52" s="1"/>
  <c r="I91" i="52" s="1"/>
  <c r="H91" i="52" s="1"/>
  <c r="G91" i="52" s="1"/>
  <c r="U90" i="52"/>
  <c r="T90" i="52" s="1"/>
  <c r="S90" i="52" s="1"/>
  <c r="R90" i="52" s="1"/>
  <c r="Q90" i="52" s="1"/>
  <c r="P90" i="52" s="1"/>
  <c r="O90" i="52" s="1"/>
  <c r="N90" i="52" s="1"/>
  <c r="M90" i="52" s="1"/>
  <c r="L90" i="52" s="1"/>
  <c r="K90" i="52" s="1"/>
  <c r="J90" i="52" s="1"/>
  <c r="I90" i="52" s="1"/>
  <c r="H90" i="52" s="1"/>
  <c r="G90" i="52" s="1"/>
  <c r="U89" i="52"/>
  <c r="T89" i="52" s="1"/>
  <c r="S89" i="52" s="1"/>
  <c r="R89" i="52" s="1"/>
  <c r="Q89" i="52" s="1"/>
  <c r="P89" i="52" s="1"/>
  <c r="O89" i="52" s="1"/>
  <c r="N89" i="52" s="1"/>
  <c r="M89" i="52" s="1"/>
  <c r="L89" i="52" s="1"/>
  <c r="K89" i="52" s="1"/>
  <c r="J89" i="52" s="1"/>
  <c r="I89" i="52" s="1"/>
  <c r="H89" i="52" s="1"/>
  <c r="G89" i="52" s="1"/>
  <c r="U88" i="52"/>
  <c r="T88" i="52" s="1"/>
  <c r="S88" i="52" s="1"/>
  <c r="R88" i="52" s="1"/>
  <c r="Q88" i="52" s="1"/>
  <c r="P88" i="52" s="1"/>
  <c r="O88" i="52" s="1"/>
  <c r="N88" i="52" s="1"/>
  <c r="M88" i="52" s="1"/>
  <c r="L88" i="52" s="1"/>
  <c r="K88" i="52" s="1"/>
  <c r="J88" i="52" s="1"/>
  <c r="I88" i="52" s="1"/>
  <c r="H88" i="52" s="1"/>
  <c r="G88" i="52" s="1"/>
  <c r="U87" i="52"/>
  <c r="T87" i="52" s="1"/>
  <c r="S87" i="52" s="1"/>
  <c r="R87" i="52" s="1"/>
  <c r="Q87" i="52" s="1"/>
  <c r="P87" i="52" s="1"/>
  <c r="O87" i="52" s="1"/>
  <c r="N87" i="52" s="1"/>
  <c r="M87" i="52" s="1"/>
  <c r="L87" i="52" s="1"/>
  <c r="K87" i="52" s="1"/>
  <c r="J87" i="52" s="1"/>
  <c r="I87" i="52" s="1"/>
  <c r="H87" i="52" s="1"/>
  <c r="G87" i="52" s="1"/>
  <c r="U86" i="52"/>
  <c r="T86" i="52" s="1"/>
  <c r="S86" i="52" s="1"/>
  <c r="R86" i="52" s="1"/>
  <c r="Q86" i="52" s="1"/>
  <c r="P86" i="52" s="1"/>
  <c r="O86" i="52" s="1"/>
  <c r="N86" i="52" s="1"/>
  <c r="M86" i="52" s="1"/>
  <c r="L86" i="52" s="1"/>
  <c r="K86" i="52" s="1"/>
  <c r="J86" i="52" s="1"/>
  <c r="I86" i="52" s="1"/>
  <c r="H86" i="52" s="1"/>
  <c r="G86" i="52" s="1"/>
  <c r="U85" i="52"/>
  <c r="T85" i="52" s="1"/>
  <c r="S85" i="52" s="1"/>
  <c r="R85" i="52" s="1"/>
  <c r="Q85" i="52" s="1"/>
  <c r="P85" i="52" s="1"/>
  <c r="O85" i="52" s="1"/>
  <c r="N85" i="52" s="1"/>
  <c r="M85" i="52" s="1"/>
  <c r="L85" i="52" s="1"/>
  <c r="K85" i="52" s="1"/>
  <c r="J85" i="52" s="1"/>
  <c r="I85" i="52" s="1"/>
  <c r="H85" i="52" s="1"/>
  <c r="G85" i="52" s="1"/>
  <c r="U84" i="52"/>
  <c r="T84" i="52" s="1"/>
  <c r="S84" i="52" s="1"/>
  <c r="R84" i="52" s="1"/>
  <c r="Q84" i="52" s="1"/>
  <c r="P84" i="52" s="1"/>
  <c r="O84" i="52" s="1"/>
  <c r="N84" i="52" s="1"/>
  <c r="M84" i="52" s="1"/>
  <c r="L84" i="52" s="1"/>
  <c r="K84" i="52" s="1"/>
  <c r="J84" i="52" s="1"/>
  <c r="I84" i="52"/>
  <c r="H84" i="52" s="1"/>
  <c r="G84" i="52" s="1"/>
  <c r="U83" i="52"/>
  <c r="T83" i="52" s="1"/>
  <c r="S83" i="52" s="1"/>
  <c r="R83" i="52" s="1"/>
  <c r="Q83" i="52" s="1"/>
  <c r="P83" i="52" s="1"/>
  <c r="O83" i="52" s="1"/>
  <c r="N83" i="52" s="1"/>
  <c r="M83" i="52" s="1"/>
  <c r="L83" i="52" s="1"/>
  <c r="K83" i="52" s="1"/>
  <c r="J83" i="52" s="1"/>
  <c r="I83" i="52" s="1"/>
  <c r="H83" i="52" s="1"/>
  <c r="G83" i="52" s="1"/>
  <c r="U82" i="52"/>
  <c r="T82" i="52" s="1"/>
  <c r="S82" i="52" s="1"/>
  <c r="R82" i="52" s="1"/>
  <c r="Q82" i="52" s="1"/>
  <c r="P82" i="52" s="1"/>
  <c r="O82" i="52" s="1"/>
  <c r="N82" i="52" s="1"/>
  <c r="M82" i="52" s="1"/>
  <c r="L82" i="52" s="1"/>
  <c r="K82" i="52" s="1"/>
  <c r="J82" i="52" s="1"/>
  <c r="I82" i="52" s="1"/>
  <c r="H82" i="52" s="1"/>
  <c r="G82" i="52" s="1"/>
  <c r="U81" i="52"/>
  <c r="T81" i="52" s="1"/>
  <c r="S81" i="52" s="1"/>
  <c r="R81" i="52" s="1"/>
  <c r="Q81" i="52" s="1"/>
  <c r="P81" i="52" s="1"/>
  <c r="O81" i="52" s="1"/>
  <c r="N81" i="52" s="1"/>
  <c r="M81" i="52" s="1"/>
  <c r="L81" i="52" s="1"/>
  <c r="K81" i="52" s="1"/>
  <c r="J81" i="52" s="1"/>
  <c r="I81" i="52" s="1"/>
  <c r="H81" i="52"/>
  <c r="G81" i="52" s="1"/>
  <c r="U80" i="52"/>
  <c r="T80" i="52" s="1"/>
  <c r="S80" i="52" s="1"/>
  <c r="R80" i="52" s="1"/>
  <c r="Q80" i="52" s="1"/>
  <c r="P80" i="52" s="1"/>
  <c r="O80" i="52" s="1"/>
  <c r="N80" i="52" s="1"/>
  <c r="M80" i="52" s="1"/>
  <c r="L80" i="52" s="1"/>
  <c r="K80" i="52" s="1"/>
  <c r="J80" i="52" s="1"/>
  <c r="I80" i="52" s="1"/>
  <c r="H80" i="52" s="1"/>
  <c r="G80" i="52" s="1"/>
  <c r="U79" i="52"/>
  <c r="T79" i="52" s="1"/>
  <c r="S79" i="52" s="1"/>
  <c r="R79" i="52" s="1"/>
  <c r="Q79" i="52" s="1"/>
  <c r="P79" i="52" s="1"/>
  <c r="O79" i="52" s="1"/>
  <c r="N79" i="52" s="1"/>
  <c r="M79" i="52" s="1"/>
  <c r="L79" i="52" s="1"/>
  <c r="K79" i="52" s="1"/>
  <c r="J79" i="52" s="1"/>
  <c r="I79" i="52" s="1"/>
  <c r="H79" i="52" s="1"/>
  <c r="G79" i="52" s="1"/>
  <c r="U78" i="52"/>
  <c r="T78" i="52" s="1"/>
  <c r="S78" i="52" s="1"/>
  <c r="R78" i="52" s="1"/>
  <c r="Q78" i="52" s="1"/>
  <c r="P78" i="52" s="1"/>
  <c r="O78" i="52" s="1"/>
  <c r="N78" i="52" s="1"/>
  <c r="M78" i="52" s="1"/>
  <c r="L78" i="52" s="1"/>
  <c r="K78" i="52" s="1"/>
  <c r="J78" i="52" s="1"/>
  <c r="I78" i="52" s="1"/>
  <c r="H78" i="52" s="1"/>
  <c r="G78" i="52" s="1"/>
  <c r="U77" i="52"/>
  <c r="T77" i="52" s="1"/>
  <c r="S77" i="52" s="1"/>
  <c r="R77" i="52" s="1"/>
  <c r="Q77" i="52" s="1"/>
  <c r="P77" i="52" s="1"/>
  <c r="O77" i="52" s="1"/>
  <c r="N77" i="52" s="1"/>
  <c r="M77" i="52" s="1"/>
  <c r="L77" i="52" s="1"/>
  <c r="K77" i="52" s="1"/>
  <c r="J77" i="52" s="1"/>
  <c r="I77" i="52" s="1"/>
  <c r="H77" i="52" s="1"/>
  <c r="G77" i="52" s="1"/>
  <c r="U76" i="52"/>
  <c r="T76" i="52" s="1"/>
  <c r="S76" i="52" s="1"/>
  <c r="R76" i="52" s="1"/>
  <c r="Q76" i="52" s="1"/>
  <c r="P76" i="52" s="1"/>
  <c r="O76" i="52" s="1"/>
  <c r="N76" i="52" s="1"/>
  <c r="M76" i="52" s="1"/>
  <c r="L76" i="52" s="1"/>
  <c r="K76" i="52" s="1"/>
  <c r="J76" i="52" s="1"/>
  <c r="I76" i="52" s="1"/>
  <c r="H76" i="52" s="1"/>
  <c r="G76" i="52" s="1"/>
  <c r="U75" i="52"/>
  <c r="T75" i="52" s="1"/>
  <c r="S75" i="52" s="1"/>
  <c r="R75" i="52" s="1"/>
  <c r="Q75" i="52" s="1"/>
  <c r="P75" i="52" s="1"/>
  <c r="O75" i="52" s="1"/>
  <c r="N75" i="52" s="1"/>
  <c r="M75" i="52" s="1"/>
  <c r="L75" i="52" s="1"/>
  <c r="K75" i="52" s="1"/>
  <c r="J75" i="52" s="1"/>
  <c r="I75" i="52" s="1"/>
  <c r="H75" i="52" s="1"/>
  <c r="G75" i="52" s="1"/>
  <c r="U74" i="52"/>
  <c r="T74" i="52" s="1"/>
  <c r="S74" i="52" s="1"/>
  <c r="R74" i="52" s="1"/>
  <c r="Q74" i="52" s="1"/>
  <c r="P74" i="52" s="1"/>
  <c r="O74" i="52" s="1"/>
  <c r="N74" i="52" s="1"/>
  <c r="M74" i="52" s="1"/>
  <c r="L74" i="52" s="1"/>
  <c r="K74" i="52" s="1"/>
  <c r="J74" i="52" s="1"/>
  <c r="I74" i="52" s="1"/>
  <c r="H74" i="52" s="1"/>
  <c r="G74" i="52" s="1"/>
  <c r="U73" i="52"/>
  <c r="T73" i="52" s="1"/>
  <c r="S73" i="52" s="1"/>
  <c r="R73" i="52" s="1"/>
  <c r="Q73" i="52" s="1"/>
  <c r="P73" i="52" s="1"/>
  <c r="O73" i="52" s="1"/>
  <c r="N73" i="52" s="1"/>
  <c r="M73" i="52" s="1"/>
  <c r="L73" i="52" s="1"/>
  <c r="K73" i="52" s="1"/>
  <c r="J73" i="52" s="1"/>
  <c r="I73" i="52" s="1"/>
  <c r="H73" i="52" s="1"/>
  <c r="G73" i="52" s="1"/>
  <c r="U72" i="52"/>
  <c r="T72" i="52" s="1"/>
  <c r="S72" i="52" s="1"/>
  <c r="R72" i="52" s="1"/>
  <c r="Q72" i="52" s="1"/>
  <c r="P72" i="52" s="1"/>
  <c r="O72" i="52" s="1"/>
  <c r="N72" i="52" s="1"/>
  <c r="M72" i="52" s="1"/>
  <c r="L72" i="52" s="1"/>
  <c r="K72" i="52" s="1"/>
  <c r="J72" i="52" s="1"/>
  <c r="I72" i="52" s="1"/>
  <c r="H72" i="52" s="1"/>
  <c r="G72" i="52" s="1"/>
  <c r="U71" i="52"/>
  <c r="T71" i="52" s="1"/>
  <c r="S71" i="52" s="1"/>
  <c r="R71" i="52" s="1"/>
  <c r="Q71" i="52" s="1"/>
  <c r="P71" i="52" s="1"/>
  <c r="O71" i="52" s="1"/>
  <c r="N71" i="52" s="1"/>
  <c r="M71" i="52" s="1"/>
  <c r="L71" i="52" s="1"/>
  <c r="K71" i="52" s="1"/>
  <c r="J71" i="52" s="1"/>
  <c r="I71" i="52" s="1"/>
  <c r="H71" i="52" s="1"/>
  <c r="G71" i="52" s="1"/>
  <c r="U70" i="52"/>
  <c r="T70" i="52" s="1"/>
  <c r="S70" i="52" s="1"/>
  <c r="R70" i="52" s="1"/>
  <c r="Q70" i="52" s="1"/>
  <c r="P70" i="52" s="1"/>
  <c r="O70" i="52" s="1"/>
  <c r="N70" i="52" s="1"/>
  <c r="M70" i="52" s="1"/>
  <c r="L70" i="52"/>
  <c r="K70" i="52" s="1"/>
  <c r="J70" i="52" s="1"/>
  <c r="I70" i="52" s="1"/>
  <c r="H70" i="52" s="1"/>
  <c r="G70" i="52" s="1"/>
  <c r="U69" i="52"/>
  <c r="T69" i="52" s="1"/>
  <c r="S69" i="52" s="1"/>
  <c r="R69" i="52" s="1"/>
  <c r="Q69" i="52" s="1"/>
  <c r="P69" i="52" s="1"/>
  <c r="O69" i="52" s="1"/>
  <c r="N69" i="52" s="1"/>
  <c r="M69" i="52" s="1"/>
  <c r="L69" i="52"/>
  <c r="K69" i="52"/>
  <c r="J69" i="52" s="1"/>
  <c r="I69" i="52" s="1"/>
  <c r="H69" i="52" s="1"/>
  <c r="G69" i="52" s="1"/>
  <c r="U68" i="52"/>
  <c r="T68" i="52" s="1"/>
  <c r="S68" i="52" s="1"/>
  <c r="R68" i="52" s="1"/>
  <c r="Q68" i="52" s="1"/>
  <c r="P68" i="52" s="1"/>
  <c r="O68" i="52" s="1"/>
  <c r="N68" i="52" s="1"/>
  <c r="M68" i="52" s="1"/>
  <c r="L68" i="52" s="1"/>
  <c r="K68" i="52" s="1"/>
  <c r="J68" i="52" s="1"/>
  <c r="I68" i="52" s="1"/>
  <c r="H68" i="52" s="1"/>
  <c r="G68" i="52" s="1"/>
  <c r="U67" i="52"/>
  <c r="T67" i="52" s="1"/>
  <c r="S67" i="52" s="1"/>
  <c r="R67" i="52" s="1"/>
  <c r="Q67" i="52" s="1"/>
  <c r="P67" i="52" s="1"/>
  <c r="O67" i="52" s="1"/>
  <c r="N67" i="52" s="1"/>
  <c r="M67" i="52" s="1"/>
  <c r="L67" i="52" s="1"/>
  <c r="K67" i="52"/>
  <c r="J67" i="52"/>
  <c r="I67" i="52"/>
  <c r="H67" i="52" s="1"/>
  <c r="G67" i="52" s="1"/>
  <c r="U66" i="52"/>
  <c r="T66" i="52" s="1"/>
  <c r="S66" i="52" s="1"/>
  <c r="R66" i="52" s="1"/>
  <c r="Q66" i="52" s="1"/>
  <c r="P66" i="52" s="1"/>
  <c r="O66" i="52" s="1"/>
  <c r="N66" i="52" s="1"/>
  <c r="M66" i="52" s="1"/>
  <c r="L66" i="52" s="1"/>
  <c r="K66" i="52" s="1"/>
  <c r="J66" i="52" s="1"/>
  <c r="I66" i="52" s="1"/>
  <c r="H66" i="52" s="1"/>
  <c r="G66" i="52" s="1"/>
  <c r="U65" i="52"/>
  <c r="T65" i="52" s="1"/>
  <c r="S65" i="52" s="1"/>
  <c r="R65" i="52" s="1"/>
  <c r="Q65" i="52" s="1"/>
  <c r="P65" i="52" s="1"/>
  <c r="O65" i="52" s="1"/>
  <c r="N65" i="52" s="1"/>
  <c r="M65" i="52" s="1"/>
  <c r="L65" i="52" s="1"/>
  <c r="K65" i="52" s="1"/>
  <c r="J65" i="52" s="1"/>
  <c r="I65" i="52" s="1"/>
  <c r="H65" i="52" s="1"/>
  <c r="G65" i="52" s="1"/>
  <c r="U64" i="52"/>
  <c r="T64" i="52" s="1"/>
  <c r="S64" i="52" s="1"/>
  <c r="R64" i="52" s="1"/>
  <c r="Q64" i="52" s="1"/>
  <c r="P64" i="52" s="1"/>
  <c r="O64" i="52" s="1"/>
  <c r="N64" i="52" s="1"/>
  <c r="M64" i="52" s="1"/>
  <c r="L64" i="52" s="1"/>
  <c r="K64" i="52" s="1"/>
  <c r="J64" i="52" s="1"/>
  <c r="I64" i="52" s="1"/>
  <c r="H64" i="52" s="1"/>
  <c r="G64" i="52" s="1"/>
  <c r="U63" i="52"/>
  <c r="T63" i="52" s="1"/>
  <c r="S63" i="52" s="1"/>
  <c r="R63" i="52" s="1"/>
  <c r="Q63" i="52" s="1"/>
  <c r="P63" i="52" s="1"/>
  <c r="O63" i="52" s="1"/>
  <c r="N63" i="52" s="1"/>
  <c r="M63" i="52" s="1"/>
  <c r="L63" i="52" s="1"/>
  <c r="K63" i="52" s="1"/>
  <c r="J63" i="52" s="1"/>
  <c r="I63" i="52" s="1"/>
  <c r="H63" i="52" s="1"/>
  <c r="G63" i="52" s="1"/>
  <c r="U62" i="52"/>
  <c r="T62" i="52" s="1"/>
  <c r="S62" i="52" s="1"/>
  <c r="R62" i="52" s="1"/>
  <c r="Q62" i="52" s="1"/>
  <c r="P62" i="52" s="1"/>
  <c r="O62" i="52" s="1"/>
  <c r="N62" i="52" s="1"/>
  <c r="M62" i="52" s="1"/>
  <c r="L62" i="52" s="1"/>
  <c r="K62" i="52" s="1"/>
  <c r="J62" i="52" s="1"/>
  <c r="I62" i="52" s="1"/>
  <c r="H62" i="52" s="1"/>
  <c r="G62" i="52" s="1"/>
  <c r="U61" i="52"/>
  <c r="T61" i="52" s="1"/>
  <c r="S61" i="52" s="1"/>
  <c r="R61" i="52" s="1"/>
  <c r="Q61" i="52" s="1"/>
  <c r="P61" i="52" s="1"/>
  <c r="O61" i="52" s="1"/>
  <c r="N61" i="52" s="1"/>
  <c r="M61" i="52" s="1"/>
  <c r="L61" i="52" s="1"/>
  <c r="K61" i="52" s="1"/>
  <c r="J61" i="52" s="1"/>
  <c r="I61" i="52" s="1"/>
  <c r="H61" i="52" s="1"/>
  <c r="G61" i="52" s="1"/>
  <c r="U60" i="52"/>
  <c r="T60" i="52" s="1"/>
  <c r="S60" i="52" s="1"/>
  <c r="R60" i="52" s="1"/>
  <c r="Q60" i="52" s="1"/>
  <c r="P60" i="52" s="1"/>
  <c r="O60" i="52" s="1"/>
  <c r="N60" i="52" s="1"/>
  <c r="M60" i="52" s="1"/>
  <c r="L60" i="52" s="1"/>
  <c r="K60" i="52" s="1"/>
  <c r="J60" i="52" s="1"/>
  <c r="I60" i="52" s="1"/>
  <c r="H60" i="52" s="1"/>
  <c r="G60" i="52" s="1"/>
  <c r="U59" i="52"/>
  <c r="T59" i="52" s="1"/>
  <c r="S59" i="52" s="1"/>
  <c r="R59" i="52" s="1"/>
  <c r="Q59" i="52" s="1"/>
  <c r="P59" i="52" s="1"/>
  <c r="O59" i="52" s="1"/>
  <c r="N59" i="52" s="1"/>
  <c r="M59" i="52" s="1"/>
  <c r="L59" i="52" s="1"/>
  <c r="K59" i="52" s="1"/>
  <c r="J59" i="52" s="1"/>
  <c r="I59" i="52" s="1"/>
  <c r="H59" i="52" s="1"/>
  <c r="G59" i="52" s="1"/>
  <c r="U58" i="52"/>
  <c r="T58" i="52" s="1"/>
  <c r="S58" i="52" s="1"/>
  <c r="R58" i="52" s="1"/>
  <c r="Q58" i="52" s="1"/>
  <c r="P58" i="52" s="1"/>
  <c r="O58" i="52" s="1"/>
  <c r="N58" i="52" s="1"/>
  <c r="M58" i="52" s="1"/>
  <c r="L58" i="52" s="1"/>
  <c r="K58" i="52" s="1"/>
  <c r="J58" i="52" s="1"/>
  <c r="I58" i="52"/>
  <c r="H58" i="52"/>
  <c r="G58" i="52"/>
  <c r="U57" i="52"/>
  <c r="T57" i="52" s="1"/>
  <c r="S57" i="52" s="1"/>
  <c r="R57" i="52" s="1"/>
  <c r="Q57" i="52" s="1"/>
  <c r="P57" i="52" s="1"/>
  <c r="O57" i="52" s="1"/>
  <c r="N57" i="52" s="1"/>
  <c r="M57" i="52" s="1"/>
  <c r="L57" i="52" s="1"/>
  <c r="K57" i="52" s="1"/>
  <c r="J57" i="52" s="1"/>
  <c r="I57" i="52" s="1"/>
  <c r="H57" i="52" s="1"/>
  <c r="G57" i="52" s="1"/>
  <c r="U56" i="52"/>
  <c r="T56" i="52" s="1"/>
  <c r="S56" i="52" s="1"/>
  <c r="R56" i="52" s="1"/>
  <c r="Q56" i="52" s="1"/>
  <c r="P56" i="52" s="1"/>
  <c r="O56" i="52" s="1"/>
  <c r="N56" i="52" s="1"/>
  <c r="M56" i="52" s="1"/>
  <c r="L56" i="52" s="1"/>
  <c r="K56" i="52" s="1"/>
  <c r="J56" i="52" s="1"/>
  <c r="I56" i="52" s="1"/>
  <c r="H56" i="52" s="1"/>
  <c r="G56" i="52" s="1"/>
  <c r="U55" i="52"/>
  <c r="T55" i="52" s="1"/>
  <c r="S55" i="52" s="1"/>
  <c r="R55" i="52" s="1"/>
  <c r="Q55" i="52" s="1"/>
  <c r="P55" i="52" s="1"/>
  <c r="O55" i="52" s="1"/>
  <c r="N55" i="52" s="1"/>
  <c r="M55" i="52" s="1"/>
  <c r="L55" i="52" s="1"/>
  <c r="K55" i="52" s="1"/>
  <c r="J55" i="52" s="1"/>
  <c r="I55" i="52" s="1"/>
  <c r="H55" i="52" s="1"/>
  <c r="G55" i="52" s="1"/>
  <c r="U54" i="52"/>
  <c r="T54" i="52" s="1"/>
  <c r="S54" i="52" s="1"/>
  <c r="R54" i="52" s="1"/>
  <c r="Q54" i="52" s="1"/>
  <c r="P54" i="52" s="1"/>
  <c r="O54" i="52" s="1"/>
  <c r="N54" i="52" s="1"/>
  <c r="M54" i="52" s="1"/>
  <c r="L54" i="52" s="1"/>
  <c r="K54" i="52" s="1"/>
  <c r="J54" i="52" s="1"/>
  <c r="I54" i="52" s="1"/>
  <c r="H54" i="52" s="1"/>
  <c r="G54" i="52" s="1"/>
  <c r="U53" i="52"/>
  <c r="T53" i="52" s="1"/>
  <c r="S53" i="52" s="1"/>
  <c r="R53" i="52" s="1"/>
  <c r="Q53" i="52" s="1"/>
  <c r="P53" i="52" s="1"/>
  <c r="O53" i="52" s="1"/>
  <c r="N53" i="52" s="1"/>
  <c r="M53" i="52" s="1"/>
  <c r="L53" i="52" s="1"/>
  <c r="K53" i="52"/>
  <c r="J53" i="52"/>
  <c r="I53" i="52"/>
  <c r="H53" i="52"/>
  <c r="G53" i="52" s="1"/>
  <c r="U52" i="52"/>
  <c r="T52" i="52" s="1"/>
  <c r="S52" i="52" s="1"/>
  <c r="R52" i="52" s="1"/>
  <c r="Q52" i="52" s="1"/>
  <c r="P52" i="52" s="1"/>
  <c r="O52" i="52" s="1"/>
  <c r="N52" i="52" s="1"/>
  <c r="M52" i="52" s="1"/>
  <c r="L52" i="52" s="1"/>
  <c r="K52" i="52" s="1"/>
  <c r="J52" i="52" s="1"/>
  <c r="I52" i="52" s="1"/>
  <c r="H52" i="52" s="1"/>
  <c r="G52" i="52" s="1"/>
  <c r="U51" i="52"/>
  <c r="T51" i="52" s="1"/>
  <c r="S51" i="52" s="1"/>
  <c r="R51" i="52" s="1"/>
  <c r="Q51" i="52" s="1"/>
  <c r="P51" i="52" s="1"/>
  <c r="O51" i="52" s="1"/>
  <c r="N51" i="52" s="1"/>
  <c r="M51" i="52" s="1"/>
  <c r="L51" i="52" s="1"/>
  <c r="K51" i="52" s="1"/>
  <c r="J51" i="52" s="1"/>
  <c r="I51" i="52" s="1"/>
  <c r="H51" i="52" s="1"/>
  <c r="G51" i="52" s="1"/>
  <c r="U50" i="52"/>
  <c r="T50" i="52" s="1"/>
  <c r="S50" i="52" s="1"/>
  <c r="R50" i="52" s="1"/>
  <c r="Q50" i="52" s="1"/>
  <c r="P50" i="52" s="1"/>
  <c r="O50" i="52" s="1"/>
  <c r="N50" i="52" s="1"/>
  <c r="M50" i="52" s="1"/>
  <c r="L50" i="52" s="1"/>
  <c r="K50" i="52" s="1"/>
  <c r="J50" i="52" s="1"/>
  <c r="I50" i="52" s="1"/>
  <c r="H50" i="52" s="1"/>
  <c r="G50" i="52" s="1"/>
  <c r="U49" i="52"/>
  <c r="T49" i="52" s="1"/>
  <c r="S49" i="52" s="1"/>
  <c r="R49" i="52" s="1"/>
  <c r="Q49" i="52" s="1"/>
  <c r="P49" i="52" s="1"/>
  <c r="O49" i="52" s="1"/>
  <c r="N49" i="52" s="1"/>
  <c r="M49" i="52" s="1"/>
  <c r="L49" i="52" s="1"/>
  <c r="K49" i="52" s="1"/>
  <c r="J49" i="52" s="1"/>
  <c r="I49" i="52" s="1"/>
  <c r="H49" i="52" s="1"/>
  <c r="G49" i="52" s="1"/>
  <c r="U48" i="52"/>
  <c r="T48" i="52" s="1"/>
  <c r="S48" i="52" s="1"/>
  <c r="R48" i="52" s="1"/>
  <c r="Q48" i="52" s="1"/>
  <c r="P48" i="52" s="1"/>
  <c r="O48" i="52" s="1"/>
  <c r="N48" i="52" s="1"/>
  <c r="M48" i="52" s="1"/>
  <c r="L48" i="52" s="1"/>
  <c r="K48" i="52" s="1"/>
  <c r="J48" i="52" s="1"/>
  <c r="I48" i="52" s="1"/>
  <c r="H48" i="52" s="1"/>
  <c r="G48" i="52" s="1"/>
  <c r="U47" i="52"/>
  <c r="T47" i="52" s="1"/>
  <c r="S47" i="52" s="1"/>
  <c r="R47" i="52" s="1"/>
  <c r="Q47" i="52" s="1"/>
  <c r="P47" i="52" s="1"/>
  <c r="O47" i="52" s="1"/>
  <c r="N47" i="52" s="1"/>
  <c r="M47" i="52" s="1"/>
  <c r="L47" i="52" s="1"/>
  <c r="K47" i="52" s="1"/>
  <c r="J47" i="52" s="1"/>
  <c r="I47" i="52" s="1"/>
  <c r="H47" i="52" s="1"/>
  <c r="G47" i="52" s="1"/>
  <c r="U46" i="52"/>
  <c r="T46" i="52" s="1"/>
  <c r="S46" i="52" s="1"/>
  <c r="R46" i="52" s="1"/>
  <c r="Q46" i="52" s="1"/>
  <c r="P46" i="52" s="1"/>
  <c r="O46" i="52" s="1"/>
  <c r="N46" i="52" s="1"/>
  <c r="M46" i="52" s="1"/>
  <c r="L46" i="52" s="1"/>
  <c r="K46" i="52" s="1"/>
  <c r="J46" i="52" s="1"/>
  <c r="I46" i="52" s="1"/>
  <c r="H46" i="52" s="1"/>
  <c r="G46" i="52" s="1"/>
  <c r="U45" i="52"/>
  <c r="T45" i="52" s="1"/>
  <c r="S45" i="52" s="1"/>
  <c r="R45" i="52" s="1"/>
  <c r="Q45" i="52" s="1"/>
  <c r="P45" i="52" s="1"/>
  <c r="O45" i="52" s="1"/>
  <c r="N45" i="52" s="1"/>
  <c r="M45" i="52" s="1"/>
  <c r="L45" i="52" s="1"/>
  <c r="K45" i="52" s="1"/>
  <c r="J45" i="52" s="1"/>
  <c r="I45" i="52" s="1"/>
  <c r="H45" i="52" s="1"/>
  <c r="G45" i="52" s="1"/>
  <c r="U44" i="52"/>
  <c r="T44" i="52" s="1"/>
  <c r="S44" i="52" s="1"/>
  <c r="R44" i="52" s="1"/>
  <c r="Q44" i="52" s="1"/>
  <c r="P44" i="52" s="1"/>
  <c r="O44" i="52" s="1"/>
  <c r="N44" i="52" s="1"/>
  <c r="M44" i="52" s="1"/>
  <c r="L44" i="52" s="1"/>
  <c r="K44" i="52" s="1"/>
  <c r="J44" i="52" s="1"/>
  <c r="I44" i="52" s="1"/>
  <c r="H44" i="52" s="1"/>
  <c r="G44" i="52" s="1"/>
  <c r="U43" i="52"/>
  <c r="T43" i="52" s="1"/>
  <c r="S43" i="52" s="1"/>
  <c r="R43" i="52" s="1"/>
  <c r="Q43" i="52" s="1"/>
  <c r="P43" i="52" s="1"/>
  <c r="O43" i="52" s="1"/>
  <c r="N43" i="52" s="1"/>
  <c r="M43" i="52" s="1"/>
  <c r="L43" i="52" s="1"/>
  <c r="K43" i="52" s="1"/>
  <c r="J43" i="52" s="1"/>
  <c r="I43" i="52" s="1"/>
  <c r="H43" i="52" s="1"/>
  <c r="G43" i="52" s="1"/>
  <c r="U42" i="52"/>
  <c r="T42" i="52" s="1"/>
  <c r="S42" i="52" s="1"/>
  <c r="R42" i="52" s="1"/>
  <c r="Q42" i="52" s="1"/>
  <c r="P42" i="52" s="1"/>
  <c r="O42" i="52" s="1"/>
  <c r="N42" i="52" s="1"/>
  <c r="M42" i="52" s="1"/>
  <c r="L42" i="52" s="1"/>
  <c r="K42" i="52" s="1"/>
  <c r="J42" i="52" s="1"/>
  <c r="I42" i="52" s="1"/>
  <c r="H42" i="52" s="1"/>
  <c r="G42" i="52" s="1"/>
  <c r="U41" i="52"/>
  <c r="T41" i="52" s="1"/>
  <c r="S41" i="52" s="1"/>
  <c r="R41" i="52" s="1"/>
  <c r="Q41" i="52" s="1"/>
  <c r="P41" i="52" s="1"/>
  <c r="O41" i="52" s="1"/>
  <c r="N41" i="52" s="1"/>
  <c r="M41" i="52" s="1"/>
  <c r="L41" i="52" s="1"/>
  <c r="K41" i="52" s="1"/>
  <c r="J41" i="52" s="1"/>
  <c r="I41" i="52" s="1"/>
  <c r="H41" i="52" s="1"/>
  <c r="G41" i="52" s="1"/>
  <c r="U40" i="52"/>
  <c r="T40" i="52" s="1"/>
  <c r="S40" i="52" s="1"/>
  <c r="R40" i="52" s="1"/>
  <c r="Q40" i="52" s="1"/>
  <c r="P40" i="52" s="1"/>
  <c r="O40" i="52" s="1"/>
  <c r="N40" i="52" s="1"/>
  <c r="M40" i="52" s="1"/>
  <c r="L40" i="52" s="1"/>
  <c r="K40" i="52" s="1"/>
  <c r="J40" i="52" s="1"/>
  <c r="I40" i="52" s="1"/>
  <c r="H40" i="52" s="1"/>
  <c r="G40" i="52" s="1"/>
  <c r="U39" i="52"/>
  <c r="T39" i="52" s="1"/>
  <c r="S39" i="52" s="1"/>
  <c r="R39" i="52" s="1"/>
  <c r="Q39" i="52" s="1"/>
  <c r="P39" i="52" s="1"/>
  <c r="O39" i="52" s="1"/>
  <c r="N39" i="52" s="1"/>
  <c r="M39" i="52" s="1"/>
  <c r="L39" i="52" s="1"/>
  <c r="K39" i="52" s="1"/>
  <c r="J39" i="52" s="1"/>
  <c r="I39" i="52" s="1"/>
  <c r="H39" i="52" s="1"/>
  <c r="G39" i="52" s="1"/>
  <c r="U38" i="52"/>
  <c r="T38" i="52" s="1"/>
  <c r="S38" i="52" s="1"/>
  <c r="R38" i="52" s="1"/>
  <c r="Q38" i="52" s="1"/>
  <c r="P38" i="52" s="1"/>
  <c r="O38" i="52" s="1"/>
  <c r="N38" i="52" s="1"/>
  <c r="M38" i="52" s="1"/>
  <c r="L38" i="52" s="1"/>
  <c r="K38" i="52" s="1"/>
  <c r="J38" i="52" s="1"/>
  <c r="I38" i="52" s="1"/>
  <c r="H38" i="52" s="1"/>
  <c r="G38" i="52" s="1"/>
  <c r="U37" i="52"/>
  <c r="T37" i="52" s="1"/>
  <c r="S37" i="52" s="1"/>
  <c r="R37" i="52" s="1"/>
  <c r="Q37" i="52" s="1"/>
  <c r="P37" i="52" s="1"/>
  <c r="O37" i="52" s="1"/>
  <c r="N37" i="52" s="1"/>
  <c r="M37" i="52" s="1"/>
  <c r="L37" i="52" s="1"/>
  <c r="K37" i="52" s="1"/>
  <c r="J37" i="52" s="1"/>
  <c r="I37" i="52" s="1"/>
  <c r="H37" i="52" s="1"/>
  <c r="G37" i="52" s="1"/>
  <c r="U36" i="52"/>
  <c r="T36" i="52" s="1"/>
  <c r="S36" i="52" s="1"/>
  <c r="R36" i="52" s="1"/>
  <c r="Q36" i="52" s="1"/>
  <c r="P36" i="52" s="1"/>
  <c r="O36" i="52" s="1"/>
  <c r="N36" i="52" s="1"/>
  <c r="M36" i="52" s="1"/>
  <c r="L36" i="52" s="1"/>
  <c r="K36" i="52" s="1"/>
  <c r="J36" i="52" s="1"/>
  <c r="I36" i="52" s="1"/>
  <c r="H36" i="52" s="1"/>
  <c r="G36" i="52" s="1"/>
  <c r="U35" i="52"/>
  <c r="T35" i="52" s="1"/>
  <c r="S35" i="52" s="1"/>
  <c r="R35" i="52" s="1"/>
  <c r="Q35" i="52" s="1"/>
  <c r="P35" i="52" s="1"/>
  <c r="O35" i="52" s="1"/>
  <c r="N35" i="52" s="1"/>
  <c r="M35" i="52" s="1"/>
  <c r="L35" i="52" s="1"/>
  <c r="K35" i="52" s="1"/>
  <c r="J35" i="52" s="1"/>
  <c r="I35" i="52" s="1"/>
  <c r="H35" i="52" s="1"/>
  <c r="G35" i="52" s="1"/>
  <c r="U34" i="52"/>
  <c r="T34" i="52" s="1"/>
  <c r="S34" i="52" s="1"/>
  <c r="R34" i="52" s="1"/>
  <c r="Q34" i="52" s="1"/>
  <c r="P34" i="52" s="1"/>
  <c r="O34" i="52" s="1"/>
  <c r="N34" i="52" s="1"/>
  <c r="M34" i="52" s="1"/>
  <c r="L34" i="52" s="1"/>
  <c r="K34" i="52" s="1"/>
  <c r="J34" i="52" s="1"/>
  <c r="I34" i="52" s="1"/>
  <c r="H34" i="52" s="1"/>
  <c r="G34" i="52" s="1"/>
  <c r="U33" i="52"/>
  <c r="T33" i="52" s="1"/>
  <c r="S33" i="52" s="1"/>
  <c r="R33" i="52" s="1"/>
  <c r="Q33" i="52" s="1"/>
  <c r="P33" i="52" s="1"/>
  <c r="O33" i="52" s="1"/>
  <c r="N33" i="52" s="1"/>
  <c r="M33" i="52" s="1"/>
  <c r="L33" i="52" s="1"/>
  <c r="K33" i="52" s="1"/>
  <c r="J33" i="52" s="1"/>
  <c r="I33" i="52" s="1"/>
  <c r="H33" i="52" s="1"/>
  <c r="G33" i="52" s="1"/>
  <c r="U32" i="52"/>
  <c r="T32" i="52" s="1"/>
  <c r="S32" i="52" s="1"/>
  <c r="R32" i="52" s="1"/>
  <c r="Q32" i="52" s="1"/>
  <c r="P32" i="52" s="1"/>
  <c r="O32" i="52" s="1"/>
  <c r="N32" i="52" s="1"/>
  <c r="M32" i="52" s="1"/>
  <c r="L32" i="52" s="1"/>
  <c r="K32" i="52" s="1"/>
  <c r="J32" i="52" s="1"/>
  <c r="I32" i="52" s="1"/>
  <c r="H32" i="52" s="1"/>
  <c r="G32" i="52" s="1"/>
  <c r="U31" i="52"/>
  <c r="T31" i="52" s="1"/>
  <c r="S31" i="52" s="1"/>
  <c r="R31" i="52" s="1"/>
  <c r="Q31" i="52" s="1"/>
  <c r="P31" i="52" s="1"/>
  <c r="O31" i="52" s="1"/>
  <c r="N31" i="52" s="1"/>
  <c r="M31" i="52" s="1"/>
  <c r="L31" i="52" s="1"/>
  <c r="K31" i="52" s="1"/>
  <c r="J31" i="52" s="1"/>
  <c r="I31" i="52" s="1"/>
  <c r="H31" i="52" s="1"/>
  <c r="G31" i="52" s="1"/>
  <c r="U30" i="52"/>
  <c r="T30" i="52" s="1"/>
  <c r="S30" i="52" s="1"/>
  <c r="R30" i="52" s="1"/>
  <c r="Q30" i="52" s="1"/>
  <c r="P30" i="52" s="1"/>
  <c r="O30" i="52" s="1"/>
  <c r="N30" i="52" s="1"/>
  <c r="M30" i="52" s="1"/>
  <c r="L30" i="52" s="1"/>
  <c r="K30" i="52" s="1"/>
  <c r="J30" i="52" s="1"/>
  <c r="I30" i="52" s="1"/>
  <c r="H30" i="52" s="1"/>
  <c r="G30" i="52" s="1"/>
  <c r="U29" i="52"/>
  <c r="T29" i="52" s="1"/>
  <c r="S29" i="52" s="1"/>
  <c r="R29" i="52" s="1"/>
  <c r="Q29" i="52" s="1"/>
  <c r="P29" i="52" s="1"/>
  <c r="O29" i="52" s="1"/>
  <c r="N29" i="52" s="1"/>
  <c r="M29" i="52" s="1"/>
  <c r="L29" i="52" s="1"/>
  <c r="K29" i="52" s="1"/>
  <c r="J29" i="52" s="1"/>
  <c r="I29" i="52" s="1"/>
  <c r="H29" i="52" s="1"/>
  <c r="G29" i="52" s="1"/>
  <c r="U28" i="52"/>
  <c r="T28" i="52" s="1"/>
  <c r="S28" i="52" s="1"/>
  <c r="R28" i="52" s="1"/>
  <c r="Q28" i="52" s="1"/>
  <c r="P28" i="52" s="1"/>
  <c r="O28" i="52" s="1"/>
  <c r="N28" i="52" s="1"/>
  <c r="M28" i="52" s="1"/>
  <c r="L28" i="52" s="1"/>
  <c r="K28" i="52" s="1"/>
  <c r="J28" i="52" s="1"/>
  <c r="I28" i="52" s="1"/>
  <c r="H28" i="52" s="1"/>
  <c r="G28" i="52" s="1"/>
  <c r="U27" i="52"/>
  <c r="T27" i="52" s="1"/>
  <c r="S27" i="52" s="1"/>
  <c r="R27" i="52" s="1"/>
  <c r="Q27" i="52" s="1"/>
  <c r="P27" i="52" s="1"/>
  <c r="O27" i="52" s="1"/>
  <c r="N27" i="52" s="1"/>
  <c r="M27" i="52" s="1"/>
  <c r="L27" i="52" s="1"/>
  <c r="K27" i="52" s="1"/>
  <c r="J27" i="52"/>
  <c r="I27" i="52" s="1"/>
  <c r="H27" i="52" s="1"/>
  <c r="G27" i="52" s="1"/>
  <c r="U26" i="52"/>
  <c r="T26" i="52" s="1"/>
  <c r="S26" i="52" s="1"/>
  <c r="R26" i="52" s="1"/>
  <c r="Q26" i="52" s="1"/>
  <c r="P26" i="52" s="1"/>
  <c r="O26" i="52" s="1"/>
  <c r="N26" i="52" s="1"/>
  <c r="M26" i="52" s="1"/>
  <c r="L26" i="52" s="1"/>
  <c r="K26" i="52" s="1"/>
  <c r="J26" i="52" s="1"/>
  <c r="I26" i="52" s="1"/>
  <c r="H26" i="52" s="1"/>
  <c r="G26" i="52" s="1"/>
  <c r="U25" i="52"/>
  <c r="T25" i="52" s="1"/>
  <c r="S25" i="52" s="1"/>
  <c r="R25" i="52" s="1"/>
  <c r="Q25" i="52" s="1"/>
  <c r="P25" i="52" s="1"/>
  <c r="O25" i="52" s="1"/>
  <c r="N25" i="52" s="1"/>
  <c r="M25" i="52" s="1"/>
  <c r="L25" i="52" s="1"/>
  <c r="K25" i="52" s="1"/>
  <c r="J25" i="52" s="1"/>
  <c r="I25" i="52" s="1"/>
  <c r="H25" i="52" s="1"/>
  <c r="G25" i="52" s="1"/>
  <c r="U24" i="52"/>
  <c r="T24" i="52" s="1"/>
  <c r="S24" i="52" s="1"/>
  <c r="R24" i="52" s="1"/>
  <c r="Q24" i="52" s="1"/>
  <c r="P24" i="52" s="1"/>
  <c r="O24" i="52" s="1"/>
  <c r="N24" i="52" s="1"/>
  <c r="M24" i="52" s="1"/>
  <c r="L24" i="52" s="1"/>
  <c r="K24" i="52" s="1"/>
  <c r="J24" i="52" s="1"/>
  <c r="I24" i="52" s="1"/>
  <c r="H24" i="52" s="1"/>
  <c r="G24" i="52" s="1"/>
  <c r="U23" i="52"/>
  <c r="T23" i="52" s="1"/>
  <c r="S23" i="52" s="1"/>
  <c r="R23" i="52" s="1"/>
  <c r="Q23" i="52" s="1"/>
  <c r="P23" i="52" s="1"/>
  <c r="O23" i="52" s="1"/>
  <c r="N23" i="52" s="1"/>
  <c r="M23" i="52" s="1"/>
  <c r="L23" i="52" s="1"/>
  <c r="K23" i="52" s="1"/>
  <c r="J23" i="52" s="1"/>
  <c r="I23" i="52" s="1"/>
  <c r="H23" i="52" s="1"/>
  <c r="G23" i="52" s="1"/>
  <c r="U22" i="52"/>
  <c r="T22" i="52" s="1"/>
  <c r="S22" i="52" s="1"/>
  <c r="R22" i="52" s="1"/>
  <c r="Q22" i="52" s="1"/>
  <c r="P22" i="52" s="1"/>
  <c r="O22" i="52" s="1"/>
  <c r="N22" i="52" s="1"/>
  <c r="M22" i="52" s="1"/>
  <c r="L22" i="52" s="1"/>
  <c r="K22" i="52" s="1"/>
  <c r="J22" i="52" s="1"/>
  <c r="I22" i="52" s="1"/>
  <c r="H22" i="52" s="1"/>
  <c r="G22" i="52" s="1"/>
  <c r="U21" i="52"/>
  <c r="T21" i="52" s="1"/>
  <c r="S21" i="52" s="1"/>
  <c r="R21" i="52" s="1"/>
  <c r="Q21" i="52" s="1"/>
  <c r="P21" i="52" s="1"/>
  <c r="O21" i="52" s="1"/>
  <c r="N21" i="52" s="1"/>
  <c r="M21" i="52" s="1"/>
  <c r="L21" i="52" s="1"/>
  <c r="K21" i="52" s="1"/>
  <c r="J21" i="52" s="1"/>
  <c r="I21" i="52" s="1"/>
  <c r="H21" i="52" s="1"/>
  <c r="G21" i="52" s="1"/>
  <c r="U20" i="52"/>
  <c r="T20" i="52" s="1"/>
  <c r="S20" i="52" s="1"/>
  <c r="R20" i="52" s="1"/>
  <c r="Q20" i="52" s="1"/>
  <c r="P20" i="52" s="1"/>
  <c r="O20" i="52" s="1"/>
  <c r="N20" i="52" s="1"/>
  <c r="M20" i="52" s="1"/>
  <c r="L20" i="52" s="1"/>
  <c r="K20" i="52" s="1"/>
  <c r="J20" i="52" s="1"/>
  <c r="I20" i="52" s="1"/>
  <c r="H20" i="52" s="1"/>
  <c r="G20" i="52" s="1"/>
  <c r="U18" i="52"/>
  <c r="T18" i="52" s="1"/>
  <c r="S18" i="52" s="1"/>
  <c r="R18" i="52" s="1"/>
  <c r="Q18" i="52" s="1"/>
  <c r="P18" i="52" s="1"/>
  <c r="O18" i="52" s="1"/>
  <c r="N18" i="52" s="1"/>
  <c r="M18" i="52" s="1"/>
  <c r="L18" i="52" s="1"/>
  <c r="K18" i="52" s="1"/>
  <c r="J18" i="52" s="1"/>
  <c r="I18" i="52" s="1"/>
  <c r="H18" i="52" s="1"/>
  <c r="G18" i="52" s="1"/>
  <c r="U17" i="52"/>
  <c r="T17" i="52" s="1"/>
  <c r="S17" i="52" s="1"/>
  <c r="R17" i="52" s="1"/>
  <c r="Q17" i="52" s="1"/>
  <c r="P17" i="52" s="1"/>
  <c r="O17" i="52" s="1"/>
  <c r="N17" i="52" s="1"/>
  <c r="M17" i="52" s="1"/>
  <c r="L17" i="52" s="1"/>
  <c r="K17" i="52" s="1"/>
  <c r="J17" i="52" s="1"/>
  <c r="I17" i="52" s="1"/>
  <c r="H17" i="52" s="1"/>
  <c r="G17" i="52" s="1"/>
  <c r="U16" i="52"/>
  <c r="T16" i="52" s="1"/>
  <c r="S16" i="52" s="1"/>
  <c r="R16" i="52" s="1"/>
  <c r="Q16" i="52" s="1"/>
  <c r="P16" i="52" s="1"/>
  <c r="O16" i="52" s="1"/>
  <c r="N16" i="52" s="1"/>
  <c r="M16" i="52" s="1"/>
  <c r="L16" i="52" s="1"/>
  <c r="K16" i="52" s="1"/>
  <c r="J16" i="52" s="1"/>
  <c r="I16" i="52" s="1"/>
  <c r="H16" i="52" s="1"/>
  <c r="G16" i="52" s="1"/>
  <c r="U15" i="52"/>
  <c r="T15" i="52" s="1"/>
  <c r="S15" i="52" s="1"/>
  <c r="R15" i="52" s="1"/>
  <c r="Q15" i="52" s="1"/>
  <c r="P15" i="52" s="1"/>
  <c r="O15" i="52" s="1"/>
  <c r="N15" i="52" s="1"/>
  <c r="M15" i="52" s="1"/>
  <c r="L15" i="52" s="1"/>
  <c r="K15" i="52" s="1"/>
  <c r="J15" i="52" s="1"/>
  <c r="I15" i="52" s="1"/>
  <c r="H15" i="52" s="1"/>
  <c r="G15" i="52" s="1"/>
  <c r="U14" i="52"/>
  <c r="T14" i="52" s="1"/>
  <c r="S14" i="52" s="1"/>
  <c r="R14" i="52" s="1"/>
  <c r="Q14" i="52" s="1"/>
  <c r="P14" i="52" s="1"/>
  <c r="O14" i="52" s="1"/>
  <c r="N14" i="52" s="1"/>
  <c r="M14" i="52" s="1"/>
  <c r="L14" i="52" s="1"/>
  <c r="K14" i="52" s="1"/>
  <c r="J14" i="52" s="1"/>
  <c r="I14" i="52" s="1"/>
  <c r="H14" i="52" s="1"/>
  <c r="G14" i="52" s="1"/>
  <c r="U13" i="52"/>
  <c r="T13" i="52" s="1"/>
  <c r="S13" i="52" s="1"/>
  <c r="R13" i="52" s="1"/>
  <c r="Q13" i="52" s="1"/>
  <c r="P13" i="52" s="1"/>
  <c r="O13" i="52" s="1"/>
  <c r="N13" i="52" s="1"/>
  <c r="M13" i="52" s="1"/>
  <c r="L13" i="52" s="1"/>
  <c r="K13" i="52" s="1"/>
  <c r="J13" i="52" s="1"/>
  <c r="I13" i="52" s="1"/>
  <c r="H13" i="52" s="1"/>
  <c r="G13" i="52" s="1"/>
  <c r="U12" i="52"/>
  <c r="T12" i="52" s="1"/>
  <c r="S12" i="52" s="1"/>
  <c r="R12" i="52" s="1"/>
  <c r="Q12" i="52" s="1"/>
  <c r="P12" i="52" s="1"/>
  <c r="O12" i="52" s="1"/>
  <c r="N12" i="52" s="1"/>
  <c r="M12" i="52" s="1"/>
  <c r="L12" i="52" s="1"/>
  <c r="K12" i="52" s="1"/>
  <c r="J12" i="52" s="1"/>
  <c r="I12" i="52" s="1"/>
  <c r="H12" i="52" s="1"/>
  <c r="G12" i="52" s="1"/>
  <c r="U11" i="52"/>
  <c r="T11" i="52" s="1"/>
  <c r="S11" i="52" s="1"/>
  <c r="R11" i="52" s="1"/>
  <c r="Q11" i="52" s="1"/>
  <c r="P11" i="52" s="1"/>
  <c r="O11" i="52" s="1"/>
  <c r="N11" i="52" s="1"/>
  <c r="M11" i="52" s="1"/>
  <c r="L11" i="52" s="1"/>
  <c r="K11" i="52" s="1"/>
  <c r="J11" i="52" s="1"/>
  <c r="I11" i="52" s="1"/>
  <c r="H11" i="52" s="1"/>
  <c r="G11" i="52" s="1"/>
  <c r="U10" i="52"/>
  <c r="T10" i="52" s="1"/>
  <c r="S10" i="52" s="1"/>
  <c r="R10" i="52" s="1"/>
  <c r="Q10" i="52" s="1"/>
  <c r="P10" i="52" s="1"/>
  <c r="O10" i="52" s="1"/>
  <c r="N10" i="52" s="1"/>
  <c r="M10" i="52" s="1"/>
  <c r="L10" i="52" s="1"/>
  <c r="K10" i="52" s="1"/>
  <c r="J10" i="52" s="1"/>
  <c r="I10" i="52" s="1"/>
  <c r="H10" i="52" s="1"/>
  <c r="G10" i="52" s="1"/>
  <c r="U9" i="52"/>
  <c r="T9" i="52" s="1"/>
  <c r="S9" i="52" s="1"/>
  <c r="R9" i="52" s="1"/>
  <c r="Q9" i="52" s="1"/>
  <c r="P9" i="52" s="1"/>
  <c r="O9" i="52" s="1"/>
  <c r="N9" i="52" s="1"/>
  <c r="M9" i="52" s="1"/>
  <c r="L9" i="52" s="1"/>
  <c r="K9" i="52" s="1"/>
  <c r="J9" i="52" s="1"/>
  <c r="I9" i="52" s="1"/>
  <c r="H9" i="52" s="1"/>
  <c r="G9" i="52" s="1"/>
  <c r="U8" i="52"/>
  <c r="T8" i="52" s="1"/>
  <c r="S8" i="52" s="1"/>
  <c r="R8" i="52" s="1"/>
  <c r="Q8" i="52" s="1"/>
  <c r="P8" i="52" s="1"/>
  <c r="O8" i="52" s="1"/>
  <c r="N8" i="52" s="1"/>
  <c r="M8" i="52" s="1"/>
  <c r="L8" i="52" s="1"/>
  <c r="K8" i="52" s="1"/>
  <c r="J8" i="52" s="1"/>
  <c r="I8" i="52" s="1"/>
  <c r="H8" i="52" s="1"/>
  <c r="G8" i="52" s="1"/>
  <c r="U7" i="52"/>
  <c r="T7" i="52" s="1"/>
  <c r="S7" i="52" s="1"/>
  <c r="R7" i="52" s="1"/>
  <c r="Q7" i="52" s="1"/>
  <c r="P7" i="52" s="1"/>
  <c r="O7" i="52" s="1"/>
  <c r="N7" i="52" s="1"/>
  <c r="M7" i="52" s="1"/>
  <c r="L7" i="52" s="1"/>
  <c r="K7" i="52" s="1"/>
  <c r="J7" i="52" s="1"/>
  <c r="I7" i="52" s="1"/>
  <c r="H7" i="52" s="1"/>
  <c r="G7" i="52" s="1"/>
  <c r="U6" i="52"/>
  <c r="T6" i="52" s="1"/>
  <c r="S6" i="52" s="1"/>
  <c r="R6" i="52" s="1"/>
  <c r="Q6" i="52" s="1"/>
  <c r="P6" i="52" s="1"/>
  <c r="O6" i="52" s="1"/>
  <c r="N6" i="52" s="1"/>
  <c r="M6" i="52" s="1"/>
  <c r="L6" i="52" s="1"/>
  <c r="K6" i="52" s="1"/>
  <c r="J6" i="52" s="1"/>
  <c r="I6" i="52" s="1"/>
  <c r="H6" i="52" s="1"/>
  <c r="G6" i="52" s="1"/>
  <c r="U5" i="52"/>
  <c r="T5" i="52" s="1"/>
  <c r="S5" i="52" s="1"/>
  <c r="R5" i="52" s="1"/>
  <c r="Q5" i="52" s="1"/>
  <c r="P5" i="52" s="1"/>
  <c r="O5" i="52" s="1"/>
  <c r="N5" i="52" s="1"/>
  <c r="M5" i="52" s="1"/>
  <c r="L5" i="52" s="1"/>
  <c r="K5" i="52" s="1"/>
  <c r="J5" i="52" s="1"/>
  <c r="I5" i="52" s="1"/>
  <c r="H5" i="52" s="1"/>
  <c r="G5" i="52" s="1"/>
  <c r="U4" i="52"/>
  <c r="T4" i="52" s="1"/>
  <c r="S4" i="52" s="1"/>
  <c r="R4" i="52" s="1"/>
  <c r="Q4" i="52" s="1"/>
  <c r="P4" i="52" s="1"/>
  <c r="O4" i="52" s="1"/>
  <c r="N4" i="52" s="1"/>
  <c r="M4" i="52" s="1"/>
  <c r="L4" i="52" s="1"/>
  <c r="K4" i="52" s="1"/>
  <c r="J4" i="52" s="1"/>
  <c r="I4" i="52" s="1"/>
  <c r="H4" i="52" s="1"/>
  <c r="G4" i="52" s="1"/>
  <c r="U3" i="52"/>
  <c r="T3" i="52" s="1"/>
  <c r="S3" i="52" s="1"/>
  <c r="R3" i="52" s="1"/>
  <c r="Q3" i="52" s="1"/>
  <c r="P3" i="52" s="1"/>
  <c r="O3" i="52" s="1"/>
  <c r="N3" i="52" s="1"/>
  <c r="M3" i="52" s="1"/>
  <c r="L3" i="52" s="1"/>
  <c r="K3" i="52" s="1"/>
  <c r="J3" i="52" s="1"/>
  <c r="I3" i="52" s="1"/>
  <c r="H3" i="52" s="1"/>
  <c r="G3" i="52" s="1"/>
  <c r="U2" i="52"/>
  <c r="T2" i="52" s="1"/>
  <c r="S2" i="52" s="1"/>
  <c r="R2" i="52" s="1"/>
  <c r="Q2" i="52" s="1"/>
  <c r="P2" i="52" s="1"/>
  <c r="O2" i="52" s="1"/>
  <c r="N2" i="52" s="1"/>
  <c r="M2" i="52" s="1"/>
  <c r="L2" i="52" s="1"/>
  <c r="K2" i="52" s="1"/>
  <c r="J2" i="52" s="1"/>
  <c r="I2" i="52" s="1"/>
  <c r="H2" i="52" s="1"/>
  <c r="G2" i="52" s="1"/>
  <c r="U230" i="49"/>
  <c r="T230" i="49" s="1"/>
  <c r="S230" i="49" s="1"/>
  <c r="R230" i="49" s="1"/>
  <c r="Q230" i="49" s="1"/>
  <c r="P230" i="49"/>
  <c r="O230" i="49"/>
  <c r="N230" i="49" s="1"/>
  <c r="M230" i="49" s="1"/>
  <c r="L230" i="49" s="1"/>
  <c r="K230" i="49" s="1"/>
  <c r="J230" i="49" s="1"/>
  <c r="I230" i="49" s="1"/>
  <c r="H230" i="49" s="1"/>
  <c r="G230" i="49" s="1"/>
  <c r="U230" i="50"/>
  <c r="T230" i="50" s="1"/>
  <c r="S230" i="50" s="1"/>
  <c r="R230" i="50" s="1"/>
  <c r="Q230" i="50" s="1"/>
  <c r="P230" i="50" s="1"/>
  <c r="O230" i="50" s="1"/>
  <c r="N230" i="50" s="1"/>
  <c r="M230" i="50" s="1"/>
  <c r="L230" i="50" s="1"/>
  <c r="K230" i="50" s="1"/>
  <c r="J230" i="50" s="1"/>
  <c r="I230" i="50" s="1"/>
  <c r="H230" i="50" s="1"/>
  <c r="G230" i="50" s="1"/>
  <c r="F230" i="50"/>
  <c r="F3" i="52"/>
  <c r="F4" i="52"/>
  <c r="F5" i="52"/>
  <c r="F6" i="52"/>
  <c r="F7" i="52"/>
  <c r="F8" i="52"/>
  <c r="F9" i="52"/>
  <c r="F10" i="52"/>
  <c r="F11" i="52"/>
  <c r="F12" i="52"/>
  <c r="F13" i="52"/>
  <c r="F14" i="52"/>
  <c r="F15" i="52"/>
  <c r="F16" i="52"/>
  <c r="F17" i="52"/>
  <c r="F18"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3" i="52"/>
  <c r="F214" i="52"/>
  <c r="F215" i="52"/>
  <c r="F216" i="52"/>
  <c r="F217" i="52"/>
  <c r="F218" i="52"/>
  <c r="F219" i="52"/>
  <c r="F220" i="52"/>
  <c r="F221" i="52"/>
  <c r="F222" i="52"/>
  <c r="F223" i="52"/>
  <c r="F224" i="52"/>
  <c r="F225" i="52"/>
  <c r="F226" i="52"/>
  <c r="F227" i="52"/>
  <c r="F228" i="52"/>
  <c r="F229" i="52"/>
  <c r="F230" i="52"/>
  <c r="F2" i="52"/>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3" i="51"/>
  <c r="F214" i="51"/>
  <c r="F215" i="51"/>
  <c r="F216" i="51"/>
  <c r="F217" i="51"/>
  <c r="F218" i="51"/>
  <c r="F219" i="51"/>
  <c r="F220" i="51"/>
  <c r="F221" i="51"/>
  <c r="F222" i="51"/>
  <c r="F223" i="51"/>
  <c r="F224" i="51"/>
  <c r="F225" i="51"/>
  <c r="F226" i="51"/>
  <c r="F227" i="51"/>
  <c r="F228" i="51"/>
  <c r="F229" i="51"/>
  <c r="F230" i="51"/>
  <c r="F2" i="51"/>
  <c r="F218" i="26" l="1"/>
  <c r="H218" i="26"/>
  <c r="I218" i="26"/>
  <c r="K218" i="26"/>
  <c r="L218" i="26"/>
  <c r="N218" i="26"/>
  <c r="O218" i="26"/>
  <c r="F219" i="26"/>
  <c r="H219" i="26"/>
  <c r="I219" i="26"/>
  <c r="K219" i="26"/>
  <c r="L219" i="26"/>
  <c r="N219" i="26"/>
  <c r="O219" i="26"/>
  <c r="E219" i="26"/>
  <c r="E218" i="26"/>
  <c r="K30" i="39" a="1"/>
  <c r="K30" i="39" s="1"/>
  <c r="C49" i="43"/>
  <c r="N51" i="26" s="1"/>
  <c r="N53" i="26" s="1"/>
  <c r="N52" i="26" l="1"/>
  <c r="E51" i="26"/>
  <c r="E53" i="26" s="1"/>
  <c r="O51" i="26"/>
  <c r="F51" i="26"/>
  <c r="I51" i="26"/>
  <c r="K51" i="26"/>
  <c r="H51" i="26"/>
  <c r="L51" i="26"/>
  <c r="F60" i="1"/>
  <c r="E52" i="26" l="1"/>
  <c r="K53" i="26"/>
  <c r="K52" i="26"/>
  <c r="I53" i="26"/>
  <c r="I52" i="26"/>
  <c r="F53" i="26"/>
  <c r="F52" i="26"/>
  <c r="O53" i="26"/>
  <c r="O52" i="26"/>
  <c r="L53" i="26"/>
  <c r="L52" i="26"/>
  <c r="H53" i="26"/>
  <c r="H52" i="26"/>
  <c r="F12" i="43"/>
  <c r="F10" i="43" s="1"/>
  <c r="E12" i="43"/>
  <c r="D12" i="43"/>
  <c r="C12" i="43"/>
  <c r="F88" i="20"/>
  <c r="AX22" i="20" s="1"/>
  <c r="AY22" i="20" s="1"/>
  <c r="F87" i="20"/>
  <c r="AX21" i="20" s="1"/>
  <c r="AY21" i="20" s="1"/>
  <c r="F90" i="20"/>
  <c r="AX24" i="20" s="1"/>
  <c r="AY24" i="20" s="1"/>
  <c r="F91" i="20"/>
  <c r="AX25" i="20" s="1"/>
  <c r="AY25" i="20" s="1"/>
  <c r="F92" i="20"/>
  <c r="AX26" i="20" s="1"/>
  <c r="AY26" i="20" s="1"/>
  <c r="F93" i="20"/>
  <c r="AX27" i="20" s="1"/>
  <c r="AY27" i="20" s="1"/>
  <c r="F94" i="20"/>
  <c r="AX28" i="20" s="1"/>
  <c r="AY28" i="20" s="1"/>
  <c r="F95" i="20"/>
  <c r="AX29" i="20" s="1"/>
  <c r="AY29" i="20" s="1"/>
  <c r="F96" i="20"/>
  <c r="AX30" i="20" s="1"/>
  <c r="AY30" i="20" s="1"/>
  <c r="F97" i="20"/>
  <c r="AX31" i="20" s="1"/>
  <c r="AY31" i="20" s="1"/>
  <c r="F98" i="20"/>
  <c r="AX32" i="20" s="1"/>
  <c r="AY32" i="20" s="1"/>
  <c r="F99" i="20"/>
  <c r="AX33" i="20" s="1"/>
  <c r="AY33" i="20" s="1"/>
  <c r="F100" i="20"/>
  <c r="AX34" i="20" s="1"/>
  <c r="AY34" i="20" s="1"/>
  <c r="F101" i="20"/>
  <c r="AX35" i="20" s="1"/>
  <c r="AY35" i="20" s="1"/>
  <c r="F102" i="20"/>
  <c r="AX36" i="20" s="1"/>
  <c r="AY36" i="20" s="1"/>
  <c r="F103" i="20"/>
  <c r="AX37" i="20" s="1"/>
  <c r="AY37" i="20" s="1"/>
  <c r="F104" i="20"/>
  <c r="AX38" i="20" s="1"/>
  <c r="AY38" i="20" s="1"/>
  <c r="F105" i="20"/>
  <c r="AX39" i="20" s="1"/>
  <c r="AY39" i="20" s="1"/>
  <c r="F106" i="20"/>
  <c r="AX40" i="20" s="1"/>
  <c r="AY40" i="20" s="1"/>
  <c r="F107" i="20"/>
  <c r="AX41" i="20" s="1"/>
  <c r="AY41" i="20" s="1"/>
  <c r="F108" i="20"/>
  <c r="AX42" i="20" s="1"/>
  <c r="AY42" i="20" s="1"/>
  <c r="F109" i="20"/>
  <c r="AX43" i="20" s="1"/>
  <c r="AY43" i="20" s="1"/>
  <c r="F110" i="20"/>
  <c r="AX44" i="20" s="1"/>
  <c r="AY44" i="20" s="1"/>
  <c r="F111" i="20"/>
  <c r="AX45" i="20" s="1"/>
  <c r="AY45" i="20" s="1"/>
  <c r="F112" i="20"/>
  <c r="AX46" i="20" s="1"/>
  <c r="AY46" i="20" s="1"/>
  <c r="F113" i="20"/>
  <c r="AX47" i="20" s="1"/>
  <c r="AY47" i="20" s="1"/>
  <c r="F114" i="20"/>
  <c r="AX48" i="20" s="1"/>
  <c r="AY48" i="20" s="1"/>
  <c r="F115" i="20"/>
  <c r="AX49" i="20" s="1"/>
  <c r="AY49" i="20" s="1"/>
  <c r="F116" i="20"/>
  <c r="AX50" i="20" s="1"/>
  <c r="AY50" i="20" s="1"/>
  <c r="F82" i="20"/>
  <c r="AX16" i="20" s="1"/>
  <c r="D118" i="20" a="1"/>
  <c r="D118" i="20" s="1"/>
  <c r="F118" i="20" s="1"/>
  <c r="AX52" i="20" s="1"/>
  <c r="AY52" i="20" s="1"/>
  <c r="D119" i="20" a="1"/>
  <c r="D119" i="20" s="1"/>
  <c r="F119" i="20" s="1"/>
  <c r="AX53" i="20" s="1"/>
  <c r="AY53" i="20" s="1"/>
  <c r="D120" i="20" a="1"/>
  <c r="D120" i="20" s="1"/>
  <c r="F120" i="20" s="1"/>
  <c r="AX54" i="20" s="1"/>
  <c r="AY54" i="20" s="1"/>
  <c r="D121" i="20" a="1"/>
  <c r="D121" i="20" s="1"/>
  <c r="F121" i="20" s="1"/>
  <c r="AX55" i="20" s="1"/>
  <c r="AY55" i="20" s="1"/>
  <c r="D122" i="20" a="1"/>
  <c r="D122" i="20" s="1"/>
  <c r="F122" i="20" s="1"/>
  <c r="AX56" i="20" s="1"/>
  <c r="AY56" i="20" s="1"/>
  <c r="D123" i="20" a="1"/>
  <c r="D123" i="20" s="1"/>
  <c r="F123" i="20" s="1"/>
  <c r="AX57" i="20" s="1"/>
  <c r="AY57" i="20" s="1"/>
  <c r="D124" i="20" a="1"/>
  <c r="D124" i="20" s="1"/>
  <c r="F124" i="20" s="1"/>
  <c r="AX58" i="20" s="1"/>
  <c r="AY58" i="20" s="1"/>
  <c r="D125" i="20" a="1"/>
  <c r="D125" i="20" s="1"/>
  <c r="F125" i="20" s="1"/>
  <c r="AX59" i="20" s="1"/>
  <c r="AY59" i="20" s="1"/>
  <c r="D126" i="20" a="1"/>
  <c r="D126" i="20" s="1"/>
  <c r="F126" i="20" s="1"/>
  <c r="AX60" i="20" s="1"/>
  <c r="AY60" i="20" s="1"/>
  <c r="D127" i="20" a="1"/>
  <c r="D127" i="20" s="1"/>
  <c r="F127" i="20" s="1"/>
  <c r="AX61" i="20" s="1"/>
  <c r="AY61" i="20" s="1"/>
  <c r="D128" i="20" a="1"/>
  <c r="D128" i="20" s="1"/>
  <c r="F128" i="20" s="1"/>
  <c r="AX62" i="20" s="1"/>
  <c r="AY62" i="20" s="1"/>
  <c r="D117" i="20" a="1"/>
  <c r="D117" i="20" s="1"/>
  <c r="F117" i="20" s="1"/>
  <c r="AX51" i="20" s="1"/>
  <c r="AY51" i="20" s="1"/>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9" i="20"/>
  <c r="G9" i="20" s="1"/>
  <c r="D56" i="20" a="1"/>
  <c r="D56" i="20" s="1"/>
  <c r="F56" i="20" s="1"/>
  <c r="D57" i="20" a="1"/>
  <c r="D57" i="20" s="1"/>
  <c r="F57" i="20" s="1"/>
  <c r="D58" i="20" a="1"/>
  <c r="D58" i="20" s="1"/>
  <c r="F58" i="20" s="1"/>
  <c r="D59" i="20" a="1"/>
  <c r="D59" i="20" s="1"/>
  <c r="F59" i="20" s="1"/>
  <c r="D60" i="20" a="1"/>
  <c r="D60" i="20" s="1"/>
  <c r="F60" i="20" s="1"/>
  <c r="D61" i="20" a="1"/>
  <c r="D61" i="20" s="1"/>
  <c r="F61" i="20" s="1"/>
  <c r="D62" i="20" a="1"/>
  <c r="D62" i="20" s="1"/>
  <c r="F62" i="20" s="1"/>
  <c r="D63" i="20" a="1"/>
  <c r="D63" i="20" s="1"/>
  <c r="F63" i="20" s="1"/>
  <c r="D64" i="20" a="1"/>
  <c r="D64" i="20" s="1"/>
  <c r="F64" i="20" s="1"/>
  <c r="D65" i="20" a="1"/>
  <c r="D65" i="20" s="1"/>
  <c r="F65" i="20" s="1"/>
  <c r="D66" i="20" a="1"/>
  <c r="D66" i="20" s="1"/>
  <c r="F66" i="20" s="1"/>
  <c r="D55" i="20" a="1"/>
  <c r="D55" i="20" s="1"/>
  <c r="F55" i="20" s="1"/>
  <c r="AX15" i="20" l="1"/>
  <c r="AY16" i="20"/>
  <c r="F86" i="20"/>
  <c r="AX20" i="20" s="1"/>
  <c r="AY20" i="20" s="1"/>
  <c r="F85" i="20"/>
  <c r="AX19" i="20" s="1"/>
  <c r="AY19" i="20" s="1"/>
  <c r="F84" i="20"/>
  <c r="AX18" i="20" s="1"/>
  <c r="AY18" i="20" s="1"/>
  <c r="F83" i="20"/>
  <c r="AX17" i="20" s="1"/>
  <c r="AY17" i="20" s="1"/>
  <c r="F89" i="20"/>
  <c r="AX23" i="20" s="1"/>
  <c r="AY23" i="20" s="1"/>
  <c r="AX14" i="20" l="1"/>
  <c r="AY15" i="20"/>
  <c r="B3" i="46"/>
  <c r="B47" i="43"/>
  <c r="B48" i="43"/>
  <c r="B46" i="43"/>
  <c r="AX13" i="20" l="1"/>
  <c r="AY14" i="20"/>
  <c r="B8" i="45"/>
  <c r="B9" i="45"/>
  <c r="B10" i="45"/>
  <c r="B11" i="45"/>
  <c r="B12" i="45"/>
  <c r="F6" i="43"/>
  <c r="F5" i="43"/>
  <c r="F128" i="43" s="1" a="1"/>
  <c r="F128" i="43" s="1"/>
  <c r="F3" i="43"/>
  <c r="F17" i="43" s="1" a="1"/>
  <c r="F17" i="43" s="1"/>
  <c r="F2" i="43"/>
  <c r="E23" i="43"/>
  <c r="E10" i="43" s="1"/>
  <c r="E6" i="43"/>
  <c r="E5" i="43"/>
  <c r="E128" i="43" s="1" a="1"/>
  <c r="E128" i="43" s="1"/>
  <c r="E3" i="43"/>
  <c r="E2" i="43"/>
  <c r="D23" i="43"/>
  <c r="D10" i="43" s="1"/>
  <c r="D6" i="43"/>
  <c r="D5" i="43"/>
  <c r="D128" i="43" s="1" a="1"/>
  <c r="D128" i="43" s="1"/>
  <c r="D3" i="43"/>
  <c r="D2" i="43"/>
  <c r="C23" i="43"/>
  <c r="C10" i="43" s="1"/>
  <c r="C6" i="43"/>
  <c r="C5" i="43"/>
  <c r="C3" i="43"/>
  <c r="C2" i="43"/>
  <c r="N53" i="43" l="1" a="1"/>
  <c r="N53" i="43" s="1"/>
  <c r="E53" i="43" s="1" a="1"/>
  <c r="E53" i="43" s="1"/>
  <c r="B48" i="39" a="1"/>
  <c r="B48" i="39" s="1"/>
  <c r="O53" i="43" a="1"/>
  <c r="O53" i="43" s="1"/>
  <c r="F53" i="43" s="1" a="1"/>
  <c r="F53" i="43" s="1"/>
  <c r="L53" i="43" a="1"/>
  <c r="L53" i="43" s="1"/>
  <c r="C53" i="43" s="1" a="1"/>
  <c r="C53" i="43" s="1"/>
  <c r="M53" i="43" a="1"/>
  <c r="M53" i="43" s="1"/>
  <c r="D53" i="43" s="1" a="1"/>
  <c r="D53" i="43" s="1"/>
  <c r="C77" i="43" a="1"/>
  <c r="C77" i="43" s="1"/>
  <c r="F77" i="43" a="1"/>
  <c r="F77" i="43" s="1"/>
  <c r="D77" i="43" a="1"/>
  <c r="D77" i="43" s="1"/>
  <c r="E77" i="43" a="1"/>
  <c r="E77" i="43" s="1"/>
  <c r="C48" i="43"/>
  <c r="D28" i="39" s="1"/>
  <c r="D27" i="39"/>
  <c r="D26" i="39"/>
  <c r="C128" i="43" a="1"/>
  <c r="C128" i="43" s="1"/>
  <c r="AX12" i="20"/>
  <c r="AY13" i="20"/>
  <c r="F24" i="43"/>
  <c r="C24" i="43"/>
  <c r="D24" i="43"/>
  <c r="E24" i="43"/>
  <c r="E17" i="43" a="1"/>
  <c r="E17" i="43" s="1"/>
  <c r="D17" i="43" a="1"/>
  <c r="D17" i="43" s="1"/>
  <c r="C17" i="43" a="1"/>
  <c r="C17" i="43" s="1"/>
  <c r="C11" i="43"/>
  <c r="E11" i="43"/>
  <c r="F11" i="43"/>
  <c r="D11" i="43"/>
  <c r="C32" i="3"/>
  <c r="C5" i="3"/>
  <c r="C14" i="3"/>
  <c r="C23" i="3"/>
  <c r="I51" i="24"/>
  <c r="L51" i="24" s="1"/>
  <c r="J51" i="24"/>
  <c r="T51" i="24"/>
  <c r="U51" i="24" s="1"/>
  <c r="V51" i="24" s="1"/>
  <c r="I52" i="24"/>
  <c r="L52" i="24" s="1"/>
  <c r="J52" i="24"/>
  <c r="T52" i="24"/>
  <c r="U52" i="24" s="1"/>
  <c r="V52" i="24" s="1"/>
  <c r="I53" i="24"/>
  <c r="M53" i="24" s="1"/>
  <c r="J53" i="24"/>
  <c r="T53" i="24"/>
  <c r="U53" i="24" s="1"/>
  <c r="V53" i="24" s="1"/>
  <c r="I54" i="24"/>
  <c r="M54" i="24" s="1"/>
  <c r="J54" i="24"/>
  <c r="T54" i="24"/>
  <c r="U54" i="24" s="1"/>
  <c r="V54" i="24" s="1"/>
  <c r="I55" i="24"/>
  <c r="L55" i="24" s="1"/>
  <c r="J55" i="24"/>
  <c r="T55" i="24"/>
  <c r="U55" i="24" s="1"/>
  <c r="V55" i="24" s="1"/>
  <c r="I56" i="24"/>
  <c r="L56" i="24" s="1"/>
  <c r="J56" i="24"/>
  <c r="T56" i="24"/>
  <c r="U56" i="24" s="1"/>
  <c r="V56" i="24" s="1"/>
  <c r="I57" i="24"/>
  <c r="L57" i="24" s="1"/>
  <c r="J57" i="24"/>
  <c r="T57" i="24"/>
  <c r="U57" i="24" s="1"/>
  <c r="V57" i="24" s="1"/>
  <c r="I58" i="24"/>
  <c r="L58" i="24" s="1"/>
  <c r="J58" i="24"/>
  <c r="T58" i="24"/>
  <c r="U58" i="24" s="1"/>
  <c r="V58" i="24" s="1"/>
  <c r="I59" i="24"/>
  <c r="L59" i="24" s="1"/>
  <c r="J59" i="24"/>
  <c r="T59" i="24"/>
  <c r="U59" i="24" s="1"/>
  <c r="V59" i="24" s="1"/>
  <c r="I60" i="24"/>
  <c r="L60" i="24" s="1"/>
  <c r="J60" i="24"/>
  <c r="T60" i="24"/>
  <c r="U60" i="24" s="1"/>
  <c r="V60" i="24" s="1"/>
  <c r="I61" i="24"/>
  <c r="M61" i="24" s="1"/>
  <c r="J61" i="24"/>
  <c r="T61" i="24"/>
  <c r="U61" i="24" s="1"/>
  <c r="V61" i="24" s="1"/>
  <c r="I62" i="24"/>
  <c r="M62" i="24" s="1"/>
  <c r="J62" i="24"/>
  <c r="T62" i="24"/>
  <c r="U62" i="24" s="1"/>
  <c r="V62" i="24" s="1"/>
  <c r="T50" i="24"/>
  <c r="U50" i="24" s="1"/>
  <c r="V50" i="24" s="1"/>
  <c r="J50" i="24"/>
  <c r="I50" i="24"/>
  <c r="M50" i="24" s="1"/>
  <c r="X52" i="22"/>
  <c r="Y52" i="22"/>
  <c r="Z52" i="22"/>
  <c r="AD52" i="22"/>
  <c r="AE52" i="22"/>
  <c r="AF52" i="22"/>
  <c r="X53" i="22"/>
  <c r="Y53" i="22"/>
  <c r="Z53" i="22"/>
  <c r="AD53" i="22"/>
  <c r="AE53" i="22"/>
  <c r="AF53" i="22"/>
  <c r="X54" i="22"/>
  <c r="Y54" i="22"/>
  <c r="Z54" i="22"/>
  <c r="AD54" i="22"/>
  <c r="AE54" i="22"/>
  <c r="AF54" i="22"/>
  <c r="X55" i="22"/>
  <c r="Y55" i="22"/>
  <c r="Z55" i="22"/>
  <c r="AD55" i="22"/>
  <c r="AE55" i="22"/>
  <c r="AF55" i="22"/>
  <c r="X56" i="22"/>
  <c r="Y56" i="22"/>
  <c r="Z56" i="22"/>
  <c r="AD56" i="22"/>
  <c r="AE56" i="22"/>
  <c r="AF56" i="22"/>
  <c r="X57" i="22"/>
  <c r="Y57" i="22"/>
  <c r="Z57" i="22"/>
  <c r="AD57" i="22"/>
  <c r="AE57" i="22"/>
  <c r="AF57" i="22"/>
  <c r="X58" i="22"/>
  <c r="Y58" i="22"/>
  <c r="Z58" i="22"/>
  <c r="AD58" i="22"/>
  <c r="AE58" i="22"/>
  <c r="AF58" i="22"/>
  <c r="X59" i="22"/>
  <c r="Y59" i="22"/>
  <c r="Z59" i="22"/>
  <c r="AD59" i="22"/>
  <c r="AE59" i="22"/>
  <c r="AF59" i="22"/>
  <c r="X60" i="22"/>
  <c r="Y60" i="22"/>
  <c r="Z60" i="22"/>
  <c r="AD60" i="22"/>
  <c r="AE60" i="22"/>
  <c r="AF60" i="22"/>
  <c r="X61" i="22"/>
  <c r="Y61" i="22"/>
  <c r="Z61" i="22"/>
  <c r="AD61" i="22"/>
  <c r="AE61" i="22"/>
  <c r="AF61" i="22"/>
  <c r="X62" i="22"/>
  <c r="Y62" i="22"/>
  <c r="Z62" i="22"/>
  <c r="AD62" i="22"/>
  <c r="AE62" i="22"/>
  <c r="AF62" i="22"/>
  <c r="X63" i="22"/>
  <c r="Y63" i="22"/>
  <c r="Z63" i="22"/>
  <c r="AD63" i="22"/>
  <c r="AE63" i="22"/>
  <c r="AF63" i="22"/>
  <c r="X51" i="22"/>
  <c r="Y51" i="22"/>
  <c r="Z51" i="22"/>
  <c r="AD51" i="22"/>
  <c r="AE51" i="22"/>
  <c r="AF51" i="22"/>
  <c r="U56" i="15"/>
  <c r="V56" i="15"/>
  <c r="W56" i="15"/>
  <c r="U57" i="15"/>
  <c r="V57" i="15"/>
  <c r="W57" i="15"/>
  <c r="U58" i="15"/>
  <c r="V58" i="15"/>
  <c r="W58" i="15"/>
  <c r="U59" i="15"/>
  <c r="V59" i="15"/>
  <c r="W59" i="15"/>
  <c r="U60" i="15"/>
  <c r="V60" i="15"/>
  <c r="W60" i="15"/>
  <c r="U61" i="15"/>
  <c r="V61" i="15"/>
  <c r="W61" i="15"/>
  <c r="U50" i="15"/>
  <c r="V50" i="15"/>
  <c r="W50" i="15"/>
  <c r="U51" i="15"/>
  <c r="V51" i="15"/>
  <c r="W51" i="15"/>
  <c r="U52" i="15"/>
  <c r="V52" i="15"/>
  <c r="W52" i="15"/>
  <c r="U53" i="15"/>
  <c r="V53" i="15"/>
  <c r="W53" i="15"/>
  <c r="U54" i="15"/>
  <c r="V54" i="15"/>
  <c r="W54" i="15"/>
  <c r="U55" i="15"/>
  <c r="V55" i="15"/>
  <c r="W55" i="15"/>
  <c r="W49" i="15"/>
  <c r="V49" i="15"/>
  <c r="U49" i="15"/>
  <c r="AW50" i="20"/>
  <c r="BN50" i="20"/>
  <c r="BO50" i="20"/>
  <c r="BN51" i="20"/>
  <c r="BO51" i="20"/>
  <c r="BN52" i="20"/>
  <c r="BO52" i="20"/>
  <c r="BN53" i="20"/>
  <c r="BO53" i="20"/>
  <c r="BN54" i="20"/>
  <c r="BO54" i="20"/>
  <c r="BN55" i="20"/>
  <c r="BO55" i="20"/>
  <c r="BN56" i="20"/>
  <c r="BO56" i="20"/>
  <c r="BN57" i="20"/>
  <c r="BO57" i="20"/>
  <c r="BN58" i="20"/>
  <c r="BO58" i="20"/>
  <c r="BN59" i="20"/>
  <c r="BO59" i="20"/>
  <c r="BN60" i="20"/>
  <c r="BO60" i="20"/>
  <c r="BN61" i="20"/>
  <c r="BO61" i="20"/>
  <c r="BN62" i="20"/>
  <c r="BO62" i="20"/>
  <c r="Q66" i="20" a="1"/>
  <c r="Q66" i="20" s="1"/>
  <c r="Q56" i="20" a="1"/>
  <c r="Q56" i="20" s="1"/>
  <c r="G117" i="20"/>
  <c r="AW51" i="20"/>
  <c r="AZ51" i="20" s="1"/>
  <c r="AW52" i="20"/>
  <c r="AW53" i="20"/>
  <c r="AW54" i="20"/>
  <c r="BA54" i="20" s="1"/>
  <c r="AW55" i="20"/>
  <c r="AW56" i="20"/>
  <c r="AW57" i="20"/>
  <c r="AW58" i="20"/>
  <c r="AW59" i="20"/>
  <c r="AZ59" i="20" s="1"/>
  <c r="AW60" i="20"/>
  <c r="AW61" i="20"/>
  <c r="AW62" i="20"/>
  <c r="BA62" i="20" s="1"/>
  <c r="L55" i="20" a="1"/>
  <c r="L55" i="20" s="1"/>
  <c r="M55" i="20" a="1"/>
  <c r="M55" i="20" s="1"/>
  <c r="N55" i="20" a="1"/>
  <c r="N55" i="20" s="1"/>
  <c r="O55" i="20" a="1"/>
  <c r="O55" i="20" s="1"/>
  <c r="P55" i="20" a="1"/>
  <c r="P55" i="20" s="1"/>
  <c r="Q55" i="20" a="1"/>
  <c r="Q55" i="20" s="1"/>
  <c r="K56" i="20" a="1"/>
  <c r="K56" i="20" s="1"/>
  <c r="L56" i="20" a="1"/>
  <c r="L56" i="20" s="1"/>
  <c r="M56" i="20" a="1"/>
  <c r="M56" i="20" s="1"/>
  <c r="N56" i="20" a="1"/>
  <c r="N56" i="20" s="1"/>
  <c r="O56" i="20" a="1"/>
  <c r="O56" i="20" s="1"/>
  <c r="P56" i="20" a="1"/>
  <c r="P56" i="20" s="1"/>
  <c r="K57" i="20" a="1"/>
  <c r="K57" i="20" s="1"/>
  <c r="L57" i="20" a="1"/>
  <c r="L57" i="20" s="1"/>
  <c r="M57" i="20" a="1"/>
  <c r="M57" i="20" s="1"/>
  <c r="N57" i="20" a="1"/>
  <c r="N57" i="20" s="1"/>
  <c r="O57" i="20" a="1"/>
  <c r="O57" i="20" s="1"/>
  <c r="P57" i="20" a="1"/>
  <c r="P57" i="20" s="1"/>
  <c r="Q57" i="20" a="1"/>
  <c r="Q57" i="20" s="1"/>
  <c r="K58" i="20" a="1"/>
  <c r="K58" i="20" s="1"/>
  <c r="L58" i="20" a="1"/>
  <c r="L58" i="20" s="1"/>
  <c r="M58" i="20" a="1"/>
  <c r="M58" i="20" s="1"/>
  <c r="N58" i="20" a="1"/>
  <c r="N58" i="20" s="1"/>
  <c r="O58" i="20" a="1"/>
  <c r="O58" i="20" s="1"/>
  <c r="P58" i="20" a="1"/>
  <c r="P58" i="20" s="1"/>
  <c r="Q58" i="20" a="1"/>
  <c r="Q58" i="20" s="1"/>
  <c r="K59" i="20" a="1"/>
  <c r="K59" i="20" s="1"/>
  <c r="L59" i="20" a="1"/>
  <c r="L59" i="20" s="1"/>
  <c r="M59" i="20" a="1"/>
  <c r="M59" i="20" s="1"/>
  <c r="N59" i="20" a="1"/>
  <c r="N59" i="20" s="1"/>
  <c r="O59" i="20" a="1"/>
  <c r="O59" i="20" s="1"/>
  <c r="P59" i="20" a="1"/>
  <c r="P59" i="20" s="1"/>
  <c r="Q59" i="20" a="1"/>
  <c r="Q59" i="20" s="1"/>
  <c r="K60" i="20" a="1"/>
  <c r="K60" i="20" s="1"/>
  <c r="L60" i="20" a="1"/>
  <c r="L60" i="20" s="1"/>
  <c r="M60" i="20" a="1"/>
  <c r="M60" i="20" s="1"/>
  <c r="N60" i="20" a="1"/>
  <c r="N60" i="20" s="1"/>
  <c r="O60" i="20" a="1"/>
  <c r="O60" i="20" s="1"/>
  <c r="P60" i="20" a="1"/>
  <c r="P60" i="20" s="1"/>
  <c r="Q60" i="20" a="1"/>
  <c r="Q60" i="20" s="1"/>
  <c r="K61" i="20" a="1"/>
  <c r="K61" i="20" s="1"/>
  <c r="L61" i="20" a="1"/>
  <c r="L61" i="20" s="1"/>
  <c r="M61" i="20" a="1"/>
  <c r="M61" i="20" s="1"/>
  <c r="N61" i="20" a="1"/>
  <c r="N61" i="20" s="1"/>
  <c r="O61" i="20" a="1"/>
  <c r="O61" i="20" s="1"/>
  <c r="P61" i="20" a="1"/>
  <c r="P61" i="20" s="1"/>
  <c r="Q61" i="20" a="1"/>
  <c r="Q61" i="20" s="1"/>
  <c r="K62" i="20" a="1"/>
  <c r="K62" i="20" s="1"/>
  <c r="L62" i="20" a="1"/>
  <c r="L62" i="20" s="1"/>
  <c r="M62" i="20" a="1"/>
  <c r="M62" i="20" s="1"/>
  <c r="N62" i="20" a="1"/>
  <c r="N62" i="20" s="1"/>
  <c r="O62" i="20" a="1"/>
  <c r="O62" i="20" s="1"/>
  <c r="P62" i="20" a="1"/>
  <c r="P62" i="20" s="1"/>
  <c r="Q62" i="20" a="1"/>
  <c r="Q62" i="20" s="1"/>
  <c r="K63" i="20" a="1"/>
  <c r="K63" i="20" s="1"/>
  <c r="L63" i="20" a="1"/>
  <c r="L63" i="20" s="1"/>
  <c r="M63" i="20" a="1"/>
  <c r="M63" i="20" s="1"/>
  <c r="N63" i="20" a="1"/>
  <c r="N63" i="20" s="1"/>
  <c r="O63" i="20" a="1"/>
  <c r="O63" i="20" s="1"/>
  <c r="P63" i="20" a="1"/>
  <c r="P63" i="20" s="1"/>
  <c r="Q63" i="20" a="1"/>
  <c r="Q63" i="20" s="1"/>
  <c r="K64" i="20" a="1"/>
  <c r="K64" i="20" s="1"/>
  <c r="L64" i="20" a="1"/>
  <c r="L64" i="20" s="1"/>
  <c r="M64" i="20" a="1"/>
  <c r="M64" i="20" s="1"/>
  <c r="N64" i="20" a="1"/>
  <c r="N64" i="20" s="1"/>
  <c r="O64" i="20" a="1"/>
  <c r="O64" i="20" s="1"/>
  <c r="P64" i="20" a="1"/>
  <c r="P64" i="20" s="1"/>
  <c r="Q64" i="20" a="1"/>
  <c r="Q64" i="20" s="1"/>
  <c r="K65" i="20" a="1"/>
  <c r="K65" i="20" s="1"/>
  <c r="L65" i="20" a="1"/>
  <c r="L65" i="20" s="1"/>
  <c r="M65" i="20" a="1"/>
  <c r="M65" i="20" s="1"/>
  <c r="N65" i="20" a="1"/>
  <c r="N65" i="20" s="1"/>
  <c r="O65" i="20" a="1"/>
  <c r="O65" i="20" s="1"/>
  <c r="P65" i="20" a="1"/>
  <c r="P65" i="20" s="1"/>
  <c r="Q65" i="20" a="1"/>
  <c r="Q65" i="20" s="1"/>
  <c r="K66" i="20" a="1"/>
  <c r="K66" i="20" s="1"/>
  <c r="L66" i="20" a="1"/>
  <c r="L66" i="20" s="1"/>
  <c r="M66" i="20" a="1"/>
  <c r="M66" i="20" s="1"/>
  <c r="N66" i="20" a="1"/>
  <c r="N66" i="20" s="1"/>
  <c r="O66" i="20" a="1"/>
  <c r="O66" i="20" s="1"/>
  <c r="P66" i="20" a="1"/>
  <c r="P66" i="20" s="1"/>
  <c r="K55" i="20"/>
  <c r="I50" i="20" a="1"/>
  <c r="I50" i="20" s="1"/>
  <c r="H50" i="20" s="1"/>
  <c r="I51" i="20" a="1"/>
  <c r="I51" i="20" s="1"/>
  <c r="H51" i="20" s="1"/>
  <c r="I52" i="20" a="1"/>
  <c r="I52" i="20" s="1"/>
  <c r="H52" i="20" s="1"/>
  <c r="I53" i="20" a="1"/>
  <c r="I53" i="20" s="1"/>
  <c r="H53" i="20" s="1"/>
  <c r="I54" i="20" a="1"/>
  <c r="I54" i="20" s="1"/>
  <c r="I49" i="20" a="1"/>
  <c r="I49" i="20" s="1"/>
  <c r="H49" i="20" s="1"/>
  <c r="I9" i="20" a="1"/>
  <c r="I9" i="20" s="1"/>
  <c r="H9" i="20" s="1"/>
  <c r="K118" i="20" a="1"/>
  <c r="K118" i="20" s="1"/>
  <c r="L118" i="20" a="1"/>
  <c r="L118" i="20" s="1"/>
  <c r="M118" i="20" a="1"/>
  <c r="M118" i="20" s="1"/>
  <c r="N118" i="20" a="1"/>
  <c r="N118" i="20" s="1"/>
  <c r="O118" i="20" a="1"/>
  <c r="O118" i="20" s="1"/>
  <c r="P118" i="20" a="1"/>
  <c r="P118" i="20" s="1"/>
  <c r="Q118" i="20" a="1"/>
  <c r="Q118" i="20" s="1"/>
  <c r="K119" i="20" a="1"/>
  <c r="K119" i="20" s="1"/>
  <c r="L119" i="20" a="1"/>
  <c r="L119" i="20" s="1"/>
  <c r="M119" i="20" a="1"/>
  <c r="M119" i="20" s="1"/>
  <c r="N119" i="20" a="1"/>
  <c r="N119" i="20" s="1"/>
  <c r="O119" i="20" a="1"/>
  <c r="O119" i="20" s="1"/>
  <c r="P119" i="20" a="1"/>
  <c r="P119" i="20" s="1"/>
  <c r="Q119" i="20" a="1"/>
  <c r="Q119" i="20" s="1"/>
  <c r="K120" i="20" a="1"/>
  <c r="K120" i="20" s="1"/>
  <c r="L120" i="20" a="1"/>
  <c r="L120" i="20" s="1"/>
  <c r="M120" i="20" a="1"/>
  <c r="M120" i="20" s="1"/>
  <c r="N120" i="20" a="1"/>
  <c r="N120" i="20" s="1"/>
  <c r="O120" i="20" a="1"/>
  <c r="O120" i="20" s="1"/>
  <c r="P120" i="20" a="1"/>
  <c r="P120" i="20" s="1"/>
  <c r="Q120" i="20" a="1"/>
  <c r="Q120" i="20" s="1"/>
  <c r="K121" i="20" a="1"/>
  <c r="K121" i="20" s="1"/>
  <c r="L121" i="20" a="1"/>
  <c r="L121" i="20" s="1"/>
  <c r="M121" i="20" a="1"/>
  <c r="M121" i="20" s="1"/>
  <c r="N121" i="20" a="1"/>
  <c r="N121" i="20" s="1"/>
  <c r="O121" i="20" a="1"/>
  <c r="O121" i="20" s="1"/>
  <c r="P121" i="20" a="1"/>
  <c r="P121" i="20" s="1"/>
  <c r="Q121" i="20" a="1"/>
  <c r="Q121" i="20" s="1"/>
  <c r="K122" i="20" a="1"/>
  <c r="K122" i="20" s="1"/>
  <c r="L122" i="20" a="1"/>
  <c r="L122" i="20" s="1"/>
  <c r="M122" i="20" a="1"/>
  <c r="M122" i="20" s="1"/>
  <c r="N122" i="20" a="1"/>
  <c r="N122" i="20" s="1"/>
  <c r="O122" i="20" a="1"/>
  <c r="O122" i="20" s="1"/>
  <c r="P122" i="20" a="1"/>
  <c r="P122" i="20" s="1"/>
  <c r="Q122" i="20" a="1"/>
  <c r="Q122" i="20" s="1"/>
  <c r="K123" i="20" a="1"/>
  <c r="K123" i="20" s="1"/>
  <c r="L123" i="20" a="1"/>
  <c r="L123" i="20" s="1"/>
  <c r="M123" i="20" a="1"/>
  <c r="M123" i="20" s="1"/>
  <c r="N123" i="20" a="1"/>
  <c r="N123" i="20" s="1"/>
  <c r="O123" i="20" a="1"/>
  <c r="O123" i="20" s="1"/>
  <c r="P123" i="20" a="1"/>
  <c r="P123" i="20" s="1"/>
  <c r="Q123" i="20" a="1"/>
  <c r="Q123" i="20" s="1"/>
  <c r="K124" i="20" a="1"/>
  <c r="K124" i="20" s="1"/>
  <c r="L124" i="20" a="1"/>
  <c r="L124" i="20" s="1"/>
  <c r="M124" i="20" a="1"/>
  <c r="M124" i="20" s="1"/>
  <c r="N124" i="20" a="1"/>
  <c r="N124" i="20" s="1"/>
  <c r="O124" i="20" a="1"/>
  <c r="O124" i="20" s="1"/>
  <c r="P124" i="20" a="1"/>
  <c r="P124" i="20" s="1"/>
  <c r="Q124" i="20" a="1"/>
  <c r="Q124" i="20" s="1"/>
  <c r="K125" i="20" a="1"/>
  <c r="K125" i="20" s="1"/>
  <c r="L125" i="20" a="1"/>
  <c r="L125" i="20" s="1"/>
  <c r="M125" i="20" a="1"/>
  <c r="M125" i="20" s="1"/>
  <c r="N125" i="20" a="1"/>
  <c r="N125" i="20" s="1"/>
  <c r="O125" i="20" a="1"/>
  <c r="O125" i="20" s="1"/>
  <c r="P125" i="20" a="1"/>
  <c r="P125" i="20" s="1"/>
  <c r="Q125" i="20" a="1"/>
  <c r="Q125" i="20" s="1"/>
  <c r="K126" i="20" a="1"/>
  <c r="K126" i="20" s="1"/>
  <c r="L126" i="20" a="1"/>
  <c r="L126" i="20" s="1"/>
  <c r="M126" i="20" a="1"/>
  <c r="M126" i="20" s="1"/>
  <c r="N126" i="20" a="1"/>
  <c r="N126" i="20" s="1"/>
  <c r="O126" i="20" a="1"/>
  <c r="O126" i="20" s="1"/>
  <c r="P126" i="20" a="1"/>
  <c r="P126" i="20" s="1"/>
  <c r="Q126" i="20" a="1"/>
  <c r="Q126" i="20" s="1"/>
  <c r="K127" i="20" a="1"/>
  <c r="K127" i="20" s="1"/>
  <c r="L127" i="20" a="1"/>
  <c r="L127" i="20" s="1"/>
  <c r="M127" i="20" a="1"/>
  <c r="M127" i="20" s="1"/>
  <c r="N127" i="20" a="1"/>
  <c r="N127" i="20" s="1"/>
  <c r="O127" i="20" a="1"/>
  <c r="O127" i="20" s="1"/>
  <c r="P127" i="20" a="1"/>
  <c r="P127" i="20" s="1"/>
  <c r="Q127" i="20" a="1"/>
  <c r="Q127" i="20" s="1"/>
  <c r="K128" i="20" a="1"/>
  <c r="K128" i="20" s="1"/>
  <c r="L128" i="20" a="1"/>
  <c r="L128" i="20" s="1"/>
  <c r="M128" i="20" a="1"/>
  <c r="M128" i="20" s="1"/>
  <c r="N128" i="20" a="1"/>
  <c r="N128" i="20" s="1"/>
  <c r="O128" i="20" a="1"/>
  <c r="O128" i="20" s="1"/>
  <c r="P128" i="20" a="1"/>
  <c r="P128" i="20" s="1"/>
  <c r="Q128" i="20" a="1"/>
  <c r="Q128" i="20" s="1"/>
  <c r="L117" i="20" a="1"/>
  <c r="L117" i="20" s="1"/>
  <c r="M117" i="20" a="1"/>
  <c r="M117" i="20" s="1"/>
  <c r="N117" i="20" a="1"/>
  <c r="N117" i="20" s="1"/>
  <c r="O117" i="20" a="1"/>
  <c r="O117" i="20" s="1"/>
  <c r="P117" i="20" a="1"/>
  <c r="P117" i="20" s="1"/>
  <c r="Q117" i="20" a="1"/>
  <c r="Q117" i="20" s="1"/>
  <c r="K117" i="20" a="1"/>
  <c r="K117" i="20" s="1"/>
  <c r="G118" i="20"/>
  <c r="G119" i="20"/>
  <c r="G120" i="20"/>
  <c r="G121" i="20"/>
  <c r="G122" i="20"/>
  <c r="G123" i="20"/>
  <c r="G124" i="20"/>
  <c r="G125" i="20"/>
  <c r="G126" i="20"/>
  <c r="G127" i="20"/>
  <c r="G128" i="20"/>
  <c r="K39" i="39" l="1"/>
  <c r="E46" i="43"/>
  <c r="I229" i="26" s="1"/>
  <c r="E47" i="43"/>
  <c r="E48" i="43"/>
  <c r="F27" i="43" a="1"/>
  <c r="F27" i="43" s="1"/>
  <c r="F28" i="43" s="1"/>
  <c r="F26" i="43" s="1" a="1"/>
  <c r="F26" i="43" s="1"/>
  <c r="AX11" i="20"/>
  <c r="AY12" i="20"/>
  <c r="D27" i="43" a="1"/>
  <c r="D27" i="43" s="1"/>
  <c r="D28" i="43" s="1"/>
  <c r="D26" i="43" s="1" a="1"/>
  <c r="D26" i="43" s="1"/>
  <c r="C27" i="43" a="1"/>
  <c r="C27" i="43" s="1"/>
  <c r="C28" i="43" s="1"/>
  <c r="C26" i="43" s="1" a="1"/>
  <c r="C26" i="43" s="1"/>
  <c r="E27" i="43" a="1"/>
  <c r="E27" i="43" s="1"/>
  <c r="E28" i="43" s="1"/>
  <c r="E26" i="43" s="1" a="1"/>
  <c r="E26" i="43" s="1"/>
  <c r="AD9" i="20"/>
  <c r="AJ9" i="20"/>
  <c r="U9" i="20"/>
  <c r="AA9" i="20"/>
  <c r="R9" i="20"/>
  <c r="AH9" i="20"/>
  <c r="Z9" i="20"/>
  <c r="AC9" i="20"/>
  <c r="Y9" i="20"/>
  <c r="X9" i="20"/>
  <c r="T9" i="20"/>
  <c r="AI9" i="20"/>
  <c r="AK9" i="20"/>
  <c r="AE9" i="20"/>
  <c r="AB9" i="20"/>
  <c r="V9" i="20"/>
  <c r="S9" i="20"/>
  <c r="W9" i="20"/>
  <c r="AG9" i="20"/>
  <c r="AF9" i="20"/>
  <c r="BD50" i="20"/>
  <c r="BG50" i="20" s="1"/>
  <c r="H54" i="20"/>
  <c r="M57" i="24"/>
  <c r="L61" i="24"/>
  <c r="AZ56" i="20"/>
  <c r="BA56" i="20"/>
  <c r="BA55" i="20"/>
  <c r="AZ55" i="20"/>
  <c r="BA58" i="20"/>
  <c r="AZ57" i="20"/>
  <c r="AZ61" i="20"/>
  <c r="BA53" i="20"/>
  <c r="AZ60" i="20"/>
  <c r="BA60" i="20"/>
  <c r="BA52" i="20"/>
  <c r="AZ52" i="20"/>
  <c r="AZ50" i="20"/>
  <c r="M58" i="24"/>
  <c r="L53" i="24"/>
  <c r="M56" i="24"/>
  <c r="BA50" i="20"/>
  <c r="L62" i="24"/>
  <c r="M55" i="24"/>
  <c r="L54" i="24"/>
  <c r="M59" i="24"/>
  <c r="M51" i="24"/>
  <c r="M60" i="24"/>
  <c r="M52" i="24"/>
  <c r="L50" i="24"/>
  <c r="AZ62" i="20"/>
  <c r="BA57" i="20"/>
  <c r="AZ54" i="20"/>
  <c r="BA61" i="20"/>
  <c r="AZ58" i="20"/>
  <c r="AZ53" i="20"/>
  <c r="BA59" i="20"/>
  <c r="BA51" i="20"/>
  <c r="G56" i="20"/>
  <c r="G64" i="20"/>
  <c r="G62" i="20"/>
  <c r="G61" i="20"/>
  <c r="J64" i="20"/>
  <c r="G57" i="20"/>
  <c r="J56" i="20"/>
  <c r="G65" i="20"/>
  <c r="G59" i="20"/>
  <c r="G60" i="20"/>
  <c r="G58" i="20"/>
  <c r="G66" i="20"/>
  <c r="G55" i="20"/>
  <c r="G63" i="20"/>
  <c r="I121" i="20"/>
  <c r="BE55" i="20" s="1"/>
  <c r="BF55" i="20" s="1"/>
  <c r="J121" i="20"/>
  <c r="I125" i="20"/>
  <c r="BE59" i="20" s="1"/>
  <c r="BF59" i="20" s="1"/>
  <c r="J125" i="20"/>
  <c r="I92" i="20" a="1"/>
  <c r="I92" i="20" s="1"/>
  <c r="BE26" i="20" s="1"/>
  <c r="BF26" i="20" s="1"/>
  <c r="AW35" i="20"/>
  <c r="F25" i="43" l="1"/>
  <c r="E38" i="46" s="1"/>
  <c r="C25" i="43"/>
  <c r="K229" i="26"/>
  <c r="O229" i="26"/>
  <c r="H229" i="26"/>
  <c r="N229" i="26"/>
  <c r="L229" i="26"/>
  <c r="F229" i="26"/>
  <c r="E229" i="26"/>
  <c r="L231" i="26"/>
  <c r="O231" i="26"/>
  <c r="E231" i="26"/>
  <c r="E234" i="26" s="1"/>
  <c r="H231" i="26"/>
  <c r="I231" i="26"/>
  <c r="K231" i="26"/>
  <c r="N231" i="26"/>
  <c r="F231" i="26"/>
  <c r="K230" i="26"/>
  <c r="E230" i="26"/>
  <c r="L230" i="26"/>
  <c r="N230" i="26"/>
  <c r="O230" i="26"/>
  <c r="F230" i="26"/>
  <c r="H230" i="26"/>
  <c r="I230" i="26"/>
  <c r="BH50" i="20"/>
  <c r="D29" i="43" a="1"/>
  <c r="D29" i="43" s="1"/>
  <c r="D166" i="43" s="1"/>
  <c r="D25" i="43"/>
  <c r="F19" i="43" a="1"/>
  <c r="F19" i="43" s="1"/>
  <c r="AX10" i="20"/>
  <c r="AY11" i="20"/>
  <c r="E29" i="43" a="1"/>
  <c r="E29" i="43" s="1"/>
  <c r="E166" i="43" s="1"/>
  <c r="E22" i="43" a="1"/>
  <c r="E22" i="43" s="1"/>
  <c r="E18" i="43" a="1"/>
  <c r="E18" i="43" s="1"/>
  <c r="E19" i="43" a="1"/>
  <c r="E19" i="43" s="1"/>
  <c r="E25" i="43"/>
  <c r="C29" i="43" a="1"/>
  <c r="C29" i="43" s="1"/>
  <c r="C166" i="43" s="1"/>
  <c r="F29" i="43" a="1"/>
  <c r="F29" i="43" s="1"/>
  <c r="F166" i="43" s="1"/>
  <c r="F18" i="43" a="1"/>
  <c r="F18" i="43" s="1"/>
  <c r="F22" i="43" a="1"/>
  <c r="F22" i="43" s="1"/>
  <c r="C22" i="43" a="1"/>
  <c r="C22" i="43" s="1"/>
  <c r="C19" i="43" a="1"/>
  <c r="C19" i="43" s="1"/>
  <c r="C18" i="43" a="1"/>
  <c r="C18" i="43" s="1"/>
  <c r="D22" i="43" a="1"/>
  <c r="D22" i="43" s="1"/>
  <c r="D19" i="43" a="1"/>
  <c r="D19" i="43" s="1"/>
  <c r="D18" i="43" a="1"/>
  <c r="D18" i="43" s="1"/>
  <c r="X125" i="20"/>
  <c r="AC125" i="20"/>
  <c r="T125" i="20"/>
  <c r="AF125" i="20"/>
  <c r="S125" i="20"/>
  <c r="AA125" i="20"/>
  <c r="R125" i="20"/>
  <c r="Z125" i="20"/>
  <c r="AE125" i="20"/>
  <c r="U125" i="20"/>
  <c r="AB125" i="20"/>
  <c r="W125" i="20"/>
  <c r="AB121" i="20"/>
  <c r="AJ121" i="20"/>
  <c r="AI121" i="20"/>
  <c r="V125" i="20"/>
  <c r="AI125" i="20"/>
  <c r="AJ125" i="20"/>
  <c r="AK125" i="20"/>
  <c r="AH121" i="20"/>
  <c r="AD125" i="20"/>
  <c r="Y125" i="20"/>
  <c r="AH125" i="20"/>
  <c r="AG121" i="20"/>
  <c r="AF121" i="20"/>
  <c r="AG125" i="20"/>
  <c r="AK121" i="20"/>
  <c r="AC121" i="20"/>
  <c r="Y121" i="20"/>
  <c r="W121" i="20"/>
  <c r="R121" i="20"/>
  <c r="Z121" i="20"/>
  <c r="T121" i="20"/>
  <c r="X121" i="20"/>
  <c r="V121" i="20"/>
  <c r="AE121" i="20"/>
  <c r="S121" i="20"/>
  <c r="AD121" i="20"/>
  <c r="AA121" i="20"/>
  <c r="U121" i="20"/>
  <c r="K35" i="11"/>
  <c r="L35" i="11"/>
  <c r="M35" i="11"/>
  <c r="N35" i="11"/>
  <c r="O35" i="11"/>
  <c r="P35" i="11"/>
  <c r="Q35" i="11"/>
  <c r="R35" i="11"/>
  <c r="S35" i="11"/>
  <c r="T35" i="11" s="1"/>
  <c r="U35" i="11" s="1"/>
  <c r="V35" i="11" s="1"/>
  <c r="W35" i="11" s="1"/>
  <c r="X35" i="11" s="1"/>
  <c r="Y35" i="11" s="1"/>
  <c r="Z35" i="11" s="1"/>
  <c r="AA35" i="11" s="1"/>
  <c r="AB35" i="11" s="1"/>
  <c r="AC35" i="11" s="1"/>
  <c r="AD35" i="11" s="1"/>
  <c r="AE35" i="11" s="1"/>
  <c r="AF35" i="11" s="1"/>
  <c r="AG35" i="11" s="1"/>
  <c r="AH35" i="11" s="1"/>
  <c r="AI35" i="11" s="1"/>
  <c r="AJ35" i="11" s="1"/>
  <c r="AK35" i="11" s="1"/>
  <c r="AL35" i="11" s="1"/>
  <c r="AM35" i="11" s="1"/>
  <c r="AN35" i="11" s="1"/>
  <c r="AO35" i="11" s="1"/>
  <c r="AP35" i="11" s="1"/>
  <c r="AQ35" i="11" s="1"/>
  <c r="AR35" i="11" s="1"/>
  <c r="AS35" i="11" s="1"/>
  <c r="AT35" i="11" s="1"/>
  <c r="AU35" i="11" s="1"/>
  <c r="AV35" i="11" s="1"/>
  <c r="AW35" i="11" s="1"/>
  <c r="AX35" i="11" s="1"/>
  <c r="AY35" i="11" s="1"/>
  <c r="AZ35" i="11" s="1"/>
  <c r="BA35" i="11" s="1"/>
  <c r="BB35" i="11" s="1"/>
  <c r="BC35" i="11" s="1"/>
  <c r="K36" i="11"/>
  <c r="L36" i="11"/>
  <c r="M36" i="11"/>
  <c r="N36" i="11"/>
  <c r="O36" i="11"/>
  <c r="P36" i="11"/>
  <c r="Q36" i="11"/>
  <c r="R36" i="11"/>
  <c r="S36" i="11"/>
  <c r="T36" i="11" s="1"/>
  <c r="U36" i="11" s="1"/>
  <c r="V36" i="11" s="1"/>
  <c r="W36" i="11" s="1"/>
  <c r="X36" i="11" s="1"/>
  <c r="Y36" i="11" s="1"/>
  <c r="Z36" i="11" s="1"/>
  <c r="AA36" i="11" s="1"/>
  <c r="AB36" i="11" s="1"/>
  <c r="AC36" i="11" s="1"/>
  <c r="AD36" i="11" s="1"/>
  <c r="AE36" i="11" s="1"/>
  <c r="AF36" i="11" s="1"/>
  <c r="AG36" i="11" s="1"/>
  <c r="AH36" i="11" s="1"/>
  <c r="AI36" i="11" s="1"/>
  <c r="AJ36" i="11" s="1"/>
  <c r="AK36" i="11" s="1"/>
  <c r="AL36" i="11" s="1"/>
  <c r="AM36" i="11" s="1"/>
  <c r="AN36" i="11" s="1"/>
  <c r="AO36" i="11" s="1"/>
  <c r="AP36" i="11" s="1"/>
  <c r="AQ36" i="11" s="1"/>
  <c r="AR36" i="11" s="1"/>
  <c r="AS36" i="11" s="1"/>
  <c r="AT36" i="11" s="1"/>
  <c r="AU36" i="11" s="1"/>
  <c r="AV36" i="11" s="1"/>
  <c r="AW36" i="11" s="1"/>
  <c r="AX36" i="11" s="1"/>
  <c r="AY36" i="11" s="1"/>
  <c r="AZ36" i="11" s="1"/>
  <c r="BA36" i="11" s="1"/>
  <c r="BB36" i="11" s="1"/>
  <c r="BC36" i="11" s="1"/>
  <c r="K37" i="11"/>
  <c r="L37" i="11"/>
  <c r="M37" i="11"/>
  <c r="N37" i="11"/>
  <c r="O37" i="11"/>
  <c r="P37" i="11"/>
  <c r="Q37" i="11"/>
  <c r="R37" i="11"/>
  <c r="S37" i="11"/>
  <c r="T37" i="11" s="1"/>
  <c r="U37" i="11" s="1"/>
  <c r="V37" i="11" s="1"/>
  <c r="W37" i="11" s="1"/>
  <c r="X37" i="11" s="1"/>
  <c r="Y37" i="11" s="1"/>
  <c r="Z37" i="11" s="1"/>
  <c r="AA37" i="11" s="1"/>
  <c r="AB37" i="11" s="1"/>
  <c r="AC37" i="11" s="1"/>
  <c r="AD37" i="11" s="1"/>
  <c r="AE37" i="11" s="1"/>
  <c r="AF37" i="11" s="1"/>
  <c r="AG37" i="11" s="1"/>
  <c r="AH37" i="11" s="1"/>
  <c r="AI37" i="11" s="1"/>
  <c r="AJ37" i="11" s="1"/>
  <c r="AK37" i="11" s="1"/>
  <c r="AL37" i="11" s="1"/>
  <c r="AM37" i="11" s="1"/>
  <c r="AN37" i="11" s="1"/>
  <c r="AO37" i="11" s="1"/>
  <c r="AP37" i="11" s="1"/>
  <c r="AQ37" i="11" s="1"/>
  <c r="AR37" i="11" s="1"/>
  <c r="AS37" i="11" s="1"/>
  <c r="AT37" i="11" s="1"/>
  <c r="AU37" i="11" s="1"/>
  <c r="AV37" i="11" s="1"/>
  <c r="AW37" i="11" s="1"/>
  <c r="AX37" i="11" s="1"/>
  <c r="AY37" i="11" s="1"/>
  <c r="AZ37" i="11" s="1"/>
  <c r="BA37" i="11" s="1"/>
  <c r="BB37" i="11" s="1"/>
  <c r="BC37" i="11" s="1"/>
  <c r="K38" i="11"/>
  <c r="L38" i="11"/>
  <c r="M38" i="11"/>
  <c r="N38" i="11"/>
  <c r="O38" i="11"/>
  <c r="P38" i="11"/>
  <c r="Q38" i="11"/>
  <c r="R38" i="11"/>
  <c r="S38" i="11"/>
  <c r="T38" i="11" s="1"/>
  <c r="U38" i="11" s="1"/>
  <c r="V38" i="11" s="1"/>
  <c r="W38" i="11" s="1"/>
  <c r="X38" i="11" s="1"/>
  <c r="Y38" i="11" s="1"/>
  <c r="Z38" i="11" s="1"/>
  <c r="AA38" i="11" s="1"/>
  <c r="AB38" i="11" s="1"/>
  <c r="AC38" i="11" s="1"/>
  <c r="AD38" i="11" s="1"/>
  <c r="AE38" i="11" s="1"/>
  <c r="AF38" i="11" s="1"/>
  <c r="AG38" i="11" s="1"/>
  <c r="AH38" i="11" s="1"/>
  <c r="AI38" i="11" s="1"/>
  <c r="AJ38" i="11" s="1"/>
  <c r="AK38" i="11" s="1"/>
  <c r="AL38" i="11" s="1"/>
  <c r="AM38" i="11" s="1"/>
  <c r="AN38" i="11" s="1"/>
  <c r="AO38" i="11" s="1"/>
  <c r="AP38" i="11" s="1"/>
  <c r="AQ38" i="11" s="1"/>
  <c r="AR38" i="11" s="1"/>
  <c r="AS38" i="11" s="1"/>
  <c r="AT38" i="11" s="1"/>
  <c r="AU38" i="11" s="1"/>
  <c r="AV38" i="11" s="1"/>
  <c r="AW38" i="11" s="1"/>
  <c r="AX38" i="11" s="1"/>
  <c r="AY38" i="11" s="1"/>
  <c r="AZ38" i="11" s="1"/>
  <c r="BA38" i="11" s="1"/>
  <c r="BB38" i="11" s="1"/>
  <c r="BC38" i="11" s="1"/>
  <c r="K39" i="11"/>
  <c r="L39" i="11"/>
  <c r="M39" i="11"/>
  <c r="N39" i="11"/>
  <c r="O39" i="11"/>
  <c r="P39" i="11"/>
  <c r="Q39" i="11"/>
  <c r="R39" i="11"/>
  <c r="S39" i="11"/>
  <c r="T39" i="11" s="1"/>
  <c r="U39" i="11" s="1"/>
  <c r="V39" i="11" s="1"/>
  <c r="W39" i="11" s="1"/>
  <c r="X39" i="11" s="1"/>
  <c r="Y39" i="11" s="1"/>
  <c r="Z39" i="11" s="1"/>
  <c r="AA39" i="11" s="1"/>
  <c r="AB39" i="11" s="1"/>
  <c r="AC39" i="11" s="1"/>
  <c r="AD39" i="11" s="1"/>
  <c r="AE39" i="11" s="1"/>
  <c r="AF39" i="11" s="1"/>
  <c r="AG39" i="11" s="1"/>
  <c r="AH39" i="11" s="1"/>
  <c r="AI39" i="11" s="1"/>
  <c r="AJ39" i="11" s="1"/>
  <c r="AK39" i="11" s="1"/>
  <c r="AL39" i="11" s="1"/>
  <c r="AM39" i="11" s="1"/>
  <c r="AN39" i="11" s="1"/>
  <c r="AO39" i="11" s="1"/>
  <c r="AP39" i="11" s="1"/>
  <c r="AQ39" i="11" s="1"/>
  <c r="AR39" i="11" s="1"/>
  <c r="AS39" i="11" s="1"/>
  <c r="AT39" i="11" s="1"/>
  <c r="AU39" i="11" s="1"/>
  <c r="AV39" i="11" s="1"/>
  <c r="AW39" i="11" s="1"/>
  <c r="AX39" i="11" s="1"/>
  <c r="AY39" i="11" s="1"/>
  <c r="AZ39" i="11" s="1"/>
  <c r="BA39" i="11" s="1"/>
  <c r="BB39" i="11" s="1"/>
  <c r="BC39" i="11" s="1"/>
  <c r="K40" i="11"/>
  <c r="L40" i="11"/>
  <c r="M40" i="11"/>
  <c r="N40" i="11"/>
  <c r="O40" i="11"/>
  <c r="P40" i="11"/>
  <c r="Q40" i="11"/>
  <c r="R40" i="11"/>
  <c r="S40" i="11"/>
  <c r="T40" i="11" s="1"/>
  <c r="U40" i="11" s="1"/>
  <c r="V40" i="11" s="1"/>
  <c r="W40" i="11" s="1"/>
  <c r="X40" i="11" s="1"/>
  <c r="Y40" i="11" s="1"/>
  <c r="Z40" i="11" s="1"/>
  <c r="AA40" i="11" s="1"/>
  <c r="AB40" i="11" s="1"/>
  <c r="AC40" i="11" s="1"/>
  <c r="AD40" i="11" s="1"/>
  <c r="AE40" i="11" s="1"/>
  <c r="AF40" i="11" s="1"/>
  <c r="AG40" i="11" s="1"/>
  <c r="AH40" i="11" s="1"/>
  <c r="AI40" i="11" s="1"/>
  <c r="AJ40" i="11" s="1"/>
  <c r="AK40" i="11" s="1"/>
  <c r="AL40" i="11" s="1"/>
  <c r="AM40" i="11" s="1"/>
  <c r="AN40" i="11" s="1"/>
  <c r="AO40" i="11" s="1"/>
  <c r="AP40" i="11" s="1"/>
  <c r="AQ40" i="11" s="1"/>
  <c r="AR40" i="11" s="1"/>
  <c r="AS40" i="11" s="1"/>
  <c r="AT40" i="11" s="1"/>
  <c r="AU40" i="11" s="1"/>
  <c r="AV40" i="11" s="1"/>
  <c r="AW40" i="11" s="1"/>
  <c r="AX40" i="11" s="1"/>
  <c r="AY40" i="11" s="1"/>
  <c r="AZ40" i="11" s="1"/>
  <c r="BA40" i="11" s="1"/>
  <c r="BB40" i="11" s="1"/>
  <c r="BC40" i="11" s="1"/>
  <c r="K41" i="11"/>
  <c r="L41" i="11"/>
  <c r="M41" i="11"/>
  <c r="N41" i="11"/>
  <c r="O41" i="11"/>
  <c r="P41" i="11"/>
  <c r="Q41" i="11"/>
  <c r="R41" i="11"/>
  <c r="S41" i="11"/>
  <c r="T41" i="11" s="1"/>
  <c r="U41" i="11" s="1"/>
  <c r="V41" i="11" s="1"/>
  <c r="W41" i="11" s="1"/>
  <c r="X41" i="11" s="1"/>
  <c r="Y41" i="11" s="1"/>
  <c r="Z41" i="11" s="1"/>
  <c r="AA41" i="11" s="1"/>
  <c r="AB41" i="11" s="1"/>
  <c r="AC41" i="11" s="1"/>
  <c r="AD41" i="11" s="1"/>
  <c r="AE41" i="11" s="1"/>
  <c r="AF41" i="11" s="1"/>
  <c r="AG41" i="11" s="1"/>
  <c r="AH41" i="11" s="1"/>
  <c r="AI41" i="11" s="1"/>
  <c r="AJ41" i="11" s="1"/>
  <c r="AK41" i="11" s="1"/>
  <c r="AL41" i="11" s="1"/>
  <c r="AM41" i="11" s="1"/>
  <c r="AN41" i="11" s="1"/>
  <c r="AO41" i="11" s="1"/>
  <c r="AP41" i="11" s="1"/>
  <c r="AQ41" i="11" s="1"/>
  <c r="AR41" i="11" s="1"/>
  <c r="AS41" i="11" s="1"/>
  <c r="AT41" i="11" s="1"/>
  <c r="AU41" i="11" s="1"/>
  <c r="AV41" i="11" s="1"/>
  <c r="AW41" i="11" s="1"/>
  <c r="AX41" i="11" s="1"/>
  <c r="AY41" i="11" s="1"/>
  <c r="AZ41" i="11" s="1"/>
  <c r="BA41" i="11" s="1"/>
  <c r="BB41" i="11" s="1"/>
  <c r="BC41" i="11" s="1"/>
  <c r="K42" i="11"/>
  <c r="L42" i="11"/>
  <c r="M42" i="11"/>
  <c r="N42" i="11"/>
  <c r="O42" i="11"/>
  <c r="P42" i="11"/>
  <c r="Q42" i="11"/>
  <c r="R42" i="11"/>
  <c r="S42" i="11"/>
  <c r="T42" i="11" s="1"/>
  <c r="U42" i="11" s="1"/>
  <c r="V42" i="11" s="1"/>
  <c r="W42" i="11" s="1"/>
  <c r="X42" i="11" s="1"/>
  <c r="Y42" i="11" s="1"/>
  <c r="Z42" i="11" s="1"/>
  <c r="AA42" i="11" s="1"/>
  <c r="AB42" i="11" s="1"/>
  <c r="AC42" i="11" s="1"/>
  <c r="AD42" i="11" s="1"/>
  <c r="AE42" i="11" s="1"/>
  <c r="AF42" i="11" s="1"/>
  <c r="AG42" i="11" s="1"/>
  <c r="AH42" i="11" s="1"/>
  <c r="AI42" i="11" s="1"/>
  <c r="AJ42" i="11" s="1"/>
  <c r="AK42" i="11" s="1"/>
  <c r="AL42" i="11" s="1"/>
  <c r="AM42" i="11" s="1"/>
  <c r="AN42" i="11" s="1"/>
  <c r="AO42" i="11" s="1"/>
  <c r="AP42" i="11" s="1"/>
  <c r="AQ42" i="11" s="1"/>
  <c r="AR42" i="11" s="1"/>
  <c r="AS42" i="11" s="1"/>
  <c r="AT42" i="11" s="1"/>
  <c r="AU42" i="11" s="1"/>
  <c r="AV42" i="11" s="1"/>
  <c r="AW42" i="11" s="1"/>
  <c r="AX42" i="11" s="1"/>
  <c r="AY42" i="11" s="1"/>
  <c r="AZ42" i="11" s="1"/>
  <c r="BA42" i="11" s="1"/>
  <c r="BB42" i="11" s="1"/>
  <c r="BC42" i="11" s="1"/>
  <c r="K43" i="11"/>
  <c r="L43" i="11"/>
  <c r="M43" i="11"/>
  <c r="N43" i="11"/>
  <c r="O43" i="11"/>
  <c r="P43" i="11"/>
  <c r="Q43" i="11"/>
  <c r="R43" i="11"/>
  <c r="S43" i="11"/>
  <c r="T43" i="11" s="1"/>
  <c r="U43" i="11" s="1"/>
  <c r="V43" i="11" s="1"/>
  <c r="W43" i="11" s="1"/>
  <c r="X43" i="11" s="1"/>
  <c r="Y43" i="11" s="1"/>
  <c r="Z43" i="11" s="1"/>
  <c r="AA43" i="11" s="1"/>
  <c r="AB43" i="11" s="1"/>
  <c r="AC43" i="11" s="1"/>
  <c r="AD43" i="11" s="1"/>
  <c r="AE43" i="11" s="1"/>
  <c r="AF43" i="11" s="1"/>
  <c r="AG43" i="11" s="1"/>
  <c r="AH43" i="11" s="1"/>
  <c r="AI43" i="11" s="1"/>
  <c r="AJ43" i="11" s="1"/>
  <c r="AK43" i="11" s="1"/>
  <c r="AL43" i="11" s="1"/>
  <c r="AM43" i="11" s="1"/>
  <c r="AN43" i="11" s="1"/>
  <c r="AO43" i="11" s="1"/>
  <c r="AP43" i="11" s="1"/>
  <c r="AQ43" i="11" s="1"/>
  <c r="AR43" i="11" s="1"/>
  <c r="AS43" i="11" s="1"/>
  <c r="AT43" i="11" s="1"/>
  <c r="AU43" i="11" s="1"/>
  <c r="AV43" i="11" s="1"/>
  <c r="AW43" i="11" s="1"/>
  <c r="AX43" i="11" s="1"/>
  <c r="AY43" i="11" s="1"/>
  <c r="AZ43" i="11" s="1"/>
  <c r="BA43" i="11" s="1"/>
  <c r="BB43" i="11" s="1"/>
  <c r="BC43" i="11" s="1"/>
  <c r="K44" i="11"/>
  <c r="L44" i="11"/>
  <c r="M44" i="11"/>
  <c r="N44" i="11"/>
  <c r="O44" i="11"/>
  <c r="P44" i="11"/>
  <c r="Q44" i="11"/>
  <c r="R44" i="11"/>
  <c r="S44" i="11"/>
  <c r="T44" i="11" s="1"/>
  <c r="U44" i="11" s="1"/>
  <c r="V44" i="11" s="1"/>
  <c r="W44" i="11" s="1"/>
  <c r="X44" i="11" s="1"/>
  <c r="Y44" i="11" s="1"/>
  <c r="Z44" i="11" s="1"/>
  <c r="AA44" i="11" s="1"/>
  <c r="AB44" i="11" s="1"/>
  <c r="AC44" i="11" s="1"/>
  <c r="AD44" i="11" s="1"/>
  <c r="AE44" i="11" s="1"/>
  <c r="AF44" i="11" s="1"/>
  <c r="AG44" i="11" s="1"/>
  <c r="AH44" i="11" s="1"/>
  <c r="AI44" i="11" s="1"/>
  <c r="AJ44" i="11" s="1"/>
  <c r="AK44" i="11" s="1"/>
  <c r="AL44" i="11" s="1"/>
  <c r="AM44" i="11" s="1"/>
  <c r="AN44" i="11" s="1"/>
  <c r="AO44" i="11" s="1"/>
  <c r="AP44" i="11" s="1"/>
  <c r="AQ44" i="11" s="1"/>
  <c r="AR44" i="11" s="1"/>
  <c r="AS44" i="11" s="1"/>
  <c r="AT44" i="11" s="1"/>
  <c r="AU44" i="11" s="1"/>
  <c r="AV44" i="11" s="1"/>
  <c r="AW44" i="11" s="1"/>
  <c r="AX44" i="11" s="1"/>
  <c r="AY44" i="11" s="1"/>
  <c r="AZ44" i="11" s="1"/>
  <c r="BA44" i="11" s="1"/>
  <c r="BB44" i="11" s="1"/>
  <c r="BC44" i="11" s="1"/>
  <c r="K45" i="11"/>
  <c r="L45" i="11"/>
  <c r="M45" i="11"/>
  <c r="N45" i="11"/>
  <c r="O45" i="11"/>
  <c r="P45" i="11"/>
  <c r="Q45" i="11"/>
  <c r="R45" i="11"/>
  <c r="S45" i="11"/>
  <c r="T45" i="11" s="1"/>
  <c r="U45" i="11" s="1"/>
  <c r="V45" i="11" s="1"/>
  <c r="W45" i="11" s="1"/>
  <c r="X45" i="11" s="1"/>
  <c r="Y45" i="11" s="1"/>
  <c r="Z45" i="11" s="1"/>
  <c r="AA45" i="11" s="1"/>
  <c r="AB45" i="11" s="1"/>
  <c r="AC45" i="11" s="1"/>
  <c r="AD45" i="11" s="1"/>
  <c r="AE45" i="11" s="1"/>
  <c r="AF45" i="11" s="1"/>
  <c r="AG45" i="11" s="1"/>
  <c r="AH45" i="11" s="1"/>
  <c r="AI45" i="11" s="1"/>
  <c r="AJ45" i="11" s="1"/>
  <c r="AK45" i="11" s="1"/>
  <c r="AL45" i="11" s="1"/>
  <c r="AM45" i="11" s="1"/>
  <c r="AN45" i="11" s="1"/>
  <c r="AO45" i="11" s="1"/>
  <c r="AP45" i="11" s="1"/>
  <c r="AQ45" i="11" s="1"/>
  <c r="AR45" i="11" s="1"/>
  <c r="AS45" i="11" s="1"/>
  <c r="AT45" i="11" s="1"/>
  <c r="AU45" i="11" s="1"/>
  <c r="AV45" i="11" s="1"/>
  <c r="AW45" i="11" s="1"/>
  <c r="AX45" i="11" s="1"/>
  <c r="AY45" i="11" s="1"/>
  <c r="AZ45" i="11" s="1"/>
  <c r="BA45" i="11" s="1"/>
  <c r="BB45" i="11" s="1"/>
  <c r="BC45" i="11" s="1"/>
  <c r="K46" i="11"/>
  <c r="L46" i="11"/>
  <c r="M46" i="11"/>
  <c r="N46" i="11"/>
  <c r="O46" i="11"/>
  <c r="P46" i="11"/>
  <c r="Q46" i="11"/>
  <c r="R46" i="11"/>
  <c r="S46" i="11"/>
  <c r="T46" i="11" s="1"/>
  <c r="U46" i="11" s="1"/>
  <c r="V46" i="11" s="1"/>
  <c r="W46" i="11" s="1"/>
  <c r="X46" i="11" s="1"/>
  <c r="Y46" i="11" s="1"/>
  <c r="Z46" i="11" s="1"/>
  <c r="AA46" i="11" s="1"/>
  <c r="AB46" i="11" s="1"/>
  <c r="AC46" i="11" s="1"/>
  <c r="AD46" i="11" s="1"/>
  <c r="AE46" i="11" s="1"/>
  <c r="AF46" i="11" s="1"/>
  <c r="AG46" i="11" s="1"/>
  <c r="AH46" i="11" s="1"/>
  <c r="AI46" i="11" s="1"/>
  <c r="AJ46" i="11" s="1"/>
  <c r="AK46" i="11" s="1"/>
  <c r="AL46" i="11" s="1"/>
  <c r="AM46" i="11" s="1"/>
  <c r="AN46" i="11" s="1"/>
  <c r="AO46" i="11" s="1"/>
  <c r="AP46" i="11" s="1"/>
  <c r="AQ46" i="11" s="1"/>
  <c r="AR46" i="11" s="1"/>
  <c r="AS46" i="11" s="1"/>
  <c r="AT46" i="11" s="1"/>
  <c r="AU46" i="11" s="1"/>
  <c r="AV46" i="11" s="1"/>
  <c r="AW46" i="11" s="1"/>
  <c r="AX46" i="11" s="1"/>
  <c r="AY46" i="11" s="1"/>
  <c r="AZ46" i="11" s="1"/>
  <c r="BA46" i="11" s="1"/>
  <c r="BB46" i="11" s="1"/>
  <c r="BC46" i="11" s="1"/>
  <c r="K47" i="11"/>
  <c r="L47" i="11"/>
  <c r="M47" i="11"/>
  <c r="N47" i="11"/>
  <c r="O47" i="11"/>
  <c r="P47" i="11"/>
  <c r="Q47" i="11"/>
  <c r="R47" i="11"/>
  <c r="S47" i="11"/>
  <c r="T47" i="11" s="1"/>
  <c r="U47" i="11" s="1"/>
  <c r="V47" i="11" s="1"/>
  <c r="W47" i="11" s="1"/>
  <c r="X47" i="11" s="1"/>
  <c r="Y47" i="11" s="1"/>
  <c r="Z47" i="11" s="1"/>
  <c r="AA47" i="11" s="1"/>
  <c r="AB47" i="11" s="1"/>
  <c r="AC47" i="11" s="1"/>
  <c r="AD47" i="11" s="1"/>
  <c r="AE47" i="11" s="1"/>
  <c r="AF47" i="11" s="1"/>
  <c r="AG47" i="11" s="1"/>
  <c r="AH47" i="11" s="1"/>
  <c r="AI47" i="11" s="1"/>
  <c r="AJ47" i="11" s="1"/>
  <c r="AK47" i="11" s="1"/>
  <c r="AL47" i="11" s="1"/>
  <c r="AM47" i="11" s="1"/>
  <c r="AN47" i="11" s="1"/>
  <c r="AO47" i="11" s="1"/>
  <c r="AP47" i="11" s="1"/>
  <c r="AQ47" i="11" s="1"/>
  <c r="AR47" i="11" s="1"/>
  <c r="AS47" i="11" s="1"/>
  <c r="AT47" i="11" s="1"/>
  <c r="AU47" i="11" s="1"/>
  <c r="AV47" i="11" s="1"/>
  <c r="AW47" i="11" s="1"/>
  <c r="AX47" i="11" s="1"/>
  <c r="AY47" i="11" s="1"/>
  <c r="AZ47" i="11" s="1"/>
  <c r="BA47" i="11" s="1"/>
  <c r="BB47" i="11" s="1"/>
  <c r="BC47" i="11" s="1"/>
  <c r="K48" i="11"/>
  <c r="L48" i="11"/>
  <c r="M48" i="11"/>
  <c r="N48" i="11"/>
  <c r="O48" i="11"/>
  <c r="P48" i="11"/>
  <c r="Q48" i="11"/>
  <c r="R48" i="11"/>
  <c r="S48" i="11"/>
  <c r="T48" i="11" s="1"/>
  <c r="U48" i="11" s="1"/>
  <c r="V48" i="11" s="1"/>
  <c r="W48" i="11" s="1"/>
  <c r="X48" i="11" s="1"/>
  <c r="Y48" i="11" s="1"/>
  <c r="Z48" i="11" s="1"/>
  <c r="AA48" i="11" s="1"/>
  <c r="AB48" i="11" s="1"/>
  <c r="AC48" i="11" s="1"/>
  <c r="AD48" i="11" s="1"/>
  <c r="AE48" i="11" s="1"/>
  <c r="AF48" i="11" s="1"/>
  <c r="AG48" i="11" s="1"/>
  <c r="AH48" i="11" s="1"/>
  <c r="AI48" i="11" s="1"/>
  <c r="AJ48" i="11" s="1"/>
  <c r="AK48" i="11" s="1"/>
  <c r="AL48" i="11" s="1"/>
  <c r="AM48" i="11" s="1"/>
  <c r="AN48" i="11" s="1"/>
  <c r="AO48" i="11" s="1"/>
  <c r="AP48" i="11" s="1"/>
  <c r="AQ48" i="11" s="1"/>
  <c r="AR48" i="11" s="1"/>
  <c r="AS48" i="11" s="1"/>
  <c r="AT48" i="11" s="1"/>
  <c r="AU48" i="11" s="1"/>
  <c r="AV48" i="11" s="1"/>
  <c r="AW48" i="11" s="1"/>
  <c r="AX48" i="11" s="1"/>
  <c r="AY48" i="11" s="1"/>
  <c r="AZ48" i="11" s="1"/>
  <c r="BA48" i="11" s="1"/>
  <c r="BB48" i="11" s="1"/>
  <c r="BC48" i="11" s="1"/>
  <c r="K49" i="11"/>
  <c r="L49" i="11"/>
  <c r="M49" i="11"/>
  <c r="N49" i="11"/>
  <c r="O49" i="11"/>
  <c r="P49" i="11"/>
  <c r="Q49" i="11"/>
  <c r="R49" i="11"/>
  <c r="S49" i="11"/>
  <c r="T49" i="11" s="1"/>
  <c r="U49" i="11" s="1"/>
  <c r="V49" i="11" s="1"/>
  <c r="W49" i="11" s="1"/>
  <c r="X49" i="11" s="1"/>
  <c r="Y49" i="11" s="1"/>
  <c r="Z49" i="11" s="1"/>
  <c r="AA49" i="11" s="1"/>
  <c r="AB49" i="11" s="1"/>
  <c r="AC49" i="11" s="1"/>
  <c r="AD49" i="11" s="1"/>
  <c r="AE49" i="11" s="1"/>
  <c r="AF49" i="11" s="1"/>
  <c r="AG49" i="11" s="1"/>
  <c r="AH49" i="11" s="1"/>
  <c r="AI49" i="11" s="1"/>
  <c r="AJ49" i="11" s="1"/>
  <c r="AK49" i="11" s="1"/>
  <c r="AL49" i="11" s="1"/>
  <c r="AM49" i="11" s="1"/>
  <c r="AN49" i="11" s="1"/>
  <c r="AO49" i="11" s="1"/>
  <c r="AP49" i="11" s="1"/>
  <c r="AQ49" i="11" s="1"/>
  <c r="AR49" i="11" s="1"/>
  <c r="AS49" i="11" s="1"/>
  <c r="AT49" i="11" s="1"/>
  <c r="AU49" i="11" s="1"/>
  <c r="AV49" i="11" s="1"/>
  <c r="AW49" i="11" s="1"/>
  <c r="AX49" i="11" s="1"/>
  <c r="AY49" i="11" s="1"/>
  <c r="AZ49" i="11" s="1"/>
  <c r="BA49" i="11" s="1"/>
  <c r="BB49" i="11" s="1"/>
  <c r="BC49" i="11" s="1"/>
  <c r="K50" i="11"/>
  <c r="L50" i="11"/>
  <c r="M50" i="11"/>
  <c r="N50" i="11"/>
  <c r="O50" i="11"/>
  <c r="P50" i="11"/>
  <c r="Q50" i="11"/>
  <c r="R50" i="11"/>
  <c r="S50" i="11"/>
  <c r="T50" i="11" s="1"/>
  <c r="U50" i="11" s="1"/>
  <c r="V50" i="11" s="1"/>
  <c r="W50" i="11" s="1"/>
  <c r="X50" i="11" s="1"/>
  <c r="Y50" i="11" s="1"/>
  <c r="Z50" i="11" s="1"/>
  <c r="AA50" i="11" s="1"/>
  <c r="AB50" i="11" s="1"/>
  <c r="AC50" i="11" s="1"/>
  <c r="AD50" i="11" s="1"/>
  <c r="AE50" i="11" s="1"/>
  <c r="AF50" i="11" s="1"/>
  <c r="AG50" i="11" s="1"/>
  <c r="AH50" i="11" s="1"/>
  <c r="AI50" i="11" s="1"/>
  <c r="AJ50" i="11" s="1"/>
  <c r="AK50" i="11" s="1"/>
  <c r="AL50" i="11" s="1"/>
  <c r="AM50" i="11" s="1"/>
  <c r="AN50" i="11" s="1"/>
  <c r="AO50" i="11" s="1"/>
  <c r="AP50" i="11" s="1"/>
  <c r="AQ50" i="11" s="1"/>
  <c r="AR50" i="11" s="1"/>
  <c r="AS50" i="11" s="1"/>
  <c r="AT50" i="11" s="1"/>
  <c r="AU50" i="11" s="1"/>
  <c r="AV50" i="11" s="1"/>
  <c r="AW50" i="11" s="1"/>
  <c r="AX50" i="11" s="1"/>
  <c r="AY50" i="11" s="1"/>
  <c r="AZ50" i="11" s="1"/>
  <c r="BA50" i="11" s="1"/>
  <c r="BB50" i="11" s="1"/>
  <c r="BC50" i="11" s="1"/>
  <c r="K51" i="11"/>
  <c r="L51" i="11"/>
  <c r="M51" i="11"/>
  <c r="N51" i="11"/>
  <c r="O51" i="11"/>
  <c r="P51" i="11"/>
  <c r="Q51" i="11"/>
  <c r="R51" i="11"/>
  <c r="S51" i="11"/>
  <c r="T51" i="11" s="1"/>
  <c r="U51" i="11" s="1"/>
  <c r="V51" i="11" s="1"/>
  <c r="W51" i="11" s="1"/>
  <c r="X51" i="11" s="1"/>
  <c r="Y51" i="11" s="1"/>
  <c r="Z51" i="11" s="1"/>
  <c r="AA51" i="11" s="1"/>
  <c r="AB51" i="11" s="1"/>
  <c r="AC51" i="11" s="1"/>
  <c r="AD51" i="11" s="1"/>
  <c r="AE51" i="11" s="1"/>
  <c r="AF51" i="11" s="1"/>
  <c r="AG51" i="11" s="1"/>
  <c r="AH51" i="11" s="1"/>
  <c r="AI51" i="11" s="1"/>
  <c r="AJ51" i="11" s="1"/>
  <c r="AK51" i="11" s="1"/>
  <c r="AL51" i="11" s="1"/>
  <c r="AM51" i="11" s="1"/>
  <c r="AN51" i="11" s="1"/>
  <c r="AO51" i="11" s="1"/>
  <c r="AP51" i="11" s="1"/>
  <c r="AQ51" i="11" s="1"/>
  <c r="AR51" i="11" s="1"/>
  <c r="AS51" i="11" s="1"/>
  <c r="AT51" i="11" s="1"/>
  <c r="AU51" i="11" s="1"/>
  <c r="AV51" i="11" s="1"/>
  <c r="AW51" i="11" s="1"/>
  <c r="AX51" i="11" s="1"/>
  <c r="AY51" i="11" s="1"/>
  <c r="AZ51" i="11" s="1"/>
  <c r="BA51" i="11" s="1"/>
  <c r="BB51" i="11" s="1"/>
  <c r="BC51" i="11" s="1"/>
  <c r="K52" i="11"/>
  <c r="L52" i="11"/>
  <c r="M52" i="11"/>
  <c r="N52" i="11"/>
  <c r="O52" i="11"/>
  <c r="P52" i="11"/>
  <c r="Q52" i="11"/>
  <c r="R52" i="11"/>
  <c r="S52" i="11"/>
  <c r="T52" i="11" s="1"/>
  <c r="U52" i="11" s="1"/>
  <c r="V52" i="11" s="1"/>
  <c r="W52" i="11" s="1"/>
  <c r="X52" i="11" s="1"/>
  <c r="Y52" i="11" s="1"/>
  <c r="Z52" i="11" s="1"/>
  <c r="AA52" i="11" s="1"/>
  <c r="AB52" i="11" s="1"/>
  <c r="AC52" i="11" s="1"/>
  <c r="AD52" i="11" s="1"/>
  <c r="AE52" i="11" s="1"/>
  <c r="AF52" i="11" s="1"/>
  <c r="AG52" i="11" s="1"/>
  <c r="AH52" i="11" s="1"/>
  <c r="AI52" i="11" s="1"/>
  <c r="AJ52" i="11" s="1"/>
  <c r="AK52" i="11" s="1"/>
  <c r="AL52" i="11" s="1"/>
  <c r="AM52" i="11" s="1"/>
  <c r="AN52" i="11" s="1"/>
  <c r="AO52" i="11" s="1"/>
  <c r="AP52" i="11" s="1"/>
  <c r="AQ52" i="11" s="1"/>
  <c r="AR52" i="11" s="1"/>
  <c r="AS52" i="11" s="1"/>
  <c r="AT52" i="11" s="1"/>
  <c r="AU52" i="11" s="1"/>
  <c r="AV52" i="11" s="1"/>
  <c r="AW52" i="11" s="1"/>
  <c r="AX52" i="11" s="1"/>
  <c r="AY52" i="11" s="1"/>
  <c r="AZ52" i="11" s="1"/>
  <c r="BA52" i="11" s="1"/>
  <c r="BB52" i="11" s="1"/>
  <c r="BC52" i="11" s="1"/>
  <c r="K53" i="11"/>
  <c r="L53" i="11"/>
  <c r="M53" i="11"/>
  <c r="N53" i="11"/>
  <c r="O53" i="11"/>
  <c r="P53" i="11"/>
  <c r="Q53" i="11"/>
  <c r="R53" i="11"/>
  <c r="S53" i="11"/>
  <c r="T53" i="11" s="1"/>
  <c r="U53" i="11" s="1"/>
  <c r="V53" i="11" s="1"/>
  <c r="W53" i="11" s="1"/>
  <c r="X53" i="11" s="1"/>
  <c r="Y53" i="11" s="1"/>
  <c r="Z53" i="11" s="1"/>
  <c r="AA53" i="11" s="1"/>
  <c r="AB53" i="11" s="1"/>
  <c r="AC53" i="11" s="1"/>
  <c r="AD53" i="11" s="1"/>
  <c r="AE53" i="11" s="1"/>
  <c r="AF53" i="11" s="1"/>
  <c r="AG53" i="11" s="1"/>
  <c r="AH53" i="11" s="1"/>
  <c r="AI53" i="11" s="1"/>
  <c r="AJ53" i="11" s="1"/>
  <c r="AK53" i="11" s="1"/>
  <c r="AL53" i="11" s="1"/>
  <c r="AM53" i="11" s="1"/>
  <c r="AN53" i="11" s="1"/>
  <c r="AO53" i="11" s="1"/>
  <c r="AP53" i="11" s="1"/>
  <c r="AQ53" i="11" s="1"/>
  <c r="AR53" i="11" s="1"/>
  <c r="AS53" i="11" s="1"/>
  <c r="AT53" i="11" s="1"/>
  <c r="AU53" i="11" s="1"/>
  <c r="AV53" i="11" s="1"/>
  <c r="AW53" i="11" s="1"/>
  <c r="AX53" i="11" s="1"/>
  <c r="AY53" i="11" s="1"/>
  <c r="AZ53" i="11" s="1"/>
  <c r="BA53" i="11" s="1"/>
  <c r="BB53" i="11" s="1"/>
  <c r="BC53" i="11" s="1"/>
  <c r="K54" i="11"/>
  <c r="L54" i="11"/>
  <c r="M54" i="11"/>
  <c r="N54" i="11"/>
  <c r="O54" i="11"/>
  <c r="P54" i="11"/>
  <c r="Q54" i="11"/>
  <c r="R54" i="11"/>
  <c r="S54" i="11"/>
  <c r="T54" i="11" s="1"/>
  <c r="U54" i="11" s="1"/>
  <c r="V54" i="11" s="1"/>
  <c r="W54" i="11" s="1"/>
  <c r="X54" i="11" s="1"/>
  <c r="Y54" i="11" s="1"/>
  <c r="Z54" i="11" s="1"/>
  <c r="AA54" i="11" s="1"/>
  <c r="AB54" i="11" s="1"/>
  <c r="AC54" i="11" s="1"/>
  <c r="AD54" i="11" s="1"/>
  <c r="AE54" i="11" s="1"/>
  <c r="AF54" i="11" s="1"/>
  <c r="AG54" i="11" s="1"/>
  <c r="AH54" i="11" s="1"/>
  <c r="AI54" i="11" s="1"/>
  <c r="AJ54" i="11" s="1"/>
  <c r="AK54" i="11" s="1"/>
  <c r="AL54" i="11" s="1"/>
  <c r="AM54" i="11" s="1"/>
  <c r="AN54" i="11" s="1"/>
  <c r="AO54" i="11" s="1"/>
  <c r="AP54" i="11" s="1"/>
  <c r="AQ54" i="11" s="1"/>
  <c r="AR54" i="11" s="1"/>
  <c r="AS54" i="11" s="1"/>
  <c r="AT54" i="11" s="1"/>
  <c r="AU54" i="11" s="1"/>
  <c r="AV54" i="11" s="1"/>
  <c r="AW54" i="11" s="1"/>
  <c r="AX54" i="11" s="1"/>
  <c r="AY54" i="11" s="1"/>
  <c r="AZ54" i="11" s="1"/>
  <c r="BA54" i="11" s="1"/>
  <c r="BB54" i="11" s="1"/>
  <c r="BC54" i="11" s="1"/>
  <c r="K55" i="11"/>
  <c r="L55" i="11"/>
  <c r="M55" i="11"/>
  <c r="N55" i="11"/>
  <c r="O55" i="11"/>
  <c r="P55" i="11"/>
  <c r="Q55" i="11"/>
  <c r="R55" i="11"/>
  <c r="S55" i="11"/>
  <c r="T55" i="11" s="1"/>
  <c r="U55" i="11" s="1"/>
  <c r="V55" i="11" s="1"/>
  <c r="W55" i="11" s="1"/>
  <c r="X55" i="11" s="1"/>
  <c r="Y55" i="11" s="1"/>
  <c r="Z55" i="11" s="1"/>
  <c r="AA55" i="11" s="1"/>
  <c r="AB55" i="11" s="1"/>
  <c r="AC55" i="11" s="1"/>
  <c r="AD55" i="11" s="1"/>
  <c r="AE55" i="11" s="1"/>
  <c r="AF55" i="11" s="1"/>
  <c r="AG55" i="11" s="1"/>
  <c r="AH55" i="11" s="1"/>
  <c r="AI55" i="11" s="1"/>
  <c r="AJ55" i="11" s="1"/>
  <c r="AK55" i="11" s="1"/>
  <c r="AL55" i="11" s="1"/>
  <c r="AM55" i="11" s="1"/>
  <c r="AN55" i="11" s="1"/>
  <c r="AO55" i="11" s="1"/>
  <c r="AP55" i="11" s="1"/>
  <c r="AQ55" i="11" s="1"/>
  <c r="AR55" i="11" s="1"/>
  <c r="AS55" i="11" s="1"/>
  <c r="AT55" i="11" s="1"/>
  <c r="AU55" i="11" s="1"/>
  <c r="AV55" i="11" s="1"/>
  <c r="AW55" i="11" s="1"/>
  <c r="AX55" i="11" s="1"/>
  <c r="AY55" i="11" s="1"/>
  <c r="AZ55" i="11" s="1"/>
  <c r="BA55" i="11" s="1"/>
  <c r="BB55" i="11" s="1"/>
  <c r="BC55" i="11" s="1"/>
  <c r="K56" i="11"/>
  <c r="L56" i="11"/>
  <c r="M56" i="11"/>
  <c r="N56" i="11"/>
  <c r="O56" i="11"/>
  <c r="P56" i="11"/>
  <c r="Q56" i="11"/>
  <c r="R56" i="11"/>
  <c r="S56" i="11"/>
  <c r="T56" i="11" s="1"/>
  <c r="U56" i="11" s="1"/>
  <c r="V56" i="11" s="1"/>
  <c r="W56" i="11" s="1"/>
  <c r="X56" i="11" s="1"/>
  <c r="Y56" i="11" s="1"/>
  <c r="Z56" i="11" s="1"/>
  <c r="AA56" i="11" s="1"/>
  <c r="AB56" i="11" s="1"/>
  <c r="AC56" i="11" s="1"/>
  <c r="AD56" i="11" s="1"/>
  <c r="AE56" i="11" s="1"/>
  <c r="AF56" i="11" s="1"/>
  <c r="AG56" i="11" s="1"/>
  <c r="AH56" i="11" s="1"/>
  <c r="AI56" i="11" s="1"/>
  <c r="AJ56" i="11" s="1"/>
  <c r="AK56" i="11" s="1"/>
  <c r="AL56" i="11" s="1"/>
  <c r="AM56" i="11" s="1"/>
  <c r="AN56" i="11" s="1"/>
  <c r="AO56" i="11" s="1"/>
  <c r="AP56" i="11" s="1"/>
  <c r="AQ56" i="11" s="1"/>
  <c r="AR56" i="11" s="1"/>
  <c r="AS56" i="11" s="1"/>
  <c r="AT56" i="11" s="1"/>
  <c r="AU56" i="11" s="1"/>
  <c r="AV56" i="11" s="1"/>
  <c r="AW56" i="11" s="1"/>
  <c r="AX56" i="11" s="1"/>
  <c r="AY56" i="11" s="1"/>
  <c r="AZ56" i="11" s="1"/>
  <c r="BA56" i="11" s="1"/>
  <c r="BB56" i="11" s="1"/>
  <c r="BC56" i="11" s="1"/>
  <c r="K57" i="11"/>
  <c r="L57" i="11"/>
  <c r="M57" i="11"/>
  <c r="N57" i="11"/>
  <c r="O57" i="11"/>
  <c r="P57" i="11"/>
  <c r="Q57" i="11"/>
  <c r="R57" i="11"/>
  <c r="S57" i="11"/>
  <c r="T57" i="11" s="1"/>
  <c r="U57" i="11" s="1"/>
  <c r="V57" i="11" s="1"/>
  <c r="W57" i="11" s="1"/>
  <c r="X57" i="11" s="1"/>
  <c r="Y57" i="11" s="1"/>
  <c r="Z57" i="11" s="1"/>
  <c r="AA57" i="11" s="1"/>
  <c r="AB57" i="11" s="1"/>
  <c r="AC57" i="11" s="1"/>
  <c r="AD57" i="11" s="1"/>
  <c r="AE57" i="11" s="1"/>
  <c r="AF57" i="11" s="1"/>
  <c r="AG57" i="11" s="1"/>
  <c r="AH57" i="11" s="1"/>
  <c r="AI57" i="11" s="1"/>
  <c r="AJ57" i="11" s="1"/>
  <c r="AK57" i="11" s="1"/>
  <c r="AL57" i="11" s="1"/>
  <c r="AM57" i="11" s="1"/>
  <c r="AN57" i="11" s="1"/>
  <c r="AO57" i="11" s="1"/>
  <c r="AP57" i="11" s="1"/>
  <c r="AQ57" i="11" s="1"/>
  <c r="AR57" i="11" s="1"/>
  <c r="AS57" i="11" s="1"/>
  <c r="AT57" i="11" s="1"/>
  <c r="AU57" i="11" s="1"/>
  <c r="AV57" i="11" s="1"/>
  <c r="AW57" i="11" s="1"/>
  <c r="AX57" i="11" s="1"/>
  <c r="AY57" i="11" s="1"/>
  <c r="AZ57" i="11" s="1"/>
  <c r="BA57" i="11" s="1"/>
  <c r="BB57" i="11" s="1"/>
  <c r="BC57" i="11" s="1"/>
  <c r="K58" i="11"/>
  <c r="L58" i="11"/>
  <c r="M58" i="11"/>
  <c r="N58" i="11"/>
  <c r="O58" i="11"/>
  <c r="P58" i="11"/>
  <c r="Q58" i="11"/>
  <c r="R58" i="11"/>
  <c r="S58" i="11"/>
  <c r="T58" i="11" s="1"/>
  <c r="U58" i="11" s="1"/>
  <c r="V58" i="11" s="1"/>
  <c r="W58" i="11" s="1"/>
  <c r="X58" i="11" s="1"/>
  <c r="Y58" i="11" s="1"/>
  <c r="Z58" i="11" s="1"/>
  <c r="AA58" i="11" s="1"/>
  <c r="AB58" i="11" s="1"/>
  <c r="AC58" i="11" s="1"/>
  <c r="AD58" i="11" s="1"/>
  <c r="AE58" i="11" s="1"/>
  <c r="AF58" i="11" s="1"/>
  <c r="AG58" i="11" s="1"/>
  <c r="AH58" i="11" s="1"/>
  <c r="AI58" i="11" s="1"/>
  <c r="AJ58" i="11" s="1"/>
  <c r="AK58" i="11" s="1"/>
  <c r="AL58" i="11" s="1"/>
  <c r="AM58" i="11" s="1"/>
  <c r="AN58" i="11" s="1"/>
  <c r="AO58" i="11" s="1"/>
  <c r="AP58" i="11" s="1"/>
  <c r="AQ58" i="11" s="1"/>
  <c r="AR58" i="11" s="1"/>
  <c r="AS58" i="11" s="1"/>
  <c r="AT58" i="11" s="1"/>
  <c r="AU58" i="11" s="1"/>
  <c r="AV58" i="11" s="1"/>
  <c r="AW58" i="11" s="1"/>
  <c r="AX58" i="11" s="1"/>
  <c r="AY58" i="11" s="1"/>
  <c r="AZ58" i="11" s="1"/>
  <c r="BA58" i="11" s="1"/>
  <c r="BB58" i="11" s="1"/>
  <c r="BC58" i="11" s="1"/>
  <c r="K59" i="11"/>
  <c r="L59" i="11"/>
  <c r="M59" i="11"/>
  <c r="N59" i="11"/>
  <c r="O59" i="11"/>
  <c r="P59" i="11"/>
  <c r="Q59" i="11"/>
  <c r="R59" i="11"/>
  <c r="S59" i="11"/>
  <c r="T59" i="11" s="1"/>
  <c r="U59" i="11" s="1"/>
  <c r="V59" i="11" s="1"/>
  <c r="W59" i="11" s="1"/>
  <c r="X59" i="11" s="1"/>
  <c r="Y59" i="11" s="1"/>
  <c r="Z59" i="11" s="1"/>
  <c r="AA59" i="11" s="1"/>
  <c r="AB59" i="11" s="1"/>
  <c r="AC59" i="11" s="1"/>
  <c r="AD59" i="11" s="1"/>
  <c r="AE59" i="11" s="1"/>
  <c r="AF59" i="11" s="1"/>
  <c r="AG59" i="11" s="1"/>
  <c r="AH59" i="11" s="1"/>
  <c r="AI59" i="11" s="1"/>
  <c r="AJ59" i="11" s="1"/>
  <c r="AK59" i="11" s="1"/>
  <c r="AL59" i="11" s="1"/>
  <c r="AM59" i="11" s="1"/>
  <c r="AN59" i="11" s="1"/>
  <c r="AO59" i="11" s="1"/>
  <c r="AP59" i="11" s="1"/>
  <c r="AQ59" i="11" s="1"/>
  <c r="AR59" i="11" s="1"/>
  <c r="AS59" i="11" s="1"/>
  <c r="AT59" i="11" s="1"/>
  <c r="AU59" i="11" s="1"/>
  <c r="AV59" i="11" s="1"/>
  <c r="AW59" i="11" s="1"/>
  <c r="AX59" i="11" s="1"/>
  <c r="AY59" i="11" s="1"/>
  <c r="AZ59" i="11" s="1"/>
  <c r="BA59" i="11" s="1"/>
  <c r="BB59" i="11" s="1"/>
  <c r="BC59" i="11" s="1"/>
  <c r="K60" i="11"/>
  <c r="L60" i="11"/>
  <c r="M60" i="11"/>
  <c r="N60" i="11"/>
  <c r="O60" i="11"/>
  <c r="P60" i="11"/>
  <c r="Q60" i="11"/>
  <c r="R60" i="11"/>
  <c r="S60" i="11"/>
  <c r="T60" i="11" s="1"/>
  <c r="U60" i="11" s="1"/>
  <c r="V60" i="11" s="1"/>
  <c r="W60" i="11" s="1"/>
  <c r="X60" i="11" s="1"/>
  <c r="Y60" i="11" s="1"/>
  <c r="Z60" i="11" s="1"/>
  <c r="AA60" i="11" s="1"/>
  <c r="AB60" i="11" s="1"/>
  <c r="AC60" i="11" s="1"/>
  <c r="AD60" i="11" s="1"/>
  <c r="AE60" i="11" s="1"/>
  <c r="AF60" i="11" s="1"/>
  <c r="AG60" i="11" s="1"/>
  <c r="AH60" i="11" s="1"/>
  <c r="AI60" i="11" s="1"/>
  <c r="AJ60" i="11" s="1"/>
  <c r="AK60" i="11" s="1"/>
  <c r="AL60" i="11" s="1"/>
  <c r="AM60" i="11" s="1"/>
  <c r="AN60" i="11" s="1"/>
  <c r="AO60" i="11" s="1"/>
  <c r="AP60" i="11" s="1"/>
  <c r="AQ60" i="11" s="1"/>
  <c r="AR60" i="11" s="1"/>
  <c r="AS60" i="11" s="1"/>
  <c r="AT60" i="11" s="1"/>
  <c r="AU60" i="11" s="1"/>
  <c r="AV60" i="11" s="1"/>
  <c r="AW60" i="11" s="1"/>
  <c r="AX60" i="11" s="1"/>
  <c r="AY60" i="11" s="1"/>
  <c r="AZ60" i="11" s="1"/>
  <c r="BA60" i="11" s="1"/>
  <c r="BB60" i="11" s="1"/>
  <c r="BC60" i="11" s="1"/>
  <c r="K61" i="11"/>
  <c r="L61" i="11"/>
  <c r="M61" i="11"/>
  <c r="N61" i="11"/>
  <c r="O61" i="11"/>
  <c r="P61" i="11"/>
  <c r="Q61" i="11"/>
  <c r="R61" i="11"/>
  <c r="S61" i="11"/>
  <c r="T61" i="11" s="1"/>
  <c r="U61" i="11" s="1"/>
  <c r="V61" i="11" s="1"/>
  <c r="W61" i="11" s="1"/>
  <c r="X61" i="11" s="1"/>
  <c r="Y61" i="11" s="1"/>
  <c r="Z61" i="11" s="1"/>
  <c r="AA61" i="11" s="1"/>
  <c r="AB61" i="11" s="1"/>
  <c r="AC61" i="11" s="1"/>
  <c r="AD61" i="11" s="1"/>
  <c r="AE61" i="11" s="1"/>
  <c r="AF61" i="11" s="1"/>
  <c r="AG61" i="11" s="1"/>
  <c r="AH61" i="11" s="1"/>
  <c r="AI61" i="11" s="1"/>
  <c r="AJ61" i="11" s="1"/>
  <c r="AK61" i="11" s="1"/>
  <c r="AL61" i="11" s="1"/>
  <c r="AM61" i="11" s="1"/>
  <c r="AN61" i="11" s="1"/>
  <c r="AO61" i="11" s="1"/>
  <c r="AP61" i="11" s="1"/>
  <c r="AQ61" i="11" s="1"/>
  <c r="AR61" i="11" s="1"/>
  <c r="AS61" i="11" s="1"/>
  <c r="AT61" i="11" s="1"/>
  <c r="AU61" i="11" s="1"/>
  <c r="AV61" i="11" s="1"/>
  <c r="AW61" i="11" s="1"/>
  <c r="AX61" i="11" s="1"/>
  <c r="AY61" i="11" s="1"/>
  <c r="AZ61" i="11" s="1"/>
  <c r="BA61" i="11" s="1"/>
  <c r="BB61" i="11" s="1"/>
  <c r="BC61" i="11" s="1"/>
  <c r="K62" i="11"/>
  <c r="L62" i="11"/>
  <c r="M62" i="11"/>
  <c r="N62" i="11"/>
  <c r="O62" i="11"/>
  <c r="P62" i="11"/>
  <c r="Q62" i="11"/>
  <c r="R62" i="11"/>
  <c r="S62" i="11"/>
  <c r="T62" i="11" s="1"/>
  <c r="U62" i="11" s="1"/>
  <c r="V62" i="11" s="1"/>
  <c r="W62" i="11" s="1"/>
  <c r="X62" i="11" s="1"/>
  <c r="Y62" i="11" s="1"/>
  <c r="Z62" i="11" s="1"/>
  <c r="AA62" i="11" s="1"/>
  <c r="AB62" i="11" s="1"/>
  <c r="AC62" i="11" s="1"/>
  <c r="AD62" i="11" s="1"/>
  <c r="AE62" i="11" s="1"/>
  <c r="AF62" i="11" s="1"/>
  <c r="AG62" i="11" s="1"/>
  <c r="AH62" i="11" s="1"/>
  <c r="AI62" i="11" s="1"/>
  <c r="AJ62" i="11" s="1"/>
  <c r="AK62" i="11" s="1"/>
  <c r="AL62" i="11" s="1"/>
  <c r="AM62" i="11" s="1"/>
  <c r="AN62" i="11" s="1"/>
  <c r="AO62" i="11" s="1"/>
  <c r="AP62" i="11" s="1"/>
  <c r="AQ62" i="11" s="1"/>
  <c r="AR62" i="11" s="1"/>
  <c r="AS62" i="11" s="1"/>
  <c r="AT62" i="11" s="1"/>
  <c r="AU62" i="11" s="1"/>
  <c r="AV62" i="11" s="1"/>
  <c r="AW62" i="11" s="1"/>
  <c r="AX62" i="11" s="1"/>
  <c r="AY62" i="11" s="1"/>
  <c r="AZ62" i="11" s="1"/>
  <c r="BA62" i="11" s="1"/>
  <c r="BB62" i="11" s="1"/>
  <c r="BC62" i="11" s="1"/>
  <c r="K63" i="11"/>
  <c r="L63" i="11"/>
  <c r="M63" i="11"/>
  <c r="N63" i="11"/>
  <c r="O63" i="11"/>
  <c r="P63" i="11"/>
  <c r="Q63" i="11"/>
  <c r="R63" i="11"/>
  <c r="S63" i="11"/>
  <c r="T63" i="11" s="1"/>
  <c r="U63" i="11" s="1"/>
  <c r="V63" i="11" s="1"/>
  <c r="W63" i="11" s="1"/>
  <c r="X63" i="11" s="1"/>
  <c r="Y63" i="11" s="1"/>
  <c r="Z63" i="11" s="1"/>
  <c r="AA63" i="11" s="1"/>
  <c r="AB63" i="11" s="1"/>
  <c r="AC63" i="11" s="1"/>
  <c r="AD63" i="11" s="1"/>
  <c r="AE63" i="11" s="1"/>
  <c r="AF63" i="11" s="1"/>
  <c r="AG63" i="11" s="1"/>
  <c r="AH63" i="11" s="1"/>
  <c r="AI63" i="11" s="1"/>
  <c r="AJ63" i="11" s="1"/>
  <c r="AK63" i="11" s="1"/>
  <c r="AL63" i="11" s="1"/>
  <c r="AM63" i="11" s="1"/>
  <c r="AN63" i="11" s="1"/>
  <c r="AO63" i="11" s="1"/>
  <c r="AP63" i="11" s="1"/>
  <c r="AQ63" i="11" s="1"/>
  <c r="AR63" i="11" s="1"/>
  <c r="AS63" i="11" s="1"/>
  <c r="AT63" i="11" s="1"/>
  <c r="AU63" i="11" s="1"/>
  <c r="AV63" i="11" s="1"/>
  <c r="AW63" i="11" s="1"/>
  <c r="AX63" i="11" s="1"/>
  <c r="AY63" i="11" s="1"/>
  <c r="AZ63" i="11" s="1"/>
  <c r="BA63" i="11" s="1"/>
  <c r="BB63" i="11" s="1"/>
  <c r="BC63" i="11" s="1"/>
  <c r="K64" i="11"/>
  <c r="L64" i="11"/>
  <c r="M64" i="11"/>
  <c r="N64" i="11"/>
  <c r="O64" i="11"/>
  <c r="P64" i="11"/>
  <c r="Q64" i="11"/>
  <c r="R64" i="11"/>
  <c r="S64" i="11"/>
  <c r="T64" i="11" s="1"/>
  <c r="U64" i="11" s="1"/>
  <c r="V64" i="11" s="1"/>
  <c r="W64" i="11" s="1"/>
  <c r="X64" i="11" s="1"/>
  <c r="Y64" i="11" s="1"/>
  <c r="Z64" i="11" s="1"/>
  <c r="AA64" i="11" s="1"/>
  <c r="AB64" i="11" s="1"/>
  <c r="AC64" i="11" s="1"/>
  <c r="AD64" i="11" s="1"/>
  <c r="AE64" i="11" s="1"/>
  <c r="AF64" i="11" s="1"/>
  <c r="AG64" i="11" s="1"/>
  <c r="AH64" i="11" s="1"/>
  <c r="AI64" i="11" s="1"/>
  <c r="AJ64" i="11" s="1"/>
  <c r="AK64" i="11" s="1"/>
  <c r="AL64" i="11" s="1"/>
  <c r="AM64" i="11" s="1"/>
  <c r="AN64" i="11" s="1"/>
  <c r="AO64" i="11" s="1"/>
  <c r="AP64" i="11" s="1"/>
  <c r="AQ64" i="11" s="1"/>
  <c r="AR64" i="11" s="1"/>
  <c r="AS64" i="11" s="1"/>
  <c r="AT64" i="11" s="1"/>
  <c r="AU64" i="11" s="1"/>
  <c r="AV64" i="11" s="1"/>
  <c r="AW64" i="11" s="1"/>
  <c r="AX64" i="11" s="1"/>
  <c r="AY64" i="11" s="1"/>
  <c r="AZ64" i="11" s="1"/>
  <c r="BA64" i="11" s="1"/>
  <c r="BB64" i="11" s="1"/>
  <c r="BC64" i="11" s="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K5" i="11"/>
  <c r="L5" i="11"/>
  <c r="M5" i="11"/>
  <c r="N5" i="11"/>
  <c r="O5" i="11"/>
  <c r="P5" i="11"/>
  <c r="Q5" i="11"/>
  <c r="R5" i="11"/>
  <c r="S5" i="11"/>
  <c r="T5" i="11" s="1"/>
  <c r="K6" i="11"/>
  <c r="L6" i="11"/>
  <c r="M6" i="11"/>
  <c r="N6" i="11"/>
  <c r="O6" i="11"/>
  <c r="P6" i="11"/>
  <c r="Q6" i="11"/>
  <c r="R6" i="11"/>
  <c r="S6" i="11"/>
  <c r="K7" i="11"/>
  <c r="L7" i="11"/>
  <c r="M7" i="11"/>
  <c r="N7" i="11"/>
  <c r="O7" i="11"/>
  <c r="P7" i="11"/>
  <c r="Q7" i="11"/>
  <c r="R7" i="11"/>
  <c r="S7" i="11"/>
  <c r="K8" i="11"/>
  <c r="L8" i="11"/>
  <c r="M8" i="11"/>
  <c r="N8" i="11"/>
  <c r="O8" i="11"/>
  <c r="P8" i="11"/>
  <c r="Q8" i="11"/>
  <c r="R8" i="11"/>
  <c r="S8" i="11"/>
  <c r="T8" i="11" s="1"/>
  <c r="K9" i="11"/>
  <c r="L9" i="11"/>
  <c r="M9" i="11"/>
  <c r="N9" i="11"/>
  <c r="O9" i="11"/>
  <c r="P9" i="11"/>
  <c r="Q9" i="11"/>
  <c r="R9" i="11"/>
  <c r="S9" i="11"/>
  <c r="T9" i="11" s="1"/>
  <c r="K10" i="11"/>
  <c r="L10" i="11"/>
  <c r="M10" i="11"/>
  <c r="N10" i="11"/>
  <c r="O10" i="11"/>
  <c r="P10" i="11"/>
  <c r="Q10" i="11"/>
  <c r="R10" i="11"/>
  <c r="S10" i="11"/>
  <c r="T10" i="11" s="1"/>
  <c r="K11" i="11"/>
  <c r="L11" i="11"/>
  <c r="M11" i="11"/>
  <c r="N11" i="11"/>
  <c r="O11" i="11"/>
  <c r="P11" i="11"/>
  <c r="Q11" i="11"/>
  <c r="R11" i="11"/>
  <c r="S11" i="11"/>
  <c r="T11" i="11" s="1"/>
  <c r="K12" i="11"/>
  <c r="L12" i="11"/>
  <c r="M12" i="11"/>
  <c r="N12" i="11"/>
  <c r="O12" i="11"/>
  <c r="P12" i="11"/>
  <c r="Q12" i="11"/>
  <c r="R12" i="11"/>
  <c r="S12" i="11"/>
  <c r="T12" i="11" s="1"/>
  <c r="U12" i="11" s="1"/>
  <c r="K13" i="11"/>
  <c r="L13" i="11"/>
  <c r="M13" i="11"/>
  <c r="N13" i="11"/>
  <c r="O13" i="11"/>
  <c r="P13" i="11"/>
  <c r="Q13" i="11"/>
  <c r="R13" i="11"/>
  <c r="S13" i="11"/>
  <c r="T13" i="11" s="1"/>
  <c r="K14" i="11"/>
  <c r="L14" i="11"/>
  <c r="M14" i="11"/>
  <c r="N14" i="11"/>
  <c r="O14" i="11"/>
  <c r="P14" i="11"/>
  <c r="Q14" i="11"/>
  <c r="R14" i="11"/>
  <c r="S14" i="11"/>
  <c r="K15" i="11"/>
  <c r="L15" i="11"/>
  <c r="M15" i="11"/>
  <c r="N15" i="11"/>
  <c r="O15" i="11"/>
  <c r="P15" i="11"/>
  <c r="Q15" i="11"/>
  <c r="R15" i="11"/>
  <c r="S15" i="11"/>
  <c r="K16" i="11"/>
  <c r="L16" i="11"/>
  <c r="M16" i="11"/>
  <c r="N16" i="11"/>
  <c r="O16" i="11"/>
  <c r="P16" i="11"/>
  <c r="Q16" i="11"/>
  <c r="R16" i="11"/>
  <c r="S16" i="11"/>
  <c r="K17" i="11"/>
  <c r="L17" i="11"/>
  <c r="M17" i="11"/>
  <c r="N17" i="11"/>
  <c r="O17" i="11"/>
  <c r="P17" i="11"/>
  <c r="Q17" i="11"/>
  <c r="R17" i="11"/>
  <c r="S17" i="11"/>
  <c r="T17" i="11" s="1"/>
  <c r="K18" i="11"/>
  <c r="L18" i="11"/>
  <c r="M18" i="11"/>
  <c r="N18" i="11"/>
  <c r="O18" i="11"/>
  <c r="P18" i="11"/>
  <c r="Q18" i="11"/>
  <c r="R18" i="11"/>
  <c r="S18" i="11"/>
  <c r="T18" i="11" s="1"/>
  <c r="K19" i="11"/>
  <c r="L19" i="11"/>
  <c r="M19" i="11"/>
  <c r="N19" i="11"/>
  <c r="O19" i="11"/>
  <c r="P19" i="11"/>
  <c r="Q19" i="11"/>
  <c r="R19" i="11"/>
  <c r="S19" i="11"/>
  <c r="T19" i="11" s="1"/>
  <c r="K20" i="11"/>
  <c r="L20" i="11"/>
  <c r="M20" i="11"/>
  <c r="N20" i="11"/>
  <c r="O20" i="11"/>
  <c r="P20" i="11"/>
  <c r="Q20" i="11"/>
  <c r="R20" i="11"/>
  <c r="S20" i="11"/>
  <c r="T20" i="11" s="1"/>
  <c r="U20" i="11" s="1"/>
  <c r="K21" i="11"/>
  <c r="L21" i="11"/>
  <c r="M21" i="11"/>
  <c r="N21" i="11"/>
  <c r="O21" i="11"/>
  <c r="P21" i="11"/>
  <c r="Q21" i="11"/>
  <c r="R21" i="11"/>
  <c r="S21" i="11"/>
  <c r="K22" i="11"/>
  <c r="L22" i="11"/>
  <c r="M22" i="11"/>
  <c r="N22" i="11"/>
  <c r="O22" i="11"/>
  <c r="P22" i="11"/>
  <c r="Q22" i="11"/>
  <c r="R22" i="11"/>
  <c r="S22" i="11"/>
  <c r="K23" i="11"/>
  <c r="L23" i="11"/>
  <c r="M23" i="11"/>
  <c r="N23" i="11"/>
  <c r="O23" i="11"/>
  <c r="P23" i="11"/>
  <c r="Q23" i="11"/>
  <c r="R23" i="11"/>
  <c r="S23" i="11"/>
  <c r="K24" i="11"/>
  <c r="L24" i="11"/>
  <c r="M24" i="11"/>
  <c r="N24" i="11"/>
  <c r="O24" i="11"/>
  <c r="P24" i="11"/>
  <c r="Q24" i="11"/>
  <c r="R24" i="11"/>
  <c r="S24" i="11"/>
  <c r="K25" i="11"/>
  <c r="L25" i="11"/>
  <c r="M25" i="11"/>
  <c r="N25" i="11"/>
  <c r="O25" i="11"/>
  <c r="P25" i="11"/>
  <c r="Q25" i="11"/>
  <c r="R25" i="11"/>
  <c r="S25" i="11"/>
  <c r="T25" i="11" s="1"/>
  <c r="U25" i="11" s="1"/>
  <c r="K26" i="11"/>
  <c r="L26" i="11"/>
  <c r="M26" i="11"/>
  <c r="N26" i="11"/>
  <c r="O26" i="11"/>
  <c r="P26" i="11"/>
  <c r="Q26" i="11"/>
  <c r="R26" i="11"/>
  <c r="S26" i="11"/>
  <c r="T26" i="11" s="1"/>
  <c r="K27" i="11"/>
  <c r="L27" i="11"/>
  <c r="M27" i="11"/>
  <c r="N27" i="11"/>
  <c r="O27" i="11"/>
  <c r="P27" i="11"/>
  <c r="Q27" i="11"/>
  <c r="R27" i="11"/>
  <c r="S27" i="11"/>
  <c r="K28" i="11"/>
  <c r="L28" i="11"/>
  <c r="M28" i="11"/>
  <c r="N28" i="11"/>
  <c r="O28" i="11"/>
  <c r="P28" i="11"/>
  <c r="Q28" i="11"/>
  <c r="R28" i="11"/>
  <c r="S28" i="11"/>
  <c r="K29" i="11"/>
  <c r="L29" i="11"/>
  <c r="M29" i="11"/>
  <c r="N29" i="11"/>
  <c r="O29" i="11"/>
  <c r="P29" i="11"/>
  <c r="Q29" i="11"/>
  <c r="R29" i="11"/>
  <c r="S29" i="11"/>
  <c r="K30" i="11"/>
  <c r="L30" i="11"/>
  <c r="M30" i="11"/>
  <c r="N30" i="11"/>
  <c r="O30" i="11"/>
  <c r="P30" i="11"/>
  <c r="Q30" i="11"/>
  <c r="R30" i="11"/>
  <c r="S30" i="11"/>
  <c r="T30" i="11" s="1"/>
  <c r="K31" i="11"/>
  <c r="L31" i="11"/>
  <c r="M31" i="11"/>
  <c r="N31" i="11"/>
  <c r="O31" i="11"/>
  <c r="P31" i="11"/>
  <c r="Q31" i="11"/>
  <c r="R31" i="11"/>
  <c r="S31" i="11"/>
  <c r="K32" i="11"/>
  <c r="L32" i="11"/>
  <c r="M32" i="11"/>
  <c r="N32" i="11"/>
  <c r="O32" i="11"/>
  <c r="P32" i="11"/>
  <c r="Q32" i="11"/>
  <c r="R32" i="11"/>
  <c r="S32" i="11"/>
  <c r="T32" i="11" s="1"/>
  <c r="K33" i="11"/>
  <c r="L33" i="11"/>
  <c r="M33" i="11"/>
  <c r="N33" i="11"/>
  <c r="O33" i="11"/>
  <c r="P33" i="11"/>
  <c r="Q33" i="11"/>
  <c r="R33" i="11"/>
  <c r="S33" i="11"/>
  <c r="T33" i="11" s="1"/>
  <c r="U33" i="11" s="1"/>
  <c r="K34" i="11"/>
  <c r="L34" i="11"/>
  <c r="M34" i="11"/>
  <c r="N34" i="11"/>
  <c r="O34" i="11"/>
  <c r="P34" i="11"/>
  <c r="Q34" i="11"/>
  <c r="R34" i="11"/>
  <c r="S34" i="11"/>
  <c r="T34" i="11" s="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H141" i="11"/>
  <c r="H142" i="11"/>
  <c r="H143" i="11"/>
  <c r="H144" i="11"/>
  <c r="H145" i="11"/>
  <c r="H146" i="11"/>
  <c r="H147" i="11"/>
  <c r="H148" i="11"/>
  <c r="H149" i="11"/>
  <c r="H150" i="11"/>
  <c r="H151" i="11"/>
  <c r="H152" i="11"/>
  <c r="H153" i="11"/>
  <c r="H154" i="11"/>
  <c r="H112" i="11"/>
  <c r="H113" i="11"/>
  <c r="H114" i="11"/>
  <c r="H115" i="11"/>
  <c r="H116" i="11"/>
  <c r="H117" i="11"/>
  <c r="H118" i="11"/>
  <c r="H119" i="11"/>
  <c r="H120" i="11"/>
  <c r="H121" i="11"/>
  <c r="H122" i="11"/>
  <c r="H123" i="11"/>
  <c r="H124" i="11"/>
  <c r="H82" i="11"/>
  <c r="H83" i="11"/>
  <c r="H84" i="11"/>
  <c r="H85" i="11"/>
  <c r="H86" i="11"/>
  <c r="H87" i="11"/>
  <c r="H88" i="11"/>
  <c r="H89" i="11"/>
  <c r="H90" i="11"/>
  <c r="H91" i="11"/>
  <c r="H92" i="11"/>
  <c r="H93" i="11"/>
  <c r="H94" i="11"/>
  <c r="H52" i="11"/>
  <c r="H53" i="11"/>
  <c r="H54" i="11"/>
  <c r="H55" i="11"/>
  <c r="H56" i="11"/>
  <c r="H57" i="11"/>
  <c r="H58" i="11"/>
  <c r="H59" i="11"/>
  <c r="H60" i="11"/>
  <c r="H61" i="11"/>
  <c r="H62" i="11"/>
  <c r="H63" i="11"/>
  <c r="H64"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K234" i="26" l="1"/>
  <c r="H234" i="26"/>
  <c r="F234" i="26"/>
  <c r="E32" i="43"/>
  <c r="E169" i="43" a="1"/>
  <c r="E169" i="43" s="1"/>
  <c r="D32" i="43"/>
  <c r="D169" i="43" a="1"/>
  <c r="D169" i="43" s="1"/>
  <c r="F169" i="43" a="1"/>
  <c r="F169" i="43" s="1"/>
  <c r="AX9" i="20"/>
  <c r="AY10" i="20"/>
  <c r="F32" i="43"/>
  <c r="F33" i="43" s="1" a="1"/>
  <c r="F33" i="43" s="1"/>
  <c r="C169" i="43" a="1"/>
  <c r="C169" i="43" s="1"/>
  <c r="C32" i="43"/>
  <c r="E1" i="46"/>
  <c r="J61" i="39"/>
  <c r="H61" i="39"/>
  <c r="D38" i="46"/>
  <c r="C38" i="46"/>
  <c r="D1" i="46"/>
  <c r="E10" i="45" s="1"/>
  <c r="F61" i="39"/>
  <c r="C1" i="46"/>
  <c r="D10" i="45" s="1"/>
  <c r="U26" i="11"/>
  <c r="U10" i="11"/>
  <c r="U19" i="11"/>
  <c r="U13" i="11"/>
  <c r="V33" i="11"/>
  <c r="T21" i="11"/>
  <c r="T24" i="11"/>
  <c r="V20" i="11"/>
  <c r="T7" i="11"/>
  <c r="T6" i="11"/>
  <c r="T15" i="11"/>
  <c r="U11" i="11"/>
  <c r="T22" i="11"/>
  <c r="T29" i="11"/>
  <c r="T28" i="11"/>
  <c r="U17" i="11"/>
  <c r="U32" i="11"/>
  <c r="V12" i="11"/>
  <c r="U9" i="11"/>
  <c r="U5" i="11"/>
  <c r="T23" i="11"/>
  <c r="T16" i="11"/>
  <c r="V25" i="11"/>
  <c r="U30" i="11"/>
  <c r="T27" i="11"/>
  <c r="U34" i="11"/>
  <c r="T31" i="11"/>
  <c r="U8" i="11"/>
  <c r="U18" i="11"/>
  <c r="T14" i="11"/>
  <c r="F7" i="45" l="1"/>
  <c r="F10" i="45"/>
  <c r="F15" i="45" s="1"/>
  <c r="AX8" i="20"/>
  <c r="AY9" i="20"/>
  <c r="F8" i="45"/>
  <c r="F12" i="45"/>
  <c r="F9" i="45"/>
  <c r="F11" i="45"/>
  <c r="E12" i="45"/>
  <c r="E8" i="45"/>
  <c r="E9" i="45"/>
  <c r="E7" i="45"/>
  <c r="E11" i="45"/>
  <c r="D7" i="45"/>
  <c r="D8" i="45"/>
  <c r="D12" i="45"/>
  <c r="D11" i="45"/>
  <c r="D9" i="45"/>
  <c r="W25" i="11"/>
  <c r="V17" i="11"/>
  <c r="V9" i="11"/>
  <c r="V32" i="11"/>
  <c r="U28" i="11"/>
  <c r="U21" i="11"/>
  <c r="V13" i="11"/>
  <c r="V10" i="11"/>
  <c r="V26" i="11"/>
  <c r="W12" i="11"/>
  <c r="U15" i="11"/>
  <c r="U6" i="11"/>
  <c r="V34" i="11"/>
  <c r="U22" i="11"/>
  <c r="V8" i="11"/>
  <c r="V30" i="11"/>
  <c r="U29" i="11"/>
  <c r="W20" i="11"/>
  <c r="V19" i="11"/>
  <c r="U31" i="11"/>
  <c r="U27" i="11"/>
  <c r="W33" i="11"/>
  <c r="V18" i="11"/>
  <c r="U16" i="11"/>
  <c r="V5" i="11"/>
  <c r="U7" i="11"/>
  <c r="U14" i="11"/>
  <c r="U23" i="11"/>
  <c r="V11" i="11"/>
  <c r="U24" i="11"/>
  <c r="D17" i="47"/>
  <c r="C17" i="47"/>
  <c r="AX7" i="20" l="1"/>
  <c r="AY8" i="20"/>
  <c r="F69" i="45"/>
  <c r="F42" i="45"/>
  <c r="E42" i="45"/>
  <c r="E15" i="45"/>
  <c r="E69" i="45"/>
  <c r="D42" i="45"/>
  <c r="D69" i="45"/>
  <c r="D15" i="45"/>
  <c r="V24" i="11"/>
  <c r="V14" i="11"/>
  <c r="W19" i="11"/>
  <c r="V15" i="11"/>
  <c r="W9" i="11"/>
  <c r="X33" i="11"/>
  <c r="V16" i="11"/>
  <c r="V22" i="11"/>
  <c r="W10" i="11"/>
  <c r="W11" i="11"/>
  <c r="V28" i="11"/>
  <c r="X12" i="11"/>
  <c r="W17" i="11"/>
  <c r="V21" i="11"/>
  <c r="W30" i="11"/>
  <c r="V27" i="11"/>
  <c r="W34" i="11"/>
  <c r="W8" i="11"/>
  <c r="W13" i="11"/>
  <c r="W18" i="11"/>
  <c r="V23" i="11"/>
  <c r="V31" i="11"/>
  <c r="V6" i="11"/>
  <c r="W32" i="11"/>
  <c r="V7" i="11"/>
  <c r="X20" i="11"/>
  <c r="W5" i="11"/>
  <c r="V29" i="11"/>
  <c r="W26" i="11"/>
  <c r="X25" i="11"/>
  <c r="C19" i="47"/>
  <c r="AX6" i="20" l="1"/>
  <c r="AY7" i="20"/>
  <c r="X19" i="11"/>
  <c r="Y25" i="11"/>
  <c r="X5" i="11"/>
  <c r="W22" i="11"/>
  <c r="X17" i="11"/>
  <c r="X9" i="11"/>
  <c r="W31" i="11"/>
  <c r="W23" i="11"/>
  <c r="X13" i="11"/>
  <c r="X32" i="11"/>
  <c r="X26" i="11"/>
  <c r="X18" i="11"/>
  <c r="X11" i="11"/>
  <c r="W15" i="11"/>
  <c r="W14" i="11"/>
  <c r="W21" i="11"/>
  <c r="Y33" i="11"/>
  <c r="W27" i="11"/>
  <c r="Y20" i="11"/>
  <c r="X8" i="11"/>
  <c r="W7" i="11"/>
  <c r="W6" i="11"/>
  <c r="X30" i="11"/>
  <c r="W16" i="11"/>
  <c r="W28" i="11"/>
  <c r="W29" i="11"/>
  <c r="Y12" i="11"/>
  <c r="X34" i="11"/>
  <c r="X10" i="11"/>
  <c r="W24" i="11"/>
  <c r="D348" i="4"/>
  <c r="C348" i="4"/>
  <c r="AX5" i="20" l="1"/>
  <c r="AX4" i="20" s="1"/>
  <c r="AY4" i="20" s="1"/>
  <c r="AY6" i="20"/>
  <c r="X24" i="11"/>
  <c r="Z20" i="11"/>
  <c r="Y26" i="11"/>
  <c r="Y5" i="11"/>
  <c r="X23" i="11"/>
  <c r="X7" i="11"/>
  <c r="Y11" i="11"/>
  <c r="Y17" i="11"/>
  <c r="X21" i="11"/>
  <c r="Y32" i="11"/>
  <c r="Z25" i="11"/>
  <c r="Y9" i="11"/>
  <c r="Y10" i="11"/>
  <c r="X27" i="11"/>
  <c r="X14" i="11"/>
  <c r="X31" i="11"/>
  <c r="X15" i="11"/>
  <c r="Z12" i="11"/>
  <c r="X29" i="11"/>
  <c r="Y30" i="11"/>
  <c r="Y34" i="11"/>
  <c r="Y8" i="11"/>
  <c r="Y18" i="11"/>
  <c r="X22" i="11"/>
  <c r="X6" i="11"/>
  <c r="X16" i="11"/>
  <c r="X28" i="11"/>
  <c r="Z33" i="11"/>
  <c r="Y13" i="11"/>
  <c r="Y19" i="11"/>
  <c r="N65" i="12"/>
  <c r="AY5" i="20" l="1"/>
  <c r="Y29" i="11"/>
  <c r="Y27" i="11"/>
  <c r="Y28" i="11"/>
  <c r="Y22" i="11"/>
  <c r="Z17" i="11"/>
  <c r="Z19" i="11"/>
  <c r="AA25" i="11"/>
  <c r="Y23" i="11"/>
  <c r="Y16" i="11"/>
  <c r="Z32" i="11"/>
  <c r="AA20" i="11"/>
  <c r="Z13" i="11"/>
  <c r="Z34" i="11"/>
  <c r="Z10" i="11"/>
  <c r="AA12" i="11"/>
  <c r="Z18" i="11"/>
  <c r="Y14" i="11"/>
  <c r="Z11" i="11"/>
  <c r="Z8" i="11"/>
  <c r="Y7" i="11"/>
  <c r="AA33" i="11"/>
  <c r="Z30" i="11"/>
  <c r="Z9" i="11"/>
  <c r="Z5" i="11"/>
  <c r="Z26" i="11"/>
  <c r="Y31" i="11"/>
  <c r="Y6" i="11"/>
  <c r="Y15" i="11"/>
  <c r="Y21" i="11"/>
  <c r="Y24" i="11"/>
  <c r="Z28" i="11" l="1"/>
  <c r="AA8" i="11"/>
  <c r="AA5" i="11"/>
  <c r="Z23" i="11"/>
  <c r="AA17" i="11"/>
  <c r="Z24" i="11"/>
  <c r="AA19" i="11"/>
  <c r="AB33" i="11"/>
  <c r="AA32" i="11"/>
  <c r="Z27" i="11"/>
  <c r="AA10" i="11"/>
  <c r="AB20" i="11"/>
  <c r="AA9" i="11"/>
  <c r="AB12" i="11"/>
  <c r="AB25" i="11"/>
  <c r="Z6" i="11"/>
  <c r="AA18" i="11"/>
  <c r="Z21" i="11"/>
  <c r="AA34" i="11"/>
  <c r="Z31" i="11"/>
  <c r="AA11" i="11"/>
  <c r="Z7" i="11"/>
  <c r="AA13" i="11"/>
  <c r="Z22" i="11"/>
  <c r="AA30" i="11"/>
  <c r="Z15" i="11"/>
  <c r="AA26" i="11"/>
  <c r="Z14" i="11"/>
  <c r="Z16" i="11"/>
  <c r="Z29" i="11"/>
  <c r="AA29" i="11" l="1"/>
  <c r="AA7" i="11"/>
  <c r="AC12" i="11"/>
  <c r="AA24" i="11"/>
  <c r="AB26" i="11"/>
  <c r="AB34" i="11"/>
  <c r="AB10" i="11"/>
  <c r="AB5" i="11"/>
  <c r="AA22" i="11"/>
  <c r="AA6" i="11"/>
  <c r="AC33" i="11"/>
  <c r="AA16" i="11"/>
  <c r="AB11" i="11"/>
  <c r="AB9" i="11"/>
  <c r="AB17" i="11"/>
  <c r="AA15" i="11"/>
  <c r="AA21" i="11"/>
  <c r="AA27" i="11"/>
  <c r="AB8" i="11"/>
  <c r="AB13" i="11"/>
  <c r="AC25" i="11"/>
  <c r="AB19" i="11"/>
  <c r="AA14" i="11"/>
  <c r="AA31" i="11"/>
  <c r="AC20" i="11"/>
  <c r="AA23" i="11"/>
  <c r="AB30" i="11"/>
  <c r="AB18" i="11"/>
  <c r="AB32" i="11"/>
  <c r="AA28" i="11"/>
  <c r="C35" i="4"/>
  <c r="AD33" i="11" l="1"/>
  <c r="AB31" i="11"/>
  <c r="AC5" i="11"/>
  <c r="AC32" i="11"/>
  <c r="AD25" i="11"/>
  <c r="AC17" i="11"/>
  <c r="AC11" i="11"/>
  <c r="AC26" i="11"/>
  <c r="AB15" i="11"/>
  <c r="AB23" i="11"/>
  <c r="AB27" i="11"/>
  <c r="AB6" i="11"/>
  <c r="AB7" i="11"/>
  <c r="AC19" i="11"/>
  <c r="AC34" i="11"/>
  <c r="AD20" i="11"/>
  <c r="AB14" i="11"/>
  <c r="AB22" i="11"/>
  <c r="AC10" i="11"/>
  <c r="AB28" i="11"/>
  <c r="AC30" i="11"/>
  <c r="AC8" i="11"/>
  <c r="AC18" i="11"/>
  <c r="AC13" i="11"/>
  <c r="AC9" i="11"/>
  <c r="AB16" i="11"/>
  <c r="AB24" i="11"/>
  <c r="AB21" i="11"/>
  <c r="AD12" i="11"/>
  <c r="AB29" i="11"/>
  <c r="AF91" i="5"/>
  <c r="AF90" i="5"/>
  <c r="AF89" i="5"/>
  <c r="AF88" i="5"/>
  <c r="AF87" i="5"/>
  <c r="AA62" i="5"/>
  <c r="AA63" i="5" s="1"/>
  <c r="AA64" i="5" s="1"/>
  <c r="AA65" i="5" s="1"/>
  <c r="AA66" i="5" s="1"/>
  <c r="AA67" i="5" s="1"/>
  <c r="AA68" i="5" s="1"/>
  <c r="AA69" i="5" s="1"/>
  <c r="AA70" i="5" s="1"/>
  <c r="Z62" i="5"/>
  <c r="Z63" i="5" s="1"/>
  <c r="Z64" i="5" s="1"/>
  <c r="Z65" i="5" s="1"/>
  <c r="Z66" i="5" s="1"/>
  <c r="Z67" i="5" s="1"/>
  <c r="Z68" i="5" s="1"/>
  <c r="Z69" i="5" s="1"/>
  <c r="Z70" i="5" s="1"/>
  <c r="Q19" i="7" a="1"/>
  <c r="Q19" i="7" s="1"/>
  <c r="U16" i="7" a="1"/>
  <c r="U16" i="7" s="1"/>
  <c r="T16" i="7" a="1"/>
  <c r="T16" i="7" s="1"/>
  <c r="S16" i="7" a="1"/>
  <c r="S16" i="7" s="1"/>
  <c r="R16" i="7" a="1"/>
  <c r="R16" i="7" s="1"/>
  <c r="Q16" i="7" a="1"/>
  <c r="Q16" i="7" s="1"/>
  <c r="U15" i="7" a="1"/>
  <c r="U15" i="7" s="1"/>
  <c r="T15" i="7" a="1"/>
  <c r="T15" i="7" s="1"/>
  <c r="S15" i="7" a="1"/>
  <c r="S15" i="7" s="1"/>
  <c r="R15" i="7" a="1"/>
  <c r="R15" i="7" s="1"/>
  <c r="Q15" i="7" a="1"/>
  <c r="Q15" i="7" s="1"/>
  <c r="U12" i="7" a="1"/>
  <c r="U12" i="7" s="1"/>
  <c r="T12" i="7" a="1"/>
  <c r="T12" i="7" s="1"/>
  <c r="S12" i="7" a="1"/>
  <c r="S12" i="7" s="1"/>
  <c r="R12" i="7" a="1"/>
  <c r="R12" i="7" s="1"/>
  <c r="Q12" i="7" a="1"/>
  <c r="Q12" i="7" s="1"/>
  <c r="U11" i="7" a="1"/>
  <c r="U11" i="7" s="1"/>
  <c r="T11" i="7" a="1"/>
  <c r="T11" i="7" s="1"/>
  <c r="S11" i="7" a="1"/>
  <c r="S11" i="7" s="1"/>
  <c r="R11" i="7" a="1"/>
  <c r="R11" i="7" s="1"/>
  <c r="Q11" i="7" a="1"/>
  <c r="Q11" i="7" s="1"/>
  <c r="Q10" i="7" a="1"/>
  <c r="Q10" i="7" s="1"/>
  <c r="U8" i="7" a="1"/>
  <c r="U8" i="7" s="1"/>
  <c r="T8" i="7" a="1"/>
  <c r="T8" i="7" s="1"/>
  <c r="S8" i="7" a="1"/>
  <c r="S8" i="7" s="1"/>
  <c r="R8" i="7" a="1"/>
  <c r="R8" i="7" s="1"/>
  <c r="Q8" i="7" a="1"/>
  <c r="Q8" i="7" s="1"/>
  <c r="Q5" i="7" a="1"/>
  <c r="Q5" i="7" s="1"/>
  <c r="B78" i="4"/>
  <c r="C69" i="4"/>
  <c r="B69" i="4"/>
  <c r="C68" i="4"/>
  <c r="B68" i="4"/>
  <c r="C67" i="4"/>
  <c r="B67" i="4"/>
  <c r="C66" i="4"/>
  <c r="B66" i="4"/>
  <c r="B65" i="4"/>
  <c r="C78" i="4"/>
  <c r="N4" i="26"/>
  <c r="K4" i="26"/>
  <c r="H4" i="26"/>
  <c r="E4" i="26"/>
  <c r="E167" i="26" s="1"/>
  <c r="E170" i="26" l="1"/>
  <c r="E171" i="26"/>
  <c r="E168" i="26"/>
  <c r="E169" i="26"/>
  <c r="K9" i="26"/>
  <c r="K204" i="26" s="1"/>
  <c r="K167" i="26"/>
  <c r="H9" i="26"/>
  <c r="H167" i="26"/>
  <c r="N9" i="26"/>
  <c r="N204" i="26" s="1"/>
  <c r="N167" i="26"/>
  <c r="E12" i="26"/>
  <c r="E9" i="26"/>
  <c r="O4" i="26"/>
  <c r="N46" i="26"/>
  <c r="F4" i="26"/>
  <c r="E46" i="26"/>
  <c r="I4" i="26"/>
  <c r="H46" i="26"/>
  <c r="L4" i="26"/>
  <c r="K46" i="26"/>
  <c r="AC29" i="11"/>
  <c r="AD8" i="11"/>
  <c r="AD19" i="11"/>
  <c r="AD17" i="11"/>
  <c r="AC24" i="11"/>
  <c r="AD10" i="11"/>
  <c r="AC27" i="11"/>
  <c r="AD5" i="11"/>
  <c r="AD13" i="11"/>
  <c r="AE20" i="11"/>
  <c r="AD26" i="11"/>
  <c r="AE12" i="11"/>
  <c r="AD30" i="11"/>
  <c r="AC7" i="11"/>
  <c r="AE25" i="11"/>
  <c r="AC16" i="11"/>
  <c r="AC22" i="11"/>
  <c r="AC23" i="11"/>
  <c r="AC31" i="11"/>
  <c r="AD18" i="11"/>
  <c r="AD34" i="11"/>
  <c r="AD11" i="11"/>
  <c r="AC21" i="11"/>
  <c r="AC28" i="11"/>
  <c r="AC6" i="11"/>
  <c r="AD32" i="11"/>
  <c r="AD9" i="11"/>
  <c r="AC14" i="11"/>
  <c r="AC15" i="11"/>
  <c r="AE33" i="11"/>
  <c r="E90" i="26" l="1"/>
  <c r="E223" i="26"/>
  <c r="H170" i="26"/>
  <c r="H171" i="26"/>
  <c r="K171" i="26"/>
  <c r="K170" i="26"/>
  <c r="N170" i="26"/>
  <c r="N171" i="26"/>
  <c r="N168" i="26"/>
  <c r="N169" i="26"/>
  <c r="H168" i="26"/>
  <c r="H169" i="26"/>
  <c r="K169" i="26"/>
  <c r="K168" i="26"/>
  <c r="F9" i="26"/>
  <c r="F224" i="26" s="1"/>
  <c r="F167" i="26"/>
  <c r="H204" i="26"/>
  <c r="O9" i="26"/>
  <c r="O204" i="26" s="1"/>
  <c r="O167" i="26"/>
  <c r="L9" i="26"/>
  <c r="L204" i="26" s="1"/>
  <c r="L167" i="26"/>
  <c r="I9" i="26"/>
  <c r="I204" i="26" s="1"/>
  <c r="I167" i="26"/>
  <c r="E224" i="26"/>
  <c r="E204" i="26"/>
  <c r="AE10" i="11"/>
  <c r="AE30" i="11"/>
  <c r="AD24" i="11"/>
  <c r="AE9" i="11"/>
  <c r="AE19" i="11"/>
  <c r="AD28" i="11"/>
  <c r="AF20" i="11"/>
  <c r="AE8" i="11"/>
  <c r="AE11" i="11"/>
  <c r="AE32" i="11"/>
  <c r="AD21" i="11"/>
  <c r="AF25" i="11"/>
  <c r="AD27" i="11"/>
  <c r="AF33" i="11"/>
  <c r="AD7" i="11"/>
  <c r="AE26" i="11"/>
  <c r="AE34" i="11"/>
  <c r="AD14" i="11"/>
  <c r="AF12" i="11"/>
  <c r="AE17" i="11"/>
  <c r="AD31" i="11"/>
  <c r="AD16" i="11"/>
  <c r="AE5" i="11"/>
  <c r="AD15" i="11"/>
  <c r="AD23" i="11"/>
  <c r="AE18" i="11"/>
  <c r="AD6" i="11"/>
  <c r="AD22" i="11"/>
  <c r="AE13" i="11"/>
  <c r="AD29" i="11"/>
  <c r="N47" i="12"/>
  <c r="V109" i="1"/>
  <c r="L105" i="1"/>
  <c r="O38" i="26"/>
  <c r="N38" i="26"/>
  <c r="O19" i="26"/>
  <c r="O17" i="26"/>
  <c r="O14" i="26"/>
  <c r="L38" i="26"/>
  <c r="K38" i="26"/>
  <c r="L19" i="26"/>
  <c r="L17" i="26"/>
  <c r="I38" i="26"/>
  <c r="H38" i="26"/>
  <c r="I19" i="26"/>
  <c r="I18" i="26"/>
  <c r="I14" i="26"/>
  <c r="F14" i="26"/>
  <c r="C39" i="43"/>
  <c r="I32" i="26" s="1"/>
  <c r="I406" i="26" s="1"/>
  <c r="C40" i="43"/>
  <c r="C38" i="43"/>
  <c r="E225" i="26" l="1"/>
  <c r="F170" i="26"/>
  <c r="F171" i="26"/>
  <c r="I170" i="26"/>
  <c r="I171" i="26"/>
  <c r="L171" i="26"/>
  <c r="L170" i="26"/>
  <c r="O170" i="26"/>
  <c r="O171" i="26"/>
  <c r="F204" i="26"/>
  <c r="F168" i="26"/>
  <c r="F169" i="26"/>
  <c r="I169" i="26"/>
  <c r="I168" i="26"/>
  <c r="L169" i="26"/>
  <c r="L168" i="26"/>
  <c r="O168" i="26"/>
  <c r="O169" i="26"/>
  <c r="A37" i="46"/>
  <c r="A36" i="46" s="1"/>
  <c r="AG33" i="11"/>
  <c r="AE6" i="11"/>
  <c r="AG12" i="11"/>
  <c r="AE21" i="11"/>
  <c r="AE24" i="11"/>
  <c r="AE29" i="11"/>
  <c r="AE16" i="11"/>
  <c r="AE28" i="11"/>
  <c r="AE15" i="11"/>
  <c r="AF26" i="11"/>
  <c r="AF8" i="11"/>
  <c r="AF13" i="11"/>
  <c r="AE31" i="11"/>
  <c r="AE7" i="11"/>
  <c r="AE27" i="11"/>
  <c r="AF19" i="11"/>
  <c r="AF18" i="11"/>
  <c r="AE14" i="11"/>
  <c r="AF32" i="11"/>
  <c r="AF30" i="11"/>
  <c r="AF5" i="11"/>
  <c r="AG20" i="11"/>
  <c r="AE22" i="11"/>
  <c r="AF17" i="11"/>
  <c r="AG25" i="11"/>
  <c r="AF9" i="11"/>
  <c r="AE23" i="11"/>
  <c r="AF34" i="11"/>
  <c r="AF11" i="11"/>
  <c r="AF10" i="11"/>
  <c r="G4" i="3"/>
  <c r="A6" i="46"/>
  <c r="A21" i="46"/>
  <c r="A20" i="46" s="1"/>
  <c r="D39" i="1"/>
  <c r="D38" i="1"/>
  <c r="D37" i="1"/>
  <c r="L33" i="26"/>
  <c r="L32" i="26"/>
  <c r="L406" i="26" s="1"/>
  <c r="F17" i="1"/>
  <c r="O32" i="26"/>
  <c r="O406" i="26" s="1"/>
  <c r="K32" i="26"/>
  <c r="K406" i="26" s="1"/>
  <c r="I389" i="26"/>
  <c r="H32" i="26"/>
  <c r="H405" i="26" s="1"/>
  <c r="N32" i="26"/>
  <c r="N205" i="26" s="1"/>
  <c r="H33" i="26"/>
  <c r="N33" i="26"/>
  <c r="I33" i="26"/>
  <c r="I393" i="26"/>
  <c r="I405" i="26"/>
  <c r="K33" i="26"/>
  <c r="O33" i="26"/>
  <c r="I397" i="26"/>
  <c r="I401" i="26"/>
  <c r="O18" i="26"/>
  <c r="L14" i="26"/>
  <c r="L18" i="26"/>
  <c r="I17" i="26"/>
  <c r="I387" i="26"/>
  <c r="I391" i="26"/>
  <c r="I395" i="26"/>
  <c r="I399" i="26"/>
  <c r="I403" i="26"/>
  <c r="I205" i="26"/>
  <c r="I388" i="26"/>
  <c r="I392" i="26"/>
  <c r="I396" i="26"/>
  <c r="I400" i="26"/>
  <c r="I404" i="26"/>
  <c r="I60" i="26"/>
  <c r="I390" i="26"/>
  <c r="I394" i="26"/>
  <c r="I398" i="26"/>
  <c r="I402" i="26"/>
  <c r="AH25" i="11" l="1"/>
  <c r="AG18" i="11"/>
  <c r="AF15" i="11"/>
  <c r="AG10" i="11"/>
  <c r="AH20" i="11"/>
  <c r="AF7" i="11"/>
  <c r="AF29" i="11"/>
  <c r="AF23" i="11"/>
  <c r="AG32" i="11"/>
  <c r="AG8" i="11"/>
  <c r="AH12" i="11"/>
  <c r="AG17" i="11"/>
  <c r="AG19" i="11"/>
  <c r="AF28" i="11"/>
  <c r="AG11" i="11"/>
  <c r="AG5" i="11"/>
  <c r="AF31" i="11"/>
  <c r="AF24" i="11"/>
  <c r="AG9" i="11"/>
  <c r="AF14" i="11"/>
  <c r="AG26" i="11"/>
  <c r="AF6" i="11"/>
  <c r="AF22" i="11"/>
  <c r="AF27" i="11"/>
  <c r="AF16" i="11"/>
  <c r="AG34" i="11"/>
  <c r="AG30" i="11"/>
  <c r="AG13" i="11"/>
  <c r="AF21" i="11"/>
  <c r="AH33" i="11"/>
  <c r="A5" i="46"/>
  <c r="K388" i="26"/>
  <c r="L212" i="26"/>
  <c r="O212" i="26"/>
  <c r="K212" i="26"/>
  <c r="I212" i="26"/>
  <c r="H212" i="26"/>
  <c r="N212" i="26"/>
  <c r="N404" i="26"/>
  <c r="L399" i="26"/>
  <c r="O402" i="26"/>
  <c r="L395" i="26"/>
  <c r="O398" i="26"/>
  <c r="O389" i="26"/>
  <c r="L60" i="26"/>
  <c r="O392" i="26"/>
  <c r="O391" i="26"/>
  <c r="L405" i="26"/>
  <c r="L402" i="26"/>
  <c r="L205" i="26"/>
  <c r="L390" i="26"/>
  <c r="O396" i="26"/>
  <c r="N395" i="26"/>
  <c r="L389" i="26"/>
  <c r="O405" i="26"/>
  <c r="L396" i="26"/>
  <c r="O397" i="26"/>
  <c r="L393" i="26"/>
  <c r="L391" i="26"/>
  <c r="O60" i="26"/>
  <c r="L392" i="26"/>
  <c r="O393" i="26"/>
  <c r="K205" i="26"/>
  <c r="N393" i="26"/>
  <c r="K387" i="26"/>
  <c r="K402" i="26"/>
  <c r="K405" i="26"/>
  <c r="L388" i="26"/>
  <c r="L403" i="26"/>
  <c r="O401" i="26"/>
  <c r="O388" i="26"/>
  <c r="O399" i="26"/>
  <c r="O387" i="26"/>
  <c r="O403" i="26"/>
  <c r="K401" i="26"/>
  <c r="K60" i="26"/>
  <c r="K404" i="26"/>
  <c r="K398" i="26"/>
  <c r="K394" i="26"/>
  <c r="K393" i="26"/>
  <c r="K389" i="26"/>
  <c r="K400" i="26"/>
  <c r="L398" i="26"/>
  <c r="L401" i="26"/>
  <c r="L404" i="26"/>
  <c r="K396" i="26"/>
  <c r="L387" i="26"/>
  <c r="O394" i="26"/>
  <c r="O404" i="26"/>
  <c r="K395" i="26"/>
  <c r="K399" i="26"/>
  <c r="L394" i="26"/>
  <c r="L397" i="26"/>
  <c r="L400" i="26"/>
  <c r="K392" i="26"/>
  <c r="O390" i="26"/>
  <c r="O400" i="26"/>
  <c r="K391" i="26"/>
  <c r="N399" i="26"/>
  <c r="N398" i="26"/>
  <c r="N402" i="26"/>
  <c r="N394" i="26"/>
  <c r="N388" i="26"/>
  <c r="H403" i="26"/>
  <c r="H392" i="26"/>
  <c r="H388" i="26"/>
  <c r="K390" i="26"/>
  <c r="K397" i="26"/>
  <c r="O205" i="26"/>
  <c r="N400" i="26"/>
  <c r="H399" i="26"/>
  <c r="K403" i="26"/>
  <c r="N387" i="26"/>
  <c r="N389" i="26"/>
  <c r="N406" i="26"/>
  <c r="N391" i="26"/>
  <c r="N397" i="26"/>
  <c r="O395" i="26"/>
  <c r="N401" i="26"/>
  <c r="N390" i="26"/>
  <c r="H401" i="26"/>
  <c r="H389" i="26"/>
  <c r="H400" i="26"/>
  <c r="H390" i="26"/>
  <c r="H406" i="26"/>
  <c r="H396" i="26"/>
  <c r="H60" i="26"/>
  <c r="H394" i="26"/>
  <c r="H205" i="26"/>
  <c r="H397" i="26"/>
  <c r="N392" i="26"/>
  <c r="N405" i="26"/>
  <c r="H398" i="26"/>
  <c r="H395" i="26"/>
  <c r="H402" i="26"/>
  <c r="H393" i="26"/>
  <c r="H404" i="26"/>
  <c r="N403" i="26"/>
  <c r="N396" i="26"/>
  <c r="N60" i="26"/>
  <c r="H387" i="26"/>
  <c r="H391" i="26"/>
  <c r="M37" i="18"/>
  <c r="M38" i="18" s="1"/>
  <c r="R12" i="5"/>
  <c r="R7" i="5"/>
  <c r="P20" i="5"/>
  <c r="Q20" i="5" s="1"/>
  <c r="S26" i="5"/>
  <c r="T26" i="5"/>
  <c r="U26" i="5"/>
  <c r="V26" i="5"/>
  <c r="W26" i="5"/>
  <c r="X26" i="5"/>
  <c r="Q26" i="5"/>
  <c r="Y26" i="5" l="1"/>
  <c r="AI33" i="11"/>
  <c r="AG6" i="11"/>
  <c r="AG28" i="11"/>
  <c r="AG7" i="11"/>
  <c r="AH30" i="11"/>
  <c r="AH9" i="11"/>
  <c r="AI12" i="11"/>
  <c r="AG15" i="11"/>
  <c r="AG27" i="11"/>
  <c r="AH5" i="11"/>
  <c r="AG23" i="11"/>
  <c r="AG21" i="11"/>
  <c r="AH26" i="11"/>
  <c r="AH19" i="11"/>
  <c r="AI20" i="11"/>
  <c r="AH34" i="11"/>
  <c r="AG24" i="11"/>
  <c r="AH8" i="11"/>
  <c r="AH18" i="11"/>
  <c r="AG22" i="11"/>
  <c r="AH11" i="11"/>
  <c r="AG29" i="11"/>
  <c r="AH13" i="11"/>
  <c r="AG14" i="11"/>
  <c r="AH17" i="11"/>
  <c r="AH10" i="11"/>
  <c r="AG16" i="11"/>
  <c r="AG31" i="11"/>
  <c r="AH32" i="11"/>
  <c r="AI25" i="11"/>
  <c r="C163" i="4"/>
  <c r="D173" i="4"/>
  <c r="C173" i="4" s="1"/>
  <c r="D168" i="4"/>
  <c r="E168" i="4" s="1"/>
  <c r="H194" i="4"/>
  <c r="H195" i="4"/>
  <c r="H224" i="4"/>
  <c r="C189" i="4"/>
  <c r="D189" i="4"/>
  <c r="C190" i="4"/>
  <c r="D190" i="4"/>
  <c r="C191" i="4"/>
  <c r="D191" i="4"/>
  <c r="C192" i="4"/>
  <c r="D192" i="4"/>
  <c r="C193" i="4"/>
  <c r="D193" i="4"/>
  <c r="C194" i="4"/>
  <c r="D194" i="4"/>
  <c r="G194" i="4" s="1"/>
  <c r="C195" i="4"/>
  <c r="F195" i="4" s="1"/>
  <c r="D195" i="4"/>
  <c r="G195" i="4" s="1"/>
  <c r="C224" i="4"/>
  <c r="F224" i="4" s="1"/>
  <c r="D224" i="4"/>
  <c r="G224" i="4" s="1"/>
  <c r="E204" i="4"/>
  <c r="D204" i="4" s="1"/>
  <c r="G204" i="4" s="1"/>
  <c r="Z26" i="5" l="1"/>
  <c r="AH16" i="11"/>
  <c r="AI18" i="11"/>
  <c r="AH23" i="11"/>
  <c r="AH14" i="11"/>
  <c r="AI34" i="11"/>
  <c r="AH15" i="11"/>
  <c r="AH28" i="11"/>
  <c r="AI32" i="11"/>
  <c r="AI11" i="11"/>
  <c r="AI26" i="11"/>
  <c r="AI30" i="11"/>
  <c r="AI13" i="11"/>
  <c r="AJ20" i="11"/>
  <c r="AJ12" i="11"/>
  <c r="AH6" i="11"/>
  <c r="AH31" i="11"/>
  <c r="AH22" i="11"/>
  <c r="AH21" i="11"/>
  <c r="AI10" i="11"/>
  <c r="AI8" i="11"/>
  <c r="AI5" i="11"/>
  <c r="AI17" i="11"/>
  <c r="AH24" i="11"/>
  <c r="AH27" i="11"/>
  <c r="AH7" i="11"/>
  <c r="AJ25" i="11"/>
  <c r="AH29" i="11"/>
  <c r="AI19" i="11"/>
  <c r="AI9" i="11"/>
  <c r="AJ33" i="11"/>
  <c r="N21" i="26"/>
  <c r="N10" i="26" s="1"/>
  <c r="K21" i="26"/>
  <c r="K10" i="26" s="1"/>
  <c r="H21" i="26"/>
  <c r="E21" i="26"/>
  <c r="E10" i="26" s="1"/>
  <c r="E367" i="26" s="1"/>
  <c r="O106" i="1"/>
  <c r="N223" i="26"/>
  <c r="N8" i="26"/>
  <c r="O8" i="26" s="1"/>
  <c r="O46" i="26"/>
  <c r="N7" i="26"/>
  <c r="K8" i="26"/>
  <c r="L8" i="26" s="1"/>
  <c r="K7" i="26"/>
  <c r="K223" i="26"/>
  <c r="L46" i="26"/>
  <c r="H8" i="26"/>
  <c r="I8" i="26" s="1"/>
  <c r="H7" i="26"/>
  <c r="I46" i="26"/>
  <c r="H223" i="26"/>
  <c r="F46" i="26"/>
  <c r="E7" i="26"/>
  <c r="E227" i="26"/>
  <c r="E8" i="26"/>
  <c r="B7" i="45"/>
  <c r="H204" i="4"/>
  <c r="E163" i="4"/>
  <c r="D164" i="4"/>
  <c r="E173" i="4"/>
  <c r="D169" i="4"/>
  <c r="D170" i="4" s="1"/>
  <c r="C168" i="4"/>
  <c r="C204" i="4"/>
  <c r="F204" i="4" s="1"/>
  <c r="D174" i="4"/>
  <c r="C174" i="4"/>
  <c r="J200" i="4" a="1"/>
  <c r="J200" i="4" s="1"/>
  <c r="E200" i="4" s="1"/>
  <c r="J196" i="4" a="1"/>
  <c r="J196" i="4" s="1"/>
  <c r="E196" i="4" s="1"/>
  <c r="J209" i="4" a="1"/>
  <c r="J209" i="4" s="1"/>
  <c r="E209" i="4" s="1"/>
  <c r="J206" i="4" a="1"/>
  <c r="J206" i="4" s="1"/>
  <c r="E206" i="4" s="1"/>
  <c r="J207" i="4" a="1"/>
  <c r="J207" i="4" s="1"/>
  <c r="E207" i="4" s="1"/>
  <c r="J208" i="4" a="1"/>
  <c r="J208" i="4" s="1"/>
  <c r="E208" i="4" s="1"/>
  <c r="J205" i="4" a="1"/>
  <c r="J205" i="4" s="1"/>
  <c r="E205" i="4" s="1"/>
  <c r="J202" i="4" a="1"/>
  <c r="J202" i="4" s="1"/>
  <c r="E202" i="4" s="1"/>
  <c r="J203" i="4" a="1"/>
  <c r="J203" i="4" s="1"/>
  <c r="E203" i="4" s="1"/>
  <c r="J201" i="4" a="1"/>
  <c r="J201" i="4" s="1"/>
  <c r="E201" i="4" s="1"/>
  <c r="J198" i="4" a="1"/>
  <c r="J198" i="4" s="1"/>
  <c r="E198" i="4" s="1"/>
  <c r="J199" i="4" a="1"/>
  <c r="J199" i="4" s="1"/>
  <c r="E199" i="4" s="1"/>
  <c r="J197" i="4" a="1"/>
  <c r="J197" i="4" s="1"/>
  <c r="E197" i="4" s="1"/>
  <c r="X202" i="4"/>
  <c r="X203" i="4"/>
  <c r="X204" i="4"/>
  <c r="X205" i="4"/>
  <c r="X206" i="4"/>
  <c r="X207" i="4"/>
  <c r="X208" i="4"/>
  <c r="X209" i="4"/>
  <c r="X210" i="4"/>
  <c r="X211" i="4"/>
  <c r="X212" i="4"/>
  <c r="X213" i="4"/>
  <c r="X214" i="4"/>
  <c r="X215" i="4"/>
  <c r="X192" i="4"/>
  <c r="X193" i="4"/>
  <c r="X194" i="4"/>
  <c r="X195" i="4"/>
  <c r="X196" i="4"/>
  <c r="X197" i="4"/>
  <c r="X198" i="4"/>
  <c r="X199" i="4"/>
  <c r="X200" i="4"/>
  <c r="X201" i="4"/>
  <c r="X191"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190" i="4"/>
  <c r="AA26" i="5" l="1"/>
  <c r="H10" i="26"/>
  <c r="H47" i="26" s="1"/>
  <c r="H90" i="26"/>
  <c r="N90" i="26"/>
  <c r="K90" i="26"/>
  <c r="E47" i="26"/>
  <c r="K47" i="26"/>
  <c r="K49" i="26" s="1"/>
  <c r="N47" i="26"/>
  <c r="N49" i="26" s="1"/>
  <c r="AK33" i="11"/>
  <c r="AJ17" i="11"/>
  <c r="AK12" i="11"/>
  <c r="AI15" i="11"/>
  <c r="AI29" i="11"/>
  <c r="AJ10" i="11"/>
  <c r="AJ30" i="11"/>
  <c r="AI23" i="11"/>
  <c r="AI27" i="11"/>
  <c r="AI31" i="11"/>
  <c r="AJ32" i="11"/>
  <c r="AJ9" i="11"/>
  <c r="AJ5" i="11"/>
  <c r="AK20" i="11"/>
  <c r="AJ34" i="11"/>
  <c r="AK25" i="11"/>
  <c r="AI21" i="11"/>
  <c r="AJ26" i="11"/>
  <c r="AJ18" i="11"/>
  <c r="AI24" i="11"/>
  <c r="AI6" i="11"/>
  <c r="AI28" i="11"/>
  <c r="AJ19" i="11"/>
  <c r="AJ8" i="11"/>
  <c r="AJ13" i="11"/>
  <c r="AI14" i="11"/>
  <c r="AI7" i="11"/>
  <c r="AI22" i="11"/>
  <c r="AJ11" i="11"/>
  <c r="AI16" i="11"/>
  <c r="O21" i="26"/>
  <c r="O10" i="26" s="1"/>
  <c r="L21" i="26"/>
  <c r="L10" i="26" s="1"/>
  <c r="F21" i="26"/>
  <c r="F10" i="26" s="1"/>
  <c r="I21" i="26"/>
  <c r="I10" i="26" s="1"/>
  <c r="E7" i="46"/>
  <c r="E22" i="46"/>
  <c r="O104" i="1"/>
  <c r="C22" i="46"/>
  <c r="C7" i="46"/>
  <c r="D7" i="46"/>
  <c r="D22" i="46"/>
  <c r="O105" i="1"/>
  <c r="H34" i="26"/>
  <c r="H228" i="26" s="1"/>
  <c r="E34" i="26"/>
  <c r="K34" i="26"/>
  <c r="K228" i="26" s="1"/>
  <c r="N34" i="26"/>
  <c r="N228" i="26" s="1"/>
  <c r="O7" i="26"/>
  <c r="O1" i="26" s="1"/>
  <c r="N1" i="26"/>
  <c r="O223" i="26"/>
  <c r="N80" i="26"/>
  <c r="K1" i="26"/>
  <c r="L7" i="26"/>
  <c r="L1" i="26" s="1"/>
  <c r="L223" i="26"/>
  <c r="K80" i="26"/>
  <c r="I223" i="26"/>
  <c r="H80" i="26"/>
  <c r="H1" i="26"/>
  <c r="I7" i="26"/>
  <c r="I1" i="26" s="1"/>
  <c r="H198" i="4"/>
  <c r="D198" i="4"/>
  <c r="G198" i="4" s="1"/>
  <c r="C198" i="4"/>
  <c r="F198" i="4" s="1"/>
  <c r="H209" i="4"/>
  <c r="C209" i="4"/>
  <c r="F209" i="4" s="1"/>
  <c r="E210" i="4"/>
  <c r="E211" i="4" s="1"/>
  <c r="D209" i="4"/>
  <c r="G209" i="4" s="1"/>
  <c r="D175" i="4"/>
  <c r="D171" i="4"/>
  <c r="E170" i="4"/>
  <c r="C170" i="4"/>
  <c r="H201" i="4"/>
  <c r="C201" i="4"/>
  <c r="F201" i="4" s="1"/>
  <c r="D201" i="4"/>
  <c r="G201" i="4" s="1"/>
  <c r="C196" i="4"/>
  <c r="F196" i="4" s="1"/>
  <c r="D196" i="4"/>
  <c r="G196" i="4" s="1"/>
  <c r="H196" i="4"/>
  <c r="H197" i="4"/>
  <c r="D197" i="4"/>
  <c r="G197" i="4" s="1"/>
  <c r="C197" i="4"/>
  <c r="F197" i="4" s="1"/>
  <c r="H206" i="4"/>
  <c r="D206" i="4"/>
  <c r="G206" i="4" s="1"/>
  <c r="C206" i="4"/>
  <c r="F206" i="4" s="1"/>
  <c r="C203" i="4"/>
  <c r="F203" i="4" s="1"/>
  <c r="D203" i="4"/>
  <c r="G203" i="4" s="1"/>
  <c r="H203" i="4"/>
  <c r="C200" i="4"/>
  <c r="F200" i="4" s="1"/>
  <c r="D200" i="4"/>
  <c r="G200" i="4" s="1"/>
  <c r="H200" i="4"/>
  <c r="E169" i="4"/>
  <c r="C169" i="4"/>
  <c r="C207" i="4"/>
  <c r="F207" i="4" s="1"/>
  <c r="D207" i="4"/>
  <c r="G207" i="4" s="1"/>
  <c r="H207" i="4"/>
  <c r="C164" i="4"/>
  <c r="E164" i="4"/>
  <c r="D202" i="4"/>
  <c r="G202" i="4" s="1"/>
  <c r="H202" i="4"/>
  <c r="C202" i="4"/>
  <c r="F202" i="4" s="1"/>
  <c r="C175" i="4"/>
  <c r="C208" i="4"/>
  <c r="F208" i="4" s="1"/>
  <c r="D208" i="4"/>
  <c r="G208" i="4" s="1"/>
  <c r="H208" i="4"/>
  <c r="C199" i="4"/>
  <c r="F199" i="4" s="1"/>
  <c r="D199" i="4"/>
  <c r="G199" i="4" s="1"/>
  <c r="H199" i="4"/>
  <c r="H205" i="4"/>
  <c r="C205" i="4"/>
  <c r="F205" i="4" s="1"/>
  <c r="D205" i="4"/>
  <c r="G205" i="4" s="1"/>
  <c r="E174" i="4"/>
  <c r="D165" i="4"/>
  <c r="J35" i="11"/>
  <c r="J5" i="11"/>
  <c r="AB26" i="5" l="1"/>
  <c r="O90" i="26"/>
  <c r="I90" i="26"/>
  <c r="L90" i="26"/>
  <c r="H91" i="26"/>
  <c r="H92" i="26" s="1"/>
  <c r="H49" i="26"/>
  <c r="E91" i="26"/>
  <c r="E49" i="26"/>
  <c r="I47" i="26"/>
  <c r="I49" i="26" s="1"/>
  <c r="F47" i="26"/>
  <c r="N91" i="26"/>
  <c r="N92" i="26" s="1"/>
  <c r="O47" i="26"/>
  <c r="O49" i="26" s="1"/>
  <c r="K91" i="26"/>
  <c r="L47" i="26"/>
  <c r="L49" i="26" s="1"/>
  <c r="AJ16" i="11"/>
  <c r="AJ28" i="11"/>
  <c r="AL20" i="11"/>
  <c r="AK10" i="11"/>
  <c r="AJ7" i="11"/>
  <c r="AK18" i="11"/>
  <c r="AK32" i="11"/>
  <c r="AL12" i="11"/>
  <c r="AJ23" i="11"/>
  <c r="AJ14" i="11"/>
  <c r="AK26" i="11"/>
  <c r="AJ31" i="11"/>
  <c r="AK17" i="11"/>
  <c r="AJ6" i="11"/>
  <c r="AK19" i="11"/>
  <c r="AK34" i="11"/>
  <c r="AK30" i="11"/>
  <c r="AK8" i="11"/>
  <c r="AK11" i="11"/>
  <c r="AJ22" i="11"/>
  <c r="AJ24" i="11"/>
  <c r="AK9" i="11"/>
  <c r="AJ15" i="11"/>
  <c r="AL25" i="11"/>
  <c r="AK5" i="11"/>
  <c r="AJ29" i="11"/>
  <c r="AK13" i="11"/>
  <c r="AJ21" i="11"/>
  <c r="AJ27" i="11"/>
  <c r="AL33" i="11"/>
  <c r="K379" i="26"/>
  <c r="K358" i="26"/>
  <c r="K380" i="26"/>
  <c r="K352" i="26"/>
  <c r="K384" i="26"/>
  <c r="K370" i="26"/>
  <c r="K365" i="26"/>
  <c r="K348" i="26"/>
  <c r="K372" i="26"/>
  <c r="K351" i="26"/>
  <c r="K363" i="26"/>
  <c r="K367" i="26"/>
  <c r="K360" i="26"/>
  <c r="K378" i="26"/>
  <c r="K377" i="26"/>
  <c r="K381" i="26"/>
  <c r="K371" i="26"/>
  <c r="K364" i="26"/>
  <c r="K369" i="26"/>
  <c r="K366" i="26"/>
  <c r="K357" i="26"/>
  <c r="K373" i="26"/>
  <c r="K375" i="26"/>
  <c r="K368" i="26"/>
  <c r="K361" i="26"/>
  <c r="K354" i="26"/>
  <c r="K355" i="26"/>
  <c r="K353" i="26"/>
  <c r="K350" i="26"/>
  <c r="K386" i="26"/>
  <c r="K374" i="26"/>
  <c r="K385" i="26"/>
  <c r="K382" i="26"/>
  <c r="K376" i="26"/>
  <c r="K359" i="26"/>
  <c r="K362" i="26"/>
  <c r="K383" i="26"/>
  <c r="K356" i="26"/>
  <c r="K349" i="26"/>
  <c r="K347" i="26"/>
  <c r="N382" i="26"/>
  <c r="N350" i="26"/>
  <c r="N357" i="26"/>
  <c r="N364" i="26"/>
  <c r="N379" i="26"/>
  <c r="N384" i="26"/>
  <c r="N386" i="26"/>
  <c r="N368" i="26"/>
  <c r="N378" i="26"/>
  <c r="N385" i="26"/>
  <c r="N353" i="26"/>
  <c r="N359" i="26"/>
  <c r="N363" i="26"/>
  <c r="N366" i="26"/>
  <c r="N373" i="26"/>
  <c r="N347" i="26"/>
  <c r="N351" i="26"/>
  <c r="N354" i="26"/>
  <c r="N374" i="26"/>
  <c r="N381" i="26"/>
  <c r="N349" i="26"/>
  <c r="N371" i="26"/>
  <c r="N352" i="26"/>
  <c r="N370" i="26"/>
  <c r="N377" i="26"/>
  <c r="N372" i="26"/>
  <c r="N356" i="26"/>
  <c r="N360" i="26"/>
  <c r="N362" i="26"/>
  <c r="N369" i="26"/>
  <c r="N380" i="26"/>
  <c r="N383" i="26"/>
  <c r="N375" i="26"/>
  <c r="N358" i="26"/>
  <c r="N365" i="26"/>
  <c r="N376" i="26"/>
  <c r="N367" i="26"/>
  <c r="N348" i="26"/>
  <c r="N361" i="26"/>
  <c r="N355" i="26"/>
  <c r="H351" i="26"/>
  <c r="H363" i="26"/>
  <c r="H374" i="26"/>
  <c r="H369" i="26"/>
  <c r="H375" i="26"/>
  <c r="H360" i="26"/>
  <c r="H359" i="26"/>
  <c r="H380" i="26"/>
  <c r="H350" i="26"/>
  <c r="H386" i="26"/>
  <c r="H355" i="26"/>
  <c r="H383" i="26"/>
  <c r="H378" i="26"/>
  <c r="H364" i="26"/>
  <c r="H347" i="26"/>
  <c r="H370" i="26"/>
  <c r="H365" i="26"/>
  <c r="H371" i="26"/>
  <c r="H356" i="26"/>
  <c r="H357" i="26"/>
  <c r="H348" i="26"/>
  <c r="H353" i="26"/>
  <c r="H349" i="26"/>
  <c r="H382" i="26"/>
  <c r="H368" i="26"/>
  <c r="H373" i="26"/>
  <c r="H367" i="26"/>
  <c r="H366" i="26"/>
  <c r="H361" i="26"/>
  <c r="H384" i="26"/>
  <c r="H352" i="26"/>
  <c r="H362" i="26"/>
  <c r="H385" i="26"/>
  <c r="H354" i="26"/>
  <c r="H381" i="26"/>
  <c r="H372" i="26"/>
  <c r="H377" i="26"/>
  <c r="H358" i="26"/>
  <c r="H379" i="26"/>
  <c r="H376" i="26"/>
  <c r="O34" i="26"/>
  <c r="O228" i="26" s="1"/>
  <c r="I34" i="26"/>
  <c r="I228" i="26" s="1"/>
  <c r="L34" i="26"/>
  <c r="L228" i="26" s="1"/>
  <c r="O80" i="26"/>
  <c r="L80" i="26"/>
  <c r="I80" i="26"/>
  <c r="C176" i="4"/>
  <c r="E212" i="4"/>
  <c r="C211" i="4"/>
  <c r="F211" i="4" s="1"/>
  <c r="D211" i="4"/>
  <c r="G211" i="4" s="1"/>
  <c r="H211" i="4"/>
  <c r="D172" i="4"/>
  <c r="E171" i="4"/>
  <c r="C171" i="4"/>
  <c r="D166" i="4"/>
  <c r="C165" i="4"/>
  <c r="E165" i="4"/>
  <c r="E175" i="4"/>
  <c r="D176" i="4"/>
  <c r="H210" i="4"/>
  <c r="D210" i="4"/>
  <c r="G210" i="4" s="1"/>
  <c r="C210" i="4"/>
  <c r="F210" i="4" s="1"/>
  <c r="K11" i="18"/>
  <c r="L11" i="18"/>
  <c r="K12" i="18"/>
  <c r="L12" i="18"/>
  <c r="M12" i="18"/>
  <c r="K13" i="18"/>
  <c r="L13" i="18"/>
  <c r="M13" i="18"/>
  <c r="K14" i="18"/>
  <c r="L14" i="18"/>
  <c r="M14" i="18"/>
  <c r="K15" i="18"/>
  <c r="L15" i="18"/>
  <c r="M15" i="18"/>
  <c r="AC26" i="5" l="1"/>
  <c r="F91" i="26"/>
  <c r="F49" i="26"/>
  <c r="L91" i="26"/>
  <c r="O91" i="26"/>
  <c r="O92" i="26" s="1"/>
  <c r="K92" i="26"/>
  <c r="I91" i="26"/>
  <c r="I92" i="26" s="1"/>
  <c r="L380" i="26"/>
  <c r="AM33" i="11"/>
  <c r="AL9" i="11"/>
  <c r="AK6" i="11"/>
  <c r="AL18" i="11"/>
  <c r="AL13" i="11"/>
  <c r="AL11" i="11"/>
  <c r="AL26" i="11"/>
  <c r="AM20" i="11"/>
  <c r="AM25" i="11"/>
  <c r="AL34" i="11"/>
  <c r="AM12" i="11"/>
  <c r="AK27" i="11"/>
  <c r="AK24" i="11"/>
  <c r="AL17" i="11"/>
  <c r="AK7" i="11"/>
  <c r="AK29" i="11"/>
  <c r="AL8" i="11"/>
  <c r="AK14" i="11"/>
  <c r="AK28" i="11"/>
  <c r="AK15" i="11"/>
  <c r="AL19" i="11"/>
  <c r="AL32" i="11"/>
  <c r="AK21" i="11"/>
  <c r="AK22" i="11"/>
  <c r="AK31" i="11"/>
  <c r="AL10" i="11"/>
  <c r="AL5" i="11"/>
  <c r="AL30" i="11"/>
  <c r="AK23" i="11"/>
  <c r="AK16" i="11"/>
  <c r="L386" i="26"/>
  <c r="L353" i="26"/>
  <c r="L349" i="26"/>
  <c r="L368" i="26"/>
  <c r="L360" i="26"/>
  <c r="L366" i="26"/>
  <c r="L358" i="26"/>
  <c r="L377" i="26"/>
  <c r="L369" i="26"/>
  <c r="L347" i="26"/>
  <c r="L365" i="26"/>
  <c r="L367" i="26"/>
  <c r="L363" i="26"/>
  <c r="L374" i="26"/>
  <c r="L370" i="26"/>
  <c r="L372" i="26"/>
  <c r="L352" i="26"/>
  <c r="L373" i="26"/>
  <c r="L384" i="26"/>
  <c r="L378" i="26"/>
  <c r="L351" i="26"/>
  <c r="L371" i="26"/>
  <c r="L356" i="26"/>
  <c r="L382" i="26"/>
  <c r="L383" i="26"/>
  <c r="L350" i="26"/>
  <c r="L357" i="26"/>
  <c r="L354" i="26"/>
  <c r="L376" i="26"/>
  <c r="L375" i="26"/>
  <c r="L359" i="26"/>
  <c r="L379" i="26"/>
  <c r="L362" i="26"/>
  <c r="L355" i="26"/>
  <c r="L348" i="26"/>
  <c r="L385" i="26"/>
  <c r="L364" i="26"/>
  <c r="L361" i="26"/>
  <c r="L381" i="26"/>
  <c r="O382" i="26"/>
  <c r="O350" i="26"/>
  <c r="O357" i="26"/>
  <c r="O364" i="26"/>
  <c r="O367" i="26"/>
  <c r="O373" i="26"/>
  <c r="O380" i="26"/>
  <c r="O348" i="26"/>
  <c r="O378" i="26"/>
  <c r="O385" i="26"/>
  <c r="O353" i="26"/>
  <c r="O360" i="26"/>
  <c r="O355" i="26"/>
  <c r="O366" i="26"/>
  <c r="O363" i="26"/>
  <c r="O386" i="26"/>
  <c r="O361" i="26"/>
  <c r="O368" i="26"/>
  <c r="O383" i="26"/>
  <c r="O374" i="26"/>
  <c r="O381" i="26"/>
  <c r="O349" i="26"/>
  <c r="O356" i="26"/>
  <c r="O351" i="26"/>
  <c r="O370" i="26"/>
  <c r="O377" i="26"/>
  <c r="O384" i="26"/>
  <c r="O352" i="26"/>
  <c r="O379" i="26"/>
  <c r="O362" i="26"/>
  <c r="O369" i="26"/>
  <c r="O376" i="26"/>
  <c r="O371" i="26"/>
  <c r="O375" i="26"/>
  <c r="O358" i="26"/>
  <c r="O365" i="26"/>
  <c r="O372" i="26"/>
  <c r="O347" i="26"/>
  <c r="O359" i="26"/>
  <c r="O354" i="26"/>
  <c r="I366" i="26"/>
  <c r="I373" i="26"/>
  <c r="I380" i="26"/>
  <c r="I348" i="26"/>
  <c r="I355" i="26"/>
  <c r="I361" i="26"/>
  <c r="I382" i="26"/>
  <c r="I364" i="26"/>
  <c r="I385" i="26"/>
  <c r="I377" i="26"/>
  <c r="I362" i="26"/>
  <c r="I369" i="26"/>
  <c r="I376" i="26"/>
  <c r="I383" i="26"/>
  <c r="I351" i="26"/>
  <c r="I354" i="26"/>
  <c r="I358" i="26"/>
  <c r="I365" i="26"/>
  <c r="I372" i="26"/>
  <c r="I379" i="26"/>
  <c r="I347" i="26"/>
  <c r="I386" i="26"/>
  <c r="I375" i="26"/>
  <c r="I350" i="26"/>
  <c r="I371" i="26"/>
  <c r="I378" i="26"/>
  <c r="I367" i="26"/>
  <c r="I381" i="26"/>
  <c r="I363" i="26"/>
  <c r="I352" i="26"/>
  <c r="I368" i="26"/>
  <c r="I360" i="26"/>
  <c r="I349" i="26"/>
  <c r="I370" i="26"/>
  <c r="I357" i="26"/>
  <c r="I353" i="26"/>
  <c r="I374" i="26"/>
  <c r="I356" i="26"/>
  <c r="I384" i="26"/>
  <c r="I359" i="26"/>
  <c r="E213" i="4"/>
  <c r="D212" i="4"/>
  <c r="G212" i="4" s="1"/>
  <c r="C212" i="4"/>
  <c r="F212" i="4" s="1"/>
  <c r="H212" i="4"/>
  <c r="D177" i="4"/>
  <c r="E176" i="4"/>
  <c r="D167" i="4"/>
  <c r="G166" i="4" s="1"/>
  <c r="C166" i="4"/>
  <c r="E166" i="4"/>
  <c r="C172" i="4"/>
  <c r="E172" i="4"/>
  <c r="C177" i="4"/>
  <c r="C38" i="26"/>
  <c r="C11" i="26"/>
  <c r="B60" i="1"/>
  <c r="B58" i="1"/>
  <c r="AD26" i="5" l="1"/>
  <c r="L92" i="26"/>
  <c r="AM5" i="11"/>
  <c r="AL28" i="11"/>
  <c r="AN12" i="11"/>
  <c r="AL6" i="11"/>
  <c r="AL22" i="11"/>
  <c r="AL29" i="11"/>
  <c r="AN20" i="11"/>
  <c r="AL16" i="11"/>
  <c r="AM32" i="11"/>
  <c r="AL23" i="11"/>
  <c r="AM19" i="11"/>
  <c r="AL24" i="11"/>
  <c r="AM13" i="11"/>
  <c r="AM17" i="11"/>
  <c r="AM11" i="11"/>
  <c r="AM10" i="11"/>
  <c r="AL14" i="11"/>
  <c r="AM34" i="11"/>
  <c r="AM9" i="11"/>
  <c r="AL21" i="11"/>
  <c r="AL7" i="11"/>
  <c r="AM26" i="11"/>
  <c r="AL15" i="11"/>
  <c r="AM30" i="11"/>
  <c r="AL27" i="11"/>
  <c r="AM18" i="11"/>
  <c r="AL31" i="11"/>
  <c r="AM8" i="11"/>
  <c r="AN25" i="11"/>
  <c r="AN33" i="11"/>
  <c r="G176" i="4"/>
  <c r="D178" i="4"/>
  <c r="G177" i="4"/>
  <c r="C178" i="4"/>
  <c r="E214" i="4"/>
  <c r="H213" i="4"/>
  <c r="C213" i="4"/>
  <c r="F213" i="4" s="1"/>
  <c r="D213" i="4"/>
  <c r="G213" i="4" s="1"/>
  <c r="G167" i="4"/>
  <c r="C167" i="4"/>
  <c r="F172" i="4" s="1"/>
  <c r="E167" i="4"/>
  <c r="H166" i="4" s="1"/>
  <c r="G168" i="4"/>
  <c r="G163" i="4"/>
  <c r="G173" i="4"/>
  <c r="G174" i="4"/>
  <c r="G164" i="4"/>
  <c r="G169" i="4"/>
  <c r="G170" i="4"/>
  <c r="G165" i="4"/>
  <c r="G171" i="4"/>
  <c r="G175" i="4"/>
  <c r="G172" i="4"/>
  <c r="E177" i="4"/>
  <c r="D44" i="18"/>
  <c r="D45" i="18"/>
  <c r="E45" i="18" s="1"/>
  <c r="F45" i="18" s="1"/>
  <c r="G45" i="18" s="1"/>
  <c r="H45" i="18" s="1"/>
  <c r="I45" i="18" s="1"/>
  <c r="J45" i="18" s="1"/>
  <c r="K45" i="18" s="1"/>
  <c r="L45" i="18" s="1"/>
  <c r="B45" i="18"/>
  <c r="B41" i="18"/>
  <c r="M42" i="18"/>
  <c r="O42" i="18" s="1"/>
  <c r="P42" i="18" s="1"/>
  <c r="Q42" i="18" s="1"/>
  <c r="R42" i="18" s="1"/>
  <c r="S42" i="18" s="1"/>
  <c r="T42" i="18" s="1"/>
  <c r="U42" i="18" s="1"/>
  <c r="V42" i="18" s="1"/>
  <c r="W42" i="18" s="1"/>
  <c r="X42" i="18" s="1"/>
  <c r="Y42" i="18" s="1"/>
  <c r="Z42" i="18" s="1"/>
  <c r="AA42" i="18" s="1"/>
  <c r="AB42" i="18" s="1"/>
  <c r="AC42" i="18" s="1"/>
  <c r="AD42" i="18" s="1"/>
  <c r="AE42" i="18" s="1"/>
  <c r="AF42" i="18" s="1"/>
  <c r="AG42" i="18" s="1"/>
  <c r="AH42" i="18" s="1"/>
  <c r="AI42" i="18" s="1"/>
  <c r="AJ42" i="18" s="1"/>
  <c r="AK42" i="18" s="1"/>
  <c r="AL42" i="18" s="1"/>
  <c r="AM42" i="18" s="1"/>
  <c r="AE26" i="5" l="1"/>
  <c r="AM29" i="11"/>
  <c r="AM31" i="11"/>
  <c r="AN9" i="11"/>
  <c r="AN19" i="11"/>
  <c r="AO12" i="11"/>
  <c r="AN30" i="11"/>
  <c r="AN10" i="11"/>
  <c r="AM16" i="11"/>
  <c r="AO33" i="11"/>
  <c r="AN26" i="11"/>
  <c r="AN17" i="11"/>
  <c r="AO25" i="11"/>
  <c r="AM7" i="11"/>
  <c r="AN13" i="11"/>
  <c r="AM22" i="11"/>
  <c r="AN18" i="11"/>
  <c r="AN34" i="11"/>
  <c r="AM23" i="11"/>
  <c r="AM28" i="11"/>
  <c r="AM15" i="11"/>
  <c r="AN11" i="11"/>
  <c r="AN8" i="11"/>
  <c r="AM21" i="11"/>
  <c r="AM24" i="11"/>
  <c r="AM6" i="11"/>
  <c r="AO20" i="11"/>
  <c r="AM27" i="11"/>
  <c r="AM14" i="11"/>
  <c r="AN32" i="11"/>
  <c r="AN5" i="11"/>
  <c r="E215" i="4"/>
  <c r="H214" i="4"/>
  <c r="D214" i="4"/>
  <c r="G214" i="4" s="1"/>
  <c r="C214" i="4"/>
  <c r="F214" i="4" s="1"/>
  <c r="F167" i="4"/>
  <c r="F173" i="4"/>
  <c r="F163" i="4"/>
  <c r="F174" i="4"/>
  <c r="F168" i="4"/>
  <c r="F175" i="4"/>
  <c r="F170" i="4"/>
  <c r="F169" i="4"/>
  <c r="F164" i="4"/>
  <c r="F171" i="4"/>
  <c r="F176" i="4"/>
  <c r="F165" i="4"/>
  <c r="H176" i="4"/>
  <c r="C179" i="4"/>
  <c r="F178" i="4"/>
  <c r="H167" i="4"/>
  <c r="H168" i="4"/>
  <c r="H173" i="4"/>
  <c r="H163" i="4"/>
  <c r="H169" i="4"/>
  <c r="H164" i="4"/>
  <c r="H174" i="4"/>
  <c r="H170" i="4"/>
  <c r="H175" i="4"/>
  <c r="H171" i="4"/>
  <c r="H165" i="4"/>
  <c r="H172" i="4"/>
  <c r="F177" i="4"/>
  <c r="E178" i="4"/>
  <c r="H177" i="4"/>
  <c r="D179" i="4"/>
  <c r="G178" i="4"/>
  <c r="F166" i="4"/>
  <c r="M45" i="18"/>
  <c r="D65" i="1"/>
  <c r="D64" i="1"/>
  <c r="L37" i="18"/>
  <c r="L38" i="18" s="1"/>
  <c r="J24" i="25"/>
  <c r="U10" i="7" s="1" a="1"/>
  <c r="U10" i="7" s="1"/>
  <c r="J23" i="25"/>
  <c r="T10" i="7" s="1" a="1"/>
  <c r="T10" i="7" s="1"/>
  <c r="J22" i="25"/>
  <c r="S10" i="7" s="1" a="1"/>
  <c r="S10" i="7" s="1"/>
  <c r="J21" i="25"/>
  <c r="R10" i="7" s="1" a="1"/>
  <c r="R10" i="7" s="1"/>
  <c r="J20" i="25"/>
  <c r="J19" i="25"/>
  <c r="J18" i="25"/>
  <c r="J17" i="25"/>
  <c r="J14" i="25"/>
  <c r="J16" i="25"/>
  <c r="J15" i="25"/>
  <c r="J13" i="25"/>
  <c r="J12" i="25"/>
  <c r="AE17" i="5"/>
  <c r="AF17" i="5"/>
  <c r="AG17" i="5"/>
  <c r="AH17" i="5"/>
  <c r="AI17" i="5" s="1"/>
  <c r="AD17" i="5"/>
  <c r="S17" i="5"/>
  <c r="T17" i="5"/>
  <c r="U17" i="5"/>
  <c r="V17" i="5"/>
  <c r="W17" i="5"/>
  <c r="X17" i="5"/>
  <c r="Y17" i="5"/>
  <c r="Z17" i="5"/>
  <c r="AA17" i="5"/>
  <c r="AB17" i="5"/>
  <c r="AC17" i="5"/>
  <c r="Q17" i="5"/>
  <c r="P153" i="5"/>
  <c r="Q153" i="5" s="1"/>
  <c r="R153" i="5" s="1"/>
  <c r="S153" i="5" s="1"/>
  <c r="T153" i="5" s="1"/>
  <c r="U153" i="5" s="1"/>
  <c r="V153" i="5" s="1"/>
  <c r="W153" i="5" s="1"/>
  <c r="F153" i="5"/>
  <c r="E152" i="5"/>
  <c r="D152" i="5"/>
  <c r="F152" i="5" s="1"/>
  <c r="G151" i="5"/>
  <c r="G152" i="5" s="1"/>
  <c r="F151" i="5"/>
  <c r="C151" i="5"/>
  <c r="F150" i="5"/>
  <c r="E150" i="5"/>
  <c r="G150" i="5" s="1"/>
  <c r="H150" i="5" s="1"/>
  <c r="I150" i="5" s="1"/>
  <c r="J150" i="5" s="1"/>
  <c r="K150" i="5" s="1"/>
  <c r="L150" i="5" s="1"/>
  <c r="M150" i="5" s="1"/>
  <c r="N150" i="5" s="1"/>
  <c r="O150" i="5" s="1"/>
  <c r="P150" i="5" s="1"/>
  <c r="Q150" i="5" s="1"/>
  <c r="R150" i="5" s="1"/>
  <c r="S150" i="5" s="1"/>
  <c r="T150" i="5" s="1"/>
  <c r="U150" i="5" s="1"/>
  <c r="V150" i="5" s="1"/>
  <c r="W150" i="5" s="1"/>
  <c r="F149" i="5"/>
  <c r="E149" i="5"/>
  <c r="G149" i="5" s="1"/>
  <c r="H149" i="5" s="1"/>
  <c r="I149" i="5" s="1"/>
  <c r="J149" i="5" s="1"/>
  <c r="K149" i="5" s="1"/>
  <c r="L149" i="5" s="1"/>
  <c r="M149" i="5" s="1"/>
  <c r="N149" i="5" s="1"/>
  <c r="O149" i="5" s="1"/>
  <c r="AS15" i="5"/>
  <c r="AT15" i="5"/>
  <c r="AU15" i="5"/>
  <c r="AV15" i="5"/>
  <c r="AW15" i="5"/>
  <c r="AX15" i="5"/>
  <c r="AY15" i="5"/>
  <c r="AZ15" i="5"/>
  <c r="BA15" i="5"/>
  <c r="BB15" i="5"/>
  <c r="AH16" i="5"/>
  <c r="E73" i="5"/>
  <c r="D73" i="5"/>
  <c r="E74" i="5"/>
  <c r="D74" i="5"/>
  <c r="B62" i="5"/>
  <c r="A62" i="5"/>
  <c r="G73" i="5"/>
  <c r="F73" i="5"/>
  <c r="R75" i="5"/>
  <c r="S75" i="5"/>
  <c r="T75" i="5"/>
  <c r="R76" i="5"/>
  <c r="S76" i="5"/>
  <c r="T76" i="5"/>
  <c r="R77" i="5"/>
  <c r="S77" i="5"/>
  <c r="T77" i="5"/>
  <c r="R78" i="5"/>
  <c r="S78" i="5"/>
  <c r="T78" i="5"/>
  <c r="R79" i="5"/>
  <c r="S79" i="5"/>
  <c r="T79" i="5"/>
  <c r="R80" i="5"/>
  <c r="S80" i="5"/>
  <c r="T80" i="5"/>
  <c r="R81" i="5"/>
  <c r="S81" i="5"/>
  <c r="T81" i="5"/>
  <c r="R82" i="5"/>
  <c r="S82" i="5"/>
  <c r="T82" i="5"/>
  <c r="R83" i="5"/>
  <c r="S83" i="5"/>
  <c r="T83" i="5"/>
  <c r="R84" i="5"/>
  <c r="S84" i="5"/>
  <c r="T84" i="5"/>
  <c r="R85" i="5"/>
  <c r="S85" i="5"/>
  <c r="T85" i="5"/>
  <c r="R86" i="5"/>
  <c r="S86" i="5"/>
  <c r="T86" i="5"/>
  <c r="R87" i="5"/>
  <c r="S87" i="5"/>
  <c r="T87" i="5"/>
  <c r="R88" i="5"/>
  <c r="S88" i="5"/>
  <c r="T88" i="5"/>
  <c r="R89" i="5"/>
  <c r="S89" i="5"/>
  <c r="T89" i="5"/>
  <c r="R90" i="5"/>
  <c r="S90" i="5"/>
  <c r="T90" i="5"/>
  <c r="R91" i="5"/>
  <c r="S91" i="5"/>
  <c r="T91" i="5"/>
  <c r="AF26" i="5" l="1"/>
  <c r="AN27" i="11"/>
  <c r="AN28" i="11"/>
  <c r="AO17" i="11"/>
  <c r="AO9" i="11"/>
  <c r="AO13" i="11"/>
  <c r="AN24" i="11"/>
  <c r="AO18" i="11"/>
  <c r="AN16" i="11"/>
  <c r="AO32" i="11"/>
  <c r="AO11" i="11"/>
  <c r="AN7" i="11"/>
  <c r="AP12" i="11"/>
  <c r="AP20" i="11"/>
  <c r="AN23" i="11"/>
  <c r="AO26" i="11"/>
  <c r="AN31" i="11"/>
  <c r="AO5" i="11"/>
  <c r="AO8" i="11"/>
  <c r="AN21" i="11"/>
  <c r="AN22" i="11"/>
  <c r="AO10" i="11"/>
  <c r="AN14" i="11"/>
  <c r="AN15" i="11"/>
  <c r="AP25" i="11"/>
  <c r="AO19" i="11"/>
  <c r="AO30" i="11"/>
  <c r="AN6" i="11"/>
  <c r="AO34" i="11"/>
  <c r="AP33" i="11"/>
  <c r="AN29" i="11"/>
  <c r="D180" i="4"/>
  <c r="G179" i="4"/>
  <c r="C180" i="4"/>
  <c r="F179" i="4"/>
  <c r="E179" i="4"/>
  <c r="H178" i="4"/>
  <c r="E216" i="4"/>
  <c r="C215" i="4"/>
  <c r="F215" i="4" s="1"/>
  <c r="D215" i="4"/>
  <c r="G215" i="4" s="1"/>
  <c r="H215" i="4"/>
  <c r="P149" i="5"/>
  <c r="Q149" i="5" s="1"/>
  <c r="R149" i="5" s="1"/>
  <c r="S149" i="5" s="1"/>
  <c r="T149" i="5" s="1"/>
  <c r="U149" i="5" s="1"/>
  <c r="V149" i="5" s="1"/>
  <c r="W149" i="5" s="1"/>
  <c r="F75" i="5"/>
  <c r="R8" i="5" s="1"/>
  <c r="H151" i="5"/>
  <c r="G75" i="5"/>
  <c r="R13" i="5" s="1"/>
  <c r="AG26" i="5" l="1"/>
  <c r="AP34" i="11"/>
  <c r="AP9" i="11"/>
  <c r="AP5" i="11"/>
  <c r="AO29" i="11"/>
  <c r="AO23" i="11"/>
  <c r="AO24" i="11"/>
  <c r="AQ25" i="11"/>
  <c r="AO31" i="11"/>
  <c r="AO16" i="11"/>
  <c r="AO22" i="11"/>
  <c r="AP19" i="11"/>
  <c r="AO6" i="11"/>
  <c r="AQ33" i="11"/>
  <c r="AP10" i="11"/>
  <c r="AQ20" i="11"/>
  <c r="AP13" i="11"/>
  <c r="AP32" i="11"/>
  <c r="AO21" i="11"/>
  <c r="AO7" i="11"/>
  <c r="AP17" i="11"/>
  <c r="AP30" i="11"/>
  <c r="AP8" i="11"/>
  <c r="AP11" i="11"/>
  <c r="AO28" i="11"/>
  <c r="AQ12" i="11"/>
  <c r="AO14" i="11"/>
  <c r="AO15" i="11"/>
  <c r="AP26" i="11"/>
  <c r="AP18" i="11"/>
  <c r="AO27" i="11"/>
  <c r="E180" i="4"/>
  <c r="H179" i="4"/>
  <c r="C181" i="4"/>
  <c r="F180" i="4"/>
  <c r="E217" i="4"/>
  <c r="D216" i="4"/>
  <c r="G216" i="4" s="1"/>
  <c r="C216" i="4"/>
  <c r="F216" i="4" s="1"/>
  <c r="H216" i="4"/>
  <c r="D181" i="4"/>
  <c r="G180" i="4"/>
  <c r="D76" i="5" a="1"/>
  <c r="H152" i="5"/>
  <c r="I151" i="5"/>
  <c r="AH26" i="5" l="1"/>
  <c r="AR12" i="11"/>
  <c r="AQ8" i="11"/>
  <c r="AP24" i="11"/>
  <c r="AP15" i="11"/>
  <c r="AP7" i="11"/>
  <c r="AQ19" i="11"/>
  <c r="AQ5" i="11"/>
  <c r="AQ32" i="11"/>
  <c r="AP16" i="11"/>
  <c r="AP27" i="11"/>
  <c r="AQ13" i="11"/>
  <c r="AP31" i="11"/>
  <c r="AQ34" i="11"/>
  <c r="AQ10" i="11"/>
  <c r="AQ18" i="11"/>
  <c r="AQ30" i="11"/>
  <c r="AR33" i="11"/>
  <c r="AP23" i="11"/>
  <c r="AP28" i="11"/>
  <c r="AP14" i="11"/>
  <c r="AP21" i="11"/>
  <c r="AP22" i="11"/>
  <c r="AQ9" i="11"/>
  <c r="AQ11" i="11"/>
  <c r="AR20" i="11"/>
  <c r="AR25" i="11"/>
  <c r="AQ26" i="11"/>
  <c r="AQ17" i="11"/>
  <c r="AP6" i="11"/>
  <c r="AP29" i="11"/>
  <c r="W12" i="5"/>
  <c r="AE12" i="5"/>
  <c r="X12" i="5"/>
  <c r="AF12" i="5"/>
  <c r="Z7" i="5"/>
  <c r="AH7" i="5"/>
  <c r="Y7" i="5"/>
  <c r="Y12" i="5"/>
  <c r="AG12" i="5"/>
  <c r="AA7" i="5"/>
  <c r="AF7" i="5"/>
  <c r="AG7" i="5"/>
  <c r="Z12" i="5"/>
  <c r="AH12" i="5"/>
  <c r="T7" i="5"/>
  <c r="AB7" i="5"/>
  <c r="S12" i="5"/>
  <c r="AA12" i="5"/>
  <c r="U7" i="5"/>
  <c r="AC7" i="5"/>
  <c r="X7" i="5"/>
  <c r="T12" i="5"/>
  <c r="AB12" i="5"/>
  <c r="V7" i="5"/>
  <c r="AD7" i="5"/>
  <c r="U12" i="5"/>
  <c r="AC12" i="5"/>
  <c r="W7" i="5"/>
  <c r="AE7" i="5"/>
  <c r="V12" i="5"/>
  <c r="AD12" i="5"/>
  <c r="E218" i="4"/>
  <c r="H217" i="4"/>
  <c r="C217" i="4"/>
  <c r="F217" i="4" s="1"/>
  <c r="D217" i="4"/>
  <c r="G217" i="4" s="1"/>
  <c r="C182" i="4"/>
  <c r="F181" i="4"/>
  <c r="D182" i="4"/>
  <c r="G181" i="4"/>
  <c r="E181" i="4"/>
  <c r="H180" i="4"/>
  <c r="D76" i="5"/>
  <c r="G79" i="5"/>
  <c r="V13" i="5" s="1"/>
  <c r="G81" i="5"/>
  <c r="X13" i="5" s="1"/>
  <c r="D92" i="5"/>
  <c r="AI7" i="5" s="1"/>
  <c r="E92" i="5"/>
  <c r="AI12" i="5" s="1"/>
  <c r="G91" i="5"/>
  <c r="AH13" i="5" s="1"/>
  <c r="F83" i="5"/>
  <c r="Z8" i="5" s="1"/>
  <c r="F85" i="5"/>
  <c r="AB8" i="5" s="1"/>
  <c r="G78" i="5"/>
  <c r="U13" i="5" s="1"/>
  <c r="G76" i="5"/>
  <c r="S13" i="5" s="1"/>
  <c r="F89" i="5"/>
  <c r="AF8" i="5" s="1"/>
  <c r="F79" i="5"/>
  <c r="V8" i="5" s="1"/>
  <c r="F77" i="5"/>
  <c r="T8" i="5" s="1"/>
  <c r="G90" i="5"/>
  <c r="AG13" i="5" s="1"/>
  <c r="G89" i="5"/>
  <c r="AF13" i="5" s="1"/>
  <c r="F88" i="5"/>
  <c r="AE8" i="5" s="1"/>
  <c r="G86" i="5"/>
  <c r="AC13" i="5" s="1"/>
  <c r="G87" i="5"/>
  <c r="AD13" i="5" s="1"/>
  <c r="F90" i="5"/>
  <c r="AG8" i="5" s="1"/>
  <c r="G88" i="5"/>
  <c r="AE13" i="5" s="1"/>
  <c r="F84" i="5"/>
  <c r="AA8" i="5" s="1"/>
  <c r="G82" i="5"/>
  <c r="Y13" i="5" s="1"/>
  <c r="F86" i="5"/>
  <c r="AC8" i="5" s="1"/>
  <c r="G84" i="5"/>
  <c r="AA13" i="5" s="1"/>
  <c r="F80" i="5"/>
  <c r="W8" i="5" s="1"/>
  <c r="G85" i="5"/>
  <c r="AB13" i="5" s="1"/>
  <c r="F82" i="5"/>
  <c r="Y8" i="5" s="1"/>
  <c r="G80" i="5"/>
  <c r="W13" i="5" s="1"/>
  <c r="G83" i="5"/>
  <c r="Z13" i="5" s="1"/>
  <c r="F78" i="5"/>
  <c r="U8" i="5" s="1"/>
  <c r="F91" i="5"/>
  <c r="AH8" i="5" s="1"/>
  <c r="G77" i="5"/>
  <c r="T13" i="5" s="1"/>
  <c r="F87" i="5"/>
  <c r="AD8" i="5" s="1"/>
  <c r="F81" i="5"/>
  <c r="X8" i="5" s="1"/>
  <c r="J151" i="5"/>
  <c r="I152" i="5"/>
  <c r="AI26" i="5" l="1"/>
  <c r="AQ31" i="11"/>
  <c r="AS20" i="11"/>
  <c r="AQ29" i="11"/>
  <c r="AQ22" i="11"/>
  <c r="AR10" i="11"/>
  <c r="AR19" i="11"/>
  <c r="AS33" i="11"/>
  <c r="AR26" i="11"/>
  <c r="AQ28" i="11"/>
  <c r="AR13" i="11"/>
  <c r="AQ24" i="11"/>
  <c r="AS12" i="11"/>
  <c r="AR32" i="11"/>
  <c r="AR11" i="11"/>
  <c r="AQ6" i="11"/>
  <c r="AQ21" i="11"/>
  <c r="AR34" i="11"/>
  <c r="AQ7" i="11"/>
  <c r="AR17" i="11"/>
  <c r="AQ14" i="11"/>
  <c r="AQ15" i="11"/>
  <c r="AQ16" i="11"/>
  <c r="AS25" i="11"/>
  <c r="AQ23" i="11"/>
  <c r="AQ27" i="11"/>
  <c r="AR8" i="11"/>
  <c r="AR30" i="11"/>
  <c r="AR9" i="11"/>
  <c r="AR18" i="11"/>
  <c r="AR5" i="11"/>
  <c r="F76" i="5"/>
  <c r="S8" i="5" s="1"/>
  <c r="S7" i="5"/>
  <c r="D183" i="4"/>
  <c r="G183" i="4" s="1"/>
  <c r="G182" i="4"/>
  <c r="C183" i="4"/>
  <c r="F183" i="4" s="1"/>
  <c r="F182" i="4"/>
  <c r="E182" i="4"/>
  <c r="H181" i="4"/>
  <c r="E219" i="4"/>
  <c r="D218" i="4"/>
  <c r="G218" i="4" s="1"/>
  <c r="H218" i="4"/>
  <c r="C218" i="4"/>
  <c r="F218" i="4" s="1"/>
  <c r="E93" i="5"/>
  <c r="AJ12" i="5" s="1"/>
  <c r="G92" i="5"/>
  <c r="AI13" i="5" s="1"/>
  <c r="K151" i="5"/>
  <c r="J152" i="5"/>
  <c r="AJ26" i="5" l="1"/>
  <c r="AT12" i="11"/>
  <c r="AS19" i="11"/>
  <c r="AR24" i="11"/>
  <c r="AR21" i="11"/>
  <c r="AS26" i="11"/>
  <c r="AS9" i="11"/>
  <c r="AR14" i="11"/>
  <c r="AR22" i="11"/>
  <c r="AR27" i="11"/>
  <c r="AS34" i="11"/>
  <c r="AR31" i="11"/>
  <c r="AR16" i="11"/>
  <c r="AS11" i="11"/>
  <c r="AS30" i="11"/>
  <c r="AS18" i="11"/>
  <c r="AR15" i="11"/>
  <c r="AS32" i="11"/>
  <c r="AS10" i="11"/>
  <c r="AS5" i="11"/>
  <c r="AS8" i="11"/>
  <c r="AR7" i="11"/>
  <c r="AS13" i="11"/>
  <c r="AT20" i="11"/>
  <c r="AR28" i="11"/>
  <c r="AS17" i="11"/>
  <c r="AR29" i="11"/>
  <c r="AR23" i="11"/>
  <c r="AT25" i="11"/>
  <c r="AR6" i="11"/>
  <c r="AT33" i="11"/>
  <c r="E220" i="4"/>
  <c r="C219" i="4"/>
  <c r="F219" i="4" s="1"/>
  <c r="D219" i="4"/>
  <c r="G219" i="4" s="1"/>
  <c r="H219" i="4"/>
  <c r="E183" i="4"/>
  <c r="H183" i="4" s="1"/>
  <c r="H182" i="4"/>
  <c r="E94" i="5"/>
  <c r="AK12" i="5" s="1"/>
  <c r="G93" i="5"/>
  <c r="AJ13" i="5" s="1"/>
  <c r="L151" i="5"/>
  <c r="K152" i="5"/>
  <c r="AK26" i="5" l="1"/>
  <c r="AT13" i="11"/>
  <c r="AS23" i="11"/>
  <c r="AT5" i="11"/>
  <c r="AS31" i="11"/>
  <c r="AS24" i="11"/>
  <c r="AT30" i="11"/>
  <c r="AS28" i="11"/>
  <c r="AS22" i="11"/>
  <c r="AS6" i="11"/>
  <c r="AS7" i="11"/>
  <c r="AT11" i="11"/>
  <c r="AT26" i="11"/>
  <c r="AU33" i="11"/>
  <c r="AT9" i="11"/>
  <c r="AS15" i="11"/>
  <c r="AS29" i="11"/>
  <c r="AT10" i="11"/>
  <c r="AT34" i="11"/>
  <c r="AT19" i="11"/>
  <c r="AU20" i="11"/>
  <c r="AT18" i="11"/>
  <c r="AS14" i="11"/>
  <c r="AU25" i="11"/>
  <c r="AT8" i="11"/>
  <c r="AS16" i="11"/>
  <c r="AS21" i="11"/>
  <c r="AT17" i="11"/>
  <c r="AT32" i="11"/>
  <c r="AS27" i="11"/>
  <c r="AU12" i="11"/>
  <c r="E221" i="4"/>
  <c r="C220" i="4"/>
  <c r="F220" i="4" s="1"/>
  <c r="D220" i="4"/>
  <c r="G220" i="4" s="1"/>
  <c r="H220" i="4"/>
  <c r="E95" i="5"/>
  <c r="AL12" i="5" s="1"/>
  <c r="G94" i="5"/>
  <c r="AK13" i="5" s="1"/>
  <c r="L152" i="5"/>
  <c r="M151" i="5"/>
  <c r="AL26" i="5" l="1"/>
  <c r="AU17" i="11"/>
  <c r="AU19" i="11"/>
  <c r="AU11" i="11"/>
  <c r="AU5" i="11"/>
  <c r="AT14" i="11"/>
  <c r="AU30" i="11"/>
  <c r="AU8" i="11"/>
  <c r="AT22" i="11"/>
  <c r="AT27" i="11"/>
  <c r="AU18" i="11"/>
  <c r="AV33" i="11"/>
  <c r="AT24" i="11"/>
  <c r="AT29" i="11"/>
  <c r="AT21" i="11"/>
  <c r="AU34" i="11"/>
  <c r="AT7" i="11"/>
  <c r="AT23" i="11"/>
  <c r="AV12" i="11"/>
  <c r="AV25" i="11"/>
  <c r="AT15" i="11"/>
  <c r="AT28" i="11"/>
  <c r="AT31" i="11"/>
  <c r="AU9" i="11"/>
  <c r="AU32" i="11"/>
  <c r="AV20" i="11"/>
  <c r="AU26" i="11"/>
  <c r="AT16" i="11"/>
  <c r="AU10" i="11"/>
  <c r="AT6" i="11"/>
  <c r="AU13" i="11"/>
  <c r="E222" i="4"/>
  <c r="H221" i="4"/>
  <c r="C221" i="4"/>
  <c r="F221" i="4" s="1"/>
  <c r="D221" i="4"/>
  <c r="G221" i="4" s="1"/>
  <c r="E96" i="5"/>
  <c r="AM12" i="5" s="1"/>
  <c r="G95" i="5"/>
  <c r="AL13" i="5" s="1"/>
  <c r="N151" i="5"/>
  <c r="M152" i="5"/>
  <c r="AM26" i="5" l="1"/>
  <c r="AW33" i="11"/>
  <c r="AV11" i="11"/>
  <c r="AU31" i="11"/>
  <c r="AV30" i="11"/>
  <c r="AU7" i="11"/>
  <c r="AU22" i="11"/>
  <c r="AU6" i="11"/>
  <c r="AU28" i="11"/>
  <c r="AU29" i="11"/>
  <c r="AU14" i="11"/>
  <c r="AV13" i="11"/>
  <c r="AW12" i="11"/>
  <c r="AV18" i="11"/>
  <c r="AV19" i="11"/>
  <c r="AW25" i="11"/>
  <c r="AV32" i="11"/>
  <c r="AV26" i="11"/>
  <c r="AV34" i="11"/>
  <c r="AV8" i="11"/>
  <c r="AU16" i="11"/>
  <c r="AV9" i="11"/>
  <c r="AV10" i="11"/>
  <c r="AU24" i="11"/>
  <c r="AV5" i="11"/>
  <c r="AU21" i="11"/>
  <c r="AU15" i="11"/>
  <c r="AW20" i="11"/>
  <c r="AU23" i="11"/>
  <c r="AU27" i="11"/>
  <c r="AV17" i="11"/>
  <c r="E223" i="4"/>
  <c r="H222" i="4"/>
  <c r="D222" i="4"/>
  <c r="G222" i="4" s="1"/>
  <c r="C222" i="4"/>
  <c r="F222" i="4" s="1"/>
  <c r="E97" i="5"/>
  <c r="AN12" i="5" s="1"/>
  <c r="G96" i="5"/>
  <c r="AM13" i="5" s="1"/>
  <c r="N152" i="5"/>
  <c r="O151" i="5"/>
  <c r="AN26" i="5" l="1"/>
  <c r="AW17" i="11"/>
  <c r="AW13" i="11"/>
  <c r="AV31" i="11"/>
  <c r="AV22" i="11"/>
  <c r="AV28" i="11"/>
  <c r="AW5" i="11"/>
  <c r="AW9" i="11"/>
  <c r="AW18" i="11"/>
  <c r="AV7" i="11"/>
  <c r="AW8" i="11"/>
  <c r="AW32" i="11"/>
  <c r="AV15" i="11"/>
  <c r="AW34" i="11"/>
  <c r="AV14" i="11"/>
  <c r="AW11" i="11"/>
  <c r="AW19" i="11"/>
  <c r="AV24" i="11"/>
  <c r="AX25" i="11"/>
  <c r="AV6" i="11"/>
  <c r="AW10" i="11"/>
  <c r="AV16" i="11"/>
  <c r="AX12" i="11"/>
  <c r="AW30" i="11"/>
  <c r="AX20" i="11"/>
  <c r="AV27" i="11"/>
  <c r="AV23" i="11"/>
  <c r="AV21" i="11"/>
  <c r="AW26" i="11"/>
  <c r="AV29" i="11"/>
  <c r="AX33" i="11"/>
  <c r="C223" i="4"/>
  <c r="F223" i="4" s="1"/>
  <c r="D223" i="4"/>
  <c r="G223" i="4" s="1"/>
  <c r="H223" i="4"/>
  <c r="E98" i="5"/>
  <c r="AO12" i="5" s="1"/>
  <c r="G97" i="5"/>
  <c r="AN13" i="5" s="1"/>
  <c r="O152" i="5"/>
  <c r="P151" i="5"/>
  <c r="AO26" i="5" l="1"/>
  <c r="AY33" i="11"/>
  <c r="AW21" i="11"/>
  <c r="AX32" i="11"/>
  <c r="AW31" i="11"/>
  <c r="AY20" i="11"/>
  <c r="AX19" i="11"/>
  <c r="AX18" i="11"/>
  <c r="AW6" i="11"/>
  <c r="AW16" i="11"/>
  <c r="AX34" i="11"/>
  <c r="AW28" i="11"/>
  <c r="AW29" i="11"/>
  <c r="AW23" i="11"/>
  <c r="AY25" i="11"/>
  <c r="AX8" i="11"/>
  <c r="AX13" i="11"/>
  <c r="AX30" i="11"/>
  <c r="AX11" i="11"/>
  <c r="AX9" i="11"/>
  <c r="AY12" i="11"/>
  <c r="AX5" i="11"/>
  <c r="AX10" i="11"/>
  <c r="AW15" i="11"/>
  <c r="AW14" i="11"/>
  <c r="AX26" i="11"/>
  <c r="AW22" i="11"/>
  <c r="AW27" i="11"/>
  <c r="AW24" i="11"/>
  <c r="AW7" i="11"/>
  <c r="AX17" i="11"/>
  <c r="E99" i="5"/>
  <c r="AP12" i="5" s="1"/>
  <c r="G98" i="5"/>
  <c r="AO13" i="5" s="1"/>
  <c r="P152" i="5"/>
  <c r="Q151" i="5"/>
  <c r="AP26" i="5" l="1"/>
  <c r="AY32" i="11"/>
  <c r="AY10" i="11"/>
  <c r="AZ25" i="11"/>
  <c r="AY13" i="11"/>
  <c r="AX6" i="11"/>
  <c r="AZ20" i="11"/>
  <c r="AX27" i="11"/>
  <c r="AX14" i="11"/>
  <c r="AY5" i="11"/>
  <c r="AX22" i="11"/>
  <c r="AX21" i="11"/>
  <c r="AY18" i="11"/>
  <c r="AY19" i="11"/>
  <c r="AY9" i="11"/>
  <c r="AX28" i="11"/>
  <c r="AZ12" i="11"/>
  <c r="AX31" i="11"/>
  <c r="AY17" i="11"/>
  <c r="AX7" i="11"/>
  <c r="AX23" i="11"/>
  <c r="AY11" i="11"/>
  <c r="AY34" i="11"/>
  <c r="AX15" i="11"/>
  <c r="AY8" i="11"/>
  <c r="AX24" i="11"/>
  <c r="AX29" i="11"/>
  <c r="AY26" i="11"/>
  <c r="AY30" i="11"/>
  <c r="AX16" i="11"/>
  <c r="AZ33" i="11"/>
  <c r="E100" i="5"/>
  <c r="G99" i="5"/>
  <c r="AP13" i="5" s="1"/>
  <c r="R151" i="5"/>
  <c r="Q152" i="5"/>
  <c r="AQ26" i="5" l="1"/>
  <c r="BA33" i="11"/>
  <c r="AZ9" i="11"/>
  <c r="BA12" i="11"/>
  <c r="AY7" i="11"/>
  <c r="AZ10" i="11"/>
  <c r="BA20" i="11"/>
  <c r="AZ8" i="11"/>
  <c r="AY16" i="11"/>
  <c r="AZ17" i="11"/>
  <c r="AY22" i="11"/>
  <c r="AY28" i="11"/>
  <c r="AY27" i="11"/>
  <c r="AY21" i="11"/>
  <c r="BA25" i="11"/>
  <c r="AY14" i="11"/>
  <c r="AZ19" i="11"/>
  <c r="AY6" i="11"/>
  <c r="AY29" i="11"/>
  <c r="AY23" i="11"/>
  <c r="AZ18" i="11"/>
  <c r="AZ13" i="11"/>
  <c r="AZ34" i="11"/>
  <c r="AZ26" i="11"/>
  <c r="AZ11" i="11"/>
  <c r="AY15" i="11"/>
  <c r="AZ30" i="11"/>
  <c r="AY24" i="11"/>
  <c r="AY31" i="11"/>
  <c r="AZ5" i="11"/>
  <c r="AZ32" i="11"/>
  <c r="AQ12" i="5"/>
  <c r="AR12" i="5"/>
  <c r="E101" i="5"/>
  <c r="G100" i="5"/>
  <c r="S151" i="5"/>
  <c r="R152" i="5"/>
  <c r="AR26" i="5" l="1"/>
  <c r="BB12" i="11"/>
  <c r="BA34" i="11"/>
  <c r="BA32" i="11"/>
  <c r="BB25" i="11"/>
  <c r="AZ23" i="11"/>
  <c r="AZ28" i="11"/>
  <c r="BA11" i="11"/>
  <c r="BB20" i="11"/>
  <c r="BA9" i="11"/>
  <c r="AZ24" i="11"/>
  <c r="BA30" i="11"/>
  <c r="AZ22" i="11"/>
  <c r="BA26" i="11"/>
  <c r="AZ14" i="11"/>
  <c r="BA8" i="11"/>
  <c r="AZ16" i="11"/>
  <c r="BA5" i="11"/>
  <c r="AZ21" i="11"/>
  <c r="BA10" i="11"/>
  <c r="AZ31" i="11"/>
  <c r="AZ27" i="11"/>
  <c r="AZ7" i="11"/>
  <c r="BA19" i="11"/>
  <c r="BA13" i="11"/>
  <c r="AZ29" i="11"/>
  <c r="BA18" i="11"/>
  <c r="AZ15" i="11"/>
  <c r="AZ6" i="11"/>
  <c r="BA17" i="11"/>
  <c r="BB33" i="11"/>
  <c r="AQ13" i="5"/>
  <c r="AR13" i="5"/>
  <c r="G101" i="5"/>
  <c r="T151" i="5"/>
  <c r="S152" i="5"/>
  <c r="AS26" i="5" l="1"/>
  <c r="BB32" i="11"/>
  <c r="BB10" i="11"/>
  <c r="BA16" i="11"/>
  <c r="BA7" i="11"/>
  <c r="BA14" i="11"/>
  <c r="BB26" i="11"/>
  <c r="BA23" i="11"/>
  <c r="BA28" i="11"/>
  <c r="BB13" i="11"/>
  <c r="BA21" i="11"/>
  <c r="BB34" i="11"/>
  <c r="BC33" i="11"/>
  <c r="BC20" i="11"/>
  <c r="BA27" i="11"/>
  <c r="BB18" i="11"/>
  <c r="BB19" i="11"/>
  <c r="BB11" i="11"/>
  <c r="BB30" i="11"/>
  <c r="BA24" i="11"/>
  <c r="BB8" i="11"/>
  <c r="BA6" i="11"/>
  <c r="BA22" i="11"/>
  <c r="BC25" i="11"/>
  <c r="BA15" i="11"/>
  <c r="BB17" i="11"/>
  <c r="BA31" i="11"/>
  <c r="BA29" i="11"/>
  <c r="BB5" i="11"/>
  <c r="BB9" i="11"/>
  <c r="BC12" i="11"/>
  <c r="T152" i="5"/>
  <c r="U151" i="5"/>
  <c r="AT26" i="5" l="1"/>
  <c r="BB29" i="11"/>
  <c r="BB22" i="11"/>
  <c r="BB24" i="11"/>
  <c r="BC34" i="11"/>
  <c r="BC19" i="11"/>
  <c r="BB14" i="11"/>
  <c r="BC10" i="11"/>
  <c r="BC26" i="11"/>
  <c r="BB16" i="11"/>
  <c r="BB28" i="11"/>
  <c r="BB23" i="11"/>
  <c r="BB27" i="11"/>
  <c r="BB31" i="11"/>
  <c r="BC18" i="11"/>
  <c r="BC5" i="11"/>
  <c r="BB7" i="11"/>
  <c r="BB15" i="11"/>
  <c r="BC9" i="11"/>
  <c r="BB6" i="11"/>
  <c r="BC30" i="11"/>
  <c r="BB21" i="11"/>
  <c r="BC8" i="11"/>
  <c r="BC17" i="11"/>
  <c r="BC11" i="11"/>
  <c r="BC13" i="11"/>
  <c r="BC32" i="11"/>
  <c r="U152" i="5"/>
  <c r="V151" i="5"/>
  <c r="AU26" i="5" l="1"/>
  <c r="BC23" i="11"/>
  <c r="BC24" i="11"/>
  <c r="BC22" i="11"/>
  <c r="BC14" i="11"/>
  <c r="BC31" i="11"/>
  <c r="BC21" i="11"/>
  <c r="BC7" i="11"/>
  <c r="BC28" i="11"/>
  <c r="BC27" i="11"/>
  <c r="BC6" i="11"/>
  <c r="BC15" i="11"/>
  <c r="BC16" i="11"/>
  <c r="BC29" i="11"/>
  <c r="V152" i="5"/>
  <c r="W151" i="5"/>
  <c r="W152" i="5" s="1"/>
  <c r="AV26" i="5" l="1"/>
  <c r="R20" i="5"/>
  <c r="AW26" i="5" l="1"/>
  <c r="S20" i="5"/>
  <c r="Q117" i="5"/>
  <c r="R117" i="5" s="1"/>
  <c r="S117" i="5" s="1"/>
  <c r="T117" i="5" s="1"/>
  <c r="U117" i="5" s="1"/>
  <c r="V117" i="5" s="1"/>
  <c r="W117" i="5" s="1"/>
  <c r="X117" i="5" s="1"/>
  <c r="Y117" i="5" s="1"/>
  <c r="Z117" i="5" s="1"/>
  <c r="AA117" i="5" s="1"/>
  <c r="AB117" i="5" s="1"/>
  <c r="AC117" i="5" s="1"/>
  <c r="AD117" i="5" s="1"/>
  <c r="AE117" i="5" s="1"/>
  <c r="AF117" i="5" s="1"/>
  <c r="AG117" i="5" s="1"/>
  <c r="AH117" i="5" s="1"/>
  <c r="AI117" i="5" s="1"/>
  <c r="AJ117" i="5" s="1"/>
  <c r="AK117" i="5" s="1"/>
  <c r="AL117" i="5" s="1"/>
  <c r="AM117" i="5" s="1"/>
  <c r="AN117" i="5" s="1"/>
  <c r="AO117" i="5" s="1"/>
  <c r="AP117" i="5" s="1"/>
  <c r="AQ117" i="5" s="1"/>
  <c r="AR117" i="5" s="1"/>
  <c r="Q116" i="5"/>
  <c r="R116" i="5" s="1"/>
  <c r="S116" i="5" s="1"/>
  <c r="T116" i="5" s="1"/>
  <c r="U116" i="5" s="1"/>
  <c r="V116" i="5" s="1"/>
  <c r="W116" i="5" s="1"/>
  <c r="X116" i="5" s="1"/>
  <c r="Y116" i="5" s="1"/>
  <c r="Z116" i="5" s="1"/>
  <c r="AA116" i="5" s="1"/>
  <c r="AB116" i="5" s="1"/>
  <c r="AC116" i="5" s="1"/>
  <c r="AD116" i="5" s="1"/>
  <c r="AE116" i="5" s="1"/>
  <c r="AF116" i="5" s="1"/>
  <c r="AG116" i="5" s="1"/>
  <c r="AH116" i="5" s="1"/>
  <c r="AI116" i="5" s="1"/>
  <c r="AJ116" i="5" s="1"/>
  <c r="AK116" i="5" s="1"/>
  <c r="AL116" i="5" s="1"/>
  <c r="AM116" i="5" s="1"/>
  <c r="AN116" i="5" s="1"/>
  <c r="AO116" i="5" s="1"/>
  <c r="AP116" i="5" s="1"/>
  <c r="AQ116" i="5" s="1"/>
  <c r="AR116" i="5" s="1"/>
  <c r="AJ17" i="5"/>
  <c r="AK17" i="5" s="1"/>
  <c r="AL17" i="5" s="1"/>
  <c r="AM17" i="5" s="1"/>
  <c r="AN17" i="5" s="1"/>
  <c r="AO17" i="5" s="1"/>
  <c r="AP17" i="5" s="1"/>
  <c r="AQ17" i="5" s="1"/>
  <c r="AR17" i="5" s="1"/>
  <c r="AS17" i="5" s="1"/>
  <c r="AT17" i="5" s="1"/>
  <c r="AU17" i="5" s="1"/>
  <c r="AV17" i="5" s="1"/>
  <c r="AW17" i="5" s="1"/>
  <c r="AX17" i="5" s="1"/>
  <c r="AY17" i="5" s="1"/>
  <c r="AZ17" i="5" s="1"/>
  <c r="BA17" i="5" s="1"/>
  <c r="BB17" i="5" s="1"/>
  <c r="AX26" i="5" l="1"/>
  <c r="T20" i="5"/>
  <c r="U20" i="5" s="1"/>
  <c r="V20" i="5" s="1"/>
  <c r="W20" i="5" s="1"/>
  <c r="X20" i="5" s="1"/>
  <c r="Y20" i="5" s="1"/>
  <c r="Z20" i="5" s="1"/>
  <c r="AA20" i="5" s="1"/>
  <c r="AB20" i="5" s="1"/>
  <c r="AC20" i="5" s="1"/>
  <c r="AD20" i="5" s="1"/>
  <c r="AE20" i="5" s="1"/>
  <c r="AF20" i="5" s="1"/>
  <c r="AG20" i="5" s="1"/>
  <c r="AH20" i="5" s="1"/>
  <c r="AI20" i="5" s="1"/>
  <c r="AJ20" i="5" s="1"/>
  <c r="AK20" i="5" s="1"/>
  <c r="AL20" i="5" s="1"/>
  <c r="AM20" i="5" s="1"/>
  <c r="AN20" i="5" s="1"/>
  <c r="AO20" i="5" s="1"/>
  <c r="AP20" i="5" s="1"/>
  <c r="AQ20" i="5" s="1"/>
  <c r="AR20" i="5" s="1"/>
  <c r="AS20" i="5" s="1"/>
  <c r="AT20" i="5" s="1"/>
  <c r="AU20" i="5" s="1"/>
  <c r="AV20" i="5" s="1"/>
  <c r="AW20" i="5" s="1"/>
  <c r="AX20" i="5" s="1"/>
  <c r="AY20" i="5" s="1"/>
  <c r="AZ20" i="5" s="1"/>
  <c r="BA20" i="5" s="1"/>
  <c r="BB20" i="5" s="1"/>
  <c r="F78" i="4"/>
  <c r="C77" i="4"/>
  <c r="B77" i="4"/>
  <c r="C76" i="4"/>
  <c r="B76" i="4"/>
  <c r="C75" i="4"/>
  <c r="B75" i="4"/>
  <c r="Q4" i="22"/>
  <c r="K6" i="21"/>
  <c r="J6" i="15"/>
  <c r="AY26" i="5" l="1"/>
  <c r="F47" i="1"/>
  <c r="E80" i="26"/>
  <c r="T11" i="15"/>
  <c r="AF50" i="22"/>
  <c r="AE50" i="22"/>
  <c r="AD50" i="22"/>
  <c r="Z50" i="22"/>
  <c r="Y50" i="22"/>
  <c r="X50" i="22"/>
  <c r="AF49" i="22"/>
  <c r="AE49" i="22"/>
  <c r="AD49" i="22"/>
  <c r="Z49" i="22"/>
  <c r="Y49" i="22"/>
  <c r="X49" i="22"/>
  <c r="AF48" i="22"/>
  <c r="AE48" i="22"/>
  <c r="AD48" i="22"/>
  <c r="Z48" i="22"/>
  <c r="Y48" i="22"/>
  <c r="X48" i="22"/>
  <c r="AF47" i="22"/>
  <c r="AE47" i="22"/>
  <c r="AD47" i="22"/>
  <c r="Z47" i="22"/>
  <c r="Y47" i="22"/>
  <c r="X47" i="22"/>
  <c r="AF46" i="22"/>
  <c r="AE46" i="22"/>
  <c r="AD46" i="22"/>
  <c r="Z46" i="22"/>
  <c r="Y46" i="22"/>
  <c r="X46" i="22"/>
  <c r="AF45" i="22"/>
  <c r="AE45" i="22"/>
  <c r="AD45" i="22"/>
  <c r="Z45" i="22"/>
  <c r="Y45" i="22"/>
  <c r="X45" i="22"/>
  <c r="AF44" i="22"/>
  <c r="AE44" i="22"/>
  <c r="AD44" i="22"/>
  <c r="Z44" i="22"/>
  <c r="Y44" i="22"/>
  <c r="X44" i="22"/>
  <c r="AF43" i="22"/>
  <c r="AE43" i="22"/>
  <c r="AD43" i="22"/>
  <c r="Z43" i="22"/>
  <c r="Y43" i="22"/>
  <c r="X43" i="22"/>
  <c r="AF42" i="22"/>
  <c r="AE42" i="22"/>
  <c r="AD42" i="22"/>
  <c r="Z42" i="22"/>
  <c r="Y42" i="22"/>
  <c r="X42" i="22"/>
  <c r="AF41" i="22"/>
  <c r="AE41" i="22"/>
  <c r="AD41" i="22"/>
  <c r="Z41" i="22"/>
  <c r="Y41" i="22"/>
  <c r="X41" i="22"/>
  <c r="AF40" i="22"/>
  <c r="AE40" i="22"/>
  <c r="AD40" i="22"/>
  <c r="Z40" i="22"/>
  <c r="Y40" i="22"/>
  <c r="X40" i="22"/>
  <c r="AF39" i="22"/>
  <c r="AE39" i="22"/>
  <c r="AD39" i="22"/>
  <c r="Z39" i="22"/>
  <c r="Y39" i="22"/>
  <c r="X39" i="22"/>
  <c r="AF38" i="22"/>
  <c r="AE38" i="22"/>
  <c r="AD38" i="22"/>
  <c r="Z38" i="22"/>
  <c r="Y38" i="22"/>
  <c r="X38" i="22"/>
  <c r="AF37" i="22"/>
  <c r="AE37" i="22"/>
  <c r="AD37" i="22"/>
  <c r="Z37" i="22"/>
  <c r="Y37" i="22"/>
  <c r="X37" i="22"/>
  <c r="AF36" i="22"/>
  <c r="AE36" i="22"/>
  <c r="AD36" i="22"/>
  <c r="Z36" i="22"/>
  <c r="Y36" i="22"/>
  <c r="X36" i="22"/>
  <c r="AF35" i="22"/>
  <c r="AE35" i="22"/>
  <c r="AD35" i="22"/>
  <c r="Z35" i="22"/>
  <c r="Y35" i="22"/>
  <c r="X35" i="22"/>
  <c r="AF34" i="22"/>
  <c r="AE34" i="22"/>
  <c r="AD34" i="22"/>
  <c r="Z34" i="22"/>
  <c r="Y34" i="22"/>
  <c r="X34" i="22"/>
  <c r="AF33" i="22"/>
  <c r="AE33" i="22"/>
  <c r="AD33" i="22"/>
  <c r="Z33" i="22"/>
  <c r="Y33" i="22"/>
  <c r="X33" i="22"/>
  <c r="AF32" i="22"/>
  <c r="AE32" i="22"/>
  <c r="AD32" i="22"/>
  <c r="Z32" i="22"/>
  <c r="Y32" i="22"/>
  <c r="X32" i="22"/>
  <c r="AF31" i="22"/>
  <c r="AE31" i="22"/>
  <c r="AD31" i="22"/>
  <c r="Z31" i="22"/>
  <c r="Y31" i="22"/>
  <c r="X31" i="22"/>
  <c r="AF30" i="22"/>
  <c r="AE30" i="22"/>
  <c r="AD30" i="22"/>
  <c r="Z30" i="22"/>
  <c r="Y30" i="22"/>
  <c r="X30" i="22"/>
  <c r="AF29" i="22"/>
  <c r="AE29" i="22"/>
  <c r="AD29" i="22"/>
  <c r="Z29" i="22"/>
  <c r="Y29" i="22"/>
  <c r="X29" i="22"/>
  <c r="AF28" i="22"/>
  <c r="AE28" i="22"/>
  <c r="AD28" i="22"/>
  <c r="Z28" i="22"/>
  <c r="Y28" i="22"/>
  <c r="X28" i="22"/>
  <c r="AF27" i="22"/>
  <c r="AE27" i="22"/>
  <c r="AD27" i="22"/>
  <c r="Z27" i="22"/>
  <c r="Y27" i="22"/>
  <c r="X27" i="22"/>
  <c r="AF26" i="22"/>
  <c r="AE26" i="22"/>
  <c r="AD26" i="22"/>
  <c r="Z26" i="22"/>
  <c r="Y26" i="22"/>
  <c r="X26" i="22"/>
  <c r="AF25" i="22"/>
  <c r="AE25" i="22"/>
  <c r="AD25" i="22"/>
  <c r="Z25" i="22"/>
  <c r="Y25" i="22"/>
  <c r="X25" i="22"/>
  <c r="AF24" i="22"/>
  <c r="AE24" i="22"/>
  <c r="AD24" i="22"/>
  <c r="Z24" i="22"/>
  <c r="Y24" i="22"/>
  <c r="X24" i="22"/>
  <c r="AF23" i="22"/>
  <c r="AE23" i="22"/>
  <c r="AD23" i="22"/>
  <c r="Z23" i="22"/>
  <c r="Y23" i="22"/>
  <c r="X23" i="22"/>
  <c r="AF22" i="22"/>
  <c r="AE22" i="22"/>
  <c r="AD22" i="22"/>
  <c r="Z22" i="22"/>
  <c r="Y22" i="22"/>
  <c r="X22" i="22"/>
  <c r="AF21" i="22"/>
  <c r="AE21" i="22"/>
  <c r="AD21" i="22"/>
  <c r="Z21" i="22"/>
  <c r="Y21" i="22"/>
  <c r="X21" i="22"/>
  <c r="AF20" i="22"/>
  <c r="AE20" i="22"/>
  <c r="AD20" i="22"/>
  <c r="Z20" i="22"/>
  <c r="Y20" i="22"/>
  <c r="X20" i="22"/>
  <c r="AF19" i="22"/>
  <c r="AE19" i="22"/>
  <c r="AD19" i="22"/>
  <c r="Z19" i="22"/>
  <c r="Y19" i="22"/>
  <c r="X19" i="22"/>
  <c r="AF18" i="22"/>
  <c r="AE18" i="22"/>
  <c r="AD18" i="22"/>
  <c r="Z18" i="22"/>
  <c r="Y18" i="22"/>
  <c r="X18" i="22"/>
  <c r="AF17" i="22"/>
  <c r="AE17" i="22"/>
  <c r="AD17" i="22"/>
  <c r="Z17" i="22"/>
  <c r="Y17" i="22"/>
  <c r="X17" i="22"/>
  <c r="AF16" i="22"/>
  <c r="AE16" i="22"/>
  <c r="AD16" i="22"/>
  <c r="AC16" i="22"/>
  <c r="AC15" i="22" s="1"/>
  <c r="AC14" i="22" s="1"/>
  <c r="AC13" i="22" s="1"/>
  <c r="AC12" i="22" s="1"/>
  <c r="AC11" i="22" s="1"/>
  <c r="AC10" i="22" s="1"/>
  <c r="AC9" i="22" s="1"/>
  <c r="AC8" i="22" s="1"/>
  <c r="AC7" i="22" s="1"/>
  <c r="AC6" i="22" s="1"/>
  <c r="AC5" i="22" s="1"/>
  <c r="Z16" i="22"/>
  <c r="Y16" i="22"/>
  <c r="X16" i="22"/>
  <c r="W16" i="22"/>
  <c r="W15" i="22" s="1"/>
  <c r="W14" i="22" s="1"/>
  <c r="W13" i="22" s="1"/>
  <c r="W12" i="22" s="1"/>
  <c r="W11" i="22" s="1"/>
  <c r="W10" i="22" s="1"/>
  <c r="W9" i="22" s="1"/>
  <c r="W8" i="22" s="1"/>
  <c r="W7" i="22" s="1"/>
  <c r="W6" i="22" s="1"/>
  <c r="W5" i="22" s="1"/>
  <c r="AF15" i="22"/>
  <c r="AE15" i="22"/>
  <c r="AD15" i="22"/>
  <c r="Z15" i="22"/>
  <c r="Y15" i="22"/>
  <c r="X15" i="22"/>
  <c r="AF14" i="22"/>
  <c r="AE14" i="22"/>
  <c r="AD14" i="22"/>
  <c r="Z14" i="22"/>
  <c r="Y14" i="22"/>
  <c r="X14" i="22"/>
  <c r="AF13" i="22"/>
  <c r="AE13" i="22"/>
  <c r="AD13" i="22"/>
  <c r="Z13" i="22"/>
  <c r="Y13" i="22"/>
  <c r="X13" i="22"/>
  <c r="AF12" i="22"/>
  <c r="AE12" i="22"/>
  <c r="AD12" i="22"/>
  <c r="Z12" i="22"/>
  <c r="Y12" i="22"/>
  <c r="X12" i="22"/>
  <c r="AF11" i="22"/>
  <c r="AE11" i="22"/>
  <c r="AD11" i="22"/>
  <c r="Z11" i="22"/>
  <c r="Y11" i="22"/>
  <c r="X11" i="22"/>
  <c r="AF10" i="22"/>
  <c r="AE10" i="22"/>
  <c r="AD10" i="22"/>
  <c r="Z10" i="22"/>
  <c r="Y10" i="22"/>
  <c r="X10" i="22"/>
  <c r="AF9" i="22"/>
  <c r="AE9" i="22"/>
  <c r="AD9" i="22"/>
  <c r="Z9" i="22"/>
  <c r="Y9" i="22"/>
  <c r="X9" i="22"/>
  <c r="AF8" i="22"/>
  <c r="AE8" i="22"/>
  <c r="AD8" i="22"/>
  <c r="Z8" i="22"/>
  <c r="Y8" i="22"/>
  <c r="X8" i="22"/>
  <c r="AF7" i="22"/>
  <c r="AE7" i="22"/>
  <c r="AD7" i="22"/>
  <c r="Z7" i="22"/>
  <c r="Y7" i="22"/>
  <c r="X7" i="22"/>
  <c r="AF6" i="22"/>
  <c r="AE6" i="22"/>
  <c r="AD6" i="22"/>
  <c r="Z6" i="22"/>
  <c r="Y6" i="22"/>
  <c r="X6" i="22"/>
  <c r="AB5" i="22"/>
  <c r="AF5" i="22" s="1"/>
  <c r="V5" i="22"/>
  <c r="Y5" i="22" s="1"/>
  <c r="AB4" i="22" a="1"/>
  <c r="AB4" i="22" s="1"/>
  <c r="V4" i="22" a="1"/>
  <c r="Z4" i="22" s="1"/>
  <c r="T3" i="21" a="1"/>
  <c r="V3" i="21" s="1"/>
  <c r="W48" i="15"/>
  <c r="V48" i="15"/>
  <c r="U48" i="15"/>
  <c r="W47" i="15"/>
  <c r="V47" i="15"/>
  <c r="U47" i="15"/>
  <c r="W46" i="15"/>
  <c r="V46" i="15"/>
  <c r="U46" i="15"/>
  <c r="W45" i="15"/>
  <c r="V45" i="15"/>
  <c r="U45" i="15"/>
  <c r="W44" i="15"/>
  <c r="V44" i="15"/>
  <c r="U44" i="15"/>
  <c r="W43" i="15"/>
  <c r="V43" i="15"/>
  <c r="U43" i="15"/>
  <c r="W42" i="15"/>
  <c r="V42" i="15"/>
  <c r="U42" i="15"/>
  <c r="W41" i="15"/>
  <c r="V41" i="15"/>
  <c r="U41" i="15"/>
  <c r="W40" i="15"/>
  <c r="V40" i="15"/>
  <c r="U40" i="15"/>
  <c r="W39" i="15"/>
  <c r="V39" i="15"/>
  <c r="U39" i="15"/>
  <c r="W38" i="15"/>
  <c r="V38" i="15"/>
  <c r="U38" i="15"/>
  <c r="W37" i="15"/>
  <c r="V37" i="15"/>
  <c r="U37" i="15"/>
  <c r="W36" i="15"/>
  <c r="V36" i="15"/>
  <c r="U36" i="15"/>
  <c r="W35" i="15"/>
  <c r="V35" i="15"/>
  <c r="U35" i="15"/>
  <c r="W34" i="15"/>
  <c r="V34" i="15"/>
  <c r="U34" i="15"/>
  <c r="W33" i="15"/>
  <c r="V33" i="15"/>
  <c r="U33" i="15"/>
  <c r="W32" i="15"/>
  <c r="V32" i="15"/>
  <c r="U32" i="15"/>
  <c r="W31" i="15"/>
  <c r="V31" i="15"/>
  <c r="U31" i="15"/>
  <c r="W30" i="15"/>
  <c r="V30" i="15"/>
  <c r="U30" i="15"/>
  <c r="W29" i="15"/>
  <c r="V29" i="15"/>
  <c r="U29" i="15"/>
  <c r="W28" i="15"/>
  <c r="V28" i="15"/>
  <c r="U28" i="15"/>
  <c r="W27" i="15"/>
  <c r="V27" i="15"/>
  <c r="U27" i="15"/>
  <c r="W26" i="15"/>
  <c r="V26" i="15"/>
  <c r="U26" i="15"/>
  <c r="W25" i="15"/>
  <c r="V25" i="15"/>
  <c r="U25" i="15"/>
  <c r="W24" i="15"/>
  <c r="V24" i="15"/>
  <c r="U24" i="15"/>
  <c r="W23" i="15"/>
  <c r="V23" i="15"/>
  <c r="U23" i="15"/>
  <c r="W22" i="15"/>
  <c r="V22" i="15"/>
  <c r="U22" i="15"/>
  <c r="W21" i="15"/>
  <c r="V21" i="15"/>
  <c r="U21" i="15"/>
  <c r="W20" i="15"/>
  <c r="V20" i="15"/>
  <c r="U20" i="15"/>
  <c r="W19" i="15"/>
  <c r="V19" i="15"/>
  <c r="U19" i="15"/>
  <c r="W18" i="15"/>
  <c r="V18" i="15"/>
  <c r="U18" i="15"/>
  <c r="W17" i="15"/>
  <c r="V17" i="15"/>
  <c r="U17" i="15"/>
  <c r="W16" i="15"/>
  <c r="V16" i="15"/>
  <c r="U16" i="15"/>
  <c r="W15" i="15"/>
  <c r="V15" i="15"/>
  <c r="U15" i="15"/>
  <c r="T15" i="15"/>
  <c r="W14" i="15"/>
  <c r="V14" i="15"/>
  <c r="U14" i="15"/>
  <c r="T14" i="15"/>
  <c r="W13" i="15"/>
  <c r="V13" i="15"/>
  <c r="U13" i="15"/>
  <c r="T13" i="15"/>
  <c r="W12" i="15"/>
  <c r="V12" i="15"/>
  <c r="U12" i="15"/>
  <c r="T12" i="15"/>
  <c r="W11" i="15"/>
  <c r="V11" i="15"/>
  <c r="U11" i="15"/>
  <c r="W10" i="15"/>
  <c r="V10" i="15"/>
  <c r="U10" i="15"/>
  <c r="T10" i="15"/>
  <c r="W9" i="15"/>
  <c r="V9" i="15"/>
  <c r="U9" i="15"/>
  <c r="T9" i="15"/>
  <c r="W8" i="15"/>
  <c r="V8" i="15"/>
  <c r="U8" i="15"/>
  <c r="T8" i="15"/>
  <c r="W7" i="15"/>
  <c r="V7" i="15"/>
  <c r="U7" i="15"/>
  <c r="T7" i="15"/>
  <c r="W6" i="15"/>
  <c r="V6" i="15"/>
  <c r="U6" i="15"/>
  <c r="T6" i="15"/>
  <c r="W5" i="15"/>
  <c r="V5" i="15"/>
  <c r="U5" i="15"/>
  <c r="T5" i="15"/>
  <c r="W4" i="15"/>
  <c r="V4" i="15"/>
  <c r="U4" i="15"/>
  <c r="T4" i="15"/>
  <c r="W3" i="15"/>
  <c r="V3" i="15"/>
  <c r="U3" i="15"/>
  <c r="T3" i="15"/>
  <c r="S2" i="15" a="1"/>
  <c r="W2" i="15" s="1"/>
  <c r="M24" i="25"/>
  <c r="U19" i="7" s="1" a="1"/>
  <c r="U19" i="7" s="1"/>
  <c r="M23" i="25"/>
  <c r="T19" i="7" s="1" a="1"/>
  <c r="T19" i="7" s="1"/>
  <c r="M22" i="25"/>
  <c r="S19" i="7" s="1" a="1"/>
  <c r="S19" i="7" s="1"/>
  <c r="M21" i="25"/>
  <c r="R19" i="7" s="1" a="1"/>
  <c r="R19" i="7" s="1"/>
  <c r="E8" i="25"/>
  <c r="E9" i="25"/>
  <c r="E10" i="25"/>
  <c r="E11" i="25"/>
  <c r="E12" i="25"/>
  <c r="E13" i="25"/>
  <c r="E14" i="25"/>
  <c r="E16" i="25"/>
  <c r="E17" i="25"/>
  <c r="E18" i="25"/>
  <c r="E19" i="25"/>
  <c r="E20" i="25"/>
  <c r="E21" i="25"/>
  <c r="R5" i="7" s="1" a="1"/>
  <c r="R5" i="7" s="1"/>
  <c r="E22" i="25"/>
  <c r="S5" i="7" s="1" a="1"/>
  <c r="S5" i="7" s="1"/>
  <c r="E23" i="25"/>
  <c r="T5" i="7" s="1" a="1"/>
  <c r="T5" i="7" s="1"/>
  <c r="E24" i="25"/>
  <c r="U5" i="7" s="1" a="1"/>
  <c r="U5" i="7" s="1"/>
  <c r="E7" i="25"/>
  <c r="E133" i="5"/>
  <c r="I16" i="5" s="1" a="1"/>
  <c r="F133" i="5"/>
  <c r="D133" i="5"/>
  <c r="AZ26" i="5" l="1"/>
  <c r="I16" i="5"/>
  <c r="X21" i="5"/>
  <c r="Q21" i="5"/>
  <c r="R21" i="5"/>
  <c r="V21" i="5"/>
  <c r="S21" i="5"/>
  <c r="T21" i="5"/>
  <c r="U21" i="5"/>
  <c r="W21" i="5"/>
  <c r="Q22" i="5"/>
  <c r="R22" i="5"/>
  <c r="AH21" i="5"/>
  <c r="Y16" i="5"/>
  <c r="V22" i="5"/>
  <c r="W22" i="5"/>
  <c r="X22" i="5"/>
  <c r="S22" i="5"/>
  <c r="T22" i="5"/>
  <c r="U22" i="5"/>
  <c r="W3" i="21"/>
  <c r="X3" i="21"/>
  <c r="AC4" i="22"/>
  <c r="Z5" i="22"/>
  <c r="W4" i="22"/>
  <c r="AE4" i="22"/>
  <c r="AD4" i="22"/>
  <c r="X4" i="22"/>
  <c r="AF4" i="22"/>
  <c r="AD5" i="22"/>
  <c r="Y4" i="22"/>
  <c r="AE5" i="22"/>
  <c r="V4" i="22"/>
  <c r="X5" i="22"/>
  <c r="T3" i="21"/>
  <c r="U3" i="21"/>
  <c r="T2" i="15"/>
  <c r="S2" i="15"/>
  <c r="U2" i="15"/>
  <c r="V2" i="15"/>
  <c r="R18" i="5"/>
  <c r="R19" i="5" s="1"/>
  <c r="N18" i="5"/>
  <c r="N19" i="5" s="1"/>
  <c r="S18" i="5"/>
  <c r="S19" i="5" s="1"/>
  <c r="Q18" i="5"/>
  <c r="Q19" i="5" s="1"/>
  <c r="O18" i="5"/>
  <c r="O19" i="5" s="1"/>
  <c r="P18" i="5"/>
  <c r="P19" i="5" s="1"/>
  <c r="T18" i="5"/>
  <c r="T19" i="5" s="1"/>
  <c r="U18" i="5"/>
  <c r="U19" i="5" s="1"/>
  <c r="K18" i="5"/>
  <c r="K19" i="5" s="1"/>
  <c r="V18" i="5"/>
  <c r="V19" i="5" s="1"/>
  <c r="L18" i="5"/>
  <c r="L19" i="5" s="1"/>
  <c r="W18" i="5"/>
  <c r="W19" i="5" s="1"/>
  <c r="X18" i="5"/>
  <c r="X19" i="5" s="1"/>
  <c r="M18" i="5"/>
  <c r="M19" i="5" s="1"/>
  <c r="BA26" i="5" l="1"/>
  <c r="Z16" i="5"/>
  <c r="Y21" i="5"/>
  <c r="Y22" i="5"/>
  <c r="Y18" i="5"/>
  <c r="Y19" i="5"/>
  <c r="BB26" i="5" l="1"/>
  <c r="Z19" i="5"/>
  <c r="AA16" i="5"/>
  <c r="Z21" i="5"/>
  <c r="Z22" i="5"/>
  <c r="Z18" i="5"/>
  <c r="B64" i="1"/>
  <c r="F44" i="1"/>
  <c r="F69" i="4"/>
  <c r="D401" i="18"/>
  <c r="D754" i="18"/>
  <c r="D47" i="18"/>
  <c r="O35" i="18"/>
  <c r="P35" i="18" s="1"/>
  <c r="Q35" i="18" s="1"/>
  <c r="R35" i="18" s="1"/>
  <c r="S35" i="18" s="1"/>
  <c r="T35" i="18" s="1"/>
  <c r="U35" i="18" s="1"/>
  <c r="V35" i="18" s="1"/>
  <c r="W35" i="18" s="1"/>
  <c r="X35" i="18" s="1"/>
  <c r="Y35" i="18" s="1"/>
  <c r="Z35" i="18" s="1"/>
  <c r="AA35" i="18" s="1"/>
  <c r="AB35" i="18" s="1"/>
  <c r="AC35" i="18" s="1"/>
  <c r="AD35" i="18" s="1"/>
  <c r="AE35" i="18" s="1"/>
  <c r="AF35" i="18" s="1"/>
  <c r="AG35" i="18" s="1"/>
  <c r="AH35" i="18" s="1"/>
  <c r="AI35" i="18" s="1"/>
  <c r="AJ35" i="18" s="1"/>
  <c r="AK35" i="18" s="1"/>
  <c r="AL35" i="18" s="1"/>
  <c r="AM35" i="18" s="1"/>
  <c r="O36" i="18"/>
  <c r="P36" i="18" s="1"/>
  <c r="Q36" i="18" s="1"/>
  <c r="R36" i="18" s="1"/>
  <c r="S36" i="18" s="1"/>
  <c r="T36" i="18" s="1"/>
  <c r="U36" i="18" s="1"/>
  <c r="V36" i="18" s="1"/>
  <c r="W36" i="18" s="1"/>
  <c r="X36" i="18" s="1"/>
  <c r="Y36" i="18" s="1"/>
  <c r="Z36" i="18" s="1"/>
  <c r="AA36" i="18" s="1"/>
  <c r="AB36" i="18" s="1"/>
  <c r="AC36" i="18" s="1"/>
  <c r="AD36" i="18" s="1"/>
  <c r="AE36" i="18" s="1"/>
  <c r="AF36" i="18" s="1"/>
  <c r="AG36" i="18" s="1"/>
  <c r="AH36" i="18" s="1"/>
  <c r="AI36" i="18" s="1"/>
  <c r="AJ36" i="18" s="1"/>
  <c r="AK36" i="18" s="1"/>
  <c r="AL36" i="18" s="1"/>
  <c r="AM36" i="18" s="1"/>
  <c r="L29" i="18"/>
  <c r="M29" i="18" s="1"/>
  <c r="O29" i="18" s="1"/>
  <c r="P29" i="18" s="1"/>
  <c r="Q29" i="18" s="1"/>
  <c r="R29" i="18" s="1"/>
  <c r="S29" i="18" s="1"/>
  <c r="T29" i="18" s="1"/>
  <c r="U29" i="18" s="1"/>
  <c r="V29" i="18" s="1"/>
  <c r="W29" i="18" s="1"/>
  <c r="X29" i="18" s="1"/>
  <c r="Y29" i="18" s="1"/>
  <c r="Z29" i="18" s="1"/>
  <c r="AA29" i="18" s="1"/>
  <c r="AB29" i="18" s="1"/>
  <c r="AC29" i="18" s="1"/>
  <c r="AD29" i="18" s="1"/>
  <c r="AE29" i="18" s="1"/>
  <c r="AF29" i="18" s="1"/>
  <c r="AG29" i="18" s="1"/>
  <c r="AH29" i="18" s="1"/>
  <c r="AI29" i="18" s="1"/>
  <c r="AJ29" i="18" s="1"/>
  <c r="AK29" i="18" s="1"/>
  <c r="AL29" i="18" s="1"/>
  <c r="AM29" i="18" s="1"/>
  <c r="L30" i="18"/>
  <c r="M30" i="18" s="1"/>
  <c r="O30" i="18" s="1"/>
  <c r="P30" i="18" s="1"/>
  <c r="Q30" i="18" s="1"/>
  <c r="R30" i="18" s="1"/>
  <c r="S30" i="18" s="1"/>
  <c r="T30" i="18" s="1"/>
  <c r="U30" i="18" s="1"/>
  <c r="V30" i="18" s="1"/>
  <c r="W30" i="18" s="1"/>
  <c r="X30" i="18" s="1"/>
  <c r="Y30" i="18" s="1"/>
  <c r="Z30" i="18" s="1"/>
  <c r="AA30" i="18" s="1"/>
  <c r="AB30" i="18" s="1"/>
  <c r="AC30" i="18" s="1"/>
  <c r="AD30" i="18" s="1"/>
  <c r="AE30" i="18" s="1"/>
  <c r="AF30" i="18" s="1"/>
  <c r="AG30" i="18" s="1"/>
  <c r="AH30" i="18" s="1"/>
  <c r="AI30" i="18" s="1"/>
  <c r="AJ30" i="18" s="1"/>
  <c r="AK30" i="18" s="1"/>
  <c r="AL30" i="18" s="1"/>
  <c r="AM30" i="18" s="1"/>
  <c r="L31" i="18"/>
  <c r="M31" i="18" s="1"/>
  <c r="O31" i="18" s="1"/>
  <c r="P31" i="18" s="1"/>
  <c r="Q31" i="18" s="1"/>
  <c r="R31" i="18" s="1"/>
  <c r="S31" i="18" s="1"/>
  <c r="T31" i="18" s="1"/>
  <c r="U31" i="18" s="1"/>
  <c r="V31" i="18" s="1"/>
  <c r="W31" i="18" s="1"/>
  <c r="X31" i="18" s="1"/>
  <c r="Y31" i="18" s="1"/>
  <c r="Z31" i="18" s="1"/>
  <c r="AA31" i="18" s="1"/>
  <c r="L32" i="18"/>
  <c r="M32" i="18" s="1"/>
  <c r="O32" i="18" s="1"/>
  <c r="P32" i="18" s="1"/>
  <c r="Q32" i="18" s="1"/>
  <c r="R32" i="18" s="1"/>
  <c r="S32" i="18" s="1"/>
  <c r="T32" i="18" s="1"/>
  <c r="U32" i="18" s="1"/>
  <c r="V32" i="18" s="1"/>
  <c r="W32" i="18" s="1"/>
  <c r="X32" i="18" s="1"/>
  <c r="Y32" i="18" s="1"/>
  <c r="Z32" i="18" s="1"/>
  <c r="AA32" i="18" s="1"/>
  <c r="AB32" i="18" s="1"/>
  <c r="AC32" i="18" s="1"/>
  <c r="AD32" i="18" s="1"/>
  <c r="AE32" i="18" s="1"/>
  <c r="AF32" i="18" s="1"/>
  <c r="AG32" i="18" s="1"/>
  <c r="AH32" i="18" s="1"/>
  <c r="AI32" i="18" s="1"/>
  <c r="AJ32" i="18" s="1"/>
  <c r="AK32" i="18" s="1"/>
  <c r="AL32" i="18" s="1"/>
  <c r="AM32" i="18" s="1"/>
  <c r="L28" i="18"/>
  <c r="O26" i="18"/>
  <c r="P26" i="18" s="1"/>
  <c r="Q26" i="18" s="1"/>
  <c r="R26" i="18" s="1"/>
  <c r="S26" i="18" s="1"/>
  <c r="T26" i="18" s="1"/>
  <c r="U26" i="18" s="1"/>
  <c r="V26" i="18" s="1"/>
  <c r="W26" i="18" s="1"/>
  <c r="X26" i="18" s="1"/>
  <c r="Y26" i="18" s="1"/>
  <c r="Z26" i="18" s="1"/>
  <c r="AA26" i="18" s="1"/>
  <c r="AB26" i="18" s="1"/>
  <c r="AC26" i="18" s="1"/>
  <c r="AD26" i="18" s="1"/>
  <c r="AE26" i="18" s="1"/>
  <c r="AF26" i="18" s="1"/>
  <c r="AG26" i="18" s="1"/>
  <c r="AH26" i="18" s="1"/>
  <c r="AI26" i="18" s="1"/>
  <c r="AJ26" i="18" s="1"/>
  <c r="AK26" i="18" s="1"/>
  <c r="AL26" i="18" s="1"/>
  <c r="AM26" i="18" s="1"/>
  <c r="O24" i="18"/>
  <c r="P24" i="18" s="1"/>
  <c r="Q24" i="18" s="1"/>
  <c r="R24" i="18" s="1"/>
  <c r="S24" i="18" s="1"/>
  <c r="T24" i="18" s="1"/>
  <c r="U24" i="18" s="1"/>
  <c r="V24" i="18" s="1"/>
  <c r="W24" i="18" s="1"/>
  <c r="X24" i="18" s="1"/>
  <c r="Y24" i="18" s="1"/>
  <c r="Z24" i="18" s="1"/>
  <c r="AA24" i="18" s="1"/>
  <c r="AB24" i="18" s="1"/>
  <c r="AC24" i="18" s="1"/>
  <c r="AD24" i="18" s="1"/>
  <c r="AE24" i="18" s="1"/>
  <c r="AF24" i="18" s="1"/>
  <c r="AG24" i="18" s="1"/>
  <c r="AH24" i="18" s="1"/>
  <c r="AI24" i="18" s="1"/>
  <c r="AJ24" i="18" s="1"/>
  <c r="AK24" i="18" s="1"/>
  <c r="AL24" i="18" s="1"/>
  <c r="AM24" i="18" s="1"/>
  <c r="O23" i="18"/>
  <c r="P23" i="18" s="1"/>
  <c r="Q23" i="18" s="1"/>
  <c r="R23" i="18" s="1"/>
  <c r="S23" i="18" s="1"/>
  <c r="T23" i="18" s="1"/>
  <c r="U23" i="18" s="1"/>
  <c r="V23" i="18" s="1"/>
  <c r="W23" i="18" s="1"/>
  <c r="X23" i="18" s="1"/>
  <c r="Y23" i="18" s="1"/>
  <c r="Z23" i="18" s="1"/>
  <c r="AA23" i="18" s="1"/>
  <c r="AB23" i="18" s="1"/>
  <c r="AC23" i="18" s="1"/>
  <c r="AD23" i="18" s="1"/>
  <c r="AE23" i="18" s="1"/>
  <c r="AF23" i="18" s="1"/>
  <c r="AG23" i="18" s="1"/>
  <c r="AH23" i="18" s="1"/>
  <c r="AI23" i="18" s="1"/>
  <c r="AJ23" i="18" s="1"/>
  <c r="AK23" i="18" s="1"/>
  <c r="AL23" i="18" s="1"/>
  <c r="AM23" i="18" s="1"/>
  <c r="O18" i="18"/>
  <c r="P18" i="18" s="1"/>
  <c r="Q18" i="18" s="1"/>
  <c r="R18" i="18" s="1"/>
  <c r="S18" i="18" s="1"/>
  <c r="T18" i="18" s="1"/>
  <c r="U18" i="18" s="1"/>
  <c r="V18" i="18" s="1"/>
  <c r="W18" i="18" s="1"/>
  <c r="X18" i="18" s="1"/>
  <c r="Y18" i="18" s="1"/>
  <c r="Z18" i="18" s="1"/>
  <c r="AA18" i="18" s="1"/>
  <c r="AB18" i="18" s="1"/>
  <c r="AC18" i="18" s="1"/>
  <c r="AD18" i="18" s="1"/>
  <c r="AE18" i="18" s="1"/>
  <c r="AF18" i="18" s="1"/>
  <c r="AG18" i="18" s="1"/>
  <c r="AH18" i="18" s="1"/>
  <c r="AI18" i="18" s="1"/>
  <c r="AJ18" i="18" s="1"/>
  <c r="AK18" i="18" s="1"/>
  <c r="AL18" i="18" s="1"/>
  <c r="AM18" i="18" s="1"/>
  <c r="O19" i="18"/>
  <c r="P19" i="18" s="1"/>
  <c r="Q19" i="18" s="1"/>
  <c r="R19" i="18" s="1"/>
  <c r="S19" i="18" s="1"/>
  <c r="T19" i="18" s="1"/>
  <c r="U19" i="18" s="1"/>
  <c r="V19" i="18" s="1"/>
  <c r="W19" i="18" s="1"/>
  <c r="X19" i="18" s="1"/>
  <c r="Y19" i="18" s="1"/>
  <c r="Z19" i="18" s="1"/>
  <c r="AA19" i="18" s="1"/>
  <c r="AB19" i="18" s="1"/>
  <c r="AC19" i="18" s="1"/>
  <c r="AD19" i="18" s="1"/>
  <c r="AE19" i="18" s="1"/>
  <c r="AF19" i="18" s="1"/>
  <c r="AG19" i="18" s="1"/>
  <c r="AH19" i="18" s="1"/>
  <c r="AI19" i="18" s="1"/>
  <c r="AJ19" i="18" s="1"/>
  <c r="AK19" i="18" s="1"/>
  <c r="AL19" i="18" s="1"/>
  <c r="AM19" i="18" s="1"/>
  <c r="O20" i="18"/>
  <c r="P20" i="18" s="1"/>
  <c r="Q20" i="18" s="1"/>
  <c r="R20" i="18" s="1"/>
  <c r="S20" i="18" s="1"/>
  <c r="T20" i="18" s="1"/>
  <c r="U20" i="18" s="1"/>
  <c r="V20" i="18" s="1"/>
  <c r="W20" i="18" s="1"/>
  <c r="X20" i="18" s="1"/>
  <c r="Y20" i="18" s="1"/>
  <c r="Z20" i="18" s="1"/>
  <c r="AA20" i="18" s="1"/>
  <c r="AB20" i="18" s="1"/>
  <c r="AC20" i="18" s="1"/>
  <c r="AD20" i="18" s="1"/>
  <c r="AE20" i="18" s="1"/>
  <c r="AF20" i="18" s="1"/>
  <c r="AG20" i="18" s="1"/>
  <c r="AH20" i="18" s="1"/>
  <c r="AI20" i="18" s="1"/>
  <c r="AJ20" i="18" s="1"/>
  <c r="AK20" i="18" s="1"/>
  <c r="AL20" i="18" s="1"/>
  <c r="AM20" i="18" s="1"/>
  <c r="L21" i="18"/>
  <c r="O21" i="18" s="1"/>
  <c r="P21" i="18" s="1"/>
  <c r="Q21" i="18" s="1"/>
  <c r="R21" i="18" s="1"/>
  <c r="S21" i="18" s="1"/>
  <c r="N17" i="18"/>
  <c r="M5" i="18"/>
  <c r="N5" i="18" s="1"/>
  <c r="N28" i="18" s="1"/>
  <c r="B65" i="1"/>
  <c r="F64" i="4"/>
  <c r="C64" i="4"/>
  <c r="B64" i="4"/>
  <c r="AA19" i="5" l="1"/>
  <c r="O17" i="18"/>
  <c r="P17" i="18" s="1"/>
  <c r="Q17" i="18" s="1"/>
  <c r="R17" i="18" s="1"/>
  <c r="S17" i="18" s="1"/>
  <c r="N34" i="18"/>
  <c r="O34" i="18" s="1"/>
  <c r="P34" i="18" s="1"/>
  <c r="Q34" i="18" s="1"/>
  <c r="R34" i="18" s="1"/>
  <c r="S34" i="18" s="1"/>
  <c r="T34" i="18" s="1"/>
  <c r="U34" i="18" s="1"/>
  <c r="V34" i="18" s="1"/>
  <c r="W34" i="18" s="1"/>
  <c r="X34" i="18" s="1"/>
  <c r="Y34" i="18" s="1"/>
  <c r="Z34" i="18" s="1"/>
  <c r="AA34" i="18" s="1"/>
  <c r="AB34" i="18" s="1"/>
  <c r="AC34" i="18" s="1"/>
  <c r="AD34" i="18" s="1"/>
  <c r="AE34" i="18" s="1"/>
  <c r="AF34" i="18" s="1"/>
  <c r="AG34" i="18" s="1"/>
  <c r="AH34" i="18" s="1"/>
  <c r="AI34" i="18" s="1"/>
  <c r="AJ34" i="18" s="1"/>
  <c r="AK34" i="18" s="1"/>
  <c r="AL34" i="18" s="1"/>
  <c r="AM34" i="18" s="1"/>
  <c r="AB16" i="5"/>
  <c r="AA21" i="5"/>
  <c r="O6" i="18"/>
  <c r="N12" i="18"/>
  <c r="O9" i="18"/>
  <c r="N15" i="18"/>
  <c r="O8" i="18"/>
  <c r="N14" i="18"/>
  <c r="M11" i="18"/>
  <c r="O7" i="18"/>
  <c r="N13" i="18"/>
  <c r="M28" i="18"/>
  <c r="O28" i="18" s="1"/>
  <c r="P28" i="18" s="1"/>
  <c r="Q28" i="18" s="1"/>
  <c r="R28" i="18" s="1"/>
  <c r="S28" i="18" s="1"/>
  <c r="T28" i="18" s="1"/>
  <c r="U28" i="18" s="1"/>
  <c r="V28" i="18" s="1"/>
  <c r="W28" i="18" s="1"/>
  <c r="X28" i="18" s="1"/>
  <c r="Y28" i="18" s="1"/>
  <c r="Z28" i="18" s="1"/>
  <c r="AA28" i="18" s="1"/>
  <c r="AB28" i="18" s="1"/>
  <c r="AC28" i="18" s="1"/>
  <c r="AD28" i="18" s="1"/>
  <c r="AE28" i="18" s="1"/>
  <c r="AF28" i="18" s="1"/>
  <c r="AG28" i="18" s="1"/>
  <c r="AH28" i="18" s="1"/>
  <c r="AI28" i="18" s="1"/>
  <c r="AJ28" i="18" s="1"/>
  <c r="AK28" i="18" s="1"/>
  <c r="AL28" i="18" s="1"/>
  <c r="L755" i="18"/>
  <c r="AA22" i="5"/>
  <c r="AA18" i="5"/>
  <c r="AB31" i="18"/>
  <c r="AC31" i="18" s="1"/>
  <c r="AD31" i="18" s="1"/>
  <c r="T21" i="18"/>
  <c r="U21" i="18" s="1"/>
  <c r="V21" i="18" s="1"/>
  <c r="W21" i="18" s="1"/>
  <c r="X21" i="18" s="1"/>
  <c r="Y21" i="18" s="1"/>
  <c r="Z21" i="18" s="1"/>
  <c r="AA21" i="18" s="1"/>
  <c r="AB21" i="18" s="1"/>
  <c r="AC21" i="18" s="1"/>
  <c r="AD21" i="18" s="1"/>
  <c r="AE21" i="18" s="1"/>
  <c r="AF21" i="18" s="1"/>
  <c r="AG21" i="18" s="1"/>
  <c r="AH21" i="18" s="1"/>
  <c r="AI21" i="18" s="1"/>
  <c r="AJ21" i="18" s="1"/>
  <c r="AK21" i="18" s="1"/>
  <c r="AL21" i="18" s="1"/>
  <c r="AM21" i="18" s="1"/>
  <c r="T17" i="18"/>
  <c r="U17" i="18" s="1"/>
  <c r="V17" i="18" s="1"/>
  <c r="W17" i="18" s="1"/>
  <c r="X17" i="18" s="1"/>
  <c r="Y17" i="18" s="1"/>
  <c r="Z17" i="18" s="1"/>
  <c r="AA17" i="18" s="1"/>
  <c r="AB17" i="18" s="1"/>
  <c r="AC17" i="18" s="1"/>
  <c r="AD17" i="18" s="1"/>
  <c r="AE17" i="18" s="1"/>
  <c r="AF17" i="18" s="1"/>
  <c r="AG17" i="18" s="1"/>
  <c r="AH17" i="18" s="1"/>
  <c r="AI17" i="18" s="1"/>
  <c r="AJ17" i="18" s="1"/>
  <c r="AK17" i="18" s="1"/>
  <c r="AL17" i="18" s="1"/>
  <c r="AM17" i="18" s="1"/>
  <c r="C37" i="12"/>
  <c r="AB19" i="5" l="1"/>
  <c r="AC16" i="5"/>
  <c r="AB21" i="5"/>
  <c r="P9" i="18"/>
  <c r="O15" i="18"/>
  <c r="O5" i="18"/>
  <c r="N11" i="18"/>
  <c r="P8" i="18"/>
  <c r="O14" i="18"/>
  <c r="P7" i="18"/>
  <c r="O13" i="18"/>
  <c r="P6" i="18"/>
  <c r="O12" i="18"/>
  <c r="AB22" i="5"/>
  <c r="AB18" i="5"/>
  <c r="AE31" i="18"/>
  <c r="AM28" i="18"/>
  <c r="D26" i="5"/>
  <c r="D31" i="5"/>
  <c r="AG68" i="5"/>
  <c r="AG69" i="5"/>
  <c r="AG70" i="5"/>
  <c r="AG71" i="5"/>
  <c r="AG72" i="5"/>
  <c r="AG73" i="5"/>
  <c r="AG74" i="5"/>
  <c r="AG75" i="5"/>
  <c r="AG76" i="5"/>
  <c r="AG77" i="5"/>
  <c r="AG78" i="5"/>
  <c r="AG79" i="5"/>
  <c r="AG80" i="5"/>
  <c r="AG81" i="5"/>
  <c r="AG82" i="5"/>
  <c r="AG83" i="5"/>
  <c r="AG84" i="5"/>
  <c r="AG85" i="5"/>
  <c r="AG86" i="5"/>
  <c r="AG87" i="5"/>
  <c r="AG88" i="5"/>
  <c r="AG89" i="5"/>
  <c r="AG90" i="5"/>
  <c r="AG91" i="5"/>
  <c r="AG67" i="5"/>
  <c r="AC19" i="5" l="1"/>
  <c r="AD16" i="5"/>
  <c r="AC21" i="5"/>
  <c r="Q9" i="18"/>
  <c r="P15" i="18"/>
  <c r="Q7" i="18"/>
  <c r="P13" i="18"/>
  <c r="P5" i="18"/>
  <c r="O11" i="18"/>
  <c r="Q6" i="18"/>
  <c r="P12" i="18"/>
  <c r="Q8" i="18"/>
  <c r="P14" i="18"/>
  <c r="AC22" i="5"/>
  <c r="AC18" i="5"/>
  <c r="AF31" i="18"/>
  <c r="AF68" i="5"/>
  <c r="AF69" i="5"/>
  <c r="AF70" i="5"/>
  <c r="AF71" i="5"/>
  <c r="AF72" i="5"/>
  <c r="AF73" i="5"/>
  <c r="AF74" i="5"/>
  <c r="AF75" i="5"/>
  <c r="AF76" i="5"/>
  <c r="AF77" i="5"/>
  <c r="AF78" i="5"/>
  <c r="AF79" i="5"/>
  <c r="AF80" i="5"/>
  <c r="AF81" i="5"/>
  <c r="AF82" i="5"/>
  <c r="AF83" i="5"/>
  <c r="AF84" i="5"/>
  <c r="AF85" i="5"/>
  <c r="AF86" i="5"/>
  <c r="AF67" i="5"/>
  <c r="AD19" i="5" l="1"/>
  <c r="AE16" i="5"/>
  <c r="AD21" i="5"/>
  <c r="R7" i="18"/>
  <c r="Q13" i="18"/>
  <c r="R6" i="18"/>
  <c r="Q12" i="18"/>
  <c r="Q5" i="18"/>
  <c r="P11" i="18"/>
  <c r="R8" i="18"/>
  <c r="Q14" i="18"/>
  <c r="R9" i="18"/>
  <c r="Q15" i="18"/>
  <c r="D93" i="5"/>
  <c r="AJ7" i="5" s="1"/>
  <c r="F92" i="5"/>
  <c r="AI8" i="5" s="1"/>
  <c r="AD22" i="5"/>
  <c r="AD18" i="5"/>
  <c r="AG31" i="18"/>
  <c r="B1105" i="18"/>
  <c r="B1104" i="18"/>
  <c r="B1103" i="18"/>
  <c r="B1102" i="18"/>
  <c r="B1101" i="18"/>
  <c r="B1100" i="18"/>
  <c r="B1099" i="18"/>
  <c r="B1098" i="18"/>
  <c r="B1097" i="18"/>
  <c r="B1096" i="18"/>
  <c r="B1095" i="18"/>
  <c r="B1094" i="18"/>
  <c r="B1093" i="18"/>
  <c r="B1092" i="18"/>
  <c r="B1091" i="18"/>
  <c r="B1090" i="18"/>
  <c r="B1089" i="18"/>
  <c r="B1088" i="18"/>
  <c r="B1087" i="18"/>
  <c r="B1086" i="18"/>
  <c r="B1085" i="18"/>
  <c r="B1084" i="18"/>
  <c r="B1083" i="18"/>
  <c r="B1082" i="18"/>
  <c r="B1081" i="18"/>
  <c r="B1080" i="18"/>
  <c r="B1079" i="18"/>
  <c r="B1078" i="18"/>
  <c r="B1077" i="18"/>
  <c r="B1076" i="18"/>
  <c r="B1075" i="18"/>
  <c r="B1074" i="18"/>
  <c r="B1073" i="18"/>
  <c r="B1072" i="18"/>
  <c r="B1071" i="18"/>
  <c r="B1070" i="18"/>
  <c r="B1069" i="18"/>
  <c r="B1068" i="18"/>
  <c r="B1067" i="18"/>
  <c r="B1066" i="18"/>
  <c r="B1065" i="18"/>
  <c r="B1064" i="18"/>
  <c r="B1063" i="18"/>
  <c r="B1062" i="18"/>
  <c r="B1061" i="18"/>
  <c r="B1060" i="18"/>
  <c r="B1059" i="18"/>
  <c r="B1058" i="18"/>
  <c r="B1057" i="18"/>
  <c r="B1056" i="18"/>
  <c r="B1055" i="18"/>
  <c r="B1054" i="18"/>
  <c r="B1053" i="18"/>
  <c r="B1052" i="18"/>
  <c r="B1051" i="18"/>
  <c r="B1050" i="18"/>
  <c r="B1049" i="18"/>
  <c r="B1048" i="18"/>
  <c r="B1047" i="18"/>
  <c r="B1046" i="18"/>
  <c r="B1045" i="18"/>
  <c r="B1044" i="18"/>
  <c r="B1043" i="18"/>
  <c r="B1042" i="18"/>
  <c r="B1041" i="18"/>
  <c r="B1040" i="18"/>
  <c r="B1039" i="18"/>
  <c r="B1038" i="18"/>
  <c r="B1037" i="18"/>
  <c r="B1036" i="18"/>
  <c r="B1035" i="18"/>
  <c r="B1034" i="18"/>
  <c r="B1033" i="18"/>
  <c r="B1032" i="18"/>
  <c r="B1031" i="18"/>
  <c r="B1030" i="18"/>
  <c r="B1029" i="18"/>
  <c r="B1028" i="18"/>
  <c r="B1027" i="18"/>
  <c r="B1026" i="18"/>
  <c r="B1025" i="18"/>
  <c r="B1024" i="18"/>
  <c r="B1023" i="18"/>
  <c r="B1022" i="18"/>
  <c r="B1021" i="18"/>
  <c r="B1020" i="18"/>
  <c r="B1019" i="18"/>
  <c r="B1018" i="18"/>
  <c r="B1017" i="18"/>
  <c r="B1016" i="18"/>
  <c r="B1015" i="18"/>
  <c r="B1014" i="18"/>
  <c r="B1013" i="18"/>
  <c r="B1012" i="18"/>
  <c r="B1011" i="18"/>
  <c r="B1010" i="18"/>
  <c r="B1009" i="18"/>
  <c r="B1008" i="18"/>
  <c r="B1007" i="18"/>
  <c r="B1006" i="18"/>
  <c r="B1005" i="18"/>
  <c r="B1004" i="18"/>
  <c r="B1003" i="18"/>
  <c r="B1002" i="18"/>
  <c r="B1001" i="18"/>
  <c r="B1000" i="18"/>
  <c r="B999" i="18"/>
  <c r="B998" i="18"/>
  <c r="B997" i="18"/>
  <c r="B996" i="18"/>
  <c r="B995" i="18"/>
  <c r="B994" i="18"/>
  <c r="B993" i="18"/>
  <c r="B992" i="18"/>
  <c r="B991" i="18"/>
  <c r="B990" i="18"/>
  <c r="B989" i="18"/>
  <c r="B988" i="18"/>
  <c r="B987" i="18"/>
  <c r="B986" i="18"/>
  <c r="B985" i="18"/>
  <c r="B984" i="18"/>
  <c r="B983" i="18"/>
  <c r="B982" i="18"/>
  <c r="B981" i="18"/>
  <c r="B980" i="18"/>
  <c r="B979" i="18"/>
  <c r="B978" i="18"/>
  <c r="B977" i="18"/>
  <c r="B976" i="18"/>
  <c r="B975" i="18"/>
  <c r="B974" i="18"/>
  <c r="B973" i="18"/>
  <c r="B972" i="18"/>
  <c r="B971" i="18"/>
  <c r="B970" i="18"/>
  <c r="B969" i="18"/>
  <c r="B968" i="18"/>
  <c r="B967" i="18"/>
  <c r="B966" i="18"/>
  <c r="B965" i="18"/>
  <c r="B964" i="18"/>
  <c r="B963" i="18"/>
  <c r="B962" i="18"/>
  <c r="B961" i="18"/>
  <c r="B960" i="18"/>
  <c r="B959" i="18"/>
  <c r="B958" i="18"/>
  <c r="B957" i="18"/>
  <c r="B956" i="18"/>
  <c r="B955" i="18"/>
  <c r="B954" i="18"/>
  <c r="B953" i="18"/>
  <c r="B952" i="18"/>
  <c r="B951" i="18"/>
  <c r="B950" i="18"/>
  <c r="B949" i="18"/>
  <c r="B948" i="18"/>
  <c r="B947" i="18"/>
  <c r="B946" i="18"/>
  <c r="B945" i="18"/>
  <c r="B944" i="18"/>
  <c r="B943" i="18"/>
  <c r="B942" i="18"/>
  <c r="B941" i="18"/>
  <c r="B940" i="18"/>
  <c r="B939" i="18"/>
  <c r="B938" i="18"/>
  <c r="B937" i="18"/>
  <c r="B936" i="18"/>
  <c r="B935" i="18"/>
  <c r="B934" i="18"/>
  <c r="B933" i="18"/>
  <c r="B932" i="18"/>
  <c r="B931" i="18"/>
  <c r="B930" i="18"/>
  <c r="B929" i="18"/>
  <c r="B928" i="18"/>
  <c r="B927" i="18"/>
  <c r="B926" i="18"/>
  <c r="B925" i="18"/>
  <c r="B924" i="18"/>
  <c r="B923" i="18"/>
  <c r="B922" i="18"/>
  <c r="B921" i="18"/>
  <c r="B920" i="18"/>
  <c r="B919" i="18"/>
  <c r="B918" i="18"/>
  <c r="B917" i="18"/>
  <c r="B916" i="18"/>
  <c r="B915" i="18"/>
  <c r="B914" i="18"/>
  <c r="B913" i="18"/>
  <c r="B912" i="18"/>
  <c r="B911" i="18"/>
  <c r="B910" i="18"/>
  <c r="B909" i="18"/>
  <c r="B908" i="18"/>
  <c r="B907" i="18"/>
  <c r="B906" i="18"/>
  <c r="B905" i="18"/>
  <c r="B904" i="18"/>
  <c r="B903" i="18"/>
  <c r="B902" i="18"/>
  <c r="B901" i="18"/>
  <c r="B900" i="18"/>
  <c r="B899" i="18"/>
  <c r="B898" i="18"/>
  <c r="B897" i="18"/>
  <c r="B896" i="18"/>
  <c r="B895" i="18"/>
  <c r="B894" i="18"/>
  <c r="B893" i="18"/>
  <c r="B892" i="18"/>
  <c r="B891" i="18"/>
  <c r="B890" i="18"/>
  <c r="B889" i="18"/>
  <c r="B888" i="18"/>
  <c r="B887" i="18"/>
  <c r="B886" i="18"/>
  <c r="B885" i="18"/>
  <c r="B884" i="18"/>
  <c r="B883" i="18"/>
  <c r="B882" i="18"/>
  <c r="B881" i="18"/>
  <c r="B880" i="18"/>
  <c r="B879" i="18"/>
  <c r="B878" i="18"/>
  <c r="B877" i="18"/>
  <c r="B876" i="18"/>
  <c r="B875" i="18"/>
  <c r="B874" i="18"/>
  <c r="B873" i="18"/>
  <c r="B872" i="18"/>
  <c r="B871" i="18"/>
  <c r="B870" i="18"/>
  <c r="B869" i="18"/>
  <c r="B868" i="18"/>
  <c r="B867" i="18"/>
  <c r="B866" i="18"/>
  <c r="B865" i="18"/>
  <c r="B864" i="18"/>
  <c r="B863" i="18"/>
  <c r="B862" i="18"/>
  <c r="B861" i="18"/>
  <c r="B860" i="18"/>
  <c r="B859" i="18"/>
  <c r="B858" i="18"/>
  <c r="B857" i="18"/>
  <c r="B856" i="18"/>
  <c r="B855" i="18"/>
  <c r="B854" i="18"/>
  <c r="B853" i="18"/>
  <c r="B852" i="18"/>
  <c r="B851" i="18"/>
  <c r="B850" i="18"/>
  <c r="B849" i="18"/>
  <c r="B848" i="18"/>
  <c r="B847" i="18"/>
  <c r="B846" i="18"/>
  <c r="B845" i="18"/>
  <c r="B844" i="18"/>
  <c r="B843" i="18"/>
  <c r="B842" i="18"/>
  <c r="B841" i="18"/>
  <c r="B840" i="18"/>
  <c r="B839" i="18"/>
  <c r="B838" i="18"/>
  <c r="B837" i="18"/>
  <c r="B836" i="18"/>
  <c r="B835" i="18"/>
  <c r="B834" i="18"/>
  <c r="B833" i="18"/>
  <c r="B832" i="18"/>
  <c r="B831" i="18"/>
  <c r="B830" i="18"/>
  <c r="B829" i="18"/>
  <c r="B828" i="18"/>
  <c r="B827" i="18"/>
  <c r="B826" i="18"/>
  <c r="B825" i="18"/>
  <c r="B824" i="18"/>
  <c r="B823" i="18"/>
  <c r="B822" i="18"/>
  <c r="B821" i="18"/>
  <c r="B820" i="18"/>
  <c r="B819" i="18"/>
  <c r="B818" i="18"/>
  <c r="B817" i="18"/>
  <c r="B816" i="18"/>
  <c r="B815" i="18"/>
  <c r="B814" i="18"/>
  <c r="B813" i="18"/>
  <c r="B812" i="18"/>
  <c r="B811" i="18"/>
  <c r="B810" i="18"/>
  <c r="B809" i="18"/>
  <c r="B808" i="18"/>
  <c r="B807" i="18"/>
  <c r="B806" i="18"/>
  <c r="B805" i="18"/>
  <c r="B804" i="18"/>
  <c r="B803" i="18"/>
  <c r="B802" i="18"/>
  <c r="B801" i="18"/>
  <c r="B800" i="18"/>
  <c r="B799" i="18"/>
  <c r="B798" i="18"/>
  <c r="B797" i="18"/>
  <c r="B796" i="18"/>
  <c r="B795" i="18"/>
  <c r="B794" i="18"/>
  <c r="B793" i="18"/>
  <c r="B792" i="18"/>
  <c r="B791" i="18"/>
  <c r="B790" i="18"/>
  <c r="B789" i="18"/>
  <c r="B788" i="18"/>
  <c r="B787" i="18"/>
  <c r="B786" i="18"/>
  <c r="B785" i="18"/>
  <c r="B784" i="18"/>
  <c r="B783" i="18"/>
  <c r="B782" i="18"/>
  <c r="B781" i="18"/>
  <c r="B780" i="18"/>
  <c r="B779" i="18"/>
  <c r="B778" i="18"/>
  <c r="B777" i="18"/>
  <c r="B776" i="18"/>
  <c r="B775" i="18"/>
  <c r="B774" i="18"/>
  <c r="B773" i="18"/>
  <c r="B772" i="18"/>
  <c r="B771" i="18"/>
  <c r="B770" i="18"/>
  <c r="B769" i="18"/>
  <c r="B768" i="18"/>
  <c r="B767" i="18"/>
  <c r="B766" i="18"/>
  <c r="B765" i="18"/>
  <c r="B764" i="18"/>
  <c r="B763" i="18"/>
  <c r="B762" i="18"/>
  <c r="B761" i="18"/>
  <c r="B760" i="18"/>
  <c r="B759" i="18"/>
  <c r="B758" i="18"/>
  <c r="B757" i="18"/>
  <c r="B756" i="18"/>
  <c r="B755" i="18"/>
  <c r="B752" i="18"/>
  <c r="B751" i="18"/>
  <c r="B750" i="18"/>
  <c r="B749" i="18"/>
  <c r="B748" i="18"/>
  <c r="B747" i="18"/>
  <c r="B746" i="18"/>
  <c r="B745" i="18"/>
  <c r="B744" i="18"/>
  <c r="B743" i="18"/>
  <c r="B742" i="18"/>
  <c r="B741" i="18"/>
  <c r="B740" i="18"/>
  <c r="B739" i="18"/>
  <c r="B738" i="18"/>
  <c r="B737" i="18"/>
  <c r="B736" i="18"/>
  <c r="B735" i="18"/>
  <c r="B734" i="18"/>
  <c r="B733" i="18"/>
  <c r="B732" i="18"/>
  <c r="B731" i="18"/>
  <c r="B730" i="18"/>
  <c r="B729" i="18"/>
  <c r="B728" i="18"/>
  <c r="B727" i="18"/>
  <c r="B726" i="18"/>
  <c r="B725" i="18"/>
  <c r="B724" i="18"/>
  <c r="B723" i="18"/>
  <c r="B722" i="18"/>
  <c r="B721" i="18"/>
  <c r="B720" i="18"/>
  <c r="B719" i="18"/>
  <c r="B718" i="18"/>
  <c r="B717" i="18"/>
  <c r="B716" i="18"/>
  <c r="B715" i="18"/>
  <c r="B714" i="18"/>
  <c r="B713" i="18"/>
  <c r="B712" i="18"/>
  <c r="B711" i="18"/>
  <c r="B710" i="18"/>
  <c r="B709" i="18"/>
  <c r="B708" i="18"/>
  <c r="B707" i="18"/>
  <c r="B706" i="18"/>
  <c r="B705" i="18"/>
  <c r="B704" i="18"/>
  <c r="B703" i="18"/>
  <c r="B702" i="18"/>
  <c r="B701" i="18"/>
  <c r="B700" i="18"/>
  <c r="B699" i="18"/>
  <c r="B698" i="18"/>
  <c r="B697" i="18"/>
  <c r="B696" i="18"/>
  <c r="B695" i="18"/>
  <c r="B694" i="18"/>
  <c r="B693" i="18"/>
  <c r="B692" i="18"/>
  <c r="B691" i="18"/>
  <c r="B690" i="18"/>
  <c r="B689" i="18"/>
  <c r="B688" i="18"/>
  <c r="B687" i="18"/>
  <c r="B686" i="18"/>
  <c r="B685" i="18"/>
  <c r="B684" i="18"/>
  <c r="B683" i="18"/>
  <c r="B682" i="18"/>
  <c r="B681" i="18"/>
  <c r="B680" i="18"/>
  <c r="B679" i="18"/>
  <c r="B678" i="18"/>
  <c r="B677" i="18"/>
  <c r="B676" i="18"/>
  <c r="B675" i="18"/>
  <c r="B674" i="18"/>
  <c r="B673" i="18"/>
  <c r="B672" i="18"/>
  <c r="B671" i="18"/>
  <c r="B670" i="18"/>
  <c r="B669" i="18"/>
  <c r="B668" i="18"/>
  <c r="B667" i="18"/>
  <c r="B666" i="18"/>
  <c r="B665" i="18"/>
  <c r="B664" i="18"/>
  <c r="B663" i="18"/>
  <c r="B662" i="18"/>
  <c r="B661" i="18"/>
  <c r="B660" i="18"/>
  <c r="B659" i="18"/>
  <c r="B658" i="18"/>
  <c r="B657" i="18"/>
  <c r="B656" i="18"/>
  <c r="B655" i="18"/>
  <c r="B654" i="18"/>
  <c r="B653" i="18"/>
  <c r="B652" i="18"/>
  <c r="B651" i="18"/>
  <c r="B650" i="18"/>
  <c r="B649" i="18"/>
  <c r="B648" i="18"/>
  <c r="B647" i="18"/>
  <c r="B646" i="18"/>
  <c r="B645" i="18"/>
  <c r="B644" i="18"/>
  <c r="B643" i="18"/>
  <c r="B642" i="18"/>
  <c r="B641" i="18"/>
  <c r="B640" i="18"/>
  <c r="B639" i="18"/>
  <c r="B638" i="18"/>
  <c r="B637" i="18"/>
  <c r="B636" i="18"/>
  <c r="B635" i="18"/>
  <c r="B634" i="18"/>
  <c r="B633" i="18"/>
  <c r="B632" i="18"/>
  <c r="B631" i="18"/>
  <c r="B630" i="18"/>
  <c r="B629" i="18"/>
  <c r="B628" i="18"/>
  <c r="B627" i="18"/>
  <c r="B626" i="18"/>
  <c r="B625" i="18"/>
  <c r="B624" i="18"/>
  <c r="B623" i="18"/>
  <c r="B622" i="18"/>
  <c r="B621" i="18"/>
  <c r="B620" i="18"/>
  <c r="B619" i="18"/>
  <c r="B618" i="18"/>
  <c r="B617" i="18"/>
  <c r="B616" i="18"/>
  <c r="B615" i="18"/>
  <c r="B614" i="18"/>
  <c r="B613" i="18"/>
  <c r="B612" i="18"/>
  <c r="B611" i="18"/>
  <c r="B610" i="18"/>
  <c r="B609" i="18"/>
  <c r="B608" i="18"/>
  <c r="B607" i="18"/>
  <c r="B606" i="18"/>
  <c r="B605" i="18"/>
  <c r="B604" i="18"/>
  <c r="B603" i="18"/>
  <c r="B602" i="18"/>
  <c r="B601" i="18"/>
  <c r="B600" i="18"/>
  <c r="B599" i="18"/>
  <c r="B598" i="18"/>
  <c r="B597" i="18"/>
  <c r="B596" i="18"/>
  <c r="B595" i="18"/>
  <c r="B594" i="18"/>
  <c r="B593" i="18"/>
  <c r="B592" i="18"/>
  <c r="B591" i="18"/>
  <c r="B590" i="18"/>
  <c r="B589" i="18"/>
  <c r="B588" i="18"/>
  <c r="B587" i="18"/>
  <c r="B586" i="18"/>
  <c r="B585" i="18"/>
  <c r="B584" i="18"/>
  <c r="B583" i="18"/>
  <c r="B582" i="18"/>
  <c r="B581" i="18"/>
  <c r="B580" i="18"/>
  <c r="B579" i="18"/>
  <c r="B578" i="18"/>
  <c r="B577" i="18"/>
  <c r="B576" i="18"/>
  <c r="B575" i="18"/>
  <c r="B574" i="18"/>
  <c r="B573" i="18"/>
  <c r="B572" i="18"/>
  <c r="B571" i="18"/>
  <c r="B570" i="18"/>
  <c r="B569" i="18"/>
  <c r="B568" i="18"/>
  <c r="B567" i="18"/>
  <c r="B566" i="18"/>
  <c r="B565" i="18"/>
  <c r="B564" i="18"/>
  <c r="B563" i="18"/>
  <c r="B562" i="18"/>
  <c r="B561" i="18"/>
  <c r="B560" i="18"/>
  <c r="B559" i="18"/>
  <c r="B558" i="18"/>
  <c r="B557" i="18"/>
  <c r="B556" i="18"/>
  <c r="B555" i="18"/>
  <c r="B554" i="18"/>
  <c r="B553" i="18"/>
  <c r="B552" i="18"/>
  <c r="B551" i="18"/>
  <c r="B550" i="18"/>
  <c r="B549" i="18"/>
  <c r="B548" i="18"/>
  <c r="B547" i="18"/>
  <c r="B546" i="18"/>
  <c r="B545" i="18"/>
  <c r="B544" i="18"/>
  <c r="B543" i="18"/>
  <c r="B542" i="18"/>
  <c r="B541" i="18"/>
  <c r="B540" i="18"/>
  <c r="B539" i="18"/>
  <c r="B538" i="18"/>
  <c r="B537" i="18"/>
  <c r="B536" i="18"/>
  <c r="B535" i="18"/>
  <c r="B534" i="18"/>
  <c r="B533" i="18"/>
  <c r="B532" i="18"/>
  <c r="B531" i="18"/>
  <c r="B530" i="18"/>
  <c r="B529" i="18"/>
  <c r="B528" i="18"/>
  <c r="B527" i="18"/>
  <c r="B526" i="18"/>
  <c r="B525" i="18"/>
  <c r="B524" i="18"/>
  <c r="B523" i="18"/>
  <c r="B522" i="18"/>
  <c r="B521" i="18"/>
  <c r="B520" i="18"/>
  <c r="B519" i="18"/>
  <c r="B518" i="18"/>
  <c r="B517" i="18"/>
  <c r="B516" i="18"/>
  <c r="B515" i="18"/>
  <c r="B514" i="18"/>
  <c r="B513" i="18"/>
  <c r="B512" i="18"/>
  <c r="B511" i="18"/>
  <c r="B510" i="18"/>
  <c r="B509" i="18"/>
  <c r="B508" i="18"/>
  <c r="B507" i="18"/>
  <c r="B506" i="18"/>
  <c r="B505" i="18"/>
  <c r="B504" i="18"/>
  <c r="B503" i="18"/>
  <c r="B502" i="18"/>
  <c r="B501" i="18"/>
  <c r="B500" i="18"/>
  <c r="B499" i="18"/>
  <c r="B498" i="18"/>
  <c r="B497" i="18"/>
  <c r="B496" i="18"/>
  <c r="B495" i="18"/>
  <c r="B494" i="18"/>
  <c r="B493" i="18"/>
  <c r="B492" i="18"/>
  <c r="B491" i="18"/>
  <c r="B490" i="18"/>
  <c r="B489" i="18"/>
  <c r="B488" i="18"/>
  <c r="B487" i="18"/>
  <c r="B486" i="18"/>
  <c r="B485" i="18"/>
  <c r="B484" i="18"/>
  <c r="B483" i="18"/>
  <c r="B482" i="18"/>
  <c r="B481" i="18"/>
  <c r="B480" i="18"/>
  <c r="B479" i="18"/>
  <c r="B478" i="18"/>
  <c r="B477" i="18"/>
  <c r="B476" i="18"/>
  <c r="B475" i="18"/>
  <c r="B474" i="18"/>
  <c r="B473" i="18"/>
  <c r="B472" i="18"/>
  <c r="B471" i="18"/>
  <c r="B470" i="18"/>
  <c r="B469" i="18"/>
  <c r="B468" i="18"/>
  <c r="B467" i="18"/>
  <c r="B466" i="18"/>
  <c r="B465" i="18"/>
  <c r="B464" i="18"/>
  <c r="B463" i="18"/>
  <c r="B462" i="18"/>
  <c r="B461" i="18"/>
  <c r="B460" i="18"/>
  <c r="B459" i="18"/>
  <c r="B458" i="18"/>
  <c r="B457" i="18"/>
  <c r="B456" i="18"/>
  <c r="B455" i="18"/>
  <c r="B454" i="18"/>
  <c r="B453" i="18"/>
  <c r="B452" i="18"/>
  <c r="B451" i="18"/>
  <c r="B450" i="18"/>
  <c r="B449" i="18"/>
  <c r="B448" i="18"/>
  <c r="B447" i="18"/>
  <c r="B446" i="18"/>
  <c r="B445" i="18"/>
  <c r="B444" i="18"/>
  <c r="B443" i="18"/>
  <c r="B442" i="18"/>
  <c r="B441" i="18"/>
  <c r="B440" i="18"/>
  <c r="B439" i="18"/>
  <c r="B438" i="18"/>
  <c r="B437" i="18"/>
  <c r="B436" i="18"/>
  <c r="B435" i="18"/>
  <c r="B434" i="18"/>
  <c r="B433" i="18"/>
  <c r="B432" i="18"/>
  <c r="B431" i="18"/>
  <c r="B430" i="18"/>
  <c r="B429" i="18"/>
  <c r="B428" i="18"/>
  <c r="B427" i="18"/>
  <c r="B426" i="18"/>
  <c r="B425" i="18"/>
  <c r="B424" i="18"/>
  <c r="B423" i="18"/>
  <c r="B422" i="18"/>
  <c r="B421" i="18"/>
  <c r="B420" i="18"/>
  <c r="B419" i="18"/>
  <c r="B418" i="18"/>
  <c r="B417" i="18"/>
  <c r="B416" i="18"/>
  <c r="B415" i="18"/>
  <c r="B414" i="18"/>
  <c r="B413" i="18"/>
  <c r="B412" i="18"/>
  <c r="B411" i="18"/>
  <c r="B410" i="18"/>
  <c r="B409" i="18"/>
  <c r="B408" i="18"/>
  <c r="B407" i="18"/>
  <c r="B406" i="18"/>
  <c r="B405" i="18"/>
  <c r="B404" i="18"/>
  <c r="B403" i="18"/>
  <c r="B402" i="18"/>
  <c r="B398" i="18"/>
  <c r="B397" i="18"/>
  <c r="B396" i="18"/>
  <c r="B395" i="18"/>
  <c r="B394" i="18"/>
  <c r="B393" i="18"/>
  <c r="B392" i="18"/>
  <c r="B391" i="18"/>
  <c r="B390" i="18"/>
  <c r="B389" i="18"/>
  <c r="B388" i="18"/>
  <c r="B387" i="18"/>
  <c r="B386" i="18"/>
  <c r="B385" i="18"/>
  <c r="B384" i="18"/>
  <c r="B383" i="18"/>
  <c r="B382" i="18"/>
  <c r="B381" i="18"/>
  <c r="B380" i="18"/>
  <c r="B379" i="18"/>
  <c r="B378" i="18"/>
  <c r="B377" i="18"/>
  <c r="B376" i="18"/>
  <c r="B375" i="18"/>
  <c r="B374" i="18"/>
  <c r="B373" i="18"/>
  <c r="B372" i="18"/>
  <c r="B371" i="18"/>
  <c r="B370" i="18"/>
  <c r="B369" i="18"/>
  <c r="B368" i="18"/>
  <c r="B367" i="18"/>
  <c r="B366" i="18"/>
  <c r="B365" i="18"/>
  <c r="B364" i="18"/>
  <c r="B363" i="18"/>
  <c r="B362" i="18"/>
  <c r="B361" i="18"/>
  <c r="B360" i="18"/>
  <c r="B359" i="18"/>
  <c r="B358" i="18"/>
  <c r="B357" i="18"/>
  <c r="B356" i="18"/>
  <c r="B355" i="18"/>
  <c r="B354" i="18"/>
  <c r="B353" i="18"/>
  <c r="B352" i="18"/>
  <c r="B351"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4" i="18"/>
  <c r="B303" i="18"/>
  <c r="B302" i="18"/>
  <c r="B301" i="18"/>
  <c r="B300" i="18"/>
  <c r="B299" i="18"/>
  <c r="B298" i="18"/>
  <c r="B297" i="18"/>
  <c r="B296" i="18"/>
  <c r="B295" i="18"/>
  <c r="B294" i="18"/>
  <c r="B293" i="18"/>
  <c r="B292" i="18"/>
  <c r="B291" i="18"/>
  <c r="B290" i="18"/>
  <c r="B289" i="18"/>
  <c r="B288" i="18"/>
  <c r="B287" i="18"/>
  <c r="B286" i="18"/>
  <c r="B285" i="18"/>
  <c r="B284" i="18"/>
  <c r="B283" i="18"/>
  <c r="B282" i="18"/>
  <c r="B281" i="18"/>
  <c r="B280" i="18"/>
  <c r="B279" i="18"/>
  <c r="B278" i="18"/>
  <c r="B277" i="18"/>
  <c r="B276" i="18"/>
  <c r="B275" i="18"/>
  <c r="B274" i="18"/>
  <c r="B273" i="18"/>
  <c r="B272" i="18"/>
  <c r="B271" i="18"/>
  <c r="B270" i="18"/>
  <c r="B269" i="18"/>
  <c r="B268" i="18"/>
  <c r="B267" i="18"/>
  <c r="B266" i="18"/>
  <c r="B265" i="18"/>
  <c r="B264" i="18"/>
  <c r="B263" i="18"/>
  <c r="B262" i="18"/>
  <c r="B261" i="18"/>
  <c r="B260" i="18"/>
  <c r="B259" i="18"/>
  <c r="B258" i="18"/>
  <c r="B257" i="18"/>
  <c r="B256" i="18"/>
  <c r="B255" i="18"/>
  <c r="B254" i="18"/>
  <c r="B253" i="18"/>
  <c r="B252" i="18"/>
  <c r="B251" i="18"/>
  <c r="B250" i="18"/>
  <c r="B249" i="18"/>
  <c r="B248" i="18"/>
  <c r="B247" i="18"/>
  <c r="B246" i="18"/>
  <c r="B245" i="18"/>
  <c r="B244" i="18"/>
  <c r="B243" i="18"/>
  <c r="B242" i="18"/>
  <c r="B241" i="18"/>
  <c r="B240" i="18"/>
  <c r="B239" i="18"/>
  <c r="B238" i="18"/>
  <c r="B237" i="18"/>
  <c r="B236" i="18"/>
  <c r="B235" i="18"/>
  <c r="B234" i="18"/>
  <c r="B233" i="18"/>
  <c r="B232" i="18"/>
  <c r="B231" i="18"/>
  <c r="B230" i="18"/>
  <c r="B229" i="18"/>
  <c r="B228" i="18"/>
  <c r="B227" i="18"/>
  <c r="B226" i="18"/>
  <c r="B225" i="18"/>
  <c r="B224" i="18"/>
  <c r="B223" i="18"/>
  <c r="B222" i="18"/>
  <c r="B221" i="18"/>
  <c r="B220" i="18"/>
  <c r="B219" i="18"/>
  <c r="B218" i="18"/>
  <c r="B217" i="18"/>
  <c r="B216" i="18"/>
  <c r="B215" i="18"/>
  <c r="B214" i="18"/>
  <c r="B213" i="18"/>
  <c r="B212" i="18"/>
  <c r="B211" i="18"/>
  <c r="B210" i="18"/>
  <c r="B209" i="18"/>
  <c r="B208" i="18"/>
  <c r="B207" i="18"/>
  <c r="B206" i="18"/>
  <c r="B205" i="18"/>
  <c r="B204" i="18"/>
  <c r="B203" i="18"/>
  <c r="B202" i="18"/>
  <c r="B201" i="18"/>
  <c r="B200" i="18"/>
  <c r="B199" i="18"/>
  <c r="B198" i="18"/>
  <c r="B197" i="18"/>
  <c r="B196" i="18"/>
  <c r="B195" i="18"/>
  <c r="B194" i="18"/>
  <c r="B193" i="18"/>
  <c r="B192" i="18"/>
  <c r="B191" i="18"/>
  <c r="B190" i="18"/>
  <c r="B189" i="18"/>
  <c r="B188" i="18"/>
  <c r="B187" i="18"/>
  <c r="B186" i="18"/>
  <c r="B185" i="18"/>
  <c r="B184" i="18"/>
  <c r="B183" i="18"/>
  <c r="B182" i="18"/>
  <c r="B181" i="18"/>
  <c r="B180" i="18"/>
  <c r="B179" i="18"/>
  <c r="B178" i="18"/>
  <c r="B177" i="18"/>
  <c r="B176" i="18"/>
  <c r="B175" i="18"/>
  <c r="B174" i="18"/>
  <c r="B173" i="18"/>
  <c r="B172" i="18"/>
  <c r="B171" i="18"/>
  <c r="B170" i="18"/>
  <c r="B169" i="18"/>
  <c r="B168" i="18"/>
  <c r="B167" i="18"/>
  <c r="B166" i="18"/>
  <c r="B165" i="18"/>
  <c r="B164" i="18"/>
  <c r="B163" i="18"/>
  <c r="B162" i="18"/>
  <c r="B161" i="18"/>
  <c r="B160" i="18"/>
  <c r="B159" i="18"/>
  <c r="B158" i="18"/>
  <c r="B157" i="18"/>
  <c r="B156" i="18"/>
  <c r="B155" i="18"/>
  <c r="B154" i="18"/>
  <c r="B153" i="18"/>
  <c r="B152" i="18"/>
  <c r="B151" i="18"/>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34" i="18"/>
  <c r="B28" i="18"/>
  <c r="B11" i="18"/>
  <c r="B5" i="18"/>
  <c r="D70" i="25"/>
  <c r="AM61" i="5"/>
  <c r="D109" i="5" s="1"/>
  <c r="AI61" i="5"/>
  <c r="D106" i="5" s="1"/>
  <c r="D114" i="1"/>
  <c r="T49" i="24"/>
  <c r="U49" i="24" s="1"/>
  <c r="V49" i="24" s="1"/>
  <c r="J49" i="24"/>
  <c r="I49" i="24"/>
  <c r="M49" i="24" s="1"/>
  <c r="T48" i="24"/>
  <c r="U48" i="24" s="1"/>
  <c r="V48" i="24" s="1"/>
  <c r="J48" i="24"/>
  <c r="I48" i="24"/>
  <c r="M48" i="24" s="1"/>
  <c r="T47" i="24"/>
  <c r="U47" i="24" s="1"/>
  <c r="V47" i="24" s="1"/>
  <c r="J47" i="24"/>
  <c r="I47" i="24"/>
  <c r="L47" i="24" s="1"/>
  <c r="T46" i="24"/>
  <c r="U46" i="24" s="1"/>
  <c r="V46" i="24" s="1"/>
  <c r="J46" i="24"/>
  <c r="I46" i="24"/>
  <c r="M46" i="24" s="1"/>
  <c r="T45" i="24"/>
  <c r="U45" i="24" s="1"/>
  <c r="V45" i="24" s="1"/>
  <c r="J45" i="24"/>
  <c r="I45" i="24"/>
  <c r="T44" i="24"/>
  <c r="U44" i="24" s="1"/>
  <c r="V44" i="24" s="1"/>
  <c r="J44" i="24"/>
  <c r="I44" i="24"/>
  <c r="M44" i="24" s="1"/>
  <c r="T43" i="24"/>
  <c r="U43" i="24" s="1"/>
  <c r="V43" i="24" s="1"/>
  <c r="J43" i="24"/>
  <c r="I43" i="24"/>
  <c r="T42" i="24"/>
  <c r="U42" i="24" s="1"/>
  <c r="V42" i="24" s="1"/>
  <c r="J42" i="24"/>
  <c r="I42" i="24"/>
  <c r="M42" i="24" s="1"/>
  <c r="T41" i="24"/>
  <c r="U41" i="24" s="1"/>
  <c r="V41" i="24" s="1"/>
  <c r="J41" i="24"/>
  <c r="I41" i="24"/>
  <c r="T40" i="24"/>
  <c r="U40" i="24" s="1"/>
  <c r="V40" i="24" s="1"/>
  <c r="J40" i="24"/>
  <c r="I40" i="24"/>
  <c r="M40" i="24" s="1"/>
  <c r="T39" i="24"/>
  <c r="U39" i="24" s="1"/>
  <c r="V39" i="24" s="1"/>
  <c r="J39" i="24"/>
  <c r="I39" i="24"/>
  <c r="T38" i="24"/>
  <c r="U38" i="24" s="1"/>
  <c r="V38" i="24" s="1"/>
  <c r="J38" i="24"/>
  <c r="I38" i="24"/>
  <c r="L38" i="24" s="1"/>
  <c r="T37" i="24"/>
  <c r="U37" i="24" s="1"/>
  <c r="V37" i="24" s="1"/>
  <c r="J37" i="24"/>
  <c r="I37" i="24"/>
  <c r="M37" i="24" s="1"/>
  <c r="T36" i="24"/>
  <c r="U36" i="24" s="1"/>
  <c r="V36" i="24" s="1"/>
  <c r="J36" i="24"/>
  <c r="I36" i="24"/>
  <c r="M36" i="24" s="1"/>
  <c r="T35" i="24"/>
  <c r="U35" i="24" s="1"/>
  <c r="V35" i="24" s="1"/>
  <c r="J35" i="24"/>
  <c r="I35" i="24"/>
  <c r="T34" i="24"/>
  <c r="U34" i="24" s="1"/>
  <c r="V34" i="24" s="1"/>
  <c r="J34" i="24"/>
  <c r="I34" i="24"/>
  <c r="M34" i="24" s="1"/>
  <c r="T33" i="24"/>
  <c r="U33" i="24" s="1"/>
  <c r="V33" i="24" s="1"/>
  <c r="J33" i="24"/>
  <c r="I33" i="24"/>
  <c r="M33" i="24" s="1"/>
  <c r="T32" i="24"/>
  <c r="U32" i="24" s="1"/>
  <c r="V32" i="24" s="1"/>
  <c r="J32" i="24"/>
  <c r="I32" i="24"/>
  <c r="M32" i="24" s="1"/>
  <c r="T31" i="24"/>
  <c r="U31" i="24" s="1"/>
  <c r="V31" i="24" s="1"/>
  <c r="J31" i="24"/>
  <c r="I31" i="24"/>
  <c r="L31" i="24" s="1"/>
  <c r="T30" i="24"/>
  <c r="U30" i="24" s="1"/>
  <c r="V30" i="24" s="1"/>
  <c r="J30" i="24"/>
  <c r="I30" i="24"/>
  <c r="L30" i="24" s="1"/>
  <c r="T29" i="24"/>
  <c r="U29" i="24" s="1"/>
  <c r="V29" i="24" s="1"/>
  <c r="J29" i="24"/>
  <c r="I29" i="24"/>
  <c r="M29" i="24" s="1"/>
  <c r="T28" i="24"/>
  <c r="U28" i="24" s="1"/>
  <c r="V28" i="24" s="1"/>
  <c r="J28" i="24"/>
  <c r="I28" i="24"/>
  <c r="M28" i="24" s="1"/>
  <c r="T27" i="24"/>
  <c r="U27" i="24" s="1"/>
  <c r="V27" i="24" s="1"/>
  <c r="J27" i="24"/>
  <c r="I27" i="24"/>
  <c r="T26" i="24"/>
  <c r="U26" i="24" s="1"/>
  <c r="V26" i="24" s="1"/>
  <c r="J26" i="24"/>
  <c r="I26" i="24"/>
  <c r="M26" i="24" s="1"/>
  <c r="T25" i="24"/>
  <c r="U25" i="24" s="1"/>
  <c r="V25" i="24" s="1"/>
  <c r="J25" i="24"/>
  <c r="I25" i="24"/>
  <c r="M25" i="24" s="1"/>
  <c r="T24" i="24"/>
  <c r="U24" i="24" s="1"/>
  <c r="V24" i="24" s="1"/>
  <c r="J24" i="24"/>
  <c r="I24" i="24"/>
  <c r="M24" i="24" s="1"/>
  <c r="T23" i="24"/>
  <c r="U23" i="24" s="1"/>
  <c r="V23" i="24" s="1"/>
  <c r="J23" i="24"/>
  <c r="I23" i="24"/>
  <c r="L23" i="24" s="1"/>
  <c r="T22" i="24"/>
  <c r="U22" i="24" s="1"/>
  <c r="V22" i="24" s="1"/>
  <c r="J22" i="24"/>
  <c r="I22" i="24"/>
  <c r="L22" i="24" s="1"/>
  <c r="T21" i="24"/>
  <c r="U21" i="24" s="1"/>
  <c r="V21" i="24" s="1"/>
  <c r="J21" i="24"/>
  <c r="I21" i="24"/>
  <c r="M21" i="24" s="1"/>
  <c r="T20" i="24"/>
  <c r="U20" i="24" s="1"/>
  <c r="V20" i="24" s="1"/>
  <c r="J20" i="24"/>
  <c r="I20" i="24"/>
  <c r="M20" i="24" s="1"/>
  <c r="T19" i="24"/>
  <c r="U19" i="24" s="1"/>
  <c r="V19" i="24" s="1"/>
  <c r="J19" i="24"/>
  <c r="I19" i="24"/>
  <c r="T18" i="24"/>
  <c r="U18" i="24" s="1"/>
  <c r="V18" i="24" s="1"/>
  <c r="J18" i="24"/>
  <c r="I18" i="24"/>
  <c r="T17" i="24"/>
  <c r="U17" i="24" s="1"/>
  <c r="V17" i="24" s="1"/>
  <c r="J17" i="24"/>
  <c r="I17" i="24"/>
  <c r="M17" i="24" s="1"/>
  <c r="T16" i="24"/>
  <c r="U16" i="24" s="1"/>
  <c r="V16" i="24" s="1"/>
  <c r="J16" i="24"/>
  <c r="I16" i="24"/>
  <c r="M16" i="24" s="1"/>
  <c r="T15" i="24"/>
  <c r="U15" i="24" s="1"/>
  <c r="V15" i="24" s="1"/>
  <c r="S15" i="24"/>
  <c r="S14" i="24" s="1"/>
  <c r="S13" i="24" s="1"/>
  <c r="S12" i="24" s="1"/>
  <c r="S11" i="24" s="1"/>
  <c r="S10" i="24" s="1"/>
  <c r="S9" i="24" s="1"/>
  <c r="S8" i="24" s="1"/>
  <c r="S7" i="24" s="1"/>
  <c r="S6" i="24" s="1"/>
  <c r="S5" i="24" s="1"/>
  <c r="S4" i="24" s="1"/>
  <c r="I15" i="24"/>
  <c r="L15" i="24" s="1"/>
  <c r="G15" i="24"/>
  <c r="G14" i="24" s="1"/>
  <c r="E15" i="24"/>
  <c r="E14" i="24" s="1"/>
  <c r="E13" i="24" s="1"/>
  <c r="E12" i="24" s="1"/>
  <c r="E11" i="24" s="1"/>
  <c r="E10" i="24" s="1"/>
  <c r="E9" i="24" s="1"/>
  <c r="E8" i="24" s="1"/>
  <c r="E7" i="24" s="1"/>
  <c r="E6" i="24" s="1"/>
  <c r="E5" i="24" s="1"/>
  <c r="E4" i="24" s="1"/>
  <c r="T14" i="24"/>
  <c r="U14" i="24" s="1"/>
  <c r="V14" i="24" s="1"/>
  <c r="I14" i="24"/>
  <c r="T13" i="24"/>
  <c r="U13" i="24" s="1"/>
  <c r="V13" i="24" s="1"/>
  <c r="I13" i="24"/>
  <c r="M13" i="24" s="1"/>
  <c r="T12" i="24"/>
  <c r="U12" i="24" s="1"/>
  <c r="V12" i="24" s="1"/>
  <c r="I12" i="24"/>
  <c r="L12" i="24" s="1"/>
  <c r="T11" i="24"/>
  <c r="U11" i="24" s="1"/>
  <c r="V11" i="24" s="1"/>
  <c r="I11" i="24"/>
  <c r="T10" i="24"/>
  <c r="U10" i="24" s="1"/>
  <c r="V10" i="24" s="1"/>
  <c r="I10" i="24"/>
  <c r="T9" i="24"/>
  <c r="U9" i="24" s="1"/>
  <c r="V9" i="24" s="1"/>
  <c r="I9" i="24"/>
  <c r="M9" i="24" s="1"/>
  <c r="T8" i="24"/>
  <c r="U8" i="24" s="1"/>
  <c r="V8" i="24" s="1"/>
  <c r="I8" i="24"/>
  <c r="L8" i="24" s="1"/>
  <c r="T7" i="24"/>
  <c r="U7" i="24" s="1"/>
  <c r="V7" i="24" s="1"/>
  <c r="I7" i="24"/>
  <c r="T6" i="24"/>
  <c r="U6" i="24" s="1"/>
  <c r="V6" i="24" s="1"/>
  <c r="I6" i="24"/>
  <c r="T5" i="24"/>
  <c r="T4" i="24" s="1"/>
  <c r="I5" i="24"/>
  <c r="M5" i="24" s="1"/>
  <c r="M4" i="24" s="1"/>
  <c r="R4" i="24"/>
  <c r="K4" i="24"/>
  <c r="F4" i="24"/>
  <c r="I4" i="24" s="1"/>
  <c r="D4" i="24"/>
  <c r="R3" i="24" a="1"/>
  <c r="I3" i="24" a="1"/>
  <c r="K3" i="24" s="1"/>
  <c r="AS4" i="22" a="1"/>
  <c r="AT4" i="22" s="1"/>
  <c r="K4" i="22" a="1"/>
  <c r="O4" i="22" s="1"/>
  <c r="E4" i="22" a="1"/>
  <c r="D3" i="21" a="1"/>
  <c r="D3" i="21" s="1"/>
  <c r="D2" i="15" a="1"/>
  <c r="J116" i="20"/>
  <c r="I116" i="20"/>
  <c r="BE50" i="20" s="1"/>
  <c r="BF50" i="20" s="1"/>
  <c r="G116" i="20"/>
  <c r="J115" i="20"/>
  <c r="I115" i="20"/>
  <c r="BE49" i="20" s="1"/>
  <c r="BF49" i="20" s="1"/>
  <c r="G115" i="20"/>
  <c r="J114" i="20"/>
  <c r="I114" i="20"/>
  <c r="BE48" i="20" s="1"/>
  <c r="BF48" i="20" s="1"/>
  <c r="G114" i="20"/>
  <c r="J113" i="20"/>
  <c r="I113" i="20"/>
  <c r="BE47" i="20" s="1"/>
  <c r="BF47" i="20" s="1"/>
  <c r="G113" i="20"/>
  <c r="J112" i="20"/>
  <c r="I112" i="20"/>
  <c r="BE46" i="20" s="1"/>
  <c r="BF46" i="20" s="1"/>
  <c r="G112" i="20"/>
  <c r="J111" i="20"/>
  <c r="I111" i="20"/>
  <c r="BE45" i="20" s="1"/>
  <c r="BF45" i="20" s="1"/>
  <c r="G111" i="20"/>
  <c r="J110" i="20"/>
  <c r="I110" i="20"/>
  <c r="BE44" i="20" s="1"/>
  <c r="BF44" i="20" s="1"/>
  <c r="G110" i="20"/>
  <c r="J109" i="20"/>
  <c r="I109" i="20"/>
  <c r="BE43" i="20" s="1"/>
  <c r="BF43" i="20" s="1"/>
  <c r="G109" i="20"/>
  <c r="J108" i="20"/>
  <c r="I108" i="20"/>
  <c r="BE42" i="20" s="1"/>
  <c r="BF42" i="20" s="1"/>
  <c r="G108" i="20"/>
  <c r="J107" i="20"/>
  <c r="I107" i="20"/>
  <c r="BE41" i="20" s="1"/>
  <c r="BF41" i="20" s="1"/>
  <c r="G107" i="20"/>
  <c r="J106" i="20"/>
  <c r="I106" i="20"/>
  <c r="BE40" i="20" s="1"/>
  <c r="BF40" i="20" s="1"/>
  <c r="G106" i="20"/>
  <c r="J105" i="20"/>
  <c r="I105" i="20"/>
  <c r="BE39" i="20" s="1"/>
  <c r="BF39" i="20" s="1"/>
  <c r="G105" i="20"/>
  <c r="J104" i="20"/>
  <c r="I104" i="20"/>
  <c r="BE38" i="20" s="1"/>
  <c r="BF38" i="20" s="1"/>
  <c r="G104" i="20"/>
  <c r="J103" i="20"/>
  <c r="I103" i="20"/>
  <c r="BE37" i="20" s="1"/>
  <c r="BF37" i="20" s="1"/>
  <c r="G103" i="20"/>
  <c r="J102" i="20"/>
  <c r="I102" i="20"/>
  <c r="BE36" i="20" s="1"/>
  <c r="BF36" i="20" s="1"/>
  <c r="G102" i="20"/>
  <c r="J101" i="20"/>
  <c r="I101" i="20"/>
  <c r="BE35" i="20" s="1"/>
  <c r="BF35" i="20" s="1"/>
  <c r="G101" i="20"/>
  <c r="J100" i="20"/>
  <c r="I100" i="20"/>
  <c r="BE34" i="20" s="1"/>
  <c r="BF34" i="20" s="1"/>
  <c r="G100" i="20"/>
  <c r="J99" i="20"/>
  <c r="I99" i="20"/>
  <c r="BE33" i="20" s="1"/>
  <c r="BF33" i="20" s="1"/>
  <c r="G99" i="20"/>
  <c r="J98" i="20"/>
  <c r="I98" i="20"/>
  <c r="BE32" i="20" s="1"/>
  <c r="BF32" i="20" s="1"/>
  <c r="G98" i="20"/>
  <c r="J97" i="20"/>
  <c r="I97" i="20"/>
  <c r="BE31" i="20" s="1"/>
  <c r="BF31" i="20" s="1"/>
  <c r="G97" i="20"/>
  <c r="J96" i="20"/>
  <c r="I96" i="20"/>
  <c r="BE30" i="20" s="1"/>
  <c r="BF30" i="20" s="1"/>
  <c r="G96" i="20"/>
  <c r="J95" i="20"/>
  <c r="I95" i="20"/>
  <c r="BE29" i="20" s="1"/>
  <c r="BF29" i="20" s="1"/>
  <c r="G95" i="20"/>
  <c r="J94" i="20"/>
  <c r="I94" i="20"/>
  <c r="BE28" i="20" s="1"/>
  <c r="BF28" i="20" s="1"/>
  <c r="G94" i="20"/>
  <c r="J93" i="20"/>
  <c r="I93" i="20"/>
  <c r="BE27" i="20" s="1"/>
  <c r="BF27" i="20" s="1"/>
  <c r="G93" i="20"/>
  <c r="J92" i="20"/>
  <c r="G92" i="20"/>
  <c r="J91" i="20"/>
  <c r="I91" i="20"/>
  <c r="BE25" i="20" s="1"/>
  <c r="BF25" i="20" s="1"/>
  <c r="G91" i="20"/>
  <c r="J90" i="20"/>
  <c r="I90" i="20"/>
  <c r="BE24" i="20" s="1"/>
  <c r="BF24" i="20" s="1"/>
  <c r="G90" i="20"/>
  <c r="J89" i="20"/>
  <c r="I89" i="20"/>
  <c r="BE23" i="20" s="1"/>
  <c r="BF23" i="20" s="1"/>
  <c r="G89" i="20"/>
  <c r="J88" i="20"/>
  <c r="I88" i="20"/>
  <c r="BE22" i="20" s="1"/>
  <c r="BF22" i="20" s="1"/>
  <c r="G88" i="20"/>
  <c r="J87" i="20"/>
  <c r="I87" i="20"/>
  <c r="BE21" i="20" s="1"/>
  <c r="BF21" i="20" s="1"/>
  <c r="G87" i="20"/>
  <c r="J86" i="20"/>
  <c r="I86" i="20"/>
  <c r="BE20" i="20" s="1"/>
  <c r="BF20" i="20" s="1"/>
  <c r="G86" i="20"/>
  <c r="J85" i="20"/>
  <c r="I85" i="20"/>
  <c r="BE19" i="20" s="1"/>
  <c r="BF19" i="20" s="1"/>
  <c r="G85" i="20"/>
  <c r="J84" i="20"/>
  <c r="I84" i="20"/>
  <c r="BE18" i="20" s="1"/>
  <c r="BF18" i="20" s="1"/>
  <c r="G84" i="20"/>
  <c r="J83" i="20"/>
  <c r="I83" i="20"/>
  <c r="BE17" i="20" s="1"/>
  <c r="BF17" i="20" s="1"/>
  <c r="G83" i="20"/>
  <c r="J82" i="20"/>
  <c r="I82" i="20"/>
  <c r="BE16" i="20" s="1"/>
  <c r="G82" i="20"/>
  <c r="J80" i="20"/>
  <c r="I80" i="20"/>
  <c r="G80" i="20"/>
  <c r="J54" i="20"/>
  <c r="G54" i="20"/>
  <c r="J53" i="20"/>
  <c r="G53" i="20"/>
  <c r="J52" i="20"/>
  <c r="G52" i="20"/>
  <c r="J51" i="20"/>
  <c r="BD47" i="20"/>
  <c r="G51" i="20"/>
  <c r="J50" i="20"/>
  <c r="BD46" i="20"/>
  <c r="G50" i="20"/>
  <c r="BO49" i="20"/>
  <c r="BN49" i="20"/>
  <c r="AW49" i="20"/>
  <c r="J49" i="20"/>
  <c r="G49" i="20"/>
  <c r="BO48" i="20"/>
  <c r="BN48" i="20"/>
  <c r="AW48" i="20"/>
  <c r="AZ48" i="20" s="1"/>
  <c r="J48" i="20"/>
  <c r="I48" i="20"/>
  <c r="H48" i="20" s="1"/>
  <c r="G48" i="20"/>
  <c r="BO47" i="20"/>
  <c r="BN47" i="20"/>
  <c r="AW47" i="20"/>
  <c r="AZ47" i="20" s="1"/>
  <c r="J47" i="20"/>
  <c r="I47" i="20"/>
  <c r="H47" i="20" s="1"/>
  <c r="G47" i="20"/>
  <c r="BO46" i="20"/>
  <c r="BN46" i="20"/>
  <c r="AW46" i="20"/>
  <c r="J46" i="20"/>
  <c r="I46" i="20"/>
  <c r="G46" i="20"/>
  <c r="BO45" i="20"/>
  <c r="BN45" i="20"/>
  <c r="AW45" i="20"/>
  <c r="J45" i="20"/>
  <c r="I45" i="20"/>
  <c r="H45" i="20" s="1"/>
  <c r="G45" i="20"/>
  <c r="BO44" i="20"/>
  <c r="BN44" i="20"/>
  <c r="AW44" i="20"/>
  <c r="J44" i="20"/>
  <c r="I44" i="20"/>
  <c r="G44" i="20"/>
  <c r="BO43" i="20"/>
  <c r="BN43" i="20"/>
  <c r="AW43" i="20"/>
  <c r="J43" i="20"/>
  <c r="I43" i="20"/>
  <c r="G43" i="20"/>
  <c r="BO42" i="20"/>
  <c r="BN42" i="20"/>
  <c r="AW42" i="20"/>
  <c r="J42" i="20"/>
  <c r="I42" i="20"/>
  <c r="G42" i="20"/>
  <c r="BO41" i="20"/>
  <c r="BN41" i="20"/>
  <c r="AW41" i="20"/>
  <c r="J41" i="20"/>
  <c r="I41" i="20"/>
  <c r="H41" i="20" s="1"/>
  <c r="G41" i="20"/>
  <c r="BO40" i="20"/>
  <c r="BN40" i="20"/>
  <c r="AW40" i="20"/>
  <c r="J40" i="20"/>
  <c r="I40" i="20"/>
  <c r="G40" i="20"/>
  <c r="BO39" i="20"/>
  <c r="BN39" i="20"/>
  <c r="AW39" i="20"/>
  <c r="J39" i="20"/>
  <c r="I39" i="20"/>
  <c r="G39" i="20"/>
  <c r="BO38" i="20"/>
  <c r="BN38" i="20"/>
  <c r="AW38" i="20"/>
  <c r="J38" i="20"/>
  <c r="I38" i="20"/>
  <c r="G38" i="20"/>
  <c r="BO37" i="20"/>
  <c r="BN37" i="20"/>
  <c r="AW37" i="20"/>
  <c r="J37" i="20"/>
  <c r="I37" i="20"/>
  <c r="G37" i="20"/>
  <c r="BO36" i="20"/>
  <c r="BN36" i="20"/>
  <c r="AW36" i="20"/>
  <c r="J36" i="20"/>
  <c r="I36" i="20"/>
  <c r="G36" i="20"/>
  <c r="BO35" i="20"/>
  <c r="BN35" i="20"/>
  <c r="AZ35" i="20"/>
  <c r="J35" i="20"/>
  <c r="I35" i="20"/>
  <c r="G35" i="20"/>
  <c r="BO34" i="20"/>
  <c r="BN34" i="20"/>
  <c r="AW34" i="20"/>
  <c r="J34" i="20"/>
  <c r="I34" i="20"/>
  <c r="G34" i="20"/>
  <c r="BO33" i="20"/>
  <c r="BN33" i="20"/>
  <c r="AW33" i="20"/>
  <c r="AZ33" i="20" s="1"/>
  <c r="J33" i="20"/>
  <c r="I33" i="20"/>
  <c r="H33" i="20" s="1"/>
  <c r="G33" i="20"/>
  <c r="BO32" i="20"/>
  <c r="BN32" i="20"/>
  <c r="AW32" i="20"/>
  <c r="J32" i="20"/>
  <c r="I32" i="20"/>
  <c r="G32" i="20"/>
  <c r="BO31" i="20"/>
  <c r="BN31" i="20"/>
  <c r="AW31" i="20"/>
  <c r="J31" i="20"/>
  <c r="I31" i="20"/>
  <c r="H31" i="20" s="1"/>
  <c r="G31" i="20"/>
  <c r="BO30" i="20"/>
  <c r="BN30" i="20"/>
  <c r="AW30" i="20"/>
  <c r="AZ30" i="20" s="1"/>
  <c r="J30" i="20"/>
  <c r="I30" i="20"/>
  <c r="G30" i="20"/>
  <c r="BO29" i="20"/>
  <c r="BN29" i="20"/>
  <c r="AW29" i="20"/>
  <c r="J29" i="20"/>
  <c r="I29" i="20"/>
  <c r="H29" i="20" s="1"/>
  <c r="G29" i="20"/>
  <c r="BO28" i="20"/>
  <c r="BN28" i="20"/>
  <c r="AW28" i="20"/>
  <c r="J28" i="20"/>
  <c r="I28" i="20"/>
  <c r="G28" i="20"/>
  <c r="BO27" i="20"/>
  <c r="BN27" i="20"/>
  <c r="AW27" i="20"/>
  <c r="J27" i="20"/>
  <c r="I27" i="20"/>
  <c r="H27" i="20" s="1"/>
  <c r="G27" i="20"/>
  <c r="BO26" i="20"/>
  <c r="BN26" i="20"/>
  <c r="AW26" i="20"/>
  <c r="J26" i="20"/>
  <c r="I26" i="20"/>
  <c r="G26" i="20"/>
  <c r="BO25" i="20"/>
  <c r="BN25" i="20"/>
  <c r="AW25" i="20"/>
  <c r="AZ25" i="20" s="1"/>
  <c r="J25" i="20"/>
  <c r="I25" i="20"/>
  <c r="G25" i="20"/>
  <c r="BO24" i="20"/>
  <c r="BN24" i="20"/>
  <c r="AW24" i="20"/>
  <c r="J24" i="20"/>
  <c r="I24" i="20"/>
  <c r="H24" i="20" s="1"/>
  <c r="G24" i="20"/>
  <c r="BO23" i="20"/>
  <c r="BN23" i="20"/>
  <c r="AW23" i="20"/>
  <c r="AZ23" i="20" s="1"/>
  <c r="J23" i="20"/>
  <c r="I23" i="20"/>
  <c r="G23" i="20"/>
  <c r="BO22" i="20"/>
  <c r="BN22" i="20"/>
  <c r="AW22" i="20"/>
  <c r="J22" i="20"/>
  <c r="I22" i="20"/>
  <c r="G22" i="20"/>
  <c r="BO21" i="20"/>
  <c r="BN21" i="20"/>
  <c r="AW21" i="20"/>
  <c r="J21" i="20"/>
  <c r="I21" i="20"/>
  <c r="H21" i="20" s="1"/>
  <c r="G21" i="20"/>
  <c r="BO20" i="20"/>
  <c r="BN20" i="20"/>
  <c r="AW20" i="20"/>
  <c r="J20" i="20"/>
  <c r="I20" i="20"/>
  <c r="G20" i="20"/>
  <c r="BO19" i="20"/>
  <c r="BN19" i="20"/>
  <c r="AW19" i="20"/>
  <c r="J19" i="20"/>
  <c r="I19" i="20"/>
  <c r="H19" i="20" s="1"/>
  <c r="G19" i="20"/>
  <c r="BO18" i="20"/>
  <c r="BN18" i="20"/>
  <c r="AW18" i="20"/>
  <c r="AZ18" i="20" s="1"/>
  <c r="J18" i="20"/>
  <c r="I18" i="20"/>
  <c r="G18" i="20"/>
  <c r="BO17" i="20"/>
  <c r="BN17" i="20"/>
  <c r="AW17" i="20"/>
  <c r="AZ17" i="20" s="1"/>
  <c r="J17" i="20"/>
  <c r="I17" i="20"/>
  <c r="H17" i="20" s="1"/>
  <c r="G17" i="20"/>
  <c r="BO16" i="20"/>
  <c r="BN16" i="20"/>
  <c r="AW16" i="20"/>
  <c r="J16" i="20"/>
  <c r="I16" i="20"/>
  <c r="G16" i="20"/>
  <c r="BO15" i="20"/>
  <c r="BN15" i="20"/>
  <c r="AW15" i="20"/>
  <c r="AZ15" i="20" s="1"/>
  <c r="J15" i="20"/>
  <c r="I15" i="20"/>
  <c r="G15" i="20"/>
  <c r="BO14" i="20"/>
  <c r="BN14" i="20"/>
  <c r="AW14" i="20"/>
  <c r="J14" i="20"/>
  <c r="I14" i="20"/>
  <c r="H14" i="20" s="1"/>
  <c r="G14" i="20"/>
  <c r="BO13" i="20"/>
  <c r="BN13" i="20"/>
  <c r="AW13" i="20"/>
  <c r="BA13" i="20" s="1"/>
  <c r="J13" i="20"/>
  <c r="I13" i="20"/>
  <c r="H13" i="20" s="1"/>
  <c r="G13" i="20"/>
  <c r="BO12" i="20"/>
  <c r="BN12" i="20"/>
  <c r="AW12" i="20"/>
  <c r="BA12" i="20" s="1"/>
  <c r="J12" i="20"/>
  <c r="I12" i="20"/>
  <c r="H12" i="20" s="1"/>
  <c r="G12" i="20"/>
  <c r="BO11" i="20"/>
  <c r="BN11" i="20"/>
  <c r="AW11" i="20"/>
  <c r="AZ11" i="20" s="1"/>
  <c r="J11" i="20"/>
  <c r="I11" i="20"/>
  <c r="G11" i="20"/>
  <c r="BO10" i="20"/>
  <c r="BN10" i="20"/>
  <c r="AW10" i="20"/>
  <c r="AZ10" i="20" s="1"/>
  <c r="J10" i="20"/>
  <c r="I10" i="20"/>
  <c r="G10" i="20"/>
  <c r="BO9" i="20"/>
  <c r="BN9" i="20"/>
  <c r="AW9" i="20"/>
  <c r="AZ9" i="20" s="1"/>
  <c r="J9" i="20"/>
  <c r="BO8" i="20"/>
  <c r="BN8" i="20"/>
  <c r="AW8" i="20"/>
  <c r="BA8" i="20" s="1"/>
  <c r="BO7" i="20"/>
  <c r="BN7" i="20"/>
  <c r="AW7" i="20"/>
  <c r="BO6" i="20"/>
  <c r="BN6" i="20"/>
  <c r="AW6" i="20"/>
  <c r="AZ6" i="20" s="1"/>
  <c r="BO5" i="20"/>
  <c r="BN5" i="20"/>
  <c r="AW5" i="20"/>
  <c r="G5" i="20"/>
  <c r="BK3" i="20" a="1"/>
  <c r="BO3" i="20" s="1"/>
  <c r="BD3" i="20" a="1"/>
  <c r="BH3" i="20" s="1"/>
  <c r="AW3" i="20" a="1"/>
  <c r="AY3" i="20" s="1"/>
  <c r="E1105" i="18"/>
  <c r="D1105" i="18"/>
  <c r="E1104" i="18"/>
  <c r="D1104" i="18"/>
  <c r="E1103" i="18"/>
  <c r="D1103" i="18"/>
  <c r="E1102" i="18"/>
  <c r="D1102" i="18"/>
  <c r="E1101" i="18"/>
  <c r="D1101" i="18"/>
  <c r="E1100" i="18"/>
  <c r="D1100" i="18"/>
  <c r="E1099" i="18"/>
  <c r="D1099" i="18"/>
  <c r="E1098" i="18"/>
  <c r="D1098" i="18"/>
  <c r="E1097" i="18"/>
  <c r="D1097" i="18"/>
  <c r="E1096" i="18"/>
  <c r="D1096" i="18"/>
  <c r="E1095" i="18"/>
  <c r="D1095" i="18"/>
  <c r="E1094" i="18"/>
  <c r="D1094" i="18"/>
  <c r="E1093" i="18"/>
  <c r="D1093" i="18"/>
  <c r="E1092" i="18"/>
  <c r="D1092" i="18"/>
  <c r="E1091" i="18"/>
  <c r="D1091" i="18"/>
  <c r="E1090" i="18"/>
  <c r="D1090" i="18"/>
  <c r="E1089" i="18"/>
  <c r="D1089" i="18"/>
  <c r="E1088" i="18"/>
  <c r="D1088" i="18"/>
  <c r="E1087" i="18"/>
  <c r="D1087" i="18"/>
  <c r="E1086" i="18"/>
  <c r="D1086" i="18"/>
  <c r="E1085" i="18"/>
  <c r="D1085" i="18"/>
  <c r="E1084" i="18"/>
  <c r="D1084" i="18"/>
  <c r="E1083" i="18"/>
  <c r="D1083" i="18"/>
  <c r="E1082" i="18"/>
  <c r="D1082" i="18"/>
  <c r="E1081" i="18"/>
  <c r="D1081" i="18"/>
  <c r="E1080" i="18"/>
  <c r="D1080" i="18"/>
  <c r="E1079" i="18"/>
  <c r="D1079" i="18"/>
  <c r="E1078" i="18"/>
  <c r="D1078" i="18"/>
  <c r="E1077" i="18"/>
  <c r="D1077" i="18"/>
  <c r="E1076" i="18"/>
  <c r="D1076" i="18"/>
  <c r="E1075" i="18"/>
  <c r="D1075" i="18"/>
  <c r="E1074" i="18"/>
  <c r="D1074" i="18"/>
  <c r="E1073" i="18"/>
  <c r="D1073" i="18"/>
  <c r="E1072" i="18"/>
  <c r="D1072" i="18"/>
  <c r="E1071" i="18"/>
  <c r="D1071" i="18"/>
  <c r="E1070" i="18"/>
  <c r="D1070" i="18"/>
  <c r="E1069" i="18"/>
  <c r="D1069" i="18"/>
  <c r="E1068" i="18"/>
  <c r="D1068" i="18"/>
  <c r="E1067" i="18"/>
  <c r="D1067" i="18"/>
  <c r="E1066" i="18"/>
  <c r="D1066" i="18"/>
  <c r="E1065" i="18"/>
  <c r="D1065" i="18"/>
  <c r="E1064" i="18"/>
  <c r="D1064" i="18"/>
  <c r="E1063" i="18"/>
  <c r="D1063" i="18"/>
  <c r="E1062" i="18"/>
  <c r="D1062" i="18"/>
  <c r="E1061" i="18"/>
  <c r="D1061" i="18"/>
  <c r="E1060" i="18"/>
  <c r="D1060" i="18"/>
  <c r="E1059" i="18"/>
  <c r="D1059" i="18"/>
  <c r="E1058" i="18"/>
  <c r="D1058" i="18"/>
  <c r="E1057" i="18"/>
  <c r="D1057" i="18"/>
  <c r="E1056" i="18"/>
  <c r="D1056" i="18"/>
  <c r="E1055" i="18"/>
  <c r="D1055" i="18"/>
  <c r="E1054" i="18"/>
  <c r="D1054" i="18"/>
  <c r="E1053" i="18"/>
  <c r="D1053" i="18"/>
  <c r="E1052" i="18"/>
  <c r="D1052" i="18"/>
  <c r="E1051" i="18"/>
  <c r="D1051" i="18"/>
  <c r="E1050" i="18"/>
  <c r="D1050" i="18"/>
  <c r="E1049" i="18"/>
  <c r="D1049" i="18"/>
  <c r="E1048" i="18"/>
  <c r="D1048" i="18"/>
  <c r="E1047" i="18"/>
  <c r="D1047" i="18"/>
  <c r="E1046" i="18"/>
  <c r="D1046" i="18"/>
  <c r="E1045" i="18"/>
  <c r="D1045" i="18"/>
  <c r="E1044" i="18"/>
  <c r="D1044" i="18"/>
  <c r="E1043" i="18"/>
  <c r="D1043" i="18"/>
  <c r="E1042" i="18"/>
  <c r="D1042" i="18"/>
  <c r="E1041" i="18"/>
  <c r="D1041" i="18"/>
  <c r="E1040" i="18"/>
  <c r="D1040" i="18"/>
  <c r="E1039" i="18"/>
  <c r="D1039" i="18"/>
  <c r="E1038" i="18"/>
  <c r="D1038" i="18"/>
  <c r="E1037" i="18"/>
  <c r="D1037" i="18"/>
  <c r="E1036" i="18"/>
  <c r="D1036" i="18"/>
  <c r="E1035" i="18"/>
  <c r="D1035" i="18"/>
  <c r="E1034" i="18"/>
  <c r="D1034" i="18"/>
  <c r="E1033" i="18"/>
  <c r="D1033" i="18"/>
  <c r="E1032" i="18"/>
  <c r="D1032" i="18"/>
  <c r="E1031" i="18"/>
  <c r="D1031" i="18"/>
  <c r="E1030" i="18"/>
  <c r="D1030" i="18"/>
  <c r="E1029" i="18"/>
  <c r="D1029" i="18"/>
  <c r="E1028" i="18"/>
  <c r="D1028" i="18"/>
  <c r="E1027" i="18"/>
  <c r="D1027" i="18"/>
  <c r="E1026" i="18"/>
  <c r="D1026" i="18"/>
  <c r="E1025" i="18"/>
  <c r="D1025" i="18"/>
  <c r="E1024" i="18"/>
  <c r="D1024" i="18"/>
  <c r="E1023" i="18"/>
  <c r="D1023" i="18"/>
  <c r="E1022" i="18"/>
  <c r="D1022" i="18"/>
  <c r="E1021" i="18"/>
  <c r="D1021" i="18"/>
  <c r="E1020" i="18"/>
  <c r="D1020" i="18"/>
  <c r="E1019" i="18"/>
  <c r="D1019" i="18"/>
  <c r="E1018" i="18"/>
  <c r="D1018" i="18"/>
  <c r="E1017" i="18"/>
  <c r="D1017" i="18"/>
  <c r="E1016" i="18"/>
  <c r="D1016" i="18"/>
  <c r="E1015" i="18"/>
  <c r="D1015" i="18"/>
  <c r="E1014" i="18"/>
  <c r="D1014" i="18"/>
  <c r="E1013" i="18"/>
  <c r="D1013" i="18"/>
  <c r="E1012" i="18"/>
  <c r="D1012" i="18"/>
  <c r="E1011" i="18"/>
  <c r="D1011" i="18"/>
  <c r="E1010" i="18"/>
  <c r="D1010" i="18"/>
  <c r="E1009" i="18"/>
  <c r="D1009" i="18"/>
  <c r="E1008" i="18"/>
  <c r="D1008" i="18"/>
  <c r="E1007" i="18"/>
  <c r="D1007" i="18"/>
  <c r="E1006" i="18"/>
  <c r="D1006" i="18"/>
  <c r="E1005" i="18"/>
  <c r="D1005" i="18"/>
  <c r="E1004" i="18"/>
  <c r="D1004" i="18"/>
  <c r="E1003" i="18"/>
  <c r="D1003" i="18"/>
  <c r="E1002" i="18"/>
  <c r="D1002" i="18"/>
  <c r="E1001" i="18"/>
  <c r="D1001" i="18"/>
  <c r="E1000" i="18"/>
  <c r="D1000" i="18"/>
  <c r="E999" i="18"/>
  <c r="D999" i="18"/>
  <c r="E998" i="18"/>
  <c r="D998" i="18"/>
  <c r="E997" i="18"/>
  <c r="D997" i="18"/>
  <c r="E996" i="18"/>
  <c r="D996" i="18"/>
  <c r="E995" i="18"/>
  <c r="D995" i="18"/>
  <c r="E994" i="18"/>
  <c r="D994" i="18"/>
  <c r="E993" i="18"/>
  <c r="D993" i="18"/>
  <c r="E992" i="18"/>
  <c r="D992" i="18"/>
  <c r="E991" i="18"/>
  <c r="D991" i="18"/>
  <c r="E990" i="18"/>
  <c r="D990" i="18"/>
  <c r="E989" i="18"/>
  <c r="D989" i="18"/>
  <c r="E988" i="18"/>
  <c r="D988" i="18"/>
  <c r="E987" i="18"/>
  <c r="D987" i="18"/>
  <c r="E986" i="18"/>
  <c r="D986" i="18"/>
  <c r="E985" i="18"/>
  <c r="D985" i="18"/>
  <c r="E984" i="18"/>
  <c r="D984" i="18"/>
  <c r="E983" i="18"/>
  <c r="D983" i="18"/>
  <c r="E982" i="18"/>
  <c r="D982" i="18"/>
  <c r="E981" i="18"/>
  <c r="D981" i="18"/>
  <c r="E980" i="18"/>
  <c r="D980" i="18"/>
  <c r="E979" i="18"/>
  <c r="D979" i="18"/>
  <c r="E978" i="18"/>
  <c r="D978" i="18"/>
  <c r="E977" i="18"/>
  <c r="D977" i="18"/>
  <c r="E976" i="18"/>
  <c r="D976" i="18"/>
  <c r="E975" i="18"/>
  <c r="D975" i="18"/>
  <c r="E974" i="18"/>
  <c r="D974" i="18"/>
  <c r="E973" i="18"/>
  <c r="D973" i="18"/>
  <c r="E972" i="18"/>
  <c r="D972" i="18"/>
  <c r="E971" i="18"/>
  <c r="D971" i="18"/>
  <c r="E970" i="18"/>
  <c r="D970" i="18"/>
  <c r="E969" i="18"/>
  <c r="D969" i="18"/>
  <c r="E968" i="18"/>
  <c r="D968" i="18"/>
  <c r="E967" i="18"/>
  <c r="D967" i="18"/>
  <c r="E966" i="18"/>
  <c r="D966" i="18"/>
  <c r="E965" i="18"/>
  <c r="D965" i="18"/>
  <c r="E964" i="18"/>
  <c r="D964" i="18"/>
  <c r="E963" i="18"/>
  <c r="D963" i="18"/>
  <c r="E962" i="18"/>
  <c r="D962" i="18"/>
  <c r="E961" i="18"/>
  <c r="D961" i="18"/>
  <c r="E960" i="18"/>
  <c r="D960" i="18"/>
  <c r="E959" i="18"/>
  <c r="D959" i="18"/>
  <c r="E958" i="18"/>
  <c r="D958" i="18"/>
  <c r="E957" i="18"/>
  <c r="D957" i="18"/>
  <c r="E956" i="18"/>
  <c r="D956" i="18"/>
  <c r="E955" i="18"/>
  <c r="D955" i="18"/>
  <c r="E954" i="18"/>
  <c r="D954" i="18"/>
  <c r="E953" i="18"/>
  <c r="D953" i="18"/>
  <c r="E952" i="18"/>
  <c r="D952" i="18"/>
  <c r="E951" i="18"/>
  <c r="D951" i="18"/>
  <c r="E950" i="18"/>
  <c r="D950" i="18"/>
  <c r="E949" i="18"/>
  <c r="D949" i="18"/>
  <c r="E948" i="18"/>
  <c r="D948" i="18"/>
  <c r="E947" i="18"/>
  <c r="D947" i="18"/>
  <c r="E946" i="18"/>
  <c r="D946" i="18"/>
  <c r="E945" i="18"/>
  <c r="D945" i="18"/>
  <c r="E944" i="18"/>
  <c r="D944" i="18"/>
  <c r="E943" i="18"/>
  <c r="D943" i="18"/>
  <c r="E942" i="18"/>
  <c r="D942" i="18"/>
  <c r="E941" i="18"/>
  <c r="D941" i="18"/>
  <c r="E940" i="18"/>
  <c r="D940" i="18"/>
  <c r="E939" i="18"/>
  <c r="D939" i="18"/>
  <c r="E938" i="18"/>
  <c r="D938" i="18"/>
  <c r="E937" i="18"/>
  <c r="D937" i="18"/>
  <c r="E936" i="18"/>
  <c r="D936" i="18"/>
  <c r="E935" i="18"/>
  <c r="D935" i="18"/>
  <c r="E934" i="18"/>
  <c r="D934" i="18"/>
  <c r="E933" i="18"/>
  <c r="D933" i="18"/>
  <c r="E932" i="18"/>
  <c r="D932" i="18"/>
  <c r="E931" i="18"/>
  <c r="D931" i="18"/>
  <c r="E930" i="18"/>
  <c r="D930" i="18"/>
  <c r="E929" i="18"/>
  <c r="D929" i="18"/>
  <c r="E928" i="18"/>
  <c r="D928" i="18"/>
  <c r="E927" i="18"/>
  <c r="D927" i="18"/>
  <c r="E926" i="18"/>
  <c r="D926" i="18"/>
  <c r="E925" i="18"/>
  <c r="D925" i="18"/>
  <c r="E924" i="18"/>
  <c r="D924" i="18"/>
  <c r="E923" i="18"/>
  <c r="D923" i="18"/>
  <c r="E922" i="18"/>
  <c r="D922" i="18"/>
  <c r="E921" i="18"/>
  <c r="D921" i="18"/>
  <c r="E920" i="18"/>
  <c r="D920" i="18"/>
  <c r="E919" i="18"/>
  <c r="D919" i="18"/>
  <c r="E918" i="18"/>
  <c r="D918" i="18"/>
  <c r="E917" i="18"/>
  <c r="D917" i="18"/>
  <c r="E916" i="18"/>
  <c r="D916" i="18"/>
  <c r="E915" i="18"/>
  <c r="D915" i="18"/>
  <c r="E914" i="18"/>
  <c r="D914" i="18"/>
  <c r="E913" i="18"/>
  <c r="D913" i="18"/>
  <c r="E912" i="18"/>
  <c r="D912" i="18"/>
  <c r="E911" i="18"/>
  <c r="D911" i="18"/>
  <c r="E910" i="18"/>
  <c r="D910" i="18"/>
  <c r="E909" i="18"/>
  <c r="D909" i="18"/>
  <c r="E908" i="18"/>
  <c r="D908" i="18"/>
  <c r="E907" i="18"/>
  <c r="D907" i="18"/>
  <c r="E906" i="18"/>
  <c r="D906" i="18"/>
  <c r="E905" i="18"/>
  <c r="D905" i="18"/>
  <c r="E904" i="18"/>
  <c r="D904" i="18"/>
  <c r="E903" i="18"/>
  <c r="D903" i="18"/>
  <c r="E902" i="18"/>
  <c r="D902" i="18"/>
  <c r="E901" i="18"/>
  <c r="D901" i="18"/>
  <c r="E900" i="18"/>
  <c r="D900" i="18"/>
  <c r="E899" i="18"/>
  <c r="D899" i="18"/>
  <c r="E898" i="18"/>
  <c r="D898" i="18"/>
  <c r="E897" i="18"/>
  <c r="D897" i="18"/>
  <c r="E896" i="18"/>
  <c r="D896" i="18"/>
  <c r="E895" i="18"/>
  <c r="D895" i="18"/>
  <c r="E894" i="18"/>
  <c r="D894" i="18"/>
  <c r="E893" i="18"/>
  <c r="D893" i="18"/>
  <c r="E892" i="18"/>
  <c r="D892" i="18"/>
  <c r="E891" i="18"/>
  <c r="D891" i="18"/>
  <c r="E890" i="18"/>
  <c r="D890" i="18"/>
  <c r="E889" i="18"/>
  <c r="D889" i="18"/>
  <c r="E888" i="18"/>
  <c r="D888" i="18"/>
  <c r="E887" i="18"/>
  <c r="D887" i="18"/>
  <c r="E886" i="18"/>
  <c r="D886" i="18"/>
  <c r="E885" i="18"/>
  <c r="D885" i="18"/>
  <c r="E884" i="18"/>
  <c r="D884" i="18"/>
  <c r="E883" i="18"/>
  <c r="D883" i="18"/>
  <c r="E882" i="18"/>
  <c r="D882" i="18"/>
  <c r="E881" i="18"/>
  <c r="D881" i="18"/>
  <c r="E880" i="18"/>
  <c r="D880" i="18"/>
  <c r="E879" i="18"/>
  <c r="D879" i="18"/>
  <c r="E878" i="18"/>
  <c r="D878" i="18"/>
  <c r="E877" i="18"/>
  <c r="D877" i="18"/>
  <c r="E876" i="18"/>
  <c r="D876" i="18"/>
  <c r="E875" i="18"/>
  <c r="D875" i="18"/>
  <c r="E874" i="18"/>
  <c r="D874" i="18"/>
  <c r="E873" i="18"/>
  <c r="D873" i="18"/>
  <c r="E872" i="18"/>
  <c r="D872" i="18"/>
  <c r="E871" i="18"/>
  <c r="D871" i="18"/>
  <c r="E870" i="18"/>
  <c r="D870" i="18"/>
  <c r="E869" i="18"/>
  <c r="D869" i="18"/>
  <c r="E868" i="18"/>
  <c r="D868" i="18"/>
  <c r="E867" i="18"/>
  <c r="D867" i="18"/>
  <c r="E866" i="18"/>
  <c r="D866" i="18"/>
  <c r="E865" i="18"/>
  <c r="D865" i="18"/>
  <c r="E864" i="18"/>
  <c r="D864" i="18"/>
  <c r="E863" i="18"/>
  <c r="D863" i="18"/>
  <c r="E862" i="18"/>
  <c r="D862" i="18"/>
  <c r="E861" i="18"/>
  <c r="D861" i="18"/>
  <c r="E860" i="18"/>
  <c r="D860" i="18"/>
  <c r="E859" i="18"/>
  <c r="D859" i="18"/>
  <c r="E858" i="18"/>
  <c r="D858" i="18"/>
  <c r="E857" i="18"/>
  <c r="D857" i="18"/>
  <c r="E856" i="18"/>
  <c r="D856" i="18"/>
  <c r="E855" i="18"/>
  <c r="D855" i="18"/>
  <c r="E854" i="18"/>
  <c r="D854" i="18"/>
  <c r="E853" i="18"/>
  <c r="D853" i="18"/>
  <c r="E852" i="18"/>
  <c r="D852" i="18"/>
  <c r="E851" i="18"/>
  <c r="D851" i="18"/>
  <c r="E850" i="18"/>
  <c r="D850" i="18"/>
  <c r="E849" i="18"/>
  <c r="D849" i="18"/>
  <c r="E848" i="18"/>
  <c r="D848" i="18"/>
  <c r="E847" i="18"/>
  <c r="D847" i="18"/>
  <c r="E846" i="18"/>
  <c r="D846" i="18"/>
  <c r="E845" i="18"/>
  <c r="D845" i="18"/>
  <c r="E844" i="18"/>
  <c r="D844" i="18"/>
  <c r="E843" i="18"/>
  <c r="D843" i="18"/>
  <c r="E842" i="18"/>
  <c r="D842" i="18"/>
  <c r="E841" i="18"/>
  <c r="D841" i="18"/>
  <c r="E840" i="18"/>
  <c r="D840" i="18"/>
  <c r="E839" i="18"/>
  <c r="D839" i="18"/>
  <c r="E838" i="18"/>
  <c r="D838" i="18"/>
  <c r="E837" i="18"/>
  <c r="D837" i="18"/>
  <c r="E836" i="18"/>
  <c r="D836" i="18"/>
  <c r="E835" i="18"/>
  <c r="D835" i="18"/>
  <c r="E834" i="18"/>
  <c r="D834" i="18"/>
  <c r="E833" i="18"/>
  <c r="D833" i="18"/>
  <c r="E832" i="18"/>
  <c r="D832" i="18"/>
  <c r="E831" i="18"/>
  <c r="D831" i="18"/>
  <c r="E830" i="18"/>
  <c r="D830" i="18"/>
  <c r="E829" i="18"/>
  <c r="D829" i="18"/>
  <c r="E828" i="18"/>
  <c r="D828" i="18"/>
  <c r="E827" i="18"/>
  <c r="D827" i="18"/>
  <c r="E826" i="18"/>
  <c r="D826" i="18"/>
  <c r="E825" i="18"/>
  <c r="D825" i="18"/>
  <c r="E824" i="18"/>
  <c r="D824" i="18"/>
  <c r="E823" i="18"/>
  <c r="D823" i="18"/>
  <c r="E822" i="18"/>
  <c r="D822" i="18"/>
  <c r="E821" i="18"/>
  <c r="D821" i="18"/>
  <c r="E820" i="18"/>
  <c r="D820" i="18"/>
  <c r="E819" i="18"/>
  <c r="D819" i="18"/>
  <c r="E818" i="18"/>
  <c r="D818" i="18"/>
  <c r="E817" i="18"/>
  <c r="D817" i="18"/>
  <c r="E816" i="18"/>
  <c r="D816" i="18"/>
  <c r="E815" i="18"/>
  <c r="D815" i="18"/>
  <c r="E814" i="18"/>
  <c r="D814" i="18"/>
  <c r="E813" i="18"/>
  <c r="D813" i="18"/>
  <c r="E812" i="18"/>
  <c r="D812" i="18"/>
  <c r="E811" i="18"/>
  <c r="D811" i="18"/>
  <c r="E810" i="18"/>
  <c r="D810" i="18"/>
  <c r="E809" i="18"/>
  <c r="D809" i="18"/>
  <c r="E808" i="18"/>
  <c r="D808" i="18"/>
  <c r="E807" i="18"/>
  <c r="D807" i="18"/>
  <c r="E806" i="18"/>
  <c r="D806" i="18"/>
  <c r="E805" i="18"/>
  <c r="D805" i="18"/>
  <c r="E804" i="18"/>
  <c r="D804" i="18"/>
  <c r="E803" i="18"/>
  <c r="D803" i="18"/>
  <c r="E802" i="18"/>
  <c r="D802" i="18"/>
  <c r="E801" i="18"/>
  <c r="D801" i="18"/>
  <c r="E800" i="18"/>
  <c r="D800" i="18"/>
  <c r="E799" i="18"/>
  <c r="D799" i="18"/>
  <c r="E798" i="18"/>
  <c r="D798" i="18"/>
  <c r="E797" i="18"/>
  <c r="D797" i="18"/>
  <c r="E796" i="18"/>
  <c r="D796" i="18"/>
  <c r="E795" i="18"/>
  <c r="D795" i="18"/>
  <c r="E794" i="18"/>
  <c r="D794" i="18"/>
  <c r="E793" i="18"/>
  <c r="D793" i="18"/>
  <c r="E792" i="18"/>
  <c r="D792" i="18"/>
  <c r="E791" i="18"/>
  <c r="D791" i="18"/>
  <c r="E790" i="18"/>
  <c r="D790" i="18"/>
  <c r="E789" i="18"/>
  <c r="D789" i="18"/>
  <c r="E788" i="18"/>
  <c r="D788" i="18"/>
  <c r="E787" i="18"/>
  <c r="D787" i="18"/>
  <c r="E786" i="18"/>
  <c r="D786" i="18"/>
  <c r="E785" i="18"/>
  <c r="D785" i="18"/>
  <c r="E784" i="18"/>
  <c r="D784" i="18"/>
  <c r="E783" i="18"/>
  <c r="D783" i="18"/>
  <c r="E782" i="18"/>
  <c r="D782" i="18"/>
  <c r="E781" i="18"/>
  <c r="D781" i="18"/>
  <c r="E780" i="18"/>
  <c r="D780" i="18"/>
  <c r="E779" i="18"/>
  <c r="D779" i="18"/>
  <c r="E778" i="18"/>
  <c r="D778" i="18"/>
  <c r="E777" i="18"/>
  <c r="D777" i="18"/>
  <c r="E776" i="18"/>
  <c r="D776" i="18"/>
  <c r="E775" i="18"/>
  <c r="D775" i="18"/>
  <c r="E774" i="18"/>
  <c r="D774" i="18"/>
  <c r="E773" i="18"/>
  <c r="D773" i="18"/>
  <c r="E772" i="18"/>
  <c r="D772" i="18"/>
  <c r="E771" i="18"/>
  <c r="D771" i="18"/>
  <c r="E770" i="18"/>
  <c r="D770" i="18"/>
  <c r="E769" i="18"/>
  <c r="D769" i="18"/>
  <c r="E768" i="18"/>
  <c r="D768" i="18"/>
  <c r="E767" i="18"/>
  <c r="D767" i="18"/>
  <c r="E766" i="18"/>
  <c r="D766" i="18"/>
  <c r="E765" i="18"/>
  <c r="D765" i="18"/>
  <c r="E764" i="18"/>
  <c r="D764" i="18"/>
  <c r="E763" i="18"/>
  <c r="D763" i="18"/>
  <c r="E762" i="18"/>
  <c r="D762" i="18"/>
  <c r="E761" i="18"/>
  <c r="D761" i="18"/>
  <c r="E760" i="18"/>
  <c r="D760" i="18"/>
  <c r="E759" i="18"/>
  <c r="D759" i="18"/>
  <c r="E758" i="18"/>
  <c r="D758" i="18"/>
  <c r="E757" i="18"/>
  <c r="D757" i="18"/>
  <c r="E756" i="18"/>
  <c r="D756" i="18"/>
  <c r="E755" i="18"/>
  <c r="D755" i="18"/>
  <c r="O39" i="18"/>
  <c r="P39" i="18" s="1"/>
  <c r="Q39" i="18" s="1"/>
  <c r="R39" i="18" s="1"/>
  <c r="S39" i="18" s="1"/>
  <c r="T39" i="18" s="1"/>
  <c r="U39" i="18" s="1"/>
  <c r="V39" i="18" s="1"/>
  <c r="W39" i="18" s="1"/>
  <c r="X39" i="18" s="1"/>
  <c r="Y39" i="18" s="1"/>
  <c r="Z39" i="18" s="1"/>
  <c r="AA39" i="18" s="1"/>
  <c r="AB39" i="18" s="1"/>
  <c r="AC39" i="18" s="1"/>
  <c r="AD39" i="18" s="1"/>
  <c r="AE39" i="18" s="1"/>
  <c r="AF39" i="18" s="1"/>
  <c r="AG39" i="18" s="1"/>
  <c r="AH39" i="18" s="1"/>
  <c r="AI39" i="18" s="1"/>
  <c r="AJ39" i="18" s="1"/>
  <c r="AK39" i="18" s="1"/>
  <c r="AL39" i="18" s="1"/>
  <c r="AM39" i="18" s="1"/>
  <c r="J38" i="18"/>
  <c r="I38" i="18"/>
  <c r="H38" i="18"/>
  <c r="G38" i="18"/>
  <c r="F38" i="18"/>
  <c r="J37" i="18"/>
  <c r="I37" i="18"/>
  <c r="H37" i="18"/>
  <c r="G37" i="18"/>
  <c r="F37" i="18"/>
  <c r="J15" i="18"/>
  <c r="I15" i="18"/>
  <c r="H15" i="18"/>
  <c r="G15" i="18"/>
  <c r="F15" i="18"/>
  <c r="E15" i="18"/>
  <c r="D15" i="18"/>
  <c r="J14" i="18"/>
  <c r="I14" i="18"/>
  <c r="H14" i="18"/>
  <c r="G14" i="18"/>
  <c r="F14" i="18"/>
  <c r="E14" i="18"/>
  <c r="D14" i="18"/>
  <c r="J13" i="18"/>
  <c r="I13" i="18"/>
  <c r="H13" i="18"/>
  <c r="G13" i="18"/>
  <c r="F13" i="18"/>
  <c r="E13" i="18"/>
  <c r="D13" i="18"/>
  <c r="J12" i="18"/>
  <c r="I12" i="18"/>
  <c r="H12" i="18"/>
  <c r="G12" i="18"/>
  <c r="F12" i="18"/>
  <c r="E12" i="18"/>
  <c r="D12" i="18"/>
  <c r="J11" i="18"/>
  <c r="I11" i="18"/>
  <c r="H11" i="18"/>
  <c r="G11" i="18"/>
  <c r="F11" i="18"/>
  <c r="E11" i="18"/>
  <c r="D11" i="18"/>
  <c r="E4" i="18"/>
  <c r="E44" i="18" s="1"/>
  <c r="K115" i="5"/>
  <c r="C111" i="5"/>
  <c r="C110" i="5"/>
  <c r="C109" i="5"/>
  <c r="C108" i="5"/>
  <c r="C107" i="5"/>
  <c r="C106" i="5"/>
  <c r="X101" i="5"/>
  <c r="W101" i="5"/>
  <c r="V101" i="5"/>
  <c r="T101" i="5"/>
  <c r="S101" i="5"/>
  <c r="R101" i="5"/>
  <c r="X100" i="5"/>
  <c r="W100" i="5"/>
  <c r="V100" i="5"/>
  <c r="T100" i="5"/>
  <c r="S100" i="5"/>
  <c r="R100" i="5"/>
  <c r="X99" i="5"/>
  <c r="W99" i="5"/>
  <c r="V99" i="5"/>
  <c r="T99" i="5"/>
  <c r="S99" i="5"/>
  <c r="R99" i="5"/>
  <c r="X98" i="5"/>
  <c r="W98" i="5"/>
  <c r="V98" i="5"/>
  <c r="T98" i="5"/>
  <c r="S98" i="5"/>
  <c r="R98" i="5"/>
  <c r="X97" i="5"/>
  <c r="W97" i="5"/>
  <c r="V97" i="5"/>
  <c r="T97" i="5"/>
  <c r="S97" i="5"/>
  <c r="R97" i="5"/>
  <c r="X96" i="5"/>
  <c r="W96" i="5"/>
  <c r="V96" i="5"/>
  <c r="T96" i="5"/>
  <c r="S96" i="5"/>
  <c r="R96" i="5"/>
  <c r="X95" i="5"/>
  <c r="W95" i="5"/>
  <c r="V95" i="5"/>
  <c r="T95" i="5"/>
  <c r="S95" i="5"/>
  <c r="R95" i="5"/>
  <c r="X94" i="5"/>
  <c r="W94" i="5"/>
  <c r="V94" i="5"/>
  <c r="T94" i="5"/>
  <c r="S94" i="5"/>
  <c r="R94" i="5"/>
  <c r="X93" i="5"/>
  <c r="W93" i="5"/>
  <c r="V93" i="5"/>
  <c r="T93" i="5"/>
  <c r="S93" i="5"/>
  <c r="R93" i="5"/>
  <c r="X92" i="5"/>
  <c r="W92" i="5"/>
  <c r="V92" i="5"/>
  <c r="T92" i="5"/>
  <c r="S92" i="5"/>
  <c r="R92" i="5"/>
  <c r="X91" i="5"/>
  <c r="W91" i="5"/>
  <c r="V91" i="5"/>
  <c r="X90" i="5"/>
  <c r="W90" i="5"/>
  <c r="V90" i="5"/>
  <c r="X89" i="5"/>
  <c r="W89" i="5"/>
  <c r="V89" i="5"/>
  <c r="X88" i="5"/>
  <c r="W88" i="5"/>
  <c r="V88" i="5"/>
  <c r="X87" i="5"/>
  <c r="W87" i="5"/>
  <c r="V87" i="5"/>
  <c r="X86" i="5"/>
  <c r="W86" i="5"/>
  <c r="V86" i="5"/>
  <c r="X85" i="5"/>
  <c r="W85" i="5"/>
  <c r="V85" i="5"/>
  <c r="X84" i="5"/>
  <c r="W84" i="5"/>
  <c r="V84" i="5"/>
  <c r="X83" i="5"/>
  <c r="W83" i="5"/>
  <c r="V83" i="5"/>
  <c r="X82" i="5"/>
  <c r="W82" i="5"/>
  <c r="V82" i="5"/>
  <c r="X81" i="5"/>
  <c r="W81" i="5"/>
  <c r="V81" i="5"/>
  <c r="X80" i="5"/>
  <c r="W80" i="5"/>
  <c r="V80" i="5"/>
  <c r="X79" i="5"/>
  <c r="W79" i="5"/>
  <c r="V79" i="5"/>
  <c r="X78" i="5"/>
  <c r="W78" i="5"/>
  <c r="V78" i="5"/>
  <c r="X77" i="5"/>
  <c r="W77" i="5"/>
  <c r="V77" i="5"/>
  <c r="X76" i="5"/>
  <c r="W76" i="5"/>
  <c r="V76" i="5"/>
  <c r="X74" i="5"/>
  <c r="W74" i="5"/>
  <c r="V74" i="5"/>
  <c r="T74" i="5"/>
  <c r="S74" i="5"/>
  <c r="R74" i="5"/>
  <c r="X73" i="5"/>
  <c r="W73" i="5"/>
  <c r="V73" i="5"/>
  <c r="T73" i="5"/>
  <c r="S73" i="5"/>
  <c r="R73" i="5"/>
  <c r="AA72" i="5"/>
  <c r="AA73" i="5" s="1"/>
  <c r="AA74" i="5" s="1"/>
  <c r="AA75" i="5" s="1"/>
  <c r="AA76" i="5" s="1"/>
  <c r="AA77" i="5" s="1"/>
  <c r="AA78" i="5" s="1"/>
  <c r="AA79" i="5" s="1"/>
  <c r="AA80" i="5" s="1"/>
  <c r="Z72" i="5"/>
  <c r="Z73" i="5" s="1"/>
  <c r="Z74" i="5" s="1"/>
  <c r="Z75" i="5" s="1"/>
  <c r="Z76" i="5" s="1"/>
  <c r="Z77" i="5" s="1"/>
  <c r="Z78" i="5" s="1"/>
  <c r="Z79" i="5" s="1"/>
  <c r="Z80" i="5" s="1"/>
  <c r="X72" i="5"/>
  <c r="W72" i="5"/>
  <c r="V72" i="5"/>
  <c r="T72" i="5"/>
  <c r="S72" i="5"/>
  <c r="R72" i="5"/>
  <c r="X71" i="5"/>
  <c r="W71" i="5"/>
  <c r="V71" i="5"/>
  <c r="AM71" i="5" s="1"/>
  <c r="N109" i="5" s="1"/>
  <c r="T71" i="5"/>
  <c r="AK71" i="5" s="1"/>
  <c r="N108" i="5" s="1"/>
  <c r="S71" i="5"/>
  <c r="AJ71" i="5" s="1"/>
  <c r="N107" i="5" s="1"/>
  <c r="R71" i="5"/>
  <c r="X70" i="5"/>
  <c r="W70" i="5"/>
  <c r="V70" i="5"/>
  <c r="T70" i="5"/>
  <c r="S70" i="5"/>
  <c r="R70" i="5"/>
  <c r="X69" i="5"/>
  <c r="W69" i="5"/>
  <c r="V69" i="5"/>
  <c r="T69" i="5"/>
  <c r="S69" i="5"/>
  <c r="R69" i="5"/>
  <c r="X68" i="5"/>
  <c r="W68" i="5"/>
  <c r="V68" i="5"/>
  <c r="T68" i="5"/>
  <c r="S68" i="5"/>
  <c r="R68" i="5"/>
  <c r="X67" i="5"/>
  <c r="W67" i="5"/>
  <c r="V67" i="5"/>
  <c r="T67" i="5"/>
  <c r="S67" i="5"/>
  <c r="R67" i="5"/>
  <c r="AI63" i="5"/>
  <c r="F106" i="5" s="1"/>
  <c r="AA60" i="5"/>
  <c r="Z60" i="5"/>
  <c r="P33" i="5"/>
  <c r="O33" i="5"/>
  <c r="N33" i="5"/>
  <c r="M33" i="5"/>
  <c r="L33" i="5"/>
  <c r="K33" i="5"/>
  <c r="J33" i="5"/>
  <c r="I33" i="5"/>
  <c r="H33" i="5"/>
  <c r="G33" i="5"/>
  <c r="F33" i="5"/>
  <c r="E33" i="5"/>
  <c r="D33" i="5"/>
  <c r="O32" i="5"/>
  <c r="N32" i="5"/>
  <c r="M32" i="5"/>
  <c r="L32" i="5"/>
  <c r="K32" i="5"/>
  <c r="J32" i="5"/>
  <c r="I32" i="5"/>
  <c r="H32" i="5"/>
  <c r="G32" i="5"/>
  <c r="F32" i="5"/>
  <c r="E32" i="5"/>
  <c r="D32"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P26" i="5"/>
  <c r="O26" i="5"/>
  <c r="N26" i="5"/>
  <c r="M26" i="5"/>
  <c r="L26" i="5"/>
  <c r="K26" i="5"/>
  <c r="J26" i="5"/>
  <c r="I26" i="5"/>
  <c r="H26" i="5"/>
  <c r="G26" i="5"/>
  <c r="F26" i="5"/>
  <c r="E26" i="5"/>
  <c r="E24" i="5"/>
  <c r="F24" i="5" s="1"/>
  <c r="G24" i="5" s="1"/>
  <c r="H24" i="5" s="1"/>
  <c r="I24" i="5" s="1"/>
  <c r="E23" i="5"/>
  <c r="F23" i="5" s="1"/>
  <c r="G23" i="5" s="1"/>
  <c r="H23" i="5" s="1"/>
  <c r="I23" i="5" s="1"/>
  <c r="J23" i="5" s="1"/>
  <c r="I22" i="5"/>
  <c r="H22" i="5" s="1"/>
  <c r="I21" i="5"/>
  <c r="J21" i="5" s="1"/>
  <c r="I20" i="5"/>
  <c r="BG16" i="5"/>
  <c r="BH14" i="5"/>
  <c r="BH12" i="5"/>
  <c r="H140" i="11"/>
  <c r="H139" i="11"/>
  <c r="H138" i="11"/>
  <c r="H137" i="11"/>
  <c r="H136" i="11"/>
  <c r="H135" i="11"/>
  <c r="H134" i="11"/>
  <c r="H133" i="11"/>
  <c r="H132" i="11"/>
  <c r="H131" i="11"/>
  <c r="H130" i="11"/>
  <c r="H129" i="11"/>
  <c r="H128" i="11"/>
  <c r="H127" i="11"/>
  <c r="H126" i="11"/>
  <c r="H125" i="11"/>
  <c r="H111" i="11"/>
  <c r="H110" i="11"/>
  <c r="H109" i="11"/>
  <c r="H108" i="11"/>
  <c r="H107" i="11"/>
  <c r="H106" i="11"/>
  <c r="H105" i="11"/>
  <c r="H104" i="11"/>
  <c r="H103" i="11"/>
  <c r="H102" i="11"/>
  <c r="H101" i="11"/>
  <c r="H100" i="11"/>
  <c r="H99" i="11"/>
  <c r="H98" i="11"/>
  <c r="H97" i="11"/>
  <c r="H96" i="11"/>
  <c r="H95" i="11"/>
  <c r="H81" i="11"/>
  <c r="H80" i="11"/>
  <c r="H79" i="11"/>
  <c r="H78" i="11"/>
  <c r="H77" i="11"/>
  <c r="H76" i="11"/>
  <c r="H75" i="11"/>
  <c r="H74" i="11"/>
  <c r="H73" i="11"/>
  <c r="H72" i="11"/>
  <c r="H71" i="11"/>
  <c r="H70" i="11"/>
  <c r="H69" i="11"/>
  <c r="H68" i="11"/>
  <c r="H67" i="11"/>
  <c r="H66" i="11"/>
  <c r="H65" i="11"/>
  <c r="H51" i="11"/>
  <c r="H50" i="11"/>
  <c r="H49" i="11"/>
  <c r="H48" i="11"/>
  <c r="H47" i="11"/>
  <c r="H46" i="11"/>
  <c r="H45" i="11"/>
  <c r="H44" i="11"/>
  <c r="H43" i="11"/>
  <c r="H42" i="11"/>
  <c r="H41" i="11"/>
  <c r="H40" i="11"/>
  <c r="H39" i="11"/>
  <c r="H38" i="11"/>
  <c r="H37" i="11"/>
  <c r="H36" i="11"/>
  <c r="H35" i="11"/>
  <c r="A8" i="11"/>
  <c r="A9" i="11" s="1"/>
  <c r="A10" i="11" s="1"/>
  <c r="A11" i="11" s="1"/>
  <c r="A12" i="11" s="1"/>
  <c r="A13" i="11" s="1"/>
  <c r="H5" i="11"/>
  <c r="CB209" i="13"/>
  <c r="CB210" i="13" s="1"/>
  <c r="CA209" i="13"/>
  <c r="CA210" i="13" s="1"/>
  <c r="BZ209" i="13"/>
  <c r="BZ210" i="13" s="1"/>
  <c r="BY209" i="13"/>
  <c r="BY210" i="13" s="1"/>
  <c r="BX209" i="13"/>
  <c r="BX210" i="13" s="1"/>
  <c r="BW209" i="13"/>
  <c r="BW210" i="13" s="1"/>
  <c r="BV209" i="13"/>
  <c r="BV210" i="13" s="1"/>
  <c r="BU209" i="13"/>
  <c r="BU210" i="13" s="1"/>
  <c r="BT209" i="13"/>
  <c r="BT210" i="13" s="1"/>
  <c r="BS209" i="13"/>
  <c r="BS210" i="13" s="1"/>
  <c r="BR209" i="13"/>
  <c r="BR210" i="13" s="1"/>
  <c r="BQ209" i="13"/>
  <c r="BQ210" i="13" s="1"/>
  <c r="BP209" i="13"/>
  <c r="BP210" i="13" s="1"/>
  <c r="BO209" i="13"/>
  <c r="BO210" i="13" s="1"/>
  <c r="BN209" i="13"/>
  <c r="BN210" i="13" s="1"/>
  <c r="Z175" i="13"/>
  <c r="W175" i="13"/>
  <c r="U175" i="13"/>
  <c r="S175" i="13"/>
  <c r="Q175" i="13"/>
  <c r="O175" i="13"/>
  <c r="M175" i="13"/>
  <c r="G175" i="13"/>
  <c r="H175" i="13" s="1"/>
  <c r="I175" i="13" s="1"/>
  <c r="Z174" i="13"/>
  <c r="W174" i="13"/>
  <c r="U174" i="13"/>
  <c r="S174" i="13"/>
  <c r="Q174" i="13"/>
  <c r="O174" i="13"/>
  <c r="M174" i="13"/>
  <c r="G174" i="13"/>
  <c r="H174" i="13" s="1"/>
  <c r="I174" i="13" s="1"/>
  <c r="Z173" i="13"/>
  <c r="W173" i="13"/>
  <c r="U173" i="13"/>
  <c r="S173" i="13"/>
  <c r="Q173" i="13"/>
  <c r="O173" i="13"/>
  <c r="M173" i="13"/>
  <c r="G173" i="13"/>
  <c r="H173" i="13" s="1"/>
  <c r="I173" i="13" s="1"/>
  <c r="Z172" i="13"/>
  <c r="W172" i="13"/>
  <c r="U172" i="13"/>
  <c r="S172" i="13"/>
  <c r="Q172" i="13"/>
  <c r="O172" i="13"/>
  <c r="M172" i="13"/>
  <c r="G172" i="13"/>
  <c r="H172" i="13" s="1"/>
  <c r="I172" i="13" s="1"/>
  <c r="Z171" i="13"/>
  <c r="W171" i="13"/>
  <c r="U171" i="13"/>
  <c r="S171" i="13"/>
  <c r="Q171" i="13"/>
  <c r="O171" i="13"/>
  <c r="M171" i="13"/>
  <c r="G171" i="13"/>
  <c r="H171" i="13" s="1"/>
  <c r="I171" i="13" s="1"/>
  <c r="Y170" i="13"/>
  <c r="W170" i="13"/>
  <c r="U170" i="13"/>
  <c r="S170" i="13"/>
  <c r="Q170" i="13"/>
  <c r="O170" i="13"/>
  <c r="M170" i="13"/>
  <c r="G170" i="13"/>
  <c r="H170" i="13" s="1"/>
  <c r="I170" i="13" s="1"/>
  <c r="Y169" i="13"/>
  <c r="W169" i="13"/>
  <c r="U169" i="13"/>
  <c r="S169" i="13"/>
  <c r="Q169" i="13"/>
  <c r="O169" i="13"/>
  <c r="M169" i="13"/>
  <c r="G169" i="13"/>
  <c r="H169" i="13" s="1"/>
  <c r="I169" i="13" s="1"/>
  <c r="Y168" i="13"/>
  <c r="W168" i="13"/>
  <c r="U168" i="13"/>
  <c r="S168" i="13"/>
  <c r="Q168" i="13"/>
  <c r="O168" i="13"/>
  <c r="M168" i="13"/>
  <c r="G168" i="13"/>
  <c r="H168" i="13" s="1"/>
  <c r="I168" i="13" s="1"/>
  <c r="Y167" i="13"/>
  <c r="W167" i="13"/>
  <c r="U167" i="13"/>
  <c r="S167" i="13"/>
  <c r="Q167" i="13"/>
  <c r="O167" i="13"/>
  <c r="M167" i="13"/>
  <c r="G167" i="13"/>
  <c r="H167" i="13" s="1"/>
  <c r="I167" i="13" s="1"/>
  <c r="Y166" i="13"/>
  <c r="W166" i="13"/>
  <c r="U166" i="13"/>
  <c r="S166" i="13"/>
  <c r="Q166" i="13"/>
  <c r="O166" i="13"/>
  <c r="M166" i="13"/>
  <c r="G166" i="13"/>
  <c r="H166" i="13" s="1"/>
  <c r="I166" i="13" s="1"/>
  <c r="Y165" i="13"/>
  <c r="W165" i="13"/>
  <c r="U165" i="13"/>
  <c r="S165" i="13"/>
  <c r="Q165" i="13"/>
  <c r="O165" i="13"/>
  <c r="M165" i="13"/>
  <c r="G165" i="13"/>
  <c r="H165" i="13" s="1"/>
  <c r="I165" i="13" s="1"/>
  <c r="Y164" i="13"/>
  <c r="W164" i="13"/>
  <c r="U164" i="13"/>
  <c r="S164" i="13"/>
  <c r="Q164" i="13"/>
  <c r="O164" i="13"/>
  <c r="M164" i="13"/>
  <c r="G164" i="13"/>
  <c r="H164" i="13" s="1"/>
  <c r="I164" i="13" s="1"/>
  <c r="Y163" i="13"/>
  <c r="W163" i="13"/>
  <c r="U163" i="13"/>
  <c r="S163" i="13"/>
  <c r="Q163" i="13"/>
  <c r="O163" i="13"/>
  <c r="M163" i="13"/>
  <c r="G163" i="13"/>
  <c r="H163" i="13" s="1"/>
  <c r="I163" i="13" s="1"/>
  <c r="Y162" i="13"/>
  <c r="W162" i="13"/>
  <c r="U162" i="13"/>
  <c r="S162" i="13"/>
  <c r="Q162" i="13"/>
  <c r="O162" i="13"/>
  <c r="M162" i="13"/>
  <c r="G162" i="13"/>
  <c r="H162" i="13" s="1"/>
  <c r="I162" i="13" s="1"/>
  <c r="Y161" i="13"/>
  <c r="W161" i="13"/>
  <c r="U161" i="13"/>
  <c r="S161" i="13"/>
  <c r="Q161" i="13"/>
  <c r="O161" i="13"/>
  <c r="M161" i="13"/>
  <c r="G161" i="13"/>
  <c r="H161" i="13" s="1"/>
  <c r="I161" i="13" s="1"/>
  <c r="Y160" i="13"/>
  <c r="W160" i="13"/>
  <c r="U160" i="13"/>
  <c r="S160" i="13"/>
  <c r="Q160" i="13"/>
  <c r="O160" i="13"/>
  <c r="M160" i="13"/>
  <c r="I160" i="13"/>
  <c r="Y159" i="13"/>
  <c r="W159" i="13"/>
  <c r="U159" i="13"/>
  <c r="S159" i="13"/>
  <c r="Q159" i="13"/>
  <c r="O159" i="13"/>
  <c r="M159" i="13"/>
  <c r="I159" i="13"/>
  <c r="Y158" i="13"/>
  <c r="W158" i="13"/>
  <c r="U158" i="13"/>
  <c r="S158" i="13"/>
  <c r="Q158" i="13"/>
  <c r="O158" i="13"/>
  <c r="M158" i="13"/>
  <c r="I158" i="13"/>
  <c r="Y157" i="13"/>
  <c r="W157" i="13"/>
  <c r="U157" i="13"/>
  <c r="S157" i="13"/>
  <c r="Q157" i="13"/>
  <c r="O157" i="13"/>
  <c r="M157" i="13"/>
  <c r="I157" i="13"/>
  <c r="Z156" i="13"/>
  <c r="W156" i="13"/>
  <c r="U156" i="13"/>
  <c r="S156" i="13"/>
  <c r="Q156" i="13"/>
  <c r="O156" i="13"/>
  <c r="M156" i="13"/>
  <c r="I156" i="13"/>
  <c r="Z155" i="13"/>
  <c r="W155" i="13"/>
  <c r="U155" i="13"/>
  <c r="S155" i="13"/>
  <c r="Q155" i="13"/>
  <c r="O155" i="13"/>
  <c r="M155" i="13"/>
  <c r="I155" i="13"/>
  <c r="Y154" i="13"/>
  <c r="W154" i="13"/>
  <c r="U154" i="13"/>
  <c r="S154" i="13"/>
  <c r="Q154" i="13"/>
  <c r="O154" i="13"/>
  <c r="M154" i="13"/>
  <c r="I154" i="13"/>
  <c r="Y153" i="13"/>
  <c r="W153" i="13"/>
  <c r="U153" i="13"/>
  <c r="S153" i="13"/>
  <c r="Q153" i="13"/>
  <c r="O153" i="13"/>
  <c r="M153" i="13"/>
  <c r="I153" i="13"/>
  <c r="Y152" i="13"/>
  <c r="W152" i="13"/>
  <c r="U152" i="13"/>
  <c r="S152" i="13"/>
  <c r="Q152" i="13"/>
  <c r="O152" i="13"/>
  <c r="M152" i="13"/>
  <c r="I152" i="13"/>
  <c r="Z151" i="13"/>
  <c r="W151" i="13"/>
  <c r="U151" i="13"/>
  <c r="S151" i="13"/>
  <c r="Q151" i="13"/>
  <c r="O151" i="13"/>
  <c r="M151" i="13"/>
  <c r="I151" i="13"/>
  <c r="Z150" i="13"/>
  <c r="W150" i="13"/>
  <c r="U150" i="13"/>
  <c r="S150" i="13"/>
  <c r="Q150" i="13"/>
  <c r="O150" i="13"/>
  <c r="M150" i="13"/>
  <c r="I150" i="13"/>
  <c r="Z149" i="13"/>
  <c r="W149" i="13"/>
  <c r="U149" i="13"/>
  <c r="S149" i="13"/>
  <c r="Q149" i="13"/>
  <c r="O149" i="13"/>
  <c r="M149" i="13"/>
  <c r="I149" i="13"/>
  <c r="Z148" i="13"/>
  <c r="W148" i="13"/>
  <c r="U148" i="13"/>
  <c r="S148" i="13"/>
  <c r="Q148" i="13"/>
  <c r="O148" i="13"/>
  <c r="M148" i="13"/>
  <c r="I148" i="13"/>
  <c r="Z147" i="13"/>
  <c r="W147" i="13"/>
  <c r="U147" i="13"/>
  <c r="S147" i="13"/>
  <c r="Q147" i="13"/>
  <c r="O147" i="13"/>
  <c r="M147" i="13"/>
  <c r="I147" i="13"/>
  <c r="Y146" i="13"/>
  <c r="W146" i="13"/>
  <c r="U146" i="13"/>
  <c r="S146" i="13"/>
  <c r="Q146" i="13"/>
  <c r="O146" i="13"/>
  <c r="M146" i="13"/>
  <c r="I146" i="13"/>
  <c r="Y145" i="13"/>
  <c r="W145" i="13"/>
  <c r="U145" i="13"/>
  <c r="S145" i="13"/>
  <c r="Q145" i="13"/>
  <c r="O145" i="13"/>
  <c r="M145" i="13"/>
  <c r="I145" i="13"/>
  <c r="Y144" i="13"/>
  <c r="W144" i="13"/>
  <c r="U144" i="13"/>
  <c r="S144" i="13"/>
  <c r="Q144" i="13"/>
  <c r="O144" i="13"/>
  <c r="M144" i="13"/>
  <c r="I144" i="13"/>
  <c r="Y143" i="13"/>
  <c r="W143" i="13"/>
  <c r="U143" i="13"/>
  <c r="S143" i="13"/>
  <c r="Q143" i="13"/>
  <c r="O143" i="13"/>
  <c r="M143" i="13"/>
  <c r="I143" i="13"/>
  <c r="Y142" i="13"/>
  <c r="W142" i="13"/>
  <c r="U142" i="13"/>
  <c r="S142" i="13"/>
  <c r="Q142" i="13"/>
  <c r="O142" i="13"/>
  <c r="M142" i="13"/>
  <c r="I142" i="13"/>
  <c r="Y141" i="13"/>
  <c r="W141" i="13"/>
  <c r="U141" i="13"/>
  <c r="S141" i="13"/>
  <c r="Q141" i="13"/>
  <c r="O141" i="13"/>
  <c r="M141" i="13"/>
  <c r="I141" i="13"/>
  <c r="Y140" i="13"/>
  <c r="W140" i="13"/>
  <c r="U140" i="13"/>
  <c r="S140" i="13"/>
  <c r="Q140" i="13"/>
  <c r="O140" i="13"/>
  <c r="M140" i="13"/>
  <c r="I140" i="13"/>
  <c r="Z139" i="13"/>
  <c r="W139" i="13"/>
  <c r="U139" i="13"/>
  <c r="S139" i="13"/>
  <c r="Q139" i="13"/>
  <c r="O139" i="13"/>
  <c r="M139" i="13"/>
  <c r="I139" i="13"/>
  <c r="Z138" i="13"/>
  <c r="W138" i="13"/>
  <c r="U138" i="13"/>
  <c r="S138" i="13"/>
  <c r="Q138" i="13"/>
  <c r="O138" i="13"/>
  <c r="M138" i="13"/>
  <c r="I138" i="13"/>
  <c r="Z137" i="13"/>
  <c r="W137" i="13"/>
  <c r="U137" i="13"/>
  <c r="S137" i="13"/>
  <c r="Q137" i="13"/>
  <c r="O137" i="13"/>
  <c r="M137" i="13"/>
  <c r="I137" i="13"/>
  <c r="Z136" i="13"/>
  <c r="W136" i="13"/>
  <c r="U136" i="13"/>
  <c r="S136" i="13"/>
  <c r="Q136" i="13"/>
  <c r="O136" i="13"/>
  <c r="M136" i="13"/>
  <c r="I136" i="13"/>
  <c r="Z135" i="13"/>
  <c r="W135" i="13"/>
  <c r="U135" i="13"/>
  <c r="S135" i="13"/>
  <c r="Q135" i="13"/>
  <c r="O135" i="13"/>
  <c r="M135" i="13"/>
  <c r="I135" i="13"/>
  <c r="Z134" i="13"/>
  <c r="W134" i="13"/>
  <c r="U134" i="13"/>
  <c r="S134" i="13"/>
  <c r="Q134" i="13"/>
  <c r="O134" i="13"/>
  <c r="M134" i="13"/>
  <c r="I134" i="13"/>
  <c r="Z133" i="13"/>
  <c r="W133" i="13"/>
  <c r="U133" i="13"/>
  <c r="S133" i="13"/>
  <c r="Q133" i="13"/>
  <c r="O133" i="13"/>
  <c r="M133" i="13"/>
  <c r="I133" i="13"/>
  <c r="Z132" i="13"/>
  <c r="W132" i="13"/>
  <c r="U132" i="13"/>
  <c r="S132" i="13"/>
  <c r="Q132" i="13"/>
  <c r="O132" i="13"/>
  <c r="M132" i="13"/>
  <c r="I132" i="13"/>
  <c r="Y131" i="13"/>
  <c r="W131" i="13"/>
  <c r="U131" i="13"/>
  <c r="S131" i="13"/>
  <c r="Q131" i="13"/>
  <c r="O131" i="13"/>
  <c r="M131" i="13"/>
  <c r="I131" i="13"/>
  <c r="Y130" i="13"/>
  <c r="W130" i="13"/>
  <c r="U130" i="13"/>
  <c r="S130" i="13"/>
  <c r="Q130" i="13"/>
  <c r="O130" i="13"/>
  <c r="M130" i="13"/>
  <c r="I130" i="13"/>
  <c r="Y129" i="13"/>
  <c r="W129" i="13"/>
  <c r="U129" i="13"/>
  <c r="S129" i="13"/>
  <c r="Q129" i="13"/>
  <c r="O129" i="13"/>
  <c r="M129" i="13"/>
  <c r="I129" i="13"/>
  <c r="Y128" i="13"/>
  <c r="W128" i="13"/>
  <c r="U128" i="13"/>
  <c r="S128" i="13"/>
  <c r="Q128" i="13"/>
  <c r="O128" i="13"/>
  <c r="M128" i="13"/>
  <c r="I128" i="13"/>
  <c r="Y127" i="13"/>
  <c r="W127" i="13"/>
  <c r="U127" i="13"/>
  <c r="S127" i="13"/>
  <c r="Q127" i="13"/>
  <c r="O127" i="13"/>
  <c r="M127" i="13"/>
  <c r="I127" i="13"/>
  <c r="Y126" i="13"/>
  <c r="W126" i="13"/>
  <c r="U126" i="13"/>
  <c r="S126" i="13"/>
  <c r="Q126" i="13"/>
  <c r="O126" i="13"/>
  <c r="M126" i="13"/>
  <c r="I126" i="13"/>
  <c r="Y125" i="13"/>
  <c r="W125" i="13"/>
  <c r="U125" i="13"/>
  <c r="S125" i="13"/>
  <c r="Q125" i="13"/>
  <c r="O125" i="13"/>
  <c r="M125" i="13"/>
  <c r="I125" i="13"/>
  <c r="Y124" i="13"/>
  <c r="W124" i="13"/>
  <c r="U124" i="13"/>
  <c r="S124" i="13"/>
  <c r="Q124" i="13"/>
  <c r="O124" i="13"/>
  <c r="M124" i="13"/>
  <c r="I124" i="13"/>
  <c r="Y123" i="13"/>
  <c r="W123" i="13"/>
  <c r="U123" i="13"/>
  <c r="S123" i="13"/>
  <c r="Q123" i="13"/>
  <c r="O123" i="13"/>
  <c r="M123" i="13"/>
  <c r="I123" i="13"/>
  <c r="Y122" i="13"/>
  <c r="W122" i="13"/>
  <c r="U122" i="13"/>
  <c r="S122" i="13"/>
  <c r="Q122" i="13"/>
  <c r="O122" i="13"/>
  <c r="M122" i="13"/>
  <c r="I122" i="13"/>
  <c r="Y121" i="13"/>
  <c r="W121" i="13"/>
  <c r="U121" i="13"/>
  <c r="S121" i="13"/>
  <c r="Q121" i="13"/>
  <c r="O121" i="13"/>
  <c r="M121" i="13"/>
  <c r="I121" i="13"/>
  <c r="Z120" i="13"/>
  <c r="W120" i="13"/>
  <c r="U120" i="13"/>
  <c r="S120" i="13"/>
  <c r="Q120" i="13"/>
  <c r="O120" i="13"/>
  <c r="M120" i="13"/>
  <c r="I120" i="13"/>
  <c r="Z119" i="13"/>
  <c r="W119" i="13"/>
  <c r="U119" i="13"/>
  <c r="S119" i="13"/>
  <c r="Q119" i="13"/>
  <c r="O119" i="13"/>
  <c r="M119" i="13"/>
  <c r="I119" i="13"/>
  <c r="Z118" i="13"/>
  <c r="W118" i="13"/>
  <c r="U118" i="13"/>
  <c r="S118" i="13"/>
  <c r="Q118" i="13"/>
  <c r="O118" i="13"/>
  <c r="M118" i="13"/>
  <c r="I118" i="13"/>
  <c r="Z117" i="13"/>
  <c r="W117" i="13"/>
  <c r="U117" i="13"/>
  <c r="S117" i="13"/>
  <c r="Q117" i="13"/>
  <c r="O117" i="13"/>
  <c r="M117" i="13"/>
  <c r="I117" i="13"/>
  <c r="Z116" i="13"/>
  <c r="W116" i="13"/>
  <c r="U116" i="13"/>
  <c r="S116" i="13"/>
  <c r="Q116" i="13"/>
  <c r="O116" i="13"/>
  <c r="M116" i="13"/>
  <c r="I116" i="13"/>
  <c r="Y115" i="13"/>
  <c r="W115" i="13"/>
  <c r="U115" i="13"/>
  <c r="S115" i="13"/>
  <c r="Q115" i="13"/>
  <c r="O115" i="13"/>
  <c r="M115" i="13"/>
  <c r="I115" i="13"/>
  <c r="Y114" i="13"/>
  <c r="W114" i="13"/>
  <c r="U114" i="13"/>
  <c r="S114" i="13"/>
  <c r="Q114" i="13"/>
  <c r="O114" i="13"/>
  <c r="M114" i="13"/>
  <c r="I114" i="13"/>
  <c r="Y113" i="13"/>
  <c r="W113" i="13"/>
  <c r="U113" i="13"/>
  <c r="S113" i="13"/>
  <c r="Q113" i="13"/>
  <c r="O113" i="13"/>
  <c r="M113" i="13"/>
  <c r="I113" i="13"/>
  <c r="Y112" i="13"/>
  <c r="W112" i="13"/>
  <c r="U112" i="13"/>
  <c r="S112" i="13"/>
  <c r="Q112" i="13"/>
  <c r="O112" i="13"/>
  <c r="M112" i="13"/>
  <c r="I112" i="13"/>
  <c r="Y111" i="13"/>
  <c r="W111" i="13"/>
  <c r="U111" i="13"/>
  <c r="S111" i="13"/>
  <c r="Q111" i="13"/>
  <c r="O111" i="13"/>
  <c r="M111" i="13"/>
  <c r="I111" i="13"/>
  <c r="Y110" i="13"/>
  <c r="W110" i="13"/>
  <c r="U110" i="13"/>
  <c r="S110" i="13"/>
  <c r="Q110" i="13"/>
  <c r="O110" i="13"/>
  <c r="M110" i="13"/>
  <c r="I110" i="13"/>
  <c r="Y109" i="13"/>
  <c r="W109" i="13"/>
  <c r="U109" i="13"/>
  <c r="S109" i="13"/>
  <c r="Q109" i="13"/>
  <c r="O109" i="13"/>
  <c r="M109" i="13"/>
  <c r="I109" i="13"/>
  <c r="Z108" i="13"/>
  <c r="W108" i="13"/>
  <c r="U108" i="13"/>
  <c r="S108" i="13"/>
  <c r="Q108" i="13"/>
  <c r="O108" i="13"/>
  <c r="M108" i="13"/>
  <c r="I108" i="13"/>
  <c r="Z107" i="13"/>
  <c r="W107" i="13"/>
  <c r="U107" i="13"/>
  <c r="S107" i="13"/>
  <c r="Q107" i="13"/>
  <c r="O107" i="13"/>
  <c r="M107" i="13"/>
  <c r="I107" i="13"/>
  <c r="Z106" i="13"/>
  <c r="W106" i="13"/>
  <c r="U106" i="13"/>
  <c r="S106" i="13"/>
  <c r="Q106" i="13"/>
  <c r="O106" i="13"/>
  <c r="M106" i="13"/>
  <c r="I106" i="13"/>
  <c r="Y105" i="13"/>
  <c r="W105" i="13"/>
  <c r="U105" i="13"/>
  <c r="S105" i="13"/>
  <c r="Q105" i="13"/>
  <c r="O105" i="13"/>
  <c r="M105" i="13"/>
  <c r="I105" i="13"/>
  <c r="Y104" i="13"/>
  <c r="W104" i="13"/>
  <c r="U104" i="13"/>
  <c r="S104" i="13"/>
  <c r="Q104" i="13"/>
  <c r="O104" i="13"/>
  <c r="M104" i="13"/>
  <c r="I104" i="13"/>
  <c r="Y103" i="13"/>
  <c r="W103" i="13"/>
  <c r="U103" i="13"/>
  <c r="S103" i="13"/>
  <c r="Q103" i="13"/>
  <c r="O103" i="13"/>
  <c r="M103" i="13"/>
  <c r="I103" i="13"/>
  <c r="Y102" i="13"/>
  <c r="W102" i="13"/>
  <c r="U102" i="13"/>
  <c r="S102" i="13"/>
  <c r="Q102" i="13"/>
  <c r="O102" i="13"/>
  <c r="M102" i="13"/>
  <c r="I102" i="13"/>
  <c r="Y101" i="13"/>
  <c r="W101" i="13"/>
  <c r="U101" i="13"/>
  <c r="S101" i="13"/>
  <c r="Q101" i="13"/>
  <c r="O101" i="13"/>
  <c r="M101" i="13"/>
  <c r="I101" i="13"/>
  <c r="Y100" i="13"/>
  <c r="W100" i="13"/>
  <c r="U100" i="13"/>
  <c r="S100" i="13"/>
  <c r="Q100" i="13"/>
  <c r="O100" i="13"/>
  <c r="M100" i="13"/>
  <c r="I100" i="13"/>
  <c r="Y99" i="13"/>
  <c r="W99" i="13"/>
  <c r="U99" i="13"/>
  <c r="S99" i="13"/>
  <c r="Q99" i="13"/>
  <c r="O99" i="13"/>
  <c r="M99" i="13"/>
  <c r="I99" i="13"/>
  <c r="Y98" i="13"/>
  <c r="W98" i="13"/>
  <c r="U98" i="13"/>
  <c r="S98" i="13"/>
  <c r="Q98" i="13"/>
  <c r="O98" i="13"/>
  <c r="M98" i="13"/>
  <c r="I98" i="13"/>
  <c r="Y97" i="13"/>
  <c r="W97" i="13"/>
  <c r="U97" i="13"/>
  <c r="S97" i="13"/>
  <c r="Q97" i="13"/>
  <c r="O97" i="13"/>
  <c r="M97" i="13"/>
  <c r="I97" i="13"/>
  <c r="P83" i="13"/>
  <c r="P82" i="13"/>
  <c r="P81" i="13"/>
  <c r="P80" i="13"/>
  <c r="P79" i="13"/>
  <c r="P78" i="13"/>
  <c r="P77" i="13"/>
  <c r="P76" i="13"/>
  <c r="P75" i="13"/>
  <c r="P74" i="13"/>
  <c r="P73" i="13"/>
  <c r="P72" i="13"/>
  <c r="P71" i="13"/>
  <c r="P70" i="13"/>
  <c r="P69" i="13"/>
  <c r="AG68" i="13"/>
  <c r="P68" i="13"/>
  <c r="AG67" i="13"/>
  <c r="P67" i="13"/>
  <c r="P66" i="13"/>
  <c r="P65" i="13"/>
  <c r="AL64" i="13"/>
  <c r="AJ64"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AG27" i="13"/>
  <c r="P27" i="13"/>
  <c r="P26" i="13"/>
  <c r="P25" i="13"/>
  <c r="AL24" i="13"/>
  <c r="AJ24" i="13"/>
  <c r="P24" i="13"/>
  <c r="P23" i="13"/>
  <c r="P22" i="13"/>
  <c r="AT21" i="13"/>
  <c r="AR21" i="13"/>
  <c r="P21" i="13"/>
  <c r="AT20" i="13"/>
  <c r="AR20" i="13"/>
  <c r="P20" i="13"/>
  <c r="AT19" i="13"/>
  <c r="AR19" i="13"/>
  <c r="P19" i="13"/>
  <c r="AT18" i="13"/>
  <c r="P18" i="13"/>
  <c r="AT17" i="13"/>
  <c r="P17" i="13"/>
  <c r="AT16" i="13"/>
  <c r="P16" i="13"/>
  <c r="AT15" i="13"/>
  <c r="P15" i="13"/>
  <c r="AT14" i="13"/>
  <c r="AR14" i="13"/>
  <c r="P14" i="13"/>
  <c r="AT13" i="13"/>
  <c r="AR13" i="13"/>
  <c r="P13" i="13"/>
  <c r="AT12" i="13"/>
  <c r="AR12" i="13"/>
  <c r="P12" i="13"/>
  <c r="AT11" i="13"/>
  <c r="AR11" i="13"/>
  <c r="P11" i="13"/>
  <c r="AT10" i="13"/>
  <c r="AR10" i="13"/>
  <c r="P10" i="13"/>
  <c r="AT9" i="13"/>
  <c r="P9" i="13"/>
  <c r="AT8" i="13"/>
  <c r="P8" i="13"/>
  <c r="AT7" i="13"/>
  <c r="P7" i="13"/>
  <c r="AT6" i="13"/>
  <c r="P6" i="13"/>
  <c r="AT5" i="13"/>
  <c r="P5" i="13"/>
  <c r="X461" i="7"/>
  <c r="V461" i="7"/>
  <c r="X460" i="7"/>
  <c r="V460" i="7"/>
  <c r="X459" i="7"/>
  <c r="V459" i="7"/>
  <c r="X458" i="7"/>
  <c r="V458" i="7"/>
  <c r="X457" i="7"/>
  <c r="V457" i="7"/>
  <c r="X456" i="7"/>
  <c r="V456" i="7"/>
  <c r="X455" i="7"/>
  <c r="V455" i="7"/>
  <c r="X454" i="7"/>
  <c r="V454" i="7"/>
  <c r="X453" i="7"/>
  <c r="V453" i="7"/>
  <c r="X452" i="7"/>
  <c r="V452" i="7"/>
  <c r="X451" i="7"/>
  <c r="V451" i="7"/>
  <c r="X450" i="7"/>
  <c r="V450" i="7"/>
  <c r="X449" i="7"/>
  <c r="R449" i="7"/>
  <c r="X448" i="7"/>
  <c r="R448" i="7"/>
  <c r="X447" i="7"/>
  <c r="R447" i="7"/>
  <c r="X446" i="7"/>
  <c r="R446" i="7"/>
  <c r="X445" i="7"/>
  <c r="R445" i="7"/>
  <c r="X444" i="7"/>
  <c r="R444" i="7"/>
  <c r="X443" i="7"/>
  <c r="R443" i="7"/>
  <c r="X442" i="7"/>
  <c r="R442" i="7"/>
  <c r="X441" i="7"/>
  <c r="R441" i="7"/>
  <c r="X440" i="7"/>
  <c r="R440" i="7"/>
  <c r="X439" i="7"/>
  <c r="R439" i="7"/>
  <c r="X438" i="7"/>
  <c r="R438" i="7"/>
  <c r="X437" i="7"/>
  <c r="R437" i="7"/>
  <c r="X436" i="7"/>
  <c r="R436" i="7"/>
  <c r="X435" i="7"/>
  <c r="R435" i="7"/>
  <c r="X434" i="7"/>
  <c r="R434" i="7"/>
  <c r="X433" i="7"/>
  <c r="R433" i="7"/>
  <c r="X432" i="7"/>
  <c r="R432" i="7"/>
  <c r="X431" i="7"/>
  <c r="R431" i="7"/>
  <c r="X430" i="7"/>
  <c r="R430" i="7"/>
  <c r="X429" i="7"/>
  <c r="R429" i="7"/>
  <c r="X428" i="7"/>
  <c r="R428" i="7"/>
  <c r="X427" i="7"/>
  <c r="R427" i="7"/>
  <c r="X426" i="7"/>
  <c r="R426" i="7"/>
  <c r="AG334" i="7"/>
  <c r="AF334" i="7"/>
  <c r="AE334" i="7"/>
  <c r="AD334" i="7"/>
  <c r="AC334" i="7"/>
  <c r="AB334" i="7"/>
  <c r="AA334" i="7"/>
  <c r="Z334" i="7"/>
  <c r="Y334" i="7"/>
  <c r="X334" i="7"/>
  <c r="W334" i="7"/>
  <c r="V334" i="7"/>
  <c r="U334" i="7"/>
  <c r="S334" i="7"/>
  <c r="R334" i="7"/>
  <c r="Q334" i="7"/>
  <c r="L334" i="7"/>
  <c r="J334" i="7"/>
  <c r="I334" i="7"/>
  <c r="H334" i="7"/>
  <c r="F334" i="7"/>
  <c r="E334" i="7"/>
  <c r="D334" i="7"/>
  <c r="C334" i="7"/>
  <c r="AJ322" i="7"/>
  <c r="AI322" i="7"/>
  <c r="AJ321" i="7"/>
  <c r="AI321" i="7"/>
  <c r="AG321" i="7"/>
  <c r="AF321" i="7"/>
  <c r="AE321" i="7"/>
  <c r="AD321" i="7"/>
  <c r="AC321" i="7"/>
  <c r="AB321" i="7"/>
  <c r="AA321" i="7"/>
  <c r="Z321" i="7"/>
  <c r="Y321" i="7"/>
  <c r="X321" i="7"/>
  <c r="W321" i="7"/>
  <c r="V321" i="7"/>
  <c r="U321" i="7"/>
  <c r="S321" i="7"/>
  <c r="R321" i="7"/>
  <c r="Q321" i="7"/>
  <c r="L321" i="7"/>
  <c r="J321" i="7"/>
  <c r="I321" i="7"/>
  <c r="H321" i="7"/>
  <c r="F321" i="7"/>
  <c r="E321" i="7"/>
  <c r="D321" i="7"/>
  <c r="C321" i="7"/>
  <c r="AJ320" i="7"/>
  <c r="AI320" i="7"/>
  <c r="AJ319" i="7"/>
  <c r="AI319" i="7"/>
  <c r="AJ318" i="7"/>
  <c r="AI318" i="7"/>
  <c r="AJ317" i="7"/>
  <c r="AI317" i="7"/>
  <c r="AJ316" i="7"/>
  <c r="AI316" i="7"/>
  <c r="P7" i="7"/>
  <c r="L7" i="7"/>
  <c r="J7" i="7"/>
  <c r="I7" i="7"/>
  <c r="H7" i="7"/>
  <c r="G7" i="7"/>
  <c r="F7" i="7"/>
  <c r="E7" i="7"/>
  <c r="D7" i="7"/>
  <c r="C7" i="7"/>
  <c r="P6" i="7"/>
  <c r="O6" i="7"/>
  <c r="N6" i="7"/>
  <c r="M6" i="7"/>
  <c r="L6" i="7"/>
  <c r="K6" i="7"/>
  <c r="J6" i="7"/>
  <c r="I6" i="7"/>
  <c r="H6" i="7"/>
  <c r="G6" i="7"/>
  <c r="F6" i="7"/>
  <c r="E6" i="7"/>
  <c r="D6" i="7"/>
  <c r="C6" i="7"/>
  <c r="D67" i="25"/>
  <c r="D66" i="25"/>
  <c r="D65" i="25"/>
  <c r="D64" i="25"/>
  <c r="D63" i="25"/>
  <c r="D62" i="25"/>
  <c r="D61" i="25"/>
  <c r="D60" i="25"/>
  <c r="D59" i="25"/>
  <c r="D58" i="25"/>
  <c r="D57" i="25"/>
  <c r="D56" i="25"/>
  <c r="D55" i="25"/>
  <c r="D54" i="25"/>
  <c r="D53" i="25"/>
  <c r="D52" i="25"/>
  <c r="D51" i="25"/>
  <c r="D50" i="25"/>
  <c r="D49" i="25"/>
  <c r="D48" i="25"/>
  <c r="D47" i="25"/>
  <c r="D46" i="25"/>
  <c r="D45" i="25"/>
  <c r="D44" i="25"/>
  <c r="D43" i="25"/>
  <c r="D42" i="25"/>
  <c r="D41" i="25"/>
  <c r="D40" i="25"/>
  <c r="D39" i="25"/>
  <c r="D38" i="25"/>
  <c r="D37" i="25"/>
  <c r="D36" i="25"/>
  <c r="D35" i="25"/>
  <c r="D34" i="25"/>
  <c r="D33" i="25"/>
  <c r="D32" i="25"/>
  <c r="D31" i="25"/>
  <c r="D30" i="25"/>
  <c r="D29" i="25"/>
  <c r="D28" i="25"/>
  <c r="D15" i="25"/>
  <c r="E15" i="25" s="1"/>
  <c r="G2" i="25"/>
  <c r="E2" i="25"/>
  <c r="G349" i="4"/>
  <c r="G347" i="4"/>
  <c r="D299" i="4"/>
  <c r="D298" i="4"/>
  <c r="D297" i="4"/>
  <c r="D296" i="4"/>
  <c r="D295" i="4"/>
  <c r="D294" i="4"/>
  <c r="D293" i="4"/>
  <c r="D292" i="4"/>
  <c r="D291" i="4"/>
  <c r="D290" i="4"/>
  <c r="D289" i="4"/>
  <c r="D288" i="4"/>
  <c r="D287" i="4"/>
  <c r="D286" i="4"/>
  <c r="D285" i="4"/>
  <c r="D284" i="4"/>
  <c r="C279" i="4"/>
  <c r="C278" i="4"/>
  <c r="C277" i="4"/>
  <c r="C276" i="4"/>
  <c r="C275" i="4"/>
  <c r="C274" i="4"/>
  <c r="C273" i="4"/>
  <c r="C272" i="4"/>
  <c r="C271" i="4"/>
  <c r="C270" i="4"/>
  <c r="C269" i="4"/>
  <c r="C268" i="4"/>
  <c r="C267" i="4"/>
  <c r="C266" i="4"/>
  <c r="C265" i="4"/>
  <c r="C264" i="4"/>
  <c r="C263" i="4"/>
  <c r="C262" i="4"/>
  <c r="C255" i="4"/>
  <c r="C256" i="4" s="1"/>
  <c r="G249" i="4"/>
  <c r="F249" i="4"/>
  <c r="E249" i="4"/>
  <c r="D249" i="4"/>
  <c r="C249" i="4"/>
  <c r="I234" i="4"/>
  <c r="Z34" i="4" s="1"/>
  <c r="Z35" i="4" s="1"/>
  <c r="I233" i="4"/>
  <c r="Z33" i="4" s="1"/>
  <c r="I232" i="4"/>
  <c r="Z32" i="4" s="1"/>
  <c r="I231" i="4"/>
  <c r="P34" i="4" s="1"/>
  <c r="P35" i="4" s="1"/>
  <c r="I230" i="4"/>
  <c r="P33" i="4" s="1"/>
  <c r="I229" i="4"/>
  <c r="P32" i="4" s="1"/>
  <c r="P31" i="4" s="1"/>
  <c r="F194" i="4"/>
  <c r="H193" i="4"/>
  <c r="G193" i="4"/>
  <c r="F193" i="4"/>
  <c r="H192" i="4"/>
  <c r="G192" i="4"/>
  <c r="F192" i="4"/>
  <c r="H191" i="4"/>
  <c r="G191" i="4"/>
  <c r="F191" i="4"/>
  <c r="H190" i="4"/>
  <c r="G190" i="4"/>
  <c r="F190" i="4"/>
  <c r="H189" i="4"/>
  <c r="G189" i="4"/>
  <c r="F189" i="4"/>
  <c r="G138" i="4"/>
  <c r="G137" i="4"/>
  <c r="G136" i="4"/>
  <c r="G135" i="4"/>
  <c r="G134" i="4"/>
  <c r="G133" i="4"/>
  <c r="G132" i="4"/>
  <c r="G131" i="4"/>
  <c r="G130" i="4"/>
  <c r="G129" i="4"/>
  <c r="G128" i="4"/>
  <c r="I128" i="4" s="1"/>
  <c r="G127" i="4"/>
  <c r="I127" i="4" s="1"/>
  <c r="G126" i="4"/>
  <c r="I126" i="4" s="1"/>
  <c r="G125" i="4"/>
  <c r="I125" i="4" s="1"/>
  <c r="G124" i="4"/>
  <c r="I124" i="4" s="1"/>
  <c r="G123" i="4"/>
  <c r="I123" i="4" s="1"/>
  <c r="G122" i="4"/>
  <c r="I122" i="4" s="1"/>
  <c r="G121" i="4"/>
  <c r="I121" i="4" s="1"/>
  <c r="G120" i="4"/>
  <c r="I120" i="4" s="1"/>
  <c r="G119" i="4"/>
  <c r="I119" i="4" s="1"/>
  <c r="G118" i="4"/>
  <c r="I118" i="4" s="1"/>
  <c r="G117" i="4"/>
  <c r="I117" i="4" s="1"/>
  <c r="G116" i="4"/>
  <c r="I116" i="4" s="1"/>
  <c r="G115" i="4"/>
  <c r="I115" i="4" s="1"/>
  <c r="G114" i="4"/>
  <c r="I114" i="4" s="1"/>
  <c r="G113" i="4"/>
  <c r="I113" i="4" s="1"/>
  <c r="C96" i="4"/>
  <c r="B96" i="4"/>
  <c r="C95" i="4"/>
  <c r="B95" i="4"/>
  <c r="C94" i="4"/>
  <c r="B94" i="4"/>
  <c r="B93" i="4"/>
  <c r="C92" i="4"/>
  <c r="B92" i="4"/>
  <c r="C91" i="4"/>
  <c r="B91" i="4"/>
  <c r="C90" i="4"/>
  <c r="B90" i="4"/>
  <c r="F89" i="4"/>
  <c r="C89" i="4"/>
  <c r="B89" i="4"/>
  <c r="C88" i="4"/>
  <c r="B88" i="4"/>
  <c r="B87" i="4"/>
  <c r="C86" i="4"/>
  <c r="B86" i="4"/>
  <c r="C85" i="4"/>
  <c r="B85" i="4"/>
  <c r="C84" i="4"/>
  <c r="B84" i="4"/>
  <c r="B83" i="4"/>
  <c r="C82" i="4"/>
  <c r="B82" i="4"/>
  <c r="C81" i="4"/>
  <c r="B81" i="4"/>
  <c r="C80" i="4"/>
  <c r="B80" i="4"/>
  <c r="B79" i="4"/>
  <c r="C73" i="4"/>
  <c r="B73" i="4"/>
  <c r="C72" i="4"/>
  <c r="B72" i="4"/>
  <c r="C71" i="4"/>
  <c r="B71" i="4"/>
  <c r="B70" i="4"/>
  <c r="C63" i="4"/>
  <c r="B63" i="4"/>
  <c r="C62" i="4"/>
  <c r="B62" i="4"/>
  <c r="C61" i="4"/>
  <c r="B61" i="4"/>
  <c r="B60" i="4"/>
  <c r="C57" i="4"/>
  <c r="B57" i="4"/>
  <c r="C56" i="4"/>
  <c r="B56" i="4"/>
  <c r="C55" i="4"/>
  <c r="B55" i="4"/>
  <c r="B54" i="4"/>
  <c r="C52" i="4"/>
  <c r="C51" i="4"/>
  <c r="C50" i="4"/>
  <c r="C49" i="4"/>
  <c r="C48" i="4"/>
  <c r="C47" i="4"/>
  <c r="C45" i="4"/>
  <c r="B45" i="4"/>
  <c r="C44" i="4"/>
  <c r="B44" i="4"/>
  <c r="K43" i="4" a="1"/>
  <c r="K43" i="4" s="1"/>
  <c r="C43" i="4"/>
  <c r="B43" i="4"/>
  <c r="B42" i="4"/>
  <c r="C40" i="4"/>
  <c r="B40" i="4"/>
  <c r="C39" i="4"/>
  <c r="B39" i="4"/>
  <c r="C38" i="4"/>
  <c r="B38" i="4"/>
  <c r="B37" i="4"/>
  <c r="C34" i="4"/>
  <c r="C33" i="4"/>
  <c r="C32" i="4"/>
  <c r="C31" i="4"/>
  <c r="C29" i="4"/>
  <c r="B29" i="4"/>
  <c r="C28" i="4"/>
  <c r="B28" i="4"/>
  <c r="C27" i="4"/>
  <c r="B27" i="4"/>
  <c r="B26" i="4"/>
  <c r="B25" i="4"/>
  <c r="C24" i="4"/>
  <c r="B24" i="4"/>
  <c r="B23" i="4"/>
  <c r="B22" i="4"/>
  <c r="J15" i="2"/>
  <c r="J14" i="2"/>
  <c r="J13" i="2"/>
  <c r="J12" i="2"/>
  <c r="J11" i="2"/>
  <c r="J10" i="2"/>
  <c r="J9" i="2"/>
  <c r="J8" i="2"/>
  <c r="J7" i="2"/>
  <c r="J5" i="2"/>
  <c r="J4" i="2"/>
  <c r="J3" i="2"/>
  <c r="J2" i="2"/>
  <c r="N67" i="12"/>
  <c r="N66" i="12"/>
  <c r="N64" i="12"/>
  <c r="N63" i="12"/>
  <c r="N62" i="12"/>
  <c r="N61" i="12"/>
  <c r="N60" i="12"/>
  <c r="N59" i="12"/>
  <c r="N57" i="12"/>
  <c r="N56" i="12"/>
  <c r="N55" i="12"/>
  <c r="N54" i="12"/>
  <c r="N53" i="12"/>
  <c r="N52" i="12"/>
  <c r="N51" i="12"/>
  <c r="N50" i="12"/>
  <c r="N49" i="12"/>
  <c r="N48" i="12"/>
  <c r="N46" i="12"/>
  <c r="N45" i="12"/>
  <c r="N44" i="12"/>
  <c r="N43" i="12"/>
  <c r="N42" i="12"/>
  <c r="N41" i="12"/>
  <c r="N40" i="12"/>
  <c r="C38" i="12" a="1"/>
  <c r="C53" i="12" s="1"/>
  <c r="G23" i="3"/>
  <c r="M5" i="3" s="1"/>
  <c r="B12" i="3"/>
  <c r="B11" i="3"/>
  <c r="B10" i="3"/>
  <c r="B9" i="3"/>
  <c r="B8" i="3"/>
  <c r="B7" i="3"/>
  <c r="B6" i="3"/>
  <c r="F212" i="26"/>
  <c r="E212" i="26"/>
  <c r="B95" i="26"/>
  <c r="F38" i="26"/>
  <c r="E38" i="26"/>
  <c r="E228" i="26"/>
  <c r="F223" i="26"/>
  <c r="F225" i="26" s="1"/>
  <c r="F227" i="26" s="1"/>
  <c r="B9" i="26"/>
  <c r="B8" i="26"/>
  <c r="O101" i="1"/>
  <c r="E113" i="1"/>
  <c r="E58" i="1"/>
  <c r="D57" i="1"/>
  <c r="E56" i="1"/>
  <c r="B48" i="1"/>
  <c r="E41" i="1"/>
  <c r="E19" i="1"/>
  <c r="AE19" i="5" l="1"/>
  <c r="BF16" i="20"/>
  <c r="BE15" i="20"/>
  <c r="H347" i="4"/>
  <c r="AW7" i="13" s="1"/>
  <c r="AX7" i="13" s="1"/>
  <c r="G348" i="4"/>
  <c r="BD6" i="20"/>
  <c r="BH6" i="20" s="1"/>
  <c r="H10" i="20"/>
  <c r="X10" i="20" s="1"/>
  <c r="BD16" i="20"/>
  <c r="BG16" i="20" s="1"/>
  <c r="H20" i="20"/>
  <c r="R20" i="20" s="1"/>
  <c r="BD31" i="20"/>
  <c r="H35" i="20"/>
  <c r="AD35" i="20" s="1"/>
  <c r="BD39" i="20"/>
  <c r="H43" i="20"/>
  <c r="R43" i="20" s="1"/>
  <c r="BD22" i="20"/>
  <c r="BH22" i="20" s="1"/>
  <c r="H26" i="20"/>
  <c r="X26" i="20" s="1"/>
  <c r="BD30" i="20"/>
  <c r="BH30" i="20" s="1"/>
  <c r="H34" i="20"/>
  <c r="AI34" i="20" s="1"/>
  <c r="BD38" i="20"/>
  <c r="H42" i="20"/>
  <c r="AD42" i="20" s="1"/>
  <c r="BD28" i="20"/>
  <c r="BG28" i="20" s="1"/>
  <c r="H32" i="20"/>
  <c r="AK32" i="20" s="1"/>
  <c r="BD36" i="20"/>
  <c r="BG36" i="20" s="1"/>
  <c r="H40" i="20"/>
  <c r="AJ40" i="20" s="1"/>
  <c r="BD12" i="20"/>
  <c r="BH12" i="20" s="1"/>
  <c r="H16" i="20"/>
  <c r="V16" i="20" s="1"/>
  <c r="BD19" i="20"/>
  <c r="H23" i="20"/>
  <c r="AC23" i="20" s="1"/>
  <c r="BD35" i="20"/>
  <c r="H39" i="20"/>
  <c r="V39" i="20" s="1"/>
  <c r="BD21" i="20"/>
  <c r="BH21" i="20" s="1"/>
  <c r="H25" i="20"/>
  <c r="AK25" i="20" s="1"/>
  <c r="BD18" i="20"/>
  <c r="BG18" i="20" s="1"/>
  <c r="H22" i="20"/>
  <c r="R22" i="20" s="1"/>
  <c r="BD26" i="20"/>
  <c r="BG26" i="20" s="1"/>
  <c r="H30" i="20"/>
  <c r="R30" i="20" s="1"/>
  <c r="BD34" i="20"/>
  <c r="BH34" i="20" s="1"/>
  <c r="H38" i="20"/>
  <c r="AK38" i="20" s="1"/>
  <c r="BD42" i="20"/>
  <c r="BG42" i="20" s="1"/>
  <c r="H46" i="20"/>
  <c r="V46" i="20" s="1"/>
  <c r="BD14" i="20"/>
  <c r="BG14" i="20" s="1"/>
  <c r="H18" i="20"/>
  <c r="R18" i="20" s="1"/>
  <c r="BD7" i="20"/>
  <c r="BH7" i="20" s="1"/>
  <c r="H11" i="20"/>
  <c r="AE11" i="20" s="1"/>
  <c r="BD11" i="20"/>
  <c r="BG11" i="20" s="1"/>
  <c r="H15" i="20"/>
  <c r="AE15" i="20" s="1"/>
  <c r="BD33" i="20"/>
  <c r="BH33" i="20" s="1"/>
  <c r="H37" i="20"/>
  <c r="AI37" i="20" s="1"/>
  <c r="BD24" i="20"/>
  <c r="H28" i="20"/>
  <c r="R28" i="20" s="1"/>
  <c r="BD32" i="20"/>
  <c r="H36" i="20"/>
  <c r="X36" i="20" s="1"/>
  <c r="BD40" i="20"/>
  <c r="BH40" i="20" s="1"/>
  <c r="H44" i="20"/>
  <c r="V44" i="20" s="1"/>
  <c r="F90" i="26"/>
  <c r="W19" i="20"/>
  <c r="AJ19" i="20"/>
  <c r="S19" i="20"/>
  <c r="AG19" i="20"/>
  <c r="U19" i="20"/>
  <c r="AE19" i="20"/>
  <c r="R19" i="20"/>
  <c r="AD19" i="20"/>
  <c r="T19" i="20"/>
  <c r="X19" i="20"/>
  <c r="AB19" i="20"/>
  <c r="AI19" i="20"/>
  <c r="AA19" i="20"/>
  <c r="Y19" i="20"/>
  <c r="AH19" i="20"/>
  <c r="AC19" i="20"/>
  <c r="AK19" i="20"/>
  <c r="V19" i="20"/>
  <c r="AF19" i="20"/>
  <c r="Z19" i="20"/>
  <c r="AH13" i="20"/>
  <c r="Y13" i="20"/>
  <c r="AD13" i="20"/>
  <c r="AA13" i="20"/>
  <c r="AI13" i="20"/>
  <c r="AB13" i="20"/>
  <c r="AE13" i="20"/>
  <c r="AJ13" i="20"/>
  <c r="V13" i="20"/>
  <c r="S13" i="20"/>
  <c r="X13" i="20"/>
  <c r="AF13" i="20"/>
  <c r="AC13" i="20"/>
  <c r="W13" i="20"/>
  <c r="T13" i="20"/>
  <c r="AG13" i="20"/>
  <c r="U13" i="20"/>
  <c r="Z13" i="20"/>
  <c r="AK13" i="20"/>
  <c r="R13" i="20"/>
  <c r="AC33" i="20"/>
  <c r="V33" i="20"/>
  <c r="AK33" i="20"/>
  <c r="AF33" i="20"/>
  <c r="S33" i="20"/>
  <c r="X33" i="20"/>
  <c r="W33" i="20"/>
  <c r="AD33" i="20"/>
  <c r="AE33" i="20"/>
  <c r="AH33" i="20"/>
  <c r="T33" i="20"/>
  <c r="Y33" i="20"/>
  <c r="R33" i="20"/>
  <c r="AB33" i="20"/>
  <c r="AI33" i="20"/>
  <c r="AJ33" i="20"/>
  <c r="Z33" i="20"/>
  <c r="AG33" i="20"/>
  <c r="U33" i="20"/>
  <c r="AA33" i="20"/>
  <c r="AC41" i="20"/>
  <c r="AB41" i="20"/>
  <c r="Z41" i="20"/>
  <c r="AJ41" i="20"/>
  <c r="AI41" i="20"/>
  <c r="AE41" i="20"/>
  <c r="W41" i="20"/>
  <c r="U41" i="20"/>
  <c r="AF41" i="20"/>
  <c r="AD41" i="20"/>
  <c r="X41" i="20"/>
  <c r="AG41" i="20"/>
  <c r="Y41" i="20"/>
  <c r="AK41" i="20"/>
  <c r="T41" i="20"/>
  <c r="AH41" i="20"/>
  <c r="R41" i="20"/>
  <c r="S41" i="20"/>
  <c r="AA41" i="20"/>
  <c r="V41" i="20"/>
  <c r="AJ49" i="20"/>
  <c r="AK49" i="20"/>
  <c r="AA49" i="20"/>
  <c r="V49" i="20"/>
  <c r="Z49" i="20"/>
  <c r="AD49" i="20"/>
  <c r="W49" i="20"/>
  <c r="AI49" i="20"/>
  <c r="AE49" i="20"/>
  <c r="X49" i="20"/>
  <c r="AF49" i="20"/>
  <c r="Y49" i="20"/>
  <c r="T49" i="20"/>
  <c r="R49" i="20"/>
  <c r="U49" i="20"/>
  <c r="AC49" i="20"/>
  <c r="AH49" i="20"/>
  <c r="AG49" i="20"/>
  <c r="S49" i="20"/>
  <c r="AB49" i="20"/>
  <c r="AH54" i="20"/>
  <c r="Z54" i="20"/>
  <c r="S54" i="20"/>
  <c r="R54" i="20"/>
  <c r="AF54" i="20"/>
  <c r="X54" i="20"/>
  <c r="W54" i="20"/>
  <c r="AE54" i="20"/>
  <c r="AG54" i="20"/>
  <c r="V54" i="20"/>
  <c r="AK54" i="20"/>
  <c r="AC54" i="20"/>
  <c r="AI54" i="20"/>
  <c r="AA54" i="20"/>
  <c r="AJ54" i="20"/>
  <c r="T54" i="20"/>
  <c r="Y54" i="20"/>
  <c r="U54" i="20"/>
  <c r="AD54" i="20"/>
  <c r="AB54" i="20"/>
  <c r="R51" i="20"/>
  <c r="Z51" i="20"/>
  <c r="AI51" i="20"/>
  <c r="AJ51" i="20"/>
  <c r="AH51" i="20"/>
  <c r="AB51" i="20"/>
  <c r="U51" i="20"/>
  <c r="T51" i="20"/>
  <c r="Y51" i="20"/>
  <c r="AC51" i="20"/>
  <c r="AE51" i="20"/>
  <c r="X51" i="20"/>
  <c r="AK51" i="20"/>
  <c r="AG51" i="20"/>
  <c r="AF51" i="20"/>
  <c r="S51" i="20"/>
  <c r="AA51" i="20"/>
  <c r="V51" i="20"/>
  <c r="AD51" i="20"/>
  <c r="W51" i="20"/>
  <c r="W12" i="20"/>
  <c r="V12" i="20"/>
  <c r="R12" i="20"/>
  <c r="Z12" i="20"/>
  <c r="AB12" i="20"/>
  <c r="AJ12" i="20"/>
  <c r="Y12" i="20"/>
  <c r="AA12" i="20"/>
  <c r="AH12" i="20"/>
  <c r="AG12" i="20"/>
  <c r="AK12" i="20"/>
  <c r="AD12" i="20"/>
  <c r="S12" i="20"/>
  <c r="T12" i="20"/>
  <c r="AC12" i="20"/>
  <c r="AI12" i="20"/>
  <c r="X12" i="20"/>
  <c r="U12" i="20"/>
  <c r="AF12" i="20"/>
  <c r="AE12" i="20"/>
  <c r="AD23" i="20"/>
  <c r="Z31" i="20"/>
  <c r="AA31" i="20"/>
  <c r="U31" i="20"/>
  <c r="AH31" i="20"/>
  <c r="AC31" i="20"/>
  <c r="Y31" i="20"/>
  <c r="AK31" i="20"/>
  <c r="AI31" i="20"/>
  <c r="V31" i="20"/>
  <c r="R31" i="20"/>
  <c r="AF31" i="20"/>
  <c r="AD31" i="20"/>
  <c r="T31" i="20"/>
  <c r="W31" i="20"/>
  <c r="S31" i="20"/>
  <c r="AB31" i="20"/>
  <c r="AG31" i="20"/>
  <c r="AE31" i="20"/>
  <c r="X31" i="20"/>
  <c r="AJ31" i="20"/>
  <c r="AE47" i="20"/>
  <c r="AK47" i="20"/>
  <c r="X47" i="20"/>
  <c r="AF47" i="20"/>
  <c r="Y47" i="20"/>
  <c r="T47" i="20"/>
  <c r="AB47" i="20"/>
  <c r="V47" i="20"/>
  <c r="AD47" i="20"/>
  <c r="AJ47" i="20"/>
  <c r="R47" i="20"/>
  <c r="W47" i="20"/>
  <c r="AA47" i="20"/>
  <c r="AI47" i="20"/>
  <c r="Z47" i="20"/>
  <c r="AC47" i="20"/>
  <c r="AH47" i="20"/>
  <c r="U47" i="20"/>
  <c r="S47" i="20"/>
  <c r="AG47" i="20"/>
  <c r="U48" i="20"/>
  <c r="AH48" i="20"/>
  <c r="S48" i="20"/>
  <c r="AE48" i="20"/>
  <c r="AF48" i="20"/>
  <c r="AA48" i="20"/>
  <c r="AG48" i="20"/>
  <c r="AI48" i="20"/>
  <c r="V48" i="20"/>
  <c r="T48" i="20"/>
  <c r="AB48" i="20"/>
  <c r="AD48" i="20"/>
  <c r="R48" i="20"/>
  <c r="AJ48" i="20"/>
  <c r="Z48" i="20"/>
  <c r="AC48" i="20"/>
  <c r="X48" i="20"/>
  <c r="W48" i="20"/>
  <c r="Y48" i="20"/>
  <c r="AK48" i="20"/>
  <c r="AK17" i="20"/>
  <c r="AF17" i="20"/>
  <c r="X17" i="20"/>
  <c r="W17" i="20"/>
  <c r="AH17" i="20"/>
  <c r="AG17" i="20"/>
  <c r="T17" i="20"/>
  <c r="Y17" i="20"/>
  <c r="AB17" i="20"/>
  <c r="AI17" i="20"/>
  <c r="AJ17" i="20"/>
  <c r="Z17" i="20"/>
  <c r="U17" i="20"/>
  <c r="AA17" i="20"/>
  <c r="AC17" i="20"/>
  <c r="V17" i="20"/>
  <c r="R17" i="20"/>
  <c r="S17" i="20"/>
  <c r="AE17" i="20"/>
  <c r="AD17" i="20"/>
  <c r="AB11" i="20"/>
  <c r="Y29" i="20"/>
  <c r="X29" i="20"/>
  <c r="AD29" i="20"/>
  <c r="AA29" i="20"/>
  <c r="AB29" i="20"/>
  <c r="AE29" i="20"/>
  <c r="AF29" i="20"/>
  <c r="AJ29" i="20"/>
  <c r="V29" i="20"/>
  <c r="U29" i="20"/>
  <c r="AG29" i="20"/>
  <c r="Z29" i="20"/>
  <c r="AH29" i="20"/>
  <c r="AI29" i="20"/>
  <c r="T29" i="20"/>
  <c r="R29" i="20"/>
  <c r="AC29" i="20"/>
  <c r="AK29" i="20"/>
  <c r="S29" i="20"/>
  <c r="W29" i="20"/>
  <c r="U45" i="20"/>
  <c r="R45" i="20"/>
  <c r="Z45" i="20"/>
  <c r="AD45" i="20"/>
  <c r="AB45" i="20"/>
  <c r="AE45" i="20"/>
  <c r="AF45" i="20"/>
  <c r="X45" i="20"/>
  <c r="AG45" i="20"/>
  <c r="AH45" i="20"/>
  <c r="V45" i="20"/>
  <c r="T45" i="20"/>
  <c r="AC45" i="20"/>
  <c r="AA45" i="20"/>
  <c r="AJ45" i="20"/>
  <c r="S45" i="20"/>
  <c r="AK45" i="20"/>
  <c r="W45" i="20"/>
  <c r="AI45" i="20"/>
  <c r="Y45" i="20"/>
  <c r="X52" i="20"/>
  <c r="AG52" i="20"/>
  <c r="Y52" i="20"/>
  <c r="T52" i="20"/>
  <c r="AF52" i="20"/>
  <c r="AE52" i="20"/>
  <c r="AH52" i="20"/>
  <c r="Z52" i="20"/>
  <c r="AC52" i="20"/>
  <c r="AD52" i="20"/>
  <c r="W52" i="20"/>
  <c r="AK52" i="20"/>
  <c r="AJ52" i="20"/>
  <c r="U52" i="20"/>
  <c r="AB52" i="20"/>
  <c r="S52" i="20"/>
  <c r="AI52" i="20"/>
  <c r="R52" i="20"/>
  <c r="AA52" i="20"/>
  <c r="V52" i="20"/>
  <c r="AG24" i="20"/>
  <c r="AK24" i="20"/>
  <c r="V24" i="20"/>
  <c r="T24" i="20"/>
  <c r="AB24" i="20"/>
  <c r="AH24" i="20"/>
  <c r="AD24" i="20"/>
  <c r="W24" i="20"/>
  <c r="U24" i="20"/>
  <c r="AC24" i="20"/>
  <c r="AI24" i="20"/>
  <c r="AE24" i="20"/>
  <c r="X24" i="20"/>
  <c r="Z24" i="20"/>
  <c r="AF24" i="20"/>
  <c r="AJ24" i="20"/>
  <c r="S24" i="20"/>
  <c r="AA24" i="20"/>
  <c r="R24" i="20"/>
  <c r="Y24" i="20"/>
  <c r="AI21" i="20"/>
  <c r="AD21" i="20"/>
  <c r="AA21" i="20"/>
  <c r="AB21" i="20"/>
  <c r="AE21" i="20"/>
  <c r="Y21" i="20"/>
  <c r="AJ21" i="20"/>
  <c r="V21" i="20"/>
  <c r="U21" i="20"/>
  <c r="W21" i="20"/>
  <c r="AG21" i="20"/>
  <c r="T21" i="20"/>
  <c r="Z21" i="20"/>
  <c r="AC21" i="20"/>
  <c r="R21" i="20"/>
  <c r="AK21" i="20"/>
  <c r="AH21" i="20"/>
  <c r="S21" i="20"/>
  <c r="X21" i="20"/>
  <c r="AF21" i="20"/>
  <c r="V28" i="20"/>
  <c r="AD28" i="20"/>
  <c r="AF28" i="20"/>
  <c r="AF14" i="20"/>
  <c r="T14" i="20"/>
  <c r="AD14" i="20"/>
  <c r="U14" i="20"/>
  <c r="AE14" i="20"/>
  <c r="AC14" i="20"/>
  <c r="AA14" i="20"/>
  <c r="V14" i="20"/>
  <c r="AH14" i="20"/>
  <c r="W14" i="20"/>
  <c r="AJ14" i="20"/>
  <c r="AI14" i="20"/>
  <c r="Y14" i="20"/>
  <c r="AB14" i="20"/>
  <c r="X14" i="20"/>
  <c r="Z14" i="20"/>
  <c r="AG14" i="20"/>
  <c r="AK14" i="20"/>
  <c r="S14" i="20"/>
  <c r="R14" i="20"/>
  <c r="U20" i="20"/>
  <c r="AK20" i="20"/>
  <c r="W27" i="20"/>
  <c r="AG27" i="20"/>
  <c r="V27" i="20"/>
  <c r="AJ27" i="20"/>
  <c r="S27" i="20"/>
  <c r="U27" i="20"/>
  <c r="AE27" i="20"/>
  <c r="AC27" i="20"/>
  <c r="Y27" i="20"/>
  <c r="AK27" i="20"/>
  <c r="AI27" i="20"/>
  <c r="R27" i="20"/>
  <c r="Z27" i="20"/>
  <c r="AD27" i="20"/>
  <c r="AB27" i="20"/>
  <c r="AA27" i="20"/>
  <c r="AF27" i="20"/>
  <c r="AH27" i="20"/>
  <c r="T27" i="20"/>
  <c r="X27" i="20"/>
  <c r="AB35" i="20"/>
  <c r="AH50" i="20"/>
  <c r="S50" i="20"/>
  <c r="AF50" i="20"/>
  <c r="AD50" i="20"/>
  <c r="AA50" i="20"/>
  <c r="U50" i="20"/>
  <c r="AI50" i="20"/>
  <c r="T50" i="20"/>
  <c r="AB50" i="20"/>
  <c r="R50" i="20"/>
  <c r="AJ50" i="20"/>
  <c r="Y50" i="20"/>
  <c r="AC50" i="20"/>
  <c r="AG50" i="20"/>
  <c r="X50" i="20"/>
  <c r="V50" i="20"/>
  <c r="AE50" i="20"/>
  <c r="W50" i="20"/>
  <c r="AK50" i="20"/>
  <c r="Z50" i="20"/>
  <c r="S53" i="20"/>
  <c r="AA53" i="20"/>
  <c r="AB53" i="20"/>
  <c r="AK53" i="20"/>
  <c r="W53" i="20"/>
  <c r="AC53" i="20"/>
  <c r="U53" i="20"/>
  <c r="AD53" i="20"/>
  <c r="V53" i="20"/>
  <c r="T53" i="20"/>
  <c r="AJ53" i="20"/>
  <c r="AI53" i="20"/>
  <c r="Z53" i="20"/>
  <c r="AF53" i="20"/>
  <c r="R53" i="20"/>
  <c r="X53" i="20"/>
  <c r="AE53" i="20"/>
  <c r="AH53" i="20"/>
  <c r="AG53" i="20"/>
  <c r="Y53" i="20"/>
  <c r="Q94" i="11" a="1"/>
  <c r="Q94" i="11" s="1"/>
  <c r="T86" i="11" a="1"/>
  <c r="T86" i="11" s="1"/>
  <c r="T70" i="11" a="1"/>
  <c r="T70" i="11" s="1"/>
  <c r="J82" i="11" a="1"/>
  <c r="J82" i="11" s="1"/>
  <c r="T73" i="11" a="1"/>
  <c r="T73" i="11" s="1"/>
  <c r="L94" i="11" a="1"/>
  <c r="L94" i="11" s="1"/>
  <c r="Q76" i="11" a="1"/>
  <c r="Q76" i="11" s="1"/>
  <c r="M89" i="11" a="1"/>
  <c r="M89" i="11" s="1"/>
  <c r="L115" i="11" a="1"/>
  <c r="L115" i="11" s="1"/>
  <c r="L145" i="11" s="1"/>
  <c r="S81" i="11" a="1"/>
  <c r="S81" i="11" s="1"/>
  <c r="K101" i="11" a="1"/>
  <c r="K101" i="11" s="1"/>
  <c r="K131" i="11" s="1"/>
  <c r="J108" i="11" a="1"/>
  <c r="J108" i="11" s="1"/>
  <c r="J138" i="11" s="1"/>
  <c r="Q91" i="11" a="1"/>
  <c r="Q91" i="11" s="1"/>
  <c r="N117" i="11" a="1"/>
  <c r="N117" i="11" s="1"/>
  <c r="N147" i="11" s="1"/>
  <c r="L114" i="11" a="1"/>
  <c r="L114" i="11" s="1"/>
  <c r="L144" i="11" s="1"/>
  <c r="P79" i="11" a="1"/>
  <c r="P79" i="11" s="1"/>
  <c r="O76" i="11" a="1"/>
  <c r="O76" i="11" s="1"/>
  <c r="P72" i="11" a="1"/>
  <c r="P72" i="11" s="1"/>
  <c r="Q68" i="11" a="1"/>
  <c r="Q68" i="11" s="1"/>
  <c r="O93" i="11" a="1"/>
  <c r="O93" i="11" s="1"/>
  <c r="R72" i="11" a="1"/>
  <c r="R72" i="11" s="1"/>
  <c r="K119" i="11" a="1"/>
  <c r="K119" i="11" s="1"/>
  <c r="K149" i="11" s="1"/>
  <c r="P82" i="11" a="1"/>
  <c r="P82" i="11" s="1"/>
  <c r="R108" i="11" a="1"/>
  <c r="R108" i="11" s="1"/>
  <c r="R138" i="11" s="1"/>
  <c r="Q104" i="11" a="1"/>
  <c r="Q104" i="11" s="1"/>
  <c r="Q134" i="11" s="1"/>
  <c r="Q71" i="11" a="1"/>
  <c r="Q71" i="11" s="1"/>
  <c r="P68" i="11" a="1"/>
  <c r="P68" i="11" s="1"/>
  <c r="N95" i="11" a="1"/>
  <c r="N95" i="11" s="1"/>
  <c r="N125" i="11" s="1"/>
  <c r="M99" i="11" a="1"/>
  <c r="M99" i="11" s="1"/>
  <c r="M129" i="11" s="1"/>
  <c r="K66" i="11" a="1"/>
  <c r="K66" i="11" s="1"/>
  <c r="R116" i="11" a="1"/>
  <c r="R116" i="11" s="1"/>
  <c r="R146" i="11" s="1"/>
  <c r="R90" i="11" a="1"/>
  <c r="R90" i="11" s="1"/>
  <c r="M113" i="11" a="1"/>
  <c r="M113" i="11" s="1"/>
  <c r="M143" i="11" s="1"/>
  <c r="J70" i="11" a="1"/>
  <c r="J70" i="11" s="1"/>
  <c r="P77" i="11" a="1"/>
  <c r="P77" i="11" s="1"/>
  <c r="J107" i="11" a="1"/>
  <c r="J107" i="11" s="1"/>
  <c r="J137" i="11" s="1"/>
  <c r="K123" i="11" a="1"/>
  <c r="K123" i="11" s="1"/>
  <c r="K153" i="11" s="1"/>
  <c r="S88" i="11" a="1"/>
  <c r="S88" i="11" s="1"/>
  <c r="T107" i="11" a="1"/>
  <c r="T107" i="11" s="1"/>
  <c r="T137" i="11" s="1"/>
  <c r="N102" i="11" a="1"/>
  <c r="N102" i="11" s="1"/>
  <c r="N132" i="11" s="1"/>
  <c r="T92" i="11" a="1"/>
  <c r="T92" i="11" s="1"/>
  <c r="K87" i="11" a="1"/>
  <c r="K87" i="11" s="1"/>
  <c r="O81" i="11" a="1"/>
  <c r="O81" i="11" s="1"/>
  <c r="P78" i="11" a="1"/>
  <c r="P78" i="11" s="1"/>
  <c r="N105" i="11" a="1"/>
  <c r="N105" i="11" s="1"/>
  <c r="N135" i="11" s="1"/>
  <c r="M102" i="11" a="1"/>
  <c r="M102" i="11" s="1"/>
  <c r="M132" i="11" s="1"/>
  <c r="T69" i="11" a="1"/>
  <c r="T69" i="11" s="1"/>
  <c r="R66" i="11" a="1"/>
  <c r="R66" i="11" s="1"/>
  <c r="J104" i="11" a="1"/>
  <c r="J104" i="11" s="1"/>
  <c r="J134" i="11" s="1"/>
  <c r="M121" i="11" a="1"/>
  <c r="M121" i="11" s="1"/>
  <c r="M151" i="11" s="1"/>
  <c r="R117" i="11" a="1"/>
  <c r="R117" i="11" s="1"/>
  <c r="R147" i="11" s="1"/>
  <c r="N81" i="11" a="1"/>
  <c r="N81" i="11" s="1"/>
  <c r="R77" i="11" a="1"/>
  <c r="R77" i="11" s="1"/>
  <c r="N104" i="11" a="1"/>
  <c r="N104" i="11" s="1"/>
  <c r="N134" i="11" s="1"/>
  <c r="N101" i="11" a="1"/>
  <c r="N101" i="11" s="1"/>
  <c r="N131" i="11" s="1"/>
  <c r="M68" i="11" a="1"/>
  <c r="M68" i="11" s="1"/>
  <c r="K95" i="11" a="1"/>
  <c r="K95" i="11" s="1"/>
  <c r="K125" i="11" s="1"/>
  <c r="U115" i="11" a="1"/>
  <c r="U115" i="11" s="1"/>
  <c r="U145" i="11" s="1"/>
  <c r="N100" i="11" a="1"/>
  <c r="N100" i="11" s="1"/>
  <c r="N130" i="11" s="1"/>
  <c r="N122" i="11" a="1"/>
  <c r="N122" i="11" s="1"/>
  <c r="N152" i="11" s="1"/>
  <c r="R84" i="11" a="1"/>
  <c r="R84" i="11" s="1"/>
  <c r="O75" i="11" a="1"/>
  <c r="O75" i="11" s="1"/>
  <c r="L92" i="11" a="1"/>
  <c r="L92" i="11" s="1"/>
  <c r="L83" i="11" a="1"/>
  <c r="L83" i="11" s="1"/>
  <c r="R122" i="11" a="1"/>
  <c r="R122" i="11" s="1"/>
  <c r="R152" i="11" s="1"/>
  <c r="P118" i="11" a="1"/>
  <c r="P118" i="11" s="1"/>
  <c r="P148" i="11" s="1"/>
  <c r="N115" i="11" a="1"/>
  <c r="N115" i="11" s="1"/>
  <c r="N145" i="11" s="1"/>
  <c r="M81" i="11" a="1"/>
  <c r="M81" i="11" s="1"/>
  <c r="N78" i="11" a="1"/>
  <c r="N78" i="11" s="1"/>
  <c r="O103" i="11" a="1"/>
  <c r="O103" i="11" s="1"/>
  <c r="O133" i="11" s="1"/>
  <c r="O70" i="11" a="1"/>
  <c r="O70" i="11" s="1"/>
  <c r="O97" i="11" a="1"/>
  <c r="O97" i="11" s="1"/>
  <c r="O127" i="11" s="1"/>
  <c r="J80" i="11" a="1"/>
  <c r="J80" i="11" s="1"/>
  <c r="M69" i="11" a="1"/>
  <c r="M69" i="11" s="1"/>
  <c r="Q95" i="11" a="1"/>
  <c r="Q95" i="11" s="1"/>
  <c r="Q125" i="11" s="1"/>
  <c r="P110" i="11" a="1"/>
  <c r="P110" i="11" s="1"/>
  <c r="P140" i="11" s="1"/>
  <c r="Q79" i="11" a="1"/>
  <c r="Q79" i="11" s="1"/>
  <c r="M70" i="11" a="1"/>
  <c r="M70" i="11" s="1"/>
  <c r="J89" i="11" a="1"/>
  <c r="J89" i="11" s="1"/>
  <c r="P92" i="11" a="1"/>
  <c r="P92" i="11" s="1"/>
  <c r="M73" i="11" a="1"/>
  <c r="M73" i="11" s="1"/>
  <c r="J68" i="11" a="1"/>
  <c r="J68" i="11" s="1"/>
  <c r="T100" i="11" a="1"/>
  <c r="T100" i="11" s="1"/>
  <c r="T130" i="11" s="1"/>
  <c r="Q72" i="11" a="1"/>
  <c r="Q72" i="11" s="1"/>
  <c r="M88" i="11" a="1"/>
  <c r="M88" i="11" s="1"/>
  <c r="O106" i="11" a="1"/>
  <c r="O106" i="11" s="1"/>
  <c r="O136" i="11" s="1"/>
  <c r="J110" i="11" a="1"/>
  <c r="J110" i="11" s="1"/>
  <c r="J140" i="11" s="1"/>
  <c r="R85" i="11" a="1"/>
  <c r="R85" i="11" s="1"/>
  <c r="P75" i="11" a="1"/>
  <c r="P75" i="11" s="1"/>
  <c r="N65" i="11" a="1"/>
  <c r="N65" i="11" s="1"/>
  <c r="S75" i="11" a="1"/>
  <c r="S75" i="11" s="1"/>
  <c r="J86" i="11" a="1"/>
  <c r="J86" i="11" s="1"/>
  <c r="P124" i="11" a="1"/>
  <c r="P124" i="11" s="1"/>
  <c r="P154" i="11" s="1"/>
  <c r="R73" i="11" a="1"/>
  <c r="R73" i="11" s="1"/>
  <c r="P108" i="11" a="1"/>
  <c r="P108" i="11" s="1"/>
  <c r="P138" i="11" s="1"/>
  <c r="R96" i="11" a="1"/>
  <c r="R96" i="11" s="1"/>
  <c r="R126" i="11" s="1"/>
  <c r="Q88" i="11" a="1"/>
  <c r="Q88" i="11" s="1"/>
  <c r="R107" i="11" a="1"/>
  <c r="R107" i="11" s="1"/>
  <c r="R137" i="11" s="1"/>
  <c r="K69" i="11" a="1"/>
  <c r="K69" i="11" s="1"/>
  <c r="K75" i="11" a="1"/>
  <c r="K75" i="11" s="1"/>
  <c r="O105" i="11" a="1"/>
  <c r="O105" i="11" s="1"/>
  <c r="O135" i="11" s="1"/>
  <c r="P93" i="11" a="1"/>
  <c r="P93" i="11" s="1"/>
  <c r="N108" i="11" a="1"/>
  <c r="N108" i="11" s="1"/>
  <c r="N138" i="11" s="1"/>
  <c r="J85" i="11" a="1"/>
  <c r="J85" i="11" s="1"/>
  <c r="O118" i="11" a="1"/>
  <c r="O118" i="11" s="1"/>
  <c r="O148" i="11" s="1"/>
  <c r="M100" i="11" a="1"/>
  <c r="M100" i="11" s="1"/>
  <c r="M130" i="11" s="1"/>
  <c r="R82" i="11" a="1"/>
  <c r="R82" i="11" s="1"/>
  <c r="L118" i="11" a="1"/>
  <c r="L118" i="11" s="1"/>
  <c r="L148" i="11" s="1"/>
  <c r="J91" i="11" a="1"/>
  <c r="J91" i="11" s="1"/>
  <c r="J66" i="11" a="1"/>
  <c r="J66" i="11" s="1"/>
  <c r="K94" i="11" a="1"/>
  <c r="K94" i="11" s="1"/>
  <c r="J102" i="11" a="1"/>
  <c r="J102" i="11" s="1"/>
  <c r="J132" i="11" s="1"/>
  <c r="N103" i="11" a="1"/>
  <c r="N103" i="11" s="1"/>
  <c r="N133" i="11" s="1"/>
  <c r="N118" i="11" a="1"/>
  <c r="N118" i="11" s="1"/>
  <c r="N148" i="11" s="1"/>
  <c r="L85" i="11" a="1"/>
  <c r="L85" i="11" s="1"/>
  <c r="O107" i="11" a="1"/>
  <c r="O107" i="11" s="1"/>
  <c r="O137" i="11" s="1"/>
  <c r="K71" i="11" a="1"/>
  <c r="K71" i="11" s="1"/>
  <c r="J100" i="11" a="1"/>
  <c r="J100" i="11" s="1"/>
  <c r="J130" i="11" s="1"/>
  <c r="S120" i="11" a="1"/>
  <c r="S120" i="11" s="1"/>
  <c r="S150" i="11" s="1"/>
  <c r="P116" i="11" a="1"/>
  <c r="P116" i="11" s="1"/>
  <c r="P146" i="11" s="1"/>
  <c r="O113" i="11" a="1"/>
  <c r="O113" i="11" s="1"/>
  <c r="O143" i="11" s="1"/>
  <c r="S108" i="11" a="1"/>
  <c r="S108" i="11" s="1"/>
  <c r="S138" i="11" s="1"/>
  <c r="Q105" i="11" a="1"/>
  <c r="Q105" i="11" s="1"/>
  <c r="Q135" i="11" s="1"/>
  <c r="R101" i="11" a="1"/>
  <c r="R101" i="11" s="1"/>
  <c r="R131" i="11" s="1"/>
  <c r="L97" i="11" a="1"/>
  <c r="L97" i="11" s="1"/>
  <c r="L127" i="11" s="1"/>
  <c r="O123" i="11" a="1"/>
  <c r="O123" i="11" s="1"/>
  <c r="O153" i="11" s="1"/>
  <c r="J109" i="11" a="1"/>
  <c r="J109" i="11" s="1"/>
  <c r="J139" i="11" s="1"/>
  <c r="L88" i="11" a="1"/>
  <c r="L88" i="11" s="1"/>
  <c r="S114" i="11" a="1"/>
  <c r="S114" i="11" s="1"/>
  <c r="S144" i="11" s="1"/>
  <c r="Q111" i="11" a="1"/>
  <c r="Q111" i="11" s="1"/>
  <c r="Q141" i="11" s="1"/>
  <c r="R78" i="11" a="1"/>
  <c r="R78" i="11" s="1"/>
  <c r="Q74" i="11" a="1"/>
  <c r="Q74" i="11" s="1"/>
  <c r="S100" i="11" a="1"/>
  <c r="S100" i="11" s="1"/>
  <c r="S130" i="11" s="1"/>
  <c r="J72" i="11" a="1"/>
  <c r="J72" i="11" s="1"/>
  <c r="O98" i="11" a="1"/>
  <c r="O98" i="11" s="1"/>
  <c r="O128" i="11" s="1"/>
  <c r="M95" i="11" a="1"/>
  <c r="M95" i="11" s="1"/>
  <c r="M125" i="11" s="1"/>
  <c r="Q113" i="11" a="1"/>
  <c r="Q113" i="11" s="1"/>
  <c r="Q143" i="11" s="1"/>
  <c r="T101" i="11" a="1"/>
  <c r="T101" i="11" s="1"/>
  <c r="T131" i="11" s="1"/>
  <c r="J122" i="11" a="1"/>
  <c r="J122" i="11" s="1"/>
  <c r="J152" i="11" s="1"/>
  <c r="M83" i="11" a="1"/>
  <c r="M83" i="11" s="1"/>
  <c r="S121" i="11" a="1"/>
  <c r="S121" i="11" s="1"/>
  <c r="S151" i="11" s="1"/>
  <c r="L104" i="11" a="1"/>
  <c r="L104" i="11" s="1"/>
  <c r="L134" i="11" s="1"/>
  <c r="T123" i="11" a="1"/>
  <c r="T123" i="11" s="1"/>
  <c r="T153" i="11" s="1"/>
  <c r="K93" i="11" a="1"/>
  <c r="K93" i="11" s="1"/>
  <c r="N86" i="11" a="1"/>
  <c r="N86" i="11" s="1"/>
  <c r="T77" i="11" a="1"/>
  <c r="T77" i="11" s="1"/>
  <c r="N72" i="11" a="1"/>
  <c r="N72" i="11" s="1"/>
  <c r="N121" i="11" a="1"/>
  <c r="N121" i="11" s="1"/>
  <c r="N151" i="11" s="1"/>
  <c r="P85" i="11" a="1"/>
  <c r="P85" i="11" s="1"/>
  <c r="S110" i="11" a="1"/>
  <c r="S110" i="11" s="1"/>
  <c r="S140" i="11" s="1"/>
  <c r="S107" i="11" a="1"/>
  <c r="S107" i="11" s="1"/>
  <c r="S137" i="11" s="1"/>
  <c r="O104" i="11" a="1"/>
  <c r="O104" i="11" s="1"/>
  <c r="O134" i="11" s="1"/>
  <c r="M72" i="11" a="1"/>
  <c r="M72" i="11" s="1"/>
  <c r="L99" i="11" a="1"/>
  <c r="L99" i="11" s="1"/>
  <c r="L129" i="11" s="1"/>
  <c r="J96" i="11" a="1"/>
  <c r="J96" i="11" s="1"/>
  <c r="J126" i="11" s="1"/>
  <c r="M91" i="11" a="1"/>
  <c r="M91" i="11" s="1"/>
  <c r="R87" i="11" a="1"/>
  <c r="R87" i="11" s="1"/>
  <c r="S113" i="11" a="1"/>
  <c r="S113" i="11" s="1"/>
  <c r="S143" i="11" s="1"/>
  <c r="R110" i="11" a="1"/>
  <c r="R110" i="11" s="1"/>
  <c r="R140" i="11" s="1"/>
  <c r="N74" i="11" a="1"/>
  <c r="N74" i="11" s="1"/>
  <c r="N71" i="11" a="1"/>
  <c r="N71" i="11" s="1"/>
  <c r="M98" i="11" a="1"/>
  <c r="M98" i="11" s="1"/>
  <c r="M128" i="11" s="1"/>
  <c r="K65" i="11" a="1"/>
  <c r="K65" i="11" s="1"/>
  <c r="U85" i="11" a="1"/>
  <c r="U85" i="11" s="1"/>
  <c r="N70" i="11" a="1"/>
  <c r="N70" i="11" s="1"/>
  <c r="N92" i="11" a="1"/>
  <c r="N92" i="11" s="1"/>
  <c r="O112" i="11" a="1"/>
  <c r="O112" i="11" s="1"/>
  <c r="O142" i="11" s="1"/>
  <c r="P101" i="11" a="1"/>
  <c r="P101" i="11" s="1"/>
  <c r="P131" i="11" s="1"/>
  <c r="Q119" i="11" a="1"/>
  <c r="Q119" i="11" s="1"/>
  <c r="Q149" i="11" s="1"/>
  <c r="J119" i="11" a="1"/>
  <c r="J119" i="11" s="1"/>
  <c r="J149" i="11" s="1"/>
  <c r="R92" i="11" a="1"/>
  <c r="R92" i="11" s="1"/>
  <c r="P88" i="11" a="1"/>
  <c r="P88" i="11" s="1"/>
  <c r="N85" i="11" a="1"/>
  <c r="N85" i="11" s="1"/>
  <c r="Q110" i="11" a="1"/>
  <c r="Q110" i="11" s="1"/>
  <c r="Q140" i="11" s="1"/>
  <c r="Q107" i="11" a="1"/>
  <c r="Q107" i="11" s="1"/>
  <c r="Q137" i="11" s="1"/>
  <c r="S72" i="11" a="1"/>
  <c r="S72" i="11" s="1"/>
  <c r="R99" i="11" a="1"/>
  <c r="R99" i="11" s="1"/>
  <c r="R129" i="11" s="1"/>
  <c r="O67" i="11" a="1"/>
  <c r="O67" i="11" s="1"/>
  <c r="J74" i="11" a="1"/>
  <c r="J74" i="11" s="1"/>
  <c r="S98" i="11" a="1"/>
  <c r="S98" i="11" s="1"/>
  <c r="S128" i="11" s="1"/>
  <c r="Q65" i="11" a="1"/>
  <c r="Q65" i="11" s="1"/>
  <c r="P80" i="11" a="1"/>
  <c r="P80" i="11" s="1"/>
  <c r="S104" i="11" a="1"/>
  <c r="S104" i="11" s="1"/>
  <c r="S134" i="11" s="1"/>
  <c r="R98" i="11" a="1"/>
  <c r="R98" i="11" s="1"/>
  <c r="R128" i="11" s="1"/>
  <c r="J84" i="11" a="1"/>
  <c r="J84" i="11" s="1"/>
  <c r="O91" i="11" a="1"/>
  <c r="O91" i="11" s="1"/>
  <c r="L78" i="11" a="1"/>
  <c r="L78" i="11" s="1"/>
  <c r="O77" i="11" a="1"/>
  <c r="O77" i="11" s="1"/>
  <c r="N94" i="11" a="1"/>
  <c r="N94" i="11" s="1"/>
  <c r="T116" i="11" a="1"/>
  <c r="T116" i="11" s="1"/>
  <c r="T146" i="11" s="1"/>
  <c r="T115" i="11" a="1"/>
  <c r="T115" i="11" s="1"/>
  <c r="T145" i="11" s="1"/>
  <c r="Q121" i="11" a="1"/>
  <c r="Q121" i="11" s="1"/>
  <c r="Q151" i="11" s="1"/>
  <c r="L84" i="11" a="1"/>
  <c r="L84" i="11" s="1"/>
  <c r="P102" i="11" a="1"/>
  <c r="P102" i="11" s="1"/>
  <c r="P132" i="11" s="1"/>
  <c r="N84" i="11" a="1"/>
  <c r="N84" i="11" s="1"/>
  <c r="P112" i="11" a="1"/>
  <c r="P112" i="11" s="1"/>
  <c r="P142" i="11" s="1"/>
  <c r="Q101" i="11" a="1"/>
  <c r="Q101" i="11" s="1"/>
  <c r="Q131" i="11" s="1"/>
  <c r="L66" i="11" a="1"/>
  <c r="L66" i="11" s="1"/>
  <c r="L124" i="11" a="1"/>
  <c r="L124" i="11" s="1"/>
  <c r="L154" i="11" s="1"/>
  <c r="Q85" i="11" a="1"/>
  <c r="Q85" i="11" s="1"/>
  <c r="P107" i="11" a="1"/>
  <c r="P107" i="11" s="1"/>
  <c r="P137" i="11" s="1"/>
  <c r="S118" i="11" a="1"/>
  <c r="S118" i="11" s="1"/>
  <c r="S148" i="11" s="1"/>
  <c r="T122" i="11" a="1"/>
  <c r="T122" i="11" s="1"/>
  <c r="T152" i="11" s="1"/>
  <c r="O111" i="11" a="1"/>
  <c r="O111" i="11" s="1"/>
  <c r="O141" i="11" s="1"/>
  <c r="U72" i="11" a="1"/>
  <c r="U72" i="11" s="1"/>
  <c r="J112" i="11" a="1"/>
  <c r="J112" i="11" s="1"/>
  <c r="J142" i="11" s="1"/>
  <c r="P84" i="11" a="1"/>
  <c r="P84" i="11" s="1"/>
  <c r="M75" i="11" a="1"/>
  <c r="M75" i="11" s="1"/>
  <c r="S65" i="11" a="1"/>
  <c r="S65" i="11" s="1"/>
  <c r="R114" i="11" a="1"/>
  <c r="R114" i="11" s="1"/>
  <c r="R144" i="11" s="1"/>
  <c r="L113" i="11" a="1"/>
  <c r="L113" i="11" s="1"/>
  <c r="L143" i="11" s="1"/>
  <c r="K86" i="11" a="1"/>
  <c r="K86" i="11" s="1"/>
  <c r="M74" i="11" a="1"/>
  <c r="M74" i="11" s="1"/>
  <c r="L68" i="11" a="1"/>
  <c r="L68" i="11" s="1"/>
  <c r="O66" i="11" a="1"/>
  <c r="O66" i="11" s="1"/>
  <c r="P76" i="11" a="1"/>
  <c r="P76" i="11" s="1"/>
  <c r="S93" i="11" a="1"/>
  <c r="S93" i="11" s="1"/>
  <c r="S66" i="11" a="1"/>
  <c r="S66" i="11" s="1"/>
  <c r="R86" i="11" a="1"/>
  <c r="R86" i="11" s="1"/>
  <c r="J83" i="11" a="1"/>
  <c r="J83" i="11" s="1"/>
  <c r="M94" i="11" a="1"/>
  <c r="M94" i="11" s="1"/>
  <c r="Q122" i="11" a="1"/>
  <c r="Q122" i="11" s="1"/>
  <c r="Q152" i="11" s="1"/>
  <c r="N73" i="11" a="1"/>
  <c r="N73" i="11" s="1"/>
  <c r="N88" i="11" a="1"/>
  <c r="N88" i="11" s="1"/>
  <c r="M114" i="11" a="1"/>
  <c r="M114" i="11" s="1"/>
  <c r="M144" i="11" s="1"/>
  <c r="R105" i="11" a="1"/>
  <c r="R105" i="11" s="1"/>
  <c r="R135" i="11" s="1"/>
  <c r="P69" i="11" a="1"/>
  <c r="P69" i="11" s="1"/>
  <c r="R124" i="11" a="1"/>
  <c r="R124" i="11" s="1"/>
  <c r="R154" i="11" s="1"/>
  <c r="K120" i="11" a="1"/>
  <c r="K120" i="11" s="1"/>
  <c r="K150" i="11" s="1"/>
  <c r="P86" i="11" a="1"/>
  <c r="P86" i="11" s="1"/>
  <c r="Q112" i="11" a="1"/>
  <c r="Q112" i="11" s="1"/>
  <c r="Q142" i="11" s="1"/>
  <c r="S78" i="11" a="1"/>
  <c r="S78" i="11" s="1"/>
  <c r="Q75" i="11" a="1"/>
  <c r="Q75" i="11" s="1"/>
  <c r="R71" i="11" a="1"/>
  <c r="R71" i="11" s="1"/>
  <c r="L67" i="11" a="1"/>
  <c r="L67" i="11" s="1"/>
  <c r="K121" i="11" a="1"/>
  <c r="K121" i="11" s="1"/>
  <c r="K151" i="11" s="1"/>
  <c r="N123" i="11" a="1"/>
  <c r="N123" i="11" s="1"/>
  <c r="N153" i="11" s="1"/>
  <c r="M117" i="11" a="1"/>
  <c r="M117" i="11" s="1"/>
  <c r="M147" i="11" s="1"/>
  <c r="S84" i="11" a="1"/>
  <c r="S84" i="11" s="1"/>
  <c r="Q81" i="11" a="1"/>
  <c r="Q81" i="11" s="1"/>
  <c r="M107" i="11" a="1"/>
  <c r="M107" i="11" s="1"/>
  <c r="M137" i="11" s="1"/>
  <c r="S103" i="11" a="1"/>
  <c r="S103" i="11" s="1"/>
  <c r="S133" i="11" s="1"/>
  <c r="S70" i="11" a="1"/>
  <c r="S70" i="11" s="1"/>
  <c r="S97" i="11" a="1"/>
  <c r="S97" i="11" s="1"/>
  <c r="S127" i="11" s="1"/>
  <c r="R94" i="11" a="1"/>
  <c r="R94" i="11" s="1"/>
  <c r="O68" i="11" a="1"/>
  <c r="O68" i="11" s="1"/>
  <c r="M65" i="11" a="1"/>
  <c r="M65" i="11" s="1"/>
  <c r="Q83" i="11" a="1"/>
  <c r="Q83" i="11" s="1"/>
  <c r="T71" i="11" a="1"/>
  <c r="T71" i="11" s="1"/>
  <c r="J98" i="11" a="1"/>
  <c r="J98" i="11" s="1"/>
  <c r="J128" i="11" s="1"/>
  <c r="P111" i="11" a="1"/>
  <c r="P111" i="11" s="1"/>
  <c r="P141" i="11" s="1"/>
  <c r="S91" i="11" a="1"/>
  <c r="S91" i="11" s="1"/>
  <c r="L74" i="11" a="1"/>
  <c r="L74" i="11" s="1"/>
  <c r="T93" i="11" a="1"/>
  <c r="T93" i="11" s="1"/>
  <c r="M92" i="11" a="1"/>
  <c r="M92" i="11" s="1"/>
  <c r="N116" i="11" a="1"/>
  <c r="N116" i="11" s="1"/>
  <c r="N146" i="11" s="1"/>
  <c r="L107" i="11" a="1"/>
  <c r="L107" i="11" s="1"/>
  <c r="L137" i="11" s="1"/>
  <c r="R100" i="11" a="1"/>
  <c r="R100" i="11" s="1"/>
  <c r="R130" i="11" s="1"/>
  <c r="N91" i="11" a="1"/>
  <c r="N91" i="11" s="1"/>
  <c r="P115" i="11" a="1"/>
  <c r="P115" i="11" s="1"/>
  <c r="P145" i="11" s="1"/>
  <c r="S80" i="11" a="1"/>
  <c r="S80" i="11" s="1"/>
  <c r="S77" i="11" a="1"/>
  <c r="S77" i="11" s="1"/>
  <c r="O74" i="11" a="1"/>
  <c r="O74" i="11" s="1"/>
  <c r="O101" i="11" a="1"/>
  <c r="O101" i="11" s="1"/>
  <c r="O131" i="11" s="1"/>
  <c r="L69" i="11" a="1"/>
  <c r="L69" i="11" s="1"/>
  <c r="T95" i="11" a="1"/>
  <c r="T95" i="11" s="1"/>
  <c r="T125" i="11" s="1"/>
  <c r="N124" i="11" a="1"/>
  <c r="N124" i="11" s="1"/>
  <c r="N154" i="11" s="1"/>
  <c r="O120" i="11" a="1"/>
  <c r="O120" i="11" s="1"/>
  <c r="O150" i="11" s="1"/>
  <c r="L116" i="11" a="1"/>
  <c r="L116" i="11" s="1"/>
  <c r="L146" i="11" s="1"/>
  <c r="S83" i="11" a="1"/>
  <c r="S83" i="11" s="1"/>
  <c r="R80" i="11" a="1"/>
  <c r="R80" i="11" s="1"/>
  <c r="S106" i="11" a="1"/>
  <c r="S106" i="11" s="1"/>
  <c r="S136" i="11" s="1"/>
  <c r="P103" i="11" a="1"/>
  <c r="P103" i="11" s="1"/>
  <c r="P133" i="11" s="1"/>
  <c r="P100" i="11" a="1"/>
  <c r="P100" i="11" s="1"/>
  <c r="P130" i="11" s="1"/>
  <c r="P97" i="11" a="1"/>
  <c r="P97" i="11" s="1"/>
  <c r="P127" i="11" s="1"/>
  <c r="J75" i="11" a="1"/>
  <c r="J75" i="11" s="1"/>
  <c r="K112" i="11" a="1"/>
  <c r="K112" i="11" s="1"/>
  <c r="K142" i="11" s="1"/>
  <c r="J101" i="11" a="1"/>
  <c r="J101" i="11" s="1"/>
  <c r="J131" i="11" s="1"/>
  <c r="J106" i="11" a="1"/>
  <c r="J106" i="11" s="1"/>
  <c r="J136" i="11" s="1"/>
  <c r="O82" i="11" a="1"/>
  <c r="O82" i="11" s="1"/>
  <c r="P71" i="11" a="1"/>
  <c r="P71" i="11" s="1"/>
  <c r="J111" i="11" a="1"/>
  <c r="J111" i="11" s="1"/>
  <c r="J141" i="11" s="1"/>
  <c r="Q117" i="11" a="1"/>
  <c r="Q117" i="11" s="1"/>
  <c r="Q147" i="11" s="1"/>
  <c r="O114" i="11" a="1"/>
  <c r="O114" i="11" s="1"/>
  <c r="O144" i="11" s="1"/>
  <c r="Q80" i="11" a="1"/>
  <c r="Q80" i="11" s="1"/>
  <c r="Q77" i="11" a="1"/>
  <c r="Q77" i="11" s="1"/>
  <c r="S102" i="11" a="1"/>
  <c r="S102" i="11" s="1"/>
  <c r="S132" i="11" s="1"/>
  <c r="R69" i="11" a="1"/>
  <c r="R69" i="11" s="1"/>
  <c r="P96" i="11" a="1"/>
  <c r="P96" i="11" s="1"/>
  <c r="P126" i="11" s="1"/>
  <c r="J69" i="11" a="1"/>
  <c r="J69" i="11" s="1"/>
  <c r="K68" i="11" a="1"/>
  <c r="K68" i="11" s="1"/>
  <c r="J79" i="11" a="1"/>
  <c r="J79" i="11" s="1"/>
  <c r="R112" i="11" a="1"/>
  <c r="R112" i="11" s="1"/>
  <c r="R142" i="11" s="1"/>
  <c r="T108" i="11" a="1"/>
  <c r="T108" i="11" s="1"/>
  <c r="T138" i="11" s="1"/>
  <c r="S74" i="11" a="1"/>
  <c r="S74" i="11" s="1"/>
  <c r="R68" i="11" a="1"/>
  <c r="R68" i="11" s="1"/>
  <c r="J78" i="11" a="1"/>
  <c r="J78" i="11" s="1"/>
  <c r="N90" i="11" a="1"/>
  <c r="N90" i="11" s="1"/>
  <c r="J93" i="11" a="1"/>
  <c r="J93" i="11" s="1"/>
  <c r="K89" i="11" a="1"/>
  <c r="K89" i="11" s="1"/>
  <c r="J67" i="11" a="1"/>
  <c r="J67" i="11" s="1"/>
  <c r="U123" i="11" a="1"/>
  <c r="U123" i="11" s="1"/>
  <c r="U153" i="11" s="1"/>
  <c r="Q92" i="11" a="1"/>
  <c r="Q92" i="11" s="1"/>
  <c r="Q99" i="11" a="1"/>
  <c r="Q99" i="11" s="1"/>
  <c r="Q129" i="11" s="1"/>
  <c r="O117" i="11" a="1"/>
  <c r="O117" i="11" s="1"/>
  <c r="O147" i="11" s="1"/>
  <c r="M84" i="11" a="1"/>
  <c r="M84" i="11" s="1"/>
  <c r="R75" i="11" a="1"/>
  <c r="R75" i="11" s="1"/>
  <c r="P99" i="11" a="1"/>
  <c r="P99" i="11" s="1"/>
  <c r="P129" i="11" s="1"/>
  <c r="M123" i="11" a="1"/>
  <c r="M123" i="11" s="1"/>
  <c r="M153" i="11" s="1"/>
  <c r="K90" i="11" a="1"/>
  <c r="K90" i="11" s="1"/>
  <c r="S115" i="11" a="1"/>
  <c r="S115" i="11" s="1"/>
  <c r="S145" i="11" s="1"/>
  <c r="Q82" i="11" a="1"/>
  <c r="Q82" i="11" s="1"/>
  <c r="K108" i="11" a="1"/>
  <c r="K108" i="11" s="1"/>
  <c r="K138" i="11" s="1"/>
  <c r="R104" i="11" a="1"/>
  <c r="R104" i="11" s="1"/>
  <c r="R134" i="11" s="1"/>
  <c r="L100" i="11" a="1"/>
  <c r="L100" i="11" s="1"/>
  <c r="L130" i="11" s="1"/>
  <c r="M96" i="11" a="1"/>
  <c r="M96" i="11" s="1"/>
  <c r="M126" i="11" s="1"/>
  <c r="K91" i="11" a="1"/>
  <c r="K91" i="11" s="1"/>
  <c r="N93" i="11" a="1"/>
  <c r="N93" i="11" s="1"/>
  <c r="M87" i="11" a="1"/>
  <c r="M87" i="11" s="1"/>
  <c r="K84" i="11" a="1"/>
  <c r="K84" i="11" s="1"/>
  <c r="M77" i="11" a="1"/>
  <c r="M77" i="11" s="1"/>
  <c r="S73" i="11" a="1"/>
  <c r="S73" i="11" s="1"/>
  <c r="K100" i="11" a="1"/>
  <c r="K100" i="11" s="1"/>
  <c r="K130" i="11" s="1"/>
  <c r="S67" i="11" a="1"/>
  <c r="S67" i="11" s="1"/>
  <c r="L93" i="11" a="1"/>
  <c r="L93" i="11" s="1"/>
  <c r="R97" i="11" a="1"/>
  <c r="R97" i="11" s="1"/>
  <c r="R127" i="11" s="1"/>
  <c r="J87" i="11" a="1"/>
  <c r="J87" i="11" s="1"/>
  <c r="R109" i="11" a="1"/>
  <c r="R109" i="11" s="1"/>
  <c r="R139" i="11" s="1"/>
  <c r="S124" i="11" a="1"/>
  <c r="S124" i="11" s="1"/>
  <c r="S154" i="11" s="1"/>
  <c r="O121" i="11" a="1"/>
  <c r="O121" i="11" s="1"/>
  <c r="O151" i="11" s="1"/>
  <c r="P81" i="11" a="1"/>
  <c r="P81" i="11" s="1"/>
  <c r="M115" i="11" a="1"/>
  <c r="M115" i="11" s="1"/>
  <c r="M145" i="11" s="1"/>
  <c r="L101" i="11" a="1"/>
  <c r="L101" i="11" s="1"/>
  <c r="L131" i="11" s="1"/>
  <c r="M122" i="11" a="1"/>
  <c r="M122" i="11" s="1"/>
  <c r="M152" i="11" s="1"/>
  <c r="T110" i="11" a="1"/>
  <c r="T110" i="11" s="1"/>
  <c r="T140" i="11" s="1"/>
  <c r="L77" i="11" a="1"/>
  <c r="L77" i="11" s="1"/>
  <c r="R70" i="11" a="1"/>
  <c r="R70" i="11" s="1"/>
  <c r="P120" i="11" a="1"/>
  <c r="P120" i="11" s="1"/>
  <c r="P150" i="11" s="1"/>
  <c r="Q114" i="11" a="1"/>
  <c r="Q114" i="11" s="1"/>
  <c r="Q144" i="11" s="1"/>
  <c r="K110" i="11" a="1"/>
  <c r="K110" i="11" s="1"/>
  <c r="K140" i="11" s="1"/>
  <c r="K107" i="11" a="1"/>
  <c r="K107" i="11" s="1"/>
  <c r="K137" i="11" s="1"/>
  <c r="Q103" i="11" a="1"/>
  <c r="Q103" i="11" s="1"/>
  <c r="Q133" i="11" s="1"/>
  <c r="O71" i="11" a="1"/>
  <c r="O71" i="11" s="1"/>
  <c r="N98" i="11" a="1"/>
  <c r="N98" i="11" s="1"/>
  <c r="N128" i="11" s="1"/>
  <c r="T65" i="11" a="1"/>
  <c r="T65" i="11" s="1"/>
  <c r="Q123" i="11" a="1"/>
  <c r="Q123" i="11" s="1"/>
  <c r="Q153" i="11" s="1"/>
  <c r="O90" i="11" a="1"/>
  <c r="O90" i="11" s="1"/>
  <c r="L86" i="11" a="1"/>
  <c r="L86" i="11" s="1"/>
  <c r="K113" i="11" a="1"/>
  <c r="K113" i="11" s="1"/>
  <c r="K143" i="11" s="1"/>
  <c r="L109" i="11" a="1"/>
  <c r="L109" i="11" s="1"/>
  <c r="L139" i="11" s="1"/>
  <c r="S76" i="11" a="1"/>
  <c r="S76" i="11" s="1"/>
  <c r="P73" i="11" a="1"/>
  <c r="P73" i="11" s="1"/>
  <c r="P70" i="11" a="1"/>
  <c r="P70" i="11" s="1"/>
  <c r="P67" i="11" a="1"/>
  <c r="P67" i="11" s="1"/>
  <c r="P94" i="11" a="1"/>
  <c r="P94" i="11" s="1"/>
  <c r="K82" i="11" a="1"/>
  <c r="K82" i="11" s="1"/>
  <c r="S123" i="11" a="1"/>
  <c r="S123" i="11" s="1"/>
  <c r="S153" i="11" s="1"/>
  <c r="L110" i="11" a="1"/>
  <c r="L110" i="11" s="1"/>
  <c r="L140" i="11" s="1"/>
  <c r="J121" i="11" a="1"/>
  <c r="J121" i="11" s="1"/>
  <c r="J151" i="11" s="1"/>
  <c r="S87" i="11" a="1"/>
  <c r="S87" i="11" s="1"/>
  <c r="J103" i="11" a="1"/>
  <c r="J103" i="11" s="1"/>
  <c r="J133" i="11" s="1"/>
  <c r="L121" i="11" a="1"/>
  <c r="L121" i="11" s="1"/>
  <c r="L151" i="11" s="1"/>
  <c r="Q87" i="11" a="1"/>
  <c r="Q87" i="11" s="1"/>
  <c r="R113" i="11" a="1"/>
  <c r="R113" i="11" s="1"/>
  <c r="R143" i="11" s="1"/>
  <c r="S109" i="11" a="1"/>
  <c r="S109" i="11" s="1"/>
  <c r="S139" i="11" s="1"/>
  <c r="R106" i="11" a="1"/>
  <c r="R106" i="11" s="1"/>
  <c r="R136" i="11" s="1"/>
  <c r="K102" i="11" a="1"/>
  <c r="K102" i="11" s="1"/>
  <c r="K132" i="11" s="1"/>
  <c r="P66" i="11" a="1"/>
  <c r="P66" i="11" s="1"/>
  <c r="O94" i="11" a="1"/>
  <c r="O94" i="11" s="1"/>
  <c r="K98" i="11" a="1"/>
  <c r="K98" i="11" s="1"/>
  <c r="K128" i="11" s="1"/>
  <c r="Q89" i="11" a="1"/>
  <c r="Q89" i="11" s="1"/>
  <c r="K111" i="11" a="1"/>
  <c r="K111" i="11" s="1"/>
  <c r="K141" i="11" s="1"/>
  <c r="T78" i="11" a="1"/>
  <c r="T78" i="11" s="1"/>
  <c r="M103" i="11" a="1"/>
  <c r="M103" i="11" s="1"/>
  <c r="M133" i="11" s="1"/>
  <c r="M97" i="11" a="1"/>
  <c r="M97" i="11" s="1"/>
  <c r="M127" i="11" s="1"/>
  <c r="J73" i="11" a="1"/>
  <c r="J73" i="11" s="1"/>
  <c r="T85" i="11" a="1"/>
  <c r="T85" i="11" s="1"/>
  <c r="J77" i="11" a="1"/>
  <c r="J77" i="11" s="1"/>
  <c r="J76" i="11" a="1"/>
  <c r="J76" i="11" s="1"/>
  <c r="M90" i="11" a="1"/>
  <c r="M90" i="11" s="1"/>
  <c r="T109" i="11" a="1"/>
  <c r="T109" i="11" s="1"/>
  <c r="T139" i="11" s="1"/>
  <c r="U93" i="11" a="1"/>
  <c r="U93" i="11" s="1"/>
  <c r="N119" i="11" a="1"/>
  <c r="N119" i="11" s="1"/>
  <c r="N149" i="11" s="1"/>
  <c r="Q69" i="11" a="1"/>
  <c r="Q69" i="11" s="1"/>
  <c r="O87" i="11" a="1"/>
  <c r="O87" i="11" s="1"/>
  <c r="P113" i="11" a="1"/>
  <c r="P113" i="11" s="1"/>
  <c r="P143" i="11" s="1"/>
  <c r="K104" i="11" a="1"/>
  <c r="K104" i="11" s="1"/>
  <c r="K134" i="11" s="1"/>
  <c r="N96" i="11" a="1"/>
  <c r="N96" i="11" s="1"/>
  <c r="N126" i="11" s="1"/>
  <c r="M93" i="11" a="1"/>
  <c r="M93" i="11" s="1"/>
  <c r="L119" i="11" a="1"/>
  <c r="L119" i="11" s="1"/>
  <c r="L149" i="11" s="1"/>
  <c r="S85" i="11" a="1"/>
  <c r="S85" i="11" s="1"/>
  <c r="R111" i="11" a="1"/>
  <c r="R111" i="11" s="1"/>
  <c r="R141" i="11" s="1"/>
  <c r="K78" i="11" a="1"/>
  <c r="K78" i="11" s="1"/>
  <c r="R74" i="11" a="1"/>
  <c r="R74" i="11" s="1"/>
  <c r="L70" i="11" a="1"/>
  <c r="L70" i="11" s="1"/>
  <c r="M66" i="11" a="1"/>
  <c r="M66" i="11" s="1"/>
  <c r="P117" i="11" a="1"/>
  <c r="P117" i="11" s="1"/>
  <c r="P147" i="11" s="1"/>
  <c r="J115" i="11" a="1"/>
  <c r="J115" i="11" s="1"/>
  <c r="J145" i="11" s="1"/>
  <c r="O116" i="11" a="1"/>
  <c r="O116" i="11" s="1"/>
  <c r="O146" i="11" s="1"/>
  <c r="K114" i="11" a="1"/>
  <c r="K114" i="11" s="1"/>
  <c r="K144" i="11" s="1"/>
  <c r="U110" i="11" a="1"/>
  <c r="U110" i="11" s="1"/>
  <c r="U140" i="11" s="1"/>
  <c r="N106" i="11" a="1"/>
  <c r="N106" i="11" s="1"/>
  <c r="N136" i="11" s="1"/>
  <c r="K103" i="11" a="1"/>
  <c r="K103" i="11" s="1"/>
  <c r="K133" i="11" s="1"/>
  <c r="K70" i="11" a="1"/>
  <c r="K70" i="11" s="1"/>
  <c r="K97" i="11" a="1"/>
  <c r="K97" i="11" s="1"/>
  <c r="K127" i="11" s="1"/>
  <c r="R81" i="11" a="1"/>
  <c r="R81" i="11" s="1"/>
  <c r="R67" i="11" a="1"/>
  <c r="R67" i="11" s="1"/>
  <c r="N87" i="11" a="1"/>
  <c r="N87" i="11" s="1"/>
  <c r="R79" i="11" a="1"/>
  <c r="R79" i="11" s="1"/>
  <c r="R121" i="11" a="1"/>
  <c r="R121" i="11" s="1"/>
  <c r="R151" i="11" s="1"/>
  <c r="K118" i="11" a="1"/>
  <c r="K118" i="11" s="1"/>
  <c r="K148" i="11" s="1"/>
  <c r="M106" i="11" a="1"/>
  <c r="M106" i="11" s="1"/>
  <c r="M136" i="11" s="1"/>
  <c r="L71" i="11" a="1"/>
  <c r="L71" i="11" s="1"/>
  <c r="S119" i="11" a="1"/>
  <c r="S119" i="11" s="1"/>
  <c r="S149" i="11" s="1"/>
  <c r="Q120" i="11" a="1"/>
  <c r="Q120" i="11" s="1"/>
  <c r="Q150" i="11" s="1"/>
  <c r="T80" i="11" a="1"/>
  <c r="T80" i="11" s="1"/>
  <c r="P104" i="11" a="1"/>
  <c r="P104" i="11" s="1"/>
  <c r="P134" i="11" s="1"/>
  <c r="J105" i="11" a="1"/>
  <c r="J105" i="11" s="1"/>
  <c r="J135" i="11" s="1"/>
  <c r="P90" i="11" a="1"/>
  <c r="P90" i="11" s="1"/>
  <c r="Q84" i="11" a="1"/>
  <c r="Q84" i="11" s="1"/>
  <c r="K80" i="11" a="1"/>
  <c r="K80" i="11" s="1"/>
  <c r="K77" i="11" a="1"/>
  <c r="K77" i="11" s="1"/>
  <c r="Q73" i="11" a="1"/>
  <c r="Q73" i="11" s="1"/>
  <c r="Q100" i="11" a="1"/>
  <c r="Q100" i="11" s="1"/>
  <c r="Q130" i="11" s="1"/>
  <c r="N68" i="11" a="1"/>
  <c r="N68" i="11" s="1"/>
  <c r="L95" i="11" a="1"/>
  <c r="L95" i="11" s="1"/>
  <c r="L125" i="11" s="1"/>
  <c r="Q93" i="11" a="1"/>
  <c r="Q93" i="11" s="1"/>
  <c r="P89" i="11" a="1"/>
  <c r="P89" i="11" s="1"/>
  <c r="O115" i="11" a="1"/>
  <c r="O115" i="11" s="1"/>
  <c r="O145" i="11" s="1"/>
  <c r="K83" i="11" a="1"/>
  <c r="K83" i="11" s="1"/>
  <c r="L79" i="11" a="1"/>
  <c r="L79" i="11" s="1"/>
  <c r="K106" i="11" a="1"/>
  <c r="K106" i="11" s="1"/>
  <c r="K136" i="11" s="1"/>
  <c r="T102" i="11" a="1"/>
  <c r="T102" i="11" s="1"/>
  <c r="T132" i="11" s="1"/>
  <c r="S99" i="11" a="1"/>
  <c r="S99" i="11" s="1"/>
  <c r="S129" i="11" s="1"/>
  <c r="Q66" i="11" a="1"/>
  <c r="Q66" i="11" s="1"/>
  <c r="O83" i="11" a="1"/>
  <c r="O83" i="11" s="1"/>
  <c r="M108" i="11" a="1"/>
  <c r="M108" i="11" s="1"/>
  <c r="M138" i="11" s="1"/>
  <c r="T120" i="11" a="1"/>
  <c r="T120" i="11" s="1"/>
  <c r="T150" i="11" s="1"/>
  <c r="R119" i="11" a="1"/>
  <c r="R119" i="11" s="1"/>
  <c r="R149" i="11" s="1"/>
  <c r="L80" i="11" a="1"/>
  <c r="L80" i="11" s="1"/>
  <c r="J113" i="11" a="1"/>
  <c r="J113" i="11" s="1"/>
  <c r="J143" i="11" s="1"/>
  <c r="S117" i="11" a="1"/>
  <c r="S117" i="11" s="1"/>
  <c r="S147" i="11" s="1"/>
  <c r="L91" i="11" a="1"/>
  <c r="L91" i="11" s="1"/>
  <c r="S116" i="11" a="1"/>
  <c r="S116" i="11" s="1"/>
  <c r="S146" i="11" s="1"/>
  <c r="R83" i="11" a="1"/>
  <c r="R83" i="11" s="1"/>
  <c r="S79" i="11" a="1"/>
  <c r="S79" i="11" s="1"/>
  <c r="L105" i="11" a="1"/>
  <c r="L105" i="11" s="1"/>
  <c r="L135" i="11" s="1"/>
  <c r="K72" i="11" a="1"/>
  <c r="K72" i="11" s="1"/>
  <c r="T98" i="11" a="1"/>
  <c r="T98" i="11" s="1"/>
  <c r="T128" i="11" s="1"/>
  <c r="R95" i="11" a="1"/>
  <c r="R95" i="11" s="1"/>
  <c r="R125" i="11" s="1"/>
  <c r="S90" i="11" a="1"/>
  <c r="S90" i="11" s="1"/>
  <c r="N97" i="11" a="1"/>
  <c r="N97" i="11" s="1"/>
  <c r="N127" i="11" s="1"/>
  <c r="O84" i="11" a="1"/>
  <c r="O84" i="11" s="1"/>
  <c r="K81" i="11" a="1"/>
  <c r="K81" i="11" s="1"/>
  <c r="M67" i="11" a="1"/>
  <c r="M67" i="11" s="1"/>
  <c r="R93" i="11" a="1"/>
  <c r="R93" i="11" s="1"/>
  <c r="M85" i="11" a="1"/>
  <c r="M85" i="11" s="1"/>
  <c r="O88" i="11" a="1"/>
  <c r="O88" i="11" s="1"/>
  <c r="T79" i="11" a="1"/>
  <c r="T79" i="11" s="1"/>
  <c r="K92" i="11" a="1"/>
  <c r="K92" i="11" s="1"/>
  <c r="N89" i="11" a="1"/>
  <c r="N89" i="11" s="1"/>
  <c r="J117" i="11" a="1"/>
  <c r="J117" i="11" s="1"/>
  <c r="J147" i="11" s="1"/>
  <c r="Q116" i="11" a="1"/>
  <c r="Q116" i="11" s="1"/>
  <c r="Q146" i="11" s="1"/>
  <c r="P83" i="11" a="1"/>
  <c r="P83" i="11" s="1"/>
  <c r="K74" i="11" a="1"/>
  <c r="K74" i="11" s="1"/>
  <c r="N66" i="11" a="1"/>
  <c r="N66" i="11" s="1"/>
  <c r="O122" i="11" a="1"/>
  <c r="O122" i="11" s="1"/>
  <c r="O152" i="11" s="1"/>
  <c r="L89" i="11" a="1"/>
  <c r="L89" i="11" s="1"/>
  <c r="K115" i="11" a="1"/>
  <c r="K115" i="11" s="1"/>
  <c r="K145" i="11" s="1"/>
  <c r="N110" i="11" a="1"/>
  <c r="N110" i="11" s="1"/>
  <c r="N140" i="11" s="1"/>
  <c r="N107" i="11" a="1"/>
  <c r="N107" i="11" s="1"/>
  <c r="N137" i="11" s="1"/>
  <c r="L103" i="11" a="1"/>
  <c r="L103" i="11" s="1"/>
  <c r="L133" i="11" s="1"/>
  <c r="O69" i="11" a="1"/>
  <c r="O69" i="11" s="1"/>
  <c r="O95" i="11" a="1"/>
  <c r="O95" i="11" s="1"/>
  <c r="O125" i="11" s="1"/>
  <c r="P87" i="11" a="1"/>
  <c r="P87" i="11" s="1"/>
  <c r="L123" i="11" a="1"/>
  <c r="L123" i="11" s="1"/>
  <c r="L153" i="11" s="1"/>
  <c r="O86" i="11" a="1"/>
  <c r="O86" i="11" s="1"/>
  <c r="N113" i="11" a="1"/>
  <c r="N113" i="11" s="1"/>
  <c r="N143" i="11" s="1"/>
  <c r="U80" i="11" a="1"/>
  <c r="U80" i="11" s="1"/>
  <c r="N76" i="11" a="1"/>
  <c r="N76" i="11" s="1"/>
  <c r="K73" i="11" a="1"/>
  <c r="K73" i="11" s="1"/>
  <c r="N99" i="11" a="1"/>
  <c r="N99" i="11" s="1"/>
  <c r="N129" i="11" s="1"/>
  <c r="K67" i="11" a="1"/>
  <c r="K67" i="11" s="1"/>
  <c r="O79" i="11" a="1"/>
  <c r="O79" i="11" s="1"/>
  <c r="L81" i="11" a="1"/>
  <c r="L81" i="11" s="1"/>
  <c r="R91" i="11" a="1"/>
  <c r="R91" i="11" s="1"/>
  <c r="K88" i="11" a="1"/>
  <c r="K88" i="11" s="1"/>
  <c r="M76" i="11" a="1"/>
  <c r="M76" i="11" s="1"/>
  <c r="S112" i="11" a="1"/>
  <c r="S112" i="11" s="1"/>
  <c r="S142" i="11" s="1"/>
  <c r="K124" i="11" a="1"/>
  <c r="K124" i="11" s="1"/>
  <c r="K154" i="11" s="1"/>
  <c r="S89" i="11" a="1"/>
  <c r="S89" i="11" s="1"/>
  <c r="Q90" i="11" a="1"/>
  <c r="Q90" i="11" s="1"/>
  <c r="N109" i="11" a="1"/>
  <c r="N109" i="11" s="1"/>
  <c r="N139" i="11" s="1"/>
  <c r="P74" i="11" a="1"/>
  <c r="P74" i="11" s="1"/>
  <c r="O124" i="11" a="1"/>
  <c r="O124" i="11" s="1"/>
  <c r="O154" i="11" s="1"/>
  <c r="R118" i="11" a="1"/>
  <c r="R118" i="11" s="1"/>
  <c r="R148" i="11" s="1"/>
  <c r="N112" i="11" a="1"/>
  <c r="N112" i="11" s="1"/>
  <c r="N142" i="11" s="1"/>
  <c r="M109" i="11" a="1"/>
  <c r="M109" i="11" s="1"/>
  <c r="M139" i="11" s="1"/>
  <c r="L106" i="11" a="1"/>
  <c r="L106" i="11" s="1"/>
  <c r="L136" i="11" s="1"/>
  <c r="Q70" i="11" a="1"/>
  <c r="Q70" i="11" s="1"/>
  <c r="Q97" i="11" a="1"/>
  <c r="Q97" i="11" s="1"/>
  <c r="Q127" i="11" s="1"/>
  <c r="L65" i="11" a="1"/>
  <c r="L65" i="11" s="1"/>
  <c r="S122" i="11" a="1"/>
  <c r="S122" i="11" s="1"/>
  <c r="S152" i="11" s="1"/>
  <c r="P119" i="11" a="1"/>
  <c r="P119" i="11" s="1"/>
  <c r="P149" i="11" s="1"/>
  <c r="O85" i="11" a="1"/>
  <c r="O85" i="11" s="1"/>
  <c r="M112" i="11" a="1"/>
  <c r="M112" i="11" s="1"/>
  <c r="M142" i="11" s="1"/>
  <c r="O108" i="11" a="1"/>
  <c r="O108" i="11" s="1"/>
  <c r="O138" i="11" s="1"/>
  <c r="K76" i="11" a="1"/>
  <c r="K76" i="11" s="1"/>
  <c r="T72" i="11" a="1"/>
  <c r="T72" i="11" s="1"/>
  <c r="S69" i="11" a="1"/>
  <c r="S69" i="11" s="1"/>
  <c r="Q96" i="11" a="1"/>
  <c r="Q96" i="11" s="1"/>
  <c r="Q126" i="11" s="1"/>
  <c r="J118" i="11" a="1"/>
  <c r="J118" i="11" s="1"/>
  <c r="J148" i="11" s="1"/>
  <c r="M78" i="11" a="1"/>
  <c r="M78" i="11" s="1"/>
  <c r="T90" i="11" a="1"/>
  <c r="T90" i="11" s="1"/>
  <c r="L117" i="11" a="1"/>
  <c r="L117" i="11" s="1"/>
  <c r="L147" i="11" s="1"/>
  <c r="Q108" i="11" a="1"/>
  <c r="Q108" i="11" s="1"/>
  <c r="Q138" i="11" s="1"/>
  <c r="J97" i="11" a="1"/>
  <c r="J97" i="11" s="1"/>
  <c r="J127" i="11" s="1"/>
  <c r="M86" i="11" a="1"/>
  <c r="M86" i="11" s="1"/>
  <c r="M124" i="11" a="1"/>
  <c r="M124" i="11" s="1"/>
  <c r="M154" i="11" s="1"/>
  <c r="N120" i="11" a="1"/>
  <c r="N120" i="11" s="1"/>
  <c r="N150" i="11" s="1"/>
  <c r="S86" i="11" a="1"/>
  <c r="S86" i="11" s="1"/>
  <c r="L112" i="11" a="1"/>
  <c r="L112" i="11" s="1"/>
  <c r="L142" i="11" s="1"/>
  <c r="K109" i="11" a="1"/>
  <c r="K109" i="11" s="1"/>
  <c r="K139" i="11" s="1"/>
  <c r="L75" i="11" a="1"/>
  <c r="L75" i="11" s="1"/>
  <c r="M101" i="11" a="1"/>
  <c r="M101" i="11" s="1"/>
  <c r="M131" i="11" s="1"/>
  <c r="T68" i="11" a="1"/>
  <c r="T68" i="11" s="1"/>
  <c r="R65" i="11" a="1"/>
  <c r="R65" i="11" s="1"/>
  <c r="R89" i="11" a="1"/>
  <c r="R89" i="11" s="1"/>
  <c r="N67" i="11" a="1"/>
  <c r="N67" i="11" s="1"/>
  <c r="S68" i="11" a="1"/>
  <c r="S68" i="11" s="1"/>
  <c r="O110" i="11" a="1"/>
  <c r="O110" i="11" s="1"/>
  <c r="O140" i="11" s="1"/>
  <c r="L108" i="11" a="1"/>
  <c r="L108" i="11" s="1"/>
  <c r="L138" i="11" s="1"/>
  <c r="S101" i="11" a="1"/>
  <c r="S101" i="11" s="1"/>
  <c r="S131" i="11" s="1"/>
  <c r="P95" i="11" a="1"/>
  <c r="P95" i="11" s="1"/>
  <c r="P125" i="11" s="1"/>
  <c r="S94" i="11" a="1"/>
  <c r="S94" i="11" s="1"/>
  <c r="R102" i="11" a="1"/>
  <c r="R102" i="11" s="1"/>
  <c r="R132" i="11" s="1"/>
  <c r="J88" i="11" a="1"/>
  <c r="J88" i="11" s="1"/>
  <c r="J81" i="11" a="1"/>
  <c r="J81" i="11" s="1"/>
  <c r="L111" i="11" a="1"/>
  <c r="L111" i="11" s="1"/>
  <c r="L141" i="11" s="1"/>
  <c r="P122" i="11" a="1"/>
  <c r="P122" i="11" s="1"/>
  <c r="P152" i="11" s="1"/>
  <c r="Q86" i="11" a="1"/>
  <c r="Q86" i="11" s="1"/>
  <c r="Q102" i="11" a="1"/>
  <c r="Q102" i="11" s="1"/>
  <c r="Q132" i="11" s="1"/>
  <c r="J124" i="11" a="1"/>
  <c r="J124" i="11" s="1"/>
  <c r="J154" i="11" s="1"/>
  <c r="O92" i="11" a="1"/>
  <c r="O92" i="11" s="1"/>
  <c r="M118" i="11" a="1"/>
  <c r="M118" i="11" s="1"/>
  <c r="M148" i="11" s="1"/>
  <c r="K85" i="11" a="1"/>
  <c r="K85" i="11" s="1"/>
  <c r="N80" i="11" a="1"/>
  <c r="N80" i="11" s="1"/>
  <c r="N77" i="11" a="1"/>
  <c r="N77" i="11" s="1"/>
  <c r="L73" i="11" a="1"/>
  <c r="L73" i="11" s="1"/>
  <c r="O99" i="11" a="1"/>
  <c r="O99" i="11" s="1"/>
  <c r="O129" i="11" s="1"/>
  <c r="O65" i="11" a="1"/>
  <c r="O65" i="11" s="1"/>
  <c r="N114" i="11" a="1"/>
  <c r="N114" i="11" s="1"/>
  <c r="N144" i="11" s="1"/>
  <c r="P121" i="11" a="1"/>
  <c r="P121" i="11" s="1"/>
  <c r="P151" i="11" s="1"/>
  <c r="R115" i="11" a="1"/>
  <c r="R115" i="11" s="1"/>
  <c r="R145" i="11" s="1"/>
  <c r="N83" i="11" a="1"/>
  <c r="N83" i="11" s="1"/>
  <c r="M110" i="11" a="1"/>
  <c r="M110" i="11" s="1"/>
  <c r="M140" i="11" s="1"/>
  <c r="P105" i="11" a="1"/>
  <c r="P105" i="11" s="1"/>
  <c r="P135" i="11" s="1"/>
  <c r="O102" i="11" a="1"/>
  <c r="O102" i="11" s="1"/>
  <c r="O132" i="11" s="1"/>
  <c r="N69" i="11" a="1"/>
  <c r="N69" i="11" s="1"/>
  <c r="L96" i="11" a="1"/>
  <c r="L96" i="11" s="1"/>
  <c r="L126" i="11" s="1"/>
  <c r="O72" i="11" a="1"/>
  <c r="O72" i="11" s="1"/>
  <c r="S96" i="11" a="1"/>
  <c r="S96" i="11" s="1"/>
  <c r="S126" i="11" s="1"/>
  <c r="M80" i="11" a="1"/>
  <c r="M80" i="11" s="1"/>
  <c r="S105" i="11" a="1"/>
  <c r="S105" i="11" s="1"/>
  <c r="S135" i="11" s="1"/>
  <c r="J99" i="11" a="1"/>
  <c r="J99" i="11" s="1"/>
  <c r="J129" i="11" s="1"/>
  <c r="Q115" i="11" a="1"/>
  <c r="Q115" i="11" s="1"/>
  <c r="Q145" i="11" s="1"/>
  <c r="J92" i="11" a="1"/>
  <c r="J92" i="11" s="1"/>
  <c r="S82" i="11" a="1"/>
  <c r="S82" i="11" s="1"/>
  <c r="L120" i="11" a="1"/>
  <c r="L120" i="11" s="1"/>
  <c r="L150" i="11" s="1"/>
  <c r="J114" i="11" a="1"/>
  <c r="J114" i="11" s="1"/>
  <c r="J144" i="11" s="1"/>
  <c r="N79" i="11" a="1"/>
  <c r="N79" i="11" s="1"/>
  <c r="R103" i="11" a="1"/>
  <c r="R103" i="11" s="1"/>
  <c r="R133" i="11" s="1"/>
  <c r="R88" i="11" a="1"/>
  <c r="R88" i="11" s="1"/>
  <c r="N82" i="11" a="1"/>
  <c r="N82" i="11" s="1"/>
  <c r="M79" i="11" a="1"/>
  <c r="M79" i="11" s="1"/>
  <c r="L76" i="11" a="1"/>
  <c r="L76" i="11" s="1"/>
  <c r="U102" i="11" a="1"/>
  <c r="U102" i="11" s="1"/>
  <c r="U132" i="11" s="1"/>
  <c r="Q67" i="11" a="1"/>
  <c r="Q67" i="11" s="1"/>
  <c r="J120" i="11" a="1"/>
  <c r="J120" i="11" s="1"/>
  <c r="J150" i="11" s="1"/>
  <c r="S92" i="11" a="1"/>
  <c r="S92" i="11" s="1"/>
  <c r="Q118" i="11" a="1"/>
  <c r="Q118" i="11" s="1"/>
  <c r="Q148" i="11" s="1"/>
  <c r="P114" i="11" a="1"/>
  <c r="P114" i="11" s="1"/>
  <c r="P144" i="11" s="1"/>
  <c r="M82" i="11" a="1"/>
  <c r="M82" i="11" s="1"/>
  <c r="O78" i="11" a="1"/>
  <c r="O78" i="11" s="1"/>
  <c r="M105" i="11" a="1"/>
  <c r="M105" i="11" s="1"/>
  <c r="M135" i="11" s="1"/>
  <c r="L72" i="11" a="1"/>
  <c r="L72" i="11" s="1"/>
  <c r="K99" i="11" a="1"/>
  <c r="K99" i="11" s="1"/>
  <c r="K129" i="11" s="1"/>
  <c r="S95" i="11" a="1"/>
  <c r="S95" i="11" s="1"/>
  <c r="S125" i="11" s="1"/>
  <c r="M120" i="11" a="1"/>
  <c r="M120" i="11" s="1"/>
  <c r="M150" i="11" s="1"/>
  <c r="K105" i="11" a="1"/>
  <c r="K105" i="11" s="1"/>
  <c r="K135" i="11" s="1"/>
  <c r="J123" i="11" a="1"/>
  <c r="J123" i="11" s="1"/>
  <c r="J153" i="11" s="1"/>
  <c r="L87" i="11" a="1"/>
  <c r="L87" i="11" s="1"/>
  <c r="Q78" i="11" a="1"/>
  <c r="Q78" i="11" s="1"/>
  <c r="R123" i="11" a="1"/>
  <c r="R123" i="11" s="1"/>
  <c r="R153" i="11" s="1"/>
  <c r="M116" i="11" a="1"/>
  <c r="M116" i="11" s="1"/>
  <c r="M146" i="11" s="1"/>
  <c r="P123" i="11" a="1"/>
  <c r="P123" i="11" s="1"/>
  <c r="P153" i="11" s="1"/>
  <c r="O119" i="11" a="1"/>
  <c r="O119" i="11" s="1"/>
  <c r="O149" i="11" s="1"/>
  <c r="K116" i="11" a="1"/>
  <c r="K116" i="11" s="1"/>
  <c r="K146" i="11" s="1"/>
  <c r="L82" i="11" a="1"/>
  <c r="L82" i="11" s="1"/>
  <c r="K79" i="11" a="1"/>
  <c r="K79" i="11" s="1"/>
  <c r="M104" i="11" a="1"/>
  <c r="M104" i="11" s="1"/>
  <c r="M134" i="11" s="1"/>
  <c r="M71" i="11" a="1"/>
  <c r="M71" i="11" s="1"/>
  <c r="L98" i="11" a="1"/>
  <c r="L98" i="11" s="1"/>
  <c r="L128" i="11" s="1"/>
  <c r="J90" i="11" a="1"/>
  <c r="J90" i="11" s="1"/>
  <c r="R76" i="11" a="1"/>
  <c r="R76" i="11" s="1"/>
  <c r="O96" i="11" a="1"/>
  <c r="O96" i="11" s="1"/>
  <c r="O126" i="11" s="1"/>
  <c r="T124" i="11" a="1"/>
  <c r="T124" i="11" s="1"/>
  <c r="T154" i="11" s="1"/>
  <c r="O80" i="11" a="1"/>
  <c r="O80" i="11" s="1"/>
  <c r="P106" i="11" a="1"/>
  <c r="P106" i="11" s="1"/>
  <c r="P136" i="11" s="1"/>
  <c r="S71" i="11" a="1"/>
  <c r="S71" i="11" s="1"/>
  <c r="P65" i="11" a="1"/>
  <c r="P65" i="11" s="1"/>
  <c r="J71" i="11" a="1"/>
  <c r="J71" i="11" s="1"/>
  <c r="T103" i="11" a="1"/>
  <c r="T103" i="11" s="1"/>
  <c r="T133" i="11" s="1"/>
  <c r="T94" i="11" a="1"/>
  <c r="T94" i="11" s="1"/>
  <c r="Q106" i="11" a="1"/>
  <c r="Q106" i="11" s="1"/>
  <c r="Q136" i="11" s="1"/>
  <c r="M119" i="11" a="1"/>
  <c r="M119" i="11" s="1"/>
  <c r="M149" i="11" s="1"/>
  <c r="S111" i="11" a="1"/>
  <c r="S111" i="11" s="1"/>
  <c r="S141" i="11" s="1"/>
  <c r="J116" i="11" a="1"/>
  <c r="J116" i="11" s="1"/>
  <c r="J146" i="11" s="1"/>
  <c r="P109" i="11" a="1"/>
  <c r="P109" i="11" s="1"/>
  <c r="P139" i="11" s="1"/>
  <c r="Q98" i="11" a="1"/>
  <c r="Q98" i="11" s="1"/>
  <c r="Q128" i="11" s="1"/>
  <c r="P91" i="11" a="1"/>
  <c r="P91" i="11" s="1"/>
  <c r="O109" i="11" a="1"/>
  <c r="O109" i="11" s="1"/>
  <c r="O139" i="11" s="1"/>
  <c r="P98" i="11" a="1"/>
  <c r="P98" i="11" s="1"/>
  <c r="P128" i="11" s="1"/>
  <c r="K96" i="11" a="1"/>
  <c r="K96" i="11" s="1"/>
  <c r="K126" i="11" s="1"/>
  <c r="R120" i="11" a="1"/>
  <c r="R120" i="11" s="1"/>
  <c r="R150" i="11" s="1"/>
  <c r="L90" i="11" a="1"/>
  <c r="L90" i="11" s="1"/>
  <c r="K117" i="11" a="1"/>
  <c r="K117" i="11" s="1"/>
  <c r="K147" i="11" s="1"/>
  <c r="N75" i="11" a="1"/>
  <c r="N75" i="11" s="1"/>
  <c r="T99" i="11" a="1"/>
  <c r="T99" i="11" s="1"/>
  <c r="T129" i="11" s="1"/>
  <c r="K122" i="11" a="1"/>
  <c r="K122" i="11" s="1"/>
  <c r="K152" i="11" s="1"/>
  <c r="N111" i="11" a="1"/>
  <c r="N111" i="11" s="1"/>
  <c r="N141" i="11" s="1"/>
  <c r="L102" i="11" a="1"/>
  <c r="L102" i="11" s="1"/>
  <c r="L132" i="11" s="1"/>
  <c r="Q124" i="11" a="1"/>
  <c r="Q124" i="11" s="1"/>
  <c r="Q154" i="11" s="1"/>
  <c r="L122" i="11" a="1"/>
  <c r="L122" i="11" s="1"/>
  <c r="L152" i="11" s="1"/>
  <c r="O89" i="11" a="1"/>
  <c r="O89" i="11" s="1"/>
  <c r="M111" i="11" a="1"/>
  <c r="M111" i="11" s="1"/>
  <c r="M141" i="11" s="1"/>
  <c r="O100" i="11" a="1"/>
  <c r="O100" i="11" s="1"/>
  <c r="O130" i="11" s="1"/>
  <c r="O73" i="11" a="1"/>
  <c r="O73" i="11" s="1"/>
  <c r="Q109" i="11" a="1"/>
  <c r="Q109" i="11" s="1"/>
  <c r="Q139" i="11" s="1"/>
  <c r="J94" i="11" a="1"/>
  <c r="J94" i="11" s="1"/>
  <c r="U69" i="11" a="1"/>
  <c r="U69" i="11" s="1"/>
  <c r="T111" i="11" a="1"/>
  <c r="T111" i="11" s="1"/>
  <c r="T141" i="11" s="1"/>
  <c r="T75" i="11" a="1"/>
  <c r="T75" i="11" s="1"/>
  <c r="T112" i="11" a="1"/>
  <c r="T112" i="11" s="1"/>
  <c r="T142" i="11" s="1"/>
  <c r="U79" i="11" a="1"/>
  <c r="U79" i="11" s="1"/>
  <c r="V123" i="11" a="1"/>
  <c r="V123" i="11" s="1"/>
  <c r="V153" i="11" s="1"/>
  <c r="T74" i="11" a="1"/>
  <c r="T74" i="11" s="1"/>
  <c r="T114" i="11" a="1"/>
  <c r="T114" i="11" s="1"/>
  <c r="T144" i="11" s="1"/>
  <c r="T84" i="11" a="1"/>
  <c r="T84" i="11" s="1"/>
  <c r="U65" i="11" a="1"/>
  <c r="U65" i="11" s="1"/>
  <c r="V115" i="11" a="1"/>
  <c r="V115" i="11" s="1"/>
  <c r="V145" i="11" s="1"/>
  <c r="T81" i="11" a="1"/>
  <c r="T81" i="11" s="1"/>
  <c r="U116" i="11" a="1"/>
  <c r="U116" i="11" s="1"/>
  <c r="U146" i="11" s="1"/>
  <c r="T82" i="11" a="1"/>
  <c r="T82" i="11" s="1"/>
  <c r="T119" i="11" a="1"/>
  <c r="T119" i="11" s="1"/>
  <c r="T149" i="11" s="1"/>
  <c r="V93" i="11" a="1"/>
  <c r="V93" i="11" s="1"/>
  <c r="U95" i="11" a="1"/>
  <c r="U95" i="11" s="1"/>
  <c r="U125" i="11" s="1"/>
  <c r="V85" i="11" a="1"/>
  <c r="V85" i="11" s="1"/>
  <c r="U122" i="11" a="1"/>
  <c r="U122" i="11" s="1"/>
  <c r="U152" i="11" s="1"/>
  <c r="U86" i="11" a="1"/>
  <c r="U86" i="11" s="1"/>
  <c r="T96" i="11" a="1"/>
  <c r="T96" i="11" s="1"/>
  <c r="T126" i="11" s="1"/>
  <c r="T89" i="11" a="1"/>
  <c r="T89" i="11" s="1"/>
  <c r="T121" i="11" a="1"/>
  <c r="T121" i="11" s="1"/>
  <c r="T151" i="11" s="1"/>
  <c r="T113" i="11" a="1"/>
  <c r="T113" i="11" s="1"/>
  <c r="T143" i="11" s="1"/>
  <c r="T91" i="11" a="1"/>
  <c r="T91" i="11" s="1"/>
  <c r="T83" i="11" a="1"/>
  <c r="T83" i="11" s="1"/>
  <c r="U73" i="11" a="1"/>
  <c r="U73" i="11" s="1"/>
  <c r="U98" i="11" a="1"/>
  <c r="U98" i="11" s="1"/>
  <c r="U128" i="11" s="1"/>
  <c r="T97" i="11" a="1"/>
  <c r="T97" i="11" s="1"/>
  <c r="T127" i="11" s="1"/>
  <c r="U77" i="11" a="1"/>
  <c r="U77" i="11" s="1"/>
  <c r="V72" i="11" a="1"/>
  <c r="V72" i="11" s="1"/>
  <c r="V80" i="11" a="1"/>
  <c r="V80" i="11" s="1"/>
  <c r="T67" i="11" a="1"/>
  <c r="T67" i="11" s="1"/>
  <c r="T105" i="11" a="1"/>
  <c r="T105" i="11" s="1"/>
  <c r="T135" i="11" s="1"/>
  <c r="U109" i="11" a="1"/>
  <c r="U109" i="11" s="1"/>
  <c r="U139" i="11" s="1"/>
  <c r="T104" i="11" a="1"/>
  <c r="T104" i="11" s="1"/>
  <c r="T134" i="11" s="1"/>
  <c r="U92" i="11" a="1"/>
  <c r="U92" i="11" s="1"/>
  <c r="U103" i="11" a="1"/>
  <c r="U103" i="11" s="1"/>
  <c r="U133" i="11" s="1"/>
  <c r="T66" i="11" a="1"/>
  <c r="T66" i="11" s="1"/>
  <c r="U68" i="11" a="1"/>
  <c r="U68" i="11" s="1"/>
  <c r="U108" i="11" a="1"/>
  <c r="U108" i="11" s="1"/>
  <c r="U138" i="11" s="1"/>
  <c r="V102" i="11" a="1"/>
  <c r="V102" i="11" s="1"/>
  <c r="V132" i="11" s="1"/>
  <c r="V110" i="11" a="1"/>
  <c r="V110" i="11" s="1"/>
  <c r="V140" i="11" s="1"/>
  <c r="U78" i="11" a="1"/>
  <c r="U78" i="11" s="1"/>
  <c r="T118" i="11" a="1"/>
  <c r="T118" i="11" s="1"/>
  <c r="T148" i="11" s="1"/>
  <c r="U124" i="11" a="1"/>
  <c r="U124" i="11" s="1"/>
  <c r="U154" i="11" s="1"/>
  <c r="T117" i="11" a="1"/>
  <c r="T117" i="11" s="1"/>
  <c r="T147" i="11" s="1"/>
  <c r="U101" i="11" a="1"/>
  <c r="U101" i="11" s="1"/>
  <c r="U131" i="11" s="1"/>
  <c r="U70" i="11" a="1"/>
  <c r="U70" i="11" s="1"/>
  <c r="T76" i="11" a="1"/>
  <c r="T76" i="11" s="1"/>
  <c r="U107" i="11" a="1"/>
  <c r="U107" i="11" s="1"/>
  <c r="U137" i="11" s="1"/>
  <c r="T88" i="11" a="1"/>
  <c r="T88" i="11" s="1"/>
  <c r="U100" i="11" a="1"/>
  <c r="U100" i="11" s="1"/>
  <c r="U130" i="11" s="1"/>
  <c r="U94" i="11" a="1"/>
  <c r="U94" i="11" s="1"/>
  <c r="U120" i="11" a="1"/>
  <c r="U120" i="11" s="1"/>
  <c r="U150" i="11" s="1"/>
  <c r="T87" i="11" a="1"/>
  <c r="T87" i="11" s="1"/>
  <c r="T106" i="11" a="1"/>
  <c r="T106" i="11" s="1"/>
  <c r="T136" i="11" s="1"/>
  <c r="U71" i="11" a="1"/>
  <c r="U71" i="11" s="1"/>
  <c r="U99" i="11" a="1"/>
  <c r="U99" i="11" s="1"/>
  <c r="U129" i="11" s="1"/>
  <c r="U90" i="11" a="1"/>
  <c r="U90" i="11" s="1"/>
  <c r="V79" i="11" a="1"/>
  <c r="V79" i="11" s="1"/>
  <c r="W123" i="11" a="1"/>
  <c r="W123" i="11" s="1"/>
  <c r="W153" i="11" s="1"/>
  <c r="U88" i="11" a="1"/>
  <c r="U88" i="11" s="1"/>
  <c r="U111" i="11" a="1"/>
  <c r="U111" i="11" s="1"/>
  <c r="U141" i="11" s="1"/>
  <c r="V73" i="11" a="1"/>
  <c r="V73" i="11" s="1"/>
  <c r="U121" i="11" a="1"/>
  <c r="U121" i="11" s="1"/>
  <c r="U151" i="11" s="1"/>
  <c r="U97" i="11" a="1"/>
  <c r="U97" i="11" s="1"/>
  <c r="U127" i="11" s="1"/>
  <c r="V65" i="11" a="1"/>
  <c r="V65" i="11" s="1"/>
  <c r="W115" i="11" a="1"/>
  <c r="W115" i="11" s="1"/>
  <c r="W145" i="11" s="1"/>
  <c r="U114" i="11" a="1"/>
  <c r="U114" i="11" s="1"/>
  <c r="U144" i="11" s="1"/>
  <c r="U105" i="11" a="1"/>
  <c r="U105" i="11" s="1"/>
  <c r="U135" i="11" s="1"/>
  <c r="W93" i="11" a="1"/>
  <c r="W93" i="11" s="1"/>
  <c r="V100" i="11" a="1"/>
  <c r="V100" i="11" s="1"/>
  <c r="V130" i="11" s="1"/>
  <c r="U81" i="11" a="1"/>
  <c r="U81" i="11" s="1"/>
  <c r="V124" i="11" a="1"/>
  <c r="V124" i="11" s="1"/>
  <c r="V154" i="11" s="1"/>
  <c r="V108" i="11" a="1"/>
  <c r="V108" i="11" s="1"/>
  <c r="V138" i="11" s="1"/>
  <c r="U91" i="11" a="1"/>
  <c r="U91" i="11" s="1"/>
  <c r="U67" i="11" a="1"/>
  <c r="U67" i="11" s="1"/>
  <c r="W85" i="11" a="1"/>
  <c r="W85" i="11" s="1"/>
  <c r="V90" i="11" a="1"/>
  <c r="V90" i="11" s="1"/>
  <c r="U96" i="11" a="1"/>
  <c r="U96" i="11" s="1"/>
  <c r="U126" i="11" s="1"/>
  <c r="V120" i="11" a="1"/>
  <c r="V120" i="11" s="1"/>
  <c r="V150" i="11" s="1"/>
  <c r="U113" i="11" a="1"/>
  <c r="U113" i="11" s="1"/>
  <c r="U143" i="11" s="1"/>
  <c r="U82" i="11" a="1"/>
  <c r="U82" i="11" s="1"/>
  <c r="U87" i="11" a="1"/>
  <c r="U87" i="11" s="1"/>
  <c r="U84" i="11" a="1"/>
  <c r="U84" i="11" s="1"/>
  <c r="U75" i="11" a="1"/>
  <c r="U75" i="11" s="1"/>
  <c r="V70" i="11" a="1"/>
  <c r="V70" i="11" s="1"/>
  <c r="W102" i="11" a="1"/>
  <c r="W102" i="11" s="1"/>
  <c r="W132" i="11" s="1"/>
  <c r="V94" i="11" a="1"/>
  <c r="V94" i="11" s="1"/>
  <c r="V78" i="11" a="1"/>
  <c r="V78" i="11" s="1"/>
  <c r="U119" i="11" a="1"/>
  <c r="U119" i="11" s="1"/>
  <c r="U149" i="11" s="1"/>
  <c r="W80" i="11" a="1"/>
  <c r="W80" i="11" s="1"/>
  <c r="U112" i="11" a="1"/>
  <c r="U112" i="11" s="1"/>
  <c r="U142" i="11" s="1"/>
  <c r="V122" i="11" a="1"/>
  <c r="V122" i="11" s="1"/>
  <c r="V152" i="11" s="1"/>
  <c r="V92" i="11" a="1"/>
  <c r="V92" i="11" s="1"/>
  <c r="U106" i="11" a="1"/>
  <c r="U106" i="11" s="1"/>
  <c r="U136" i="11" s="1"/>
  <c r="W72" i="11" a="1"/>
  <c r="W72" i="11" s="1"/>
  <c r="U89" i="11" a="1"/>
  <c r="U89" i="11" s="1"/>
  <c r="U66" i="11" a="1"/>
  <c r="U66" i="11" s="1"/>
  <c r="V99" i="11" a="1"/>
  <c r="V99" i="11" s="1"/>
  <c r="V129" i="11" s="1"/>
  <c r="V101" i="11" a="1"/>
  <c r="V101" i="11" s="1"/>
  <c r="V131" i="11" s="1"/>
  <c r="V68" i="11" a="1"/>
  <c r="V68" i="11" s="1"/>
  <c r="V69" i="11" a="1"/>
  <c r="V69" i="11" s="1"/>
  <c r="V86" i="11" a="1"/>
  <c r="V86" i="11" s="1"/>
  <c r="U118" i="11" a="1"/>
  <c r="U118" i="11" s="1"/>
  <c r="U148" i="11" s="1"/>
  <c r="V95" i="11" a="1"/>
  <c r="V95" i="11" s="1"/>
  <c r="V125" i="11" s="1"/>
  <c r="U104" i="11" a="1"/>
  <c r="U104" i="11" s="1"/>
  <c r="U134" i="11" s="1"/>
  <c r="U76" i="11" a="1"/>
  <c r="U76" i="11" s="1"/>
  <c r="V71" i="11" a="1"/>
  <c r="V71" i="11" s="1"/>
  <c r="V98" i="11" a="1"/>
  <c r="V98" i="11" s="1"/>
  <c r="V128" i="11" s="1"/>
  <c r="W110" i="11" a="1"/>
  <c r="W110" i="11" s="1"/>
  <c r="W140" i="11" s="1"/>
  <c r="U74" i="11" a="1"/>
  <c r="U74" i="11" s="1"/>
  <c r="V107" i="11" a="1"/>
  <c r="V107" i="11" s="1"/>
  <c r="V137" i="11" s="1"/>
  <c r="U83" i="11" a="1"/>
  <c r="U83" i="11" s="1"/>
  <c r="V116" i="11" a="1"/>
  <c r="V116" i="11" s="1"/>
  <c r="V146" i="11" s="1"/>
  <c r="V77" i="11" a="1"/>
  <c r="V77" i="11" s="1"/>
  <c r="V109" i="11" a="1"/>
  <c r="V109" i="11" s="1"/>
  <c r="V139" i="11" s="1"/>
  <c r="V103" i="11" a="1"/>
  <c r="V103" i="11" s="1"/>
  <c r="V133" i="11" s="1"/>
  <c r="U117" i="11" a="1"/>
  <c r="U117" i="11" s="1"/>
  <c r="U147" i="11" s="1"/>
  <c r="W65" i="11" a="1"/>
  <c r="W65" i="11" s="1"/>
  <c r="W99" i="11" a="1"/>
  <c r="W99" i="11" s="1"/>
  <c r="W129" i="11" s="1"/>
  <c r="W86" i="11" a="1"/>
  <c r="W86" i="11" s="1"/>
  <c r="V105" i="11" a="1"/>
  <c r="V105" i="11" s="1"/>
  <c r="V135" i="11" s="1"/>
  <c r="X80" i="11" a="1"/>
  <c r="X80" i="11" s="1"/>
  <c r="V96" i="11" a="1"/>
  <c r="V96" i="11" s="1"/>
  <c r="V126" i="11" s="1"/>
  <c r="X72" i="11" a="1"/>
  <c r="X72" i="11" s="1"/>
  <c r="V114" i="11" a="1"/>
  <c r="V114" i="11" s="1"/>
  <c r="V144" i="11" s="1"/>
  <c r="V106" i="11" a="1"/>
  <c r="V106" i="11" s="1"/>
  <c r="V136" i="11" s="1"/>
  <c r="W109" i="11" a="1"/>
  <c r="W109" i="11" s="1"/>
  <c r="W139" i="11" s="1"/>
  <c r="W69" i="11" a="1"/>
  <c r="W69" i="11" s="1"/>
  <c r="W103" i="11" a="1"/>
  <c r="W103" i="11" s="1"/>
  <c r="W133" i="11" s="1"/>
  <c r="V75" i="11" a="1"/>
  <c r="V75" i="11" s="1"/>
  <c r="X123" i="11" a="1"/>
  <c r="X123" i="11" s="1"/>
  <c r="X153" i="11" s="1"/>
  <c r="V66" i="11" a="1"/>
  <c r="V66" i="11" s="1"/>
  <c r="V118" i="11" a="1"/>
  <c r="V118" i="11" s="1"/>
  <c r="V148" i="11" s="1"/>
  <c r="V84" i="11" a="1"/>
  <c r="V84" i="11" s="1"/>
  <c r="X93" i="11" a="1"/>
  <c r="X93" i="11" s="1"/>
  <c r="V88" i="11" a="1"/>
  <c r="V88" i="11" s="1"/>
  <c r="V117" i="11" a="1"/>
  <c r="V117" i="11" s="1"/>
  <c r="V147" i="11" s="1"/>
  <c r="V119" i="11" a="1"/>
  <c r="V119" i="11" s="1"/>
  <c r="V149" i="11" s="1"/>
  <c r="V87" i="11" a="1"/>
  <c r="V87" i="11" s="1"/>
  <c r="W71" i="11" a="1"/>
  <c r="W71" i="11" s="1"/>
  <c r="X102" i="11" a="1"/>
  <c r="X102" i="11" s="1"/>
  <c r="X132" i="11" s="1"/>
  <c r="W79" i="11" a="1"/>
  <c r="W79" i="11" s="1"/>
  <c r="V112" i="11" a="1"/>
  <c r="V112" i="11" s="1"/>
  <c r="V142" i="11" s="1"/>
  <c r="W73" i="11" a="1"/>
  <c r="W73" i="11" s="1"/>
  <c r="W108" i="11" a="1"/>
  <c r="W108" i="11" s="1"/>
  <c r="W138" i="11" s="1"/>
  <c r="W98" i="11" a="1"/>
  <c r="W98" i="11" s="1"/>
  <c r="W128" i="11" s="1"/>
  <c r="W124" i="11" a="1"/>
  <c r="W124" i="11" s="1"/>
  <c r="W154" i="11" s="1"/>
  <c r="W78" i="11" a="1"/>
  <c r="W78" i="11" s="1"/>
  <c r="W120" i="11" a="1"/>
  <c r="W120" i="11" s="1"/>
  <c r="W150" i="11" s="1"/>
  <c r="V97" i="11" a="1"/>
  <c r="V97" i="11" s="1"/>
  <c r="V127" i="11" s="1"/>
  <c r="V111" i="11" a="1"/>
  <c r="V111" i="11" s="1"/>
  <c r="V141" i="11" s="1"/>
  <c r="V76" i="11" a="1"/>
  <c r="V76" i="11" s="1"/>
  <c r="V82" i="11" a="1"/>
  <c r="V82" i="11" s="1"/>
  <c r="V121" i="11" a="1"/>
  <c r="V121" i="11" s="1"/>
  <c r="V151" i="11" s="1"/>
  <c r="V74" i="11" a="1"/>
  <c r="V74" i="11" s="1"/>
  <c r="W68" i="11" a="1"/>
  <c r="W68" i="11" s="1"/>
  <c r="W94" i="11" a="1"/>
  <c r="W94" i="11" s="1"/>
  <c r="W90" i="11" a="1"/>
  <c r="W90" i="11" s="1"/>
  <c r="W100" i="11" a="1"/>
  <c r="W100" i="11" s="1"/>
  <c r="W130" i="11" s="1"/>
  <c r="V67" i="11" a="1"/>
  <c r="V67" i="11" s="1"/>
  <c r="W116" i="11" a="1"/>
  <c r="W116" i="11" s="1"/>
  <c r="W146" i="11" s="1"/>
  <c r="X115" i="11" a="1"/>
  <c r="X115" i="11" s="1"/>
  <c r="X145" i="11" s="1"/>
  <c r="V91" i="11" a="1"/>
  <c r="V91" i="11" s="1"/>
  <c r="W122" i="11" a="1"/>
  <c r="W122" i="11" s="1"/>
  <c r="W152" i="11" s="1"/>
  <c r="V104" i="11" a="1"/>
  <c r="V104" i="11" s="1"/>
  <c r="V134" i="11" s="1"/>
  <c r="W101" i="11" a="1"/>
  <c r="W101" i="11" s="1"/>
  <c r="W131" i="11" s="1"/>
  <c r="X85" i="11" a="1"/>
  <c r="X85" i="11" s="1"/>
  <c r="W107" i="11" a="1"/>
  <c r="W107" i="11" s="1"/>
  <c r="W137" i="11" s="1"/>
  <c r="W92" i="11" a="1"/>
  <c r="W92" i="11" s="1"/>
  <c r="V89" i="11" a="1"/>
  <c r="V89" i="11" s="1"/>
  <c r="W70" i="11" a="1"/>
  <c r="W70" i="11" s="1"/>
  <c r="X110" i="11" a="1"/>
  <c r="X110" i="11" s="1"/>
  <c r="X140" i="11" s="1"/>
  <c r="W77" i="11" a="1"/>
  <c r="W77" i="11" s="1"/>
  <c r="V113" i="11" a="1"/>
  <c r="V113" i="11" s="1"/>
  <c r="V143" i="11" s="1"/>
  <c r="V83" i="11" a="1"/>
  <c r="V83" i="11" s="1"/>
  <c r="W95" i="11" a="1"/>
  <c r="W95" i="11" s="1"/>
  <c r="W125" i="11" s="1"/>
  <c r="V81" i="11" a="1"/>
  <c r="V81" i="11" s="1"/>
  <c r="X86" i="11" a="1"/>
  <c r="X86" i="11" s="1"/>
  <c r="W97" i="11" a="1"/>
  <c r="W97" i="11" s="1"/>
  <c r="W127" i="11" s="1"/>
  <c r="Y85" i="11" a="1"/>
  <c r="Y85" i="11" s="1"/>
  <c r="W117" i="11" a="1"/>
  <c r="W117" i="11" s="1"/>
  <c r="W147" i="11" s="1"/>
  <c r="W89" i="11" a="1"/>
  <c r="W89" i="11" s="1"/>
  <c r="X98" i="11" a="1"/>
  <c r="X98" i="11" s="1"/>
  <c r="X128" i="11" s="1"/>
  <c r="W88" i="11" a="1"/>
  <c r="W88" i="11" s="1"/>
  <c r="X109" i="11" a="1"/>
  <c r="X109" i="11" s="1"/>
  <c r="X139" i="11" s="1"/>
  <c r="X90" i="11" a="1"/>
  <c r="X90" i="11" s="1"/>
  <c r="W113" i="11" a="1"/>
  <c r="W113" i="11" s="1"/>
  <c r="W143" i="11" s="1"/>
  <c r="W106" i="11" a="1"/>
  <c r="W106" i="11" s="1"/>
  <c r="W136" i="11" s="1"/>
  <c r="W112" i="11" a="1"/>
  <c r="W112" i="11" s="1"/>
  <c r="W142" i="11" s="1"/>
  <c r="W121" i="11" a="1"/>
  <c r="W121" i="11" s="1"/>
  <c r="W151" i="11" s="1"/>
  <c r="W114" i="11" a="1"/>
  <c r="W114" i="11" s="1"/>
  <c r="W144" i="11" s="1"/>
  <c r="W67" i="11" a="1"/>
  <c r="W67" i="11" s="1"/>
  <c r="W111" i="11" a="1"/>
  <c r="W111" i="11" s="1"/>
  <c r="W141" i="11" s="1"/>
  <c r="W87" i="11" a="1"/>
  <c r="W87" i="11" s="1"/>
  <c r="W105" i="11" a="1"/>
  <c r="W105" i="11" s="1"/>
  <c r="W135" i="11" s="1"/>
  <c r="X68" i="11" a="1"/>
  <c r="X68" i="11" s="1"/>
  <c r="W96" i="11" a="1"/>
  <c r="W96" i="11" s="1"/>
  <c r="W126" i="11" s="1"/>
  <c r="X79" i="11" a="1"/>
  <c r="X79" i="11" s="1"/>
  <c r="W75" i="11" a="1"/>
  <c r="W75" i="11" s="1"/>
  <c r="W66" i="11" a="1"/>
  <c r="W66" i="11" s="1"/>
  <c r="W74" i="11" a="1"/>
  <c r="W74" i="11" s="1"/>
  <c r="X92" i="11" a="1"/>
  <c r="X92" i="11" s="1"/>
  <c r="X103" i="11" a="1"/>
  <c r="X103" i="11" s="1"/>
  <c r="X133" i="11" s="1"/>
  <c r="W91" i="11" a="1"/>
  <c r="W91" i="11" s="1"/>
  <c r="W84" i="11" a="1"/>
  <c r="W84" i="11" s="1"/>
  <c r="X95" i="11" a="1"/>
  <c r="X95" i="11" s="1"/>
  <c r="X125" i="11" s="1"/>
  <c r="W81" i="11" a="1"/>
  <c r="W81" i="11" s="1"/>
  <c r="X99" i="11" a="1"/>
  <c r="X99" i="11" s="1"/>
  <c r="X129" i="11" s="1"/>
  <c r="X120" i="11" a="1"/>
  <c r="X120" i="11" s="1"/>
  <c r="X150" i="11" s="1"/>
  <c r="Y123" i="11" a="1"/>
  <c r="Y123" i="11" s="1"/>
  <c r="Y153" i="11" s="1"/>
  <c r="X69" i="11" a="1"/>
  <c r="X69" i="11" s="1"/>
  <c r="X108" i="11" a="1"/>
  <c r="X108" i="11" s="1"/>
  <c r="X138" i="11" s="1"/>
  <c r="Y93" i="11" a="1"/>
  <c r="Y93" i="11" s="1"/>
  <c r="X100" i="11" a="1"/>
  <c r="X100" i="11" s="1"/>
  <c r="X130" i="11" s="1"/>
  <c r="W76" i="11" a="1"/>
  <c r="W76" i="11" s="1"/>
  <c r="X70" i="11" a="1"/>
  <c r="X70" i="11" s="1"/>
  <c r="X73" i="11" a="1"/>
  <c r="X73" i="11" s="1"/>
  <c r="W119" i="11" a="1"/>
  <c r="W119" i="11" s="1"/>
  <c r="W149" i="11" s="1"/>
  <c r="X65" i="11" a="1"/>
  <c r="X65" i="11" s="1"/>
  <c r="X101" i="11" a="1"/>
  <c r="X101" i="11" s="1"/>
  <c r="X131" i="11" s="1"/>
  <c r="W104" i="11" a="1"/>
  <c r="W104" i="11" s="1"/>
  <c r="W134" i="11" s="1"/>
  <c r="X122" i="11" a="1"/>
  <c r="X122" i="11" s="1"/>
  <c r="X152" i="11" s="1"/>
  <c r="X78" i="11" a="1"/>
  <c r="X78" i="11" s="1"/>
  <c r="X124" i="11" a="1"/>
  <c r="X124" i="11" s="1"/>
  <c r="X154" i="11" s="1"/>
  <c r="X94" i="11" a="1"/>
  <c r="X94" i="11" s="1"/>
  <c r="Y115" i="11" a="1"/>
  <c r="Y115" i="11" s="1"/>
  <c r="Y145" i="11" s="1"/>
  <c r="Y110" i="11" a="1"/>
  <c r="Y110" i="11" s="1"/>
  <c r="Y140" i="11" s="1"/>
  <c r="X71" i="11" a="1"/>
  <c r="X71" i="11" s="1"/>
  <c r="Y102" i="11" a="1"/>
  <c r="Y102" i="11" s="1"/>
  <c r="Y132" i="11" s="1"/>
  <c r="X107" i="11" a="1"/>
  <c r="X107" i="11" s="1"/>
  <c r="X137" i="11" s="1"/>
  <c r="W118" i="11" a="1"/>
  <c r="W118" i="11" s="1"/>
  <c r="W148" i="11" s="1"/>
  <c r="Y80" i="11" a="1"/>
  <c r="Y80" i="11" s="1"/>
  <c r="Y72" i="11" a="1"/>
  <c r="Y72" i="11" s="1"/>
  <c r="X77" i="11" a="1"/>
  <c r="X77" i="11" s="1"/>
  <c r="W82" i="11" a="1"/>
  <c r="W82" i="11" s="1"/>
  <c r="W83" i="11" a="1"/>
  <c r="W83" i="11" s="1"/>
  <c r="X116" i="11" a="1"/>
  <c r="X116" i="11" s="1"/>
  <c r="X146" i="11" s="1"/>
  <c r="X118" i="11" a="1"/>
  <c r="X118" i="11" s="1"/>
  <c r="X148" i="11" s="1"/>
  <c r="Y109" i="11" a="1"/>
  <c r="Y109" i="11" s="1"/>
  <c r="Y139" i="11" s="1"/>
  <c r="Z80" i="11" a="1"/>
  <c r="Z80" i="11" s="1"/>
  <c r="Y100" i="11" a="1"/>
  <c r="Y100" i="11" s="1"/>
  <c r="Y130" i="11" s="1"/>
  <c r="Y68" i="11" a="1"/>
  <c r="Y68" i="11" s="1"/>
  <c r="Y120" i="11" a="1"/>
  <c r="Y120" i="11" s="1"/>
  <c r="Y150" i="11" s="1"/>
  <c r="X66" i="11" a="1"/>
  <c r="X66" i="11" s="1"/>
  <c r="X114" i="11" a="1"/>
  <c r="X114" i="11" s="1"/>
  <c r="X144" i="11" s="1"/>
  <c r="X105" i="11" a="1"/>
  <c r="X105" i="11" s="1"/>
  <c r="X135" i="11" s="1"/>
  <c r="Y99" i="11" a="1"/>
  <c r="Y99" i="11" s="1"/>
  <c r="Y129" i="11" s="1"/>
  <c r="Y77" i="11" a="1"/>
  <c r="Y77" i="11" s="1"/>
  <c r="X119" i="11" a="1"/>
  <c r="X119" i="11" s="1"/>
  <c r="X149" i="11" s="1"/>
  <c r="Y79" i="11" a="1"/>
  <c r="Y79" i="11" s="1"/>
  <c r="X106" i="11" a="1"/>
  <c r="X106" i="11" s="1"/>
  <c r="X136" i="11" s="1"/>
  <c r="Y70" i="11" a="1"/>
  <c r="Y70" i="11" s="1"/>
  <c r="X104" i="11" a="1"/>
  <c r="X104" i="11" s="1"/>
  <c r="X134" i="11" s="1"/>
  <c r="Y90" i="11" a="1"/>
  <c r="Y90" i="11" s="1"/>
  <c r="Y116" i="11" a="1"/>
  <c r="Y116" i="11" s="1"/>
  <c r="Y146" i="11" s="1"/>
  <c r="X84" i="11" a="1"/>
  <c r="X84" i="11" s="1"/>
  <c r="Z72" i="11" a="1"/>
  <c r="Z72" i="11" s="1"/>
  <c r="Y71" i="11" a="1"/>
  <c r="Y71" i="11" s="1"/>
  <c r="X111" i="11" a="1"/>
  <c r="X111" i="11" s="1"/>
  <c r="X141" i="11" s="1"/>
  <c r="Y108" i="11" a="1"/>
  <c r="Y108" i="11" s="1"/>
  <c r="Y138" i="11" s="1"/>
  <c r="Z110" i="11" a="1"/>
  <c r="Z110" i="11" s="1"/>
  <c r="Z140" i="11" s="1"/>
  <c r="X89" i="11" a="1"/>
  <c r="X89" i="11" s="1"/>
  <c r="X112" i="11" a="1"/>
  <c r="X112" i="11" s="1"/>
  <c r="X142" i="11" s="1"/>
  <c r="X76" i="11" a="1"/>
  <c r="X76" i="11" s="1"/>
  <c r="Y103" i="11" a="1"/>
  <c r="Y103" i="11" s="1"/>
  <c r="Y133" i="11" s="1"/>
  <c r="X74" i="11" a="1"/>
  <c r="X74" i="11" s="1"/>
  <c r="X97" i="11" a="1"/>
  <c r="X97" i="11" s="1"/>
  <c r="X127" i="11" s="1"/>
  <c r="Y86" i="11" a="1"/>
  <c r="Y86" i="11" s="1"/>
  <c r="Y69" i="11" a="1"/>
  <c r="Y69" i="11" s="1"/>
  <c r="Y124" i="11" a="1"/>
  <c r="Y124" i="11" s="1"/>
  <c r="Y154" i="11" s="1"/>
  <c r="X91" i="11" a="1"/>
  <c r="X91" i="11" s="1"/>
  <c r="Y95" i="11" a="1"/>
  <c r="Y95" i="11" s="1"/>
  <c r="Y125" i="11" s="1"/>
  <c r="X96" i="11" a="1"/>
  <c r="X96" i="11" s="1"/>
  <c r="X126" i="11" s="1"/>
  <c r="X82" i="11" a="1"/>
  <c r="X82" i="11" s="1"/>
  <c r="Z115" i="11" a="1"/>
  <c r="Z115" i="11" s="1"/>
  <c r="Z145" i="11" s="1"/>
  <c r="Y73" i="11" a="1"/>
  <c r="Y73" i="11" s="1"/>
  <c r="Z102" i="11" a="1"/>
  <c r="Z102" i="11" s="1"/>
  <c r="Z132" i="11" s="1"/>
  <c r="X67" i="11" a="1"/>
  <c r="X67" i="11" s="1"/>
  <c r="X75" i="11" a="1"/>
  <c r="X75" i="11" s="1"/>
  <c r="X121" i="11" a="1"/>
  <c r="X121" i="11" s="1"/>
  <c r="X151" i="11" s="1"/>
  <c r="Y122" i="11" a="1"/>
  <c r="Y122" i="11" s="1"/>
  <c r="Y152" i="11" s="1"/>
  <c r="Z93" i="11" a="1"/>
  <c r="Z93" i="11" s="1"/>
  <c r="X113" i="11" a="1"/>
  <c r="X113" i="11" s="1"/>
  <c r="X143" i="11" s="1"/>
  <c r="Z123" i="11" a="1"/>
  <c r="Z123" i="11" s="1"/>
  <c r="Z153" i="11" s="1"/>
  <c r="X117" i="11" a="1"/>
  <c r="X117" i="11" s="1"/>
  <c r="X147" i="11" s="1"/>
  <c r="Z85" i="11" a="1"/>
  <c r="Z85" i="11" s="1"/>
  <c r="Y92" i="11" a="1"/>
  <c r="Y92" i="11" s="1"/>
  <c r="Y101" i="11" a="1"/>
  <c r="Y101" i="11" s="1"/>
  <c r="Y131" i="11" s="1"/>
  <c r="X83" i="11" a="1"/>
  <c r="X83" i="11" s="1"/>
  <c r="X87" i="11" a="1"/>
  <c r="X87" i="11" s="1"/>
  <c r="Y107" i="11" a="1"/>
  <c r="Y107" i="11" s="1"/>
  <c r="Y137" i="11" s="1"/>
  <c r="X81" i="11" a="1"/>
  <c r="X81" i="11" s="1"/>
  <c r="Y98" i="11" a="1"/>
  <c r="Y98" i="11" s="1"/>
  <c r="Y128" i="11" s="1"/>
  <c r="Y94" i="11" a="1"/>
  <c r="Y94" i="11" s="1"/>
  <c r="Y78" i="11" a="1"/>
  <c r="Y78" i="11" s="1"/>
  <c r="X88" i="11" a="1"/>
  <c r="X88" i="11" s="1"/>
  <c r="Y65" i="11" a="1"/>
  <c r="Y65" i="11" s="1"/>
  <c r="Z65" i="11" a="1"/>
  <c r="Z65" i="11" s="1"/>
  <c r="Y114" i="11" a="1"/>
  <c r="Y114" i="11" s="1"/>
  <c r="Y144" i="11" s="1"/>
  <c r="Z70" i="11" a="1"/>
  <c r="Z70" i="11" s="1"/>
  <c r="AA102" i="11" a="1"/>
  <c r="AA102" i="11" s="1"/>
  <c r="AA132" i="11" s="1"/>
  <c r="Z94" i="11" a="1"/>
  <c r="Z94" i="11" s="1"/>
  <c r="Y97" i="11" a="1"/>
  <c r="Y97" i="11" s="1"/>
  <c r="Y127" i="11" s="1"/>
  <c r="Z86" i="11" a="1"/>
  <c r="Z86" i="11" s="1"/>
  <c r="Y119" i="11" a="1"/>
  <c r="Y119" i="11" s="1"/>
  <c r="Y149" i="11" s="1"/>
  <c r="Y88" i="11" a="1"/>
  <c r="Y88" i="11" s="1"/>
  <c r="Y84" i="11" a="1"/>
  <c r="Y84" i="11" s="1"/>
  <c r="Z122" i="11" a="1"/>
  <c r="Z122" i="11" s="1"/>
  <c r="Z152" i="11" s="1"/>
  <c r="AA72" i="11" a="1"/>
  <c r="AA72" i="11" s="1"/>
  <c r="Z108" i="11" a="1"/>
  <c r="Z108" i="11" s="1"/>
  <c r="Z138" i="11" s="1"/>
  <c r="Y67" i="11" a="1"/>
  <c r="Y67" i="11" s="1"/>
  <c r="Z120" i="11" a="1"/>
  <c r="Z120" i="11" s="1"/>
  <c r="Z150" i="11" s="1"/>
  <c r="Y89" i="11" a="1"/>
  <c r="Y89" i="11" s="1"/>
  <c r="Y118" i="11" a="1"/>
  <c r="Y118" i="11" s="1"/>
  <c r="Y148" i="11" s="1"/>
  <c r="Y113" i="11" a="1"/>
  <c r="Y113" i="11" s="1"/>
  <c r="Y143" i="11" s="1"/>
  <c r="Z92" i="11" a="1"/>
  <c r="Z92" i="11" s="1"/>
  <c r="AA110" i="11" a="1"/>
  <c r="AA110" i="11" s="1"/>
  <c r="AA140" i="11" s="1"/>
  <c r="Z78" i="11" a="1"/>
  <c r="Z78" i="11" s="1"/>
  <c r="Y121" i="11" a="1"/>
  <c r="Y121" i="11" s="1"/>
  <c r="Y151" i="11" s="1"/>
  <c r="Z90" i="11" a="1"/>
  <c r="Z90" i="11" s="1"/>
  <c r="Y104" i="11" a="1"/>
  <c r="Y104" i="11" s="1"/>
  <c r="Y134" i="11" s="1"/>
  <c r="Y83" i="11" a="1"/>
  <c r="Y83" i="11" s="1"/>
  <c r="Z109" i="11" a="1"/>
  <c r="Z109" i="11" s="1"/>
  <c r="Z139" i="11" s="1"/>
  <c r="AA80" i="11" a="1"/>
  <c r="AA80" i="11" s="1"/>
  <c r="AA115" i="11" a="1"/>
  <c r="AA115" i="11" s="1"/>
  <c r="AA145" i="11" s="1"/>
  <c r="Y91" i="11" a="1"/>
  <c r="Y91" i="11" s="1"/>
  <c r="Z103" i="11" a="1"/>
  <c r="Z103" i="11" s="1"/>
  <c r="Z133" i="11" s="1"/>
  <c r="Y74" i="11" a="1"/>
  <c r="Y74" i="11" s="1"/>
  <c r="Z98" i="11" a="1"/>
  <c r="Z98" i="11" s="1"/>
  <c r="Z128" i="11" s="1"/>
  <c r="Z79" i="11" a="1"/>
  <c r="Z79" i="11" s="1"/>
  <c r="Y117" i="11" a="1"/>
  <c r="Y117" i="11" s="1"/>
  <c r="Y147" i="11" s="1"/>
  <c r="AA85" i="11" a="1"/>
  <c r="AA85" i="11" s="1"/>
  <c r="Y111" i="11" a="1"/>
  <c r="Y111" i="11" s="1"/>
  <c r="Y141" i="11" s="1"/>
  <c r="Z73" i="11" a="1"/>
  <c r="Z73" i="11" s="1"/>
  <c r="Y105" i="11" a="1"/>
  <c r="Y105" i="11" s="1"/>
  <c r="Y135" i="11" s="1"/>
  <c r="Z68" i="11" a="1"/>
  <c r="Z68" i="11" s="1"/>
  <c r="Z107" i="11" a="1"/>
  <c r="Z107" i="11" s="1"/>
  <c r="Z137" i="11" s="1"/>
  <c r="Y87" i="11" a="1"/>
  <c r="Y87" i="11" s="1"/>
  <c r="Z99" i="11" a="1"/>
  <c r="Z99" i="11" s="1"/>
  <c r="Z129" i="11" s="1"/>
  <c r="Y81" i="11" a="1"/>
  <c r="Y81" i="11" s="1"/>
  <c r="Z101" i="11" a="1"/>
  <c r="Z101" i="11" s="1"/>
  <c r="Z131" i="11" s="1"/>
  <c r="Y75" i="11" a="1"/>
  <c r="Y75" i="11" s="1"/>
  <c r="Y106" i="11" a="1"/>
  <c r="Y106" i="11" s="1"/>
  <c r="Y136" i="11" s="1"/>
  <c r="Z77" i="11" a="1"/>
  <c r="Z77" i="11" s="1"/>
  <c r="AA93" i="11" a="1"/>
  <c r="AA93" i="11" s="1"/>
  <c r="Z69" i="11" a="1"/>
  <c r="Z69" i="11" s="1"/>
  <c r="Y96" i="11" a="1"/>
  <c r="Y96" i="11" s="1"/>
  <c r="Y126" i="11" s="1"/>
  <c r="Z71" i="11" a="1"/>
  <c r="Z71" i="11" s="1"/>
  <c r="Y112" i="11" a="1"/>
  <c r="Y112" i="11" s="1"/>
  <c r="Y142" i="11" s="1"/>
  <c r="Y76" i="11" a="1"/>
  <c r="Y76" i="11" s="1"/>
  <c r="Z95" i="11" a="1"/>
  <c r="Z95" i="11" s="1"/>
  <c r="Z125" i="11" s="1"/>
  <c r="AA123" i="11" a="1"/>
  <c r="AA123" i="11" s="1"/>
  <c r="AA153" i="11" s="1"/>
  <c r="Z100" i="11" a="1"/>
  <c r="Z100" i="11" s="1"/>
  <c r="Z130" i="11" s="1"/>
  <c r="Y66" i="11" a="1"/>
  <c r="Y66" i="11" s="1"/>
  <c r="Z124" i="11" a="1"/>
  <c r="Z124" i="11" s="1"/>
  <c r="Z154" i="11" s="1"/>
  <c r="Y82" i="11" a="1"/>
  <c r="Y82" i="11" s="1"/>
  <c r="Z116" i="11" a="1"/>
  <c r="Z116" i="11" s="1"/>
  <c r="Z146" i="11" s="1"/>
  <c r="AA124" i="11" a="1"/>
  <c r="AA124" i="11" s="1"/>
  <c r="AA154" i="11" s="1"/>
  <c r="Z112" i="11" a="1"/>
  <c r="Z112" i="11" s="1"/>
  <c r="Z142" i="11" s="1"/>
  <c r="AB93" i="11" a="1"/>
  <c r="AB93" i="11" s="1"/>
  <c r="AA69" i="11" a="1"/>
  <c r="AA69" i="11" s="1"/>
  <c r="AA68" i="11" a="1"/>
  <c r="AA68" i="11" s="1"/>
  <c r="AA109" i="11" a="1"/>
  <c r="AA109" i="11" s="1"/>
  <c r="AA139" i="11" s="1"/>
  <c r="AB110" i="11" a="1"/>
  <c r="AB110" i="11" s="1"/>
  <c r="AB140" i="11" s="1"/>
  <c r="AA90" i="11" a="1"/>
  <c r="AA90" i="11" s="1"/>
  <c r="Z118" i="11" a="1"/>
  <c r="Z118" i="11" s="1"/>
  <c r="Z148" i="11" s="1"/>
  <c r="Z74" i="11" a="1"/>
  <c r="Z74" i="11" s="1"/>
  <c r="Z87" i="11" a="1"/>
  <c r="Z87" i="11" s="1"/>
  <c r="AA122" i="11" a="1"/>
  <c r="AA122" i="11" s="1"/>
  <c r="AA152" i="11" s="1"/>
  <c r="AB102" i="11" a="1"/>
  <c r="AB102" i="11" s="1"/>
  <c r="AB132" i="11" s="1"/>
  <c r="AB85" i="11" a="1"/>
  <c r="AB85" i="11" s="1"/>
  <c r="AA65" i="11" a="1"/>
  <c r="AA65" i="11" s="1"/>
  <c r="AA120" i="11" a="1"/>
  <c r="AA120" i="11" s="1"/>
  <c r="AA150" i="11" s="1"/>
  <c r="Z119" i="11" a="1"/>
  <c r="Z119" i="11" s="1"/>
  <c r="Z149" i="11" s="1"/>
  <c r="AA94" i="11" a="1"/>
  <c r="AA94" i="11" s="1"/>
  <c r="Z82" i="11" a="1"/>
  <c r="Z82" i="11" s="1"/>
  <c r="Z111" i="11" a="1"/>
  <c r="Z111" i="11" s="1"/>
  <c r="Z141" i="11" s="1"/>
  <c r="AA79" i="11" a="1"/>
  <c r="AA79" i="11" s="1"/>
  <c r="AB80" i="11" a="1"/>
  <c r="AB80" i="11" s="1"/>
  <c r="Z88" i="11" a="1"/>
  <c r="Z88" i="11" s="1"/>
  <c r="Z83" i="11" a="1"/>
  <c r="Z83" i="11" s="1"/>
  <c r="AA95" i="11" a="1"/>
  <c r="AA95" i="11" s="1"/>
  <c r="AA125" i="11" s="1"/>
  <c r="AB72" i="11" a="1"/>
  <c r="AB72" i="11" s="1"/>
  <c r="AA98" i="11" a="1"/>
  <c r="AA98" i="11" s="1"/>
  <c r="AA128" i="11" s="1"/>
  <c r="Z89" i="11" a="1"/>
  <c r="Z89" i="11" s="1"/>
  <c r="Z114" i="11" a="1"/>
  <c r="Z114" i="11" s="1"/>
  <c r="Z144" i="11" s="1"/>
  <c r="Z106" i="11" a="1"/>
  <c r="Z106" i="11" s="1"/>
  <c r="Z136" i="11" s="1"/>
  <c r="AA107" i="11" a="1"/>
  <c r="AA107" i="11" s="1"/>
  <c r="AA137" i="11" s="1"/>
  <c r="Z81" i="11" a="1"/>
  <c r="Z81" i="11" s="1"/>
  <c r="AA103" i="11" a="1"/>
  <c r="AA103" i="11" s="1"/>
  <c r="AA133" i="11" s="1"/>
  <c r="AA108" i="11" a="1"/>
  <c r="AA108" i="11" s="1"/>
  <c r="AA138" i="11" s="1"/>
  <c r="AA86" i="11" a="1"/>
  <c r="AA86" i="11" s="1"/>
  <c r="Z121" i="11" a="1"/>
  <c r="Z121" i="11" s="1"/>
  <c r="Z151" i="11" s="1"/>
  <c r="Z84" i="11" a="1"/>
  <c r="Z84" i="11" s="1"/>
  <c r="AA70" i="11" a="1"/>
  <c r="AA70" i="11" s="1"/>
  <c r="Z76" i="11" a="1"/>
  <c r="Z76" i="11" s="1"/>
  <c r="AA77" i="11" a="1"/>
  <c r="AA77" i="11" s="1"/>
  <c r="AA73" i="11" a="1"/>
  <c r="AA73" i="11" s="1"/>
  <c r="Z104" i="11" a="1"/>
  <c r="Z104" i="11" s="1"/>
  <c r="Z134" i="11" s="1"/>
  <c r="AA78" i="11" a="1"/>
  <c r="AA78" i="11" s="1"/>
  <c r="Z105" i="11" a="1"/>
  <c r="Z105" i="11" s="1"/>
  <c r="Z135" i="11" s="1"/>
  <c r="Z75" i="11" a="1"/>
  <c r="Z75" i="11" s="1"/>
  <c r="Z97" i="11" a="1"/>
  <c r="Z97" i="11" s="1"/>
  <c r="Z127" i="11" s="1"/>
  <c r="AA100" i="11" a="1"/>
  <c r="AA100" i="11" s="1"/>
  <c r="AA130" i="11" s="1"/>
  <c r="Z96" i="11" a="1"/>
  <c r="Z96" i="11" s="1"/>
  <c r="Z126" i="11" s="1"/>
  <c r="Z117" i="11" a="1"/>
  <c r="Z117" i="11" s="1"/>
  <c r="Z147" i="11" s="1"/>
  <c r="Z113" i="11" a="1"/>
  <c r="Z113" i="11" s="1"/>
  <c r="Z143" i="11" s="1"/>
  <c r="AB115" i="11" a="1"/>
  <c r="AB115" i="11" s="1"/>
  <c r="AB145" i="11" s="1"/>
  <c r="AA71" i="11" a="1"/>
  <c r="AA71" i="11" s="1"/>
  <c r="AA99" i="11" a="1"/>
  <c r="AA99" i="11" s="1"/>
  <c r="AA129" i="11" s="1"/>
  <c r="Z67" i="11" a="1"/>
  <c r="Z67" i="11" s="1"/>
  <c r="AA116" i="11" a="1"/>
  <c r="AA116" i="11" s="1"/>
  <c r="AA146" i="11" s="1"/>
  <c r="Z66" i="11" a="1"/>
  <c r="Z66" i="11" s="1"/>
  <c r="AA101" i="11" a="1"/>
  <c r="AA101" i="11" s="1"/>
  <c r="AA131" i="11" s="1"/>
  <c r="AA92" i="11" a="1"/>
  <c r="AA92" i="11" s="1"/>
  <c r="AB123" i="11" a="1"/>
  <c r="AB123" i="11" s="1"/>
  <c r="AB153" i="11" s="1"/>
  <c r="Z91" i="11" a="1"/>
  <c r="Z91" i="11" s="1"/>
  <c r="AB65" i="11" a="1"/>
  <c r="AB65" i="11" s="1"/>
  <c r="AB107" i="11" a="1"/>
  <c r="AB107" i="11" s="1"/>
  <c r="AB137" i="11" s="1"/>
  <c r="AA87" i="11" a="1"/>
  <c r="AA87" i="11" s="1"/>
  <c r="AB109" i="11" a="1"/>
  <c r="AB109" i="11" s="1"/>
  <c r="AB139" i="11" s="1"/>
  <c r="AB70" i="11" a="1"/>
  <c r="AB70" i="11" s="1"/>
  <c r="AB98" i="11" a="1"/>
  <c r="AB98" i="11" s="1"/>
  <c r="AB128" i="11" s="1"/>
  <c r="AA84" i="11" a="1"/>
  <c r="AA84" i="11" s="1"/>
  <c r="AA119" i="11" a="1"/>
  <c r="AA119" i="11" s="1"/>
  <c r="AA149" i="11" s="1"/>
  <c r="AC123" i="11" a="1"/>
  <c r="AC123" i="11" s="1"/>
  <c r="AC153" i="11" s="1"/>
  <c r="AB77" i="11" a="1"/>
  <c r="AB77" i="11" s="1"/>
  <c r="AA105" i="11" a="1"/>
  <c r="AA105" i="11" s="1"/>
  <c r="AA135" i="11" s="1"/>
  <c r="AB79" i="11" a="1"/>
  <c r="AB79" i="11" s="1"/>
  <c r="AA104" i="11" a="1"/>
  <c r="AA104" i="11" s="1"/>
  <c r="AA134" i="11" s="1"/>
  <c r="AB68" i="11" a="1"/>
  <c r="AB68" i="11" s="1"/>
  <c r="AB99" i="11" a="1"/>
  <c r="AB99" i="11" s="1"/>
  <c r="AB129" i="11" s="1"/>
  <c r="AA89" i="11" a="1"/>
  <c r="AA89" i="11" s="1"/>
  <c r="AC93" i="11" a="1"/>
  <c r="AC93" i="11" s="1"/>
  <c r="AB122" i="11" a="1"/>
  <c r="AB122" i="11" s="1"/>
  <c r="AB152" i="11" s="1"/>
  <c r="AA75" i="11" a="1"/>
  <c r="AA75" i="11" s="1"/>
  <c r="AA96" i="11" a="1"/>
  <c r="AA96" i="11" s="1"/>
  <c r="AA126" i="11" s="1"/>
  <c r="AA74" i="11" a="1"/>
  <c r="AA74" i="11" s="1"/>
  <c r="AA118" i="11" a="1"/>
  <c r="AA118" i="11" s="1"/>
  <c r="AA148" i="11" s="1"/>
  <c r="AB69" i="11" a="1"/>
  <c r="AB69" i="11" s="1"/>
  <c r="AA111" i="11" a="1"/>
  <c r="AA111" i="11" s="1"/>
  <c r="AA141" i="11" s="1"/>
  <c r="AB92" i="11" a="1"/>
  <c r="AB92" i="11" s="1"/>
  <c r="AB101" i="11" a="1"/>
  <c r="AB101" i="11" s="1"/>
  <c r="AB131" i="11" s="1"/>
  <c r="AA66" i="11" a="1"/>
  <c r="AA66" i="11" s="1"/>
  <c r="AB124" i="11" a="1"/>
  <c r="AB124" i="11" s="1"/>
  <c r="AB154" i="11" s="1"/>
  <c r="AA88" i="11" a="1"/>
  <c r="AA88" i="11" s="1"/>
  <c r="AB108" i="11" a="1"/>
  <c r="AB108" i="11" s="1"/>
  <c r="AB138" i="11" s="1"/>
  <c r="AA81" i="11" a="1"/>
  <c r="AA81" i="11" s="1"/>
  <c r="AA121" i="11" a="1"/>
  <c r="AA121" i="11" s="1"/>
  <c r="AA151" i="11" s="1"/>
  <c r="AB71" i="11" a="1"/>
  <c r="AB71" i="11" s="1"/>
  <c r="AA113" i="11" a="1"/>
  <c r="AA113" i="11" s="1"/>
  <c r="AA143" i="11" s="1"/>
  <c r="AB94" i="11" a="1"/>
  <c r="AB94" i="11" s="1"/>
  <c r="AA82" i="11" a="1"/>
  <c r="AA82" i="11" s="1"/>
  <c r="AB78" i="11" a="1"/>
  <c r="AB78" i="11" s="1"/>
  <c r="AA106" i="11" a="1"/>
  <c r="AA106" i="11" s="1"/>
  <c r="AA136" i="11" s="1"/>
  <c r="AA91" i="11" a="1"/>
  <c r="AA91" i="11" s="1"/>
  <c r="AC115" i="11" a="1"/>
  <c r="AC115" i="11" s="1"/>
  <c r="AC145" i="11" s="1"/>
  <c r="AA83" i="11" a="1"/>
  <c r="AA83" i="11" s="1"/>
  <c r="AA97" i="11" a="1"/>
  <c r="AA97" i="11" s="1"/>
  <c r="AA127" i="11" s="1"/>
  <c r="AA112" i="11" a="1"/>
  <c r="AA112" i="11" s="1"/>
  <c r="AA142" i="11" s="1"/>
  <c r="AB120" i="11" a="1"/>
  <c r="AB120" i="11" s="1"/>
  <c r="AB150" i="11" s="1"/>
  <c r="AA76" i="11" a="1"/>
  <c r="AA76" i="11" s="1"/>
  <c r="AC102" i="11" a="1"/>
  <c r="AC102" i="11" s="1"/>
  <c r="AC132" i="11" s="1"/>
  <c r="AC85" i="11" a="1"/>
  <c r="AC85" i="11" s="1"/>
  <c r="AB116" i="11" a="1"/>
  <c r="AB116" i="11" s="1"/>
  <c r="AB146" i="11" s="1"/>
  <c r="AA67" i="11" a="1"/>
  <c r="AA67" i="11" s="1"/>
  <c r="AC110" i="11" a="1"/>
  <c r="AC110" i="11" s="1"/>
  <c r="AC140" i="11" s="1"/>
  <c r="AB90" i="11" a="1"/>
  <c r="AB90" i="11" s="1"/>
  <c r="AB103" i="11" a="1"/>
  <c r="AB103" i="11" s="1"/>
  <c r="AB133" i="11" s="1"/>
  <c r="AC72" i="11" a="1"/>
  <c r="AC72" i="11" s="1"/>
  <c r="AB95" i="11" a="1"/>
  <c r="AB95" i="11" s="1"/>
  <c r="AB125" i="11" s="1"/>
  <c r="AB86" i="11" a="1"/>
  <c r="AB86" i="11" s="1"/>
  <c r="AA117" i="11" a="1"/>
  <c r="AA117" i="11" s="1"/>
  <c r="AA147" i="11" s="1"/>
  <c r="AC80" i="11" a="1"/>
  <c r="AC80" i="11" s="1"/>
  <c r="AB100" i="11" a="1"/>
  <c r="AB100" i="11" s="1"/>
  <c r="AB130" i="11" s="1"/>
  <c r="AB73" i="11" a="1"/>
  <c r="AB73" i="11" s="1"/>
  <c r="AA114" i="11" a="1"/>
  <c r="AA114" i="11" s="1"/>
  <c r="AA144" i="11" s="1"/>
  <c r="AC79" i="11" a="1"/>
  <c r="AC79" i="11" s="1"/>
  <c r="AC100" i="11" a="1"/>
  <c r="AC100" i="11" s="1"/>
  <c r="AC130" i="11" s="1"/>
  <c r="AC86" i="11" a="1"/>
  <c r="AC86" i="11" s="1"/>
  <c r="AB97" i="11" a="1"/>
  <c r="AB97" i="11" s="1"/>
  <c r="AB127" i="11" s="1"/>
  <c r="AB91" i="11" a="1"/>
  <c r="AB91" i="11" s="1"/>
  <c r="AC101" i="11" a="1"/>
  <c r="AC101" i="11" s="1"/>
  <c r="AC131" i="11" s="1"/>
  <c r="AC69" i="11" a="1"/>
  <c r="AC69" i="11" s="1"/>
  <c r="AD123" i="11" a="1"/>
  <c r="AD123" i="11" s="1"/>
  <c r="AD153" i="11" s="1"/>
  <c r="AB96" i="11" a="1"/>
  <c r="AB96" i="11" s="1"/>
  <c r="AB126" i="11" s="1"/>
  <c r="AD93" i="11" a="1"/>
  <c r="AD93" i="11" s="1"/>
  <c r="AB74" i="11" a="1"/>
  <c r="AB74" i="11" s="1"/>
  <c r="AB113" i="11" a="1"/>
  <c r="AB113" i="11" s="1"/>
  <c r="AB143" i="11" s="1"/>
  <c r="AC124" i="11" a="1"/>
  <c r="AC124" i="11" s="1"/>
  <c r="AC154" i="11" s="1"/>
  <c r="AB105" i="11" a="1"/>
  <c r="AB105" i="11" s="1"/>
  <c r="AB135" i="11" s="1"/>
  <c r="AC95" i="11" a="1"/>
  <c r="AC95" i="11" s="1"/>
  <c r="AC125" i="11" s="1"/>
  <c r="AB118" i="11" a="1"/>
  <c r="AB118" i="11" s="1"/>
  <c r="AB148" i="11" s="1"/>
  <c r="AC109" i="11" a="1"/>
  <c r="AC109" i="11" s="1"/>
  <c r="AC139" i="11" s="1"/>
  <c r="AB76" i="11" a="1"/>
  <c r="AB76" i="11" s="1"/>
  <c r="AC99" i="11" a="1"/>
  <c r="AC99" i="11" s="1"/>
  <c r="AC129" i="11" s="1"/>
  <c r="AB119" i="11" a="1"/>
  <c r="AB119" i="11" s="1"/>
  <c r="AB149" i="11" s="1"/>
  <c r="AC70" i="11" a="1"/>
  <c r="AC70" i="11" s="1"/>
  <c r="AC103" i="11" a="1"/>
  <c r="AC103" i="11" s="1"/>
  <c r="AC133" i="11" s="1"/>
  <c r="AB67" i="11" a="1"/>
  <c r="AB67" i="11" s="1"/>
  <c r="AB112" i="11" a="1"/>
  <c r="AB112" i="11" s="1"/>
  <c r="AB142" i="11" s="1"/>
  <c r="AC71" i="11" a="1"/>
  <c r="AC71" i="11" s="1"/>
  <c r="AB114" i="11" a="1"/>
  <c r="AB114" i="11" s="1"/>
  <c r="AB144" i="11" s="1"/>
  <c r="AC92" i="11" a="1"/>
  <c r="AC92" i="11" s="1"/>
  <c r="AC94" i="11" a="1"/>
  <c r="AC94" i="11" s="1"/>
  <c r="AB89" i="11" a="1"/>
  <c r="AB89" i="11" s="1"/>
  <c r="AC107" i="11" a="1"/>
  <c r="AC107" i="11" s="1"/>
  <c r="AC137" i="11" s="1"/>
  <c r="AC73" i="11" a="1"/>
  <c r="AC73" i="11" s="1"/>
  <c r="AD102" i="11" a="1"/>
  <c r="AD102" i="11" s="1"/>
  <c r="AD132" i="11" s="1"/>
  <c r="AB82" i="11" a="1"/>
  <c r="AB82" i="11" s="1"/>
  <c r="AC108" i="11" a="1"/>
  <c r="AC108" i="11" s="1"/>
  <c r="AC138" i="11" s="1"/>
  <c r="AB66" i="11" a="1"/>
  <c r="AB66" i="11" s="1"/>
  <c r="AB104" i="11" a="1"/>
  <c r="AB104" i="11" s="1"/>
  <c r="AB134" i="11" s="1"/>
  <c r="AC78" i="11" a="1"/>
  <c r="AC78" i="11" s="1"/>
  <c r="AD85" i="11" a="1"/>
  <c r="AD85" i="11" s="1"/>
  <c r="AC122" i="11" a="1"/>
  <c r="AC122" i="11" s="1"/>
  <c r="AC152" i="11" s="1"/>
  <c r="AB83" i="11" a="1"/>
  <c r="AB83" i="11" s="1"/>
  <c r="AB84" i="11" a="1"/>
  <c r="AB84" i="11" s="1"/>
  <c r="AB106" i="11" a="1"/>
  <c r="AB106" i="11" s="1"/>
  <c r="AB136" i="11" s="1"/>
  <c r="AB75" i="11" a="1"/>
  <c r="AB75" i="11" s="1"/>
  <c r="AC65" i="11" a="1"/>
  <c r="AC65" i="11" s="1"/>
  <c r="AC77" i="11" a="1"/>
  <c r="AC77" i="11" s="1"/>
  <c r="AB117" i="11" a="1"/>
  <c r="AB117" i="11" s="1"/>
  <c r="AB147" i="11" s="1"/>
  <c r="AD72" i="11" a="1"/>
  <c r="AD72" i="11" s="1"/>
  <c r="AD115" i="11" a="1"/>
  <c r="AD115" i="11" s="1"/>
  <c r="AD145" i="11" s="1"/>
  <c r="AB111" i="11" a="1"/>
  <c r="AB111" i="11" s="1"/>
  <c r="AB141" i="11" s="1"/>
  <c r="AD80" i="11" a="1"/>
  <c r="AD80" i="11" s="1"/>
  <c r="AC90" i="11" a="1"/>
  <c r="AC90" i="11" s="1"/>
  <c r="AC116" i="11" a="1"/>
  <c r="AC116" i="11" s="1"/>
  <c r="AC146" i="11" s="1"/>
  <c r="AB121" i="11" a="1"/>
  <c r="AB121" i="11" s="1"/>
  <c r="AB151" i="11" s="1"/>
  <c r="AC98" i="11" a="1"/>
  <c r="AC98" i="11" s="1"/>
  <c r="AC128" i="11" s="1"/>
  <c r="AB87" i="11" a="1"/>
  <c r="AB87" i="11" s="1"/>
  <c r="AD110" i="11" a="1"/>
  <c r="AD110" i="11" s="1"/>
  <c r="AD140" i="11" s="1"/>
  <c r="AB81" i="11" a="1"/>
  <c r="AB81" i="11" s="1"/>
  <c r="AC120" i="11" a="1"/>
  <c r="AC120" i="11" s="1"/>
  <c r="AC150" i="11" s="1"/>
  <c r="AC68" i="11" a="1"/>
  <c r="AC68" i="11" s="1"/>
  <c r="AB88" i="11" a="1"/>
  <c r="AB88" i="11" s="1"/>
  <c r="AC84" i="11" a="1"/>
  <c r="AC84" i="11" s="1"/>
  <c r="AC118" i="11" a="1"/>
  <c r="AC118" i="11" s="1"/>
  <c r="AC148" i="11" s="1"/>
  <c r="AC81" i="11" a="1"/>
  <c r="AC81" i="11" s="1"/>
  <c r="AE123" i="11" a="1"/>
  <c r="AE123" i="11" s="1"/>
  <c r="AE153" i="11" s="1"/>
  <c r="AE72" i="11" a="1"/>
  <c r="AE72" i="11" s="1"/>
  <c r="AC106" i="11" a="1"/>
  <c r="AC106" i="11" s="1"/>
  <c r="AC136" i="11" s="1"/>
  <c r="AC66" i="11" a="1"/>
  <c r="AC66" i="11" s="1"/>
  <c r="AC119" i="11" a="1"/>
  <c r="AC119" i="11" s="1"/>
  <c r="AC149" i="11" s="1"/>
  <c r="AD100" i="11" a="1"/>
  <c r="AD100" i="11" s="1"/>
  <c r="AD130" i="11" s="1"/>
  <c r="AC88" i="11" a="1"/>
  <c r="AC88" i="11" s="1"/>
  <c r="AD101" i="11" a="1"/>
  <c r="AD101" i="11" s="1"/>
  <c r="AD131" i="11" s="1"/>
  <c r="AE93" i="11" a="1"/>
  <c r="AE93" i="11" s="1"/>
  <c r="AD124" i="11" a="1"/>
  <c r="AD124" i="11" s="1"/>
  <c r="AD154" i="11" s="1"/>
  <c r="AC76" i="11" a="1"/>
  <c r="AC76" i="11" s="1"/>
  <c r="AC113" i="11" a="1"/>
  <c r="AC113" i="11" s="1"/>
  <c r="AC143" i="11" s="1"/>
  <c r="AC89" i="11" a="1"/>
  <c r="AC89" i="11" s="1"/>
  <c r="AD70" i="11" a="1"/>
  <c r="AD70" i="11" s="1"/>
  <c r="AD99" i="11" a="1"/>
  <c r="AD99" i="11" s="1"/>
  <c r="AD129" i="11" s="1"/>
  <c r="AD71" i="11" a="1"/>
  <c r="AD71" i="11" s="1"/>
  <c r="AE115" i="11" a="1"/>
  <c r="AE115" i="11" s="1"/>
  <c r="AE145" i="11" s="1"/>
  <c r="AC67" i="11" a="1"/>
  <c r="AC67" i="11" s="1"/>
  <c r="AD94" i="11" a="1"/>
  <c r="AD94" i="11" s="1"/>
  <c r="AD107" i="11" a="1"/>
  <c r="AD107" i="11" s="1"/>
  <c r="AD137" i="11" s="1"/>
  <c r="AC83" i="11" a="1"/>
  <c r="AC83" i="11" s="1"/>
  <c r="AC112" i="11" a="1"/>
  <c r="AC112" i="11" s="1"/>
  <c r="AC142" i="11" s="1"/>
  <c r="AC114" i="11" a="1"/>
  <c r="AC114" i="11" s="1"/>
  <c r="AC144" i="11" s="1"/>
  <c r="AC75" i="11" a="1"/>
  <c r="AC75" i="11" s="1"/>
  <c r="AD69" i="11" a="1"/>
  <c r="AD69" i="11" s="1"/>
  <c r="AE110" i="11" a="1"/>
  <c r="AE110" i="11" s="1"/>
  <c r="AE140" i="11" s="1"/>
  <c r="AE85" i="11" a="1"/>
  <c r="AE85" i="11" s="1"/>
  <c r="AC97" i="11" a="1"/>
  <c r="AC97" i="11" s="1"/>
  <c r="AC127" i="11" s="1"/>
  <c r="AD77" i="11" a="1"/>
  <c r="AD77" i="11" s="1"/>
  <c r="AD95" i="11" a="1"/>
  <c r="AD95" i="11" s="1"/>
  <c r="AD125" i="11" s="1"/>
  <c r="AC82" i="11" a="1"/>
  <c r="AC82" i="11" s="1"/>
  <c r="AD120" i="11" a="1"/>
  <c r="AD120" i="11" s="1"/>
  <c r="AD150" i="11" s="1"/>
  <c r="AE80" i="11" a="1"/>
  <c r="AE80" i="11" s="1"/>
  <c r="AD122" i="11" a="1"/>
  <c r="AD122" i="11" s="1"/>
  <c r="AD152" i="11" s="1"/>
  <c r="AC104" i="11" a="1"/>
  <c r="AC104" i="11" s="1"/>
  <c r="AC134" i="11" s="1"/>
  <c r="AD65" i="11" a="1"/>
  <c r="AD65" i="11" s="1"/>
  <c r="AD108" i="11" a="1"/>
  <c r="AD108" i="11" s="1"/>
  <c r="AD138" i="11" s="1"/>
  <c r="AD68" i="11" a="1"/>
  <c r="AD68" i="11" s="1"/>
  <c r="AD90" i="11" a="1"/>
  <c r="AD90" i="11" s="1"/>
  <c r="AD79" i="11" a="1"/>
  <c r="AD79" i="11" s="1"/>
  <c r="AD92" i="11" a="1"/>
  <c r="AD92" i="11" s="1"/>
  <c r="AC117" i="11" a="1"/>
  <c r="AC117" i="11" s="1"/>
  <c r="AC147" i="11" s="1"/>
  <c r="AC74" i="11" a="1"/>
  <c r="AC74" i="11" s="1"/>
  <c r="AC121" i="11" a="1"/>
  <c r="AC121" i="11" s="1"/>
  <c r="AC151" i="11" s="1"/>
  <c r="AD78" i="11" a="1"/>
  <c r="AD78" i="11" s="1"/>
  <c r="AD103" i="11" a="1"/>
  <c r="AD103" i="11" s="1"/>
  <c r="AD133" i="11" s="1"/>
  <c r="AD86" i="11" a="1"/>
  <c r="AD86" i="11" s="1"/>
  <c r="AD109" i="11" a="1"/>
  <c r="AD109" i="11" s="1"/>
  <c r="AD139" i="11" s="1"/>
  <c r="AD98" i="11" a="1"/>
  <c r="AD98" i="11" s="1"/>
  <c r="AD128" i="11" s="1"/>
  <c r="AC87" i="11" a="1"/>
  <c r="AC87" i="11" s="1"/>
  <c r="AD116" i="11" a="1"/>
  <c r="AD116" i="11" s="1"/>
  <c r="AD146" i="11" s="1"/>
  <c r="AC91" i="11" a="1"/>
  <c r="AC91" i="11" s="1"/>
  <c r="AC105" i="11" a="1"/>
  <c r="AC105" i="11" s="1"/>
  <c r="AC135" i="11" s="1"/>
  <c r="AD73" i="11" a="1"/>
  <c r="AD73" i="11" s="1"/>
  <c r="AE102" i="11" a="1"/>
  <c r="AE102" i="11" s="1"/>
  <c r="AE132" i="11" s="1"/>
  <c r="AC96" i="11" a="1"/>
  <c r="AC96" i="11" s="1"/>
  <c r="AC126" i="11" s="1"/>
  <c r="AC111" i="11" a="1"/>
  <c r="AC111" i="11" s="1"/>
  <c r="AC141" i="11" s="1"/>
  <c r="AF123" i="11" a="1"/>
  <c r="AF123" i="11" s="1"/>
  <c r="AF153" i="11" s="1"/>
  <c r="AD89" i="11" a="1"/>
  <c r="AD89" i="11" s="1"/>
  <c r="AD105" i="11" a="1"/>
  <c r="AD105" i="11" s="1"/>
  <c r="AD135" i="11" s="1"/>
  <c r="AD67" i="11" a="1"/>
  <c r="AD67" i="11" s="1"/>
  <c r="AE108" i="11" a="1"/>
  <c r="AE108" i="11" s="1"/>
  <c r="AE138" i="11" s="1"/>
  <c r="AF80" i="11" a="1"/>
  <c r="AF80" i="11" s="1"/>
  <c r="AF115" i="11" a="1"/>
  <c r="AF115" i="11" s="1"/>
  <c r="AF145" i="11" s="1"/>
  <c r="AE70" i="11" a="1"/>
  <c r="AE70" i="11" s="1"/>
  <c r="AF93" i="11" a="1"/>
  <c r="AF93" i="11" s="1"/>
  <c r="AD111" i="11" a="1"/>
  <c r="AD111" i="11" s="1"/>
  <c r="AD141" i="11" s="1"/>
  <c r="AD75" i="11" a="1"/>
  <c r="AD75" i="11" s="1"/>
  <c r="AE73" i="11" a="1"/>
  <c r="AE73" i="11" s="1"/>
  <c r="AE78" i="11" a="1"/>
  <c r="AE78" i="11" s="1"/>
  <c r="AE120" i="11" a="1"/>
  <c r="AE120" i="11" s="1"/>
  <c r="AE150" i="11" s="1"/>
  <c r="AF85" i="11" a="1"/>
  <c r="AF85" i="11" s="1"/>
  <c r="AE124" i="11" a="1"/>
  <c r="AE124" i="11" s="1"/>
  <c r="AE154" i="11" s="1"/>
  <c r="AD81" i="11" a="1"/>
  <c r="AD81" i="11" s="1"/>
  <c r="AD106" i="11" a="1"/>
  <c r="AD106" i="11" s="1"/>
  <c r="AD136" i="11" s="1"/>
  <c r="AE103" i="11" a="1"/>
  <c r="AE103" i="11" s="1"/>
  <c r="AE133" i="11" s="1"/>
  <c r="AD117" i="11" a="1"/>
  <c r="AD117" i="11" s="1"/>
  <c r="AD147" i="11" s="1"/>
  <c r="AE90" i="11" a="1"/>
  <c r="AE90" i="11" s="1"/>
  <c r="AD112" i="11" a="1"/>
  <c r="AD112" i="11" s="1"/>
  <c r="AD142" i="11" s="1"/>
  <c r="AE94" i="11" a="1"/>
  <c r="AE94" i="11" s="1"/>
  <c r="AD96" i="11" a="1"/>
  <c r="AD96" i="11" s="1"/>
  <c r="AD126" i="11" s="1"/>
  <c r="AD76" i="11" a="1"/>
  <c r="AD76" i="11" s="1"/>
  <c r="AE116" i="11" a="1"/>
  <c r="AE116" i="11" s="1"/>
  <c r="AE146" i="11" s="1"/>
  <c r="AD87" i="11" a="1"/>
  <c r="AD87" i="11" s="1"/>
  <c r="AD104" i="11" a="1"/>
  <c r="AD104" i="11" s="1"/>
  <c r="AD134" i="11" s="1"/>
  <c r="AD82" i="11" a="1"/>
  <c r="AD82" i="11" s="1"/>
  <c r="AE99" i="11" a="1"/>
  <c r="AE99" i="11" s="1"/>
  <c r="AE129" i="11" s="1"/>
  <c r="AD66" i="11" a="1"/>
  <c r="AD66" i="11" s="1"/>
  <c r="AD114" i="11" a="1"/>
  <c r="AD114" i="11" s="1"/>
  <c r="AD144" i="11" s="1"/>
  <c r="AE86" i="11" a="1"/>
  <c r="AE86" i="11" s="1"/>
  <c r="AD121" i="11" a="1"/>
  <c r="AD121" i="11" s="1"/>
  <c r="AD151" i="11" s="1"/>
  <c r="AD74" i="11" a="1"/>
  <c r="AD74" i="11" s="1"/>
  <c r="AE95" i="11" a="1"/>
  <c r="AE95" i="11" s="1"/>
  <c r="AE125" i="11" s="1"/>
  <c r="AE69" i="11" a="1"/>
  <c r="AE69" i="11" s="1"/>
  <c r="AE101" i="11" a="1"/>
  <c r="AE101" i="11" s="1"/>
  <c r="AE131" i="11" s="1"/>
  <c r="AD84" i="11" a="1"/>
  <c r="AD84" i="11" s="1"/>
  <c r="AD118" i="11" a="1"/>
  <c r="AD118" i="11" s="1"/>
  <c r="AD148" i="11" s="1"/>
  <c r="AD91" i="11" a="1"/>
  <c r="AD91" i="11" s="1"/>
  <c r="AE109" i="11" a="1"/>
  <c r="AE109" i="11" s="1"/>
  <c r="AE139" i="11" s="1"/>
  <c r="AE65" i="11" a="1"/>
  <c r="AE65" i="11" s="1"/>
  <c r="AE107" i="11" a="1"/>
  <c r="AE107" i="11" s="1"/>
  <c r="AE137" i="11" s="1"/>
  <c r="AE71" i="11" a="1"/>
  <c r="AE71" i="11" s="1"/>
  <c r="AF102" i="11" a="1"/>
  <c r="AF102" i="11" s="1"/>
  <c r="AF132" i="11" s="1"/>
  <c r="AD88" i="11" a="1"/>
  <c r="AD88" i="11" s="1"/>
  <c r="AE98" i="11" a="1"/>
  <c r="AE98" i="11" s="1"/>
  <c r="AE128" i="11" s="1"/>
  <c r="AE79" i="11" a="1"/>
  <c r="AE79" i="11" s="1"/>
  <c r="AE122" i="11" a="1"/>
  <c r="AE122" i="11" s="1"/>
  <c r="AE152" i="11" s="1"/>
  <c r="AE77" i="11" a="1"/>
  <c r="AE77" i="11" s="1"/>
  <c r="AD113" i="11" a="1"/>
  <c r="AD113" i="11" s="1"/>
  <c r="AD143" i="11" s="1"/>
  <c r="AF72" i="11" a="1"/>
  <c r="AF72" i="11" s="1"/>
  <c r="AD119" i="11" a="1"/>
  <c r="AD119" i="11" s="1"/>
  <c r="AD149" i="11" s="1"/>
  <c r="AE68" i="11" a="1"/>
  <c r="AE68" i="11" s="1"/>
  <c r="AD97" i="11" a="1"/>
  <c r="AD97" i="11" s="1"/>
  <c r="AD127" i="11" s="1"/>
  <c r="AE92" i="11" a="1"/>
  <c r="AE92" i="11" s="1"/>
  <c r="AF110" i="11" a="1"/>
  <c r="AF110" i="11" s="1"/>
  <c r="AF140" i="11" s="1"/>
  <c r="AD83" i="11" a="1"/>
  <c r="AD83" i="11" s="1"/>
  <c r="AE100" i="11" a="1"/>
  <c r="AE100" i="11" s="1"/>
  <c r="AE130" i="11" s="1"/>
  <c r="AE75" i="11" a="1"/>
  <c r="AE75" i="11" s="1"/>
  <c r="AE97" i="11" a="1"/>
  <c r="AE97" i="11" s="1"/>
  <c r="AE127" i="11" s="1"/>
  <c r="AG72" i="11" a="1"/>
  <c r="AG72" i="11" s="1"/>
  <c r="AE118" i="11" a="1"/>
  <c r="AE118" i="11" s="1"/>
  <c r="AE148" i="11" s="1"/>
  <c r="AF69" i="11" a="1"/>
  <c r="AF69" i="11" s="1"/>
  <c r="AE96" i="11" a="1"/>
  <c r="AE96" i="11" s="1"/>
  <c r="AE126" i="11" s="1"/>
  <c r="AF90" i="11" a="1"/>
  <c r="AF90" i="11" s="1"/>
  <c r="AG123" i="11" a="1"/>
  <c r="AG123" i="11" s="1"/>
  <c r="AG153" i="11" s="1"/>
  <c r="AG115" i="11" a="1"/>
  <c r="AG115" i="11" s="1"/>
  <c r="AG145" i="11" s="1"/>
  <c r="AE67" i="11" a="1"/>
  <c r="AE67" i="11" s="1"/>
  <c r="AF122" i="11" a="1"/>
  <c r="AF122" i="11" s="1"/>
  <c r="AF152" i="11" s="1"/>
  <c r="AE88" i="11" a="1"/>
  <c r="AE88" i="11" s="1"/>
  <c r="AE121" i="11" a="1"/>
  <c r="AE121" i="11" s="1"/>
  <c r="AE151" i="11" s="1"/>
  <c r="AE66" i="11" a="1"/>
  <c r="AE66" i="11" s="1"/>
  <c r="AE106" i="11" a="1"/>
  <c r="AE106" i="11" s="1"/>
  <c r="AE136" i="11" s="1"/>
  <c r="AG93" i="11" a="1"/>
  <c r="AG93" i="11" s="1"/>
  <c r="AG85" i="11" a="1"/>
  <c r="AG85" i="11" s="1"/>
  <c r="AF100" i="11" a="1"/>
  <c r="AF100" i="11" s="1"/>
  <c r="AF130" i="11" s="1"/>
  <c r="AF92" i="11" a="1"/>
  <c r="AF92" i="11" s="1"/>
  <c r="AF107" i="11" a="1"/>
  <c r="AF107" i="11" s="1"/>
  <c r="AF137" i="11" s="1"/>
  <c r="AE91" i="11" a="1"/>
  <c r="AE91" i="11" s="1"/>
  <c r="AE104" i="11" a="1"/>
  <c r="AE104" i="11" s="1"/>
  <c r="AE134" i="11" s="1"/>
  <c r="AE76" i="11" a="1"/>
  <c r="AE76" i="11" s="1"/>
  <c r="AF103" i="11" a="1"/>
  <c r="AF103" i="11" s="1"/>
  <c r="AF133" i="11" s="1"/>
  <c r="AF70" i="11" a="1"/>
  <c r="AF70" i="11" s="1"/>
  <c r="AE119" i="11" a="1"/>
  <c r="AE119" i="11" s="1"/>
  <c r="AE149" i="11" s="1"/>
  <c r="AF77" i="11" a="1"/>
  <c r="AF77" i="11" s="1"/>
  <c r="AF101" i="11" a="1"/>
  <c r="AF101" i="11" s="1"/>
  <c r="AF131" i="11" s="1"/>
  <c r="AE74" i="11" a="1"/>
  <c r="AE74" i="11" s="1"/>
  <c r="AE112" i="11" a="1"/>
  <c r="AE112" i="11" s="1"/>
  <c r="AE142" i="11" s="1"/>
  <c r="AF73" i="11" a="1"/>
  <c r="AF73" i="11" s="1"/>
  <c r="AF108" i="11" a="1"/>
  <c r="AF108" i="11" s="1"/>
  <c r="AF138" i="11" s="1"/>
  <c r="AE89" i="11" a="1"/>
  <c r="AE89" i="11" s="1"/>
  <c r="AF98" i="11" a="1"/>
  <c r="AF98" i="11" s="1"/>
  <c r="AF128" i="11" s="1"/>
  <c r="AF71" i="11" a="1"/>
  <c r="AF71" i="11" s="1"/>
  <c r="AE114" i="11" a="1"/>
  <c r="AE114" i="11" s="1"/>
  <c r="AE144" i="11" s="1"/>
  <c r="AE82" i="11" a="1"/>
  <c r="AE82" i="11" s="1"/>
  <c r="AF124" i="11" a="1"/>
  <c r="AF124" i="11" s="1"/>
  <c r="AF154" i="11" s="1"/>
  <c r="AF78" i="11" a="1"/>
  <c r="AF78" i="11" s="1"/>
  <c r="AG110" i="11" a="1"/>
  <c r="AG110" i="11" s="1"/>
  <c r="AG140" i="11" s="1"/>
  <c r="AF68" i="11" a="1"/>
  <c r="AF68" i="11" s="1"/>
  <c r="AF109" i="11" a="1"/>
  <c r="AF109" i="11" s="1"/>
  <c r="AF139" i="11" s="1"/>
  <c r="AE84" i="11" a="1"/>
  <c r="AE84" i="11" s="1"/>
  <c r="AF116" i="11" a="1"/>
  <c r="AF116" i="11" s="1"/>
  <c r="AF146" i="11" s="1"/>
  <c r="AF94" i="11" a="1"/>
  <c r="AF94" i="11" s="1"/>
  <c r="AE111" i="11" a="1"/>
  <c r="AE111" i="11" s="1"/>
  <c r="AE141" i="11" s="1"/>
  <c r="AG80" i="11" a="1"/>
  <c r="AG80" i="11" s="1"/>
  <c r="AE113" i="11" a="1"/>
  <c r="AE113" i="11" s="1"/>
  <c r="AE143" i="11" s="1"/>
  <c r="AF79" i="11" a="1"/>
  <c r="AF79" i="11" s="1"/>
  <c r="AF95" i="11" a="1"/>
  <c r="AF95" i="11" s="1"/>
  <c r="AF125" i="11" s="1"/>
  <c r="AF86" i="11" a="1"/>
  <c r="AF86" i="11" s="1"/>
  <c r="AE117" i="11" a="1"/>
  <c r="AE117" i="11" s="1"/>
  <c r="AE147" i="11" s="1"/>
  <c r="AE81" i="11" a="1"/>
  <c r="AE81" i="11" s="1"/>
  <c r="AE105" i="11" a="1"/>
  <c r="AE105" i="11" s="1"/>
  <c r="AE135" i="11" s="1"/>
  <c r="AE83" i="11" a="1"/>
  <c r="AE83" i="11" s="1"/>
  <c r="AG102" i="11" a="1"/>
  <c r="AG102" i="11" s="1"/>
  <c r="AG132" i="11" s="1"/>
  <c r="AF65" i="11" a="1"/>
  <c r="AF65" i="11" s="1"/>
  <c r="AF99" i="11" a="1"/>
  <c r="AF99" i="11" s="1"/>
  <c r="AF129" i="11" s="1"/>
  <c r="AE87" i="11" a="1"/>
  <c r="AE87" i="11" s="1"/>
  <c r="AF120" i="11" a="1"/>
  <c r="AF120" i="11" s="1"/>
  <c r="AF150" i="11" s="1"/>
  <c r="AF88" i="11" a="1"/>
  <c r="AF88" i="11" s="1"/>
  <c r="AF75" i="11" a="1"/>
  <c r="AF75" i="11" s="1"/>
  <c r="AF113" i="11" a="1"/>
  <c r="AF113" i="11" s="1"/>
  <c r="AF143" i="11" s="1"/>
  <c r="AG94" i="11" a="1"/>
  <c r="AG94" i="11" s="1"/>
  <c r="AG108" i="11" a="1"/>
  <c r="AG108" i="11" s="1"/>
  <c r="AG138" i="11" s="1"/>
  <c r="AF74" i="11" a="1"/>
  <c r="AF74" i="11" s="1"/>
  <c r="AF106" i="11" a="1"/>
  <c r="AF106" i="11" s="1"/>
  <c r="AF136" i="11" s="1"/>
  <c r="AH123" i="11" a="1"/>
  <c r="AH123" i="11" s="1"/>
  <c r="AH153" i="11" s="1"/>
  <c r="AG99" i="11" a="1"/>
  <c r="AG99" i="11" s="1"/>
  <c r="AG129" i="11" s="1"/>
  <c r="AF83" i="11" a="1"/>
  <c r="AF83" i="11" s="1"/>
  <c r="AG109" i="11" a="1"/>
  <c r="AG109" i="11" s="1"/>
  <c r="AG139" i="11" s="1"/>
  <c r="AG78" i="11" a="1"/>
  <c r="AG78" i="11" s="1"/>
  <c r="AF119" i="11" a="1"/>
  <c r="AF119" i="11" s="1"/>
  <c r="AF149" i="11" s="1"/>
  <c r="AF76" i="11" a="1"/>
  <c r="AF76" i="11" s="1"/>
  <c r="AH115" i="11" a="1"/>
  <c r="AH115" i="11" s="1"/>
  <c r="AH145" i="11" s="1"/>
  <c r="AH102" i="11" a="1"/>
  <c r="AH102" i="11" s="1"/>
  <c r="AH132" i="11" s="1"/>
  <c r="AF81" i="11" a="1"/>
  <c r="AF81" i="11" s="1"/>
  <c r="AH110" i="11" a="1"/>
  <c r="AH110" i="11" s="1"/>
  <c r="AH140" i="11" s="1"/>
  <c r="AF82" i="11" a="1"/>
  <c r="AF82" i="11" s="1"/>
  <c r="AG73" i="11" a="1"/>
  <c r="AG73" i="11" s="1"/>
  <c r="AF91" i="11" a="1"/>
  <c r="AF91" i="11" s="1"/>
  <c r="AH93" i="11" a="1"/>
  <c r="AH93" i="11" s="1"/>
  <c r="AF97" i="11" a="1"/>
  <c r="AF97" i="11" s="1"/>
  <c r="AF127" i="11" s="1"/>
  <c r="AG69" i="11" a="1"/>
  <c r="AG69" i="11" s="1"/>
  <c r="AF117" i="11" a="1"/>
  <c r="AF117" i="11" s="1"/>
  <c r="AF147" i="11" s="1"/>
  <c r="AG79" i="11" a="1"/>
  <c r="AG79" i="11" s="1"/>
  <c r="AF114" i="11" a="1"/>
  <c r="AF114" i="11" s="1"/>
  <c r="AF144" i="11" s="1"/>
  <c r="AF89" i="11" a="1"/>
  <c r="AF89" i="11" s="1"/>
  <c r="AG107" i="11" a="1"/>
  <c r="AG107" i="11" s="1"/>
  <c r="AG137" i="11" s="1"/>
  <c r="AH85" i="11" a="1"/>
  <c r="AH85" i="11" s="1"/>
  <c r="AF67" i="11" a="1"/>
  <c r="AF67" i="11" s="1"/>
  <c r="AF87" i="11" a="1"/>
  <c r="AF87" i="11" s="1"/>
  <c r="AF111" i="11" a="1"/>
  <c r="AF111" i="11" s="1"/>
  <c r="AF141" i="11" s="1"/>
  <c r="AF84" i="11" a="1"/>
  <c r="AF84" i="11" s="1"/>
  <c r="AF112" i="11" a="1"/>
  <c r="AF112" i="11" s="1"/>
  <c r="AF142" i="11" s="1"/>
  <c r="AG77" i="11" a="1"/>
  <c r="AG77" i="11" s="1"/>
  <c r="AF121" i="11" a="1"/>
  <c r="AF121" i="11" s="1"/>
  <c r="AF151" i="11" s="1"/>
  <c r="AF96" i="11" a="1"/>
  <c r="AF96" i="11" s="1"/>
  <c r="AF126" i="11" s="1"/>
  <c r="AF66" i="11" a="1"/>
  <c r="AF66" i="11" s="1"/>
  <c r="AH72" i="11" a="1"/>
  <c r="AH72" i="11" s="1"/>
  <c r="AG95" i="11" a="1"/>
  <c r="AG95" i="11" s="1"/>
  <c r="AG125" i="11" s="1"/>
  <c r="AH80" i="11" a="1"/>
  <c r="AH80" i="11" s="1"/>
  <c r="AG98" i="11" a="1"/>
  <c r="AG98" i="11" s="1"/>
  <c r="AG128" i="11" s="1"/>
  <c r="AG103" i="11" a="1"/>
  <c r="AG103" i="11" s="1"/>
  <c r="AG133" i="11" s="1"/>
  <c r="AG100" i="11" a="1"/>
  <c r="AG100" i="11" s="1"/>
  <c r="AG130" i="11" s="1"/>
  <c r="AG90" i="11" a="1"/>
  <c r="AG90" i="11" s="1"/>
  <c r="AG65" i="11" a="1"/>
  <c r="AG65" i="11" s="1"/>
  <c r="AG116" i="11" a="1"/>
  <c r="AG116" i="11" s="1"/>
  <c r="AG146" i="11" s="1"/>
  <c r="AG68" i="11" a="1"/>
  <c r="AG68" i="11" s="1"/>
  <c r="AG101" i="11" a="1"/>
  <c r="AG101" i="11" s="1"/>
  <c r="AG131" i="11" s="1"/>
  <c r="AG70" i="11" a="1"/>
  <c r="AG70" i="11" s="1"/>
  <c r="AG122" i="11" a="1"/>
  <c r="AG122" i="11" s="1"/>
  <c r="AG152" i="11" s="1"/>
  <c r="AF118" i="11" a="1"/>
  <c r="AF118" i="11" s="1"/>
  <c r="AF148" i="11" s="1"/>
  <c r="AG120" i="11" a="1"/>
  <c r="AG120" i="11" s="1"/>
  <c r="AG150" i="11" s="1"/>
  <c r="AF105" i="11" a="1"/>
  <c r="AF105" i="11" s="1"/>
  <c r="AF135" i="11" s="1"/>
  <c r="AG86" i="11" a="1"/>
  <c r="AG86" i="11" s="1"/>
  <c r="AG124" i="11" a="1"/>
  <c r="AG124" i="11" s="1"/>
  <c r="AG154" i="11" s="1"/>
  <c r="AG71" i="11" a="1"/>
  <c r="AG71" i="11" s="1"/>
  <c r="AF104" i="11" a="1"/>
  <c r="AF104" i="11" s="1"/>
  <c r="AF134" i="11" s="1"/>
  <c r="AG92" i="11" a="1"/>
  <c r="AG92" i="11" s="1"/>
  <c r="AG83" i="11" a="1"/>
  <c r="AG83" i="11" s="1"/>
  <c r="AG105" i="11" a="1"/>
  <c r="AG105" i="11" s="1"/>
  <c r="AG135" i="11" s="1"/>
  <c r="AH90" i="11" a="1"/>
  <c r="AH90" i="11" s="1"/>
  <c r="AI102" i="11" a="1"/>
  <c r="AI102" i="11" s="1"/>
  <c r="AI132" i="11" s="1"/>
  <c r="AH70" i="11" a="1"/>
  <c r="AH70" i="11" s="1"/>
  <c r="AH107" i="11" a="1"/>
  <c r="AH107" i="11" s="1"/>
  <c r="AH137" i="11" s="1"/>
  <c r="AG89" i="11" a="1"/>
  <c r="AG89" i="11" s="1"/>
  <c r="AI123" i="11" a="1"/>
  <c r="AI123" i="11" s="1"/>
  <c r="AI153" i="11" s="1"/>
  <c r="AG106" i="11" a="1"/>
  <c r="AG106" i="11" s="1"/>
  <c r="AG136" i="11" s="1"/>
  <c r="AG75" i="11" a="1"/>
  <c r="AG75" i="11" s="1"/>
  <c r="AH101" i="11" a="1"/>
  <c r="AH101" i="11" s="1"/>
  <c r="AH131" i="11" s="1"/>
  <c r="AI72" i="11" a="1"/>
  <c r="AI72" i="11" s="1"/>
  <c r="AG112" i="11" a="1"/>
  <c r="AG112" i="11" s="1"/>
  <c r="AG142" i="11" s="1"/>
  <c r="AH77" i="11" a="1"/>
  <c r="AH77" i="11" s="1"/>
  <c r="AG97" i="11" a="1"/>
  <c r="AG97" i="11" s="1"/>
  <c r="AG127" i="11" s="1"/>
  <c r="AI93" i="11" a="1"/>
  <c r="AI93" i="11" s="1"/>
  <c r="AG76" i="11" a="1"/>
  <c r="AG76" i="11" s="1"/>
  <c r="AG104" i="11" a="1"/>
  <c r="AG104" i="11" s="1"/>
  <c r="AG134" i="11" s="1"/>
  <c r="AH71" i="11" a="1"/>
  <c r="AH71" i="11" s="1"/>
  <c r="AH103" i="11" a="1"/>
  <c r="AH103" i="11" s="1"/>
  <c r="AH133" i="11" s="1"/>
  <c r="AG82" i="11" a="1"/>
  <c r="AG82" i="11" s="1"/>
  <c r="AH98" i="11" a="1"/>
  <c r="AH98" i="11" s="1"/>
  <c r="AH128" i="11" s="1"/>
  <c r="AG67" i="11" a="1"/>
  <c r="AG67" i="11" s="1"/>
  <c r="AH109" i="11" a="1"/>
  <c r="AH109" i="11" s="1"/>
  <c r="AH139" i="11" s="1"/>
  <c r="AG74" i="11" a="1"/>
  <c r="AG74" i="11" s="1"/>
  <c r="AG118" i="11" a="1"/>
  <c r="AG118" i="11" s="1"/>
  <c r="AG148" i="11" s="1"/>
  <c r="AH73" i="11" a="1"/>
  <c r="AH73" i="11" s="1"/>
  <c r="AG96" i="11" a="1"/>
  <c r="AG96" i="11" s="1"/>
  <c r="AG126" i="11" s="1"/>
  <c r="AH68" i="11" a="1"/>
  <c r="AH68" i="11" s="1"/>
  <c r="AG114" i="11" a="1"/>
  <c r="AG114" i="11" s="1"/>
  <c r="AG144" i="11" s="1"/>
  <c r="AH79" i="11" a="1"/>
  <c r="AH79" i="11" s="1"/>
  <c r="AH108" i="11" a="1"/>
  <c r="AH108" i="11" s="1"/>
  <c r="AH138" i="11" s="1"/>
  <c r="AG88" i="11" a="1"/>
  <c r="AG88" i="11" s="1"/>
  <c r="AH116" i="11" a="1"/>
  <c r="AH116" i="11" s="1"/>
  <c r="AH146" i="11" s="1"/>
  <c r="AG66" i="11" a="1"/>
  <c r="AG66" i="11" s="1"/>
  <c r="AG111" i="11" a="1"/>
  <c r="AG111" i="11" s="1"/>
  <c r="AG141" i="11" s="1"/>
  <c r="AG84" i="11" a="1"/>
  <c r="AG84" i="11" s="1"/>
  <c r="AI115" i="11" a="1"/>
  <c r="AI115" i="11" s="1"/>
  <c r="AI145" i="11" s="1"/>
  <c r="AH78" i="11" a="1"/>
  <c r="AH78" i="11" s="1"/>
  <c r="AH124" i="11" a="1"/>
  <c r="AH124" i="11" s="1"/>
  <c r="AH154" i="11" s="1"/>
  <c r="AH86" i="11" a="1"/>
  <c r="AH86" i="11" s="1"/>
  <c r="AI110" i="11" a="1"/>
  <c r="AI110" i="11" s="1"/>
  <c r="AI140" i="11" s="1"/>
  <c r="AG81" i="11" a="1"/>
  <c r="AG81" i="11" s="1"/>
  <c r="AH95" i="11" a="1"/>
  <c r="AH95" i="11" s="1"/>
  <c r="AH125" i="11" s="1"/>
  <c r="AI85" i="11" a="1"/>
  <c r="AI85" i="11" s="1"/>
  <c r="AH99" i="11" a="1"/>
  <c r="AH99" i="11" s="1"/>
  <c r="AH129" i="11" s="1"/>
  <c r="AH94" i="11" a="1"/>
  <c r="AH94" i="11" s="1"/>
  <c r="AH122" i="11" a="1"/>
  <c r="AH122" i="11" s="1"/>
  <c r="AH152" i="11" s="1"/>
  <c r="AI80" i="11" a="1"/>
  <c r="AI80" i="11" s="1"/>
  <c r="AG121" i="11" a="1"/>
  <c r="AG121" i="11" s="1"/>
  <c r="AG151" i="11" s="1"/>
  <c r="AH65" i="11" a="1"/>
  <c r="AH65" i="11" s="1"/>
  <c r="AG117" i="11" a="1"/>
  <c r="AG117" i="11" s="1"/>
  <c r="AG147" i="11" s="1"/>
  <c r="AH69" i="11" a="1"/>
  <c r="AH69" i="11" s="1"/>
  <c r="AG113" i="11" a="1"/>
  <c r="AG113" i="11" s="1"/>
  <c r="AG143" i="11" s="1"/>
  <c r="AH92" i="11" a="1"/>
  <c r="AH92" i="11" s="1"/>
  <c r="AH120" i="11" a="1"/>
  <c r="AH120" i="11" s="1"/>
  <c r="AH150" i="11" s="1"/>
  <c r="AG91" i="11" a="1"/>
  <c r="AG91" i="11" s="1"/>
  <c r="AH100" i="11" a="1"/>
  <c r="AH100" i="11" s="1"/>
  <c r="AH130" i="11" s="1"/>
  <c r="AG87" i="11" a="1"/>
  <c r="AG87" i="11" s="1"/>
  <c r="AG119" i="11" a="1"/>
  <c r="AG119" i="11" s="1"/>
  <c r="AG149" i="11" s="1"/>
  <c r="AJ72" i="11" a="1"/>
  <c r="AJ72" i="11" s="1"/>
  <c r="AI100" i="11" a="1"/>
  <c r="AI100" i="11" s="1"/>
  <c r="AI130" i="11" s="1"/>
  <c r="AI92" i="11" a="1"/>
  <c r="AI92" i="11" s="1"/>
  <c r="AJ110" i="11" a="1"/>
  <c r="AJ110" i="11" s="1"/>
  <c r="AJ140" i="11" s="1"/>
  <c r="AI78" i="11" a="1"/>
  <c r="AI78" i="11" s="1"/>
  <c r="AH118" i="11" a="1"/>
  <c r="AH118" i="11" s="1"/>
  <c r="AH148" i="11" s="1"/>
  <c r="AH67" i="11" a="1"/>
  <c r="AH67" i="11" s="1"/>
  <c r="AH106" i="11" a="1"/>
  <c r="AH106" i="11" s="1"/>
  <c r="AH136" i="11" s="1"/>
  <c r="AH104" i="11" a="1"/>
  <c r="AH104" i="11" s="1"/>
  <c r="AH134" i="11" s="1"/>
  <c r="AH119" i="11" a="1"/>
  <c r="AH119" i="11" s="1"/>
  <c r="AH149" i="11" s="1"/>
  <c r="AI101" i="11" a="1"/>
  <c r="AI101" i="11" s="1"/>
  <c r="AI131" i="11" s="1"/>
  <c r="AJ123" i="11" a="1"/>
  <c r="AJ123" i="11" s="1"/>
  <c r="AJ153" i="11" s="1"/>
  <c r="AI70" i="11" a="1"/>
  <c r="AI70" i="11" s="1"/>
  <c r="AH117" i="11" a="1"/>
  <c r="AH117" i="11" s="1"/>
  <c r="AH147" i="11" s="1"/>
  <c r="AJ80" i="11" a="1"/>
  <c r="AJ80" i="11" s="1"/>
  <c r="AH111" i="11" a="1"/>
  <c r="AH111" i="11" s="1"/>
  <c r="AH141" i="11" s="1"/>
  <c r="AH88" i="11" a="1"/>
  <c r="AH88" i="11" s="1"/>
  <c r="AI103" i="11" a="1"/>
  <c r="AI103" i="11" s="1"/>
  <c r="AI133" i="11" s="1"/>
  <c r="AH76" i="11" a="1"/>
  <c r="AH76" i="11" s="1"/>
  <c r="AI90" i="11" a="1"/>
  <c r="AI90" i="11" s="1"/>
  <c r="AI116" i="11" a="1"/>
  <c r="AI116" i="11" s="1"/>
  <c r="AI146" i="11" s="1"/>
  <c r="AI79" i="11" a="1"/>
  <c r="AI79" i="11" s="1"/>
  <c r="AI77" i="11" a="1"/>
  <c r="AI77" i="11" s="1"/>
  <c r="AI95" i="11" a="1"/>
  <c r="AI95" i="11" s="1"/>
  <c r="AI125" i="11" s="1"/>
  <c r="AJ93" i="11" a="1"/>
  <c r="AJ93" i="11" s="1"/>
  <c r="AH105" i="11" a="1"/>
  <c r="AH105" i="11" s="1"/>
  <c r="AH135" i="11" s="1"/>
  <c r="AH87" i="11" a="1"/>
  <c r="AH87" i="11" s="1"/>
  <c r="AI99" i="11" a="1"/>
  <c r="AI99" i="11" s="1"/>
  <c r="AI129" i="11" s="1"/>
  <c r="AH81" i="11" a="1"/>
  <c r="AH81" i="11" s="1"/>
  <c r="AH114" i="11" a="1"/>
  <c r="AH114" i="11" s="1"/>
  <c r="AH144" i="11" s="1"/>
  <c r="AI73" i="11" a="1"/>
  <c r="AI73" i="11" s="1"/>
  <c r="AH112" i="11" a="1"/>
  <c r="AH112" i="11" s="1"/>
  <c r="AH142" i="11" s="1"/>
  <c r="AI107" i="11" a="1"/>
  <c r="AI107" i="11" s="1"/>
  <c r="AI137" i="11" s="1"/>
  <c r="AH121" i="11" a="1"/>
  <c r="AH121" i="11" s="1"/>
  <c r="AH151" i="11" s="1"/>
  <c r="AI94" i="11" a="1"/>
  <c r="AI94" i="11" s="1"/>
  <c r="AH91" i="11" a="1"/>
  <c r="AH91" i="11" s="1"/>
  <c r="AI86" i="11" a="1"/>
  <c r="AI86" i="11" s="1"/>
  <c r="AH74" i="11" a="1"/>
  <c r="AH74" i="11" s="1"/>
  <c r="AH75" i="11" a="1"/>
  <c r="AH75" i="11" s="1"/>
  <c r="AI120" i="11" a="1"/>
  <c r="AI120" i="11" s="1"/>
  <c r="AI150" i="11" s="1"/>
  <c r="AI69" i="11" a="1"/>
  <c r="AI69" i="11" s="1"/>
  <c r="AI124" i="11" a="1"/>
  <c r="AI124" i="11" s="1"/>
  <c r="AI154" i="11" s="1"/>
  <c r="AH84" i="11" a="1"/>
  <c r="AH84" i="11" s="1"/>
  <c r="AI109" i="11" a="1"/>
  <c r="AI109" i="11" s="1"/>
  <c r="AI139" i="11" s="1"/>
  <c r="AH82" i="11" a="1"/>
  <c r="AH82" i="11" s="1"/>
  <c r="AH96" i="11" a="1"/>
  <c r="AH96" i="11" s="1"/>
  <c r="AH126" i="11" s="1"/>
  <c r="AH89" i="11" a="1"/>
  <c r="AH89" i="11" s="1"/>
  <c r="AH113" i="11" a="1"/>
  <c r="AH113" i="11" s="1"/>
  <c r="AH143" i="11" s="1"/>
  <c r="AI65" i="11" a="1"/>
  <c r="AI65" i="11" s="1"/>
  <c r="AJ115" i="11" a="1"/>
  <c r="AJ115" i="11" s="1"/>
  <c r="AJ145" i="11" s="1"/>
  <c r="AH66" i="11" a="1"/>
  <c r="AH66" i="11" s="1"/>
  <c r="AI98" i="11" a="1"/>
  <c r="AI98" i="11" s="1"/>
  <c r="AI128" i="11" s="1"/>
  <c r="AI71" i="11" a="1"/>
  <c r="AI71" i="11" s="1"/>
  <c r="AJ102" i="11" a="1"/>
  <c r="AJ102" i="11" s="1"/>
  <c r="AJ132" i="11" s="1"/>
  <c r="AH83" i="11" a="1"/>
  <c r="AH83" i="11" s="1"/>
  <c r="AI122" i="11" a="1"/>
  <c r="AI122" i="11" s="1"/>
  <c r="AI152" i="11" s="1"/>
  <c r="AJ85" i="11" a="1"/>
  <c r="AJ85" i="11" s="1"/>
  <c r="AI108" i="11" a="1"/>
  <c r="AI108" i="11" s="1"/>
  <c r="AI138" i="11" s="1"/>
  <c r="AI68" i="11" a="1"/>
  <c r="AI68" i="11" s="1"/>
  <c r="AH97" i="11" a="1"/>
  <c r="AH97" i="11" s="1"/>
  <c r="AH127" i="11" s="1"/>
  <c r="AK110" i="11" a="1"/>
  <c r="AK110" i="11" s="1"/>
  <c r="AK140" i="11" s="1"/>
  <c r="AJ108" i="11" a="1"/>
  <c r="AJ108" i="11" s="1"/>
  <c r="AJ138" i="11" s="1"/>
  <c r="AJ86" i="11" a="1"/>
  <c r="AJ86" i="11" s="1"/>
  <c r="AI96" i="11" a="1"/>
  <c r="AI96" i="11" s="1"/>
  <c r="AI126" i="11" s="1"/>
  <c r="AJ71" i="11" a="1"/>
  <c r="AJ71" i="11" s="1"/>
  <c r="AJ99" i="11" a="1"/>
  <c r="AJ99" i="11" s="1"/>
  <c r="AJ129" i="11" s="1"/>
  <c r="AJ73" i="11" a="1"/>
  <c r="AJ73" i="11" s="1"/>
  <c r="AK123" i="11" a="1"/>
  <c r="AK123" i="11" s="1"/>
  <c r="AK153" i="11" s="1"/>
  <c r="AI76" i="11" a="1"/>
  <c r="AI76" i="11" s="1"/>
  <c r="AJ78" i="11" a="1"/>
  <c r="AJ78" i="11" s="1"/>
  <c r="AI113" i="11" a="1"/>
  <c r="AI113" i="11" s="1"/>
  <c r="AI143" i="11" s="1"/>
  <c r="AI66" i="11" a="1"/>
  <c r="AI66" i="11" s="1"/>
  <c r="AJ120" i="11" a="1"/>
  <c r="AJ120" i="11" s="1"/>
  <c r="AJ150" i="11" s="1"/>
  <c r="AJ69" i="11" a="1"/>
  <c r="AJ69" i="11" s="1"/>
  <c r="AJ95" i="11" a="1"/>
  <c r="AJ95" i="11" s="1"/>
  <c r="AJ125" i="11" s="1"/>
  <c r="AK93" i="11" a="1"/>
  <c r="AK93" i="11" s="1"/>
  <c r="AI106" i="11" a="1"/>
  <c r="AI106" i="11" s="1"/>
  <c r="AI136" i="11" s="1"/>
  <c r="AJ100" i="11" a="1"/>
  <c r="AJ100" i="11" s="1"/>
  <c r="AJ130" i="11" s="1"/>
  <c r="AI83" i="11" a="1"/>
  <c r="AI83" i="11" s="1"/>
  <c r="AI91" i="11" a="1"/>
  <c r="AI91" i="11" s="1"/>
  <c r="AJ90" i="11" a="1"/>
  <c r="AJ90" i="11" s="1"/>
  <c r="AI112" i="11" a="1"/>
  <c r="AI112" i="11" s="1"/>
  <c r="AI142" i="11" s="1"/>
  <c r="AJ65" i="11" a="1"/>
  <c r="AJ65" i="11" s="1"/>
  <c r="AI111" i="11" a="1"/>
  <c r="AI111" i="11" s="1"/>
  <c r="AI141" i="11" s="1"/>
  <c r="J65" i="11" a="1"/>
  <c r="J65" i="11" s="1"/>
  <c r="AJ70" i="11" a="1"/>
  <c r="AJ70" i="11" s="1"/>
  <c r="AJ92" i="11" a="1"/>
  <c r="AJ92" i="11" s="1"/>
  <c r="AI121" i="11" a="1"/>
  <c r="AI121" i="11" s="1"/>
  <c r="AI151" i="11" s="1"/>
  <c r="AJ109" i="11" a="1"/>
  <c r="AJ109" i="11" s="1"/>
  <c r="AJ139" i="11" s="1"/>
  <c r="AI82" i="11" a="1"/>
  <c r="AI82" i="11" s="1"/>
  <c r="AI105" i="11" a="1"/>
  <c r="AI105" i="11" s="1"/>
  <c r="AI135" i="11" s="1"/>
  <c r="AI81" i="11" a="1"/>
  <c r="AI81" i="11" s="1"/>
  <c r="J95" i="11" a="1"/>
  <c r="J95" i="11" s="1"/>
  <c r="J125" i="11" s="1"/>
  <c r="AI118" i="11" a="1"/>
  <c r="AI118" i="11" s="1"/>
  <c r="AI148" i="11" s="1"/>
  <c r="AJ122" i="11" a="1"/>
  <c r="AJ122" i="11" s="1"/>
  <c r="AJ152" i="11" s="1"/>
  <c r="AI104" i="11" a="1"/>
  <c r="AI104" i="11" s="1"/>
  <c r="AI134" i="11" s="1"/>
  <c r="AJ79" i="11" a="1"/>
  <c r="AJ79" i="11" s="1"/>
  <c r="AJ98" i="11" a="1"/>
  <c r="AJ98" i="11" s="1"/>
  <c r="AJ128" i="11" s="1"/>
  <c r="AI75" i="11" a="1"/>
  <c r="AI75" i="11" s="1"/>
  <c r="AI119" i="11" a="1"/>
  <c r="AI119" i="11" s="1"/>
  <c r="AI149" i="11" s="1"/>
  <c r="AI88" i="11" a="1"/>
  <c r="AI88" i="11" s="1"/>
  <c r="AI97" i="11" a="1"/>
  <c r="AI97" i="11" s="1"/>
  <c r="AI127" i="11" s="1"/>
  <c r="AI74" i="11" a="1"/>
  <c r="AI74" i="11" s="1"/>
  <c r="AJ107" i="11" a="1"/>
  <c r="AJ107" i="11" s="1"/>
  <c r="AJ137" i="11" s="1"/>
  <c r="AJ68" i="11" a="1"/>
  <c r="AJ68" i="11" s="1"/>
  <c r="AI114" i="11" a="1"/>
  <c r="AI114" i="11" s="1"/>
  <c r="AI144" i="11" s="1"/>
  <c r="AI89" i="11" a="1"/>
  <c r="AI89" i="11" s="1"/>
  <c r="AI117" i="11" a="1"/>
  <c r="AI117" i="11" s="1"/>
  <c r="AI147" i="11" s="1"/>
  <c r="AI67" i="11" a="1"/>
  <c r="AI67" i="11" s="1"/>
  <c r="AK102" i="11" a="1"/>
  <c r="AK102" i="11" s="1"/>
  <c r="AK132" i="11" s="1"/>
  <c r="AJ77" i="11" a="1"/>
  <c r="AJ77" i="11" s="1"/>
  <c r="AJ124" i="11" a="1"/>
  <c r="AJ124" i="11" s="1"/>
  <c r="AJ154" i="11" s="1"/>
  <c r="AI84" i="11" a="1"/>
  <c r="AI84" i="11" s="1"/>
  <c r="AK115" i="11" a="1"/>
  <c r="AK115" i="11" s="1"/>
  <c r="AK145" i="11" s="1"/>
  <c r="AI87" i="11" a="1"/>
  <c r="AI87" i="11" s="1"/>
  <c r="AK80" i="11" a="1"/>
  <c r="AK80" i="11" s="1"/>
  <c r="AK72" i="11" a="1"/>
  <c r="AK72" i="11" s="1"/>
  <c r="AJ116" i="11" a="1"/>
  <c r="AJ116" i="11" s="1"/>
  <c r="AJ146" i="11" s="1"/>
  <c r="AJ94" i="11" a="1"/>
  <c r="AJ94" i="11" s="1"/>
  <c r="AJ101" i="11" a="1"/>
  <c r="AJ101" i="11" s="1"/>
  <c r="AJ131" i="11" s="1"/>
  <c r="AK85" i="11" a="1"/>
  <c r="AK85" i="11" s="1"/>
  <c r="AJ103" i="11" a="1"/>
  <c r="AJ103" i="11" s="1"/>
  <c r="AJ133" i="11" s="1"/>
  <c r="AJ66" i="11" a="1"/>
  <c r="AJ66" i="11" s="1"/>
  <c r="AK101" i="11" a="1"/>
  <c r="AK101" i="11" s="1"/>
  <c r="AK131" i="11" s="1"/>
  <c r="AL72" i="11" a="1"/>
  <c r="AL72" i="11" s="1"/>
  <c r="AK107" i="11" a="1"/>
  <c r="AK107" i="11" s="1"/>
  <c r="AK137" i="11" s="1"/>
  <c r="AJ88" i="11" a="1"/>
  <c r="AJ88" i="11" s="1"/>
  <c r="AK92" i="11" a="1"/>
  <c r="AK92" i="11" s="1"/>
  <c r="AK65" i="11" a="1"/>
  <c r="AK65" i="11" s="1"/>
  <c r="AJ106" i="11" a="1"/>
  <c r="AJ106" i="11" s="1"/>
  <c r="AJ136" i="11" s="1"/>
  <c r="AK71" i="11" a="1"/>
  <c r="AK71" i="11" s="1"/>
  <c r="AL115" i="11" a="1"/>
  <c r="AL115" i="11" s="1"/>
  <c r="AL145" i="11" s="1"/>
  <c r="AK77" i="11" a="1"/>
  <c r="AK77" i="11" s="1"/>
  <c r="AK98" i="11" a="1"/>
  <c r="AK98" i="11" s="1"/>
  <c r="AK128" i="11" s="1"/>
  <c r="AK122" i="11" a="1"/>
  <c r="AK122" i="11" s="1"/>
  <c r="AK152" i="11" s="1"/>
  <c r="AJ121" i="11" a="1"/>
  <c r="AJ121" i="11" s="1"/>
  <c r="AJ151" i="11" s="1"/>
  <c r="AJ76" i="11" a="1"/>
  <c r="AJ76" i="11" s="1"/>
  <c r="AL123" i="11" a="1"/>
  <c r="AL123" i="11" s="1"/>
  <c r="AL153" i="11" s="1"/>
  <c r="AL93" i="11" a="1"/>
  <c r="AL93" i="11" s="1"/>
  <c r="AK108" i="11" a="1"/>
  <c r="AK108" i="11" s="1"/>
  <c r="AK138" i="11" s="1"/>
  <c r="AL85" i="11" a="1"/>
  <c r="AL85" i="11" s="1"/>
  <c r="AJ117" i="11" a="1"/>
  <c r="AJ117" i="11" s="1"/>
  <c r="AJ147" i="11" s="1"/>
  <c r="AK68" i="11" a="1"/>
  <c r="AK68" i="11" s="1"/>
  <c r="AJ105" i="11" a="1"/>
  <c r="AJ105" i="11" s="1"/>
  <c r="AJ135" i="11" s="1"/>
  <c r="AJ91" i="11" a="1"/>
  <c r="AJ91" i="11" s="1"/>
  <c r="AK120" i="11" a="1"/>
  <c r="AK120" i="11" s="1"/>
  <c r="AK150" i="11" s="1"/>
  <c r="AK78" i="11" a="1"/>
  <c r="AK78" i="11" s="1"/>
  <c r="AK116" i="11" a="1"/>
  <c r="AK116" i="11" s="1"/>
  <c r="AK146" i="11" s="1"/>
  <c r="AJ87" i="11" a="1"/>
  <c r="AJ87" i="11" s="1"/>
  <c r="AJ97" i="11" a="1"/>
  <c r="AJ97" i="11" s="1"/>
  <c r="AJ127" i="11" s="1"/>
  <c r="AJ75" i="11" a="1"/>
  <c r="AJ75" i="11" s="1"/>
  <c r="AJ111" i="11" a="1"/>
  <c r="AJ111" i="11" s="1"/>
  <c r="AJ141" i="11" s="1"/>
  <c r="AK90" i="11" a="1"/>
  <c r="AK90" i="11" s="1"/>
  <c r="AJ119" i="11" a="1"/>
  <c r="AJ119" i="11" s="1"/>
  <c r="AJ149" i="11" s="1"/>
  <c r="AJ112" i="11" a="1"/>
  <c r="AJ112" i="11" s="1"/>
  <c r="AJ142" i="11" s="1"/>
  <c r="AJ118" i="11" a="1"/>
  <c r="AJ118" i="11" s="1"/>
  <c r="AJ148" i="11" s="1"/>
  <c r="AK95" i="11" a="1"/>
  <c r="AK95" i="11" s="1"/>
  <c r="AK125" i="11" s="1"/>
  <c r="AK99" i="11" a="1"/>
  <c r="AK99" i="11" s="1"/>
  <c r="AK129" i="11" s="1"/>
  <c r="AK86" i="11" a="1"/>
  <c r="AK86" i="11" s="1"/>
  <c r="AK94" i="11" a="1"/>
  <c r="AK94" i="11" s="1"/>
  <c r="AJ67" i="11" a="1"/>
  <c r="AJ67" i="11" s="1"/>
  <c r="AJ104" i="11" a="1"/>
  <c r="AJ104" i="11" s="1"/>
  <c r="AJ134" i="11" s="1"/>
  <c r="AJ81" i="11" a="1"/>
  <c r="AJ81" i="11" s="1"/>
  <c r="AK100" i="11" a="1"/>
  <c r="AK100" i="11" s="1"/>
  <c r="AK130" i="11" s="1"/>
  <c r="AK73" i="11" a="1"/>
  <c r="AK73" i="11" s="1"/>
  <c r="AJ84" i="11" a="1"/>
  <c r="AJ84" i="11" s="1"/>
  <c r="AK79" i="11" a="1"/>
  <c r="AK79" i="11" s="1"/>
  <c r="AJ83" i="11" a="1"/>
  <c r="AJ83" i="11" s="1"/>
  <c r="AL80" i="11" a="1"/>
  <c r="AL80" i="11" s="1"/>
  <c r="AL102" i="11" a="1"/>
  <c r="AL102" i="11" s="1"/>
  <c r="AL132" i="11" s="1"/>
  <c r="AK69" i="11" a="1"/>
  <c r="AK69" i="11" s="1"/>
  <c r="AK103" i="11" a="1"/>
  <c r="AK103" i="11" s="1"/>
  <c r="AK133" i="11" s="1"/>
  <c r="AK124" i="11" a="1"/>
  <c r="AK124" i="11" s="1"/>
  <c r="AK154" i="11" s="1"/>
  <c r="AJ114" i="11" a="1"/>
  <c r="AJ114" i="11" s="1"/>
  <c r="AJ144" i="11" s="1"/>
  <c r="AJ74" i="11" a="1"/>
  <c r="AJ74" i="11" s="1"/>
  <c r="AK109" i="11" a="1"/>
  <c r="AK109" i="11" s="1"/>
  <c r="AK139" i="11" s="1"/>
  <c r="AK70" i="11" a="1"/>
  <c r="AK70" i="11" s="1"/>
  <c r="AJ113" i="11" a="1"/>
  <c r="AJ113" i="11" s="1"/>
  <c r="AJ143" i="11" s="1"/>
  <c r="AL110" i="11" a="1"/>
  <c r="AL110" i="11" s="1"/>
  <c r="AL140" i="11" s="1"/>
  <c r="AJ96" i="11" a="1"/>
  <c r="AJ96" i="11" s="1"/>
  <c r="AJ126" i="11" s="1"/>
  <c r="AJ89" i="11" a="1"/>
  <c r="AJ89" i="11" s="1"/>
  <c r="AJ82" i="11" a="1"/>
  <c r="AJ82" i="11" s="1"/>
  <c r="AM72" i="11" a="1"/>
  <c r="AM72" i="11" s="1"/>
  <c r="AK119" i="11" a="1"/>
  <c r="AK119" i="11" s="1"/>
  <c r="AK149" i="11" s="1"/>
  <c r="AL79" i="11" a="1"/>
  <c r="AL79" i="11" s="1"/>
  <c r="AL107" i="11" a="1"/>
  <c r="AL107" i="11" s="1"/>
  <c r="AL137" i="11" s="1"/>
  <c r="AL69" i="11" a="1"/>
  <c r="AL69" i="11" s="1"/>
  <c r="AL116" i="11" a="1"/>
  <c r="AL116" i="11" s="1"/>
  <c r="AL146" i="11" s="1"/>
  <c r="AK91" i="11" a="1"/>
  <c r="AK91" i="11" s="1"/>
  <c r="AM93" i="11" a="1"/>
  <c r="AM93" i="11" s="1"/>
  <c r="AL65" i="11" a="1"/>
  <c r="AL65" i="11" s="1"/>
  <c r="AK96" i="11" a="1"/>
  <c r="AK96" i="11" s="1"/>
  <c r="AK126" i="11" s="1"/>
  <c r="AL92" i="11" a="1"/>
  <c r="AL92" i="11" s="1"/>
  <c r="AK114" i="11" a="1"/>
  <c r="AK114" i="11" s="1"/>
  <c r="AK144" i="11" s="1"/>
  <c r="AK74" i="11" a="1"/>
  <c r="AK74" i="11" s="1"/>
  <c r="AK111" i="11" a="1"/>
  <c r="AK111" i="11" s="1"/>
  <c r="AK141" i="11" s="1"/>
  <c r="AK84" i="11" a="1"/>
  <c r="AK84" i="11" s="1"/>
  <c r="AK105" i="11" a="1"/>
  <c r="AK105" i="11" s="1"/>
  <c r="AK135" i="11" s="1"/>
  <c r="AL68" i="11" a="1"/>
  <c r="AL68" i="11" s="1"/>
  <c r="AL95" i="11" a="1"/>
  <c r="AL95" i="11" s="1"/>
  <c r="AL125" i="11" s="1"/>
  <c r="AK89" i="11" a="1"/>
  <c r="AK89" i="11" s="1"/>
  <c r="AL122" i="11" a="1"/>
  <c r="AL122" i="11" s="1"/>
  <c r="AL152" i="11" s="1"/>
  <c r="AL77" i="11" a="1"/>
  <c r="AL77" i="11" s="1"/>
  <c r="AK104" i="11" a="1"/>
  <c r="AK104" i="11" s="1"/>
  <c r="AK134" i="11" s="1"/>
  <c r="AL86" i="11" a="1"/>
  <c r="AL86" i="11" s="1"/>
  <c r="AK117" i="11" a="1"/>
  <c r="AK117" i="11" s="1"/>
  <c r="AK147" i="11" s="1"/>
  <c r="AM123" i="11" a="1"/>
  <c r="AM123" i="11" s="1"/>
  <c r="AM153" i="11" s="1"/>
  <c r="AK87" i="11" a="1"/>
  <c r="AK87" i="11" s="1"/>
  <c r="AL98" i="11" a="1"/>
  <c r="AL98" i="11" s="1"/>
  <c r="AL128" i="11" s="1"/>
  <c r="AK66" i="11" a="1"/>
  <c r="AK66" i="11" s="1"/>
  <c r="AM110" i="11" a="1"/>
  <c r="AM110" i="11" s="1"/>
  <c r="AM140" i="11" s="1"/>
  <c r="AL101" i="11" a="1"/>
  <c r="AL101" i="11" s="1"/>
  <c r="AL131" i="11" s="1"/>
  <c r="AK81" i="11" a="1"/>
  <c r="AK81" i="11" s="1"/>
  <c r="AK118" i="11" a="1"/>
  <c r="AK118" i="11" s="1"/>
  <c r="AK148" i="11" s="1"/>
  <c r="AM80" i="11" a="1"/>
  <c r="AM80" i="11" s="1"/>
  <c r="AK113" i="11" a="1"/>
  <c r="AK113" i="11" s="1"/>
  <c r="AK143" i="11" s="1"/>
  <c r="AL71" i="11" a="1"/>
  <c r="AL71" i="11" s="1"/>
  <c r="AL124" i="11" a="1"/>
  <c r="AL124" i="11" s="1"/>
  <c r="AL154" i="11" s="1"/>
  <c r="AK75" i="11" a="1"/>
  <c r="AK75" i="11" s="1"/>
  <c r="AL108" i="11" a="1"/>
  <c r="AL108" i="11" s="1"/>
  <c r="AL138" i="11" s="1"/>
  <c r="AM102" i="11" a="1"/>
  <c r="AM102" i="11" s="1"/>
  <c r="AM132" i="11" s="1"/>
  <c r="AK76" i="11" a="1"/>
  <c r="AK76" i="11" s="1"/>
  <c r="AL70" i="11" a="1"/>
  <c r="AL70" i="11" s="1"/>
  <c r="AL90" i="11" a="1"/>
  <c r="AL90" i="11" s="1"/>
  <c r="AK88" i="11" a="1"/>
  <c r="AK88" i="11" s="1"/>
  <c r="AK112" i="11" a="1"/>
  <c r="AK112" i="11" s="1"/>
  <c r="AK142" i="11" s="1"/>
  <c r="AK83" i="11" a="1"/>
  <c r="AK83" i="11" s="1"/>
  <c r="AL73" i="11" a="1"/>
  <c r="AL73" i="11" s="1"/>
  <c r="AL94" i="11" a="1"/>
  <c r="AL94" i="11" s="1"/>
  <c r="AK97" i="11" a="1"/>
  <c r="AK97" i="11" s="1"/>
  <c r="AK127" i="11" s="1"/>
  <c r="AL78" i="11" a="1"/>
  <c r="AL78" i="11" s="1"/>
  <c r="AM115" i="11" a="1"/>
  <c r="AM115" i="11" s="1"/>
  <c r="AM145" i="11" s="1"/>
  <c r="AK82" i="11" a="1"/>
  <c r="AK82" i="11" s="1"/>
  <c r="AK106" i="11" a="1"/>
  <c r="AK106" i="11" s="1"/>
  <c r="AK136" i="11" s="1"/>
  <c r="AL103" i="11" a="1"/>
  <c r="AL103" i="11" s="1"/>
  <c r="AL133" i="11" s="1"/>
  <c r="AL100" i="11" a="1"/>
  <c r="AL100" i="11" s="1"/>
  <c r="AL130" i="11" s="1"/>
  <c r="AK67" i="11" a="1"/>
  <c r="AK67" i="11" s="1"/>
  <c r="AL120" i="11" a="1"/>
  <c r="AL120" i="11" s="1"/>
  <c r="AL150" i="11" s="1"/>
  <c r="AM85" i="11" a="1"/>
  <c r="AM85" i="11" s="1"/>
  <c r="AL109" i="11" a="1"/>
  <c r="AL109" i="11" s="1"/>
  <c r="AL139" i="11" s="1"/>
  <c r="AL99" i="11" a="1"/>
  <c r="AL99" i="11" s="1"/>
  <c r="AL129" i="11" s="1"/>
  <c r="AK121" i="11" a="1"/>
  <c r="AK121" i="11" s="1"/>
  <c r="AK151" i="11" s="1"/>
  <c r="AM69" i="11" a="1"/>
  <c r="AM69" i="11" s="1"/>
  <c r="AM120" i="11" a="1"/>
  <c r="AM120" i="11" s="1"/>
  <c r="AM150" i="11" s="1"/>
  <c r="AM77" i="11" a="1"/>
  <c r="AM77" i="11" s="1"/>
  <c r="AM103" i="11" a="1"/>
  <c r="AM103" i="11" s="1"/>
  <c r="AM133" i="11" s="1"/>
  <c r="AL88" i="11" a="1"/>
  <c r="AL88" i="11" s="1"/>
  <c r="AM98" i="11" a="1"/>
  <c r="AM98" i="11" s="1"/>
  <c r="AM128" i="11" s="1"/>
  <c r="AL87" i="11" a="1"/>
  <c r="AL87" i="11" s="1"/>
  <c r="AM95" i="11" a="1"/>
  <c r="AM95" i="11" s="1"/>
  <c r="AM125" i="11" s="1"/>
  <c r="AL118" i="11" a="1"/>
  <c r="AL118" i="11" s="1"/>
  <c r="AL148" i="11" s="1"/>
  <c r="AL119" i="11" a="1"/>
  <c r="AL119" i="11" s="1"/>
  <c r="AL149" i="11" s="1"/>
  <c r="AM90" i="11" a="1"/>
  <c r="AM90" i="11" s="1"/>
  <c r="AN123" i="11" a="1"/>
  <c r="AN123" i="11" s="1"/>
  <c r="AN153" i="11" s="1"/>
  <c r="AM73" i="11" a="1"/>
  <c r="AM73" i="11" s="1"/>
  <c r="AM124" i="11" a="1"/>
  <c r="AM124" i="11" s="1"/>
  <c r="AM154" i="11" s="1"/>
  <c r="AM68" i="11" a="1"/>
  <c r="AM68" i="11" s="1"/>
  <c r="AL96" i="11" a="1"/>
  <c r="AL96" i="11" s="1"/>
  <c r="AL126" i="11" s="1"/>
  <c r="AM65" i="11" a="1"/>
  <c r="AM65" i="11" s="1"/>
  <c r="AM99" i="11" a="1"/>
  <c r="AM99" i="11" s="1"/>
  <c r="AM129" i="11" s="1"/>
  <c r="AL84" i="11" a="1"/>
  <c r="AL84" i="11" s="1"/>
  <c r="AL89" i="11" a="1"/>
  <c r="AL89" i="11" s="1"/>
  <c r="AM109" i="11" a="1"/>
  <c r="AM109" i="11" s="1"/>
  <c r="AM139" i="11" s="1"/>
  <c r="AN93" i="11" a="1"/>
  <c r="AN93" i="11" s="1"/>
  <c r="AN115" i="11" a="1"/>
  <c r="AN115" i="11" s="1"/>
  <c r="AN145" i="11" s="1"/>
  <c r="AM94" i="11" a="1"/>
  <c r="AM94" i="11" s="1"/>
  <c r="AL105" i="11" a="1"/>
  <c r="AL105" i="11" s="1"/>
  <c r="AL135" i="11" s="1"/>
  <c r="AL66" i="11" a="1"/>
  <c r="AL66" i="11" s="1"/>
  <c r="AL104" i="11" a="1"/>
  <c r="AL104" i="11" s="1"/>
  <c r="AL134" i="11" s="1"/>
  <c r="AM107" i="11" a="1"/>
  <c r="AM107" i="11" s="1"/>
  <c r="AM137" i="11" s="1"/>
  <c r="AM79" i="11" a="1"/>
  <c r="AM79" i="11" s="1"/>
  <c r="AM100" i="11" a="1"/>
  <c r="AM100" i="11" s="1"/>
  <c r="AM130" i="11" s="1"/>
  <c r="AN85" i="11" a="1"/>
  <c r="AN85" i="11" s="1"/>
  <c r="AL112" i="11" a="1"/>
  <c r="AL112" i="11" s="1"/>
  <c r="AL142" i="11" s="1"/>
  <c r="AL75" i="11" a="1"/>
  <c r="AL75" i="11" s="1"/>
  <c r="AL111" i="11" a="1"/>
  <c r="AL111" i="11" s="1"/>
  <c r="AL141" i="11" s="1"/>
  <c r="AL74" i="11" a="1"/>
  <c r="AL74" i="11" s="1"/>
  <c r="AL121" i="11" a="1"/>
  <c r="AL121" i="11" s="1"/>
  <c r="AL151" i="11" s="1"/>
  <c r="AM70" i="11" a="1"/>
  <c r="AM70" i="11" s="1"/>
  <c r="AM116" i="11" a="1"/>
  <c r="AM116" i="11" s="1"/>
  <c r="AM146" i="11" s="1"/>
  <c r="AL82" i="11" a="1"/>
  <c r="AL82" i="11" s="1"/>
  <c r="AL113" i="11" a="1"/>
  <c r="AL113" i="11" s="1"/>
  <c r="AL143" i="11" s="1"/>
  <c r="AL81" i="11" a="1"/>
  <c r="AL81" i="11" s="1"/>
  <c r="AN110" i="11" a="1"/>
  <c r="AN110" i="11" s="1"/>
  <c r="AN140" i="11" s="1"/>
  <c r="AL76" i="11" a="1"/>
  <c r="AL76" i="11" s="1"/>
  <c r="AL91" i="11" a="1"/>
  <c r="AL91" i="11" s="1"/>
  <c r="AN102" i="11" a="1"/>
  <c r="AN102" i="11" s="1"/>
  <c r="AN132" i="11" s="1"/>
  <c r="AM86" i="11" a="1"/>
  <c r="AM86" i="11" s="1"/>
  <c r="AL97" i="11" a="1"/>
  <c r="AL97" i="11" s="1"/>
  <c r="AL127" i="11" s="1"/>
  <c r="AL83" i="11" a="1"/>
  <c r="AL83" i="11" s="1"/>
  <c r="AM101" i="11" a="1"/>
  <c r="AM101" i="11" s="1"/>
  <c r="AM131" i="11" s="1"/>
  <c r="AN80" i="11" a="1"/>
  <c r="AN80" i="11" s="1"/>
  <c r="AM122" i="11" a="1"/>
  <c r="AM122" i="11" s="1"/>
  <c r="AM152" i="11" s="1"/>
  <c r="AN72" i="11" a="1"/>
  <c r="AN72" i="11" s="1"/>
  <c r="AL106" i="11" a="1"/>
  <c r="AL106" i="11" s="1"/>
  <c r="AL136" i="11" s="1"/>
  <c r="AL67" i="11" a="1"/>
  <c r="AL67" i="11" s="1"/>
  <c r="AM108" i="11" a="1"/>
  <c r="AM108" i="11" s="1"/>
  <c r="AM138" i="11" s="1"/>
  <c r="AM71" i="11" a="1"/>
  <c r="AM71" i="11" s="1"/>
  <c r="AL114" i="11" a="1"/>
  <c r="AL114" i="11" s="1"/>
  <c r="AL144" i="11" s="1"/>
  <c r="AM92" i="11" a="1"/>
  <c r="AM92" i="11" s="1"/>
  <c r="AM78" i="11" a="1"/>
  <c r="AM78" i="11" s="1"/>
  <c r="AL117" i="11" a="1"/>
  <c r="AL117" i="11" s="1"/>
  <c r="AL147" i="11" s="1"/>
  <c r="AM117" i="11" a="1"/>
  <c r="AM117" i="11" s="1"/>
  <c r="AM147" i="11" s="1"/>
  <c r="AM87" i="11" a="1"/>
  <c r="AM87" i="11" s="1"/>
  <c r="AN99" i="11" a="1"/>
  <c r="AN99" i="11" s="1"/>
  <c r="AN129" i="11" s="1"/>
  <c r="AN92" i="11" a="1"/>
  <c r="AN92" i="11" s="1"/>
  <c r="AO102" i="11" a="1"/>
  <c r="AO102" i="11" s="1"/>
  <c r="AO132" i="11" s="1"/>
  <c r="AN65" i="11" a="1"/>
  <c r="AN65" i="11" s="1"/>
  <c r="AM112" i="11" a="1"/>
  <c r="AM112" i="11" s="1"/>
  <c r="AM142" i="11" s="1"/>
  <c r="AN79" i="11" a="1"/>
  <c r="AN79" i="11" s="1"/>
  <c r="AN124" i="11" a="1"/>
  <c r="AN124" i="11" s="1"/>
  <c r="AN154" i="11" s="1"/>
  <c r="AN120" i="11" a="1"/>
  <c r="AN120" i="11" s="1"/>
  <c r="AN150" i="11" s="1"/>
  <c r="AN73" i="11" a="1"/>
  <c r="AN73" i="11" s="1"/>
  <c r="AM121" i="11" a="1"/>
  <c r="AM121" i="11" s="1"/>
  <c r="AM151" i="11" s="1"/>
  <c r="AM76" i="11" a="1"/>
  <c r="AM76" i="11" s="1"/>
  <c r="AM67" i="11" a="1"/>
  <c r="AM67" i="11" s="1"/>
  <c r="AM74" i="11" a="1"/>
  <c r="AM74" i="11" s="1"/>
  <c r="AN69" i="11" a="1"/>
  <c r="AN69" i="11" s="1"/>
  <c r="AN108" i="11" a="1"/>
  <c r="AN108" i="11" s="1"/>
  <c r="AN138" i="11" s="1"/>
  <c r="AO72" i="11" a="1"/>
  <c r="AO72" i="11" s="1"/>
  <c r="AN116" i="11" a="1"/>
  <c r="AN116" i="11" s="1"/>
  <c r="AN146" i="11" s="1"/>
  <c r="AM82" i="11" a="1"/>
  <c r="AM82" i="11" s="1"/>
  <c r="AM105" i="11" a="1"/>
  <c r="AM105" i="11" s="1"/>
  <c r="AM135" i="11" s="1"/>
  <c r="AN94" i="11" a="1"/>
  <c r="AN94" i="11" s="1"/>
  <c r="AO123" i="11" a="1"/>
  <c r="AO123" i="11" s="1"/>
  <c r="AO153" i="11" s="1"/>
  <c r="AN70" i="11" a="1"/>
  <c r="AN70" i="11" s="1"/>
  <c r="AM97" i="11" a="1"/>
  <c r="AM97" i="11" s="1"/>
  <c r="AM127" i="11" s="1"/>
  <c r="AO85" i="11" a="1"/>
  <c r="AO85" i="11" s="1"/>
  <c r="AM104" i="11" a="1"/>
  <c r="AM104" i="11" s="1"/>
  <c r="AM134" i="11" s="1"/>
  <c r="AN95" i="11" a="1"/>
  <c r="AN95" i="11" s="1"/>
  <c r="AN125" i="11" s="1"/>
  <c r="AM118" i="11" a="1"/>
  <c r="AM118" i="11" s="1"/>
  <c r="AM148" i="11" s="1"/>
  <c r="AN78" i="11" a="1"/>
  <c r="AN78" i="11" s="1"/>
  <c r="AN71" i="11" a="1"/>
  <c r="AN71" i="11" s="1"/>
  <c r="AN86" i="11" a="1"/>
  <c r="AN86" i="11" s="1"/>
  <c r="AN98" i="11" a="1"/>
  <c r="AN98" i="11" s="1"/>
  <c r="AN128" i="11" s="1"/>
  <c r="AM75" i="11" a="1"/>
  <c r="AM75" i="11" s="1"/>
  <c r="AM106" i="11" a="1"/>
  <c r="AM106" i="11" s="1"/>
  <c r="AM136" i="11" s="1"/>
  <c r="AN107" i="11" a="1"/>
  <c r="AN107" i="11" s="1"/>
  <c r="AN137" i="11" s="1"/>
  <c r="AM91" i="11" a="1"/>
  <c r="AM91" i="11" s="1"/>
  <c r="AM96" i="11" a="1"/>
  <c r="AM96" i="11" s="1"/>
  <c r="AM126" i="11" s="1"/>
  <c r="AM114" i="11" a="1"/>
  <c r="AM114" i="11" s="1"/>
  <c r="AM144" i="11" s="1"/>
  <c r="AM113" i="11" a="1"/>
  <c r="AM113" i="11" s="1"/>
  <c r="AM143" i="11" s="1"/>
  <c r="AM119" i="11" a="1"/>
  <c r="AM119" i="11" s="1"/>
  <c r="AM149" i="11" s="1"/>
  <c r="AN122" i="11" a="1"/>
  <c r="AN122" i="11" s="1"/>
  <c r="AN152" i="11" s="1"/>
  <c r="AM89" i="11" a="1"/>
  <c r="AM89" i="11" s="1"/>
  <c r="AM88" i="11" a="1"/>
  <c r="AM88" i="11" s="1"/>
  <c r="AN103" i="11" a="1"/>
  <c r="AN103" i="11" s="1"/>
  <c r="AN133" i="11" s="1"/>
  <c r="AN101" i="11" a="1"/>
  <c r="AN101" i="11" s="1"/>
  <c r="AN131" i="11" s="1"/>
  <c r="AO110" i="11" a="1"/>
  <c r="AO110" i="11" s="1"/>
  <c r="AO140" i="11" s="1"/>
  <c r="AN68" i="11" a="1"/>
  <c r="AN68" i="11" s="1"/>
  <c r="AN100" i="11" a="1"/>
  <c r="AN100" i="11" s="1"/>
  <c r="AN130" i="11" s="1"/>
  <c r="AN90" i="11" a="1"/>
  <c r="AN90" i="11" s="1"/>
  <c r="AO80" i="11" a="1"/>
  <c r="AO80" i="11" s="1"/>
  <c r="AO115" i="11" a="1"/>
  <c r="AO115" i="11" s="1"/>
  <c r="AO145" i="11" s="1"/>
  <c r="AM111" i="11" a="1"/>
  <c r="AM111" i="11" s="1"/>
  <c r="AM141" i="11" s="1"/>
  <c r="AN77" i="11" a="1"/>
  <c r="AN77" i="11" s="1"/>
  <c r="AM66" i="11" a="1"/>
  <c r="AM66" i="11" s="1"/>
  <c r="AM83" i="11" a="1"/>
  <c r="AM83" i="11" s="1"/>
  <c r="AO93" i="11" a="1"/>
  <c r="AO93" i="11" s="1"/>
  <c r="AM81" i="11" a="1"/>
  <c r="AM81" i="11" s="1"/>
  <c r="AM84" i="11" a="1"/>
  <c r="AM84" i="11" s="1"/>
  <c r="AN109" i="11" a="1"/>
  <c r="AN109" i="11" s="1"/>
  <c r="AN139" i="11" s="1"/>
  <c r="AO124" i="11" a="1"/>
  <c r="AO124" i="11" s="1"/>
  <c r="AO154" i="11" s="1"/>
  <c r="AN84" i="11" a="1"/>
  <c r="AN84" i="11" s="1"/>
  <c r="AN106" i="11" a="1"/>
  <c r="AN106" i="11" s="1"/>
  <c r="AN136" i="11" s="1"/>
  <c r="AO70" i="11" a="1"/>
  <c r="AO70" i="11" s="1"/>
  <c r="AO122" i="11" a="1"/>
  <c r="AO122" i="11" s="1"/>
  <c r="AO152" i="11" s="1"/>
  <c r="AO68" i="11" a="1"/>
  <c r="AO68" i="11" s="1"/>
  <c r="AP102" i="11" a="1"/>
  <c r="AP102" i="11" s="1"/>
  <c r="AP132" i="11" s="1"/>
  <c r="AN87" i="11" a="1"/>
  <c r="AN87" i="11" s="1"/>
  <c r="AO94" i="11" a="1"/>
  <c r="AO94" i="11" s="1"/>
  <c r="AN119" i="11" a="1"/>
  <c r="AN119" i="11" s="1"/>
  <c r="AN149" i="11" s="1"/>
  <c r="AN76" i="11" a="1"/>
  <c r="AN76" i="11" s="1"/>
  <c r="AN96" i="11" a="1"/>
  <c r="AN96" i="11" s="1"/>
  <c r="AN126" i="11" s="1"/>
  <c r="AO92" i="11" a="1"/>
  <c r="AO92" i="11" s="1"/>
  <c r="AO107" i="11" a="1"/>
  <c r="AO107" i="11" s="1"/>
  <c r="AO137" i="11" s="1"/>
  <c r="AP72" i="11" a="1"/>
  <c r="AP72" i="11" s="1"/>
  <c r="AN89" i="11" a="1"/>
  <c r="AN89" i="11" s="1"/>
  <c r="AP85" i="11" a="1"/>
  <c r="AP85" i="11" s="1"/>
  <c r="AN66" i="11" a="1"/>
  <c r="AN66" i="11" s="1"/>
  <c r="AP110" i="11" a="1"/>
  <c r="AP110" i="11" s="1"/>
  <c r="AP140" i="11" s="1"/>
  <c r="AO77" i="11" a="1"/>
  <c r="AO77" i="11" s="1"/>
  <c r="AO101" i="11" a="1"/>
  <c r="AO101" i="11" s="1"/>
  <c r="AO131" i="11" s="1"/>
  <c r="AO86" i="11" a="1"/>
  <c r="AO86" i="11" s="1"/>
  <c r="AN104" i="11" a="1"/>
  <c r="AN104" i="11" s="1"/>
  <c r="AN134" i="11" s="1"/>
  <c r="AN81" i="11" a="1"/>
  <c r="AN81" i="11" s="1"/>
  <c r="AO108" i="11" a="1"/>
  <c r="AO108" i="11" s="1"/>
  <c r="AO138" i="11" s="1"/>
  <c r="AN118" i="11" a="1"/>
  <c r="AN118" i="11" s="1"/>
  <c r="AN148" i="11" s="1"/>
  <c r="AN97" i="11" a="1"/>
  <c r="AN97" i="11" s="1"/>
  <c r="AN127" i="11" s="1"/>
  <c r="AO79" i="11" a="1"/>
  <c r="AO79" i="11" s="1"/>
  <c r="AO98" i="11" a="1"/>
  <c r="AO98" i="11" s="1"/>
  <c r="AO128" i="11" s="1"/>
  <c r="AO99" i="11" a="1"/>
  <c r="AO99" i="11" s="1"/>
  <c r="AO129" i="11" s="1"/>
  <c r="AP115" i="11" a="1"/>
  <c r="AP115" i="11" s="1"/>
  <c r="AP145" i="11" s="1"/>
  <c r="AN112" i="11" a="1"/>
  <c r="AN112" i="11" s="1"/>
  <c r="AN142" i="11" s="1"/>
  <c r="AP80" i="11" a="1"/>
  <c r="AP80" i="11" s="1"/>
  <c r="AN111" i="11" a="1"/>
  <c r="AN111" i="11" s="1"/>
  <c r="AN141" i="11" s="1"/>
  <c r="AO71" i="11" a="1"/>
  <c r="AO71" i="11" s="1"/>
  <c r="AO100" i="11" a="1"/>
  <c r="AO100" i="11" s="1"/>
  <c r="AO130" i="11" s="1"/>
  <c r="AN117" i="11" a="1"/>
  <c r="AN117" i="11" s="1"/>
  <c r="AN147" i="11" s="1"/>
  <c r="AO69" i="11" a="1"/>
  <c r="AO69" i="11" s="1"/>
  <c r="AN113" i="11" a="1"/>
  <c r="AN113" i="11" s="1"/>
  <c r="AN143" i="11" s="1"/>
  <c r="AN82" i="11" a="1"/>
  <c r="AN82" i="11" s="1"/>
  <c r="AP123" i="11" a="1"/>
  <c r="AP123" i="11" s="1"/>
  <c r="AP153" i="11" s="1"/>
  <c r="AO120" i="11" a="1"/>
  <c r="AO120" i="11" s="1"/>
  <c r="AO150" i="11" s="1"/>
  <c r="AN74" i="11" a="1"/>
  <c r="AN74" i="11" s="1"/>
  <c r="AO73" i="11" a="1"/>
  <c r="AO73" i="11" s="1"/>
  <c r="AN75" i="11" a="1"/>
  <c r="AN75" i="11" s="1"/>
  <c r="AO116" i="11" a="1"/>
  <c r="AO116" i="11" s="1"/>
  <c r="AO146" i="11" s="1"/>
  <c r="AN83" i="11" a="1"/>
  <c r="AN83" i="11" s="1"/>
  <c r="AN121" i="11" a="1"/>
  <c r="AN121" i="11" s="1"/>
  <c r="AN151" i="11" s="1"/>
  <c r="AP93" i="11" a="1"/>
  <c r="AP93" i="11" s="1"/>
  <c r="AO103" i="11" a="1"/>
  <c r="AO103" i="11" s="1"/>
  <c r="AO133" i="11" s="1"/>
  <c r="AO90" i="11" a="1"/>
  <c r="AO90" i="11" s="1"/>
  <c r="AO78" i="11" a="1"/>
  <c r="AO78" i="11" s="1"/>
  <c r="AN88" i="11" a="1"/>
  <c r="AN88" i="11" s="1"/>
  <c r="AN105" i="11" a="1"/>
  <c r="AN105" i="11" s="1"/>
  <c r="AN135" i="11" s="1"/>
  <c r="AO65" i="11" a="1"/>
  <c r="AO65" i="11" s="1"/>
  <c r="AN67" i="11" a="1"/>
  <c r="AN67" i="11" s="1"/>
  <c r="AO95" i="11" a="1"/>
  <c r="AO95" i="11" s="1"/>
  <c r="AO125" i="11" s="1"/>
  <c r="AN91" i="11" a="1"/>
  <c r="AN91" i="11" s="1"/>
  <c r="AO109" i="11" a="1"/>
  <c r="AO109" i="11" s="1"/>
  <c r="AO139" i="11" s="1"/>
  <c r="AN114" i="11" a="1"/>
  <c r="AN114" i="11" s="1"/>
  <c r="AN144" i="11" s="1"/>
  <c r="AQ72" i="11" a="1"/>
  <c r="AQ72" i="11" s="1"/>
  <c r="AO105" i="11" a="1"/>
  <c r="AO105" i="11" s="1"/>
  <c r="AO135" i="11" s="1"/>
  <c r="AO76" i="11" a="1"/>
  <c r="AO76" i="11" s="1"/>
  <c r="AO121" i="11" a="1"/>
  <c r="AO121" i="11" s="1"/>
  <c r="AO151" i="11" s="1"/>
  <c r="AQ93" i="11" a="1"/>
  <c r="AQ93" i="11" s="1"/>
  <c r="AO104" i="11" a="1"/>
  <c r="AO104" i="11" s="1"/>
  <c r="AO134" i="11" s="1"/>
  <c r="AQ80" i="11" a="1"/>
  <c r="AQ80" i="11" s="1"/>
  <c r="AP107" i="11" a="1"/>
  <c r="AP107" i="11" s="1"/>
  <c r="AP137" i="11" s="1"/>
  <c r="AO97" i="11" a="1"/>
  <c r="AO97" i="11" s="1"/>
  <c r="AO127" i="11" s="1"/>
  <c r="AO111" i="11" a="1"/>
  <c r="AO111" i="11" s="1"/>
  <c r="AO141" i="11" s="1"/>
  <c r="AQ85" i="11" a="1"/>
  <c r="AQ85" i="11" s="1"/>
  <c r="AO84" i="11" a="1"/>
  <c r="AO84" i="11" s="1"/>
  <c r="AP86" i="11" a="1"/>
  <c r="AP86" i="11" s="1"/>
  <c r="AP79" i="11" a="1"/>
  <c r="AP79" i="11" s="1"/>
  <c r="AO82" i="11" a="1"/>
  <c r="AO82" i="11" s="1"/>
  <c r="AO75" i="11" a="1"/>
  <c r="AO75" i="11" s="1"/>
  <c r="AP65" i="11" a="1"/>
  <c r="AP65" i="11" s="1"/>
  <c r="AO91" i="11" a="1"/>
  <c r="AO91" i="11" s="1"/>
  <c r="AP108" i="11" a="1"/>
  <c r="AP108" i="11" s="1"/>
  <c r="AP138" i="11" s="1"/>
  <c r="AO74" i="11" a="1"/>
  <c r="AO74" i="11" s="1"/>
  <c r="AP99" i="11" a="1"/>
  <c r="AP99" i="11" s="1"/>
  <c r="AP129" i="11" s="1"/>
  <c r="AP77" i="11" a="1"/>
  <c r="AP77" i="11" s="1"/>
  <c r="AO87" i="11" a="1"/>
  <c r="AO87" i="11" s="1"/>
  <c r="AO96" i="11" a="1"/>
  <c r="AO96" i="11" s="1"/>
  <c r="AO126" i="11" s="1"/>
  <c r="AQ123" i="11" a="1"/>
  <c r="AQ123" i="11" s="1"/>
  <c r="AQ153" i="11" s="1"/>
  <c r="AP98" i="11" a="1"/>
  <c r="AP98" i="11" s="1"/>
  <c r="AP128" i="11" s="1"/>
  <c r="AP95" i="11" a="1"/>
  <c r="AP95" i="11" s="1"/>
  <c r="AP125" i="11" s="1"/>
  <c r="AO117" i="11" a="1"/>
  <c r="AO117" i="11" s="1"/>
  <c r="AO147" i="11" s="1"/>
  <c r="AP78" i="11" a="1"/>
  <c r="AP78" i="11" s="1"/>
  <c r="AO113" i="11" a="1"/>
  <c r="AO113" i="11" s="1"/>
  <c r="AO143" i="11" s="1"/>
  <c r="AP69" i="11" a="1"/>
  <c r="AP69" i="11" s="1"/>
  <c r="AQ115" i="11" a="1"/>
  <c r="AQ115" i="11" s="1"/>
  <c r="AQ145" i="11" s="1"/>
  <c r="AP124" i="11" a="1"/>
  <c r="AP124" i="11" s="1"/>
  <c r="AP154" i="11" s="1"/>
  <c r="AP73" i="11" a="1"/>
  <c r="AP73" i="11" s="1"/>
  <c r="AO88" i="11" a="1"/>
  <c r="AO88" i="11" s="1"/>
  <c r="AO119" i="11" a="1"/>
  <c r="AO119" i="11" s="1"/>
  <c r="AO149" i="11" s="1"/>
  <c r="AP70" i="11" a="1"/>
  <c r="AP70" i="11" s="1"/>
  <c r="AO89" i="11" a="1"/>
  <c r="AO89" i="11" s="1"/>
  <c r="AP68" i="11" a="1"/>
  <c r="AP68" i="11" s="1"/>
  <c r="AO83" i="11" a="1"/>
  <c r="AO83" i="11" s="1"/>
  <c r="AO106" i="11" a="1"/>
  <c r="AO106" i="11" s="1"/>
  <c r="AO136" i="11" s="1"/>
  <c r="AQ110" i="11" a="1"/>
  <c r="AQ110" i="11" s="1"/>
  <c r="AQ140" i="11" s="1"/>
  <c r="AO67" i="11" a="1"/>
  <c r="AO67" i="11" s="1"/>
  <c r="AP122" i="11" a="1"/>
  <c r="AP122" i="11" s="1"/>
  <c r="AP152" i="11" s="1"/>
  <c r="AP94" i="11" a="1"/>
  <c r="AP94" i="11" s="1"/>
  <c r="AP120" i="11" a="1"/>
  <c r="AP120" i="11" s="1"/>
  <c r="AP150" i="11" s="1"/>
  <c r="AO81" i="11" a="1"/>
  <c r="AO81" i="11" s="1"/>
  <c r="AP101" i="11" a="1"/>
  <c r="AP101" i="11" s="1"/>
  <c r="AP131" i="11" s="1"/>
  <c r="AO66" i="11" a="1"/>
  <c r="AO66" i="11" s="1"/>
  <c r="AP109" i="11" a="1"/>
  <c r="AP109" i="11" s="1"/>
  <c r="AP139" i="11" s="1"/>
  <c r="AO112" i="11" a="1"/>
  <c r="AO112" i="11" s="1"/>
  <c r="AO142" i="11" s="1"/>
  <c r="AQ102" i="11" a="1"/>
  <c r="AQ102" i="11" s="1"/>
  <c r="AQ132" i="11" s="1"/>
  <c r="AO114" i="11" a="1"/>
  <c r="AO114" i="11" s="1"/>
  <c r="AO144" i="11" s="1"/>
  <c r="AP92" i="11" a="1"/>
  <c r="AP92" i="11" s="1"/>
  <c r="AP103" i="11" a="1"/>
  <c r="AP103" i="11" s="1"/>
  <c r="AP133" i="11" s="1"/>
  <c r="AP90" i="11" a="1"/>
  <c r="AP90" i="11" s="1"/>
  <c r="AO118" i="11" a="1"/>
  <c r="AO118" i="11" s="1"/>
  <c r="AO148" i="11" s="1"/>
  <c r="AP71" i="11" a="1"/>
  <c r="AP71" i="11" s="1"/>
  <c r="AP116" i="11" a="1"/>
  <c r="AP116" i="11" s="1"/>
  <c r="AP146" i="11" s="1"/>
  <c r="AP100" i="11" a="1"/>
  <c r="AP100" i="11" s="1"/>
  <c r="AP130" i="11" s="1"/>
  <c r="AP91" i="11" a="1"/>
  <c r="AP91" i="11" s="1"/>
  <c r="AP112" i="11" a="1"/>
  <c r="AP112" i="11" s="1"/>
  <c r="AP142" i="11" s="1"/>
  <c r="AP88" i="11" a="1"/>
  <c r="AP88" i="11" s="1"/>
  <c r="AR102" i="11" a="1"/>
  <c r="AR102" i="11" s="1"/>
  <c r="AR132" i="11" s="1"/>
  <c r="AQ94" i="11" a="1"/>
  <c r="AQ94" i="11" s="1"/>
  <c r="AP104" i="11" a="1"/>
  <c r="AP104" i="11" s="1"/>
  <c r="AP134" i="11" s="1"/>
  <c r="AP87" i="11" a="1"/>
  <c r="AP87" i="11" s="1"/>
  <c r="AQ99" i="11" a="1"/>
  <c r="AQ99" i="11" s="1"/>
  <c r="AQ129" i="11" s="1"/>
  <c r="AQ98" i="11" a="1"/>
  <c r="AQ98" i="11" s="1"/>
  <c r="AQ128" i="11" s="1"/>
  <c r="AQ73" i="11" a="1"/>
  <c r="AQ73" i="11" s="1"/>
  <c r="AP67" i="11" a="1"/>
  <c r="AP67" i="11" s="1"/>
  <c r="AQ108" i="11" a="1"/>
  <c r="AQ108" i="11" s="1"/>
  <c r="AQ138" i="11" s="1"/>
  <c r="AQ92" i="11" a="1"/>
  <c r="AQ92" i="11" s="1"/>
  <c r="AP113" i="11" a="1"/>
  <c r="AP113" i="11" s="1"/>
  <c r="AP143" i="11" s="1"/>
  <c r="AQ107" i="11" a="1"/>
  <c r="AQ107" i="11" s="1"/>
  <c r="AQ137" i="11" s="1"/>
  <c r="AP106" i="11" a="1"/>
  <c r="AP106" i="11" s="1"/>
  <c r="AP136" i="11" s="1"/>
  <c r="AP121" i="11" a="1"/>
  <c r="AP121" i="11" s="1"/>
  <c r="AP151" i="11" s="1"/>
  <c r="AQ124" i="11" a="1"/>
  <c r="AQ124" i="11" s="1"/>
  <c r="AQ154" i="11" s="1"/>
  <c r="AP117" i="11" a="1"/>
  <c r="AP117" i="11" s="1"/>
  <c r="AP147" i="11" s="1"/>
  <c r="AP82" i="11" a="1"/>
  <c r="AP82" i="11" s="1"/>
  <c r="AR123" i="11" a="1"/>
  <c r="AR123" i="11" s="1"/>
  <c r="AR153" i="11" s="1"/>
  <c r="AR72" i="11" a="1"/>
  <c r="AR72" i="11" s="1"/>
  <c r="AP96" i="11" a="1"/>
  <c r="AP96" i="11" s="1"/>
  <c r="AP126" i="11" s="1"/>
  <c r="AP74" i="11" a="1"/>
  <c r="AP74" i="11" s="1"/>
  <c r="AR115" i="11" a="1"/>
  <c r="AR115" i="11" s="1"/>
  <c r="AR145" i="11" s="1"/>
  <c r="AQ69" i="11" a="1"/>
  <c r="AQ69" i="11" s="1"/>
  <c r="AQ122" i="11" a="1"/>
  <c r="AQ122" i="11" s="1"/>
  <c r="AQ152" i="11" s="1"/>
  <c r="AQ116" i="11" a="1"/>
  <c r="AQ116" i="11" s="1"/>
  <c r="AQ146" i="11" s="1"/>
  <c r="AP75" i="11" a="1"/>
  <c r="AP75" i="11" s="1"/>
  <c r="AP81" i="11" a="1"/>
  <c r="AP81" i="11" s="1"/>
  <c r="AP89" i="11" a="1"/>
  <c r="AP89" i="11" s="1"/>
  <c r="AP84" i="11" a="1"/>
  <c r="AP84" i="11" s="1"/>
  <c r="AQ77" i="11" a="1"/>
  <c r="AQ77" i="11" s="1"/>
  <c r="AQ90" i="11" a="1"/>
  <c r="AQ90" i="11" s="1"/>
  <c r="AQ79" i="11" a="1"/>
  <c r="AQ79" i="11" s="1"/>
  <c r="AQ71" i="11" a="1"/>
  <c r="AQ71" i="11" s="1"/>
  <c r="AP76" i="11" a="1"/>
  <c r="AP76" i="11" s="1"/>
  <c r="AR110" i="11" a="1"/>
  <c r="AR110" i="11" s="1"/>
  <c r="AR140" i="11" s="1"/>
  <c r="AR93" i="11" a="1"/>
  <c r="AR93" i="11" s="1"/>
  <c r="AQ103" i="11" a="1"/>
  <c r="AQ103" i="11" s="1"/>
  <c r="AQ133" i="11" s="1"/>
  <c r="AP66" i="11" a="1"/>
  <c r="AP66" i="11" s="1"/>
  <c r="AP97" i="11" a="1"/>
  <c r="AP97" i="11" s="1"/>
  <c r="AP127" i="11" s="1"/>
  <c r="AR85" i="11" a="1"/>
  <c r="AR85" i="11" s="1"/>
  <c r="AP105" i="11" a="1"/>
  <c r="AP105" i="11" s="1"/>
  <c r="AP135" i="11" s="1"/>
  <c r="AQ70" i="11" a="1"/>
  <c r="AQ70" i="11" s="1"/>
  <c r="AP119" i="11" a="1"/>
  <c r="AP119" i="11" s="1"/>
  <c r="AP149" i="11" s="1"/>
  <c r="AQ86" i="11" a="1"/>
  <c r="AQ86" i="11" s="1"/>
  <c r="AQ120" i="11" a="1"/>
  <c r="AQ120" i="11" s="1"/>
  <c r="AQ150" i="11" s="1"/>
  <c r="AQ109" i="11" a="1"/>
  <c r="AQ109" i="11" s="1"/>
  <c r="AQ139" i="11" s="1"/>
  <c r="AQ95" i="11" a="1"/>
  <c r="AQ95" i="11" s="1"/>
  <c r="AQ125" i="11" s="1"/>
  <c r="AP118" i="11" a="1"/>
  <c r="AP118" i="11" s="1"/>
  <c r="AP148" i="11" s="1"/>
  <c r="AR80" i="11" a="1"/>
  <c r="AR80" i="11" s="1"/>
  <c r="AQ100" i="11" a="1"/>
  <c r="AQ100" i="11" s="1"/>
  <c r="AQ130" i="11" s="1"/>
  <c r="AQ68" i="11" a="1"/>
  <c r="AQ68" i="11" s="1"/>
  <c r="AP111" i="11" a="1"/>
  <c r="AP111" i="11" s="1"/>
  <c r="AP141" i="11" s="1"/>
  <c r="AQ78" i="11" a="1"/>
  <c r="AQ78" i="11" s="1"/>
  <c r="AP114" i="11" a="1"/>
  <c r="AP114" i="11" s="1"/>
  <c r="AP144" i="11" s="1"/>
  <c r="AP83" i="11" a="1"/>
  <c r="AP83" i="11" s="1"/>
  <c r="AQ101" i="11" a="1"/>
  <c r="AQ101" i="11" s="1"/>
  <c r="AQ131" i="11" s="1"/>
  <c r="AQ65" i="11" a="1"/>
  <c r="AQ65" i="11" s="1"/>
  <c r="AQ84" i="11" a="1"/>
  <c r="AQ84" i="11" s="1"/>
  <c r="AR99" i="11" a="1"/>
  <c r="AR99" i="11" s="1"/>
  <c r="AR129" i="11" s="1"/>
  <c r="AQ91" i="11" a="1"/>
  <c r="AQ91" i="11" s="1"/>
  <c r="AR120" i="11" a="1"/>
  <c r="AR120" i="11" s="1"/>
  <c r="AR150" i="11" s="1"/>
  <c r="AR65" i="11" a="1"/>
  <c r="AR65" i="11" s="1"/>
  <c r="AR103" i="11" a="1"/>
  <c r="AR103" i="11" s="1"/>
  <c r="AR133" i="11" s="1"/>
  <c r="AQ83" i="11" a="1"/>
  <c r="AQ83" i="11" s="1"/>
  <c r="AS123" i="11" a="1"/>
  <c r="AS123" i="11" s="1"/>
  <c r="AS153" i="11" s="1"/>
  <c r="AQ117" i="11" a="1"/>
  <c r="AQ117" i="11" s="1"/>
  <c r="AQ147" i="11" s="1"/>
  <c r="AR90" i="11" a="1"/>
  <c r="AR90" i="11" s="1"/>
  <c r="AR122" i="11" a="1"/>
  <c r="AR122" i="11" s="1"/>
  <c r="AR152" i="11" s="1"/>
  <c r="AR73" i="11" a="1"/>
  <c r="AR73" i="11" s="1"/>
  <c r="AR107" i="11" a="1"/>
  <c r="AR107" i="11" s="1"/>
  <c r="AR137" i="11" s="1"/>
  <c r="AS93" i="11" a="1"/>
  <c r="AS93" i="11" s="1"/>
  <c r="AR77" i="11" a="1"/>
  <c r="AR77" i="11" s="1"/>
  <c r="AS102" i="11" a="1"/>
  <c r="AS102" i="11" s="1"/>
  <c r="AS132" i="11" s="1"/>
  <c r="AR69" i="11" a="1"/>
  <c r="AR69" i="11" s="1"/>
  <c r="AR98" i="11" a="1"/>
  <c r="AR98" i="11" s="1"/>
  <c r="AR128" i="11" s="1"/>
  <c r="AS115" i="11" a="1"/>
  <c r="AS115" i="11" s="1"/>
  <c r="AS145" i="11" s="1"/>
  <c r="AS72" i="11" a="1"/>
  <c r="AS72" i="11" s="1"/>
  <c r="AQ111" i="11" a="1"/>
  <c r="AQ111" i="11" s="1"/>
  <c r="AQ141" i="11" s="1"/>
  <c r="AQ87" i="11" a="1"/>
  <c r="AQ87" i="11" s="1"/>
  <c r="AQ106" i="11" a="1"/>
  <c r="AQ106" i="11" s="1"/>
  <c r="AQ136" i="11" s="1"/>
  <c r="AR92" i="11" a="1"/>
  <c r="AR92" i="11" s="1"/>
  <c r="AQ81" i="11" a="1"/>
  <c r="AQ81" i="11" s="1"/>
  <c r="AQ104" i="11" a="1"/>
  <c r="AQ104" i="11" s="1"/>
  <c r="AQ134" i="11" s="1"/>
  <c r="AQ76" i="11" a="1"/>
  <c r="AQ76" i="11" s="1"/>
  <c r="AR108" i="11" a="1"/>
  <c r="AR108" i="11" s="1"/>
  <c r="AR138" i="11" s="1"/>
  <c r="AR68" i="11" a="1"/>
  <c r="AR68" i="11" s="1"/>
  <c r="AS110" i="11" a="1"/>
  <c r="AS110" i="11" s="1"/>
  <c r="AS140" i="11" s="1"/>
  <c r="AS85" i="11" a="1"/>
  <c r="AS85" i="11" s="1"/>
  <c r="AR116" i="11" a="1"/>
  <c r="AR116" i="11" s="1"/>
  <c r="AR146" i="11" s="1"/>
  <c r="AR94" i="11" a="1"/>
  <c r="AR94" i="11" s="1"/>
  <c r="AQ97" i="11" a="1"/>
  <c r="AQ97" i="11" s="1"/>
  <c r="AQ127" i="11" s="1"/>
  <c r="AQ89" i="11" a="1"/>
  <c r="AQ89" i="11" s="1"/>
  <c r="AQ121" i="11" a="1"/>
  <c r="AQ121" i="11" s="1"/>
  <c r="AQ151" i="11" s="1"/>
  <c r="AQ75" i="11" a="1"/>
  <c r="AQ75" i="11" s="1"/>
  <c r="AQ88" i="11" a="1"/>
  <c r="AQ88" i="11" s="1"/>
  <c r="AR109" i="11" a="1"/>
  <c r="AR109" i="11" s="1"/>
  <c r="AR139" i="11" s="1"/>
  <c r="AQ74" i="11" a="1"/>
  <c r="AQ74" i="11" s="1"/>
  <c r="AR124" i="11" a="1"/>
  <c r="AR124" i="11" s="1"/>
  <c r="AR154" i="11" s="1"/>
  <c r="AR78" i="11" a="1"/>
  <c r="AR78" i="11" s="1"/>
  <c r="AR100" i="11" a="1"/>
  <c r="AR100" i="11" s="1"/>
  <c r="AR130" i="11" s="1"/>
  <c r="AS80" i="11" a="1"/>
  <c r="AS80" i="11" s="1"/>
  <c r="AQ119" i="11" a="1"/>
  <c r="AQ119" i="11" s="1"/>
  <c r="AQ149" i="11" s="1"/>
  <c r="AR79" i="11" a="1"/>
  <c r="AR79" i="11" s="1"/>
  <c r="AR101" i="11" a="1"/>
  <c r="AR101" i="11" s="1"/>
  <c r="AR131" i="11" s="1"/>
  <c r="AR70" i="11" a="1"/>
  <c r="AR70" i="11" s="1"/>
  <c r="AQ96" i="11" a="1"/>
  <c r="AQ96" i="11" s="1"/>
  <c r="AQ126" i="11" s="1"/>
  <c r="AQ114" i="11" a="1"/>
  <c r="AQ114" i="11" s="1"/>
  <c r="AQ144" i="11" s="1"/>
  <c r="AQ82" i="11" a="1"/>
  <c r="AQ82" i="11" s="1"/>
  <c r="AR95" i="11" a="1"/>
  <c r="AR95" i="11" s="1"/>
  <c r="AR125" i="11" s="1"/>
  <c r="AQ113" i="11" a="1"/>
  <c r="AQ113" i="11" s="1"/>
  <c r="AQ143" i="11" s="1"/>
  <c r="AR86" i="11" a="1"/>
  <c r="AR86" i="11" s="1"/>
  <c r="AQ112" i="11" a="1"/>
  <c r="AQ112" i="11" s="1"/>
  <c r="AQ142" i="11" s="1"/>
  <c r="AR71" i="11" a="1"/>
  <c r="AR71" i="11" s="1"/>
  <c r="AQ105" i="11" a="1"/>
  <c r="AQ105" i="11" s="1"/>
  <c r="AQ135" i="11" s="1"/>
  <c r="AQ67" i="11" a="1"/>
  <c r="AQ67" i="11" s="1"/>
  <c r="AQ118" i="11" a="1"/>
  <c r="AQ118" i="11" s="1"/>
  <c r="AQ148" i="11" s="1"/>
  <c r="AQ66" i="11" a="1"/>
  <c r="AQ66" i="11" s="1"/>
  <c r="AS65" i="11" a="1"/>
  <c r="AS65" i="11" s="1"/>
  <c r="AS90" i="11" a="1"/>
  <c r="AS90" i="11" s="1"/>
  <c r="AS71" i="11" a="1"/>
  <c r="AS71" i="11" s="1"/>
  <c r="AS99" i="11" a="1"/>
  <c r="AS99" i="11" s="1"/>
  <c r="AS129" i="11" s="1"/>
  <c r="AS79" i="11" a="1"/>
  <c r="AS79" i="11" s="1"/>
  <c r="AR104" i="11" a="1"/>
  <c r="AR104" i="11" s="1"/>
  <c r="AR134" i="11" s="1"/>
  <c r="AS77" i="11" a="1"/>
  <c r="AS77" i="11" s="1"/>
  <c r="AT102" i="11" a="1"/>
  <c r="AT102" i="11" s="1"/>
  <c r="AT132" i="11" s="1"/>
  <c r="AS120" i="11" a="1"/>
  <c r="AS120" i="11" s="1"/>
  <c r="AS150" i="11" s="1"/>
  <c r="AS100" i="11" a="1"/>
  <c r="AS100" i="11" s="1"/>
  <c r="AS130" i="11" s="1"/>
  <c r="AR106" i="11" a="1"/>
  <c r="AR106" i="11" s="1"/>
  <c r="AR136" i="11" s="1"/>
  <c r="AT110" i="11" a="1"/>
  <c r="AT110" i="11" s="1"/>
  <c r="AT140" i="11" s="1"/>
  <c r="AS122" i="11" a="1"/>
  <c r="AS122" i="11" s="1"/>
  <c r="AS152" i="11" s="1"/>
  <c r="AS68" i="11" a="1"/>
  <c r="AS68" i="11" s="1"/>
  <c r="AS103" i="11" a="1"/>
  <c r="AS103" i="11" s="1"/>
  <c r="AS133" i="11" s="1"/>
  <c r="AR96" i="11" a="1"/>
  <c r="AR96" i="11" s="1"/>
  <c r="AR126" i="11" s="1"/>
  <c r="AS69" i="11" a="1"/>
  <c r="AS69" i="11" s="1"/>
  <c r="AR74" i="11" a="1"/>
  <c r="AR74" i="11" s="1"/>
  <c r="AT72" i="11" a="1"/>
  <c r="AT72" i="11" s="1"/>
  <c r="AR76" i="11" a="1"/>
  <c r="AR76" i="11" s="1"/>
  <c r="AS101" i="11" a="1"/>
  <c r="AS101" i="11" s="1"/>
  <c r="AS131" i="11" s="1"/>
  <c r="AS107" i="11" a="1"/>
  <c r="AS107" i="11" s="1"/>
  <c r="AS137" i="11" s="1"/>
  <c r="AS73" i="11" a="1"/>
  <c r="AS73" i="11" s="1"/>
  <c r="AR121" i="11" a="1"/>
  <c r="AR121" i="11" s="1"/>
  <c r="AR151" i="11" s="1"/>
  <c r="AR66" i="11" a="1"/>
  <c r="AR66" i="11" s="1"/>
  <c r="AS116" i="11" a="1"/>
  <c r="AS116" i="11" s="1"/>
  <c r="AS146" i="11" s="1"/>
  <c r="AS70" i="11" a="1"/>
  <c r="AS70" i="11" s="1"/>
  <c r="AR91" i="11" a="1"/>
  <c r="AR91" i="11" s="1"/>
  <c r="AR118" i="11" a="1"/>
  <c r="AR118" i="11" s="1"/>
  <c r="AR148" i="11" s="1"/>
  <c r="AS86" i="11" a="1"/>
  <c r="AS86" i="11" s="1"/>
  <c r="AR105" i="11" a="1"/>
  <c r="AR105" i="11" s="1"/>
  <c r="AR135" i="11" s="1"/>
  <c r="AT80" i="11" a="1"/>
  <c r="AT80" i="11" s="1"/>
  <c r="AT115" i="11" a="1"/>
  <c r="AT115" i="11" s="1"/>
  <c r="AT145" i="11" s="1"/>
  <c r="AS92" i="11" a="1"/>
  <c r="AS92" i="11" s="1"/>
  <c r="AR83" i="11" a="1"/>
  <c r="AR83" i="11" s="1"/>
  <c r="AR67" i="11" a="1"/>
  <c r="AR67" i="11" s="1"/>
  <c r="AS78" i="11" a="1"/>
  <c r="AS78" i="11" s="1"/>
  <c r="AR117" i="11" a="1"/>
  <c r="AR117" i="11" s="1"/>
  <c r="AR147" i="11" s="1"/>
  <c r="AS95" i="11" a="1"/>
  <c r="AS95" i="11" s="1"/>
  <c r="AS125" i="11" s="1"/>
  <c r="AR82" i="11" a="1"/>
  <c r="AR82" i="11" s="1"/>
  <c r="AS109" i="11" a="1"/>
  <c r="AS109" i="11" s="1"/>
  <c r="AS139" i="11" s="1"/>
  <c r="AR113" i="11" a="1"/>
  <c r="AR113" i="11" s="1"/>
  <c r="AR143" i="11" s="1"/>
  <c r="AR88" i="11" a="1"/>
  <c r="AR88" i="11" s="1"/>
  <c r="AR97" i="11" a="1"/>
  <c r="AR97" i="11" s="1"/>
  <c r="AR127" i="11" s="1"/>
  <c r="AR75" i="11" a="1"/>
  <c r="AR75" i="11" s="1"/>
  <c r="AS124" i="11" a="1"/>
  <c r="AS124" i="11" s="1"/>
  <c r="AS154" i="11" s="1"/>
  <c r="AT85" i="11" a="1"/>
  <c r="AT85" i="11" s="1"/>
  <c r="AR111" i="11" a="1"/>
  <c r="AR111" i="11" s="1"/>
  <c r="AR141" i="11" s="1"/>
  <c r="AR114" i="11" a="1"/>
  <c r="AR114" i="11" s="1"/>
  <c r="AR144" i="11" s="1"/>
  <c r="AT123" i="11" a="1"/>
  <c r="AT123" i="11" s="1"/>
  <c r="AT153" i="11" s="1"/>
  <c r="AS94" i="11" a="1"/>
  <c r="AS94" i="11" s="1"/>
  <c r="AR81" i="11" a="1"/>
  <c r="AR81" i="11" s="1"/>
  <c r="AR84" i="11" a="1"/>
  <c r="AR84" i="11" s="1"/>
  <c r="AR112" i="11" a="1"/>
  <c r="AR112" i="11" s="1"/>
  <c r="AR142" i="11" s="1"/>
  <c r="AT93" i="11" a="1"/>
  <c r="AT93" i="11" s="1"/>
  <c r="AR119" i="11" a="1"/>
  <c r="AR119" i="11" s="1"/>
  <c r="AR149" i="11" s="1"/>
  <c r="AS108" i="11" a="1"/>
  <c r="AS108" i="11" s="1"/>
  <c r="AS138" i="11" s="1"/>
  <c r="AS98" i="11" a="1"/>
  <c r="AS98" i="11" s="1"/>
  <c r="AS128" i="11" s="1"/>
  <c r="AR87" i="11" a="1"/>
  <c r="AR87" i="11" s="1"/>
  <c r="AR89" i="11" a="1"/>
  <c r="AR89" i="11" s="1"/>
  <c r="AT71" i="11" a="1"/>
  <c r="AT71" i="11" s="1"/>
  <c r="AT120" i="11" a="1"/>
  <c r="AT120" i="11" s="1"/>
  <c r="AT150" i="11" s="1"/>
  <c r="AU93" i="11" a="1"/>
  <c r="AU93" i="11" s="1"/>
  <c r="AS111" i="11" a="1"/>
  <c r="AS111" i="11" s="1"/>
  <c r="AS141" i="11" s="1"/>
  <c r="AU85" i="11" a="1"/>
  <c r="AU85" i="11" s="1"/>
  <c r="AS121" i="11" a="1"/>
  <c r="AS121" i="11" s="1"/>
  <c r="AS151" i="11" s="1"/>
  <c r="AS76" i="11" a="1"/>
  <c r="AS76" i="11" s="1"/>
  <c r="AT103" i="11" a="1"/>
  <c r="AT103" i="11" s="1"/>
  <c r="AT133" i="11" s="1"/>
  <c r="AU110" i="11" a="1"/>
  <c r="AU110" i="11" s="1"/>
  <c r="AU140" i="11" s="1"/>
  <c r="AT73" i="11" a="1"/>
  <c r="AT73" i="11" s="1"/>
  <c r="AT100" i="11" a="1"/>
  <c r="AT100" i="11" s="1"/>
  <c r="AT130" i="11" s="1"/>
  <c r="AT99" i="11" a="1"/>
  <c r="AT99" i="11" s="1"/>
  <c r="AT129" i="11" s="1"/>
  <c r="AS118" i="11" a="1"/>
  <c r="AS118" i="11" s="1"/>
  <c r="AS148" i="11" s="1"/>
  <c r="AS106" i="11" a="1"/>
  <c r="AS106" i="11" s="1"/>
  <c r="AS136" i="11" s="1"/>
  <c r="AT107" i="11" a="1"/>
  <c r="AT107" i="11" s="1"/>
  <c r="AT137" i="11" s="1"/>
  <c r="AT90" i="11" a="1"/>
  <c r="AT90" i="11" s="1"/>
  <c r="AS117" i="11" a="1"/>
  <c r="AS117" i="11" s="1"/>
  <c r="AS147" i="11" s="1"/>
  <c r="AS81" i="11" a="1"/>
  <c r="AS81" i="11" s="1"/>
  <c r="AS113" i="11" a="1"/>
  <c r="AS113" i="11" s="1"/>
  <c r="AS143" i="11" s="1"/>
  <c r="AS91" i="11" a="1"/>
  <c r="AS91" i="11" s="1"/>
  <c r="AS96" i="11" a="1"/>
  <c r="AS96" i="11" s="1"/>
  <c r="AS126" i="11" s="1"/>
  <c r="AS82" i="11" a="1"/>
  <c r="AS82" i="11" s="1"/>
  <c r="AT77" i="11" a="1"/>
  <c r="AT77" i="11" s="1"/>
  <c r="AT95" i="11" a="1"/>
  <c r="AT95" i="11" s="1"/>
  <c r="AT125" i="11" s="1"/>
  <c r="AS87" i="11" a="1"/>
  <c r="AS87" i="11" s="1"/>
  <c r="AS114" i="11" a="1"/>
  <c r="AS114" i="11" s="1"/>
  <c r="AS144" i="11" s="1"/>
  <c r="AS83" i="11" a="1"/>
  <c r="AS83" i="11" s="1"/>
  <c r="AS105" i="11" a="1"/>
  <c r="AS105" i="11" s="1"/>
  <c r="AS135" i="11" s="1"/>
  <c r="AU80" i="11" a="1"/>
  <c r="AU80" i="11" s="1"/>
  <c r="AT116" i="11" a="1"/>
  <c r="AT116" i="11" s="1"/>
  <c r="AT146" i="11" s="1"/>
  <c r="AS66" i="11" a="1"/>
  <c r="AS66" i="11" s="1"/>
  <c r="AU115" i="11" a="1"/>
  <c r="AU115" i="11" s="1"/>
  <c r="AU145" i="11" s="1"/>
  <c r="AT65" i="11" a="1"/>
  <c r="AT65" i="11" s="1"/>
  <c r="AT98" i="11" a="1"/>
  <c r="AT98" i="11" s="1"/>
  <c r="AT128" i="11" s="1"/>
  <c r="AS84" i="11" a="1"/>
  <c r="AS84" i="11" s="1"/>
  <c r="AT124" i="11" a="1"/>
  <c r="AT124" i="11" s="1"/>
  <c r="AT154" i="11" s="1"/>
  <c r="AS75" i="11" a="1"/>
  <c r="AS75" i="11" s="1"/>
  <c r="AT70" i="11" a="1"/>
  <c r="AT70" i="11" s="1"/>
  <c r="AS97" i="11" a="1"/>
  <c r="AS97" i="11" s="1"/>
  <c r="AS127" i="11" s="1"/>
  <c r="AS67" i="11" a="1"/>
  <c r="AS67" i="11" s="1"/>
  <c r="AT109" i="11" a="1"/>
  <c r="AT109" i="11" s="1"/>
  <c r="AT139" i="11" s="1"/>
  <c r="AT68" i="11" a="1"/>
  <c r="AT68" i="11" s="1"/>
  <c r="AT108" i="11" a="1"/>
  <c r="AT108" i="11" s="1"/>
  <c r="AT138" i="11" s="1"/>
  <c r="AT94" i="11" a="1"/>
  <c r="AT94" i="11" s="1"/>
  <c r="AU72" i="11" a="1"/>
  <c r="AU72" i="11" s="1"/>
  <c r="AT69" i="11" a="1"/>
  <c r="AT69" i="11" s="1"/>
  <c r="AT86" i="11" a="1"/>
  <c r="AT86" i="11" s="1"/>
  <c r="AS89" i="11" a="1"/>
  <c r="AS89" i="11" s="1"/>
  <c r="AT122" i="11" a="1"/>
  <c r="AT122" i="11" s="1"/>
  <c r="AT152" i="11" s="1"/>
  <c r="AU123" i="11" a="1"/>
  <c r="AU123" i="11" s="1"/>
  <c r="AU153" i="11" s="1"/>
  <c r="AT92" i="11" a="1"/>
  <c r="AT92" i="11" s="1"/>
  <c r="AT79" i="11" a="1"/>
  <c r="AT79" i="11" s="1"/>
  <c r="AS104" i="11" a="1"/>
  <c r="AS104" i="11" s="1"/>
  <c r="AS134" i="11" s="1"/>
  <c r="AT78" i="11" a="1"/>
  <c r="AT78" i="11" s="1"/>
  <c r="AS119" i="11" a="1"/>
  <c r="AS119" i="11" s="1"/>
  <c r="AS149" i="11" s="1"/>
  <c r="AU102" i="11" a="1"/>
  <c r="AU102" i="11" s="1"/>
  <c r="AU132" i="11" s="1"/>
  <c r="AS74" i="11" a="1"/>
  <c r="AS74" i="11" s="1"/>
  <c r="AS112" i="11" a="1"/>
  <c r="AS112" i="11" s="1"/>
  <c r="AS142" i="11" s="1"/>
  <c r="AS88" i="11" a="1"/>
  <c r="AS88" i="11" s="1"/>
  <c r="AT101" i="11" a="1"/>
  <c r="AT101" i="11" s="1"/>
  <c r="AT131" i="11" s="1"/>
  <c r="AT91" i="11" a="1"/>
  <c r="AT91" i="11" s="1"/>
  <c r="AT112" i="11" a="1"/>
  <c r="AT112" i="11" s="1"/>
  <c r="AT142" i="11" s="1"/>
  <c r="AU73" i="11" a="1"/>
  <c r="AU73" i="11" s="1"/>
  <c r="AU109" i="11" a="1"/>
  <c r="AU109" i="11" s="1"/>
  <c r="AU139" i="11" s="1"/>
  <c r="AU68" i="11" a="1"/>
  <c r="AU68" i="11" s="1"/>
  <c r="AU70" i="11" a="1"/>
  <c r="AU70" i="11" s="1"/>
  <c r="AV80" i="11" a="1"/>
  <c r="AV80" i="11" s="1"/>
  <c r="AU107" i="11" a="1"/>
  <c r="AU107" i="11" s="1"/>
  <c r="AU137" i="11" s="1"/>
  <c r="AU116" i="11" a="1"/>
  <c r="AU116" i="11" s="1"/>
  <c r="AU146" i="11" s="1"/>
  <c r="AU100" i="11" a="1"/>
  <c r="AU100" i="11" s="1"/>
  <c r="AU130" i="11" s="1"/>
  <c r="AT105" i="11" a="1"/>
  <c r="AT105" i="11" s="1"/>
  <c r="AT135" i="11" s="1"/>
  <c r="AT88" i="11" a="1"/>
  <c r="AT88" i="11" s="1"/>
  <c r="AV123" i="11" a="1"/>
  <c r="AV123" i="11" s="1"/>
  <c r="AV153" i="11" s="1"/>
  <c r="AT82" i="11" a="1"/>
  <c r="AT82" i="11" s="1"/>
  <c r="AT119" i="11" a="1"/>
  <c r="AT119" i="11" s="1"/>
  <c r="AT149" i="11" s="1"/>
  <c r="AU79" i="11" a="1"/>
  <c r="AU79" i="11" s="1"/>
  <c r="AT81" i="11" a="1"/>
  <c r="AT81" i="11" s="1"/>
  <c r="AU77" i="11" a="1"/>
  <c r="AU77" i="11" s="1"/>
  <c r="AU99" i="11" a="1"/>
  <c r="AU99" i="11" s="1"/>
  <c r="AU129" i="11" s="1"/>
  <c r="AT121" i="11" a="1"/>
  <c r="AT121" i="11" s="1"/>
  <c r="AT151" i="11" s="1"/>
  <c r="AV93" i="11" a="1"/>
  <c r="AV93" i="11" s="1"/>
  <c r="AU120" i="11" a="1"/>
  <c r="AU120" i="11" s="1"/>
  <c r="AU150" i="11" s="1"/>
  <c r="AT89" i="11" a="1"/>
  <c r="AT89" i="11" s="1"/>
  <c r="AV102" i="11" a="1"/>
  <c r="AV102" i="11" s="1"/>
  <c r="AV132" i="11" s="1"/>
  <c r="AU86" i="11" a="1"/>
  <c r="AU86" i="11" s="1"/>
  <c r="AT106" i="11" a="1"/>
  <c r="AT106" i="11" s="1"/>
  <c r="AT136" i="11" s="1"/>
  <c r="AT111" i="11" a="1"/>
  <c r="AT111" i="11" s="1"/>
  <c r="AT141" i="11" s="1"/>
  <c r="AT113" i="11" a="1"/>
  <c r="AT113" i="11" s="1"/>
  <c r="AT143" i="11" s="1"/>
  <c r="AU69" i="11" a="1"/>
  <c r="AU69" i="11" s="1"/>
  <c r="AV110" i="11" a="1"/>
  <c r="AV110" i="11" s="1"/>
  <c r="AV140" i="11" s="1"/>
  <c r="AU90" i="11" a="1"/>
  <c r="AU90" i="11" s="1"/>
  <c r="AT96" i="11" a="1"/>
  <c r="AT96" i="11" s="1"/>
  <c r="AT126" i="11" s="1"/>
  <c r="AV72" i="11" a="1"/>
  <c r="AV72" i="11" s="1"/>
  <c r="AV115" i="11" a="1"/>
  <c r="AV115" i="11" s="1"/>
  <c r="AV145" i="11" s="1"/>
  <c r="AT76" i="11" a="1"/>
  <c r="AT76" i="11" s="1"/>
  <c r="AT114" i="11" a="1"/>
  <c r="AT114" i="11" s="1"/>
  <c r="AT144" i="11" s="1"/>
  <c r="AT83" i="11" a="1"/>
  <c r="AT83" i="11" s="1"/>
  <c r="AU101" i="11" a="1"/>
  <c r="AU101" i="11" s="1"/>
  <c r="AU131" i="11" s="1"/>
  <c r="AT66" i="11" a="1"/>
  <c r="AT66" i="11" s="1"/>
  <c r="AT74" i="11" a="1"/>
  <c r="AT74" i="11" s="1"/>
  <c r="AV85" i="11" a="1"/>
  <c r="AV85" i="11" s="1"/>
  <c r="AU124" i="11" a="1"/>
  <c r="AU124" i="11" s="1"/>
  <c r="AU154" i="11" s="1"/>
  <c r="AT84" i="11" a="1"/>
  <c r="AT84" i="11" s="1"/>
  <c r="AT75" i="11" a="1"/>
  <c r="AT75" i="11" s="1"/>
  <c r="AU78" i="11" a="1"/>
  <c r="AU78" i="11" s="1"/>
  <c r="AT117" i="11" a="1"/>
  <c r="AT117" i="11" s="1"/>
  <c r="AT147" i="11" s="1"/>
  <c r="AU95" i="11" a="1"/>
  <c r="AU95" i="11" s="1"/>
  <c r="AU125" i="11" s="1"/>
  <c r="AU103" i="11" a="1"/>
  <c r="AU103" i="11" s="1"/>
  <c r="AU133" i="11" s="1"/>
  <c r="AU98" i="11" a="1"/>
  <c r="AU98" i="11" s="1"/>
  <c r="AU128" i="11" s="1"/>
  <c r="AU71" i="11" a="1"/>
  <c r="AU71" i="11" s="1"/>
  <c r="AT97" i="11" a="1"/>
  <c r="AT97" i="11" s="1"/>
  <c r="AT127" i="11" s="1"/>
  <c r="AT104" i="11" a="1"/>
  <c r="AT104" i="11" s="1"/>
  <c r="AT134" i="11" s="1"/>
  <c r="AU94" i="11" a="1"/>
  <c r="AU94" i="11" s="1"/>
  <c r="AU65" i="11" a="1"/>
  <c r="AU65" i="11" s="1"/>
  <c r="AT67" i="11" a="1"/>
  <c r="AT67" i="11" s="1"/>
  <c r="AT118" i="11" a="1"/>
  <c r="AT118" i="11" s="1"/>
  <c r="AT148" i="11" s="1"/>
  <c r="AU108" i="11" a="1"/>
  <c r="AU108" i="11" s="1"/>
  <c r="AU138" i="11" s="1"/>
  <c r="AU122" i="11" a="1"/>
  <c r="AU122" i="11" s="1"/>
  <c r="AU152" i="11" s="1"/>
  <c r="AT87" i="11" a="1"/>
  <c r="AT87" i="11" s="1"/>
  <c r="AU92" i="11" a="1"/>
  <c r="AU92" i="11" s="1"/>
  <c r="AU91" i="11" a="1"/>
  <c r="AU91" i="11" s="1"/>
  <c r="AV95" i="11" a="1"/>
  <c r="AV95" i="11" s="1"/>
  <c r="AV125" i="11" s="1"/>
  <c r="AV92" i="11" a="1"/>
  <c r="AV92" i="11" s="1"/>
  <c r="AU104" i="11" a="1"/>
  <c r="AU104" i="11" s="1"/>
  <c r="AU134" i="11" s="1"/>
  <c r="AU96" i="11" a="1"/>
  <c r="AU96" i="11" s="1"/>
  <c r="AU126" i="11" s="1"/>
  <c r="AW102" i="11" a="1"/>
  <c r="AW102" i="11" s="1"/>
  <c r="AW132" i="11" s="1"/>
  <c r="AU81" i="11" a="1"/>
  <c r="AU81" i="11" s="1"/>
  <c r="AW123" i="11" a="1"/>
  <c r="AW123" i="11" s="1"/>
  <c r="AW153" i="11" s="1"/>
  <c r="AU97" i="11" a="1"/>
  <c r="AU97" i="11" s="1"/>
  <c r="AU127" i="11" s="1"/>
  <c r="AU74" i="11" a="1"/>
  <c r="AU74" i="11" s="1"/>
  <c r="AU114" i="11" a="1"/>
  <c r="AU114" i="11" s="1"/>
  <c r="AU144" i="11" s="1"/>
  <c r="AW72" i="11" a="1"/>
  <c r="AW72" i="11" s="1"/>
  <c r="AU83" i="11" a="1"/>
  <c r="AU83" i="11" s="1"/>
  <c r="AU89" i="11" a="1"/>
  <c r="AU89" i="11" s="1"/>
  <c r="AW80" i="11" a="1"/>
  <c r="AW80" i="11" s="1"/>
  <c r="AV107" i="11" a="1"/>
  <c r="AV107" i="11" s="1"/>
  <c r="AV137" i="11" s="1"/>
  <c r="AV65" i="11" a="1"/>
  <c r="AV65" i="11" s="1"/>
  <c r="AU117" i="11" a="1"/>
  <c r="AU117" i="11" s="1"/>
  <c r="AU147" i="11" s="1"/>
  <c r="AW93" i="11" a="1"/>
  <c r="AW93" i="11" s="1"/>
  <c r="AU106" i="11" a="1"/>
  <c r="AU106" i="11" s="1"/>
  <c r="AU136" i="11" s="1"/>
  <c r="AU76" i="11" a="1"/>
  <c r="AU76" i="11" s="1"/>
  <c r="AV77" i="11" a="1"/>
  <c r="AV77" i="11" s="1"/>
  <c r="AU112" i="11" a="1"/>
  <c r="AU112" i="11" s="1"/>
  <c r="AU142" i="11" s="1"/>
  <c r="AU67" i="11" a="1"/>
  <c r="AU67" i="11" s="1"/>
  <c r="AU75" i="11" a="1"/>
  <c r="AU75" i="11" s="1"/>
  <c r="AU84" i="11" a="1"/>
  <c r="AU84" i="11" s="1"/>
  <c r="AV100" i="11" a="1"/>
  <c r="AV100" i="11" s="1"/>
  <c r="AV130" i="11" s="1"/>
  <c r="AU87" i="11" a="1"/>
  <c r="AU87" i="11" s="1"/>
  <c r="AV116" i="11" a="1"/>
  <c r="AV116" i="11" s="1"/>
  <c r="AV146" i="11" s="1"/>
  <c r="AU121" i="11" a="1"/>
  <c r="AU121" i="11" s="1"/>
  <c r="AU151" i="11" s="1"/>
  <c r="AU82" i="11" a="1"/>
  <c r="AU82" i="11" s="1"/>
  <c r="AV99" i="11" a="1"/>
  <c r="AV99" i="11" s="1"/>
  <c r="AV129" i="11" s="1"/>
  <c r="AU105" i="11" a="1"/>
  <c r="AU105" i="11" s="1"/>
  <c r="AU135" i="11" s="1"/>
  <c r="AV101" i="11" a="1"/>
  <c r="AV101" i="11" s="1"/>
  <c r="AV131" i="11" s="1"/>
  <c r="AV70" i="11" a="1"/>
  <c r="AV70" i="11" s="1"/>
  <c r="AV120" i="11" a="1"/>
  <c r="AV120" i="11" s="1"/>
  <c r="AV150" i="11" s="1"/>
  <c r="AV86" i="11" a="1"/>
  <c r="AV86" i="11" s="1"/>
  <c r="AV122" i="11" a="1"/>
  <c r="AV122" i="11" s="1"/>
  <c r="AV152" i="11" s="1"/>
  <c r="AV103" i="11" a="1"/>
  <c r="AV103" i="11" s="1"/>
  <c r="AV133" i="11" s="1"/>
  <c r="AV69" i="11" a="1"/>
  <c r="AV69" i="11" s="1"/>
  <c r="AV98" i="11" a="1"/>
  <c r="AV98" i="11" s="1"/>
  <c r="AV128" i="11" s="1"/>
  <c r="AV71" i="11" a="1"/>
  <c r="AV71" i="11" s="1"/>
  <c r="AW115" i="11" a="1"/>
  <c r="AW115" i="11" s="1"/>
  <c r="AW145" i="11" s="1"/>
  <c r="AV90" i="11" a="1"/>
  <c r="AV90" i="11" s="1"/>
  <c r="AU113" i="11" a="1"/>
  <c r="AU113" i="11" s="1"/>
  <c r="AU143" i="11" s="1"/>
  <c r="AU119" i="11" a="1"/>
  <c r="AU119" i="11" s="1"/>
  <c r="AU149" i="11" s="1"/>
  <c r="AW110" i="11" a="1"/>
  <c r="AW110" i="11" s="1"/>
  <c r="AW140" i="11" s="1"/>
  <c r="AV78" i="11" a="1"/>
  <c r="AV78" i="11" s="1"/>
  <c r="AU111" i="11" a="1"/>
  <c r="AU111" i="11" s="1"/>
  <c r="AU141" i="11" s="1"/>
  <c r="AV73" i="11" a="1"/>
  <c r="AV73" i="11" s="1"/>
  <c r="AU118" i="11" a="1"/>
  <c r="AU118" i="11" s="1"/>
  <c r="AU148" i="11" s="1"/>
  <c r="AV68" i="11" a="1"/>
  <c r="AV68" i="11" s="1"/>
  <c r="AV124" i="11" a="1"/>
  <c r="AV124" i="11" s="1"/>
  <c r="AV154" i="11" s="1"/>
  <c r="AW85" i="11" a="1"/>
  <c r="AW85" i="11" s="1"/>
  <c r="AV109" i="11" a="1"/>
  <c r="AV109" i="11" s="1"/>
  <c r="AV139" i="11" s="1"/>
  <c r="AU88" i="11" a="1"/>
  <c r="AU88" i="11" s="1"/>
  <c r="AV108" i="11" a="1"/>
  <c r="AV108" i="11" s="1"/>
  <c r="AV138" i="11" s="1"/>
  <c r="AV94" i="11" a="1"/>
  <c r="AV94" i="11" s="1"/>
  <c r="AU66" i="11" a="1"/>
  <c r="AU66" i="11" s="1"/>
  <c r="AV79" i="11" a="1"/>
  <c r="AV79" i="11" s="1"/>
  <c r="AW92" i="11" a="1"/>
  <c r="AW92" i="11" s="1"/>
  <c r="AW109" i="11" a="1"/>
  <c r="AW109" i="11" s="1"/>
  <c r="AW139" i="11" s="1"/>
  <c r="AV88" i="11" a="1"/>
  <c r="AV88" i="11" s="1"/>
  <c r="AX115" i="11" a="1"/>
  <c r="AX115" i="11" s="1"/>
  <c r="AX145" i="11" s="1"/>
  <c r="AW69" i="11" a="1"/>
  <c r="AW69" i="11" s="1"/>
  <c r="AW100" i="11" a="1"/>
  <c r="AW100" i="11" s="1"/>
  <c r="AW130" i="11" s="1"/>
  <c r="AV87" i="11" a="1"/>
  <c r="AV87" i="11" s="1"/>
  <c r="AW107" i="11" a="1"/>
  <c r="AW107" i="11" s="1"/>
  <c r="AW137" i="11" s="1"/>
  <c r="AW120" i="11" a="1"/>
  <c r="AW120" i="11" s="1"/>
  <c r="AW150" i="11" s="1"/>
  <c r="AW70" i="11" a="1"/>
  <c r="AW70" i="11" s="1"/>
  <c r="AV114" i="11" a="1"/>
  <c r="AV114" i="11" s="1"/>
  <c r="AV144" i="11" s="1"/>
  <c r="AX72" i="11" a="1"/>
  <c r="AX72" i="11" s="1"/>
  <c r="AV84" i="11" a="1"/>
  <c r="AV84" i="11" s="1"/>
  <c r="AW101" i="11" a="1"/>
  <c r="AW101" i="11" s="1"/>
  <c r="AW131" i="11" s="1"/>
  <c r="AX110" i="11" a="1"/>
  <c r="AX110" i="11" s="1"/>
  <c r="AX140" i="11" s="1"/>
  <c r="AW95" i="11" a="1"/>
  <c r="AW95" i="11" s="1"/>
  <c r="AW125" i="11" s="1"/>
  <c r="AX80" i="11" a="1"/>
  <c r="AX80" i="11" s="1"/>
  <c r="AW65" i="11" a="1"/>
  <c r="AW65" i="11" s="1"/>
  <c r="AW73" i="11" a="1"/>
  <c r="AW73" i="11" s="1"/>
  <c r="AX123" i="11" a="1"/>
  <c r="AX123" i="11" s="1"/>
  <c r="AX153" i="11" s="1"/>
  <c r="AW79" i="11" a="1"/>
  <c r="AW79" i="11" s="1"/>
  <c r="AV106" i="11" a="1"/>
  <c r="AV106" i="11" s="1"/>
  <c r="AV136" i="11" s="1"/>
  <c r="AX85" i="11" a="1"/>
  <c r="AX85" i="11" s="1"/>
  <c r="AW116" i="11" a="1"/>
  <c r="AW116" i="11" s="1"/>
  <c r="AW146" i="11" s="1"/>
  <c r="AW77" i="11" a="1"/>
  <c r="AW77" i="11" s="1"/>
  <c r="AX102" i="11" a="1"/>
  <c r="AX102" i="11" s="1"/>
  <c r="AX132" i="11" s="1"/>
  <c r="AW78" i="11" a="1"/>
  <c r="AW78" i="11" s="1"/>
  <c r="AW71" i="11" a="1"/>
  <c r="AW71" i="11" s="1"/>
  <c r="AV74" i="11" a="1"/>
  <c r="AV74" i="11" s="1"/>
  <c r="AX93" i="11" a="1"/>
  <c r="AX93" i="11" s="1"/>
  <c r="AV121" i="11" a="1"/>
  <c r="AV121" i="11" s="1"/>
  <c r="AV151" i="11" s="1"/>
  <c r="AV76" i="11" a="1"/>
  <c r="AV76" i="11" s="1"/>
  <c r="AV119" i="11" a="1"/>
  <c r="AV119" i="11" s="1"/>
  <c r="AV149" i="11" s="1"/>
  <c r="AW90" i="11" a="1"/>
  <c r="AW90" i="11" s="1"/>
  <c r="AW86" i="11" a="1"/>
  <c r="AW86" i="11" s="1"/>
  <c r="AV89" i="11" a="1"/>
  <c r="AV89" i="11" s="1"/>
  <c r="AV105" i="11" a="1"/>
  <c r="AV105" i="11" s="1"/>
  <c r="AV135" i="11" s="1"/>
  <c r="AV113" i="11" a="1"/>
  <c r="AV113" i="11" s="1"/>
  <c r="AV143" i="11" s="1"/>
  <c r="AV97" i="11" a="1"/>
  <c r="AV97" i="11" s="1"/>
  <c r="AV127" i="11" s="1"/>
  <c r="AV83" i="11" a="1"/>
  <c r="AV83" i="11" s="1"/>
  <c r="AW122" i="11" a="1"/>
  <c r="AW122" i="11" s="1"/>
  <c r="AW152" i="11" s="1"/>
  <c r="AW99" i="11" a="1"/>
  <c r="AW99" i="11" s="1"/>
  <c r="AW129" i="11" s="1"/>
  <c r="AV91" i="11" a="1"/>
  <c r="AV91" i="11" s="1"/>
  <c r="AW108" i="11" a="1"/>
  <c r="AW108" i="11" s="1"/>
  <c r="AW138" i="11" s="1"/>
  <c r="AW98" i="11" a="1"/>
  <c r="AW98" i="11" s="1"/>
  <c r="AW128" i="11" s="1"/>
  <c r="AW68" i="11" a="1"/>
  <c r="AW68" i="11" s="1"/>
  <c r="AV112" i="11" a="1"/>
  <c r="AV112" i="11" s="1"/>
  <c r="AV142" i="11" s="1"/>
  <c r="AW94" i="11" a="1"/>
  <c r="AW94" i="11" s="1"/>
  <c r="AV66" i="11" a="1"/>
  <c r="AV66" i="11" s="1"/>
  <c r="AV117" i="11" a="1"/>
  <c r="AV117" i="11" s="1"/>
  <c r="AV147" i="11" s="1"/>
  <c r="AV111" i="11" a="1"/>
  <c r="AV111" i="11" s="1"/>
  <c r="AV141" i="11" s="1"/>
  <c r="AW124" i="11" a="1"/>
  <c r="AW124" i="11" s="1"/>
  <c r="AW154" i="11" s="1"/>
  <c r="AV75" i="11" a="1"/>
  <c r="AV75" i="11" s="1"/>
  <c r="AV82" i="11" a="1"/>
  <c r="AV82" i="11" s="1"/>
  <c r="AV96" i="11" a="1"/>
  <c r="AV96" i="11" s="1"/>
  <c r="AV126" i="11" s="1"/>
  <c r="AV104" i="11" a="1"/>
  <c r="AV104" i="11" s="1"/>
  <c r="AV134" i="11" s="1"/>
  <c r="AV81" i="11" a="1"/>
  <c r="AV81" i="11" s="1"/>
  <c r="AW103" i="11" a="1"/>
  <c r="AW103" i="11" s="1"/>
  <c r="AW133" i="11" s="1"/>
  <c r="AV118" i="11" a="1"/>
  <c r="AV118" i="11" s="1"/>
  <c r="AV148" i="11" s="1"/>
  <c r="AV67" i="11" a="1"/>
  <c r="AV67" i="11" s="1"/>
  <c r="AY85" i="11" a="1"/>
  <c r="AY85" i="11" s="1"/>
  <c r="AY110" i="11" a="1"/>
  <c r="AY110" i="11" s="1"/>
  <c r="AY140" i="11" s="1"/>
  <c r="AW81" i="11" a="1"/>
  <c r="AW81" i="11" s="1"/>
  <c r="AX99" i="11" a="1"/>
  <c r="AX99" i="11" s="1"/>
  <c r="AX129" i="11" s="1"/>
  <c r="AW67" i="11" a="1"/>
  <c r="AW67" i="11" s="1"/>
  <c r="AX124" i="11" a="1"/>
  <c r="AX124" i="11" s="1"/>
  <c r="AX154" i="11" s="1"/>
  <c r="AX86" i="11" a="1"/>
  <c r="AX86" i="11" s="1"/>
  <c r="AY123" i="11" a="1"/>
  <c r="AY123" i="11" s="1"/>
  <c r="AY153" i="11" s="1"/>
  <c r="AW114" i="11" a="1"/>
  <c r="AW114" i="11" s="1"/>
  <c r="AW144" i="11" s="1"/>
  <c r="AW91" i="11" a="1"/>
  <c r="AW91" i="11" s="1"/>
  <c r="AW83" i="11" a="1"/>
  <c r="AW83" i="11" s="1"/>
  <c r="AX109" i="11" a="1"/>
  <c r="AX109" i="11" s="1"/>
  <c r="AX139" i="11" s="1"/>
  <c r="AW106" i="11" a="1"/>
  <c r="AW106" i="11" s="1"/>
  <c r="AW136" i="11" s="1"/>
  <c r="AX79" i="11" a="1"/>
  <c r="AX79" i="11" s="1"/>
  <c r="AW111" i="11" a="1"/>
  <c r="AW111" i="11" s="1"/>
  <c r="AW141" i="11" s="1"/>
  <c r="AX122" i="11" a="1"/>
  <c r="AX122" i="11" s="1"/>
  <c r="AX152" i="11" s="1"/>
  <c r="AY80" i="11" a="1"/>
  <c r="AY80" i="11" s="1"/>
  <c r="AX95" i="11" a="1"/>
  <c r="AX95" i="11" s="1"/>
  <c r="AX125" i="11" s="1"/>
  <c r="AX69" i="11" a="1"/>
  <c r="AX69" i="11" s="1"/>
  <c r="AW121" i="11" a="1"/>
  <c r="AW121" i="11" s="1"/>
  <c r="AW151" i="11" s="1"/>
  <c r="AX94" i="11" a="1"/>
  <c r="AX94" i="11" s="1"/>
  <c r="AY93" i="11" a="1"/>
  <c r="AY93" i="11" s="1"/>
  <c r="AW84" i="11" a="1"/>
  <c r="AW84" i="11" s="1"/>
  <c r="AW117" i="11" a="1"/>
  <c r="AW117" i="11" s="1"/>
  <c r="AW147" i="11" s="1"/>
  <c r="AW118" i="11" a="1"/>
  <c r="AW118" i="11" s="1"/>
  <c r="AW148" i="11" s="1"/>
  <c r="AW75" i="11" a="1"/>
  <c r="AW75" i="11" s="1"/>
  <c r="AX77" i="11" a="1"/>
  <c r="AX77" i="11" s="1"/>
  <c r="AX71" i="11" a="1"/>
  <c r="AX71" i="11" s="1"/>
  <c r="AW74" i="11" a="1"/>
  <c r="AW74" i="11" s="1"/>
  <c r="AX92" i="11" a="1"/>
  <c r="AX92" i="11" s="1"/>
  <c r="AX103" i="11" a="1"/>
  <c r="AX103" i="11" s="1"/>
  <c r="AX133" i="11" s="1"/>
  <c r="AX65" i="11" a="1"/>
  <c r="AX65" i="11" s="1"/>
  <c r="AX108" i="11" a="1"/>
  <c r="AX108" i="11" s="1"/>
  <c r="AX138" i="11" s="1"/>
  <c r="AW113" i="11" a="1"/>
  <c r="AW113" i="11" s="1"/>
  <c r="AW143" i="11" s="1"/>
  <c r="AX120" i="11" a="1"/>
  <c r="AX120" i="11" s="1"/>
  <c r="AX150" i="11" s="1"/>
  <c r="AW105" i="11" a="1"/>
  <c r="AW105" i="11" s="1"/>
  <c r="AW135" i="11" s="1"/>
  <c r="AW87" i="11" a="1"/>
  <c r="AW87" i="11" s="1"/>
  <c r="AW88" i="11" a="1"/>
  <c r="AW88" i="11" s="1"/>
  <c r="AW96" i="11" a="1"/>
  <c r="AW96" i="11" s="1"/>
  <c r="AW126" i="11" s="1"/>
  <c r="AY102" i="11" a="1"/>
  <c r="AY102" i="11" s="1"/>
  <c r="AY132" i="11" s="1"/>
  <c r="AW97" i="11" a="1"/>
  <c r="AW97" i="11" s="1"/>
  <c r="AW127" i="11" s="1"/>
  <c r="AX73" i="11" a="1"/>
  <c r="AX73" i="11" s="1"/>
  <c r="AX78" i="11" a="1"/>
  <c r="AX78" i="11" s="1"/>
  <c r="AX90" i="11" a="1"/>
  <c r="AX90" i="11" s="1"/>
  <c r="AW112" i="11" a="1"/>
  <c r="AW112" i="11" s="1"/>
  <c r="AW142" i="11" s="1"/>
  <c r="AW119" i="11" a="1"/>
  <c r="AW119" i="11" s="1"/>
  <c r="AW149" i="11" s="1"/>
  <c r="AW82" i="11" a="1"/>
  <c r="AW82" i="11" s="1"/>
  <c r="AX101" i="11" a="1"/>
  <c r="AX101" i="11" s="1"/>
  <c r="AX131" i="11" s="1"/>
  <c r="AW66" i="11" a="1"/>
  <c r="AW66" i="11" s="1"/>
  <c r="AW76" i="11" a="1"/>
  <c r="AW76" i="11" s="1"/>
  <c r="AY72" i="11" a="1"/>
  <c r="AY72" i="11" s="1"/>
  <c r="AX116" i="11" a="1"/>
  <c r="AX116" i="11" s="1"/>
  <c r="AX146" i="11" s="1"/>
  <c r="AX100" i="11" a="1"/>
  <c r="AX100" i="11" s="1"/>
  <c r="AX130" i="11" s="1"/>
  <c r="AX107" i="11" a="1"/>
  <c r="AX107" i="11" s="1"/>
  <c r="AX137" i="11" s="1"/>
  <c r="AW89" i="11" a="1"/>
  <c r="AW89" i="11" s="1"/>
  <c r="AW104" i="11" a="1"/>
  <c r="AW104" i="11" s="1"/>
  <c r="AW134" i="11" s="1"/>
  <c r="AX98" i="11" a="1"/>
  <c r="AX98" i="11" s="1"/>
  <c r="AX128" i="11" s="1"/>
  <c r="AX68" i="11" a="1"/>
  <c r="AX68" i="11" s="1"/>
  <c r="AX70" i="11" a="1"/>
  <c r="AX70" i="11" s="1"/>
  <c r="AY115" i="11" a="1"/>
  <c r="AY115" i="11" s="1"/>
  <c r="AY145" i="11" s="1"/>
  <c r="AZ72" i="11" a="1"/>
  <c r="AZ72" i="11" s="1"/>
  <c r="AZ110" i="11" a="1"/>
  <c r="AZ110" i="11" s="1"/>
  <c r="AZ140" i="11" s="1"/>
  <c r="AX88" i="11" a="1"/>
  <c r="AX88" i="11" s="1"/>
  <c r="AZ115" i="11" a="1"/>
  <c r="AZ115" i="11" s="1"/>
  <c r="AZ145" i="11" s="1"/>
  <c r="AX83" i="11" a="1"/>
  <c r="AX83" i="11" s="1"/>
  <c r="AY124" i="11" a="1"/>
  <c r="AY124" i="11" s="1"/>
  <c r="AY154" i="11" s="1"/>
  <c r="AX84" i="11" a="1"/>
  <c r="AX84" i="11" s="1"/>
  <c r="AY122" i="11" a="1"/>
  <c r="AY122" i="11" s="1"/>
  <c r="AY152" i="11" s="1"/>
  <c r="AX105" i="11" a="1"/>
  <c r="AX105" i="11" s="1"/>
  <c r="AX135" i="11" s="1"/>
  <c r="AY92" i="11" a="1"/>
  <c r="AY92" i="11" s="1"/>
  <c r="AX66" i="11" a="1"/>
  <c r="AX66" i="11" s="1"/>
  <c r="AX75" i="11" a="1"/>
  <c r="AX75" i="11" s="1"/>
  <c r="AX91" i="11" a="1"/>
  <c r="AX91" i="11" s="1"/>
  <c r="AY68" i="11" a="1"/>
  <c r="AY68" i="11" s="1"/>
  <c r="AY90" i="11" a="1"/>
  <c r="AY90" i="11" s="1"/>
  <c r="AX106" i="11" a="1"/>
  <c r="AX106" i="11" s="1"/>
  <c r="AX136" i="11" s="1"/>
  <c r="AY101" i="11" a="1"/>
  <c r="AY101" i="11" s="1"/>
  <c r="AY131" i="11" s="1"/>
  <c r="AX76" i="11" a="1"/>
  <c r="AX76" i="11" s="1"/>
  <c r="AY71" i="11" a="1"/>
  <c r="AY71" i="11" s="1"/>
  <c r="AZ123" i="11" a="1"/>
  <c r="AZ123" i="11" s="1"/>
  <c r="AZ153" i="11" s="1"/>
  <c r="AZ80" i="11" a="1"/>
  <c r="AZ80" i="11" s="1"/>
  <c r="AY107" i="11" a="1"/>
  <c r="AY107" i="11" s="1"/>
  <c r="AY137" i="11" s="1"/>
  <c r="AZ85" i="11" a="1"/>
  <c r="AZ85" i="11" s="1"/>
  <c r="AX96" i="11" a="1"/>
  <c r="AX96" i="11" s="1"/>
  <c r="AX126" i="11" s="1"/>
  <c r="AY94" i="11" a="1"/>
  <c r="AY94" i="11" s="1"/>
  <c r="AX117" i="11" a="1"/>
  <c r="AX117" i="11" s="1"/>
  <c r="AX147" i="11" s="1"/>
  <c r="AY108" i="11" a="1"/>
  <c r="AY108" i="11" s="1"/>
  <c r="AY138" i="11" s="1"/>
  <c r="AX121" i="11" a="1"/>
  <c r="AX121" i="11" s="1"/>
  <c r="AX151" i="11" s="1"/>
  <c r="AX67" i="11" a="1"/>
  <c r="AX67" i="11" s="1"/>
  <c r="AX87" i="11" a="1"/>
  <c r="AX87" i="11" s="1"/>
  <c r="AY116" i="11" a="1"/>
  <c r="AY116" i="11" s="1"/>
  <c r="AY146" i="11" s="1"/>
  <c r="AX119" i="11" a="1"/>
  <c r="AX119" i="11" s="1"/>
  <c r="AX149" i="11" s="1"/>
  <c r="AY103" i="11" a="1"/>
  <c r="AY103" i="11" s="1"/>
  <c r="AY133" i="11" s="1"/>
  <c r="AZ102" i="11" a="1"/>
  <c r="AZ102" i="11" s="1"/>
  <c r="AZ132" i="11" s="1"/>
  <c r="AX113" i="11" a="1"/>
  <c r="AX113" i="11" s="1"/>
  <c r="AX143" i="11" s="1"/>
  <c r="AZ93" i="11" a="1"/>
  <c r="AZ93" i="11" s="1"/>
  <c r="AX97" i="11" a="1"/>
  <c r="AX97" i="11" s="1"/>
  <c r="AX127" i="11" s="1"/>
  <c r="AY77" i="11" a="1"/>
  <c r="AY77" i="11" s="1"/>
  <c r="AX104" i="11" a="1"/>
  <c r="AX104" i="11" s="1"/>
  <c r="AX134" i="11" s="1"/>
  <c r="AY120" i="11" a="1"/>
  <c r="AY120" i="11" s="1"/>
  <c r="AY150" i="11" s="1"/>
  <c r="AX111" i="11" a="1"/>
  <c r="AX111" i="11" s="1"/>
  <c r="AX141" i="11" s="1"/>
  <c r="AY95" i="11" a="1"/>
  <c r="AY95" i="11" s="1"/>
  <c r="AY125" i="11" s="1"/>
  <c r="AX81" i="11" a="1"/>
  <c r="AX81" i="11" s="1"/>
  <c r="AX118" i="11" a="1"/>
  <c r="AX118" i="11" s="1"/>
  <c r="AX148" i="11" s="1"/>
  <c r="AX114" i="11" a="1"/>
  <c r="AX114" i="11" s="1"/>
  <c r="AX144" i="11" s="1"/>
  <c r="AY98" i="11" a="1"/>
  <c r="AY98" i="11" s="1"/>
  <c r="AY128" i="11" s="1"/>
  <c r="AY78" i="11" a="1"/>
  <c r="AY78" i="11" s="1"/>
  <c r="AX112" i="11" a="1"/>
  <c r="AX112" i="11" s="1"/>
  <c r="AX142" i="11" s="1"/>
  <c r="AY86" i="11" a="1"/>
  <c r="AY86" i="11" s="1"/>
  <c r="AY69" i="11" a="1"/>
  <c r="AY69" i="11" s="1"/>
  <c r="AX89" i="11" a="1"/>
  <c r="AX89" i="11" s="1"/>
  <c r="AY70" i="11" a="1"/>
  <c r="AY70" i="11" s="1"/>
  <c r="AY73" i="11" a="1"/>
  <c r="AY73" i="11" s="1"/>
  <c r="AY79" i="11" a="1"/>
  <c r="AY79" i="11" s="1"/>
  <c r="AY99" i="11" a="1"/>
  <c r="AY99" i="11" s="1"/>
  <c r="AY129" i="11" s="1"/>
  <c r="AX74" i="11" a="1"/>
  <c r="AX74" i="11" s="1"/>
  <c r="AY100" i="11" a="1"/>
  <c r="AY100" i="11" s="1"/>
  <c r="AY130" i="11" s="1"/>
  <c r="AY65" i="11" a="1"/>
  <c r="AY65" i="11" s="1"/>
  <c r="AX82" i="11" a="1"/>
  <c r="AX82" i="11" s="1"/>
  <c r="AY109" i="11" a="1"/>
  <c r="AY109" i="11" s="1"/>
  <c r="AY139" i="11" s="1"/>
  <c r="AZ92" i="11" a="1"/>
  <c r="AZ92" i="11" s="1"/>
  <c r="AY118" i="11" a="1"/>
  <c r="AY118" i="11" s="1"/>
  <c r="AY148" i="11" s="1"/>
  <c r="AZ90" i="11" a="1"/>
  <c r="AZ90" i="11" s="1"/>
  <c r="AY104" i="11" a="1"/>
  <c r="AY104" i="11" s="1"/>
  <c r="AY134" i="11" s="1"/>
  <c r="AZ70" i="11" a="1"/>
  <c r="AZ70" i="11" s="1"/>
  <c r="AY97" i="11" a="1"/>
  <c r="AY97" i="11" s="1"/>
  <c r="AY127" i="11" s="1"/>
  <c r="AY75" i="11" a="1"/>
  <c r="AY75" i="11" s="1"/>
  <c r="BA123" i="11" a="1"/>
  <c r="BA123" i="11" s="1"/>
  <c r="BA153" i="11" s="1"/>
  <c r="AY119" i="11" a="1"/>
  <c r="AY119" i="11" s="1"/>
  <c r="AY149" i="11" s="1"/>
  <c r="BA93" i="11" a="1"/>
  <c r="BA93" i="11" s="1"/>
  <c r="AZ65" i="11" a="1"/>
  <c r="AZ65" i="11" s="1"/>
  <c r="AY89" i="11" a="1"/>
  <c r="AY89" i="11" s="1"/>
  <c r="BA85" i="11" a="1"/>
  <c r="BA85" i="11" s="1"/>
  <c r="AZ98" i="11" a="1"/>
  <c r="AZ98" i="11" s="1"/>
  <c r="AZ128" i="11" s="1"/>
  <c r="AZ109" i="11" a="1"/>
  <c r="AZ109" i="11" s="1"/>
  <c r="AZ139" i="11" s="1"/>
  <c r="AZ71" i="11" a="1"/>
  <c r="AZ71" i="11" s="1"/>
  <c r="AY111" i="11" a="1"/>
  <c r="AY111" i="11" s="1"/>
  <c r="AY141" i="11" s="1"/>
  <c r="AY113" i="11" a="1"/>
  <c r="AY113" i="11" s="1"/>
  <c r="AY143" i="11" s="1"/>
  <c r="AY81" i="11" a="1"/>
  <c r="AY81" i="11" s="1"/>
  <c r="AY83" i="11" a="1"/>
  <c r="AY83" i="11" s="1"/>
  <c r="AZ120" i="11" a="1"/>
  <c r="AZ120" i="11" s="1"/>
  <c r="AZ150" i="11" s="1"/>
  <c r="AZ73" i="11" a="1"/>
  <c r="AZ73" i="11" s="1"/>
  <c r="BA102" i="11" a="1"/>
  <c r="BA102" i="11" s="1"/>
  <c r="BA132" i="11" s="1"/>
  <c r="AY88" i="11" a="1"/>
  <c r="AY88" i="11" s="1"/>
  <c r="AZ99" i="11" a="1"/>
  <c r="AZ99" i="11" s="1"/>
  <c r="AZ129" i="11" s="1"/>
  <c r="AY74" i="11" a="1"/>
  <c r="AY74" i="11" s="1"/>
  <c r="AZ95" i="11" a="1"/>
  <c r="AZ95" i="11" s="1"/>
  <c r="AZ125" i="11" s="1"/>
  <c r="AY67" i="11" a="1"/>
  <c r="AY67" i="11" s="1"/>
  <c r="AY121" i="11" a="1"/>
  <c r="AY121" i="11" s="1"/>
  <c r="AY151" i="11" s="1"/>
  <c r="AY96" i="11" a="1"/>
  <c r="AY96" i="11" s="1"/>
  <c r="AY126" i="11" s="1"/>
  <c r="AY112" i="11" a="1"/>
  <c r="AY112" i="11" s="1"/>
  <c r="AY142" i="11" s="1"/>
  <c r="AY91" i="11" a="1"/>
  <c r="AY91" i="11" s="1"/>
  <c r="AZ94" i="11" a="1"/>
  <c r="AZ94" i="11" s="1"/>
  <c r="AY117" i="11" a="1"/>
  <c r="AY117" i="11" s="1"/>
  <c r="AY147" i="11" s="1"/>
  <c r="AY87" i="11" a="1"/>
  <c r="AY87" i="11" s="1"/>
  <c r="BA80" i="11" a="1"/>
  <c r="BA80" i="11" s="1"/>
  <c r="AY105" i="11" a="1"/>
  <c r="AY105" i="11" s="1"/>
  <c r="AY135" i="11" s="1"/>
  <c r="BA72" i="11" a="1"/>
  <c r="BA72" i="11" s="1"/>
  <c r="BA115" i="11" a="1"/>
  <c r="BA115" i="11" s="1"/>
  <c r="BA145" i="11" s="1"/>
  <c r="AZ69" i="11" a="1"/>
  <c r="AZ69" i="11" s="1"/>
  <c r="AY82" i="11" a="1"/>
  <c r="AY82" i="11" s="1"/>
  <c r="AY114" i="11" a="1"/>
  <c r="AY114" i="11" s="1"/>
  <c r="AY144" i="11" s="1"/>
  <c r="AZ107" i="11" a="1"/>
  <c r="AZ107" i="11" s="1"/>
  <c r="AZ137" i="11" s="1"/>
  <c r="AZ116" i="11" a="1"/>
  <c r="AZ116" i="11" s="1"/>
  <c r="AZ146" i="11" s="1"/>
  <c r="AZ77" i="11" a="1"/>
  <c r="AZ77" i="11" s="1"/>
  <c r="AY76" i="11" a="1"/>
  <c r="AY76" i="11" s="1"/>
  <c r="AZ101" i="11" a="1"/>
  <c r="AZ101" i="11" s="1"/>
  <c r="AZ131" i="11" s="1"/>
  <c r="AY66" i="11" a="1"/>
  <c r="AY66" i="11" s="1"/>
  <c r="AZ68" i="11" a="1"/>
  <c r="AZ68" i="11" s="1"/>
  <c r="AZ108" i="11" a="1"/>
  <c r="AZ108" i="11" s="1"/>
  <c r="AZ138" i="11" s="1"/>
  <c r="AY84" i="11" a="1"/>
  <c r="AY84" i="11" s="1"/>
  <c r="AY106" i="11" a="1"/>
  <c r="AY106" i="11" s="1"/>
  <c r="AY136" i="11" s="1"/>
  <c r="AZ100" i="11" a="1"/>
  <c r="AZ100" i="11" s="1"/>
  <c r="AZ130" i="11" s="1"/>
  <c r="AZ124" i="11" a="1"/>
  <c r="AZ124" i="11" s="1"/>
  <c r="AZ154" i="11" s="1"/>
  <c r="AZ79" i="11" a="1"/>
  <c r="AZ79" i="11" s="1"/>
  <c r="AZ86" i="11" a="1"/>
  <c r="AZ86" i="11" s="1"/>
  <c r="AZ78" i="11" a="1"/>
  <c r="AZ78" i="11" s="1"/>
  <c r="BA110" i="11" a="1"/>
  <c r="BA110" i="11" s="1"/>
  <c r="BA140" i="11" s="1"/>
  <c r="AZ103" i="11" a="1"/>
  <c r="AZ103" i="11" s="1"/>
  <c r="AZ133" i="11" s="1"/>
  <c r="AZ122" i="11" a="1"/>
  <c r="AZ122" i="11" s="1"/>
  <c r="AZ152" i="11" s="1"/>
  <c r="AZ76" i="11" a="1"/>
  <c r="AZ76" i="11" s="1"/>
  <c r="BA116" i="11" a="1"/>
  <c r="BA116" i="11" s="1"/>
  <c r="BA146" i="11" s="1"/>
  <c r="BA94" i="11" a="1"/>
  <c r="BA94" i="11" s="1"/>
  <c r="AZ117" i="11" a="1"/>
  <c r="AZ117" i="11" s="1"/>
  <c r="AZ147" i="11" s="1"/>
  <c r="AZ84" i="11" a="1"/>
  <c r="AZ84" i="11" s="1"/>
  <c r="AZ112" i="11" a="1"/>
  <c r="AZ112" i="11" s="1"/>
  <c r="AZ142" i="11" s="1"/>
  <c r="AZ89" i="11" a="1"/>
  <c r="AZ89" i="11" s="1"/>
  <c r="BB102" i="11" a="1"/>
  <c r="BB102" i="11" s="1"/>
  <c r="BB132" i="11" s="1"/>
  <c r="BA107" i="11" a="1"/>
  <c r="BA107" i="11" s="1"/>
  <c r="BA137" i="11" s="1"/>
  <c r="BB72" i="11" a="1"/>
  <c r="BB72" i="11" s="1"/>
  <c r="BA98" i="11" a="1"/>
  <c r="BA98" i="11" s="1"/>
  <c r="BA128" i="11" s="1"/>
  <c r="BA95" i="11" a="1"/>
  <c r="BA95" i="11" s="1"/>
  <c r="BA125" i="11" s="1"/>
  <c r="BB115" i="11" a="1"/>
  <c r="BB115" i="11" s="1"/>
  <c r="BB145" i="11" s="1"/>
  <c r="AZ111" i="11" a="1"/>
  <c r="AZ111" i="11" s="1"/>
  <c r="AZ141" i="11" s="1"/>
  <c r="AZ81" i="11" a="1"/>
  <c r="AZ81" i="11" s="1"/>
  <c r="AZ74" i="11" a="1"/>
  <c r="AZ74" i="11" s="1"/>
  <c r="AZ105" i="11" a="1"/>
  <c r="AZ105" i="11" s="1"/>
  <c r="AZ135" i="11" s="1"/>
  <c r="BA79" i="11" a="1"/>
  <c r="BA79" i="11" s="1"/>
  <c r="BA122" i="11" a="1"/>
  <c r="BA122" i="11" s="1"/>
  <c r="BA152" i="11" s="1"/>
  <c r="BA86" i="11" a="1"/>
  <c r="BA86" i="11" s="1"/>
  <c r="BA103" i="11" a="1"/>
  <c r="BA103" i="11" s="1"/>
  <c r="BA133" i="11" s="1"/>
  <c r="AZ87" i="11" a="1"/>
  <c r="AZ87" i="11" s="1"/>
  <c r="BA101" i="11" a="1"/>
  <c r="BA101" i="11" s="1"/>
  <c r="BA131" i="11" s="1"/>
  <c r="AZ82" i="11" a="1"/>
  <c r="AZ82" i="11" s="1"/>
  <c r="BB93" i="11" a="1"/>
  <c r="BB93" i="11" s="1"/>
  <c r="BA120" i="11" a="1"/>
  <c r="BA120" i="11" s="1"/>
  <c r="BA150" i="11" s="1"/>
  <c r="BB110" i="11" a="1"/>
  <c r="BB110" i="11" s="1"/>
  <c r="BB140" i="11" s="1"/>
  <c r="AZ91" i="11" a="1"/>
  <c r="AZ91" i="11" s="1"/>
  <c r="BB80" i="11" a="1"/>
  <c r="BB80" i="11" s="1"/>
  <c r="BA69" i="11" a="1"/>
  <c r="BA69" i="11" s="1"/>
  <c r="AZ75" i="11" a="1"/>
  <c r="AZ75" i="11" s="1"/>
  <c r="BA92" i="11" a="1"/>
  <c r="BA92" i="11" s="1"/>
  <c r="AZ97" i="11" a="1"/>
  <c r="AZ97" i="11" s="1"/>
  <c r="AZ127" i="11" s="1"/>
  <c r="BA73" i="11" a="1"/>
  <c r="BA73" i="11" s="1"/>
  <c r="BB123" i="11" a="1"/>
  <c r="BB123" i="11" s="1"/>
  <c r="BB153" i="11" s="1"/>
  <c r="BA71" i="11" a="1"/>
  <c r="BA71" i="11" s="1"/>
  <c r="BA77" i="11" a="1"/>
  <c r="BA77" i="11" s="1"/>
  <c r="BA68" i="11" a="1"/>
  <c r="BA68" i="11" s="1"/>
  <c r="BA65" i="11" a="1"/>
  <c r="BA65" i="11" s="1"/>
  <c r="AZ83" i="11" a="1"/>
  <c r="AZ83" i="11" s="1"/>
  <c r="BB85" i="11" a="1"/>
  <c r="BB85" i="11" s="1"/>
  <c r="AZ96" i="11" a="1"/>
  <c r="AZ96" i="11" s="1"/>
  <c r="AZ126" i="11" s="1"/>
  <c r="BA109" i="11" a="1"/>
  <c r="BA109" i="11" s="1"/>
  <c r="BA139" i="11" s="1"/>
  <c r="AZ114" i="11" a="1"/>
  <c r="AZ114" i="11" s="1"/>
  <c r="AZ144" i="11" s="1"/>
  <c r="AZ67" i="11" a="1"/>
  <c r="AZ67" i="11" s="1"/>
  <c r="AZ113" i="11" a="1"/>
  <c r="AZ113" i="11" s="1"/>
  <c r="AZ143" i="11" s="1"/>
  <c r="BA108" i="11" a="1"/>
  <c r="BA108" i="11" s="1"/>
  <c r="BA138" i="11" s="1"/>
  <c r="AZ104" i="11" a="1"/>
  <c r="AZ104" i="11" s="1"/>
  <c r="AZ134" i="11" s="1"/>
  <c r="BA90" i="11" a="1"/>
  <c r="BA90" i="11" s="1"/>
  <c r="AZ118" i="11" a="1"/>
  <c r="AZ118" i="11" s="1"/>
  <c r="AZ148" i="11" s="1"/>
  <c r="AZ66" i="11" a="1"/>
  <c r="AZ66" i="11" s="1"/>
  <c r="BA124" i="11" a="1"/>
  <c r="BA124" i="11" s="1"/>
  <c r="BA154" i="11" s="1"/>
  <c r="AZ119" i="11" a="1"/>
  <c r="AZ119" i="11" s="1"/>
  <c r="AZ149" i="11" s="1"/>
  <c r="BA100" i="11" a="1"/>
  <c r="BA100" i="11" s="1"/>
  <c r="BA130" i="11" s="1"/>
  <c r="BA78" i="11" a="1"/>
  <c r="BA78" i="11" s="1"/>
  <c r="AZ121" i="11" a="1"/>
  <c r="AZ121" i="11" s="1"/>
  <c r="AZ151" i="11" s="1"/>
  <c r="BA99" i="11" a="1"/>
  <c r="BA99" i="11" s="1"/>
  <c r="BA129" i="11" s="1"/>
  <c r="AZ106" i="11" a="1"/>
  <c r="AZ106" i="11" s="1"/>
  <c r="AZ136" i="11" s="1"/>
  <c r="BA70" i="11" a="1"/>
  <c r="BA70" i="11" s="1"/>
  <c r="AZ88" i="11" a="1"/>
  <c r="AZ88" i="11" s="1"/>
  <c r="BA84" i="11" a="1"/>
  <c r="BA84" i="11" s="1"/>
  <c r="BA104" i="11" a="1"/>
  <c r="BA104" i="11" s="1"/>
  <c r="BA134" i="11" s="1"/>
  <c r="BA83" i="11" a="1"/>
  <c r="BA83" i="11" s="1"/>
  <c r="BA91" i="11" a="1"/>
  <c r="BA91" i="11" s="1"/>
  <c r="BB65" i="11" a="1"/>
  <c r="BB65" i="11" s="1"/>
  <c r="BA66" i="11" a="1"/>
  <c r="BA66" i="11" s="1"/>
  <c r="BB98" i="11" a="1"/>
  <c r="BB98" i="11" s="1"/>
  <c r="BB128" i="11" s="1"/>
  <c r="BA105" i="11" a="1"/>
  <c r="BA105" i="11" s="1"/>
  <c r="BA135" i="11" s="1"/>
  <c r="BB68" i="11" a="1"/>
  <c r="BB68" i="11" s="1"/>
  <c r="BA117" i="11" a="1"/>
  <c r="BA117" i="11" s="1"/>
  <c r="BA147" i="11" s="1"/>
  <c r="BA75" i="11" a="1"/>
  <c r="BA75" i="11" s="1"/>
  <c r="BB100" i="11" a="1"/>
  <c r="BB100" i="11" s="1"/>
  <c r="BB130" i="11" s="1"/>
  <c r="BC110" i="11" a="1"/>
  <c r="BC110" i="11" s="1"/>
  <c r="BC140" i="11" s="1"/>
  <c r="BB77" i="11" a="1"/>
  <c r="BB77" i="11" s="1"/>
  <c r="BA67" i="11" a="1"/>
  <c r="BA67" i="11" s="1"/>
  <c r="BB79" i="11" a="1"/>
  <c r="BB79" i="11" s="1"/>
  <c r="BA114" i="11" a="1"/>
  <c r="BA114" i="11" s="1"/>
  <c r="BA144" i="11" s="1"/>
  <c r="BB95" i="11" a="1"/>
  <c r="BB95" i="11" s="1"/>
  <c r="BB125" i="11" s="1"/>
  <c r="BA119" i="11" a="1"/>
  <c r="BA119" i="11" s="1"/>
  <c r="BA149" i="11" s="1"/>
  <c r="BA74" i="11" a="1"/>
  <c r="BA74" i="11" s="1"/>
  <c r="BA106" i="11" a="1"/>
  <c r="BA106" i="11" s="1"/>
  <c r="BA136" i="11" s="1"/>
  <c r="BC115" i="11" a="1"/>
  <c r="BC115" i="11" s="1"/>
  <c r="BC145" i="11" s="1"/>
  <c r="BC123" i="11" a="1"/>
  <c r="BC123" i="11" s="1"/>
  <c r="BC153" i="11" s="1"/>
  <c r="BB103" i="11" a="1"/>
  <c r="BB103" i="11" s="1"/>
  <c r="BB133" i="11" s="1"/>
  <c r="BC93" i="11" a="1"/>
  <c r="BC93" i="11" s="1"/>
  <c r="BB73" i="11" a="1"/>
  <c r="BB73" i="11" s="1"/>
  <c r="BA118" i="11" a="1"/>
  <c r="BA118" i="11" s="1"/>
  <c r="BA148" i="11" s="1"/>
  <c r="BB109" i="11" a="1"/>
  <c r="BB109" i="11" s="1"/>
  <c r="BB139" i="11" s="1"/>
  <c r="BA111" i="11" a="1"/>
  <c r="BA111" i="11" s="1"/>
  <c r="BA141" i="11" s="1"/>
  <c r="BB116" i="11" a="1"/>
  <c r="BB116" i="11" s="1"/>
  <c r="BB146" i="11" s="1"/>
  <c r="BB101" i="11" a="1"/>
  <c r="BB101" i="11" s="1"/>
  <c r="BB131" i="11" s="1"/>
  <c r="BA113" i="11" a="1"/>
  <c r="BA113" i="11" s="1"/>
  <c r="BA143" i="11" s="1"/>
  <c r="BB71" i="11" a="1"/>
  <c r="BB71" i="11" s="1"/>
  <c r="BA89" i="11" a="1"/>
  <c r="BA89" i="11" s="1"/>
  <c r="BB124" i="11" a="1"/>
  <c r="BB124" i="11" s="1"/>
  <c r="BB154" i="11" s="1"/>
  <c r="BA76" i="11" a="1"/>
  <c r="BA76" i="11" s="1"/>
  <c r="BC85" i="11" a="1"/>
  <c r="BC85" i="11" s="1"/>
  <c r="BB120" i="11" a="1"/>
  <c r="BB120" i="11" s="1"/>
  <c r="BB150" i="11" s="1"/>
  <c r="BB90" i="11" a="1"/>
  <c r="BB90" i="11" s="1"/>
  <c r="BB70" i="11" a="1"/>
  <c r="BB70" i="11" s="1"/>
  <c r="BA97" i="11" a="1"/>
  <c r="BA97" i="11" s="1"/>
  <c r="BA127" i="11" s="1"/>
  <c r="BB122" i="11" a="1"/>
  <c r="BB122" i="11" s="1"/>
  <c r="BB152" i="11" s="1"/>
  <c r="BB78" i="11" a="1"/>
  <c r="BB78" i="11" s="1"/>
  <c r="BB92" i="11" a="1"/>
  <c r="BB92" i="11" s="1"/>
  <c r="BC102" i="11" a="1"/>
  <c r="BC102" i="11" s="1"/>
  <c r="BC132" i="11" s="1"/>
  <c r="BC72" i="11" a="1"/>
  <c r="BC72" i="11" s="1"/>
  <c r="BB94" i="11" a="1"/>
  <c r="BB94" i="11" s="1"/>
  <c r="BA87" i="11" a="1"/>
  <c r="BA87" i="11" s="1"/>
  <c r="BB107" i="11" a="1"/>
  <c r="BB107" i="11" s="1"/>
  <c r="BB137" i="11" s="1"/>
  <c r="BB99" i="11" a="1"/>
  <c r="BB99" i="11" s="1"/>
  <c r="BB129" i="11" s="1"/>
  <c r="BA82" i="11" a="1"/>
  <c r="BA82" i="11" s="1"/>
  <c r="BB69" i="11" a="1"/>
  <c r="BB69" i="11" s="1"/>
  <c r="BA96" i="11" a="1"/>
  <c r="BA96" i="11" s="1"/>
  <c r="BA126" i="11" s="1"/>
  <c r="BA112" i="11" a="1"/>
  <c r="BA112" i="11" s="1"/>
  <c r="BA142" i="11" s="1"/>
  <c r="BB108" i="11" a="1"/>
  <c r="BB108" i="11" s="1"/>
  <c r="BB138" i="11" s="1"/>
  <c r="BA88" i="11" a="1"/>
  <c r="BA88" i="11" s="1"/>
  <c r="BA81" i="11" a="1"/>
  <c r="BA81" i="11" s="1"/>
  <c r="BB86" i="11" a="1"/>
  <c r="BB86" i="11" s="1"/>
  <c r="BC80" i="11" a="1"/>
  <c r="BC80" i="11" s="1"/>
  <c r="BA121" i="11" a="1"/>
  <c r="BA121" i="11" s="1"/>
  <c r="BA151" i="11" s="1"/>
  <c r="BC98" i="11" a="1"/>
  <c r="BC98" i="11" s="1"/>
  <c r="BC128" i="11" s="1"/>
  <c r="BC65" i="11" a="1"/>
  <c r="BC65" i="11" s="1"/>
  <c r="BB104" i="11" a="1"/>
  <c r="BB104" i="11" s="1"/>
  <c r="BB134" i="11" s="1"/>
  <c r="BC70" i="11" a="1"/>
  <c r="BC70" i="11" s="1"/>
  <c r="BB67" i="11" a="1"/>
  <c r="BB67" i="11" s="1"/>
  <c r="BB87" i="11" a="1"/>
  <c r="BB87" i="11" s="1"/>
  <c r="BC109" i="11" a="1"/>
  <c r="BC109" i="11" s="1"/>
  <c r="BC139" i="11" s="1"/>
  <c r="BB89" i="11" a="1"/>
  <c r="BB89" i="11" s="1"/>
  <c r="BB96" i="11" a="1"/>
  <c r="BB96" i="11" s="1"/>
  <c r="BB126" i="11" s="1"/>
  <c r="BC108" i="11" a="1"/>
  <c r="BC108" i="11" s="1"/>
  <c r="BC138" i="11" s="1"/>
  <c r="BC78" i="11" a="1"/>
  <c r="BC78" i="11" s="1"/>
  <c r="BB119" i="11" a="1"/>
  <c r="BB119" i="11" s="1"/>
  <c r="BB149" i="11" s="1"/>
  <c r="BC68" i="11" a="1"/>
  <c r="BC68" i="11" s="1"/>
  <c r="BB74" i="11" a="1"/>
  <c r="BB74" i="11" s="1"/>
  <c r="BC124" i="11" a="1"/>
  <c r="BC124" i="11" s="1"/>
  <c r="BC154" i="11" s="1"/>
  <c r="BC79" i="11" a="1"/>
  <c r="BC79" i="11" s="1"/>
  <c r="BB105" i="11" a="1"/>
  <c r="BB105" i="11" s="1"/>
  <c r="BB135" i="11" s="1"/>
  <c r="BC99" i="11" a="1"/>
  <c r="BC99" i="11" s="1"/>
  <c r="BC129" i="11" s="1"/>
  <c r="BC122" i="11" a="1"/>
  <c r="BC122" i="11" s="1"/>
  <c r="BC152" i="11" s="1"/>
  <c r="BC101" i="11" a="1"/>
  <c r="BC101" i="11" s="1"/>
  <c r="BC131" i="11" s="1"/>
  <c r="BC90" i="11" a="1"/>
  <c r="BC90" i="11" s="1"/>
  <c r="BC95" i="11" a="1"/>
  <c r="BC95" i="11" s="1"/>
  <c r="BC125" i="11" s="1"/>
  <c r="BC86" i="11" a="1"/>
  <c r="BC86" i="11" s="1"/>
  <c r="BB114" i="11" a="1"/>
  <c r="BB114" i="11" s="1"/>
  <c r="BB144" i="11" s="1"/>
  <c r="BB111" i="11" a="1"/>
  <c r="BB111" i="11" s="1"/>
  <c r="BB141" i="11" s="1"/>
  <c r="BB118" i="11" a="1"/>
  <c r="BB118" i="11" s="1"/>
  <c r="BB148" i="11" s="1"/>
  <c r="BC94" i="11" a="1"/>
  <c r="BC94" i="11" s="1"/>
  <c r="BB75" i="11" a="1"/>
  <c r="BB75" i="11" s="1"/>
  <c r="BC120" i="11" a="1"/>
  <c r="BC120" i="11" s="1"/>
  <c r="BC150" i="11" s="1"/>
  <c r="BC92" i="11" a="1"/>
  <c r="BC92" i="11" s="1"/>
  <c r="BC77" i="11" a="1"/>
  <c r="BC77" i="11" s="1"/>
  <c r="BC116" i="11" a="1"/>
  <c r="BC116" i="11" s="1"/>
  <c r="BC146" i="11" s="1"/>
  <c r="BB97" i="11" a="1"/>
  <c r="BB97" i="11" s="1"/>
  <c r="BB127" i="11" s="1"/>
  <c r="BB113" i="11" a="1"/>
  <c r="BB113" i="11" s="1"/>
  <c r="BB143" i="11" s="1"/>
  <c r="BB84" i="11" a="1"/>
  <c r="BB84" i="11" s="1"/>
  <c r="BB121" i="11" a="1"/>
  <c r="BB121" i="11" s="1"/>
  <c r="BB151" i="11" s="1"/>
  <c r="BB81" i="11" a="1"/>
  <c r="BB81" i="11" s="1"/>
  <c r="BB88" i="11" a="1"/>
  <c r="BB88" i="11" s="1"/>
  <c r="BC69" i="11" a="1"/>
  <c r="BC69" i="11" s="1"/>
  <c r="BC107" i="11" a="1"/>
  <c r="BC107" i="11" s="1"/>
  <c r="BC137" i="11" s="1"/>
  <c r="BB112" i="11" a="1"/>
  <c r="BB112" i="11" s="1"/>
  <c r="BB142" i="11" s="1"/>
  <c r="BB76" i="11" a="1"/>
  <c r="BB76" i="11" s="1"/>
  <c r="BC103" i="11" a="1"/>
  <c r="BC103" i="11" s="1"/>
  <c r="BC133" i="11" s="1"/>
  <c r="BB117" i="11" a="1"/>
  <c r="BB117" i="11" s="1"/>
  <c r="BB147" i="11" s="1"/>
  <c r="BB83" i="11" a="1"/>
  <c r="BB83" i="11" s="1"/>
  <c r="BB91" i="11" a="1"/>
  <c r="BB91" i="11" s="1"/>
  <c r="BB106" i="11" a="1"/>
  <c r="BB106" i="11" s="1"/>
  <c r="BB136" i="11" s="1"/>
  <c r="BB66" i="11" a="1"/>
  <c r="BB66" i="11" s="1"/>
  <c r="BC100" i="11" a="1"/>
  <c r="BC100" i="11" s="1"/>
  <c r="BC130" i="11" s="1"/>
  <c r="BC71" i="11" a="1"/>
  <c r="BC71" i="11" s="1"/>
  <c r="BB82" i="11" a="1"/>
  <c r="BB82" i="11" s="1"/>
  <c r="BC73" i="11" a="1"/>
  <c r="BC73" i="11" s="1"/>
  <c r="BC119" i="11" a="1"/>
  <c r="BC119" i="11" s="1"/>
  <c r="BC149" i="11" s="1"/>
  <c r="BC117" i="11" a="1"/>
  <c r="BC117" i="11" s="1"/>
  <c r="BC147" i="11" s="1"/>
  <c r="BC111" i="11" a="1"/>
  <c r="BC111" i="11" s="1"/>
  <c r="BC141" i="11" s="1"/>
  <c r="BC105" i="11" a="1"/>
  <c r="BC105" i="11" s="1"/>
  <c r="BC135" i="11" s="1"/>
  <c r="BC96" i="11" a="1"/>
  <c r="BC96" i="11" s="1"/>
  <c r="BC126" i="11" s="1"/>
  <c r="BC118" i="11" a="1"/>
  <c r="BC118" i="11" s="1"/>
  <c r="BC148" i="11" s="1"/>
  <c r="BC89" i="11" a="1"/>
  <c r="BC89" i="11" s="1"/>
  <c r="BC87" i="11" a="1"/>
  <c r="BC87" i="11" s="1"/>
  <c r="BC81" i="11" a="1"/>
  <c r="BC81" i="11" s="1"/>
  <c r="BC75" i="11" a="1"/>
  <c r="BC75" i="11" s="1"/>
  <c r="BC106" i="11" a="1"/>
  <c r="BC106" i="11" s="1"/>
  <c r="BC136" i="11" s="1"/>
  <c r="BC67" i="11" a="1"/>
  <c r="BC67" i="11" s="1"/>
  <c r="BC121" i="11" a="1"/>
  <c r="BC121" i="11" s="1"/>
  <c r="BC151" i="11" s="1"/>
  <c r="BC91" i="11" a="1"/>
  <c r="BC91" i="11" s="1"/>
  <c r="BC113" i="11" a="1"/>
  <c r="BC113" i="11" s="1"/>
  <c r="BC143" i="11" s="1"/>
  <c r="BC88" i="11" a="1"/>
  <c r="BC88" i="11" s="1"/>
  <c r="BC97" i="11" a="1"/>
  <c r="BC97" i="11" s="1"/>
  <c r="BC127" i="11" s="1"/>
  <c r="BC114" i="11" a="1"/>
  <c r="BC114" i="11" s="1"/>
  <c r="BC144" i="11" s="1"/>
  <c r="BC84" i="11" a="1"/>
  <c r="BC84" i="11" s="1"/>
  <c r="BC104" i="11" a="1"/>
  <c r="BC104" i="11" s="1"/>
  <c r="BC134" i="11" s="1"/>
  <c r="BC66" i="11" a="1"/>
  <c r="BC66" i="11" s="1"/>
  <c r="BC83" i="11" a="1"/>
  <c r="BC83" i="11" s="1"/>
  <c r="BC76" i="11" a="1"/>
  <c r="BC76" i="11" s="1"/>
  <c r="BC74" i="11" a="1"/>
  <c r="BC74" i="11" s="1"/>
  <c r="BC112" i="11" a="1"/>
  <c r="BC112" i="11" s="1"/>
  <c r="BC142" i="11" s="1"/>
  <c r="BC82" i="11" a="1"/>
  <c r="BC82" i="11" s="1"/>
  <c r="H349" i="4"/>
  <c r="F41" i="1" a="1"/>
  <c r="F41" i="1" s="1"/>
  <c r="I209" i="26"/>
  <c r="H209" i="26"/>
  <c r="O11" i="7" a="1"/>
  <c r="O11" i="7" s="1"/>
  <c r="O10" i="7" a="1"/>
  <c r="O10" i="7" s="1"/>
  <c r="O8" i="7" a="1"/>
  <c r="O8" i="7" s="1"/>
  <c r="O5" i="7" a="1"/>
  <c r="O5" i="7" s="1"/>
  <c r="O12" i="7" a="1"/>
  <c r="O12" i="7" s="1"/>
  <c r="O19" i="7" a="1"/>
  <c r="O19" i="7" s="1"/>
  <c r="O16" i="7" a="1"/>
  <c r="O16" i="7" s="1"/>
  <c r="O15" i="7" a="1"/>
  <c r="O15" i="7" s="1"/>
  <c r="I8" i="7" a="1"/>
  <c r="I8" i="7" s="1"/>
  <c r="I5" i="7" a="1"/>
  <c r="I5" i="7" s="1"/>
  <c r="I15" i="7" a="1"/>
  <c r="I15" i="7" s="1"/>
  <c r="I12" i="7" a="1"/>
  <c r="I12" i="7" s="1"/>
  <c r="I11" i="7" a="1"/>
  <c r="I11" i="7" s="1"/>
  <c r="I10" i="7" a="1"/>
  <c r="I10" i="7" s="1"/>
  <c r="I19" i="7" a="1"/>
  <c r="I19" i="7" s="1"/>
  <c r="I16" i="7" a="1"/>
  <c r="I16" i="7" s="1"/>
  <c r="J10" i="7" a="1"/>
  <c r="J10" i="7" s="1"/>
  <c r="J8" i="7" a="1"/>
  <c r="J8" i="7" s="1"/>
  <c r="J5" i="7" a="1"/>
  <c r="J5" i="7" s="1"/>
  <c r="J16" i="7" a="1"/>
  <c r="J16" i="7" s="1"/>
  <c r="J15" i="7" a="1"/>
  <c r="J15" i="7" s="1"/>
  <c r="J12" i="7" a="1"/>
  <c r="J12" i="7" s="1"/>
  <c r="J11" i="7" a="1"/>
  <c r="J11" i="7" s="1"/>
  <c r="J19" i="7" a="1"/>
  <c r="J19" i="7" s="1"/>
  <c r="C11" i="7" a="1"/>
  <c r="C11" i="7" s="1"/>
  <c r="C10" i="7" a="1"/>
  <c r="C10" i="7" s="1"/>
  <c r="C8" i="7" a="1"/>
  <c r="C8" i="7" s="1"/>
  <c r="C5" i="7" a="1"/>
  <c r="C5" i="7" s="1"/>
  <c r="C19" i="7" a="1"/>
  <c r="C19" i="7" s="1"/>
  <c r="C16" i="7" a="1"/>
  <c r="C16" i="7" s="1"/>
  <c r="C15" i="7" a="1"/>
  <c r="C15" i="7" s="1"/>
  <c r="C12" i="7" a="1"/>
  <c r="C12" i="7" s="1"/>
  <c r="L5" i="7" a="1"/>
  <c r="L5" i="7" s="1"/>
  <c r="L10" i="7" a="1"/>
  <c r="L10" i="7" s="1"/>
  <c r="L12" i="7" a="1"/>
  <c r="L12" i="7" s="1"/>
  <c r="L11" i="7" a="1"/>
  <c r="L11" i="7" s="1"/>
  <c r="L8" i="7" a="1"/>
  <c r="L8" i="7" s="1"/>
  <c r="L15" i="7" a="1"/>
  <c r="L15" i="7" s="1"/>
  <c r="L16" i="7" a="1"/>
  <c r="L16" i="7" s="1"/>
  <c r="L19" i="7" a="1"/>
  <c r="L19" i="7" s="1"/>
  <c r="D12" i="7" a="1"/>
  <c r="D12" i="7" s="1"/>
  <c r="D11" i="7" a="1"/>
  <c r="D11" i="7" s="1"/>
  <c r="D10" i="7" a="1"/>
  <c r="D10" i="7" s="1"/>
  <c r="D8" i="7" a="1"/>
  <c r="D8" i="7" s="1"/>
  <c r="D19" i="7" a="1"/>
  <c r="D19" i="7" s="1"/>
  <c r="D16" i="7" a="1"/>
  <c r="D16" i="7" s="1"/>
  <c r="D15" i="7" a="1"/>
  <c r="D15" i="7" s="1"/>
  <c r="D5" i="7" a="1"/>
  <c r="D5" i="7" s="1"/>
  <c r="P5" i="7" a="1"/>
  <c r="P5" i="7" s="1"/>
  <c r="P12" i="7" a="1"/>
  <c r="P12" i="7" s="1"/>
  <c r="P11" i="7" a="1"/>
  <c r="P11" i="7" s="1"/>
  <c r="P10" i="7" a="1"/>
  <c r="P10" i="7" s="1"/>
  <c r="P8" i="7" a="1"/>
  <c r="P8" i="7" s="1"/>
  <c r="P19" i="7" a="1"/>
  <c r="P19" i="7" s="1"/>
  <c r="P16" i="7" a="1"/>
  <c r="P16" i="7" s="1"/>
  <c r="P15" i="7" a="1"/>
  <c r="P15" i="7" s="1"/>
  <c r="D22" i="7" a="1"/>
  <c r="D22" i="7" s="1"/>
  <c r="C22" i="7" a="1"/>
  <c r="C22" i="7" s="1"/>
  <c r="F22" i="7" a="1"/>
  <c r="F22" i="7" s="1"/>
  <c r="E22" i="7" a="1"/>
  <c r="E22" i="7" s="1"/>
  <c r="K19" i="7" a="1"/>
  <c r="K19" i="7" s="1"/>
  <c r="K16" i="7" a="1"/>
  <c r="K16" i="7" s="1"/>
  <c r="K15" i="7" a="1"/>
  <c r="K15" i="7" s="1"/>
  <c r="K12" i="7" a="1"/>
  <c r="K12" i="7" s="1"/>
  <c r="K11" i="7" a="1"/>
  <c r="K11" i="7" s="1"/>
  <c r="K5" i="7" a="1"/>
  <c r="K5" i="7" s="1"/>
  <c r="K10" i="7" a="1"/>
  <c r="K10" i="7" s="1"/>
  <c r="K8" i="7" a="1"/>
  <c r="K8" i="7" s="1"/>
  <c r="E19" i="7" a="1"/>
  <c r="E19" i="7" s="1"/>
  <c r="E16" i="7" a="1"/>
  <c r="E16" i="7" s="1"/>
  <c r="E5" i="7" a="1"/>
  <c r="E5" i="7" s="1"/>
  <c r="E8" i="7" a="1"/>
  <c r="E8" i="7" s="1"/>
  <c r="E12" i="7" a="1"/>
  <c r="E12" i="7" s="1"/>
  <c r="E11" i="7" a="1"/>
  <c r="E11" i="7" s="1"/>
  <c r="E15" i="7" a="1"/>
  <c r="E15" i="7" s="1"/>
  <c r="E10" i="7" a="1"/>
  <c r="E10" i="7" s="1"/>
  <c r="F10" i="7" a="1"/>
  <c r="F10" i="7" s="1"/>
  <c r="F8" i="7" a="1"/>
  <c r="F8" i="7" s="1"/>
  <c r="F5" i="7" a="1"/>
  <c r="F5" i="7" s="1"/>
  <c r="F15" i="7" a="1"/>
  <c r="F15" i="7" s="1"/>
  <c r="F16" i="7" a="1"/>
  <c r="F16" i="7" s="1"/>
  <c r="F12" i="7" a="1"/>
  <c r="F12" i="7" s="1"/>
  <c r="F11" i="7" a="1"/>
  <c r="F11" i="7" s="1"/>
  <c r="F19" i="7" a="1"/>
  <c r="F19" i="7" s="1"/>
  <c r="M8" i="7" a="1"/>
  <c r="M8" i="7" s="1"/>
  <c r="M5" i="7" a="1"/>
  <c r="M5" i="7" s="1"/>
  <c r="M15" i="7" a="1"/>
  <c r="M15" i="7" s="1"/>
  <c r="M12" i="7" a="1"/>
  <c r="M12" i="7" s="1"/>
  <c r="M11" i="7" a="1"/>
  <c r="M11" i="7" s="1"/>
  <c r="M10" i="7" a="1"/>
  <c r="M10" i="7" s="1"/>
  <c r="M19" i="7" a="1"/>
  <c r="M19" i="7" s="1"/>
  <c r="M16" i="7" a="1"/>
  <c r="M16" i="7" s="1"/>
  <c r="G8" i="7" a="1"/>
  <c r="G8" i="7" s="1"/>
  <c r="G5" i="7" a="1"/>
  <c r="G5" i="7" s="1"/>
  <c r="G11" i="7" a="1"/>
  <c r="G11" i="7" s="1"/>
  <c r="G10" i="7" a="1"/>
  <c r="G10" i="7" s="1"/>
  <c r="G19" i="7" a="1"/>
  <c r="G19" i="7" s="1"/>
  <c r="G16" i="7" a="1"/>
  <c r="G16" i="7" s="1"/>
  <c r="G15" i="7" a="1"/>
  <c r="G15" i="7" s="1"/>
  <c r="G12" i="7" a="1"/>
  <c r="G12" i="7" s="1"/>
  <c r="N10" i="7" a="1"/>
  <c r="N10" i="7" s="1"/>
  <c r="N8" i="7" a="1"/>
  <c r="N8" i="7" s="1"/>
  <c r="N5" i="7" a="1"/>
  <c r="N5" i="7" s="1"/>
  <c r="N11" i="7" a="1"/>
  <c r="N11" i="7" s="1"/>
  <c r="N16" i="7" a="1"/>
  <c r="N16" i="7" s="1"/>
  <c r="N15" i="7" a="1"/>
  <c r="N15" i="7" s="1"/>
  <c r="N12" i="7" a="1"/>
  <c r="N12" i="7" s="1"/>
  <c r="N19" i="7" a="1"/>
  <c r="N19" i="7" s="1"/>
  <c r="H12" i="7" a="1"/>
  <c r="H12" i="7" s="1"/>
  <c r="H10" i="7" a="1"/>
  <c r="H10" i="7" s="1"/>
  <c r="H8" i="7" a="1"/>
  <c r="H8" i="7" s="1"/>
  <c r="H5" i="7" a="1"/>
  <c r="H5" i="7" s="1"/>
  <c r="H11" i="7" a="1"/>
  <c r="H11" i="7" s="1"/>
  <c r="H19" i="7" a="1"/>
  <c r="H19" i="7" s="1"/>
  <c r="H16" i="7" a="1"/>
  <c r="H16" i="7" s="1"/>
  <c r="H15" i="7" a="1"/>
  <c r="H15" i="7" s="1"/>
  <c r="F34" i="26"/>
  <c r="F228" i="26" s="1"/>
  <c r="F80" i="26"/>
  <c r="AF16" i="5"/>
  <c r="AE21" i="5"/>
  <c r="G32" i="3"/>
  <c r="N5" i="3" s="1"/>
  <c r="S8" i="18"/>
  <c r="R14" i="18"/>
  <c r="R5" i="18"/>
  <c r="Q11" i="18"/>
  <c r="S6" i="18"/>
  <c r="R12" i="18"/>
  <c r="G5" i="3"/>
  <c r="K5" i="3" s="1"/>
  <c r="G14" i="3"/>
  <c r="L5" i="3" s="1"/>
  <c r="S9" i="18"/>
  <c r="R15" i="18"/>
  <c r="S7" i="18"/>
  <c r="R13" i="18"/>
  <c r="H140" i="18"/>
  <c r="F146" i="18"/>
  <c r="D184" i="18"/>
  <c r="I193" i="18"/>
  <c r="F58" i="1" a="1"/>
  <c r="F58" i="1" s="1"/>
  <c r="D94" i="5"/>
  <c r="AK7" i="5" s="1"/>
  <c r="F93" i="5"/>
  <c r="AJ8" i="5" s="1"/>
  <c r="AE22" i="5"/>
  <c r="AE18" i="5"/>
  <c r="Y5" i="20"/>
  <c r="AD5" i="20"/>
  <c r="AI82" i="20"/>
  <c r="X98" i="20"/>
  <c r="AC106" i="20"/>
  <c r="L115" i="5"/>
  <c r="M115" i="5" s="1"/>
  <c r="N115" i="5" s="1"/>
  <c r="O115" i="5" s="1"/>
  <c r="P115" i="5" s="1"/>
  <c r="Q115" i="5" s="1"/>
  <c r="R115" i="5" s="1"/>
  <c r="S115" i="5" s="1"/>
  <c r="T115" i="5" s="1"/>
  <c r="U115" i="5" s="1"/>
  <c r="V115" i="5" s="1"/>
  <c r="W115" i="5" s="1"/>
  <c r="X115" i="5" s="1"/>
  <c r="Y115" i="5" s="1"/>
  <c r="Z115" i="5" s="1"/>
  <c r="AA115" i="5" s="1"/>
  <c r="AB115" i="5" s="1"/>
  <c r="AC115" i="5" s="1"/>
  <c r="AD115" i="5" s="1"/>
  <c r="AE115" i="5" s="1"/>
  <c r="AF115" i="5" s="1"/>
  <c r="AG115" i="5" s="1"/>
  <c r="AH115" i="5" s="1"/>
  <c r="AI115" i="5" s="1"/>
  <c r="AJ115" i="5" s="1"/>
  <c r="AK115" i="5" s="1"/>
  <c r="AL115" i="5" s="1"/>
  <c r="AM115" i="5" s="1"/>
  <c r="AN115" i="5" s="1"/>
  <c r="AO115" i="5" s="1"/>
  <c r="AP115" i="5" s="1"/>
  <c r="AQ115" i="5" s="1"/>
  <c r="AR115" i="5" s="1"/>
  <c r="K27" i="4" a="1"/>
  <c r="K27" i="4" s="1"/>
  <c r="E221" i="18"/>
  <c r="AF115" i="20"/>
  <c r="K23" i="5"/>
  <c r="L23" i="5" s="1"/>
  <c r="M23" i="5" s="1"/>
  <c r="N23" i="5" s="1"/>
  <c r="O23" i="5" s="1"/>
  <c r="P23" i="5" s="1"/>
  <c r="Q23" i="5" s="1"/>
  <c r="K21" i="5"/>
  <c r="L21" i="5" s="1"/>
  <c r="M21" i="5" s="1"/>
  <c r="N21" i="5" s="1"/>
  <c r="O21" i="5" s="1"/>
  <c r="BA35" i="20"/>
  <c r="AH84" i="20"/>
  <c r="V100" i="20"/>
  <c r="G818" i="18"/>
  <c r="R111" i="20"/>
  <c r="F4" i="18"/>
  <c r="F44" i="18" s="1"/>
  <c r="E401" i="18"/>
  <c r="E754" i="18"/>
  <c r="E47" i="18"/>
  <c r="K748" i="18"/>
  <c r="AJ72" i="5"/>
  <c r="O107" i="5" s="1"/>
  <c r="K960" i="18"/>
  <c r="O37" i="18"/>
  <c r="P37" i="18" s="1"/>
  <c r="Q37" i="18" s="1"/>
  <c r="R37" i="18" s="1"/>
  <c r="S37" i="18" s="1"/>
  <c r="T37" i="18" s="1"/>
  <c r="U37" i="18" s="1"/>
  <c r="V37" i="18" s="1"/>
  <c r="W37" i="18" s="1"/>
  <c r="X37" i="18" s="1"/>
  <c r="Y37" i="18" s="1"/>
  <c r="Z37" i="18" s="1"/>
  <c r="AA37" i="18" s="1"/>
  <c r="AB37" i="18" s="1"/>
  <c r="AC37" i="18" s="1"/>
  <c r="AD37" i="18" s="1"/>
  <c r="AE37" i="18" s="1"/>
  <c r="AF37" i="18" s="1"/>
  <c r="AG37" i="18" s="1"/>
  <c r="AH37" i="18" s="1"/>
  <c r="AI37" i="18" s="1"/>
  <c r="AJ37" i="18" s="1"/>
  <c r="AK37" i="18" s="1"/>
  <c r="AL37" i="18" s="1"/>
  <c r="AM37" i="18" s="1"/>
  <c r="AZ7" i="20"/>
  <c r="BD9" i="20"/>
  <c r="BH9" i="20" s="1"/>
  <c r="R96" i="20"/>
  <c r="AK89" i="20"/>
  <c r="AE95" i="20"/>
  <c r="O38" i="18"/>
  <c r="AH31" i="18"/>
  <c r="D128" i="18"/>
  <c r="F913" i="18"/>
  <c r="H108" i="18"/>
  <c r="K171" i="18"/>
  <c r="K82" i="18"/>
  <c r="M15" i="24"/>
  <c r="M38" i="24"/>
  <c r="E48" i="18"/>
  <c r="K147" i="18"/>
  <c r="AZ22" i="20"/>
  <c r="V97" i="20"/>
  <c r="AE102" i="20"/>
  <c r="M31" i="24"/>
  <c r="L46" i="24"/>
  <c r="AG84" i="20"/>
  <c r="U89" i="20"/>
  <c r="AK92" i="20"/>
  <c r="AF113" i="20"/>
  <c r="M8" i="24"/>
  <c r="L29" i="24"/>
  <c r="K64" i="18"/>
  <c r="BD43" i="20"/>
  <c r="BH43" i="20" s="1"/>
  <c r="M22" i="24"/>
  <c r="E61" i="18"/>
  <c r="D80" i="18"/>
  <c r="K99" i="18"/>
  <c r="BG38" i="20"/>
  <c r="AC83" i="20"/>
  <c r="AD103" i="20"/>
  <c r="AH111" i="20"/>
  <c r="F50" i="18"/>
  <c r="AZ20" i="20"/>
  <c r="BH16" i="5"/>
  <c r="K115" i="18"/>
  <c r="BA20" i="20"/>
  <c r="AH112" i="20"/>
  <c r="AK72" i="5"/>
  <c r="O108" i="5" s="1"/>
  <c r="J3" i="24"/>
  <c r="BE3" i="20"/>
  <c r="M3" i="24"/>
  <c r="BG3" i="20"/>
  <c r="BM3" i="20"/>
  <c r="K51" i="18"/>
  <c r="K53" i="18"/>
  <c r="K76" i="18"/>
  <c r="K131" i="18"/>
  <c r="J5" i="20"/>
  <c r="U92" i="20"/>
  <c r="M4" i="22"/>
  <c r="L20" i="24"/>
  <c r="L36" i="24"/>
  <c r="K80" i="18"/>
  <c r="K74" i="18"/>
  <c r="D144" i="18"/>
  <c r="F154" i="18"/>
  <c r="BD3" i="20"/>
  <c r="BA9" i="20"/>
  <c r="BA16" i="20"/>
  <c r="BG34" i="20"/>
  <c r="X92" i="20"/>
  <c r="AA100" i="20"/>
  <c r="R112" i="20"/>
  <c r="I3" i="24"/>
  <c r="L25" i="24"/>
  <c r="K78" i="18"/>
  <c r="K91" i="18"/>
  <c r="K233" i="18"/>
  <c r="X86" i="20"/>
  <c r="T113" i="20"/>
  <c r="L3" i="24"/>
  <c r="L5" i="24"/>
  <c r="L4" i="24" s="1"/>
  <c r="L16" i="24"/>
  <c r="M30" i="24"/>
  <c r="L32" i="24"/>
  <c r="K48" i="18"/>
  <c r="K50" i="18"/>
  <c r="E52" i="18"/>
  <c r="K59" i="18"/>
  <c r="E68" i="18"/>
  <c r="K70" i="18"/>
  <c r="D112" i="18"/>
  <c r="K292" i="18"/>
  <c r="Z96" i="20"/>
  <c r="F113" i="1"/>
  <c r="BA10" i="5"/>
  <c r="K57" i="18"/>
  <c r="K66" i="18"/>
  <c r="K68" i="18"/>
  <c r="K155" i="18"/>
  <c r="E213" i="18"/>
  <c r="BA11" i="20"/>
  <c r="AZ32" i="20"/>
  <c r="AI94" i="20"/>
  <c r="S113" i="20"/>
  <c r="J15" i="24"/>
  <c r="L49" i="24"/>
  <c r="J126" i="18"/>
  <c r="K62" i="18"/>
  <c r="T114" i="20"/>
  <c r="K4" i="22"/>
  <c r="AE85" i="20"/>
  <c r="J53" i="18"/>
  <c r="J62" i="18"/>
  <c r="I64" i="18"/>
  <c r="J277" i="18"/>
  <c r="R104" i="20"/>
  <c r="AJ107" i="20"/>
  <c r="AD107" i="20"/>
  <c r="J110" i="18"/>
  <c r="J142" i="18"/>
  <c r="BD20" i="20"/>
  <c r="BG20" i="20" s="1"/>
  <c r="AZ43" i="20"/>
  <c r="BA43" i="20"/>
  <c r="M7" i="24"/>
  <c r="L7" i="24"/>
  <c r="AM60" i="5"/>
  <c r="AA59" i="5"/>
  <c r="AO60" i="5"/>
  <c r="AN60" i="5"/>
  <c r="AH88" i="20"/>
  <c r="Y88" i="20"/>
  <c r="AM63" i="5"/>
  <c r="F109" i="5" s="1"/>
  <c r="AM62" i="5"/>
  <c r="E109" i="5" s="1"/>
  <c r="AN62" i="5"/>
  <c r="E110" i="5" s="1"/>
  <c r="AO62" i="5"/>
  <c r="E111" i="5" s="1"/>
  <c r="AB93" i="20"/>
  <c r="Y93" i="20"/>
  <c r="V93" i="20"/>
  <c r="M11" i="24"/>
  <c r="L11" i="24"/>
  <c r="M39" i="24"/>
  <c r="L39" i="24"/>
  <c r="M41" i="24"/>
  <c r="L41" i="24"/>
  <c r="H172" i="18"/>
  <c r="H180" i="18"/>
  <c r="H148" i="18"/>
  <c r="H132" i="18"/>
  <c r="H116" i="18"/>
  <c r="H100" i="18"/>
  <c r="H204" i="18"/>
  <c r="H156" i="18"/>
  <c r="I56" i="18"/>
  <c r="I242" i="18"/>
  <c r="I49" i="18"/>
  <c r="I81" i="18"/>
  <c r="I226" i="18"/>
  <c r="G279" i="18"/>
  <c r="G54" i="18"/>
  <c r="J174" i="18"/>
  <c r="J86" i="18"/>
  <c r="J78" i="18"/>
  <c r="J51" i="18"/>
  <c r="J150" i="18"/>
  <c r="J134" i="18"/>
  <c r="J118" i="18"/>
  <c r="J102" i="18"/>
  <c r="J54" i="18"/>
  <c r="J316" i="18"/>
  <c r="J206" i="18"/>
  <c r="H124" i="18"/>
  <c r="J158" i="18"/>
  <c r="BD44" i="20"/>
  <c r="AY10" i="5"/>
  <c r="AU10" i="5"/>
  <c r="AT10" i="5"/>
  <c r="P36" i="4"/>
  <c r="AW10" i="5"/>
  <c r="AJ87" i="20"/>
  <c r="AD87" i="20"/>
  <c r="Y87" i="20"/>
  <c r="X87" i="20"/>
  <c r="T87" i="20"/>
  <c r="L45" i="24"/>
  <c r="M45" i="24"/>
  <c r="BA17" i="20"/>
  <c r="Y85" i="20"/>
  <c r="AK88" i="20"/>
  <c r="R89" i="20"/>
  <c r="AA92" i="20"/>
  <c r="AH99" i="20"/>
  <c r="AH104" i="20"/>
  <c r="AU4" i="22"/>
  <c r="AK62" i="5"/>
  <c r="E108" i="5" s="1"/>
  <c r="AJ62" i="5"/>
  <c r="E107" i="5" s="1"/>
  <c r="K211" i="18"/>
  <c r="K249" i="18"/>
  <c r="K303" i="18"/>
  <c r="BA25" i="20"/>
  <c r="W82" i="20"/>
  <c r="S84" i="20"/>
  <c r="X89" i="20"/>
  <c r="AE116" i="20"/>
  <c r="AI62" i="5"/>
  <c r="E106" i="5" s="1"/>
  <c r="K61" i="18"/>
  <c r="K73" i="18"/>
  <c r="K75" i="18"/>
  <c r="K65" i="18"/>
  <c r="K67" i="18"/>
  <c r="K81" i="18"/>
  <c r="K83" i="18"/>
  <c r="D104" i="18"/>
  <c r="D120" i="18"/>
  <c r="D136" i="18"/>
  <c r="D152" i="18"/>
  <c r="K187" i="18"/>
  <c r="K257" i="18"/>
  <c r="K311" i="18"/>
  <c r="BF3" i="20"/>
  <c r="BA22" i="20"/>
  <c r="BD25" i="20"/>
  <c r="BH25" i="20" s="1"/>
  <c r="AF83" i="20"/>
  <c r="U84" i="20"/>
  <c r="AB85" i="20"/>
  <c r="R88" i="20"/>
  <c r="AI89" i="20"/>
  <c r="AG100" i="20"/>
  <c r="AH105" i="20"/>
  <c r="AE110" i="20"/>
  <c r="Z112" i="20"/>
  <c r="AJ114" i="20"/>
  <c r="E60" i="18"/>
  <c r="K88" i="18"/>
  <c r="K219" i="18"/>
  <c r="K273" i="18"/>
  <c r="V84" i="20"/>
  <c r="AE98" i="20"/>
  <c r="K49" i="18"/>
  <c r="K69" i="18"/>
  <c r="K54" i="18"/>
  <c r="K56" i="18"/>
  <c r="K60" i="18"/>
  <c r="E93" i="18"/>
  <c r="K98" i="18"/>
  <c r="K107" i="18"/>
  <c r="K123" i="18"/>
  <c r="K139" i="18"/>
  <c r="K195" i="18"/>
  <c r="D200" i="18"/>
  <c r="Y84" i="20"/>
  <c r="AK86" i="20"/>
  <c r="AE89" i="20"/>
  <c r="AI90" i="20"/>
  <c r="AJ103" i="20"/>
  <c r="AE108" i="20"/>
  <c r="K281" i="18"/>
  <c r="AK111" i="20"/>
  <c r="AB113" i="20"/>
  <c r="U5" i="24"/>
  <c r="V5" i="24" s="1"/>
  <c r="V4" i="24" s="1"/>
  <c r="M12" i="24"/>
  <c r="K203" i="18"/>
  <c r="AW3" i="20"/>
  <c r="BA10" i="20"/>
  <c r="AI84" i="20"/>
  <c r="T106" i="20"/>
  <c r="AO61" i="5"/>
  <c r="D111" i="5" s="1"/>
  <c r="AN61" i="5"/>
  <c r="D110" i="5" s="1"/>
  <c r="AK61" i="5"/>
  <c r="D108" i="5" s="1"/>
  <c r="AJ61" i="5"/>
  <c r="D107" i="5" s="1"/>
  <c r="C45" i="12"/>
  <c r="J20" i="5"/>
  <c r="H20" i="5"/>
  <c r="G20" i="5" s="1"/>
  <c r="F20" i="5" s="1"/>
  <c r="E20" i="5" s="1"/>
  <c r="D20" i="5" s="1"/>
  <c r="F114" i="18"/>
  <c r="F130" i="18"/>
  <c r="F49" i="18"/>
  <c r="F106" i="18"/>
  <c r="F202" i="18"/>
  <c r="O34" i="4"/>
  <c r="F286" i="18"/>
  <c r="F227" i="18"/>
  <c r="F194" i="18"/>
  <c r="F302" i="18"/>
  <c r="F243" i="18"/>
  <c r="F210" i="18"/>
  <c r="F66" i="18"/>
  <c r="F267" i="18"/>
  <c r="F218" i="18"/>
  <c r="F82" i="18"/>
  <c r="F275" i="18"/>
  <c r="F251" i="18"/>
  <c r="F235" i="18"/>
  <c r="F178" i="18"/>
  <c r="F58" i="18"/>
  <c r="F98" i="18"/>
  <c r="F283" i="18"/>
  <c r="F259" i="18"/>
  <c r="F186" i="18"/>
  <c r="F162" i="18"/>
  <c r="F74" i="18"/>
  <c r="F170" i="18"/>
  <c r="F90" i="18"/>
  <c r="F57" i="18"/>
  <c r="F122" i="18"/>
  <c r="AA34" i="4"/>
  <c r="F138" i="18"/>
  <c r="BB10" i="5"/>
  <c r="AN71" i="5"/>
  <c r="N110" i="5" s="1"/>
  <c r="I306" i="18"/>
  <c r="I262" i="18"/>
  <c r="I258" i="18"/>
  <c r="I161" i="18"/>
  <c r="I270" i="18"/>
  <c r="I266" i="18"/>
  <c r="I293" i="18"/>
  <c r="I278" i="18"/>
  <c r="I274" i="18"/>
  <c r="I177" i="18"/>
  <c r="I238" i="18"/>
  <c r="I48" i="18"/>
  <c r="H52" i="18"/>
  <c r="H60" i="18"/>
  <c r="I65" i="18"/>
  <c r="H84" i="18"/>
  <c r="I97" i="18"/>
  <c r="D168" i="18"/>
  <c r="H196" i="18"/>
  <c r="H212" i="18"/>
  <c r="H92" i="18"/>
  <c r="H51" i="18"/>
  <c r="G65" i="11"/>
  <c r="O33" i="4"/>
  <c r="N33" i="4" s="1"/>
  <c r="M33" i="4" s="1"/>
  <c r="L33" i="4" s="1"/>
  <c r="K33" i="4" s="1"/>
  <c r="J33" i="4" s="1"/>
  <c r="I33" i="4" s="1"/>
  <c r="H33" i="4" s="1"/>
  <c r="G33" i="4" s="1"/>
  <c r="F33" i="4" s="1"/>
  <c r="AS10" i="5"/>
  <c r="J22" i="5"/>
  <c r="AX10" i="5"/>
  <c r="J306" i="18"/>
  <c r="J229" i="18"/>
  <c r="J198" i="18"/>
  <c r="J324" i="18"/>
  <c r="J319" i="18"/>
  <c r="J237" i="18"/>
  <c r="J245" i="18"/>
  <c r="J214" i="18"/>
  <c r="J94" i="18"/>
  <c r="J61" i="18"/>
  <c r="J343" i="18"/>
  <c r="J340" i="18"/>
  <c r="J335" i="18"/>
  <c r="J269" i="18"/>
  <c r="I57" i="18"/>
  <c r="H67" i="18"/>
  <c r="J70" i="18"/>
  <c r="E77" i="18"/>
  <c r="E101" i="18"/>
  <c r="G103" i="18"/>
  <c r="I105" i="18"/>
  <c r="E109" i="18"/>
  <c r="G111" i="18"/>
  <c r="I113" i="18"/>
  <c r="E117" i="18"/>
  <c r="G119" i="18"/>
  <c r="I121" i="18"/>
  <c r="E125" i="18"/>
  <c r="G127" i="18"/>
  <c r="I129" i="18"/>
  <c r="E133" i="18"/>
  <c r="G135" i="18"/>
  <c r="I137" i="18"/>
  <c r="E141" i="18"/>
  <c r="G143" i="18"/>
  <c r="I145" i="18"/>
  <c r="E149" i="18"/>
  <c r="G151" i="18"/>
  <c r="I153" i="18"/>
  <c r="E157" i="18"/>
  <c r="J166" i="18"/>
  <c r="I201" i="18"/>
  <c r="E205" i="18"/>
  <c r="D310" i="18"/>
  <c r="AZ29" i="20"/>
  <c r="BA29" i="20"/>
  <c r="H59" i="18"/>
  <c r="D64" i="18"/>
  <c r="D72" i="18"/>
  <c r="H164" i="18"/>
  <c r="D232" i="18"/>
  <c r="I234" i="18"/>
  <c r="D248" i="18"/>
  <c r="I250" i="18"/>
  <c r="D252" i="18"/>
  <c r="I254" i="18"/>
  <c r="J261" i="18"/>
  <c r="E296" i="18"/>
  <c r="H188" i="18"/>
  <c r="J190" i="18"/>
  <c r="E197" i="18"/>
  <c r="I217" i="18"/>
  <c r="I230" i="18"/>
  <c r="I246" i="18"/>
  <c r="J285" i="18"/>
  <c r="H287" i="18"/>
  <c r="H301" i="18"/>
  <c r="BA26" i="20"/>
  <c r="D260" i="18"/>
  <c r="D256" i="18"/>
  <c r="D192" i="18"/>
  <c r="D268" i="18"/>
  <c r="D264" i="18"/>
  <c r="D276" i="18"/>
  <c r="D272" i="18"/>
  <c r="D208" i="18"/>
  <c r="D55" i="18"/>
  <c r="D236" i="18"/>
  <c r="AV10" i="5"/>
  <c r="AI71" i="5"/>
  <c r="N106" i="5" s="1"/>
  <c r="E286" i="18"/>
  <c r="E165" i="18"/>
  <c r="E181" i="18"/>
  <c r="E69" i="18"/>
  <c r="E50" i="18"/>
  <c r="E53" i="18"/>
  <c r="J69" i="18"/>
  <c r="H76" i="18"/>
  <c r="E85" i="18"/>
  <c r="G87" i="18"/>
  <c r="I89" i="18"/>
  <c r="D160" i="18"/>
  <c r="I169" i="18"/>
  <c r="E173" i="18"/>
  <c r="J182" i="18"/>
  <c r="D228" i="18"/>
  <c r="D244" i="18"/>
  <c r="H306" i="18"/>
  <c r="AI72" i="5"/>
  <c r="O106" i="5" s="1"/>
  <c r="D48" i="18"/>
  <c r="H49" i="18"/>
  <c r="G71" i="18"/>
  <c r="I73" i="18"/>
  <c r="D224" i="18"/>
  <c r="D240" i="18"/>
  <c r="J253" i="18"/>
  <c r="H295" i="18"/>
  <c r="D297" i="18"/>
  <c r="H68" i="18"/>
  <c r="D176" i="18"/>
  <c r="I185" i="18"/>
  <c r="E189" i="18"/>
  <c r="I209" i="18"/>
  <c r="D216" i="18"/>
  <c r="H220" i="18"/>
  <c r="J222" i="18"/>
  <c r="D280" i="18"/>
  <c r="I282" i="18"/>
  <c r="D284" i="18"/>
  <c r="I286" i="18"/>
  <c r="E288" i="18"/>
  <c r="J327" i="18"/>
  <c r="J332" i="18"/>
  <c r="BD5" i="20"/>
  <c r="BD4" i="20" s="1"/>
  <c r="K265" i="18"/>
  <c r="AX3" i="20"/>
  <c r="Q5" i="20"/>
  <c r="K809" i="18"/>
  <c r="AZ3" i="20"/>
  <c r="R5" i="20"/>
  <c r="BA3" i="20"/>
  <c r="U5" i="20"/>
  <c r="AZ27" i="20"/>
  <c r="AO71" i="5"/>
  <c r="N111" i="5" s="1"/>
  <c r="K52" i="18"/>
  <c r="K58" i="18"/>
  <c r="K72" i="18"/>
  <c r="K77" i="18"/>
  <c r="K90" i="18"/>
  <c r="K179" i="18"/>
  <c r="K241" i="18"/>
  <c r="W5" i="20"/>
  <c r="BA7" i="20"/>
  <c r="BD15" i="20"/>
  <c r="BG15" i="20" s="1"/>
  <c r="BA30" i="20"/>
  <c r="BA27" i="20"/>
  <c r="K163" i="18"/>
  <c r="K225" i="18"/>
  <c r="AZ39" i="20"/>
  <c r="BA39" i="20"/>
  <c r="BA47" i="20"/>
  <c r="BD48" i="20"/>
  <c r="S82" i="20"/>
  <c r="AK84" i="20"/>
  <c r="AF84" i="20"/>
  <c r="W85" i="20"/>
  <c r="S86" i="20"/>
  <c r="Z89" i="20"/>
  <c r="S90" i="20"/>
  <c r="AH92" i="20"/>
  <c r="AJ93" i="20"/>
  <c r="AD95" i="20"/>
  <c r="AC96" i="20"/>
  <c r="U99" i="20"/>
  <c r="AE100" i="20"/>
  <c r="U102" i="20"/>
  <c r="T103" i="20"/>
  <c r="AG103" i="20"/>
  <c r="W104" i="20"/>
  <c r="X105" i="20"/>
  <c r="U106" i="20"/>
  <c r="U107" i="20"/>
  <c r="W108" i="20"/>
  <c r="X110" i="20"/>
  <c r="V111" i="20"/>
  <c r="AJ111" i="20"/>
  <c r="AA112" i="20"/>
  <c r="AA113" i="20"/>
  <c r="U114" i="20"/>
  <c r="U115" i="20"/>
  <c r="W116" i="20"/>
  <c r="T82" i="20"/>
  <c r="W86" i="20"/>
  <c r="AD89" i="20"/>
  <c r="V90" i="20"/>
  <c r="AJ95" i="20"/>
  <c r="AF96" i="20"/>
  <c r="Y102" i="20"/>
  <c r="U103" i="20"/>
  <c r="AH103" i="20"/>
  <c r="Z104" i="20"/>
  <c r="AA105" i="20"/>
  <c r="AB106" i="20"/>
  <c r="V107" i="20"/>
  <c r="AG110" i="20"/>
  <c r="Y111" i="20"/>
  <c r="AB114" i="20"/>
  <c r="V115" i="20"/>
  <c r="AD116" i="20"/>
  <c r="AV4" i="22"/>
  <c r="L13" i="24"/>
  <c r="L40" i="24"/>
  <c r="L48" i="24"/>
  <c r="AH89" i="20"/>
  <c r="Y90" i="20"/>
  <c r="W94" i="20"/>
  <c r="W96" i="20"/>
  <c r="AI96" i="20"/>
  <c r="U98" i="20"/>
  <c r="AF102" i="20"/>
  <c r="V103" i="20"/>
  <c r="AF105" i="20"/>
  <c r="AC107" i="20"/>
  <c r="AF111" i="20"/>
  <c r="Z111" i="20"/>
  <c r="AG112" i="20"/>
  <c r="AI112" i="20"/>
  <c r="AI113" i="20"/>
  <c r="AC114" i="20"/>
  <c r="AC115" i="20"/>
  <c r="AW4" i="22"/>
  <c r="L17" i="24"/>
  <c r="M23" i="24"/>
  <c r="L28" i="24"/>
  <c r="L37" i="24"/>
  <c r="BH38" i="20"/>
  <c r="Y82" i="20"/>
  <c r="T83" i="20"/>
  <c r="AH85" i="20"/>
  <c r="AC86" i="20"/>
  <c r="AE90" i="20"/>
  <c r="AG102" i="20"/>
  <c r="Y103" i="20"/>
  <c r="AK103" i="20"/>
  <c r="AJ105" i="20"/>
  <c r="AJ106" i="20"/>
  <c r="AB111" i="20"/>
  <c r="AH113" i="20"/>
  <c r="AJ113" i="20"/>
  <c r="AD115" i="20"/>
  <c r="AB82" i="20"/>
  <c r="Z83" i="20"/>
  <c r="AJ85" i="20"/>
  <c r="AF86" i="20"/>
  <c r="U88" i="20"/>
  <c r="AJ97" i="20"/>
  <c r="AF103" i="20"/>
  <c r="Z103" i="20"/>
  <c r="AE104" i="20"/>
  <c r="AB105" i="20"/>
  <c r="AI106" i="20"/>
  <c r="AK106" i="20"/>
  <c r="AK107" i="20"/>
  <c r="AC111" i="20"/>
  <c r="AI114" i="20"/>
  <c r="AK114" i="20"/>
  <c r="AK115" i="20"/>
  <c r="AE82" i="20"/>
  <c r="AI86" i="20"/>
  <c r="AB103" i="20"/>
  <c r="AD111" i="20"/>
  <c r="AJ115" i="20"/>
  <c r="L4" i="22"/>
  <c r="L9" i="24"/>
  <c r="L44" i="24"/>
  <c r="M47" i="24"/>
  <c r="BA32" i="20"/>
  <c r="AG82" i="20"/>
  <c r="AA84" i="20"/>
  <c r="R85" i="20"/>
  <c r="AH86" i="20"/>
  <c r="AG87" i="20"/>
  <c r="AE88" i="20"/>
  <c r="V89" i="20"/>
  <c r="AG92" i="20"/>
  <c r="AH93" i="20"/>
  <c r="X95" i="20"/>
  <c r="T96" i="20"/>
  <c r="AD99" i="20"/>
  <c r="Y100" i="20"/>
  <c r="AC103" i="20"/>
  <c r="S105" i="20"/>
  <c r="AH107" i="20"/>
  <c r="T111" i="20"/>
  <c r="AG111" i="20"/>
  <c r="S112" i="20"/>
  <c r="L21" i="24"/>
  <c r="L24" i="24"/>
  <c r="L33" i="24"/>
  <c r="AJ82" i="20"/>
  <c r="AD84" i="20"/>
  <c r="V85" i="20"/>
  <c r="AA95" i="20"/>
  <c r="R103" i="20"/>
  <c r="T105" i="20"/>
  <c r="U111" i="20"/>
  <c r="W110" i="1"/>
  <c r="X110" i="1" s="1"/>
  <c r="F7" i="26"/>
  <c r="E1" i="26"/>
  <c r="D115" i="1"/>
  <c r="P102" i="1"/>
  <c r="Q102" i="1" s="1"/>
  <c r="F216" i="26"/>
  <c r="D5" i="3"/>
  <c r="A14" i="11"/>
  <c r="A15" i="11" s="1"/>
  <c r="A16" i="11" s="1"/>
  <c r="A17" i="11" s="1"/>
  <c r="A18" i="11" s="1"/>
  <c r="A19" i="11" s="1"/>
  <c r="AA32" i="4"/>
  <c r="Y32" i="4"/>
  <c r="Z31" i="4"/>
  <c r="O32" i="4"/>
  <c r="C52" i="12"/>
  <c r="C44" i="12"/>
  <c r="C50" i="12"/>
  <c r="C42" i="12"/>
  <c r="C56" i="12"/>
  <c r="C48" i="12"/>
  <c r="C40" i="12"/>
  <c r="C55" i="12"/>
  <c r="C47" i="12"/>
  <c r="C39" i="12"/>
  <c r="C46" i="12"/>
  <c r="C43" i="12"/>
  <c r="C57" i="12"/>
  <c r="C41" i="12"/>
  <c r="C54" i="12"/>
  <c r="C38" i="12"/>
  <c r="C51" i="12"/>
  <c r="C49" i="12"/>
  <c r="J24" i="5"/>
  <c r="K24" i="5" s="1"/>
  <c r="L24" i="5" s="1"/>
  <c r="M24" i="5" s="1"/>
  <c r="N24" i="5" s="1"/>
  <c r="O24" i="5" s="1"/>
  <c r="P24" i="5" s="1"/>
  <c r="Q24" i="5" s="1"/>
  <c r="I25" i="5"/>
  <c r="Y34" i="4"/>
  <c r="Y35" i="4" s="1"/>
  <c r="Z36" i="4"/>
  <c r="AA33" i="4"/>
  <c r="AB33" i="4" s="1"/>
  <c r="AC33" i="4" s="1"/>
  <c r="AD33" i="4" s="1"/>
  <c r="AE33" i="4" s="1"/>
  <c r="AF33" i="4" s="1"/>
  <c r="AG33" i="4" s="1"/>
  <c r="AH33" i="4" s="1"/>
  <c r="AI33" i="4" s="1"/>
  <c r="AJ33" i="4" s="1"/>
  <c r="AK33" i="4" s="1"/>
  <c r="AL33" i="4" s="1"/>
  <c r="AM33" i="4" s="1"/>
  <c r="AN33" i="4" s="1"/>
  <c r="AO33" i="4" s="1"/>
  <c r="AP33" i="4" s="1"/>
  <c r="AQ33" i="4" s="1"/>
  <c r="AR33" i="4" s="1"/>
  <c r="AS33" i="4" s="1"/>
  <c r="AT33" i="4" s="1"/>
  <c r="Y33" i="4"/>
  <c r="X33" i="4" s="1"/>
  <c r="W33" i="4" s="1"/>
  <c r="V33" i="4" s="1"/>
  <c r="U33" i="4" s="1"/>
  <c r="T33" i="4" s="1"/>
  <c r="S33" i="4" s="1"/>
  <c r="R33" i="4" s="1"/>
  <c r="Q33" i="4" s="1"/>
  <c r="G22" i="5"/>
  <c r="AJ73" i="5"/>
  <c r="P107" i="5" s="1"/>
  <c r="AK60" i="5"/>
  <c r="AJ60" i="5"/>
  <c r="AI60" i="5"/>
  <c r="D750" i="18"/>
  <c r="D742" i="18"/>
  <c r="D734" i="18"/>
  <c r="D726" i="18"/>
  <c r="D718" i="18"/>
  <c r="D710" i="18"/>
  <c r="D702" i="18"/>
  <c r="D694" i="18"/>
  <c r="D686" i="18"/>
  <c r="D678" i="18"/>
  <c r="D670" i="18"/>
  <c r="D662" i="18"/>
  <c r="D654" i="18"/>
  <c r="D646" i="18"/>
  <c r="D638" i="18"/>
  <c r="D630" i="18"/>
  <c r="D622" i="18"/>
  <c r="D614" i="18"/>
  <c r="D606" i="18"/>
  <c r="D598" i="18"/>
  <c r="D590" i="18"/>
  <c r="D582" i="18"/>
  <c r="D574" i="18"/>
  <c r="D566" i="18"/>
  <c r="D558" i="18"/>
  <c r="D550" i="18"/>
  <c r="D542" i="18"/>
  <c r="D534" i="18"/>
  <c r="D526" i="18"/>
  <c r="D518" i="18"/>
  <c r="D510" i="18"/>
  <c r="D502" i="18"/>
  <c r="D494" i="18"/>
  <c r="D486" i="18"/>
  <c r="D478" i="18"/>
  <c r="D470" i="18"/>
  <c r="D462" i="18"/>
  <c r="D454" i="18"/>
  <c r="D446" i="18"/>
  <c r="D438" i="18"/>
  <c r="D430" i="18"/>
  <c r="D422" i="18"/>
  <c r="D414" i="18"/>
  <c r="D406" i="18"/>
  <c r="D395" i="18"/>
  <c r="D387" i="18"/>
  <c r="D379" i="18"/>
  <c r="D371" i="18"/>
  <c r="D363" i="18"/>
  <c r="D355" i="18"/>
  <c r="D347" i="18"/>
  <c r="D339" i="18"/>
  <c r="D331" i="18"/>
  <c r="D323" i="18"/>
  <c r="D315" i="18"/>
  <c r="D307" i="18"/>
  <c r="D299" i="18"/>
  <c r="D747" i="18"/>
  <c r="D739" i="18"/>
  <c r="D731" i="18"/>
  <c r="D723" i="18"/>
  <c r="D715" i="18"/>
  <c r="D707" i="18"/>
  <c r="D699" i="18"/>
  <c r="D691" i="18"/>
  <c r="D683" i="18"/>
  <c r="D675" i="18"/>
  <c r="D667" i="18"/>
  <c r="D659" i="18"/>
  <c r="D651" i="18"/>
  <c r="D643" i="18"/>
  <c r="D635" i="18"/>
  <c r="D627" i="18"/>
  <c r="D619" i="18"/>
  <c r="D611" i="18"/>
  <c r="D603" i="18"/>
  <c r="D595" i="18"/>
  <c r="D587" i="18"/>
  <c r="D579" i="18"/>
  <c r="D571" i="18"/>
  <c r="D563" i="18"/>
  <c r="D555" i="18"/>
  <c r="D547" i="18"/>
  <c r="D539" i="18"/>
  <c r="D531" i="18"/>
  <c r="D523" i="18"/>
  <c r="D515" i="18"/>
  <c r="D507" i="18"/>
  <c r="D499" i="18"/>
  <c r="D491" i="18"/>
  <c r="D483" i="18"/>
  <c r="D475" i="18"/>
  <c r="D467" i="18"/>
  <c r="D459" i="18"/>
  <c r="D451" i="18"/>
  <c r="D443" i="18"/>
  <c r="D435" i="18"/>
  <c r="D427" i="18"/>
  <c r="D419" i="18"/>
  <c r="D411" i="18"/>
  <c r="D403" i="18"/>
  <c r="D392" i="18"/>
  <c r="D384" i="18"/>
  <c r="D376" i="18"/>
  <c r="D368" i="18"/>
  <c r="D360" i="18"/>
  <c r="D352" i="18"/>
  <c r="D344" i="18"/>
  <c r="D336" i="18"/>
  <c r="D328" i="18"/>
  <c r="D320" i="18"/>
  <c r="D312" i="18"/>
  <c r="D304" i="18"/>
  <c r="D752" i="18"/>
  <c r="D744" i="18"/>
  <c r="D736" i="18"/>
  <c r="D728" i="18"/>
  <c r="D720" i="18"/>
  <c r="D712" i="18"/>
  <c r="D704" i="18"/>
  <c r="D696" i="18"/>
  <c r="D688" i="18"/>
  <c r="D680" i="18"/>
  <c r="D672" i="18"/>
  <c r="D664" i="18"/>
  <c r="D656" i="18"/>
  <c r="D648" i="18"/>
  <c r="D640" i="18"/>
  <c r="D632" i="18"/>
  <c r="D624" i="18"/>
  <c r="D616" i="18"/>
  <c r="D608" i="18"/>
  <c r="D600" i="18"/>
  <c r="D592" i="18"/>
  <c r="D584" i="18"/>
  <c r="D576" i="18"/>
  <c r="D568" i="18"/>
  <c r="D560" i="18"/>
  <c r="D552" i="18"/>
  <c r="D544" i="18"/>
  <c r="D536" i="18"/>
  <c r="D528" i="18"/>
  <c r="D520" i="18"/>
  <c r="D512" i="18"/>
  <c r="D504" i="18"/>
  <c r="D496" i="18"/>
  <c r="D488" i="18"/>
  <c r="D480" i="18"/>
  <c r="D472" i="18"/>
  <c r="D464" i="18"/>
  <c r="D456" i="18"/>
  <c r="D448" i="18"/>
  <c r="D440" i="18"/>
  <c r="D432" i="18"/>
  <c r="D424" i="18"/>
  <c r="D416" i="18"/>
  <c r="D408" i="18"/>
  <c r="D397" i="18"/>
  <c r="D389" i="18"/>
  <c r="D381" i="18"/>
  <c r="D373" i="18"/>
  <c r="D365" i="18"/>
  <c r="D357" i="18"/>
  <c r="D349" i="18"/>
  <c r="D341" i="18"/>
  <c r="D333" i="18"/>
  <c r="D325" i="18"/>
  <c r="D317" i="18"/>
  <c r="D309" i="18"/>
  <c r="D301" i="18"/>
  <c r="D293" i="18"/>
  <c r="D749" i="18"/>
  <c r="D741" i="18"/>
  <c r="D733" i="18"/>
  <c r="D725" i="18"/>
  <c r="D717" i="18"/>
  <c r="D709" i="18"/>
  <c r="D701" i="18"/>
  <c r="D693" i="18"/>
  <c r="D685" i="18"/>
  <c r="D677" i="18"/>
  <c r="D669" i="18"/>
  <c r="D661" i="18"/>
  <c r="D653" i="18"/>
  <c r="D645" i="18"/>
  <c r="D637" i="18"/>
  <c r="D629" i="18"/>
  <c r="D621" i="18"/>
  <c r="D613" i="18"/>
  <c r="D605" i="18"/>
  <c r="D597" i="18"/>
  <c r="D589" i="18"/>
  <c r="D581" i="18"/>
  <c r="D573" i="18"/>
  <c r="D565" i="18"/>
  <c r="D557" i="18"/>
  <c r="D549" i="18"/>
  <c r="D541" i="18"/>
  <c r="D533" i="18"/>
  <c r="D525" i="18"/>
  <c r="D517" i="18"/>
  <c r="D509" i="18"/>
  <c r="D501" i="18"/>
  <c r="D493" i="18"/>
  <c r="D485" i="18"/>
  <c r="D477" i="18"/>
  <c r="D469" i="18"/>
  <c r="D461" i="18"/>
  <c r="D453" i="18"/>
  <c r="D445" i="18"/>
  <c r="D437" i="18"/>
  <c r="D429" i="18"/>
  <c r="D421" i="18"/>
  <c r="D413" i="18"/>
  <c r="D405" i="18"/>
  <c r="D394" i="18"/>
  <c r="D386" i="18"/>
  <c r="D378" i="18"/>
  <c r="D370" i="18"/>
  <c r="D362" i="18"/>
  <c r="D354" i="18"/>
  <c r="D346" i="18"/>
  <c r="D338" i="18"/>
  <c r="D330" i="18"/>
  <c r="D322" i="18"/>
  <c r="D314" i="18"/>
  <c r="D306" i="18"/>
  <c r="D298" i="18"/>
  <c r="D290" i="18"/>
  <c r="D282" i="18"/>
  <c r="D274" i="18"/>
  <c r="D266" i="18"/>
  <c r="D258" i="18"/>
  <c r="D250" i="18"/>
  <c r="D242" i="18"/>
  <c r="D234" i="18"/>
  <c r="D226" i="18"/>
  <c r="D746" i="18"/>
  <c r="D738" i="18"/>
  <c r="D730" i="18"/>
  <c r="D722" i="18"/>
  <c r="D714" i="18"/>
  <c r="D706" i="18"/>
  <c r="D698" i="18"/>
  <c r="D690" i="18"/>
  <c r="D682" i="18"/>
  <c r="D674" i="18"/>
  <c r="D666" i="18"/>
  <c r="D658" i="18"/>
  <c r="D650" i="18"/>
  <c r="D642" i="18"/>
  <c r="D634" i="18"/>
  <c r="D626" i="18"/>
  <c r="D618" i="18"/>
  <c r="D610" i="18"/>
  <c r="D602" i="18"/>
  <c r="D594" i="18"/>
  <c r="D586" i="18"/>
  <c r="D578" i="18"/>
  <c r="D570" i="18"/>
  <c r="D562" i="18"/>
  <c r="D554" i="18"/>
  <c r="D546" i="18"/>
  <c r="D538" i="18"/>
  <c r="D530" i="18"/>
  <c r="D522" i="18"/>
  <c r="D514" i="18"/>
  <c r="D506" i="18"/>
  <c r="D498" i="18"/>
  <c r="D490" i="18"/>
  <c r="D482" i="18"/>
  <c r="D474" i="18"/>
  <c r="D466" i="18"/>
  <c r="D458" i="18"/>
  <c r="D450" i="18"/>
  <c r="D442" i="18"/>
  <c r="D434" i="18"/>
  <c r="D426" i="18"/>
  <c r="D418" i="18"/>
  <c r="D410" i="18"/>
  <c r="D402" i="18"/>
  <c r="D391" i="18"/>
  <c r="D383" i="18"/>
  <c r="D375" i="18"/>
  <c r="D367" i="18"/>
  <c r="D359" i="18"/>
  <c r="D351" i="18"/>
  <c r="D343" i="18"/>
  <c r="D335" i="18"/>
  <c r="D327" i="18"/>
  <c r="D319" i="18"/>
  <c r="D311" i="18"/>
  <c r="D751" i="18"/>
  <c r="D743" i="18"/>
  <c r="D735" i="18"/>
  <c r="D727" i="18"/>
  <c r="D719" i="18"/>
  <c r="D711" i="18"/>
  <c r="D703" i="18"/>
  <c r="D695" i="18"/>
  <c r="D687" i="18"/>
  <c r="D679" i="18"/>
  <c r="D671" i="18"/>
  <c r="D663" i="18"/>
  <c r="D655" i="18"/>
  <c r="D647" i="18"/>
  <c r="D639" i="18"/>
  <c r="D631" i="18"/>
  <c r="D623" i="18"/>
  <c r="D615" i="18"/>
  <c r="D607" i="18"/>
  <c r="D599" i="18"/>
  <c r="D591" i="18"/>
  <c r="D583" i="18"/>
  <c r="D575" i="18"/>
  <c r="D567" i="18"/>
  <c r="D559" i="18"/>
  <c r="D551" i="18"/>
  <c r="D543" i="18"/>
  <c r="D535" i="18"/>
  <c r="D527" i="18"/>
  <c r="D519" i="18"/>
  <c r="D511" i="18"/>
  <c r="D503" i="18"/>
  <c r="D495" i="18"/>
  <c r="D487" i="18"/>
  <c r="D479" i="18"/>
  <c r="D471" i="18"/>
  <c r="D463" i="18"/>
  <c r="D455" i="18"/>
  <c r="D447" i="18"/>
  <c r="D439" i="18"/>
  <c r="D431" i="18"/>
  <c r="D423" i="18"/>
  <c r="D415" i="18"/>
  <c r="D407" i="18"/>
  <c r="D396" i="18"/>
  <c r="D388" i="18"/>
  <c r="D380" i="18"/>
  <c r="D372" i="18"/>
  <c r="D364" i="18"/>
  <c r="D356" i="18"/>
  <c r="D348" i="18"/>
  <c r="D340" i="18"/>
  <c r="D332" i="18"/>
  <c r="D324" i="18"/>
  <c r="D316" i="18"/>
  <c r="D748" i="18"/>
  <c r="D740" i="18"/>
  <c r="D732" i="18"/>
  <c r="D724" i="18"/>
  <c r="D716" i="18"/>
  <c r="D708" i="18"/>
  <c r="D700" i="18"/>
  <c r="D692" i="18"/>
  <c r="D684" i="18"/>
  <c r="D676" i="18"/>
  <c r="D668" i="18"/>
  <c r="D660" i="18"/>
  <c r="D652" i="18"/>
  <c r="D644" i="18"/>
  <c r="D636" i="18"/>
  <c r="D628" i="18"/>
  <c r="D620" i="18"/>
  <c r="D612" i="18"/>
  <c r="D604" i="18"/>
  <c r="D596" i="18"/>
  <c r="D588" i="18"/>
  <c r="D580" i="18"/>
  <c r="D572" i="18"/>
  <c r="D564" i="18"/>
  <c r="D556" i="18"/>
  <c r="D548" i="18"/>
  <c r="D540" i="18"/>
  <c r="D532" i="18"/>
  <c r="D524" i="18"/>
  <c r="D516" i="18"/>
  <c r="D508" i="18"/>
  <c r="D500" i="18"/>
  <c r="D492" i="18"/>
  <c r="D484" i="18"/>
  <c r="D476" i="18"/>
  <c r="D468" i="18"/>
  <c r="D460" i="18"/>
  <c r="D452" i="18"/>
  <c r="D444" i="18"/>
  <c r="D436" i="18"/>
  <c r="D428" i="18"/>
  <c r="D420" i="18"/>
  <c r="D412" i="18"/>
  <c r="D404" i="18"/>
  <c r="D393" i="18"/>
  <c r="D385" i="18"/>
  <c r="D377" i="18"/>
  <c r="D369" i="18"/>
  <c r="D361" i="18"/>
  <c r="D353" i="18"/>
  <c r="D745" i="18"/>
  <c r="D737" i="18"/>
  <c r="D729" i="18"/>
  <c r="D721" i="18"/>
  <c r="D713" i="18"/>
  <c r="D705" i="18"/>
  <c r="D697" i="18"/>
  <c r="D689" i="18"/>
  <c r="D681" i="18"/>
  <c r="D673" i="18"/>
  <c r="D665" i="18"/>
  <c r="D657" i="18"/>
  <c r="D649" i="18"/>
  <c r="D641" i="18"/>
  <c r="D633" i="18"/>
  <c r="D625" i="18"/>
  <c r="D617" i="18"/>
  <c r="D609" i="18"/>
  <c r="D601" i="18"/>
  <c r="D593" i="18"/>
  <c r="D585" i="18"/>
  <c r="D577" i="18"/>
  <c r="D569" i="18"/>
  <c r="D561" i="18"/>
  <c r="D553" i="18"/>
  <c r="D545" i="18"/>
  <c r="D537" i="18"/>
  <c r="D529" i="18"/>
  <c r="D521" i="18"/>
  <c r="D513" i="18"/>
  <c r="D505" i="18"/>
  <c r="D497" i="18"/>
  <c r="D489" i="18"/>
  <c r="D481" i="18"/>
  <c r="D473" i="18"/>
  <c r="D465" i="18"/>
  <c r="D457" i="18"/>
  <c r="D449" i="18"/>
  <c r="D441" i="18"/>
  <c r="D433" i="18"/>
  <c r="D425" i="18"/>
  <c r="D417" i="18"/>
  <c r="D409" i="18"/>
  <c r="D398" i="18"/>
  <c r="D390" i="18"/>
  <c r="D382" i="18"/>
  <c r="D374" i="18"/>
  <c r="D366" i="18"/>
  <c r="D358" i="18"/>
  <c r="D350" i="18"/>
  <c r="D296" i="18"/>
  <c r="D288" i="18"/>
  <c r="D221" i="18"/>
  <c r="D213" i="18"/>
  <c r="D205" i="18"/>
  <c r="D197" i="18"/>
  <c r="D189" i="18"/>
  <c r="D181" i="18"/>
  <c r="D173" i="18"/>
  <c r="D165" i="18"/>
  <c r="D157" i="18"/>
  <c r="D149" i="18"/>
  <c r="D141" i="18"/>
  <c r="D133" i="18"/>
  <c r="D125" i="18"/>
  <c r="D117" i="18"/>
  <c r="D109" i="18"/>
  <c r="D101" i="18"/>
  <c r="D93" i="18"/>
  <c r="D85" i="18"/>
  <c r="D77" i="18"/>
  <c r="D69" i="18"/>
  <c r="D61" i="18"/>
  <c r="D53" i="18"/>
  <c r="D302" i="18"/>
  <c r="D295" i="18"/>
  <c r="D287" i="18"/>
  <c r="D283" i="18"/>
  <c r="D279" i="18"/>
  <c r="D275" i="18"/>
  <c r="D271" i="18"/>
  <c r="D267" i="18"/>
  <c r="D263" i="18"/>
  <c r="D259" i="18"/>
  <c r="D255" i="18"/>
  <c r="D251" i="18"/>
  <c r="D247" i="18"/>
  <c r="D243" i="18"/>
  <c r="D239" i="18"/>
  <c r="D235" i="18"/>
  <c r="D231" i="18"/>
  <c r="D227" i="18"/>
  <c r="D218" i="18"/>
  <c r="D210" i="18"/>
  <c r="D202" i="18"/>
  <c r="D194" i="18"/>
  <c r="D186" i="18"/>
  <c r="D178" i="18"/>
  <c r="D170" i="18"/>
  <c r="D162" i="18"/>
  <c r="D154" i="18"/>
  <c r="D146" i="18"/>
  <c r="D138" i="18"/>
  <c r="D130" i="18"/>
  <c r="D122" i="18"/>
  <c r="D114" i="18"/>
  <c r="D106" i="18"/>
  <c r="D98" i="18"/>
  <c r="D90" i="18"/>
  <c r="D82" i="18"/>
  <c r="D74" i="18"/>
  <c r="D66" i="18"/>
  <c r="D58" i="18"/>
  <c r="D50" i="18"/>
  <c r="D303" i="18"/>
  <c r="D294" i="18"/>
  <c r="D223" i="18"/>
  <c r="D215" i="18"/>
  <c r="D207" i="18"/>
  <c r="D199" i="18"/>
  <c r="D191" i="18"/>
  <c r="D183" i="18"/>
  <c r="D175" i="18"/>
  <c r="D167" i="18"/>
  <c r="D159" i="18"/>
  <c r="D151" i="18"/>
  <c r="D143" i="18"/>
  <c r="D135" i="18"/>
  <c r="D127" i="18"/>
  <c r="D119" i="18"/>
  <c r="D111" i="18"/>
  <c r="D103" i="18"/>
  <c r="D95" i="18"/>
  <c r="D87" i="18"/>
  <c r="D79" i="18"/>
  <c r="D71" i="18"/>
  <c r="D63" i="18"/>
  <c r="D308" i="18"/>
  <c r="D286" i="18"/>
  <c r="D278" i="18"/>
  <c r="D270" i="18"/>
  <c r="D262" i="18"/>
  <c r="D254" i="18"/>
  <c r="D246" i="18"/>
  <c r="D238" i="18"/>
  <c r="D230" i="18"/>
  <c r="D220" i="18"/>
  <c r="D212" i="18"/>
  <c r="D204" i="18"/>
  <c r="D196" i="18"/>
  <c r="D188" i="18"/>
  <c r="D180" i="18"/>
  <c r="D172" i="18"/>
  <c r="D164" i="18"/>
  <c r="D156" i="18"/>
  <c r="D148" i="18"/>
  <c r="D140" i="18"/>
  <c r="D132" i="18"/>
  <c r="D124" i="18"/>
  <c r="D116" i="18"/>
  <c r="D108" i="18"/>
  <c r="D100" i="18"/>
  <c r="D92" i="18"/>
  <c r="D84" i="18"/>
  <c r="D76" i="18"/>
  <c r="D68" i="18"/>
  <c r="D60" i="18"/>
  <c r="D52" i="18"/>
  <c r="D292" i="18"/>
  <c r="D217" i="18"/>
  <c r="D209" i="18"/>
  <c r="D201" i="18"/>
  <c r="D193" i="18"/>
  <c r="D185" i="18"/>
  <c r="D177" i="18"/>
  <c r="D169" i="18"/>
  <c r="D161" i="18"/>
  <c r="D153" i="18"/>
  <c r="D145" i="18"/>
  <c r="D137" i="18"/>
  <c r="D129" i="18"/>
  <c r="D121" i="18"/>
  <c r="D113" i="18"/>
  <c r="D105" i="18"/>
  <c r="D97" i="18"/>
  <c r="D89" i="18"/>
  <c r="D81" i="18"/>
  <c r="D73" i="18"/>
  <c r="D65" i="18"/>
  <c r="D57" i="18"/>
  <c r="D49" i="18"/>
  <c r="D342" i="18"/>
  <c r="D334" i="18"/>
  <c r="D326" i="18"/>
  <c r="D318" i="18"/>
  <c r="D305" i="18"/>
  <c r="D291" i="18"/>
  <c r="D285" i="18"/>
  <c r="D281" i="18"/>
  <c r="D277" i="18"/>
  <c r="D273" i="18"/>
  <c r="D269" i="18"/>
  <c r="D265" i="18"/>
  <c r="D261" i="18"/>
  <c r="D257" i="18"/>
  <c r="D253" i="18"/>
  <c r="D249" i="18"/>
  <c r="D245" i="18"/>
  <c r="D241" i="18"/>
  <c r="D237" i="18"/>
  <c r="D233" i="18"/>
  <c r="D229" i="18"/>
  <c r="D225" i="18"/>
  <c r="D222" i="18"/>
  <c r="D214" i="18"/>
  <c r="D206" i="18"/>
  <c r="D198" i="18"/>
  <c r="D190" i="18"/>
  <c r="D182" i="18"/>
  <c r="D174" i="18"/>
  <c r="D166" i="18"/>
  <c r="D158" i="18"/>
  <c r="D150" i="18"/>
  <c r="D142" i="18"/>
  <c r="D134" i="18"/>
  <c r="D126" i="18"/>
  <c r="D118" i="18"/>
  <c r="D110" i="18"/>
  <c r="D102" i="18"/>
  <c r="D94" i="18"/>
  <c r="D86" i="18"/>
  <c r="D78" i="18"/>
  <c r="D70" i="18"/>
  <c r="D62" i="18"/>
  <c r="D54" i="18"/>
  <c r="D345" i="18"/>
  <c r="D337" i="18"/>
  <c r="D329" i="18"/>
  <c r="D321" i="18"/>
  <c r="D313" i="18"/>
  <c r="D219" i="18"/>
  <c r="D211" i="18"/>
  <c r="D203" i="18"/>
  <c r="D195" i="18"/>
  <c r="D187" i="18"/>
  <c r="D179" i="18"/>
  <c r="D171" i="18"/>
  <c r="D163" i="18"/>
  <c r="D155" i="18"/>
  <c r="D147" i="18"/>
  <c r="D139" i="18"/>
  <c r="D131" i="18"/>
  <c r="D123" i="18"/>
  <c r="D115" i="18"/>
  <c r="D107" i="18"/>
  <c r="D99" i="18"/>
  <c r="D91" i="18"/>
  <c r="D83" i="18"/>
  <c r="D75" i="18"/>
  <c r="D67" i="18"/>
  <c r="D59" i="18"/>
  <c r="D51" i="18"/>
  <c r="G55" i="18"/>
  <c r="G95" i="18"/>
  <c r="AK73" i="5"/>
  <c r="P108" i="5" s="1"/>
  <c r="G159" i="18"/>
  <c r="G167" i="18"/>
  <c r="G175" i="18"/>
  <c r="G183" i="18"/>
  <c r="G191" i="18"/>
  <c r="G199" i="18"/>
  <c r="G207" i="18"/>
  <c r="G215" i="18"/>
  <c r="G223" i="18"/>
  <c r="G231" i="18"/>
  <c r="G239" i="18"/>
  <c r="G247" i="18"/>
  <c r="G255" i="18"/>
  <c r="G263" i="18"/>
  <c r="G271" i="18"/>
  <c r="D289" i="18"/>
  <c r="D300" i="18"/>
  <c r="Z59" i="5"/>
  <c r="AK63" i="5"/>
  <c r="F108" i="5" s="1"/>
  <c r="AJ63" i="5"/>
  <c r="F107" i="5" s="1"/>
  <c r="AO72" i="5"/>
  <c r="O111" i="5" s="1"/>
  <c r="D88" i="18"/>
  <c r="AN72" i="5"/>
  <c r="O110" i="5" s="1"/>
  <c r="G749" i="18"/>
  <c r="G741" i="18"/>
  <c r="G733" i="18"/>
  <c r="G725" i="18"/>
  <c r="G717" i="18"/>
  <c r="G709" i="18"/>
  <c r="G701" i="18"/>
  <c r="G693" i="18"/>
  <c r="G685" i="18"/>
  <c r="G677" i="18"/>
  <c r="G669" i="18"/>
  <c r="G661" i="18"/>
  <c r="G653" i="18"/>
  <c r="G645" i="18"/>
  <c r="G637" i="18"/>
  <c r="G629" i="18"/>
  <c r="G621" i="18"/>
  <c r="G613" i="18"/>
  <c r="G605" i="18"/>
  <c r="G597" i="18"/>
  <c r="G589" i="18"/>
  <c r="G581" i="18"/>
  <c r="G573" i="18"/>
  <c r="G565" i="18"/>
  <c r="G557" i="18"/>
  <c r="G549" i="18"/>
  <c r="G541" i="18"/>
  <c r="G533" i="18"/>
  <c r="G525" i="18"/>
  <c r="G517" i="18"/>
  <c r="G509" i="18"/>
  <c r="G501" i="18"/>
  <c r="G493" i="18"/>
  <c r="G485" i="18"/>
  <c r="G477" i="18"/>
  <c r="G469" i="18"/>
  <c r="G461" i="18"/>
  <c r="G453" i="18"/>
  <c r="G445" i="18"/>
  <c r="G437" i="18"/>
  <c r="G429" i="18"/>
  <c r="G421" i="18"/>
  <c r="G413" i="18"/>
  <c r="G405" i="18"/>
  <c r="G394" i="18"/>
  <c r="G386" i="18"/>
  <c r="G378" i="18"/>
  <c r="G370" i="18"/>
  <c r="G362" i="18"/>
  <c r="G354" i="18"/>
  <c r="G346" i="18"/>
  <c r="G338" i="18"/>
  <c r="G330" i="18"/>
  <c r="G322" i="18"/>
  <c r="G314" i="18"/>
  <c r="G306" i="18"/>
  <c r="G746" i="18"/>
  <c r="G738" i="18"/>
  <c r="G730" i="18"/>
  <c r="G722" i="18"/>
  <c r="G714" i="18"/>
  <c r="G706" i="18"/>
  <c r="G698" i="18"/>
  <c r="G690" i="18"/>
  <c r="G682" i="18"/>
  <c r="G674" i="18"/>
  <c r="G666" i="18"/>
  <c r="G658" i="18"/>
  <c r="G650" i="18"/>
  <c r="G642" i="18"/>
  <c r="G634" i="18"/>
  <c r="G626" i="18"/>
  <c r="G618" i="18"/>
  <c r="G610" i="18"/>
  <c r="G602" i="18"/>
  <c r="G594" i="18"/>
  <c r="G586" i="18"/>
  <c r="G578" i="18"/>
  <c r="G570" i="18"/>
  <c r="G562" i="18"/>
  <c r="G554" i="18"/>
  <c r="G546" i="18"/>
  <c r="G538" i="18"/>
  <c r="G530" i="18"/>
  <c r="G522" i="18"/>
  <c r="G514" i="18"/>
  <c r="G506" i="18"/>
  <c r="G498" i="18"/>
  <c r="G490" i="18"/>
  <c r="G482" i="18"/>
  <c r="G474" i="18"/>
  <c r="G466" i="18"/>
  <c r="G458" i="18"/>
  <c r="G450" i="18"/>
  <c r="G442" i="18"/>
  <c r="G434" i="18"/>
  <c r="G426" i="18"/>
  <c r="G418" i="18"/>
  <c r="G410" i="18"/>
  <c r="G402" i="18"/>
  <c r="G391" i="18"/>
  <c r="G383" i="18"/>
  <c r="G375" i="18"/>
  <c r="G367" i="18"/>
  <c r="G359" i="18"/>
  <c r="G351" i="18"/>
  <c r="G343" i="18"/>
  <c r="G335" i="18"/>
  <c r="G327" i="18"/>
  <c r="G319" i="18"/>
  <c r="G311" i="18"/>
  <c r="G303" i="18"/>
  <c r="G751" i="18"/>
  <c r="G743" i="18"/>
  <c r="G735" i="18"/>
  <c r="G727" i="18"/>
  <c r="G719" i="18"/>
  <c r="G711" i="18"/>
  <c r="G703" i="18"/>
  <c r="G695" i="18"/>
  <c r="G687" i="18"/>
  <c r="G679" i="18"/>
  <c r="G671" i="18"/>
  <c r="G663" i="18"/>
  <c r="G655" i="18"/>
  <c r="G647" i="18"/>
  <c r="G639" i="18"/>
  <c r="G631" i="18"/>
  <c r="G623" i="18"/>
  <c r="G615" i="18"/>
  <c r="G607" i="18"/>
  <c r="G599" i="18"/>
  <c r="G591" i="18"/>
  <c r="G583" i="18"/>
  <c r="G575" i="18"/>
  <c r="G567" i="18"/>
  <c r="G559" i="18"/>
  <c r="G551" i="18"/>
  <c r="G543" i="18"/>
  <c r="G535" i="18"/>
  <c r="G527" i="18"/>
  <c r="G519" i="18"/>
  <c r="G511" i="18"/>
  <c r="G503" i="18"/>
  <c r="G495" i="18"/>
  <c r="G487" i="18"/>
  <c r="G479" i="18"/>
  <c r="G471" i="18"/>
  <c r="G463" i="18"/>
  <c r="G455" i="18"/>
  <c r="G447" i="18"/>
  <c r="G439" i="18"/>
  <c r="G431" i="18"/>
  <c r="G423" i="18"/>
  <c r="G415" i="18"/>
  <c r="G407" i="18"/>
  <c r="G396" i="18"/>
  <c r="G388" i="18"/>
  <c r="G380" i="18"/>
  <c r="G372" i="18"/>
  <c r="G364" i="18"/>
  <c r="G356" i="18"/>
  <c r="G348" i="18"/>
  <c r="G340" i="18"/>
  <c r="G332" i="18"/>
  <c r="G324" i="18"/>
  <c r="G316" i="18"/>
  <c r="G308" i="18"/>
  <c r="G300" i="18"/>
  <c r="G292" i="18"/>
  <c r="G748" i="18"/>
  <c r="G740" i="18"/>
  <c r="G732" i="18"/>
  <c r="G724" i="18"/>
  <c r="G716" i="18"/>
  <c r="G708" i="18"/>
  <c r="G700" i="18"/>
  <c r="G692" i="18"/>
  <c r="G684" i="18"/>
  <c r="G676" i="18"/>
  <c r="G668" i="18"/>
  <c r="G660" i="18"/>
  <c r="G652" i="18"/>
  <c r="G644" i="18"/>
  <c r="G636" i="18"/>
  <c r="G628" i="18"/>
  <c r="G620" i="18"/>
  <c r="G612" i="18"/>
  <c r="G604" i="18"/>
  <c r="G596" i="18"/>
  <c r="G588" i="18"/>
  <c r="G580" i="18"/>
  <c r="G572" i="18"/>
  <c r="G564" i="18"/>
  <c r="G556" i="18"/>
  <c r="G548" i="18"/>
  <c r="G540" i="18"/>
  <c r="G532" i="18"/>
  <c r="G524" i="18"/>
  <c r="G516" i="18"/>
  <c r="G508" i="18"/>
  <c r="G500" i="18"/>
  <c r="G492" i="18"/>
  <c r="G484" i="18"/>
  <c r="G476" i="18"/>
  <c r="G468" i="18"/>
  <c r="G460" i="18"/>
  <c r="G452" i="18"/>
  <c r="G444" i="18"/>
  <c r="G436" i="18"/>
  <c r="G428" i="18"/>
  <c r="G420" i="18"/>
  <c r="G412" i="18"/>
  <c r="G404" i="18"/>
  <c r="G393" i="18"/>
  <c r="G385" i="18"/>
  <c r="G377" i="18"/>
  <c r="G369" i="18"/>
  <c r="G361" i="18"/>
  <c r="G353" i="18"/>
  <c r="G345" i="18"/>
  <c r="G337" i="18"/>
  <c r="G329" i="18"/>
  <c r="G321" i="18"/>
  <c r="G313" i="18"/>
  <c r="G305" i="18"/>
  <c r="G297" i="18"/>
  <c r="G289" i="18"/>
  <c r="G281" i="18"/>
  <c r="G273" i="18"/>
  <c r="G265" i="18"/>
  <c r="G257" i="18"/>
  <c r="G249" i="18"/>
  <c r="G241" i="18"/>
  <c r="G233" i="18"/>
  <c r="G225" i="18"/>
  <c r="G745" i="18"/>
  <c r="G737" i="18"/>
  <c r="G729" i="18"/>
  <c r="G721" i="18"/>
  <c r="G713" i="18"/>
  <c r="G705" i="18"/>
  <c r="G697" i="18"/>
  <c r="G689" i="18"/>
  <c r="G681" i="18"/>
  <c r="G673" i="18"/>
  <c r="G665" i="18"/>
  <c r="G657" i="18"/>
  <c r="G649" i="18"/>
  <c r="G641" i="18"/>
  <c r="G633" i="18"/>
  <c r="G625" i="18"/>
  <c r="G617" i="18"/>
  <c r="G609" i="18"/>
  <c r="G601" i="18"/>
  <c r="G593" i="18"/>
  <c r="G585" i="18"/>
  <c r="G577" i="18"/>
  <c r="G569" i="18"/>
  <c r="G561" i="18"/>
  <c r="G553" i="18"/>
  <c r="G545" i="18"/>
  <c r="G537" i="18"/>
  <c r="G529" i="18"/>
  <c r="G521" i="18"/>
  <c r="G513" i="18"/>
  <c r="G505" i="18"/>
  <c r="G497" i="18"/>
  <c r="G489" i="18"/>
  <c r="G481" i="18"/>
  <c r="G473" i="18"/>
  <c r="G465" i="18"/>
  <c r="G457" i="18"/>
  <c r="G449" i="18"/>
  <c r="G441" i="18"/>
  <c r="G433" i="18"/>
  <c r="G425" i="18"/>
  <c r="G417" i="18"/>
  <c r="G409" i="18"/>
  <c r="G398" i="18"/>
  <c r="G390" i="18"/>
  <c r="G382" i="18"/>
  <c r="G374" i="18"/>
  <c r="G366" i="18"/>
  <c r="G358" i="18"/>
  <c r="G350" i="18"/>
  <c r="G342" i="18"/>
  <c r="G334" i="18"/>
  <c r="G326" i="18"/>
  <c r="G318" i="18"/>
  <c r="G310" i="18"/>
  <c r="G750" i="18"/>
  <c r="G742" i="18"/>
  <c r="G734" i="18"/>
  <c r="G726" i="18"/>
  <c r="G718" i="18"/>
  <c r="G710" i="18"/>
  <c r="G702" i="18"/>
  <c r="G694" i="18"/>
  <c r="G686" i="18"/>
  <c r="G678" i="18"/>
  <c r="G670" i="18"/>
  <c r="G662" i="18"/>
  <c r="G654" i="18"/>
  <c r="G646" i="18"/>
  <c r="G638" i="18"/>
  <c r="G630" i="18"/>
  <c r="G622" i="18"/>
  <c r="G614" i="18"/>
  <c r="G606" i="18"/>
  <c r="G598" i="18"/>
  <c r="G590" i="18"/>
  <c r="G582" i="18"/>
  <c r="G574" i="18"/>
  <c r="G566" i="18"/>
  <c r="G558" i="18"/>
  <c r="G550" i="18"/>
  <c r="G542" i="18"/>
  <c r="G534" i="18"/>
  <c r="G526" i="18"/>
  <c r="G518" i="18"/>
  <c r="G510" i="18"/>
  <c r="G502" i="18"/>
  <c r="G494" i="18"/>
  <c r="G486" i="18"/>
  <c r="G478" i="18"/>
  <c r="G470" i="18"/>
  <c r="G462" i="18"/>
  <c r="G454" i="18"/>
  <c r="G446" i="18"/>
  <c r="G438" i="18"/>
  <c r="G430" i="18"/>
  <c r="G422" i="18"/>
  <c r="G414" i="18"/>
  <c r="G406" i="18"/>
  <c r="G395" i="18"/>
  <c r="G387" i="18"/>
  <c r="G379" i="18"/>
  <c r="G371" i="18"/>
  <c r="G363" i="18"/>
  <c r="G355" i="18"/>
  <c r="G347" i="18"/>
  <c r="G339" i="18"/>
  <c r="G331" i="18"/>
  <c r="G323" i="18"/>
  <c r="G315" i="18"/>
  <c r="G747" i="18"/>
  <c r="G739" i="18"/>
  <c r="G731" i="18"/>
  <c r="G723" i="18"/>
  <c r="G715" i="18"/>
  <c r="G707" i="18"/>
  <c r="G699" i="18"/>
  <c r="G691" i="18"/>
  <c r="G683" i="18"/>
  <c r="G675" i="18"/>
  <c r="G667" i="18"/>
  <c r="G659" i="18"/>
  <c r="G651" i="18"/>
  <c r="G643" i="18"/>
  <c r="G635" i="18"/>
  <c r="G627" i="18"/>
  <c r="G619" i="18"/>
  <c r="G611" i="18"/>
  <c r="G603" i="18"/>
  <c r="G595" i="18"/>
  <c r="G587" i="18"/>
  <c r="G579" i="18"/>
  <c r="G571" i="18"/>
  <c r="G563" i="18"/>
  <c r="G555" i="18"/>
  <c r="G547" i="18"/>
  <c r="G539" i="18"/>
  <c r="G531" i="18"/>
  <c r="G523" i="18"/>
  <c r="G515" i="18"/>
  <c r="G507" i="18"/>
  <c r="G499" i="18"/>
  <c r="G491" i="18"/>
  <c r="G483" i="18"/>
  <c r="G475" i="18"/>
  <c r="G467" i="18"/>
  <c r="G459" i="18"/>
  <c r="G451" i="18"/>
  <c r="G443" i="18"/>
  <c r="G435" i="18"/>
  <c r="G427" i="18"/>
  <c r="G419" i="18"/>
  <c r="G411" i="18"/>
  <c r="G403" i="18"/>
  <c r="G392" i="18"/>
  <c r="G384" i="18"/>
  <c r="G376" i="18"/>
  <c r="G368" i="18"/>
  <c r="G360" i="18"/>
  <c r="G352" i="18"/>
  <c r="G301" i="18"/>
  <c r="G295" i="18"/>
  <c r="G287" i="18"/>
  <c r="G286" i="18"/>
  <c r="G278" i="18"/>
  <c r="G270" i="18"/>
  <c r="G262" i="18"/>
  <c r="G254" i="18"/>
  <c r="G246" i="18"/>
  <c r="G238" i="18"/>
  <c r="G230" i="18"/>
  <c r="G220" i="18"/>
  <c r="G212" i="18"/>
  <c r="G204" i="18"/>
  <c r="G196" i="18"/>
  <c r="G188" i="18"/>
  <c r="G180" i="18"/>
  <c r="G172" i="18"/>
  <c r="G164" i="18"/>
  <c r="G156" i="18"/>
  <c r="G148" i="18"/>
  <c r="G140" i="18"/>
  <c r="G132" i="18"/>
  <c r="G124" i="18"/>
  <c r="G116" i="18"/>
  <c r="G108" i="18"/>
  <c r="G100" i="18"/>
  <c r="G92" i="18"/>
  <c r="G84" i="18"/>
  <c r="G76" i="18"/>
  <c r="G68" i="18"/>
  <c r="G60" i="18"/>
  <c r="G52" i="18"/>
  <c r="G293" i="18"/>
  <c r="G282" i="18"/>
  <c r="G274" i="18"/>
  <c r="G266" i="18"/>
  <c r="G258" i="18"/>
  <c r="G250" i="18"/>
  <c r="G242" i="18"/>
  <c r="G234" i="18"/>
  <c r="G226" i="18"/>
  <c r="G217" i="18"/>
  <c r="G209" i="18"/>
  <c r="G201" i="18"/>
  <c r="G193" i="18"/>
  <c r="G185" i="18"/>
  <c r="G177" i="18"/>
  <c r="G169" i="18"/>
  <c r="G161" i="18"/>
  <c r="G153" i="18"/>
  <c r="G145" i="18"/>
  <c r="G137" i="18"/>
  <c r="G129" i="18"/>
  <c r="G121" i="18"/>
  <c r="G113" i="18"/>
  <c r="G105" i="18"/>
  <c r="G97" i="18"/>
  <c r="G89" i="18"/>
  <c r="G81" i="18"/>
  <c r="G73" i="18"/>
  <c r="G65" i="18"/>
  <c r="G57" i="18"/>
  <c r="G49" i="18"/>
  <c r="G344" i="18"/>
  <c r="G341" i="18"/>
  <c r="G336" i="18"/>
  <c r="G333" i="18"/>
  <c r="G328" i="18"/>
  <c r="G325" i="18"/>
  <c r="G320" i="18"/>
  <c r="G317" i="18"/>
  <c r="G312" i="18"/>
  <c r="G304" i="18"/>
  <c r="G291" i="18"/>
  <c r="G285" i="18"/>
  <c r="G277" i="18"/>
  <c r="G269" i="18"/>
  <c r="G261" i="18"/>
  <c r="G253" i="18"/>
  <c r="G245" i="18"/>
  <c r="G237" i="18"/>
  <c r="G229" i="18"/>
  <c r="G222" i="18"/>
  <c r="G214" i="18"/>
  <c r="G206" i="18"/>
  <c r="G198" i="18"/>
  <c r="G190" i="18"/>
  <c r="G182" i="18"/>
  <c r="G174" i="18"/>
  <c r="G166" i="18"/>
  <c r="G158" i="18"/>
  <c r="G150" i="18"/>
  <c r="G142" i="18"/>
  <c r="G134" i="18"/>
  <c r="G126" i="18"/>
  <c r="G118" i="18"/>
  <c r="G110" i="18"/>
  <c r="G102" i="18"/>
  <c r="G94" i="18"/>
  <c r="G86" i="18"/>
  <c r="G78" i="18"/>
  <c r="G70" i="18"/>
  <c r="G62" i="18"/>
  <c r="G219" i="18"/>
  <c r="G211" i="18"/>
  <c r="G203" i="18"/>
  <c r="G195" i="18"/>
  <c r="G187" i="18"/>
  <c r="G179" i="18"/>
  <c r="G171" i="18"/>
  <c r="G163" i="18"/>
  <c r="G155" i="18"/>
  <c r="G147" i="18"/>
  <c r="G139" i="18"/>
  <c r="G131" i="18"/>
  <c r="G123" i="18"/>
  <c r="G115" i="18"/>
  <c r="G107" i="18"/>
  <c r="G99" i="18"/>
  <c r="G91" i="18"/>
  <c r="G83" i="18"/>
  <c r="G75" i="18"/>
  <c r="G67" i="18"/>
  <c r="G59" i="18"/>
  <c r="G51" i="18"/>
  <c r="G752" i="18"/>
  <c r="G744" i="18"/>
  <c r="G736" i="18"/>
  <c r="G728" i="18"/>
  <c r="G720" i="18"/>
  <c r="G712" i="18"/>
  <c r="G704" i="18"/>
  <c r="G696" i="18"/>
  <c r="G688" i="18"/>
  <c r="G680" i="18"/>
  <c r="G672" i="18"/>
  <c r="G664" i="18"/>
  <c r="G656" i="18"/>
  <c r="G648" i="18"/>
  <c r="G640" i="18"/>
  <c r="G632" i="18"/>
  <c r="G624" i="18"/>
  <c r="G616" i="18"/>
  <c r="G608" i="18"/>
  <c r="G600" i="18"/>
  <c r="G592" i="18"/>
  <c r="G584" i="18"/>
  <c r="G576" i="18"/>
  <c r="G568" i="18"/>
  <c r="G560" i="18"/>
  <c r="G552" i="18"/>
  <c r="G544" i="18"/>
  <c r="G536" i="18"/>
  <c r="G528" i="18"/>
  <c r="G520" i="18"/>
  <c r="G512" i="18"/>
  <c r="G504" i="18"/>
  <c r="G496" i="18"/>
  <c r="G488" i="18"/>
  <c r="G480" i="18"/>
  <c r="G472" i="18"/>
  <c r="G464" i="18"/>
  <c r="G456" i="18"/>
  <c r="G448" i="18"/>
  <c r="G440" i="18"/>
  <c r="G432" i="18"/>
  <c r="G424" i="18"/>
  <c r="G416" i="18"/>
  <c r="G408" i="18"/>
  <c r="G397" i="18"/>
  <c r="G389" i="18"/>
  <c r="G381" i="18"/>
  <c r="G373" i="18"/>
  <c r="G365" i="18"/>
  <c r="G357" i="18"/>
  <c r="G349" i="18"/>
  <c r="G299" i="18"/>
  <c r="G280" i="18"/>
  <c r="G272" i="18"/>
  <c r="G264" i="18"/>
  <c r="G256" i="18"/>
  <c r="G248" i="18"/>
  <c r="G240" i="18"/>
  <c r="G232" i="18"/>
  <c r="G224" i="18"/>
  <c r="G216" i="18"/>
  <c r="G208" i="18"/>
  <c r="G200" i="18"/>
  <c r="G192" i="18"/>
  <c r="G184" i="18"/>
  <c r="G176" i="18"/>
  <c r="G168" i="18"/>
  <c r="G160" i="18"/>
  <c r="G152" i="18"/>
  <c r="G144" i="18"/>
  <c r="G136" i="18"/>
  <c r="G128" i="18"/>
  <c r="G120" i="18"/>
  <c r="G112" i="18"/>
  <c r="G104" i="18"/>
  <c r="G96" i="18"/>
  <c r="G88" i="18"/>
  <c r="G80" i="18"/>
  <c r="G72" i="18"/>
  <c r="G64" i="18"/>
  <c r="G56" i="18"/>
  <c r="G48" i="18"/>
  <c r="G309" i="18"/>
  <c r="G296" i="18"/>
  <c r="G290" i="18"/>
  <c r="G288" i="18"/>
  <c r="G284" i="18"/>
  <c r="G276" i="18"/>
  <c r="G268" i="18"/>
  <c r="G260" i="18"/>
  <c r="G252" i="18"/>
  <c r="G244" i="18"/>
  <c r="G236" i="18"/>
  <c r="G228" i="18"/>
  <c r="G221" i="18"/>
  <c r="G213" i="18"/>
  <c r="G205" i="18"/>
  <c r="G197" i="18"/>
  <c r="G189" i="18"/>
  <c r="G181" i="18"/>
  <c r="G173" i="18"/>
  <c r="G165" i="18"/>
  <c r="G157" i="18"/>
  <c r="G149" i="18"/>
  <c r="G141" i="18"/>
  <c r="G133" i="18"/>
  <c r="G125" i="18"/>
  <c r="G117" i="18"/>
  <c r="G109" i="18"/>
  <c r="G101" i="18"/>
  <c r="G93" i="18"/>
  <c r="G85" i="18"/>
  <c r="G77" i="18"/>
  <c r="G69" i="18"/>
  <c r="G61" i="18"/>
  <c r="G53" i="18"/>
  <c r="G302" i="18"/>
  <c r="G298" i="18"/>
  <c r="G283" i="18"/>
  <c r="G275" i="18"/>
  <c r="G267" i="18"/>
  <c r="G259" i="18"/>
  <c r="G251" i="18"/>
  <c r="G243" i="18"/>
  <c r="G235" i="18"/>
  <c r="G227" i="18"/>
  <c r="G218" i="18"/>
  <c r="G210" i="18"/>
  <c r="G202" i="18"/>
  <c r="G194" i="18"/>
  <c r="G186" i="18"/>
  <c r="G178" i="18"/>
  <c r="G170" i="18"/>
  <c r="G162" i="18"/>
  <c r="G154" i="18"/>
  <c r="G146" i="18"/>
  <c r="G138" i="18"/>
  <c r="G130" i="18"/>
  <c r="G122" i="18"/>
  <c r="G114" i="18"/>
  <c r="G106" i="18"/>
  <c r="G98" i="18"/>
  <c r="G90" i="18"/>
  <c r="G82" i="18"/>
  <c r="G74" i="18"/>
  <c r="G66" i="18"/>
  <c r="G58" i="18"/>
  <c r="G50" i="18"/>
  <c r="G1102" i="18"/>
  <c r="G1094" i="18"/>
  <c r="G1086" i="18"/>
  <c r="G1078" i="18"/>
  <c r="G1070" i="18"/>
  <c r="G1062" i="18"/>
  <c r="G1054" i="18"/>
  <c r="G1046" i="18"/>
  <c r="G1038" i="18"/>
  <c r="G1030" i="18"/>
  <c r="G1022" i="18"/>
  <c r="G1014" i="18"/>
  <c r="G1006" i="18"/>
  <c r="G1104" i="18"/>
  <c r="G1096" i="18"/>
  <c r="G1088" i="18"/>
  <c r="G1080" i="18"/>
  <c r="G1072" i="18"/>
  <c r="G1064" i="18"/>
  <c r="G1056" i="18"/>
  <c r="G1048" i="18"/>
  <c r="G1040" i="18"/>
  <c r="G1032" i="18"/>
  <c r="G1024" i="18"/>
  <c r="G1016" i="18"/>
  <c r="G1008" i="18"/>
  <c r="G1000" i="18"/>
  <c r="G992" i="18"/>
  <c r="G984" i="18"/>
  <c r="G1103" i="18"/>
  <c r="G1095" i="18"/>
  <c r="G1087" i="18"/>
  <c r="G1079" i="18"/>
  <c r="G1071" i="18"/>
  <c r="G1063" i="18"/>
  <c r="G1055" i="18"/>
  <c r="G1047" i="18"/>
  <c r="G1039" i="18"/>
  <c r="G1031" i="18"/>
  <c r="G1023" i="18"/>
  <c r="G1015" i="18"/>
  <c r="G1007" i="18"/>
  <c r="G1098" i="18"/>
  <c r="G1090" i="18"/>
  <c r="G1105" i="18"/>
  <c r="G1097" i="18"/>
  <c r="G1093" i="18"/>
  <c r="G1085" i="18"/>
  <c r="G1077" i="18"/>
  <c r="G1069" i="18"/>
  <c r="G1061" i="18"/>
  <c r="G1053" i="18"/>
  <c r="G1045" i="18"/>
  <c r="G1037" i="18"/>
  <c r="G1029" i="18"/>
  <c r="G1021" i="18"/>
  <c r="G1013" i="18"/>
  <c r="G971" i="18"/>
  <c r="G963" i="18"/>
  <c r="G955" i="18"/>
  <c r="G947" i="18"/>
  <c r="G939" i="18"/>
  <c r="G931" i="18"/>
  <c r="G923" i="18"/>
  <c r="G915" i="18"/>
  <c r="G907" i="18"/>
  <c r="G899" i="18"/>
  <c r="G891" i="18"/>
  <c r="G883" i="18"/>
  <c r="G1081" i="18"/>
  <c r="G1073" i="18"/>
  <c r="G1065" i="18"/>
  <c r="G1057" i="18"/>
  <c r="G1049" i="18"/>
  <c r="G1041" i="18"/>
  <c r="G1033" i="18"/>
  <c r="G1025" i="18"/>
  <c r="G1017" i="18"/>
  <c r="G1009" i="18"/>
  <c r="G976" i="18"/>
  <c r="G968" i="18"/>
  <c r="G960" i="18"/>
  <c r="G952" i="18"/>
  <c r="G944" i="18"/>
  <c r="G936" i="18"/>
  <c r="G928" i="18"/>
  <c r="G920" i="18"/>
  <c r="G912" i="18"/>
  <c r="G904" i="18"/>
  <c r="G896" i="18"/>
  <c r="G888" i="18"/>
  <c r="G880" i="18"/>
  <c r="G1089" i="18"/>
  <c r="G1084" i="18"/>
  <c r="G1076" i="18"/>
  <c r="G1068" i="18"/>
  <c r="G1060" i="18"/>
  <c r="G1052" i="18"/>
  <c r="G1044" i="18"/>
  <c r="G1036" i="18"/>
  <c r="G1028" i="18"/>
  <c r="G1020" i="18"/>
  <c r="G1012" i="18"/>
  <c r="G973" i="18"/>
  <c r="G965" i="18"/>
  <c r="G957" i="18"/>
  <c r="G949" i="18"/>
  <c r="G941" i="18"/>
  <c r="G933" i="18"/>
  <c r="G925" i="18"/>
  <c r="G917" i="18"/>
  <c r="G909" i="18"/>
  <c r="G901" i="18"/>
  <c r="G893" i="18"/>
  <c r="G885" i="18"/>
  <c r="G877" i="18"/>
  <c r="G869" i="18"/>
  <c r="G970" i="18"/>
  <c r="G962" i="18"/>
  <c r="G954" i="18"/>
  <c r="G946" i="18"/>
  <c r="G938" i="18"/>
  <c r="G930" i="18"/>
  <c r="G922" i="18"/>
  <c r="G914" i="18"/>
  <c r="G906" i="18"/>
  <c r="G898" i="18"/>
  <c r="G890" i="18"/>
  <c r="G882" i="18"/>
  <c r="G874" i="18"/>
  <c r="G866" i="18"/>
  <c r="G1100" i="18"/>
  <c r="G1099" i="18"/>
  <c r="G975" i="18"/>
  <c r="G967" i="18"/>
  <c r="G959" i="18"/>
  <c r="G951" i="18"/>
  <c r="G943" i="18"/>
  <c r="G935" i="18"/>
  <c r="G927" i="18"/>
  <c r="G919" i="18"/>
  <c r="G911" i="18"/>
  <c r="G903" i="18"/>
  <c r="G895" i="18"/>
  <c r="G887" i="18"/>
  <c r="G879" i="18"/>
  <c r="G871" i="18"/>
  <c r="G863" i="18"/>
  <c r="G1101" i="18"/>
  <c r="G1092" i="18"/>
  <c r="G1091" i="18"/>
  <c r="G1003" i="18"/>
  <c r="G995" i="18"/>
  <c r="G987" i="18"/>
  <c r="G979" i="18"/>
  <c r="G977" i="18"/>
  <c r="G969" i="18"/>
  <c r="G961" i="18"/>
  <c r="G953" i="18"/>
  <c r="G945" i="18"/>
  <c r="G937" i="18"/>
  <c r="G929" i="18"/>
  <c r="G921" i="18"/>
  <c r="G913" i="18"/>
  <c r="G905" i="18"/>
  <c r="G897" i="18"/>
  <c r="G889" i="18"/>
  <c r="G881" i="18"/>
  <c r="G873" i="18"/>
  <c r="G865" i="18"/>
  <c r="G857" i="18"/>
  <c r="G849" i="18"/>
  <c r="G1082" i="18"/>
  <c r="G1074" i="18"/>
  <c r="G1066" i="18"/>
  <c r="G1058" i="18"/>
  <c r="G1050" i="18"/>
  <c r="G1042" i="18"/>
  <c r="G1034" i="18"/>
  <c r="G1026" i="18"/>
  <c r="G1018" i="18"/>
  <c r="G1010" i="18"/>
  <c r="G974" i="18"/>
  <c r="G966" i="18"/>
  <c r="G958" i="18"/>
  <c r="G950" i="18"/>
  <c r="G942" i="18"/>
  <c r="G934" i="18"/>
  <c r="G926" i="18"/>
  <c r="G918" i="18"/>
  <c r="G910" i="18"/>
  <c r="G902" i="18"/>
  <c r="G894" i="18"/>
  <c r="G886" i="18"/>
  <c r="G838" i="18"/>
  <c r="G830" i="18"/>
  <c r="G822" i="18"/>
  <c r="G814" i="18"/>
  <c r="G1083" i="18"/>
  <c r="G1075" i="18"/>
  <c r="G1067" i="18"/>
  <c r="G1059" i="18"/>
  <c r="G1051" i="18"/>
  <c r="G1043" i="18"/>
  <c r="G1035" i="18"/>
  <c r="G1027" i="18"/>
  <c r="G1019" i="18"/>
  <c r="G1011" i="18"/>
  <c r="G872" i="18"/>
  <c r="G864" i="18"/>
  <c r="G835" i="18"/>
  <c r="G972" i="18"/>
  <c r="G964" i="18"/>
  <c r="G956" i="18"/>
  <c r="G948" i="18"/>
  <c r="G940" i="18"/>
  <c r="G932" i="18"/>
  <c r="G924" i="18"/>
  <c r="G916" i="18"/>
  <c r="G908" i="18"/>
  <c r="G900" i="18"/>
  <c r="G892" i="18"/>
  <c r="G884" i="18"/>
  <c r="G878" i="18"/>
  <c r="G862" i="18"/>
  <c r="G861" i="18"/>
  <c r="G859" i="18"/>
  <c r="G858" i="18"/>
  <c r="G856" i="18"/>
  <c r="G855" i="18"/>
  <c r="G854" i="18"/>
  <c r="G853" i="18"/>
  <c r="G851" i="18"/>
  <c r="G850" i="18"/>
  <c r="G848" i="18"/>
  <c r="G847" i="18"/>
  <c r="G846" i="18"/>
  <c r="G845" i="18"/>
  <c r="G843" i="18"/>
  <c r="G840" i="18"/>
  <c r="G832" i="18"/>
  <c r="G824" i="18"/>
  <c r="G816" i="18"/>
  <c r="G808" i="18"/>
  <c r="G875" i="18"/>
  <c r="G867" i="18"/>
  <c r="G860" i="18"/>
  <c r="G852" i="18"/>
  <c r="G1005" i="18"/>
  <c r="G1004" i="18"/>
  <c r="G1002" i="18"/>
  <c r="G1001" i="18"/>
  <c r="G999" i="18"/>
  <c r="G998" i="18"/>
  <c r="G997" i="18"/>
  <c r="G996" i="18"/>
  <c r="G994" i="18"/>
  <c r="G993" i="18"/>
  <c r="G991" i="18"/>
  <c r="G990" i="18"/>
  <c r="G989" i="18"/>
  <c r="G988" i="18"/>
  <c r="G986" i="18"/>
  <c r="G985" i="18"/>
  <c r="G983" i="18"/>
  <c r="G982" i="18"/>
  <c r="G981" i="18"/>
  <c r="G980" i="18"/>
  <c r="G978" i="18"/>
  <c r="G842" i="18"/>
  <c r="G870" i="18"/>
  <c r="G836" i="18"/>
  <c r="G828" i="18"/>
  <c r="G820" i="18"/>
  <c r="G812" i="18"/>
  <c r="G804" i="18"/>
  <c r="G841" i="18"/>
  <c r="G833" i="18"/>
  <c r="G825" i="18"/>
  <c r="G817" i="18"/>
  <c r="G809" i="18"/>
  <c r="G801" i="18"/>
  <c r="G868" i="18"/>
  <c r="G791" i="18"/>
  <c r="G783" i="18"/>
  <c r="G775" i="18"/>
  <c r="G767" i="18"/>
  <c r="G759" i="18"/>
  <c r="G844" i="18"/>
  <c r="G827" i="18"/>
  <c r="G819" i="18"/>
  <c r="G805" i="18"/>
  <c r="G796" i="18"/>
  <c r="G788" i="18"/>
  <c r="G780" i="18"/>
  <c r="G772" i="18"/>
  <c r="G764" i="18"/>
  <c r="G756" i="18"/>
  <c r="G834" i="18"/>
  <c r="G829" i="18"/>
  <c r="G821" i="18"/>
  <c r="G813" i="18"/>
  <c r="G793" i="18"/>
  <c r="G785" i="18"/>
  <c r="G777" i="18"/>
  <c r="G769" i="18"/>
  <c r="G761" i="18"/>
  <c r="G790" i="18"/>
  <c r="G782" i="18"/>
  <c r="G774" i="18"/>
  <c r="G766" i="18"/>
  <c r="G758" i="18"/>
  <c r="G876" i="18"/>
  <c r="G795" i="18"/>
  <c r="G787" i="18"/>
  <c r="G779" i="18"/>
  <c r="G771" i="18"/>
  <c r="G763" i="18"/>
  <c r="G755" i="18"/>
  <c r="G839" i="18"/>
  <c r="G831" i="18"/>
  <c r="G823" i="18"/>
  <c r="G815" i="18"/>
  <c r="G802" i="18"/>
  <c r="G800" i="18"/>
  <c r="G799" i="18"/>
  <c r="G798" i="18"/>
  <c r="G792" i="18"/>
  <c r="G784" i="18"/>
  <c r="G776" i="18"/>
  <c r="G768" i="18"/>
  <c r="G760" i="18"/>
  <c r="G811" i="18"/>
  <c r="G807" i="18"/>
  <c r="G803" i="18"/>
  <c r="G797" i="18"/>
  <c r="G789" i="18"/>
  <c r="G781" i="18"/>
  <c r="G773" i="18"/>
  <c r="G765" i="18"/>
  <c r="G757" i="18"/>
  <c r="G837" i="18"/>
  <c r="G810" i="18"/>
  <c r="G826" i="18"/>
  <c r="G794" i="18"/>
  <c r="G786" i="18"/>
  <c r="G778" i="18"/>
  <c r="G770" i="18"/>
  <c r="G762" i="18"/>
  <c r="G806" i="18"/>
  <c r="G63" i="18"/>
  <c r="G79" i="18"/>
  <c r="G294" i="18"/>
  <c r="G307" i="18"/>
  <c r="C257" i="4"/>
  <c r="AO73" i="5"/>
  <c r="P111" i="5" s="1"/>
  <c r="D56" i="18"/>
  <c r="D96" i="18"/>
  <c r="H746" i="18"/>
  <c r="H738" i="18"/>
  <c r="H730" i="18"/>
  <c r="H722" i="18"/>
  <c r="H714" i="18"/>
  <c r="H706" i="18"/>
  <c r="H698" i="18"/>
  <c r="H690" i="18"/>
  <c r="H682" i="18"/>
  <c r="H674" i="18"/>
  <c r="H666" i="18"/>
  <c r="H658" i="18"/>
  <c r="H650" i="18"/>
  <c r="H642" i="18"/>
  <c r="H634" i="18"/>
  <c r="H626" i="18"/>
  <c r="H618" i="18"/>
  <c r="H610" i="18"/>
  <c r="H602" i="18"/>
  <c r="H594" i="18"/>
  <c r="H586" i="18"/>
  <c r="H578" i="18"/>
  <c r="H570" i="18"/>
  <c r="H562" i="18"/>
  <c r="H554" i="18"/>
  <c r="H546" i="18"/>
  <c r="H538" i="18"/>
  <c r="H530" i="18"/>
  <c r="H522" i="18"/>
  <c r="H514" i="18"/>
  <c r="H506" i="18"/>
  <c r="H498" i="18"/>
  <c r="H490" i="18"/>
  <c r="H482" i="18"/>
  <c r="H474" i="18"/>
  <c r="H466" i="18"/>
  <c r="H458" i="18"/>
  <c r="H450" i="18"/>
  <c r="H442" i="18"/>
  <c r="H434" i="18"/>
  <c r="H426" i="18"/>
  <c r="H418" i="18"/>
  <c r="H410" i="18"/>
  <c r="H402" i="18"/>
  <c r="H391" i="18"/>
  <c r="H383" i="18"/>
  <c r="H375" i="18"/>
  <c r="H367" i="18"/>
  <c r="H359" i="18"/>
  <c r="H351" i="18"/>
  <c r="H343" i="18"/>
  <c r="H335" i="18"/>
  <c r="H327" i="18"/>
  <c r="H319" i="18"/>
  <c r="H311" i="18"/>
  <c r="H303" i="18"/>
  <c r="H751" i="18"/>
  <c r="H743" i="18"/>
  <c r="H735" i="18"/>
  <c r="H727" i="18"/>
  <c r="H719" i="18"/>
  <c r="H711" i="18"/>
  <c r="H703" i="18"/>
  <c r="H695" i="18"/>
  <c r="H687" i="18"/>
  <c r="H679" i="18"/>
  <c r="H671" i="18"/>
  <c r="H663" i="18"/>
  <c r="H655" i="18"/>
  <c r="H647" i="18"/>
  <c r="H639" i="18"/>
  <c r="H631" i="18"/>
  <c r="H623" i="18"/>
  <c r="H615" i="18"/>
  <c r="H607" i="18"/>
  <c r="H599" i="18"/>
  <c r="H591" i="18"/>
  <c r="H583" i="18"/>
  <c r="H575" i="18"/>
  <c r="H567" i="18"/>
  <c r="H559" i="18"/>
  <c r="H551" i="18"/>
  <c r="H543" i="18"/>
  <c r="H535" i="18"/>
  <c r="H527" i="18"/>
  <c r="H519" i="18"/>
  <c r="H511" i="18"/>
  <c r="H503" i="18"/>
  <c r="H495" i="18"/>
  <c r="H487" i="18"/>
  <c r="H479" i="18"/>
  <c r="H471" i="18"/>
  <c r="H463" i="18"/>
  <c r="H455" i="18"/>
  <c r="H447" i="18"/>
  <c r="H439" i="18"/>
  <c r="H431" i="18"/>
  <c r="H423" i="18"/>
  <c r="H415" i="18"/>
  <c r="H407" i="18"/>
  <c r="H396" i="18"/>
  <c r="H388" i="18"/>
  <c r="H380" i="18"/>
  <c r="H372" i="18"/>
  <c r="H364" i="18"/>
  <c r="H356" i="18"/>
  <c r="H348" i="18"/>
  <c r="H340" i="18"/>
  <c r="H332" i="18"/>
  <c r="H324" i="18"/>
  <c r="H316" i="18"/>
  <c r="H308" i="18"/>
  <c r="H300" i="18"/>
  <c r="H748" i="18"/>
  <c r="H740" i="18"/>
  <c r="H732" i="18"/>
  <c r="H724" i="18"/>
  <c r="H716" i="18"/>
  <c r="H708" i="18"/>
  <c r="H700" i="18"/>
  <c r="H692" i="18"/>
  <c r="H684" i="18"/>
  <c r="H676" i="18"/>
  <c r="H668" i="18"/>
  <c r="H660" i="18"/>
  <c r="H652" i="18"/>
  <c r="H644" i="18"/>
  <c r="H636" i="18"/>
  <c r="H628" i="18"/>
  <c r="H620" i="18"/>
  <c r="H612" i="18"/>
  <c r="H604" i="18"/>
  <c r="H596" i="18"/>
  <c r="H588" i="18"/>
  <c r="H580" i="18"/>
  <c r="H572" i="18"/>
  <c r="H564" i="18"/>
  <c r="H556" i="18"/>
  <c r="H548" i="18"/>
  <c r="H540" i="18"/>
  <c r="H532" i="18"/>
  <c r="H524" i="18"/>
  <c r="H516" i="18"/>
  <c r="H508" i="18"/>
  <c r="H500" i="18"/>
  <c r="H492" i="18"/>
  <c r="H484" i="18"/>
  <c r="H476" i="18"/>
  <c r="H468" i="18"/>
  <c r="H460" i="18"/>
  <c r="H452" i="18"/>
  <c r="H444" i="18"/>
  <c r="H436" i="18"/>
  <c r="H428" i="18"/>
  <c r="H420" i="18"/>
  <c r="H412" i="18"/>
  <c r="H404" i="18"/>
  <c r="H393" i="18"/>
  <c r="H385" i="18"/>
  <c r="H377" i="18"/>
  <c r="H369" i="18"/>
  <c r="H361" i="18"/>
  <c r="H353" i="18"/>
  <c r="H345" i="18"/>
  <c r="H337" i="18"/>
  <c r="H329" i="18"/>
  <c r="H321" i="18"/>
  <c r="H313" i="18"/>
  <c r="H305" i="18"/>
  <c r="H297" i="18"/>
  <c r="H289" i="18"/>
  <c r="H745" i="18"/>
  <c r="H737" i="18"/>
  <c r="H729" i="18"/>
  <c r="H721" i="18"/>
  <c r="H713" i="18"/>
  <c r="H705" i="18"/>
  <c r="H697" i="18"/>
  <c r="H689" i="18"/>
  <c r="H681" i="18"/>
  <c r="H673" i="18"/>
  <c r="H665" i="18"/>
  <c r="H657" i="18"/>
  <c r="H649" i="18"/>
  <c r="H641" i="18"/>
  <c r="H633" i="18"/>
  <c r="H625" i="18"/>
  <c r="H617" i="18"/>
  <c r="H609" i="18"/>
  <c r="H601" i="18"/>
  <c r="H593" i="18"/>
  <c r="H585" i="18"/>
  <c r="H577" i="18"/>
  <c r="H569" i="18"/>
  <c r="H561" i="18"/>
  <c r="H553" i="18"/>
  <c r="H545" i="18"/>
  <c r="H537" i="18"/>
  <c r="H529" i="18"/>
  <c r="H521" i="18"/>
  <c r="H513" i="18"/>
  <c r="H505" i="18"/>
  <c r="H497" i="18"/>
  <c r="H489" i="18"/>
  <c r="H481" i="18"/>
  <c r="H473" i="18"/>
  <c r="H465" i="18"/>
  <c r="H457" i="18"/>
  <c r="H449" i="18"/>
  <c r="H441" i="18"/>
  <c r="H433" i="18"/>
  <c r="H425" i="18"/>
  <c r="H417" i="18"/>
  <c r="H409" i="18"/>
  <c r="H398" i="18"/>
  <c r="H390" i="18"/>
  <c r="H382" i="18"/>
  <c r="H374" i="18"/>
  <c r="H366" i="18"/>
  <c r="H358" i="18"/>
  <c r="H350" i="18"/>
  <c r="H342" i="18"/>
  <c r="H334" i="18"/>
  <c r="H326" i="18"/>
  <c r="H318" i="18"/>
  <c r="H310" i="18"/>
  <c r="H302" i="18"/>
  <c r="H294" i="18"/>
  <c r="H286" i="18"/>
  <c r="H278" i="18"/>
  <c r="H270" i="18"/>
  <c r="H262" i="18"/>
  <c r="H254" i="18"/>
  <c r="H246" i="18"/>
  <c r="H238" i="18"/>
  <c r="H230" i="18"/>
  <c r="H750" i="18"/>
  <c r="H742" i="18"/>
  <c r="H734" i="18"/>
  <c r="H726" i="18"/>
  <c r="H718" i="18"/>
  <c r="H710" i="18"/>
  <c r="H702" i="18"/>
  <c r="H694" i="18"/>
  <c r="H686" i="18"/>
  <c r="H678" i="18"/>
  <c r="H670" i="18"/>
  <c r="H662" i="18"/>
  <c r="H654" i="18"/>
  <c r="H646" i="18"/>
  <c r="H638" i="18"/>
  <c r="H630" i="18"/>
  <c r="H622" i="18"/>
  <c r="H614" i="18"/>
  <c r="H606" i="18"/>
  <c r="H598" i="18"/>
  <c r="H590" i="18"/>
  <c r="H582" i="18"/>
  <c r="H574" i="18"/>
  <c r="H566" i="18"/>
  <c r="H558" i="18"/>
  <c r="H550" i="18"/>
  <c r="H542" i="18"/>
  <c r="H534" i="18"/>
  <c r="H526" i="18"/>
  <c r="H518" i="18"/>
  <c r="H510" i="18"/>
  <c r="H502" i="18"/>
  <c r="H494" i="18"/>
  <c r="H486" i="18"/>
  <c r="H478" i="18"/>
  <c r="H470" i="18"/>
  <c r="H462" i="18"/>
  <c r="H454" i="18"/>
  <c r="H446" i="18"/>
  <c r="H438" i="18"/>
  <c r="H430" i="18"/>
  <c r="H422" i="18"/>
  <c r="H414" i="18"/>
  <c r="H406" i="18"/>
  <c r="H395" i="18"/>
  <c r="H387" i="18"/>
  <c r="H379" i="18"/>
  <c r="H371" i="18"/>
  <c r="H363" i="18"/>
  <c r="H355" i="18"/>
  <c r="H347" i="18"/>
  <c r="H339" i="18"/>
  <c r="H331" i="18"/>
  <c r="H323" i="18"/>
  <c r="H315" i="18"/>
  <c r="H307" i="18"/>
  <c r="H747" i="18"/>
  <c r="H739" i="18"/>
  <c r="H731" i="18"/>
  <c r="H723" i="18"/>
  <c r="H715" i="18"/>
  <c r="H707" i="18"/>
  <c r="H699" i="18"/>
  <c r="H691" i="18"/>
  <c r="H683" i="18"/>
  <c r="H675" i="18"/>
  <c r="H667" i="18"/>
  <c r="H659" i="18"/>
  <c r="H651" i="18"/>
  <c r="H643" i="18"/>
  <c r="H635" i="18"/>
  <c r="H627" i="18"/>
  <c r="H619" i="18"/>
  <c r="H611" i="18"/>
  <c r="H603" i="18"/>
  <c r="H595" i="18"/>
  <c r="H587" i="18"/>
  <c r="H579" i="18"/>
  <c r="H571" i="18"/>
  <c r="H563" i="18"/>
  <c r="H555" i="18"/>
  <c r="H547" i="18"/>
  <c r="H539" i="18"/>
  <c r="H531" i="18"/>
  <c r="H523" i="18"/>
  <c r="H515" i="18"/>
  <c r="H507" i="18"/>
  <c r="H499" i="18"/>
  <c r="H491" i="18"/>
  <c r="H483" i="18"/>
  <c r="H475" i="18"/>
  <c r="H467" i="18"/>
  <c r="H459" i="18"/>
  <c r="H451" i="18"/>
  <c r="H443" i="18"/>
  <c r="H435" i="18"/>
  <c r="H427" i="18"/>
  <c r="H419" i="18"/>
  <c r="H411" i="18"/>
  <c r="H403" i="18"/>
  <c r="H392" i="18"/>
  <c r="H384" i="18"/>
  <c r="H376" i="18"/>
  <c r="H368" i="18"/>
  <c r="H360" i="18"/>
  <c r="H352" i="18"/>
  <c r="H344" i="18"/>
  <c r="H336" i="18"/>
  <c r="H328" i="18"/>
  <c r="H320" i="18"/>
  <c r="H312" i="18"/>
  <c r="H752" i="18"/>
  <c r="H744" i="18"/>
  <c r="H736" i="18"/>
  <c r="H728" i="18"/>
  <c r="H720" i="18"/>
  <c r="H712" i="18"/>
  <c r="H704" i="18"/>
  <c r="H696" i="18"/>
  <c r="H688" i="18"/>
  <c r="H680" i="18"/>
  <c r="H672" i="18"/>
  <c r="H664" i="18"/>
  <c r="H656" i="18"/>
  <c r="H648" i="18"/>
  <c r="H640" i="18"/>
  <c r="H632" i="18"/>
  <c r="H624" i="18"/>
  <c r="H616" i="18"/>
  <c r="H608" i="18"/>
  <c r="H600" i="18"/>
  <c r="H592" i="18"/>
  <c r="H584" i="18"/>
  <c r="H576" i="18"/>
  <c r="H568" i="18"/>
  <c r="H560" i="18"/>
  <c r="H552" i="18"/>
  <c r="H544" i="18"/>
  <c r="H536" i="18"/>
  <c r="H528" i="18"/>
  <c r="H520" i="18"/>
  <c r="H512" i="18"/>
  <c r="H504" i="18"/>
  <c r="H496" i="18"/>
  <c r="H488" i="18"/>
  <c r="H480" i="18"/>
  <c r="H472" i="18"/>
  <c r="H464" i="18"/>
  <c r="H456" i="18"/>
  <c r="H448" i="18"/>
  <c r="H440" i="18"/>
  <c r="H432" i="18"/>
  <c r="H424" i="18"/>
  <c r="H416" i="18"/>
  <c r="H408" i="18"/>
  <c r="H397" i="18"/>
  <c r="H389" i="18"/>
  <c r="H381" i="18"/>
  <c r="H373" i="18"/>
  <c r="H365" i="18"/>
  <c r="H357" i="18"/>
  <c r="H349" i="18"/>
  <c r="H1099" i="18"/>
  <c r="H1091" i="18"/>
  <c r="H1083" i="18"/>
  <c r="H1075" i="18"/>
  <c r="H1067" i="18"/>
  <c r="H1059" i="18"/>
  <c r="H1051" i="18"/>
  <c r="H1043" i="18"/>
  <c r="H1035" i="18"/>
  <c r="H1027" i="18"/>
  <c r="H1019" i="18"/>
  <c r="H1011" i="18"/>
  <c r="H1101" i="18"/>
  <c r="H1093" i="18"/>
  <c r="H1085" i="18"/>
  <c r="H1077" i="18"/>
  <c r="H1069" i="18"/>
  <c r="H1061" i="18"/>
  <c r="H1053" i="18"/>
  <c r="H1045" i="18"/>
  <c r="H1037" i="18"/>
  <c r="H1029" i="18"/>
  <c r="H1021" i="18"/>
  <c r="H1013" i="18"/>
  <c r="H1005" i="18"/>
  <c r="H997" i="18"/>
  <c r="H989" i="18"/>
  <c r="H981" i="18"/>
  <c r="H1100" i="18"/>
  <c r="H1092" i="18"/>
  <c r="H1084" i="18"/>
  <c r="H1076" i="18"/>
  <c r="H1068" i="18"/>
  <c r="H1060" i="18"/>
  <c r="H1052" i="18"/>
  <c r="H1044" i="18"/>
  <c r="H1036" i="18"/>
  <c r="H1028" i="18"/>
  <c r="H1020" i="18"/>
  <c r="H1012" i="18"/>
  <c r="H1102" i="18"/>
  <c r="H1098" i="18"/>
  <c r="H1094" i="18"/>
  <c r="H1090" i="18"/>
  <c r="H1081" i="18"/>
  <c r="H1073" i="18"/>
  <c r="H1065" i="18"/>
  <c r="H1057" i="18"/>
  <c r="H1049" i="18"/>
  <c r="H1041" i="18"/>
  <c r="H1033" i="18"/>
  <c r="H1025" i="18"/>
  <c r="H1017" i="18"/>
  <c r="H1009" i="18"/>
  <c r="H976" i="18"/>
  <c r="H968" i="18"/>
  <c r="H960" i="18"/>
  <c r="H952" i="18"/>
  <c r="H944" i="18"/>
  <c r="H936" i="18"/>
  <c r="H928" i="18"/>
  <c r="H920" i="18"/>
  <c r="H912" i="18"/>
  <c r="H904" i="18"/>
  <c r="H896" i="18"/>
  <c r="H888" i="18"/>
  <c r="H880" i="18"/>
  <c r="H1089" i="18"/>
  <c r="H973" i="18"/>
  <c r="H965" i="18"/>
  <c r="H957" i="18"/>
  <c r="H949" i="18"/>
  <c r="H941" i="18"/>
  <c r="H933" i="18"/>
  <c r="H925" i="18"/>
  <c r="H917" i="18"/>
  <c r="H909" i="18"/>
  <c r="H901" i="18"/>
  <c r="H893" i="18"/>
  <c r="H885" i="18"/>
  <c r="H877" i="18"/>
  <c r="H1103" i="18"/>
  <c r="H1088" i="18"/>
  <c r="H1080" i="18"/>
  <c r="H1072" i="18"/>
  <c r="H1064" i="18"/>
  <c r="H1056" i="18"/>
  <c r="H1048" i="18"/>
  <c r="H1040" i="18"/>
  <c r="H1032" i="18"/>
  <c r="H1024" i="18"/>
  <c r="H1016" i="18"/>
  <c r="H1008" i="18"/>
  <c r="H970" i="18"/>
  <c r="H962" i="18"/>
  <c r="H954" i="18"/>
  <c r="H946" i="18"/>
  <c r="H938" i="18"/>
  <c r="H930" i="18"/>
  <c r="H922" i="18"/>
  <c r="H914" i="18"/>
  <c r="H906" i="18"/>
  <c r="H898" i="18"/>
  <c r="H890" i="18"/>
  <c r="H882" i="18"/>
  <c r="H874" i="18"/>
  <c r="H866" i="18"/>
  <c r="H975" i="18"/>
  <c r="H967" i="18"/>
  <c r="H959" i="18"/>
  <c r="H951" i="18"/>
  <c r="H943" i="18"/>
  <c r="H935" i="18"/>
  <c r="H927" i="18"/>
  <c r="H919" i="18"/>
  <c r="H911" i="18"/>
  <c r="H903" i="18"/>
  <c r="H895" i="18"/>
  <c r="H887" i="18"/>
  <c r="H879" i="18"/>
  <c r="H871" i="18"/>
  <c r="H1104" i="18"/>
  <c r="H1095" i="18"/>
  <c r="H1087" i="18"/>
  <c r="H1079" i="18"/>
  <c r="H1071" i="18"/>
  <c r="H1063" i="18"/>
  <c r="H1055" i="18"/>
  <c r="H1047" i="18"/>
  <c r="H1039" i="18"/>
  <c r="H1031" i="18"/>
  <c r="H1023" i="18"/>
  <c r="H1015" i="18"/>
  <c r="H1007" i="18"/>
  <c r="H1004" i="18"/>
  <c r="H1002" i="18"/>
  <c r="H1001" i="18"/>
  <c r="H999" i="18"/>
  <c r="H998" i="18"/>
  <c r="H996" i="18"/>
  <c r="H994" i="18"/>
  <c r="H993" i="18"/>
  <c r="H991" i="18"/>
  <c r="H990" i="18"/>
  <c r="H988" i="18"/>
  <c r="H986" i="18"/>
  <c r="H985" i="18"/>
  <c r="H983" i="18"/>
  <c r="H982" i="18"/>
  <c r="H980" i="18"/>
  <c r="H978" i="18"/>
  <c r="H972" i="18"/>
  <c r="H964" i="18"/>
  <c r="H956" i="18"/>
  <c r="H948" i="18"/>
  <c r="H940" i="18"/>
  <c r="H932" i="18"/>
  <c r="H924" i="18"/>
  <c r="H916" i="18"/>
  <c r="H908" i="18"/>
  <c r="H900" i="18"/>
  <c r="H892" i="18"/>
  <c r="H884" i="18"/>
  <c r="H876" i="18"/>
  <c r="H868" i="18"/>
  <c r="H1086" i="18"/>
  <c r="H1082" i="18"/>
  <c r="H1078" i="18"/>
  <c r="H1074" i="18"/>
  <c r="H1070" i="18"/>
  <c r="H1066" i="18"/>
  <c r="H1062" i="18"/>
  <c r="H1058" i="18"/>
  <c r="H1054" i="18"/>
  <c r="H1050" i="18"/>
  <c r="H1046" i="18"/>
  <c r="H1042" i="18"/>
  <c r="H1038" i="18"/>
  <c r="H1034" i="18"/>
  <c r="H1030" i="18"/>
  <c r="H1026" i="18"/>
  <c r="H1022" i="18"/>
  <c r="H1018" i="18"/>
  <c r="H1014" i="18"/>
  <c r="H1010" i="18"/>
  <c r="H1006" i="18"/>
  <c r="H974" i="18"/>
  <c r="H966" i="18"/>
  <c r="H958" i="18"/>
  <c r="H950" i="18"/>
  <c r="H942" i="18"/>
  <c r="H934" i="18"/>
  <c r="H926" i="18"/>
  <c r="H918" i="18"/>
  <c r="H910" i="18"/>
  <c r="H902" i="18"/>
  <c r="H894" i="18"/>
  <c r="H886" i="18"/>
  <c r="H878" i="18"/>
  <c r="H870" i="18"/>
  <c r="H862" i="18"/>
  <c r="H854" i="18"/>
  <c r="H846" i="18"/>
  <c r="H1096" i="18"/>
  <c r="H872" i="18"/>
  <c r="H864" i="18"/>
  <c r="H835" i="18"/>
  <c r="H827" i="18"/>
  <c r="H819" i="18"/>
  <c r="H873" i="18"/>
  <c r="H865" i="18"/>
  <c r="H861" i="18"/>
  <c r="H859" i="18"/>
  <c r="H858" i="18"/>
  <c r="H856" i="18"/>
  <c r="H855" i="18"/>
  <c r="H853" i="18"/>
  <c r="H851" i="18"/>
  <c r="H850" i="18"/>
  <c r="H848" i="18"/>
  <c r="H847" i="18"/>
  <c r="H845" i="18"/>
  <c r="H843" i="18"/>
  <c r="H840" i="18"/>
  <c r="H1097" i="18"/>
  <c r="H875" i="18"/>
  <c r="H867" i="18"/>
  <c r="H860" i="18"/>
  <c r="H857" i="18"/>
  <c r="H852" i="18"/>
  <c r="H849" i="18"/>
  <c r="H844" i="18"/>
  <c r="H837" i="18"/>
  <c r="H829" i="18"/>
  <c r="H821" i="18"/>
  <c r="H813" i="18"/>
  <c r="H805" i="18"/>
  <c r="H971" i="18"/>
  <c r="H963" i="18"/>
  <c r="H955" i="18"/>
  <c r="H947" i="18"/>
  <c r="H939" i="18"/>
  <c r="H931" i="18"/>
  <c r="H923" i="18"/>
  <c r="H915" i="18"/>
  <c r="H907" i="18"/>
  <c r="H899" i="18"/>
  <c r="H891" i="18"/>
  <c r="H883" i="18"/>
  <c r="H1003" i="18"/>
  <c r="H1000" i="18"/>
  <c r="H995" i="18"/>
  <c r="H992" i="18"/>
  <c r="H987" i="18"/>
  <c r="H984" i="18"/>
  <c r="H979" i="18"/>
  <c r="H977" i="18"/>
  <c r="H969" i="18"/>
  <c r="H961" i="18"/>
  <c r="H953" i="18"/>
  <c r="H945" i="18"/>
  <c r="H937" i="18"/>
  <c r="H929" i="18"/>
  <c r="H921" i="18"/>
  <c r="H913" i="18"/>
  <c r="H905" i="18"/>
  <c r="H897" i="18"/>
  <c r="H889" i="18"/>
  <c r="H881" i="18"/>
  <c r="H863" i="18"/>
  <c r="H839" i="18"/>
  <c r="H869" i="18"/>
  <c r="H841" i="18"/>
  <c r="H833" i="18"/>
  <c r="H825" i="18"/>
  <c r="H817" i="18"/>
  <c r="H809" i="18"/>
  <c r="H838" i="18"/>
  <c r="H830" i="18"/>
  <c r="H822" i="18"/>
  <c r="H814" i="18"/>
  <c r="H806" i="18"/>
  <c r="H798" i="18"/>
  <c r="H1105" i="18"/>
  <c r="H796" i="18"/>
  <c r="H788" i="18"/>
  <c r="H780" i="18"/>
  <c r="H772" i="18"/>
  <c r="H764" i="18"/>
  <c r="H756" i="18"/>
  <c r="H842" i="18"/>
  <c r="H834" i="18"/>
  <c r="H793" i="18"/>
  <c r="H785" i="18"/>
  <c r="H777" i="18"/>
  <c r="H769" i="18"/>
  <c r="H761" i="18"/>
  <c r="H828" i="18"/>
  <c r="H820" i="18"/>
  <c r="H790" i="18"/>
  <c r="H782" i="18"/>
  <c r="H774" i="18"/>
  <c r="H766" i="18"/>
  <c r="H758" i="18"/>
  <c r="H836" i="18"/>
  <c r="H808" i="18"/>
  <c r="H795" i="18"/>
  <c r="H787" i="18"/>
  <c r="H779" i="18"/>
  <c r="H771" i="18"/>
  <c r="H763" i="18"/>
  <c r="H755" i="18"/>
  <c r="H831" i="18"/>
  <c r="H823" i="18"/>
  <c r="H815" i="18"/>
  <c r="H812" i="18"/>
  <c r="H804" i="18"/>
  <c r="H802" i="18"/>
  <c r="H800" i="18"/>
  <c r="H799" i="18"/>
  <c r="H792" i="18"/>
  <c r="H784" i="18"/>
  <c r="H776" i="18"/>
  <c r="H768" i="18"/>
  <c r="H760" i="18"/>
  <c r="H832" i="18"/>
  <c r="H824" i="18"/>
  <c r="H816" i="18"/>
  <c r="H811" i="18"/>
  <c r="H807" i="18"/>
  <c r="H803" i="18"/>
  <c r="H801" i="18"/>
  <c r="H797" i="18"/>
  <c r="H789" i="18"/>
  <c r="H781" i="18"/>
  <c r="H773" i="18"/>
  <c r="H765" i="18"/>
  <c r="H757" i="18"/>
  <c r="H826" i="18"/>
  <c r="H818" i="18"/>
  <c r="H810" i="18"/>
  <c r="H794" i="18"/>
  <c r="H786" i="18"/>
  <c r="H778" i="18"/>
  <c r="H770" i="18"/>
  <c r="H762" i="18"/>
  <c r="J49" i="18"/>
  <c r="I52" i="18"/>
  <c r="F53" i="18"/>
  <c r="H55" i="18"/>
  <c r="E56" i="18"/>
  <c r="J57" i="18"/>
  <c r="I60" i="18"/>
  <c r="F61" i="18"/>
  <c r="H63" i="18"/>
  <c r="E64" i="18"/>
  <c r="J65" i="18"/>
  <c r="I68" i="18"/>
  <c r="F69" i="18"/>
  <c r="H71" i="18"/>
  <c r="E72" i="18"/>
  <c r="J73" i="18"/>
  <c r="I76" i="18"/>
  <c r="F77" i="18"/>
  <c r="H79" i="18"/>
  <c r="E80" i="18"/>
  <c r="J81" i="18"/>
  <c r="I84" i="18"/>
  <c r="F85" i="18"/>
  <c r="K86" i="18"/>
  <c r="H87" i="18"/>
  <c r="E88" i="18"/>
  <c r="J89" i="18"/>
  <c r="I92" i="18"/>
  <c r="F93" i="18"/>
  <c r="K94" i="18"/>
  <c r="H95" i="18"/>
  <c r="E96" i="18"/>
  <c r="J97" i="18"/>
  <c r="I100" i="18"/>
  <c r="F101" i="18"/>
  <c r="K102" i="18"/>
  <c r="H103" i="18"/>
  <c r="E104" i="18"/>
  <c r="J105" i="18"/>
  <c r="I108" i="18"/>
  <c r="F109" i="18"/>
  <c r="K110" i="18"/>
  <c r="H111" i="18"/>
  <c r="E112" i="18"/>
  <c r="J113" i="18"/>
  <c r="I116" i="18"/>
  <c r="F117" i="18"/>
  <c r="K118" i="18"/>
  <c r="H119" i="18"/>
  <c r="E120" i="18"/>
  <c r="J121" i="18"/>
  <c r="I124" i="18"/>
  <c r="F125" i="18"/>
  <c r="K126" i="18"/>
  <c r="H127" i="18"/>
  <c r="E128" i="18"/>
  <c r="J129" i="18"/>
  <c r="I132" i="18"/>
  <c r="F133" i="18"/>
  <c r="K134" i="18"/>
  <c r="H135" i="18"/>
  <c r="E136" i="18"/>
  <c r="J137" i="18"/>
  <c r="I140" i="18"/>
  <c r="F141" i="18"/>
  <c r="K142" i="18"/>
  <c r="H143" i="18"/>
  <c r="E144" i="18"/>
  <c r="J145" i="18"/>
  <c r="I148" i="18"/>
  <c r="F149" i="18"/>
  <c r="K150" i="18"/>
  <c r="H151" i="18"/>
  <c r="E152" i="18"/>
  <c r="J153" i="18"/>
  <c r="I156" i="18"/>
  <c r="F157" i="18"/>
  <c r="K158" i="18"/>
  <c r="H159" i="18"/>
  <c r="E160" i="18"/>
  <c r="J161" i="18"/>
  <c r="I164" i="18"/>
  <c r="F165" i="18"/>
  <c r="K166" i="18"/>
  <c r="H167" i="18"/>
  <c r="E168" i="18"/>
  <c r="J169" i="18"/>
  <c r="I172" i="18"/>
  <c r="F173" i="18"/>
  <c r="K174" i="18"/>
  <c r="H175" i="18"/>
  <c r="E176" i="18"/>
  <c r="J177" i="18"/>
  <c r="I180" i="18"/>
  <c r="F181" i="18"/>
  <c r="K182" i="18"/>
  <c r="H183" i="18"/>
  <c r="E184" i="18"/>
  <c r="J185" i="18"/>
  <c r="I188" i="18"/>
  <c r="F189" i="18"/>
  <c r="K190" i="18"/>
  <c r="H191" i="18"/>
  <c r="E192" i="18"/>
  <c r="J193" i="18"/>
  <c r="I196" i="18"/>
  <c r="F197" i="18"/>
  <c r="K198" i="18"/>
  <c r="H199" i="18"/>
  <c r="E200" i="18"/>
  <c r="J201" i="18"/>
  <c r="I204" i="18"/>
  <c r="F205" i="18"/>
  <c r="K206" i="18"/>
  <c r="H207" i="18"/>
  <c r="E208" i="18"/>
  <c r="J209" i="18"/>
  <c r="I212" i="18"/>
  <c r="F213" i="18"/>
  <c r="K214" i="18"/>
  <c r="H215" i="18"/>
  <c r="E216" i="18"/>
  <c r="J217" i="18"/>
  <c r="I220" i="18"/>
  <c r="F221" i="18"/>
  <c r="K222" i="18"/>
  <c r="H223" i="18"/>
  <c r="E224" i="18"/>
  <c r="J226" i="18"/>
  <c r="E228" i="18"/>
  <c r="J230" i="18"/>
  <c r="H231" i="18"/>
  <c r="E232" i="18"/>
  <c r="J234" i="18"/>
  <c r="E236" i="18"/>
  <c r="J238" i="18"/>
  <c r="H239" i="18"/>
  <c r="E240" i="18"/>
  <c r="J242" i="18"/>
  <c r="E244" i="18"/>
  <c r="J246" i="18"/>
  <c r="H247" i="18"/>
  <c r="E248" i="18"/>
  <c r="J250" i="18"/>
  <c r="E252" i="18"/>
  <c r="J254" i="18"/>
  <c r="H255" i="18"/>
  <c r="E256" i="18"/>
  <c r="J258" i="18"/>
  <c r="E260" i="18"/>
  <c r="J262" i="18"/>
  <c r="H263" i="18"/>
  <c r="E264" i="18"/>
  <c r="J266" i="18"/>
  <c r="E268" i="18"/>
  <c r="J270" i="18"/>
  <c r="H271" i="18"/>
  <c r="E272" i="18"/>
  <c r="J274" i="18"/>
  <c r="E276" i="18"/>
  <c r="J278" i="18"/>
  <c r="H279" i="18"/>
  <c r="E280" i="18"/>
  <c r="J282" i="18"/>
  <c r="E284" i="18"/>
  <c r="J286" i="18"/>
  <c r="I287" i="18"/>
  <c r="F288" i="18"/>
  <c r="E289" i="18"/>
  <c r="F290" i="18"/>
  <c r="J293" i="18"/>
  <c r="J294" i="18"/>
  <c r="I295" i="18"/>
  <c r="F296" i="18"/>
  <c r="E297" i="18"/>
  <c r="E299" i="18"/>
  <c r="E300" i="18"/>
  <c r="I301" i="18"/>
  <c r="E310" i="18"/>
  <c r="K316" i="18"/>
  <c r="K324" i="18"/>
  <c r="K332" i="18"/>
  <c r="K340" i="18"/>
  <c r="H759" i="18"/>
  <c r="H767" i="18"/>
  <c r="H775" i="18"/>
  <c r="H783" i="18"/>
  <c r="H791" i="18"/>
  <c r="F977" i="18"/>
  <c r="H21" i="5"/>
  <c r="G21" i="5" s="1"/>
  <c r="F21" i="5" s="1"/>
  <c r="E21" i="5" s="1"/>
  <c r="D21" i="5" s="1"/>
  <c r="I751" i="18"/>
  <c r="I743" i="18"/>
  <c r="I735" i="18"/>
  <c r="I727" i="18"/>
  <c r="I719" i="18"/>
  <c r="I711" i="18"/>
  <c r="I703" i="18"/>
  <c r="I695" i="18"/>
  <c r="I687" i="18"/>
  <c r="I679" i="18"/>
  <c r="I671" i="18"/>
  <c r="I663" i="18"/>
  <c r="I655" i="18"/>
  <c r="I647" i="18"/>
  <c r="I639" i="18"/>
  <c r="I631" i="18"/>
  <c r="I623" i="18"/>
  <c r="I615" i="18"/>
  <c r="I607" i="18"/>
  <c r="I599" i="18"/>
  <c r="I591" i="18"/>
  <c r="I583" i="18"/>
  <c r="I575" i="18"/>
  <c r="I567" i="18"/>
  <c r="I559" i="18"/>
  <c r="I551" i="18"/>
  <c r="I543" i="18"/>
  <c r="I535" i="18"/>
  <c r="I527" i="18"/>
  <c r="I519" i="18"/>
  <c r="I511" i="18"/>
  <c r="I503" i="18"/>
  <c r="I495" i="18"/>
  <c r="I487" i="18"/>
  <c r="I479" i="18"/>
  <c r="I471" i="18"/>
  <c r="I463" i="18"/>
  <c r="I455" i="18"/>
  <c r="I447" i="18"/>
  <c r="I439" i="18"/>
  <c r="I431" i="18"/>
  <c r="I423" i="18"/>
  <c r="I415" i="18"/>
  <c r="I407" i="18"/>
  <c r="I396" i="18"/>
  <c r="I388" i="18"/>
  <c r="I380" i="18"/>
  <c r="I372" i="18"/>
  <c r="I364" i="18"/>
  <c r="I356" i="18"/>
  <c r="I348" i="18"/>
  <c r="I340" i="18"/>
  <c r="I332" i="18"/>
  <c r="I324" i="18"/>
  <c r="I316" i="18"/>
  <c r="I308" i="18"/>
  <c r="I300" i="18"/>
  <c r="I748" i="18"/>
  <c r="I740" i="18"/>
  <c r="I732" i="18"/>
  <c r="I724" i="18"/>
  <c r="I716" i="18"/>
  <c r="I708" i="18"/>
  <c r="I700" i="18"/>
  <c r="I692" i="18"/>
  <c r="I684" i="18"/>
  <c r="I676" i="18"/>
  <c r="I668" i="18"/>
  <c r="I660" i="18"/>
  <c r="I652" i="18"/>
  <c r="I644" i="18"/>
  <c r="I636" i="18"/>
  <c r="I628" i="18"/>
  <c r="I620" i="18"/>
  <c r="I612" i="18"/>
  <c r="I604" i="18"/>
  <c r="I596" i="18"/>
  <c r="I588" i="18"/>
  <c r="I580" i="18"/>
  <c r="I572" i="18"/>
  <c r="I564" i="18"/>
  <c r="I556" i="18"/>
  <c r="I548" i="18"/>
  <c r="I540" i="18"/>
  <c r="I532" i="18"/>
  <c r="I524" i="18"/>
  <c r="I516" i="18"/>
  <c r="I508" i="18"/>
  <c r="I500" i="18"/>
  <c r="I492" i="18"/>
  <c r="I484" i="18"/>
  <c r="I476" i="18"/>
  <c r="I468" i="18"/>
  <c r="I460" i="18"/>
  <c r="I452" i="18"/>
  <c r="I444" i="18"/>
  <c r="I436" i="18"/>
  <c r="I428" i="18"/>
  <c r="I420" i="18"/>
  <c r="I412" i="18"/>
  <c r="I404" i="18"/>
  <c r="I393" i="18"/>
  <c r="I385" i="18"/>
  <c r="I377" i="18"/>
  <c r="I369" i="18"/>
  <c r="I361" i="18"/>
  <c r="I353" i="18"/>
  <c r="I345" i="18"/>
  <c r="I337" i="18"/>
  <c r="I329" i="18"/>
  <c r="I321" i="18"/>
  <c r="I313" i="18"/>
  <c r="I305" i="18"/>
  <c r="I745" i="18"/>
  <c r="I737" i="18"/>
  <c r="I729" i="18"/>
  <c r="I721" i="18"/>
  <c r="I713" i="18"/>
  <c r="I705" i="18"/>
  <c r="I697" i="18"/>
  <c r="I689" i="18"/>
  <c r="I681" i="18"/>
  <c r="I673" i="18"/>
  <c r="I665" i="18"/>
  <c r="I657" i="18"/>
  <c r="I649" i="18"/>
  <c r="I641" i="18"/>
  <c r="I633" i="18"/>
  <c r="I625" i="18"/>
  <c r="I617" i="18"/>
  <c r="I609" i="18"/>
  <c r="I601" i="18"/>
  <c r="I593" i="18"/>
  <c r="I585" i="18"/>
  <c r="I577" i="18"/>
  <c r="I569" i="18"/>
  <c r="I561" i="18"/>
  <c r="I553" i="18"/>
  <c r="I545" i="18"/>
  <c r="I537" i="18"/>
  <c r="I529" i="18"/>
  <c r="I521" i="18"/>
  <c r="I513" i="18"/>
  <c r="I505" i="18"/>
  <c r="I497" i="18"/>
  <c r="I489" i="18"/>
  <c r="I481" i="18"/>
  <c r="I473" i="18"/>
  <c r="I465" i="18"/>
  <c r="I457" i="18"/>
  <c r="I449" i="18"/>
  <c r="I441" i="18"/>
  <c r="I433" i="18"/>
  <c r="I425" i="18"/>
  <c r="I417" i="18"/>
  <c r="I409" i="18"/>
  <c r="I398" i="18"/>
  <c r="I390" i="18"/>
  <c r="I382" i="18"/>
  <c r="I374" i="18"/>
  <c r="I366" i="18"/>
  <c r="I358" i="18"/>
  <c r="I350" i="18"/>
  <c r="I342" i="18"/>
  <c r="I334" i="18"/>
  <c r="I326" i="18"/>
  <c r="I318" i="18"/>
  <c r="I310" i="18"/>
  <c r="I302" i="18"/>
  <c r="I294" i="18"/>
  <c r="I750" i="18"/>
  <c r="I742" i="18"/>
  <c r="I734" i="18"/>
  <c r="I726" i="18"/>
  <c r="I718" i="18"/>
  <c r="I710" i="18"/>
  <c r="I702" i="18"/>
  <c r="I694" i="18"/>
  <c r="I686" i="18"/>
  <c r="I678" i="18"/>
  <c r="I670" i="18"/>
  <c r="I662" i="18"/>
  <c r="I654" i="18"/>
  <c r="I646" i="18"/>
  <c r="I638" i="18"/>
  <c r="I630" i="18"/>
  <c r="I622" i="18"/>
  <c r="I614" i="18"/>
  <c r="I606" i="18"/>
  <c r="I598" i="18"/>
  <c r="I590" i="18"/>
  <c r="I582" i="18"/>
  <c r="I574" i="18"/>
  <c r="I566" i="18"/>
  <c r="I558" i="18"/>
  <c r="I550" i="18"/>
  <c r="I542" i="18"/>
  <c r="I534" i="18"/>
  <c r="I526" i="18"/>
  <c r="I518" i="18"/>
  <c r="I510" i="18"/>
  <c r="I502" i="18"/>
  <c r="I494" i="18"/>
  <c r="I486" i="18"/>
  <c r="I478" i="18"/>
  <c r="I470" i="18"/>
  <c r="I462" i="18"/>
  <c r="I454" i="18"/>
  <c r="I446" i="18"/>
  <c r="I438" i="18"/>
  <c r="I430" i="18"/>
  <c r="I422" i="18"/>
  <c r="I414" i="18"/>
  <c r="I406" i="18"/>
  <c r="I395" i="18"/>
  <c r="I387" i="18"/>
  <c r="I379" i="18"/>
  <c r="I371" i="18"/>
  <c r="I363" i="18"/>
  <c r="I355" i="18"/>
  <c r="I347" i="18"/>
  <c r="I339" i="18"/>
  <c r="I331" i="18"/>
  <c r="I323" i="18"/>
  <c r="I315" i="18"/>
  <c r="I307" i="18"/>
  <c r="I299" i="18"/>
  <c r="I291" i="18"/>
  <c r="I283" i="18"/>
  <c r="I275" i="18"/>
  <c r="I267" i="18"/>
  <c r="I259" i="18"/>
  <c r="I251" i="18"/>
  <c r="I243" i="18"/>
  <c r="I235" i="18"/>
  <c r="I227" i="18"/>
  <c r="I747" i="18"/>
  <c r="I739" i="18"/>
  <c r="I731" i="18"/>
  <c r="I723" i="18"/>
  <c r="I715" i="18"/>
  <c r="I707" i="18"/>
  <c r="I699" i="18"/>
  <c r="I691" i="18"/>
  <c r="I683" i="18"/>
  <c r="I675" i="18"/>
  <c r="I667" i="18"/>
  <c r="I659" i="18"/>
  <c r="I651" i="18"/>
  <c r="I643" i="18"/>
  <c r="I635" i="18"/>
  <c r="I627" i="18"/>
  <c r="I619" i="18"/>
  <c r="I611" i="18"/>
  <c r="I603" i="18"/>
  <c r="I595" i="18"/>
  <c r="I587" i="18"/>
  <c r="I579" i="18"/>
  <c r="I571" i="18"/>
  <c r="I563" i="18"/>
  <c r="I555" i="18"/>
  <c r="I547" i="18"/>
  <c r="I539" i="18"/>
  <c r="I531" i="18"/>
  <c r="I523" i="18"/>
  <c r="I515" i="18"/>
  <c r="I507" i="18"/>
  <c r="I499" i="18"/>
  <c r="I491" i="18"/>
  <c r="I483" i="18"/>
  <c r="I475" i="18"/>
  <c r="I467" i="18"/>
  <c r="I459" i="18"/>
  <c r="I451" i="18"/>
  <c r="I443" i="18"/>
  <c r="I435" i="18"/>
  <c r="I427" i="18"/>
  <c r="I419" i="18"/>
  <c r="I411" i="18"/>
  <c r="I403" i="18"/>
  <c r="I392" i="18"/>
  <c r="I384" i="18"/>
  <c r="I376" i="18"/>
  <c r="I368" i="18"/>
  <c r="I360" i="18"/>
  <c r="I352" i="18"/>
  <c r="I344" i="18"/>
  <c r="I336" i="18"/>
  <c r="I328" i="18"/>
  <c r="I320" i="18"/>
  <c r="I312" i="18"/>
  <c r="I304" i="18"/>
  <c r="I752" i="18"/>
  <c r="I744" i="18"/>
  <c r="I736" i="18"/>
  <c r="I728" i="18"/>
  <c r="I720" i="18"/>
  <c r="I712" i="18"/>
  <c r="I704" i="18"/>
  <c r="I696" i="18"/>
  <c r="I688" i="18"/>
  <c r="I680" i="18"/>
  <c r="I672" i="18"/>
  <c r="I664" i="18"/>
  <c r="I656" i="18"/>
  <c r="I648" i="18"/>
  <c r="I640" i="18"/>
  <c r="I632" i="18"/>
  <c r="I624" i="18"/>
  <c r="I616" i="18"/>
  <c r="I608" i="18"/>
  <c r="I600" i="18"/>
  <c r="I592" i="18"/>
  <c r="I584" i="18"/>
  <c r="I576" i="18"/>
  <c r="I568" i="18"/>
  <c r="I560" i="18"/>
  <c r="I552" i="18"/>
  <c r="I544" i="18"/>
  <c r="I536" i="18"/>
  <c r="I528" i="18"/>
  <c r="I520" i="18"/>
  <c r="I512" i="18"/>
  <c r="I504" i="18"/>
  <c r="I496" i="18"/>
  <c r="I488" i="18"/>
  <c r="I480" i="18"/>
  <c r="I472" i="18"/>
  <c r="I464" i="18"/>
  <c r="I456" i="18"/>
  <c r="I448" i="18"/>
  <c r="I440" i="18"/>
  <c r="I432" i="18"/>
  <c r="I424" i="18"/>
  <c r="I416" i="18"/>
  <c r="I408" i="18"/>
  <c r="I397" i="18"/>
  <c r="I389" i="18"/>
  <c r="I381" i="18"/>
  <c r="I373" i="18"/>
  <c r="I365" i="18"/>
  <c r="I357" i="18"/>
  <c r="I349" i="18"/>
  <c r="I341" i="18"/>
  <c r="I333" i="18"/>
  <c r="I325" i="18"/>
  <c r="I317" i="18"/>
  <c r="I749" i="18"/>
  <c r="I741" i="18"/>
  <c r="I733" i="18"/>
  <c r="I725" i="18"/>
  <c r="I717" i="18"/>
  <c r="I709" i="18"/>
  <c r="I701" i="18"/>
  <c r="I693" i="18"/>
  <c r="I685" i="18"/>
  <c r="I677" i="18"/>
  <c r="I669" i="18"/>
  <c r="I661" i="18"/>
  <c r="I653" i="18"/>
  <c r="I645" i="18"/>
  <c r="I637" i="18"/>
  <c r="I629" i="18"/>
  <c r="I621" i="18"/>
  <c r="I613" i="18"/>
  <c r="I605" i="18"/>
  <c r="I597" i="18"/>
  <c r="I589" i="18"/>
  <c r="I581" i="18"/>
  <c r="I573" i="18"/>
  <c r="I565" i="18"/>
  <c r="I557" i="18"/>
  <c r="I549" i="18"/>
  <c r="I541" i="18"/>
  <c r="I533" i="18"/>
  <c r="I525" i="18"/>
  <c r="I517" i="18"/>
  <c r="I509" i="18"/>
  <c r="I501" i="18"/>
  <c r="I493" i="18"/>
  <c r="I485" i="18"/>
  <c r="I477" i="18"/>
  <c r="I469" i="18"/>
  <c r="I461" i="18"/>
  <c r="I453" i="18"/>
  <c r="I445" i="18"/>
  <c r="I437" i="18"/>
  <c r="I429" i="18"/>
  <c r="I421" i="18"/>
  <c r="I413" i="18"/>
  <c r="I405" i="18"/>
  <c r="I394" i="18"/>
  <c r="I386" i="18"/>
  <c r="I378" i="18"/>
  <c r="I370" i="18"/>
  <c r="I362" i="18"/>
  <c r="I354" i="18"/>
  <c r="I1104" i="18"/>
  <c r="I1096" i="18"/>
  <c r="I1088" i="18"/>
  <c r="I1080" i="18"/>
  <c r="I1072" i="18"/>
  <c r="I1064" i="18"/>
  <c r="I1056" i="18"/>
  <c r="I1048" i="18"/>
  <c r="I1040" i="18"/>
  <c r="I1032" i="18"/>
  <c r="I1024" i="18"/>
  <c r="I1016" i="18"/>
  <c r="I1008" i="18"/>
  <c r="I1098" i="18"/>
  <c r="I1090" i="18"/>
  <c r="I1082" i="18"/>
  <c r="I1074" i="18"/>
  <c r="I1066" i="18"/>
  <c r="I1058" i="18"/>
  <c r="I1050" i="18"/>
  <c r="I1042" i="18"/>
  <c r="I1034" i="18"/>
  <c r="I1026" i="18"/>
  <c r="I1018" i="18"/>
  <c r="I1010" i="18"/>
  <c r="I1002" i="18"/>
  <c r="I994" i="18"/>
  <c r="I986" i="18"/>
  <c r="I978" i="18"/>
  <c r="I1105" i="18"/>
  <c r="I1097" i="18"/>
  <c r="I1089" i="18"/>
  <c r="I1081" i="18"/>
  <c r="I1073" i="18"/>
  <c r="I1065" i="18"/>
  <c r="I1057" i="18"/>
  <c r="I1049" i="18"/>
  <c r="I1041" i="18"/>
  <c r="I1033" i="18"/>
  <c r="I1025" i="18"/>
  <c r="I1017" i="18"/>
  <c r="I1009" i="18"/>
  <c r="I1101" i="18"/>
  <c r="I1093" i="18"/>
  <c r="I973" i="18"/>
  <c r="I965" i="18"/>
  <c r="I957" i="18"/>
  <c r="I949" i="18"/>
  <c r="I941" i="18"/>
  <c r="I933" i="18"/>
  <c r="I925" i="18"/>
  <c r="I917" i="18"/>
  <c r="I909" i="18"/>
  <c r="I901" i="18"/>
  <c r="I893" i="18"/>
  <c r="I885" i="18"/>
  <c r="I1103" i="18"/>
  <c r="I1102" i="18"/>
  <c r="I1084" i="18"/>
  <c r="I1076" i="18"/>
  <c r="I1068" i="18"/>
  <c r="I1060" i="18"/>
  <c r="I1052" i="18"/>
  <c r="I1044" i="18"/>
  <c r="I1036" i="18"/>
  <c r="I1028" i="18"/>
  <c r="I1020" i="18"/>
  <c r="I1012" i="18"/>
  <c r="I970" i="18"/>
  <c r="I962" i="18"/>
  <c r="I954" i="18"/>
  <c r="I946" i="18"/>
  <c r="I938" i="18"/>
  <c r="I930" i="18"/>
  <c r="I922" i="18"/>
  <c r="I914" i="18"/>
  <c r="I906" i="18"/>
  <c r="I898" i="18"/>
  <c r="I890" i="18"/>
  <c r="I882" i="18"/>
  <c r="I975" i="18"/>
  <c r="I967" i="18"/>
  <c r="I959" i="18"/>
  <c r="I951" i="18"/>
  <c r="I943" i="18"/>
  <c r="I935" i="18"/>
  <c r="I927" i="18"/>
  <c r="I919" i="18"/>
  <c r="I911" i="18"/>
  <c r="I903" i="18"/>
  <c r="I895" i="18"/>
  <c r="I887" i="18"/>
  <c r="I879" i="18"/>
  <c r="I871" i="18"/>
  <c r="I1100" i="18"/>
  <c r="I1099" i="18"/>
  <c r="I1095" i="18"/>
  <c r="I1094" i="18"/>
  <c r="I1087" i="18"/>
  <c r="I1079" i="18"/>
  <c r="I1071" i="18"/>
  <c r="I1063" i="18"/>
  <c r="I1055" i="18"/>
  <c r="I1047" i="18"/>
  <c r="I1039" i="18"/>
  <c r="I1031" i="18"/>
  <c r="I1023" i="18"/>
  <c r="I1015" i="18"/>
  <c r="I1007" i="18"/>
  <c r="I1004" i="18"/>
  <c r="I1001" i="18"/>
  <c r="I999" i="18"/>
  <c r="I998" i="18"/>
  <c r="I996" i="18"/>
  <c r="I993" i="18"/>
  <c r="I991" i="18"/>
  <c r="I990" i="18"/>
  <c r="I988" i="18"/>
  <c r="I985" i="18"/>
  <c r="I983" i="18"/>
  <c r="I982" i="18"/>
  <c r="I980" i="18"/>
  <c r="I972" i="18"/>
  <c r="I964" i="18"/>
  <c r="I956" i="18"/>
  <c r="I948" i="18"/>
  <c r="I940" i="18"/>
  <c r="I932" i="18"/>
  <c r="I924" i="18"/>
  <c r="I916" i="18"/>
  <c r="I908" i="18"/>
  <c r="I900" i="18"/>
  <c r="I892" i="18"/>
  <c r="I884" i="18"/>
  <c r="I876" i="18"/>
  <c r="I868" i="18"/>
  <c r="I1083" i="18"/>
  <c r="I1075" i="18"/>
  <c r="I1067" i="18"/>
  <c r="I1059" i="18"/>
  <c r="I1051" i="18"/>
  <c r="I1043" i="18"/>
  <c r="I1035" i="18"/>
  <c r="I1027" i="18"/>
  <c r="I1019" i="18"/>
  <c r="I1011" i="18"/>
  <c r="I1005" i="18"/>
  <c r="I1003" i="18"/>
  <c r="I1000" i="18"/>
  <c r="I997" i="18"/>
  <c r="I995" i="18"/>
  <c r="I992" i="18"/>
  <c r="I989" i="18"/>
  <c r="I987" i="18"/>
  <c r="I984" i="18"/>
  <c r="I981" i="18"/>
  <c r="I979" i="18"/>
  <c r="I977" i="18"/>
  <c r="I969" i="18"/>
  <c r="I961" i="18"/>
  <c r="I953" i="18"/>
  <c r="I945" i="18"/>
  <c r="I937" i="18"/>
  <c r="I929" i="18"/>
  <c r="I921" i="18"/>
  <c r="I913" i="18"/>
  <c r="I905" i="18"/>
  <c r="I897" i="18"/>
  <c r="I889" i="18"/>
  <c r="I881" i="18"/>
  <c r="I873" i="18"/>
  <c r="I865" i="18"/>
  <c r="I971" i="18"/>
  <c r="I963" i="18"/>
  <c r="I955" i="18"/>
  <c r="I947" i="18"/>
  <c r="I939" i="18"/>
  <c r="I931" i="18"/>
  <c r="I923" i="18"/>
  <c r="I915" i="18"/>
  <c r="I907" i="18"/>
  <c r="I899" i="18"/>
  <c r="I891" i="18"/>
  <c r="I883" i="18"/>
  <c r="I875" i="18"/>
  <c r="I867" i="18"/>
  <c r="I859" i="18"/>
  <c r="I851" i="18"/>
  <c r="I843" i="18"/>
  <c r="I861" i="18"/>
  <c r="I858" i="18"/>
  <c r="I856" i="18"/>
  <c r="I855" i="18"/>
  <c r="I853" i="18"/>
  <c r="I850" i="18"/>
  <c r="I848" i="18"/>
  <c r="I847" i="18"/>
  <c r="I845" i="18"/>
  <c r="I840" i="18"/>
  <c r="I832" i="18"/>
  <c r="I824" i="18"/>
  <c r="I816" i="18"/>
  <c r="I878" i="18"/>
  <c r="I862" i="18"/>
  <c r="I860" i="18"/>
  <c r="I857" i="18"/>
  <c r="I854" i="18"/>
  <c r="I852" i="18"/>
  <c r="I849" i="18"/>
  <c r="I846" i="18"/>
  <c r="I844" i="18"/>
  <c r="I837" i="18"/>
  <c r="I842" i="18"/>
  <c r="I834" i="18"/>
  <c r="I826" i="18"/>
  <c r="I818" i="18"/>
  <c r="I810" i="18"/>
  <c r="I1086" i="18"/>
  <c r="I1085" i="18"/>
  <c r="I1078" i="18"/>
  <c r="I1077" i="18"/>
  <c r="I1070" i="18"/>
  <c r="I1069" i="18"/>
  <c r="I1062" i="18"/>
  <c r="I1061" i="18"/>
  <c r="I1054" i="18"/>
  <c r="I1053" i="18"/>
  <c r="I1046" i="18"/>
  <c r="I1045" i="18"/>
  <c r="I1038" i="18"/>
  <c r="I1037" i="18"/>
  <c r="I1030" i="18"/>
  <c r="I1029" i="18"/>
  <c r="I1022" i="18"/>
  <c r="I1021" i="18"/>
  <c r="I1014" i="18"/>
  <c r="I1013" i="18"/>
  <c r="I1006" i="18"/>
  <c r="I874" i="18"/>
  <c r="I866" i="18"/>
  <c r="I863" i="18"/>
  <c r="I1091" i="18"/>
  <c r="I976" i="18"/>
  <c r="I968" i="18"/>
  <c r="I960" i="18"/>
  <c r="I952" i="18"/>
  <c r="I944" i="18"/>
  <c r="I936" i="18"/>
  <c r="I928" i="18"/>
  <c r="I920" i="18"/>
  <c r="I912" i="18"/>
  <c r="I904" i="18"/>
  <c r="I896" i="18"/>
  <c r="I888" i="18"/>
  <c r="I880" i="18"/>
  <c r="I838" i="18"/>
  <c r="I830" i="18"/>
  <c r="I822" i="18"/>
  <c r="I814" i="18"/>
  <c r="I806" i="18"/>
  <c r="I1092" i="18"/>
  <c r="I974" i="18"/>
  <c r="I966" i="18"/>
  <c r="I958" i="18"/>
  <c r="I950" i="18"/>
  <c r="I942" i="18"/>
  <c r="I934" i="18"/>
  <c r="I926" i="18"/>
  <c r="I918" i="18"/>
  <c r="I910" i="18"/>
  <c r="I902" i="18"/>
  <c r="I894" i="18"/>
  <c r="I886" i="18"/>
  <c r="I877" i="18"/>
  <c r="I872" i="18"/>
  <c r="I864" i="18"/>
  <c r="I835" i="18"/>
  <c r="I827" i="18"/>
  <c r="I819" i="18"/>
  <c r="I811" i="18"/>
  <c r="I803" i="18"/>
  <c r="I805" i="18"/>
  <c r="I793" i="18"/>
  <c r="I785" i="18"/>
  <c r="I777" i="18"/>
  <c r="I769" i="18"/>
  <c r="I761" i="18"/>
  <c r="I829" i="18"/>
  <c r="I828" i="18"/>
  <c r="I821" i="18"/>
  <c r="I820" i="18"/>
  <c r="I813" i="18"/>
  <c r="I809" i="18"/>
  <c r="I790" i="18"/>
  <c r="I782" i="18"/>
  <c r="I774" i="18"/>
  <c r="I766" i="18"/>
  <c r="I758" i="18"/>
  <c r="I836" i="18"/>
  <c r="I808" i="18"/>
  <c r="I795" i="18"/>
  <c r="I787" i="18"/>
  <c r="I779" i="18"/>
  <c r="I771" i="18"/>
  <c r="I763" i="18"/>
  <c r="I755" i="18"/>
  <c r="I869" i="18"/>
  <c r="I841" i="18"/>
  <c r="I831" i="18"/>
  <c r="I823" i="18"/>
  <c r="I815" i="18"/>
  <c r="I812" i="18"/>
  <c r="I804" i="18"/>
  <c r="I802" i="18"/>
  <c r="I800" i="18"/>
  <c r="I799" i="18"/>
  <c r="I792" i="18"/>
  <c r="I784" i="18"/>
  <c r="I776" i="18"/>
  <c r="I768" i="18"/>
  <c r="I760" i="18"/>
  <c r="I839" i="18"/>
  <c r="I807" i="18"/>
  <c r="I801" i="18"/>
  <c r="I798" i="18"/>
  <c r="I797" i="18"/>
  <c r="I789" i="18"/>
  <c r="I781" i="18"/>
  <c r="I773" i="18"/>
  <c r="I765" i="18"/>
  <c r="I757" i="18"/>
  <c r="I794" i="18"/>
  <c r="I786" i="18"/>
  <c r="I778" i="18"/>
  <c r="I770" i="18"/>
  <c r="I762" i="18"/>
  <c r="I870" i="18"/>
  <c r="I791" i="18"/>
  <c r="I783" i="18"/>
  <c r="I775" i="18"/>
  <c r="I767" i="18"/>
  <c r="I759" i="18"/>
  <c r="F48" i="18"/>
  <c r="H50" i="18"/>
  <c r="E51" i="18"/>
  <c r="J52" i="18"/>
  <c r="I55" i="18"/>
  <c r="F56" i="18"/>
  <c r="H58" i="18"/>
  <c r="E59" i="18"/>
  <c r="J60" i="18"/>
  <c r="I63" i="18"/>
  <c r="F64" i="18"/>
  <c r="H66" i="18"/>
  <c r="E67" i="18"/>
  <c r="J68" i="18"/>
  <c r="I71" i="18"/>
  <c r="F72" i="18"/>
  <c r="H74" i="18"/>
  <c r="E75" i="18"/>
  <c r="J76" i="18"/>
  <c r="I79" i="18"/>
  <c r="F80" i="18"/>
  <c r="H82" i="18"/>
  <c r="E83" i="18"/>
  <c r="J84" i="18"/>
  <c r="I87" i="18"/>
  <c r="F88" i="18"/>
  <c r="K89" i="18"/>
  <c r="H90" i="18"/>
  <c r="E91" i="18"/>
  <c r="J92" i="18"/>
  <c r="I95" i="18"/>
  <c r="F96" i="18"/>
  <c r="K97" i="18"/>
  <c r="H98" i="18"/>
  <c r="E99" i="18"/>
  <c r="J100" i="18"/>
  <c r="I103" i="18"/>
  <c r="F104" i="18"/>
  <c r="K105" i="18"/>
  <c r="H106" i="18"/>
  <c r="E107" i="18"/>
  <c r="J108" i="18"/>
  <c r="I111" i="18"/>
  <c r="F112" i="18"/>
  <c r="K113" i="18"/>
  <c r="H114" i="18"/>
  <c r="E115" i="18"/>
  <c r="J116" i="18"/>
  <c r="I119" i="18"/>
  <c r="F120" i="18"/>
  <c r="K121" i="18"/>
  <c r="H122" i="18"/>
  <c r="E123" i="18"/>
  <c r="J124" i="18"/>
  <c r="I127" i="18"/>
  <c r="F128" i="18"/>
  <c r="K129" i="18"/>
  <c r="H130" i="18"/>
  <c r="E131" i="18"/>
  <c r="J132" i="18"/>
  <c r="I135" i="18"/>
  <c r="F136" i="18"/>
  <c r="K137" i="18"/>
  <c r="H138" i="18"/>
  <c r="E139" i="18"/>
  <c r="J140" i="18"/>
  <c r="I143" i="18"/>
  <c r="F144" i="18"/>
  <c r="K145" i="18"/>
  <c r="H146" i="18"/>
  <c r="E147" i="18"/>
  <c r="J148" i="18"/>
  <c r="I151" i="18"/>
  <c r="F152" i="18"/>
  <c r="K153" i="18"/>
  <c r="H154" i="18"/>
  <c r="E155" i="18"/>
  <c r="J156" i="18"/>
  <c r="I159" i="18"/>
  <c r="F160" i="18"/>
  <c r="K161" i="18"/>
  <c r="H162" i="18"/>
  <c r="E163" i="18"/>
  <c r="J164" i="18"/>
  <c r="I167" i="18"/>
  <c r="F168" i="18"/>
  <c r="K169" i="18"/>
  <c r="H170" i="18"/>
  <c r="E171" i="18"/>
  <c r="J172" i="18"/>
  <c r="I175" i="18"/>
  <c r="F176" i="18"/>
  <c r="K177" i="18"/>
  <c r="H178" i="18"/>
  <c r="E179" i="18"/>
  <c r="J180" i="18"/>
  <c r="I183" i="18"/>
  <c r="F184" i="18"/>
  <c r="K185" i="18"/>
  <c r="H186" i="18"/>
  <c r="E187" i="18"/>
  <c r="J188" i="18"/>
  <c r="I191" i="18"/>
  <c r="F192" i="18"/>
  <c r="K193" i="18"/>
  <c r="H194" i="18"/>
  <c r="E195" i="18"/>
  <c r="J196" i="18"/>
  <c r="I199" i="18"/>
  <c r="F200" i="18"/>
  <c r="K201" i="18"/>
  <c r="H202" i="18"/>
  <c r="E203" i="18"/>
  <c r="J204" i="18"/>
  <c r="I207" i="18"/>
  <c r="F208" i="18"/>
  <c r="K209" i="18"/>
  <c r="H210" i="18"/>
  <c r="E211" i="18"/>
  <c r="J212" i="18"/>
  <c r="I215" i="18"/>
  <c r="F216" i="18"/>
  <c r="K217" i="18"/>
  <c r="H218" i="18"/>
  <c r="E219" i="18"/>
  <c r="J220" i="18"/>
  <c r="I223" i="18"/>
  <c r="F224" i="18"/>
  <c r="K226" i="18"/>
  <c r="H227" i="18"/>
  <c r="K230" i="18"/>
  <c r="I231" i="18"/>
  <c r="F232" i="18"/>
  <c r="K234" i="18"/>
  <c r="H235" i="18"/>
  <c r="K238" i="18"/>
  <c r="I239" i="18"/>
  <c r="F240" i="18"/>
  <c r="K242" i="18"/>
  <c r="H243" i="18"/>
  <c r="K246" i="18"/>
  <c r="I247" i="18"/>
  <c r="F248" i="18"/>
  <c r="K250" i="18"/>
  <c r="H251" i="18"/>
  <c r="K254" i="18"/>
  <c r="I255" i="18"/>
  <c r="F256" i="18"/>
  <c r="K258" i="18"/>
  <c r="H259" i="18"/>
  <c r="K262" i="18"/>
  <c r="I263" i="18"/>
  <c r="F264" i="18"/>
  <c r="K266" i="18"/>
  <c r="H267" i="18"/>
  <c r="K270" i="18"/>
  <c r="I271" i="18"/>
  <c r="F272" i="18"/>
  <c r="K274" i="18"/>
  <c r="H275" i="18"/>
  <c r="K278" i="18"/>
  <c r="I279" i="18"/>
  <c r="F280" i="18"/>
  <c r="K282" i="18"/>
  <c r="H283" i="18"/>
  <c r="K286" i="18"/>
  <c r="J287" i="18"/>
  <c r="F289" i="18"/>
  <c r="K294" i="18"/>
  <c r="J295" i="18"/>
  <c r="F297" i="18"/>
  <c r="H298" i="18"/>
  <c r="F299" i="18"/>
  <c r="J300" i="18"/>
  <c r="J301" i="18"/>
  <c r="F310" i="18"/>
  <c r="K313" i="18"/>
  <c r="K321" i="18"/>
  <c r="K329" i="18"/>
  <c r="K337" i="18"/>
  <c r="K345" i="18"/>
  <c r="J748" i="18"/>
  <c r="J740" i="18"/>
  <c r="J732" i="18"/>
  <c r="J724" i="18"/>
  <c r="J716" i="18"/>
  <c r="J708" i="18"/>
  <c r="J700" i="18"/>
  <c r="J692" i="18"/>
  <c r="J684" i="18"/>
  <c r="J676" i="18"/>
  <c r="J668" i="18"/>
  <c r="J660" i="18"/>
  <c r="J652" i="18"/>
  <c r="J644" i="18"/>
  <c r="J636" i="18"/>
  <c r="J628" i="18"/>
  <c r="J620" i="18"/>
  <c r="J612" i="18"/>
  <c r="J604" i="18"/>
  <c r="J596" i="18"/>
  <c r="J588" i="18"/>
  <c r="J580" i="18"/>
  <c r="J572" i="18"/>
  <c r="J564" i="18"/>
  <c r="J556" i="18"/>
  <c r="J548" i="18"/>
  <c r="J540" i="18"/>
  <c r="J532" i="18"/>
  <c r="J524" i="18"/>
  <c r="J516" i="18"/>
  <c r="J508" i="18"/>
  <c r="J500" i="18"/>
  <c r="J492" i="18"/>
  <c r="J484" i="18"/>
  <c r="J476" i="18"/>
  <c r="J468" i="18"/>
  <c r="J460" i="18"/>
  <c r="J452" i="18"/>
  <c r="J444" i="18"/>
  <c r="J436" i="18"/>
  <c r="J428" i="18"/>
  <c r="J420" i="18"/>
  <c r="J412" i="18"/>
  <c r="J404" i="18"/>
  <c r="J393" i="18"/>
  <c r="J385" i="18"/>
  <c r="J377" i="18"/>
  <c r="J369" i="18"/>
  <c r="J361" i="18"/>
  <c r="J353" i="18"/>
  <c r="J345" i="18"/>
  <c r="J337" i="18"/>
  <c r="J329" i="18"/>
  <c r="J321" i="18"/>
  <c r="J313" i="18"/>
  <c r="J305" i="18"/>
  <c r="J745" i="18"/>
  <c r="J737" i="18"/>
  <c r="J729" i="18"/>
  <c r="J721" i="18"/>
  <c r="J713" i="18"/>
  <c r="J705" i="18"/>
  <c r="J697" i="18"/>
  <c r="J689" i="18"/>
  <c r="J681" i="18"/>
  <c r="J673" i="18"/>
  <c r="J665" i="18"/>
  <c r="J657" i="18"/>
  <c r="J649" i="18"/>
  <c r="J641" i="18"/>
  <c r="J633" i="18"/>
  <c r="J625" i="18"/>
  <c r="J617" i="18"/>
  <c r="J609" i="18"/>
  <c r="J601" i="18"/>
  <c r="J593" i="18"/>
  <c r="J585" i="18"/>
  <c r="J577" i="18"/>
  <c r="J569" i="18"/>
  <c r="J561" i="18"/>
  <c r="J553" i="18"/>
  <c r="J545" i="18"/>
  <c r="J537" i="18"/>
  <c r="J529" i="18"/>
  <c r="J521" i="18"/>
  <c r="J513" i="18"/>
  <c r="J505" i="18"/>
  <c r="J497" i="18"/>
  <c r="J489" i="18"/>
  <c r="J481" i="18"/>
  <c r="J473" i="18"/>
  <c r="J465" i="18"/>
  <c r="J457" i="18"/>
  <c r="J449" i="18"/>
  <c r="J441" i="18"/>
  <c r="J433" i="18"/>
  <c r="J425" i="18"/>
  <c r="J417" i="18"/>
  <c r="J409" i="18"/>
  <c r="J398" i="18"/>
  <c r="J390" i="18"/>
  <c r="J382" i="18"/>
  <c r="J374" i="18"/>
  <c r="J366" i="18"/>
  <c r="J358" i="18"/>
  <c r="J350" i="18"/>
  <c r="J342" i="18"/>
  <c r="J334" i="18"/>
  <c r="J326" i="18"/>
  <c r="J318" i="18"/>
  <c r="J310" i="18"/>
  <c r="J302" i="18"/>
  <c r="J750" i="18"/>
  <c r="J742" i="18"/>
  <c r="J734" i="18"/>
  <c r="J726" i="18"/>
  <c r="J718" i="18"/>
  <c r="J710" i="18"/>
  <c r="J702" i="18"/>
  <c r="J694" i="18"/>
  <c r="J686" i="18"/>
  <c r="J678" i="18"/>
  <c r="J670" i="18"/>
  <c r="J662" i="18"/>
  <c r="J654" i="18"/>
  <c r="J646" i="18"/>
  <c r="J638" i="18"/>
  <c r="J630" i="18"/>
  <c r="J622" i="18"/>
  <c r="J614" i="18"/>
  <c r="J606" i="18"/>
  <c r="J598" i="18"/>
  <c r="J590" i="18"/>
  <c r="J582" i="18"/>
  <c r="J574" i="18"/>
  <c r="J566" i="18"/>
  <c r="J558" i="18"/>
  <c r="J550" i="18"/>
  <c r="J542" i="18"/>
  <c r="J534" i="18"/>
  <c r="J526" i="18"/>
  <c r="J518" i="18"/>
  <c r="J510" i="18"/>
  <c r="J502" i="18"/>
  <c r="J494" i="18"/>
  <c r="J486" i="18"/>
  <c r="J478" i="18"/>
  <c r="J470" i="18"/>
  <c r="J462" i="18"/>
  <c r="J454" i="18"/>
  <c r="J446" i="18"/>
  <c r="J438" i="18"/>
  <c r="J430" i="18"/>
  <c r="J422" i="18"/>
  <c r="J414" i="18"/>
  <c r="J406" i="18"/>
  <c r="J395" i="18"/>
  <c r="J387" i="18"/>
  <c r="J379" i="18"/>
  <c r="J371" i="18"/>
  <c r="J363" i="18"/>
  <c r="J355" i="18"/>
  <c r="J347" i="18"/>
  <c r="J339" i="18"/>
  <c r="J331" i="18"/>
  <c r="J323" i="18"/>
  <c r="J315" i="18"/>
  <c r="J307" i="18"/>
  <c r="J299" i="18"/>
  <c r="J291" i="18"/>
  <c r="J747" i="18"/>
  <c r="J739" i="18"/>
  <c r="J731" i="18"/>
  <c r="J723" i="18"/>
  <c r="J715" i="18"/>
  <c r="J707" i="18"/>
  <c r="J699" i="18"/>
  <c r="J691" i="18"/>
  <c r="J683" i="18"/>
  <c r="J675" i="18"/>
  <c r="J667" i="18"/>
  <c r="J659" i="18"/>
  <c r="J651" i="18"/>
  <c r="J643" i="18"/>
  <c r="J635" i="18"/>
  <c r="J627" i="18"/>
  <c r="J619" i="18"/>
  <c r="J611" i="18"/>
  <c r="J603" i="18"/>
  <c r="J595" i="18"/>
  <c r="J587" i="18"/>
  <c r="J579" i="18"/>
  <c r="J571" i="18"/>
  <c r="J563" i="18"/>
  <c r="J555" i="18"/>
  <c r="J547" i="18"/>
  <c r="J539" i="18"/>
  <c r="J531" i="18"/>
  <c r="J523" i="18"/>
  <c r="J515" i="18"/>
  <c r="J507" i="18"/>
  <c r="J499" i="18"/>
  <c r="J491" i="18"/>
  <c r="J483" i="18"/>
  <c r="J475" i="18"/>
  <c r="J467" i="18"/>
  <c r="J459" i="18"/>
  <c r="J451" i="18"/>
  <c r="J443" i="18"/>
  <c r="J435" i="18"/>
  <c r="J427" i="18"/>
  <c r="J419" i="18"/>
  <c r="J411" i="18"/>
  <c r="J403" i="18"/>
  <c r="J392" i="18"/>
  <c r="J384" i="18"/>
  <c r="J376" i="18"/>
  <c r="J368" i="18"/>
  <c r="J360" i="18"/>
  <c r="J352" i="18"/>
  <c r="J344" i="18"/>
  <c r="J336" i="18"/>
  <c r="J328" i="18"/>
  <c r="J320" i="18"/>
  <c r="J312" i="18"/>
  <c r="J304" i="18"/>
  <c r="J296" i="18"/>
  <c r="J288" i="18"/>
  <c r="J280" i="18"/>
  <c r="J272" i="18"/>
  <c r="J264" i="18"/>
  <c r="J256" i="18"/>
  <c r="J248" i="18"/>
  <c r="J240" i="18"/>
  <c r="J232" i="18"/>
  <c r="J224" i="18"/>
  <c r="J752" i="18"/>
  <c r="J744" i="18"/>
  <c r="J736" i="18"/>
  <c r="J728" i="18"/>
  <c r="J720" i="18"/>
  <c r="J712" i="18"/>
  <c r="J704" i="18"/>
  <c r="J696" i="18"/>
  <c r="J688" i="18"/>
  <c r="J680" i="18"/>
  <c r="J672" i="18"/>
  <c r="J664" i="18"/>
  <c r="J656" i="18"/>
  <c r="J648" i="18"/>
  <c r="J640" i="18"/>
  <c r="J632" i="18"/>
  <c r="J624" i="18"/>
  <c r="J616" i="18"/>
  <c r="J608" i="18"/>
  <c r="J600" i="18"/>
  <c r="J592" i="18"/>
  <c r="J584" i="18"/>
  <c r="J576" i="18"/>
  <c r="J568" i="18"/>
  <c r="J560" i="18"/>
  <c r="J552" i="18"/>
  <c r="J544" i="18"/>
  <c r="J536" i="18"/>
  <c r="J528" i="18"/>
  <c r="J520" i="18"/>
  <c r="J512" i="18"/>
  <c r="J504" i="18"/>
  <c r="J496" i="18"/>
  <c r="J488" i="18"/>
  <c r="J480" i="18"/>
  <c r="J472" i="18"/>
  <c r="J464" i="18"/>
  <c r="J456" i="18"/>
  <c r="J448" i="18"/>
  <c r="J440" i="18"/>
  <c r="J432" i="18"/>
  <c r="J424" i="18"/>
  <c r="J416" i="18"/>
  <c r="J408" i="18"/>
  <c r="J397" i="18"/>
  <c r="J389" i="18"/>
  <c r="J381" i="18"/>
  <c r="J373" i="18"/>
  <c r="J365" i="18"/>
  <c r="J357" i="18"/>
  <c r="J349" i="18"/>
  <c r="J341" i="18"/>
  <c r="J333" i="18"/>
  <c r="J325" i="18"/>
  <c r="J317" i="18"/>
  <c r="J309" i="18"/>
  <c r="J749" i="18"/>
  <c r="J741" i="18"/>
  <c r="J733" i="18"/>
  <c r="J725" i="18"/>
  <c r="J717" i="18"/>
  <c r="J709" i="18"/>
  <c r="J701" i="18"/>
  <c r="J693" i="18"/>
  <c r="J685" i="18"/>
  <c r="J677" i="18"/>
  <c r="J669" i="18"/>
  <c r="J661" i="18"/>
  <c r="J653" i="18"/>
  <c r="J645" i="18"/>
  <c r="J637" i="18"/>
  <c r="J629" i="18"/>
  <c r="J621" i="18"/>
  <c r="J613" i="18"/>
  <c r="J605" i="18"/>
  <c r="J597" i="18"/>
  <c r="J589" i="18"/>
  <c r="J581" i="18"/>
  <c r="J573" i="18"/>
  <c r="J565" i="18"/>
  <c r="J557" i="18"/>
  <c r="J549" i="18"/>
  <c r="J541" i="18"/>
  <c r="J533" i="18"/>
  <c r="J525" i="18"/>
  <c r="J517" i="18"/>
  <c r="J509" i="18"/>
  <c r="J501" i="18"/>
  <c r="J493" i="18"/>
  <c r="J485" i="18"/>
  <c r="J477" i="18"/>
  <c r="J469" i="18"/>
  <c r="J461" i="18"/>
  <c r="J453" i="18"/>
  <c r="J445" i="18"/>
  <c r="J437" i="18"/>
  <c r="J429" i="18"/>
  <c r="J421" i="18"/>
  <c r="J413" i="18"/>
  <c r="J405" i="18"/>
  <c r="J394" i="18"/>
  <c r="J386" i="18"/>
  <c r="J378" i="18"/>
  <c r="J370" i="18"/>
  <c r="J362" i="18"/>
  <c r="J354" i="18"/>
  <c r="J346" i="18"/>
  <c r="J338" i="18"/>
  <c r="J330" i="18"/>
  <c r="J322" i="18"/>
  <c r="J314" i="18"/>
  <c r="J746" i="18"/>
  <c r="J738" i="18"/>
  <c r="J730" i="18"/>
  <c r="J722" i="18"/>
  <c r="J714" i="18"/>
  <c r="J706" i="18"/>
  <c r="J698" i="18"/>
  <c r="J690" i="18"/>
  <c r="J682" i="18"/>
  <c r="J674" i="18"/>
  <c r="J666" i="18"/>
  <c r="J658" i="18"/>
  <c r="J650" i="18"/>
  <c r="J642" i="18"/>
  <c r="J634" i="18"/>
  <c r="J626" i="18"/>
  <c r="J618" i="18"/>
  <c r="J610" i="18"/>
  <c r="J602" i="18"/>
  <c r="J594" i="18"/>
  <c r="J586" i="18"/>
  <c r="J578" i="18"/>
  <c r="J570" i="18"/>
  <c r="J562" i="18"/>
  <c r="J554" i="18"/>
  <c r="J546" i="18"/>
  <c r="J538" i="18"/>
  <c r="J530" i="18"/>
  <c r="J522" i="18"/>
  <c r="J514" i="18"/>
  <c r="J506" i="18"/>
  <c r="J498" i="18"/>
  <c r="J490" i="18"/>
  <c r="J482" i="18"/>
  <c r="J474" i="18"/>
  <c r="J466" i="18"/>
  <c r="J458" i="18"/>
  <c r="J450" i="18"/>
  <c r="J442" i="18"/>
  <c r="J434" i="18"/>
  <c r="J426" i="18"/>
  <c r="J418" i="18"/>
  <c r="J410" i="18"/>
  <c r="J402" i="18"/>
  <c r="J391" i="18"/>
  <c r="J383" i="18"/>
  <c r="J375" i="18"/>
  <c r="J367" i="18"/>
  <c r="J359" i="18"/>
  <c r="J351" i="18"/>
  <c r="J1101" i="18"/>
  <c r="J1093" i="18"/>
  <c r="J1085" i="18"/>
  <c r="J1077" i="18"/>
  <c r="J1069" i="18"/>
  <c r="J1061" i="18"/>
  <c r="J1053" i="18"/>
  <c r="J1045" i="18"/>
  <c r="J1037" i="18"/>
  <c r="J1029" i="18"/>
  <c r="J1021" i="18"/>
  <c r="J1013" i="18"/>
  <c r="J1103" i="18"/>
  <c r="J1095" i="18"/>
  <c r="J1087" i="18"/>
  <c r="J1079" i="18"/>
  <c r="J1071" i="18"/>
  <c r="J1063" i="18"/>
  <c r="J1055" i="18"/>
  <c r="J1047" i="18"/>
  <c r="J1039" i="18"/>
  <c r="J1031" i="18"/>
  <c r="J1023" i="18"/>
  <c r="J1015" i="18"/>
  <c r="J1007" i="18"/>
  <c r="J999" i="18"/>
  <c r="J991" i="18"/>
  <c r="J983" i="18"/>
  <c r="J1102" i="18"/>
  <c r="J1094" i="18"/>
  <c r="J1086" i="18"/>
  <c r="J1078" i="18"/>
  <c r="J1070" i="18"/>
  <c r="J1062" i="18"/>
  <c r="J1054" i="18"/>
  <c r="J1046" i="18"/>
  <c r="J1038" i="18"/>
  <c r="J1030" i="18"/>
  <c r="J1022" i="18"/>
  <c r="J1014" i="18"/>
  <c r="J1006" i="18"/>
  <c r="J1105" i="18"/>
  <c r="J1097" i="18"/>
  <c r="J1089" i="18"/>
  <c r="J1084" i="18"/>
  <c r="J1076" i="18"/>
  <c r="J1068" i="18"/>
  <c r="J1060" i="18"/>
  <c r="J1052" i="18"/>
  <c r="J1044" i="18"/>
  <c r="J1036" i="18"/>
  <c r="J1028" i="18"/>
  <c r="J1020" i="18"/>
  <c r="J1012" i="18"/>
  <c r="J970" i="18"/>
  <c r="J962" i="18"/>
  <c r="J954" i="18"/>
  <c r="J946" i="18"/>
  <c r="J938" i="18"/>
  <c r="J930" i="18"/>
  <c r="J922" i="18"/>
  <c r="J914" i="18"/>
  <c r="J906" i="18"/>
  <c r="J898" i="18"/>
  <c r="J890" i="18"/>
  <c r="J882" i="18"/>
  <c r="J1088" i="18"/>
  <c r="J1080" i="18"/>
  <c r="J1072" i="18"/>
  <c r="J1064" i="18"/>
  <c r="J1056" i="18"/>
  <c r="J1048" i="18"/>
  <c r="J1040" i="18"/>
  <c r="J1032" i="18"/>
  <c r="J1024" i="18"/>
  <c r="J1016" i="18"/>
  <c r="J1008" i="18"/>
  <c r="J975" i="18"/>
  <c r="J967" i="18"/>
  <c r="J959" i="18"/>
  <c r="J951" i="18"/>
  <c r="J943" i="18"/>
  <c r="J935" i="18"/>
  <c r="J927" i="18"/>
  <c r="J919" i="18"/>
  <c r="J911" i="18"/>
  <c r="J903" i="18"/>
  <c r="J895" i="18"/>
  <c r="J887" i="18"/>
  <c r="J879" i="18"/>
  <c r="J1100" i="18"/>
  <c r="J1099" i="18"/>
  <c r="J1098" i="18"/>
  <c r="J1004" i="18"/>
  <c r="J1001" i="18"/>
  <c r="J998" i="18"/>
  <c r="J996" i="18"/>
  <c r="J993" i="18"/>
  <c r="J990" i="18"/>
  <c r="J988" i="18"/>
  <c r="J985" i="18"/>
  <c r="J982" i="18"/>
  <c r="J980" i="18"/>
  <c r="J972" i="18"/>
  <c r="J964" i="18"/>
  <c r="J956" i="18"/>
  <c r="J948" i="18"/>
  <c r="J940" i="18"/>
  <c r="J932" i="18"/>
  <c r="J924" i="18"/>
  <c r="J916" i="18"/>
  <c r="J908" i="18"/>
  <c r="J900" i="18"/>
  <c r="J892" i="18"/>
  <c r="J884" i="18"/>
  <c r="J876" i="18"/>
  <c r="J868" i="18"/>
  <c r="J1104" i="18"/>
  <c r="J1083" i="18"/>
  <c r="J1075" i="18"/>
  <c r="J1067" i="18"/>
  <c r="J1059" i="18"/>
  <c r="J1051" i="18"/>
  <c r="J1043" i="18"/>
  <c r="J1035" i="18"/>
  <c r="J1027" i="18"/>
  <c r="J1019" i="18"/>
  <c r="J1011" i="18"/>
  <c r="J1005" i="18"/>
  <c r="J1003" i="18"/>
  <c r="J1002" i="18"/>
  <c r="J1000" i="18"/>
  <c r="J997" i="18"/>
  <c r="J995" i="18"/>
  <c r="J994" i="18"/>
  <c r="J992" i="18"/>
  <c r="J989" i="18"/>
  <c r="J987" i="18"/>
  <c r="J986" i="18"/>
  <c r="J984" i="18"/>
  <c r="J981" i="18"/>
  <c r="J979" i="18"/>
  <c r="J978" i="18"/>
  <c r="J977" i="18"/>
  <c r="J969" i="18"/>
  <c r="J961" i="18"/>
  <c r="J953" i="18"/>
  <c r="J945" i="18"/>
  <c r="J937" i="18"/>
  <c r="J929" i="18"/>
  <c r="J921" i="18"/>
  <c r="J913" i="18"/>
  <c r="J905" i="18"/>
  <c r="J897" i="18"/>
  <c r="J889" i="18"/>
  <c r="J881" i="18"/>
  <c r="J873" i="18"/>
  <c r="J865" i="18"/>
  <c r="J1096" i="18"/>
  <c r="J1092" i="18"/>
  <c r="J1091" i="18"/>
  <c r="J1090" i="18"/>
  <c r="J974" i="18"/>
  <c r="J966" i="18"/>
  <c r="J958" i="18"/>
  <c r="J950" i="18"/>
  <c r="J942" i="18"/>
  <c r="J934" i="18"/>
  <c r="J926" i="18"/>
  <c r="J918" i="18"/>
  <c r="J910" i="18"/>
  <c r="J902" i="18"/>
  <c r="J894" i="18"/>
  <c r="J886" i="18"/>
  <c r="J878" i="18"/>
  <c r="J870" i="18"/>
  <c r="J976" i="18"/>
  <c r="J968" i="18"/>
  <c r="J960" i="18"/>
  <c r="J952" i="18"/>
  <c r="J944" i="18"/>
  <c r="J936" i="18"/>
  <c r="J928" i="18"/>
  <c r="J920" i="18"/>
  <c r="J912" i="18"/>
  <c r="J904" i="18"/>
  <c r="J896" i="18"/>
  <c r="J888" i="18"/>
  <c r="J880" i="18"/>
  <c r="J872" i="18"/>
  <c r="J864" i="18"/>
  <c r="J856" i="18"/>
  <c r="J848" i="18"/>
  <c r="J862" i="18"/>
  <c r="J860" i="18"/>
  <c r="J859" i="18"/>
  <c r="J857" i="18"/>
  <c r="J854" i="18"/>
  <c r="J852" i="18"/>
  <c r="J851" i="18"/>
  <c r="J849" i="18"/>
  <c r="J846" i="18"/>
  <c r="J844" i="18"/>
  <c r="J843" i="18"/>
  <c r="J837" i="18"/>
  <c r="J829" i="18"/>
  <c r="J821" i="18"/>
  <c r="J813" i="18"/>
  <c r="J973" i="18"/>
  <c r="J965" i="18"/>
  <c r="J957" i="18"/>
  <c r="J949" i="18"/>
  <c r="J941" i="18"/>
  <c r="J933" i="18"/>
  <c r="J925" i="18"/>
  <c r="J917" i="18"/>
  <c r="J909" i="18"/>
  <c r="J901" i="18"/>
  <c r="J893" i="18"/>
  <c r="J885" i="18"/>
  <c r="J875" i="18"/>
  <c r="J867" i="18"/>
  <c r="J842" i="18"/>
  <c r="J834" i="18"/>
  <c r="J971" i="18"/>
  <c r="J963" i="18"/>
  <c r="J955" i="18"/>
  <c r="J947" i="18"/>
  <c r="J939" i="18"/>
  <c r="J931" i="18"/>
  <c r="J923" i="18"/>
  <c r="J915" i="18"/>
  <c r="J907" i="18"/>
  <c r="J899" i="18"/>
  <c r="J891" i="18"/>
  <c r="J883" i="18"/>
  <c r="J874" i="18"/>
  <c r="J866" i="18"/>
  <c r="J863" i="18"/>
  <c r="J839" i="18"/>
  <c r="J831" i="18"/>
  <c r="J823" i="18"/>
  <c r="J815" i="18"/>
  <c r="J807" i="18"/>
  <c r="J869" i="18"/>
  <c r="J841" i="18"/>
  <c r="J877" i="18"/>
  <c r="J835" i="18"/>
  <c r="J827" i="18"/>
  <c r="J819" i="18"/>
  <c r="J811" i="18"/>
  <c r="J803" i="18"/>
  <c r="J1082" i="18"/>
  <c r="J1081" i="18"/>
  <c r="J1074" i="18"/>
  <c r="J1073" i="18"/>
  <c r="J1066" i="18"/>
  <c r="J1065" i="18"/>
  <c r="J1058" i="18"/>
  <c r="J1057" i="18"/>
  <c r="J1050" i="18"/>
  <c r="J1049" i="18"/>
  <c r="J1042" i="18"/>
  <c r="J1041" i="18"/>
  <c r="J1034" i="18"/>
  <c r="J1033" i="18"/>
  <c r="J1026" i="18"/>
  <c r="J1025" i="18"/>
  <c r="J1018" i="18"/>
  <c r="J1017" i="18"/>
  <c r="J1010" i="18"/>
  <c r="J1009" i="18"/>
  <c r="J871" i="18"/>
  <c r="J861" i="18"/>
  <c r="J858" i="18"/>
  <c r="J855" i="18"/>
  <c r="J853" i="18"/>
  <c r="J850" i="18"/>
  <c r="J847" i="18"/>
  <c r="J845" i="18"/>
  <c r="J840" i="18"/>
  <c r="J832" i="18"/>
  <c r="J824" i="18"/>
  <c r="J816" i="18"/>
  <c r="J808" i="18"/>
  <c r="J800" i="18"/>
  <c r="J828" i="18"/>
  <c r="J820" i="18"/>
  <c r="J809" i="18"/>
  <c r="J790" i="18"/>
  <c r="J782" i="18"/>
  <c r="J774" i="18"/>
  <c r="J766" i="18"/>
  <c r="J758" i="18"/>
  <c r="J836" i="18"/>
  <c r="J795" i="18"/>
  <c r="J787" i="18"/>
  <c r="J779" i="18"/>
  <c r="J771" i="18"/>
  <c r="J763" i="18"/>
  <c r="J755" i="18"/>
  <c r="J812" i="18"/>
  <c r="J804" i="18"/>
  <c r="J802" i="18"/>
  <c r="J799" i="18"/>
  <c r="J792" i="18"/>
  <c r="J784" i="18"/>
  <c r="J776" i="18"/>
  <c r="J768" i="18"/>
  <c r="J760" i="18"/>
  <c r="J830" i="18"/>
  <c r="J822" i="18"/>
  <c r="J814" i="18"/>
  <c r="J801" i="18"/>
  <c r="J798" i="18"/>
  <c r="J797" i="18"/>
  <c r="J789" i="18"/>
  <c r="J781" i="18"/>
  <c r="J773" i="18"/>
  <c r="J765" i="18"/>
  <c r="J757" i="18"/>
  <c r="J794" i="18"/>
  <c r="J786" i="18"/>
  <c r="J778" i="18"/>
  <c r="J770" i="18"/>
  <c r="J762" i="18"/>
  <c r="J826" i="18"/>
  <c r="J818" i="18"/>
  <c r="J810" i="18"/>
  <c r="J791" i="18"/>
  <c r="J783" i="18"/>
  <c r="J775" i="18"/>
  <c r="J767" i="18"/>
  <c r="J759" i="18"/>
  <c r="J838" i="18"/>
  <c r="J833" i="18"/>
  <c r="J825" i="18"/>
  <c r="J817" i="18"/>
  <c r="J806" i="18"/>
  <c r="J796" i="18"/>
  <c r="J788" i="18"/>
  <c r="J780" i="18"/>
  <c r="J772" i="18"/>
  <c r="J764" i="18"/>
  <c r="J756" i="18"/>
  <c r="I50" i="18"/>
  <c r="F51" i="18"/>
  <c r="H53" i="18"/>
  <c r="E54" i="18"/>
  <c r="J55" i="18"/>
  <c r="I58" i="18"/>
  <c r="F59" i="18"/>
  <c r="H61" i="18"/>
  <c r="E62" i="18"/>
  <c r="J63" i="18"/>
  <c r="I66" i="18"/>
  <c r="F67" i="18"/>
  <c r="H69" i="18"/>
  <c r="E70" i="18"/>
  <c r="J71" i="18"/>
  <c r="I74" i="18"/>
  <c r="F75" i="18"/>
  <c r="H77" i="18"/>
  <c r="E78" i="18"/>
  <c r="J79" i="18"/>
  <c r="I82" i="18"/>
  <c r="F83" i="18"/>
  <c r="K84" i="18"/>
  <c r="H85" i="18"/>
  <c r="E86" i="18"/>
  <c r="J87" i="18"/>
  <c r="I90" i="18"/>
  <c r="F91" i="18"/>
  <c r="K92" i="18"/>
  <c r="H93" i="18"/>
  <c r="E94" i="18"/>
  <c r="J95" i="18"/>
  <c r="I98" i="18"/>
  <c r="F99" i="18"/>
  <c r="K100" i="18"/>
  <c r="H101" i="18"/>
  <c r="E102" i="18"/>
  <c r="J103" i="18"/>
  <c r="I106" i="18"/>
  <c r="F107" i="18"/>
  <c r="K108" i="18"/>
  <c r="H109" i="18"/>
  <c r="E110" i="18"/>
  <c r="J111" i="18"/>
  <c r="I114" i="18"/>
  <c r="F115" i="18"/>
  <c r="K116" i="18"/>
  <c r="H117" i="18"/>
  <c r="E118" i="18"/>
  <c r="J119" i="18"/>
  <c r="I122" i="18"/>
  <c r="F123" i="18"/>
  <c r="K124" i="18"/>
  <c r="H125" i="18"/>
  <c r="E126" i="18"/>
  <c r="J127" i="18"/>
  <c r="I130" i="18"/>
  <c r="F131" i="18"/>
  <c r="K132" i="18"/>
  <c r="H133" i="18"/>
  <c r="E134" i="18"/>
  <c r="J135" i="18"/>
  <c r="I138" i="18"/>
  <c r="F139" i="18"/>
  <c r="K140" i="18"/>
  <c r="H141" i="18"/>
  <c r="E142" i="18"/>
  <c r="J143" i="18"/>
  <c r="I146" i="18"/>
  <c r="F147" i="18"/>
  <c r="K148" i="18"/>
  <c r="H149" i="18"/>
  <c r="E150" i="18"/>
  <c r="J151" i="18"/>
  <c r="I154" i="18"/>
  <c r="F155" i="18"/>
  <c r="K156" i="18"/>
  <c r="H157" i="18"/>
  <c r="E158" i="18"/>
  <c r="J159" i="18"/>
  <c r="I162" i="18"/>
  <c r="F163" i="18"/>
  <c r="K164" i="18"/>
  <c r="H165" i="18"/>
  <c r="E166" i="18"/>
  <c r="J167" i="18"/>
  <c r="I170" i="18"/>
  <c r="F171" i="18"/>
  <c r="K172" i="18"/>
  <c r="H173" i="18"/>
  <c r="E174" i="18"/>
  <c r="J175" i="18"/>
  <c r="I178" i="18"/>
  <c r="F179" i="18"/>
  <c r="K180" i="18"/>
  <c r="H181" i="18"/>
  <c r="E182" i="18"/>
  <c r="J183" i="18"/>
  <c r="I186" i="18"/>
  <c r="F187" i="18"/>
  <c r="K188" i="18"/>
  <c r="H189" i="18"/>
  <c r="E190" i="18"/>
  <c r="J191" i="18"/>
  <c r="I194" i="18"/>
  <c r="F195" i="18"/>
  <c r="K196" i="18"/>
  <c r="H197" i="18"/>
  <c r="E198" i="18"/>
  <c r="J199" i="18"/>
  <c r="I202" i="18"/>
  <c r="F203" i="18"/>
  <c r="K204" i="18"/>
  <c r="H205" i="18"/>
  <c r="E206" i="18"/>
  <c r="J207" i="18"/>
  <c r="I210" i="18"/>
  <c r="F211" i="18"/>
  <c r="K212" i="18"/>
  <c r="H213" i="18"/>
  <c r="E214" i="18"/>
  <c r="J215" i="18"/>
  <c r="I218" i="18"/>
  <c r="F219" i="18"/>
  <c r="K220" i="18"/>
  <c r="H221" i="18"/>
  <c r="E222" i="18"/>
  <c r="J223" i="18"/>
  <c r="E225" i="18"/>
  <c r="J227" i="18"/>
  <c r="H228" i="18"/>
  <c r="E229" i="18"/>
  <c r="J231" i="18"/>
  <c r="E233" i="18"/>
  <c r="J235" i="18"/>
  <c r="H236" i="18"/>
  <c r="E237" i="18"/>
  <c r="J239" i="18"/>
  <c r="E241" i="18"/>
  <c r="J243" i="18"/>
  <c r="H244" i="18"/>
  <c r="E245" i="18"/>
  <c r="J247" i="18"/>
  <c r="E249" i="18"/>
  <c r="J251" i="18"/>
  <c r="H252" i="18"/>
  <c r="E253" i="18"/>
  <c r="J255" i="18"/>
  <c r="E257" i="18"/>
  <c r="J259" i="18"/>
  <c r="H260" i="18"/>
  <c r="E261" i="18"/>
  <c r="J263" i="18"/>
  <c r="E265" i="18"/>
  <c r="J267" i="18"/>
  <c r="H268" i="18"/>
  <c r="E269" i="18"/>
  <c r="J271" i="18"/>
  <c r="E273" i="18"/>
  <c r="J275" i="18"/>
  <c r="H276" i="18"/>
  <c r="E277" i="18"/>
  <c r="J279" i="18"/>
  <c r="E281" i="18"/>
  <c r="J283" i="18"/>
  <c r="H284" i="18"/>
  <c r="E285" i="18"/>
  <c r="K287" i="18"/>
  <c r="H288" i="18"/>
  <c r="I289" i="18"/>
  <c r="H290" i="18"/>
  <c r="E291" i="18"/>
  <c r="K295" i="18"/>
  <c r="H296" i="18"/>
  <c r="I297" i="18"/>
  <c r="I298" i="18"/>
  <c r="K300" i="18"/>
  <c r="E305" i="18"/>
  <c r="H309" i="18"/>
  <c r="E315" i="18"/>
  <c r="E318" i="18"/>
  <c r="E323" i="18"/>
  <c r="E326" i="18"/>
  <c r="E331" i="18"/>
  <c r="E334" i="18"/>
  <c r="E339" i="18"/>
  <c r="E342" i="18"/>
  <c r="E347" i="18"/>
  <c r="I351" i="18"/>
  <c r="K353" i="18"/>
  <c r="E355" i="18"/>
  <c r="I359" i="18"/>
  <c r="K361" i="18"/>
  <c r="E363" i="18"/>
  <c r="I367" i="18"/>
  <c r="K369" i="18"/>
  <c r="E371" i="18"/>
  <c r="I375" i="18"/>
  <c r="K377" i="18"/>
  <c r="E379" i="18"/>
  <c r="I383" i="18"/>
  <c r="K385" i="18"/>
  <c r="E387" i="18"/>
  <c r="I391" i="18"/>
  <c r="K393" i="18"/>
  <c r="E395" i="18"/>
  <c r="I402" i="18"/>
  <c r="K404" i="18"/>
  <c r="E406" i="18"/>
  <c r="I410" i="18"/>
  <c r="K412" i="18"/>
  <c r="E414" i="18"/>
  <c r="I418" i="18"/>
  <c r="K420" i="18"/>
  <c r="E422" i="18"/>
  <c r="I426" i="18"/>
  <c r="K428" i="18"/>
  <c r="E430" i="18"/>
  <c r="I434" i="18"/>
  <c r="K436" i="18"/>
  <c r="E438" i="18"/>
  <c r="I442" i="18"/>
  <c r="K444" i="18"/>
  <c r="E446" i="18"/>
  <c r="I450" i="18"/>
  <c r="K452" i="18"/>
  <c r="E454" i="18"/>
  <c r="I458" i="18"/>
  <c r="K460" i="18"/>
  <c r="E462" i="18"/>
  <c r="I466" i="18"/>
  <c r="K468" i="18"/>
  <c r="E470" i="18"/>
  <c r="I474" i="18"/>
  <c r="K476" i="18"/>
  <c r="E478" i="18"/>
  <c r="I482" i="18"/>
  <c r="K484" i="18"/>
  <c r="E486" i="18"/>
  <c r="I490" i="18"/>
  <c r="K492" i="18"/>
  <c r="E494" i="18"/>
  <c r="I498" i="18"/>
  <c r="K500" i="18"/>
  <c r="E502" i="18"/>
  <c r="I506" i="18"/>
  <c r="K508" i="18"/>
  <c r="E510" i="18"/>
  <c r="I514" i="18"/>
  <c r="K516" i="18"/>
  <c r="E518" i="18"/>
  <c r="I522" i="18"/>
  <c r="K524" i="18"/>
  <c r="E526" i="18"/>
  <c r="I530" i="18"/>
  <c r="K532" i="18"/>
  <c r="E534" i="18"/>
  <c r="I538" i="18"/>
  <c r="K540" i="18"/>
  <c r="E542" i="18"/>
  <c r="I546" i="18"/>
  <c r="K548" i="18"/>
  <c r="E550" i="18"/>
  <c r="I554" i="18"/>
  <c r="K556" i="18"/>
  <c r="E558" i="18"/>
  <c r="I562" i="18"/>
  <c r="K564" i="18"/>
  <c r="E566" i="18"/>
  <c r="I570" i="18"/>
  <c r="K572" i="18"/>
  <c r="E574" i="18"/>
  <c r="I578" i="18"/>
  <c r="K580" i="18"/>
  <c r="E582" i="18"/>
  <c r="I586" i="18"/>
  <c r="K588" i="18"/>
  <c r="E590" i="18"/>
  <c r="I594" i="18"/>
  <c r="K596" i="18"/>
  <c r="E598" i="18"/>
  <c r="I602" i="18"/>
  <c r="K604" i="18"/>
  <c r="E606" i="18"/>
  <c r="I610" i="18"/>
  <c r="K612" i="18"/>
  <c r="E614" i="18"/>
  <c r="I618" i="18"/>
  <c r="K620" i="18"/>
  <c r="E622" i="18"/>
  <c r="I626" i="18"/>
  <c r="K628" i="18"/>
  <c r="E630" i="18"/>
  <c r="I634" i="18"/>
  <c r="K636" i="18"/>
  <c r="E638" i="18"/>
  <c r="I642" i="18"/>
  <c r="K644" i="18"/>
  <c r="E646" i="18"/>
  <c r="I650" i="18"/>
  <c r="K652" i="18"/>
  <c r="E654" i="18"/>
  <c r="I658" i="18"/>
  <c r="K660" i="18"/>
  <c r="E662" i="18"/>
  <c r="I666" i="18"/>
  <c r="K668" i="18"/>
  <c r="E670" i="18"/>
  <c r="I674" i="18"/>
  <c r="K676" i="18"/>
  <c r="E678" i="18"/>
  <c r="I682" i="18"/>
  <c r="K684" i="18"/>
  <c r="E686" i="18"/>
  <c r="I690" i="18"/>
  <c r="K692" i="18"/>
  <c r="E694" i="18"/>
  <c r="I698" i="18"/>
  <c r="K700" i="18"/>
  <c r="E702" i="18"/>
  <c r="I706" i="18"/>
  <c r="K708" i="18"/>
  <c r="E710" i="18"/>
  <c r="I714" i="18"/>
  <c r="K716" i="18"/>
  <c r="E718" i="18"/>
  <c r="I722" i="18"/>
  <c r="K724" i="18"/>
  <c r="E726" i="18"/>
  <c r="I730" i="18"/>
  <c r="K732" i="18"/>
  <c r="E734" i="18"/>
  <c r="I738" i="18"/>
  <c r="K740" i="18"/>
  <c r="E742" i="18"/>
  <c r="I746" i="18"/>
  <c r="E750" i="18"/>
  <c r="K758" i="18"/>
  <c r="K766" i="18"/>
  <c r="K774" i="18"/>
  <c r="K782" i="18"/>
  <c r="K790" i="18"/>
  <c r="I817" i="18"/>
  <c r="I833" i="18"/>
  <c r="M850" i="18"/>
  <c r="F945" i="18"/>
  <c r="AZ10" i="5"/>
  <c r="K745" i="18"/>
  <c r="K737" i="18"/>
  <c r="K729" i="18"/>
  <c r="K721" i="18"/>
  <c r="K713" i="18"/>
  <c r="K705" i="18"/>
  <c r="K697" i="18"/>
  <c r="K689" i="18"/>
  <c r="K681" i="18"/>
  <c r="K673" i="18"/>
  <c r="K665" i="18"/>
  <c r="K657" i="18"/>
  <c r="K649" i="18"/>
  <c r="K641" i="18"/>
  <c r="K633" i="18"/>
  <c r="K625" i="18"/>
  <c r="K617" i="18"/>
  <c r="K609" i="18"/>
  <c r="K601" i="18"/>
  <c r="K593" i="18"/>
  <c r="K585" i="18"/>
  <c r="K577" i="18"/>
  <c r="K569" i="18"/>
  <c r="K561" i="18"/>
  <c r="K553" i="18"/>
  <c r="K545" i="18"/>
  <c r="K537" i="18"/>
  <c r="K529" i="18"/>
  <c r="K521" i="18"/>
  <c r="K513" i="18"/>
  <c r="K505" i="18"/>
  <c r="K497" i="18"/>
  <c r="K489" i="18"/>
  <c r="K481" i="18"/>
  <c r="K473" i="18"/>
  <c r="K465" i="18"/>
  <c r="K457" i="18"/>
  <c r="K449" i="18"/>
  <c r="K441" i="18"/>
  <c r="K433" i="18"/>
  <c r="K425" i="18"/>
  <c r="K417" i="18"/>
  <c r="K409" i="18"/>
  <c r="K398" i="18"/>
  <c r="K390" i="18"/>
  <c r="K382" i="18"/>
  <c r="K374" i="18"/>
  <c r="K366" i="18"/>
  <c r="K358" i="18"/>
  <c r="K350" i="18"/>
  <c r="K342" i="18"/>
  <c r="K334" i="18"/>
  <c r="K326" i="18"/>
  <c r="K318" i="18"/>
  <c r="K310" i="18"/>
  <c r="K302" i="18"/>
  <c r="K750" i="18"/>
  <c r="K742" i="18"/>
  <c r="K734" i="18"/>
  <c r="K726" i="18"/>
  <c r="K718" i="18"/>
  <c r="K710" i="18"/>
  <c r="K702" i="18"/>
  <c r="K694" i="18"/>
  <c r="K686" i="18"/>
  <c r="K678" i="18"/>
  <c r="K670" i="18"/>
  <c r="K662" i="18"/>
  <c r="K654" i="18"/>
  <c r="K646" i="18"/>
  <c r="K638" i="18"/>
  <c r="K630" i="18"/>
  <c r="K622" i="18"/>
  <c r="K614" i="18"/>
  <c r="K606" i="18"/>
  <c r="K598" i="18"/>
  <c r="K590" i="18"/>
  <c r="K582" i="18"/>
  <c r="K574" i="18"/>
  <c r="K566" i="18"/>
  <c r="K558" i="18"/>
  <c r="K550" i="18"/>
  <c r="K542" i="18"/>
  <c r="K534" i="18"/>
  <c r="K526" i="18"/>
  <c r="K518" i="18"/>
  <c r="K510" i="18"/>
  <c r="K502" i="18"/>
  <c r="K494" i="18"/>
  <c r="K486" i="18"/>
  <c r="K478" i="18"/>
  <c r="K470" i="18"/>
  <c r="K462" i="18"/>
  <c r="K454" i="18"/>
  <c r="K446" i="18"/>
  <c r="K438" i="18"/>
  <c r="K430" i="18"/>
  <c r="K422" i="18"/>
  <c r="K414" i="18"/>
  <c r="K406" i="18"/>
  <c r="K395" i="18"/>
  <c r="K387" i="18"/>
  <c r="K379" i="18"/>
  <c r="K371" i="18"/>
  <c r="K363" i="18"/>
  <c r="K355" i="18"/>
  <c r="K347" i="18"/>
  <c r="K339" i="18"/>
  <c r="K331" i="18"/>
  <c r="K323" i="18"/>
  <c r="K315" i="18"/>
  <c r="K307" i="18"/>
  <c r="K299" i="18"/>
  <c r="K747" i="18"/>
  <c r="K739" i="18"/>
  <c r="K731" i="18"/>
  <c r="K723" i="18"/>
  <c r="K715" i="18"/>
  <c r="K707" i="18"/>
  <c r="K699" i="18"/>
  <c r="K691" i="18"/>
  <c r="K683" i="18"/>
  <c r="K675" i="18"/>
  <c r="K667" i="18"/>
  <c r="K659" i="18"/>
  <c r="K651" i="18"/>
  <c r="K643" i="18"/>
  <c r="K635" i="18"/>
  <c r="K627" i="18"/>
  <c r="K619" i="18"/>
  <c r="K611" i="18"/>
  <c r="K603" i="18"/>
  <c r="K595" i="18"/>
  <c r="K587" i="18"/>
  <c r="K579" i="18"/>
  <c r="K571" i="18"/>
  <c r="K563" i="18"/>
  <c r="K555" i="18"/>
  <c r="K547" i="18"/>
  <c r="K539" i="18"/>
  <c r="K531" i="18"/>
  <c r="K523" i="18"/>
  <c r="K515" i="18"/>
  <c r="K507" i="18"/>
  <c r="K499" i="18"/>
  <c r="K491" i="18"/>
  <c r="K483" i="18"/>
  <c r="K475" i="18"/>
  <c r="K467" i="18"/>
  <c r="K459" i="18"/>
  <c r="K451" i="18"/>
  <c r="K443" i="18"/>
  <c r="K435" i="18"/>
  <c r="K427" i="18"/>
  <c r="K419" i="18"/>
  <c r="K411" i="18"/>
  <c r="K403" i="18"/>
  <c r="K392" i="18"/>
  <c r="K384" i="18"/>
  <c r="K376" i="18"/>
  <c r="K368" i="18"/>
  <c r="K360" i="18"/>
  <c r="K352" i="18"/>
  <c r="K344" i="18"/>
  <c r="K336" i="18"/>
  <c r="K328" i="18"/>
  <c r="K320" i="18"/>
  <c r="K312" i="18"/>
  <c r="K304" i="18"/>
  <c r="K296" i="18"/>
  <c r="K288" i="18"/>
  <c r="K752" i="18"/>
  <c r="K744" i="18"/>
  <c r="K736" i="18"/>
  <c r="K728" i="18"/>
  <c r="K720" i="18"/>
  <c r="K712" i="18"/>
  <c r="K704" i="18"/>
  <c r="K696" i="18"/>
  <c r="K688" i="18"/>
  <c r="K680" i="18"/>
  <c r="K672" i="18"/>
  <c r="K664" i="18"/>
  <c r="K656" i="18"/>
  <c r="K648" i="18"/>
  <c r="K640" i="18"/>
  <c r="K632" i="18"/>
  <c r="K624" i="18"/>
  <c r="K616" i="18"/>
  <c r="K608" i="18"/>
  <c r="K600" i="18"/>
  <c r="K592" i="18"/>
  <c r="K584" i="18"/>
  <c r="K576" i="18"/>
  <c r="K568" i="18"/>
  <c r="K560" i="18"/>
  <c r="K552" i="18"/>
  <c r="K544" i="18"/>
  <c r="K536" i="18"/>
  <c r="K528" i="18"/>
  <c r="K520" i="18"/>
  <c r="K512" i="18"/>
  <c r="K504" i="18"/>
  <c r="K496" i="18"/>
  <c r="K488" i="18"/>
  <c r="K480" i="18"/>
  <c r="K472" i="18"/>
  <c r="K464" i="18"/>
  <c r="K456" i="18"/>
  <c r="K448" i="18"/>
  <c r="K440" i="18"/>
  <c r="K432" i="18"/>
  <c r="K424" i="18"/>
  <c r="K416" i="18"/>
  <c r="K408" i="18"/>
  <c r="K397" i="18"/>
  <c r="K389" i="18"/>
  <c r="K381" i="18"/>
  <c r="K373" i="18"/>
  <c r="K365" i="18"/>
  <c r="K357" i="18"/>
  <c r="K349" i="18"/>
  <c r="K341" i="18"/>
  <c r="K333" i="18"/>
  <c r="K325" i="18"/>
  <c r="K317" i="18"/>
  <c r="K309" i="18"/>
  <c r="K301" i="18"/>
  <c r="K293" i="18"/>
  <c r="K285" i="18"/>
  <c r="K277" i="18"/>
  <c r="K269" i="18"/>
  <c r="K261" i="18"/>
  <c r="K253" i="18"/>
  <c r="K245" i="18"/>
  <c r="K237" i="18"/>
  <c r="K229" i="18"/>
  <c r="K749" i="18"/>
  <c r="K741" i="18"/>
  <c r="K733" i="18"/>
  <c r="K725" i="18"/>
  <c r="K717" i="18"/>
  <c r="K709" i="18"/>
  <c r="K701" i="18"/>
  <c r="K693" i="18"/>
  <c r="K685" i="18"/>
  <c r="K677" i="18"/>
  <c r="K669" i="18"/>
  <c r="K661" i="18"/>
  <c r="K653" i="18"/>
  <c r="K645" i="18"/>
  <c r="K637" i="18"/>
  <c r="K629" i="18"/>
  <c r="K621" i="18"/>
  <c r="K613" i="18"/>
  <c r="K605" i="18"/>
  <c r="K597" i="18"/>
  <c r="K589" i="18"/>
  <c r="K581" i="18"/>
  <c r="K573" i="18"/>
  <c r="K565" i="18"/>
  <c r="K557" i="18"/>
  <c r="K549" i="18"/>
  <c r="K541" i="18"/>
  <c r="K533" i="18"/>
  <c r="K525" i="18"/>
  <c r="K517" i="18"/>
  <c r="K509" i="18"/>
  <c r="K501" i="18"/>
  <c r="K493" i="18"/>
  <c r="K485" i="18"/>
  <c r="K477" i="18"/>
  <c r="K469" i="18"/>
  <c r="K461" i="18"/>
  <c r="K453" i="18"/>
  <c r="K445" i="18"/>
  <c r="K437" i="18"/>
  <c r="K429" i="18"/>
  <c r="K421" i="18"/>
  <c r="K413" i="18"/>
  <c r="K405" i="18"/>
  <c r="K394" i="18"/>
  <c r="K386" i="18"/>
  <c r="K378" i="18"/>
  <c r="K370" i="18"/>
  <c r="K362" i="18"/>
  <c r="K354" i="18"/>
  <c r="K346" i="18"/>
  <c r="K338" i="18"/>
  <c r="K330" i="18"/>
  <c r="K322" i="18"/>
  <c r="K314" i="18"/>
  <c r="K306" i="18"/>
  <c r="K746" i="18"/>
  <c r="K738" i="18"/>
  <c r="K730" i="18"/>
  <c r="K722" i="18"/>
  <c r="K714" i="18"/>
  <c r="K706" i="18"/>
  <c r="K698" i="18"/>
  <c r="K690" i="18"/>
  <c r="K682" i="18"/>
  <c r="K674" i="18"/>
  <c r="K666" i="18"/>
  <c r="K658" i="18"/>
  <c r="K650" i="18"/>
  <c r="K642" i="18"/>
  <c r="K634" i="18"/>
  <c r="K626" i="18"/>
  <c r="K618" i="18"/>
  <c r="K610" i="18"/>
  <c r="K602" i="18"/>
  <c r="K594" i="18"/>
  <c r="K586" i="18"/>
  <c r="K578" i="18"/>
  <c r="K570" i="18"/>
  <c r="K562" i="18"/>
  <c r="K554" i="18"/>
  <c r="K546" i="18"/>
  <c r="K538" i="18"/>
  <c r="K530" i="18"/>
  <c r="K522" i="18"/>
  <c r="K514" i="18"/>
  <c r="K506" i="18"/>
  <c r="K498" i="18"/>
  <c r="K490" i="18"/>
  <c r="K482" i="18"/>
  <c r="K474" i="18"/>
  <c r="K466" i="18"/>
  <c r="K458" i="18"/>
  <c r="K450" i="18"/>
  <c r="K442" i="18"/>
  <c r="K434" i="18"/>
  <c r="K426" i="18"/>
  <c r="K418" i="18"/>
  <c r="K410" i="18"/>
  <c r="K402" i="18"/>
  <c r="K391" i="18"/>
  <c r="K383" i="18"/>
  <c r="K375" i="18"/>
  <c r="K367" i="18"/>
  <c r="K359" i="18"/>
  <c r="K351" i="18"/>
  <c r="K343" i="18"/>
  <c r="K335" i="18"/>
  <c r="K327" i="18"/>
  <c r="K319" i="18"/>
  <c r="K751" i="18"/>
  <c r="K743" i="18"/>
  <c r="K735" i="18"/>
  <c r="K727" i="18"/>
  <c r="K719" i="18"/>
  <c r="K711" i="18"/>
  <c r="K703" i="18"/>
  <c r="K695" i="18"/>
  <c r="K687" i="18"/>
  <c r="K679" i="18"/>
  <c r="K671" i="18"/>
  <c r="K663" i="18"/>
  <c r="K655" i="18"/>
  <c r="K647" i="18"/>
  <c r="K639" i="18"/>
  <c r="K631" i="18"/>
  <c r="K623" i="18"/>
  <c r="K615" i="18"/>
  <c r="K607" i="18"/>
  <c r="K599" i="18"/>
  <c r="K591" i="18"/>
  <c r="K583" i="18"/>
  <c r="K575" i="18"/>
  <c r="K567" i="18"/>
  <c r="K559" i="18"/>
  <c r="K551" i="18"/>
  <c r="K543" i="18"/>
  <c r="K535" i="18"/>
  <c r="K527" i="18"/>
  <c r="K519" i="18"/>
  <c r="K511" i="18"/>
  <c r="K503" i="18"/>
  <c r="K495" i="18"/>
  <c r="K487" i="18"/>
  <c r="K479" i="18"/>
  <c r="K471" i="18"/>
  <c r="K463" i="18"/>
  <c r="K455" i="18"/>
  <c r="K447" i="18"/>
  <c r="K439" i="18"/>
  <c r="K431" i="18"/>
  <c r="K423" i="18"/>
  <c r="K415" i="18"/>
  <c r="K407" i="18"/>
  <c r="K396" i="18"/>
  <c r="K388" i="18"/>
  <c r="K380" i="18"/>
  <c r="K372" i="18"/>
  <c r="K364" i="18"/>
  <c r="K356" i="18"/>
  <c r="K348" i="18"/>
  <c r="K1098" i="18"/>
  <c r="K1090" i="18"/>
  <c r="K1082" i="18"/>
  <c r="K1074" i="18"/>
  <c r="K1066" i="18"/>
  <c r="K1058" i="18"/>
  <c r="K1050" i="18"/>
  <c r="K1042" i="18"/>
  <c r="K1034" i="18"/>
  <c r="K1026" i="18"/>
  <c r="K1018" i="18"/>
  <c r="K1010" i="18"/>
  <c r="K1100" i="18"/>
  <c r="K1092" i="18"/>
  <c r="K1084" i="18"/>
  <c r="K1076" i="18"/>
  <c r="K1068" i="18"/>
  <c r="K1060" i="18"/>
  <c r="K1052" i="18"/>
  <c r="K1044" i="18"/>
  <c r="K1036" i="18"/>
  <c r="K1028" i="18"/>
  <c r="K1020" i="18"/>
  <c r="K1012" i="18"/>
  <c r="K1004" i="18"/>
  <c r="K996" i="18"/>
  <c r="K988" i="18"/>
  <c r="K980" i="18"/>
  <c r="K1099" i="18"/>
  <c r="K1091" i="18"/>
  <c r="K1083" i="18"/>
  <c r="K1075" i="18"/>
  <c r="K1067" i="18"/>
  <c r="K1059" i="18"/>
  <c r="K1051" i="18"/>
  <c r="K1043" i="18"/>
  <c r="K1035" i="18"/>
  <c r="K1027" i="18"/>
  <c r="K1019" i="18"/>
  <c r="K1011" i="18"/>
  <c r="K1105" i="18"/>
  <c r="K1101" i="18"/>
  <c r="K1097" i="18"/>
  <c r="K1093" i="18"/>
  <c r="K1089" i="18"/>
  <c r="K1103" i="18"/>
  <c r="K1102" i="18"/>
  <c r="K1088" i="18"/>
  <c r="K1080" i="18"/>
  <c r="K1072" i="18"/>
  <c r="K1064" i="18"/>
  <c r="K1056" i="18"/>
  <c r="K1048" i="18"/>
  <c r="K1040" i="18"/>
  <c r="K1032" i="18"/>
  <c r="K1024" i="18"/>
  <c r="K1016" i="18"/>
  <c r="K1008" i="18"/>
  <c r="K975" i="18"/>
  <c r="K967" i="18"/>
  <c r="K959" i="18"/>
  <c r="K951" i="18"/>
  <c r="K943" i="18"/>
  <c r="K935" i="18"/>
  <c r="K927" i="18"/>
  <c r="K919" i="18"/>
  <c r="K911" i="18"/>
  <c r="K903" i="18"/>
  <c r="K895" i="18"/>
  <c r="K887" i="18"/>
  <c r="K879" i="18"/>
  <c r="K1001" i="18"/>
  <c r="K998" i="18"/>
  <c r="K993" i="18"/>
  <c r="K990" i="18"/>
  <c r="K985" i="18"/>
  <c r="K982" i="18"/>
  <c r="K972" i="18"/>
  <c r="K964" i="18"/>
  <c r="K956" i="18"/>
  <c r="K948" i="18"/>
  <c r="K940" i="18"/>
  <c r="K932" i="18"/>
  <c r="K924" i="18"/>
  <c r="K916" i="18"/>
  <c r="K908" i="18"/>
  <c r="K900" i="18"/>
  <c r="K892" i="18"/>
  <c r="K884" i="18"/>
  <c r="K1104" i="18"/>
  <c r="K1095" i="18"/>
  <c r="K1094" i="18"/>
  <c r="K1087" i="18"/>
  <c r="K1079" i="18"/>
  <c r="K1071" i="18"/>
  <c r="K1063" i="18"/>
  <c r="K1055" i="18"/>
  <c r="K1047" i="18"/>
  <c r="K1039" i="18"/>
  <c r="K1031" i="18"/>
  <c r="K1023" i="18"/>
  <c r="K1015" i="18"/>
  <c r="K1007" i="18"/>
  <c r="K1005" i="18"/>
  <c r="K1003" i="18"/>
  <c r="K1002" i="18"/>
  <c r="K1000" i="18"/>
  <c r="K999" i="18"/>
  <c r="K997" i="18"/>
  <c r="K995" i="18"/>
  <c r="K994" i="18"/>
  <c r="K992" i="18"/>
  <c r="K991" i="18"/>
  <c r="K989" i="18"/>
  <c r="K987" i="18"/>
  <c r="K986" i="18"/>
  <c r="K984" i="18"/>
  <c r="K983" i="18"/>
  <c r="K981" i="18"/>
  <c r="K979" i="18"/>
  <c r="K978" i="18"/>
  <c r="K977" i="18"/>
  <c r="K969" i="18"/>
  <c r="K961" i="18"/>
  <c r="K953" i="18"/>
  <c r="K945" i="18"/>
  <c r="K937" i="18"/>
  <c r="K929" i="18"/>
  <c r="K921" i="18"/>
  <c r="K913" i="18"/>
  <c r="K905" i="18"/>
  <c r="K897" i="18"/>
  <c r="K889" i="18"/>
  <c r="K881" i="18"/>
  <c r="K873" i="18"/>
  <c r="K865" i="18"/>
  <c r="K1096" i="18"/>
  <c r="K974" i="18"/>
  <c r="K966" i="18"/>
  <c r="K958" i="18"/>
  <c r="K950" i="18"/>
  <c r="K942" i="18"/>
  <c r="K934" i="18"/>
  <c r="K926" i="18"/>
  <c r="K918" i="18"/>
  <c r="K910" i="18"/>
  <c r="K902" i="18"/>
  <c r="K894" i="18"/>
  <c r="K886" i="18"/>
  <c r="K878" i="18"/>
  <c r="K870" i="18"/>
  <c r="K1086" i="18"/>
  <c r="K1078" i="18"/>
  <c r="K1070" i="18"/>
  <c r="K1062" i="18"/>
  <c r="K1054" i="18"/>
  <c r="K1046" i="18"/>
  <c r="K1038" i="18"/>
  <c r="K1030" i="18"/>
  <c r="K1022" i="18"/>
  <c r="K1014" i="18"/>
  <c r="K1006" i="18"/>
  <c r="K971" i="18"/>
  <c r="K963" i="18"/>
  <c r="K955" i="18"/>
  <c r="K947" i="18"/>
  <c r="K939" i="18"/>
  <c r="K931" i="18"/>
  <c r="K923" i="18"/>
  <c r="K915" i="18"/>
  <c r="K907" i="18"/>
  <c r="K899" i="18"/>
  <c r="K891" i="18"/>
  <c r="K883" i="18"/>
  <c r="K875" i="18"/>
  <c r="K867" i="18"/>
  <c r="K1085" i="18"/>
  <c r="K1081" i="18"/>
  <c r="K1077" i="18"/>
  <c r="K1073" i="18"/>
  <c r="K1069" i="18"/>
  <c r="K1065" i="18"/>
  <c r="K1061" i="18"/>
  <c r="K1057" i="18"/>
  <c r="K1053" i="18"/>
  <c r="K1049" i="18"/>
  <c r="K1045" i="18"/>
  <c r="K1041" i="18"/>
  <c r="K1037" i="18"/>
  <c r="K1033" i="18"/>
  <c r="K1029" i="18"/>
  <c r="K1025" i="18"/>
  <c r="K1021" i="18"/>
  <c r="K1017" i="18"/>
  <c r="K1013" i="18"/>
  <c r="K1009" i="18"/>
  <c r="K973" i="18"/>
  <c r="K965" i="18"/>
  <c r="K957" i="18"/>
  <c r="K949" i="18"/>
  <c r="K941" i="18"/>
  <c r="K933" i="18"/>
  <c r="K925" i="18"/>
  <c r="K917" i="18"/>
  <c r="K909" i="18"/>
  <c r="K901" i="18"/>
  <c r="K893" i="18"/>
  <c r="K885" i="18"/>
  <c r="K877" i="18"/>
  <c r="K869" i="18"/>
  <c r="K861" i="18"/>
  <c r="K853" i="18"/>
  <c r="K845" i="18"/>
  <c r="K842" i="18"/>
  <c r="K834" i="18"/>
  <c r="K826" i="18"/>
  <c r="K818" i="18"/>
  <c r="K874" i="18"/>
  <c r="K866" i="18"/>
  <c r="K863" i="18"/>
  <c r="K839" i="18"/>
  <c r="K836" i="18"/>
  <c r="K828" i="18"/>
  <c r="K820" i="18"/>
  <c r="K812" i="18"/>
  <c r="K804" i="18"/>
  <c r="K970" i="18"/>
  <c r="K962" i="18"/>
  <c r="K954" i="18"/>
  <c r="K946" i="18"/>
  <c r="K938" i="18"/>
  <c r="K930" i="18"/>
  <c r="K922" i="18"/>
  <c r="K914" i="18"/>
  <c r="K906" i="18"/>
  <c r="K898" i="18"/>
  <c r="K890" i="18"/>
  <c r="K882" i="18"/>
  <c r="K876" i="18"/>
  <c r="K868" i="18"/>
  <c r="K838" i="18"/>
  <c r="K872" i="18"/>
  <c r="K871" i="18"/>
  <c r="K864" i="18"/>
  <c r="K858" i="18"/>
  <c r="K855" i="18"/>
  <c r="K850" i="18"/>
  <c r="K847" i="18"/>
  <c r="K840" i="18"/>
  <c r="K832" i="18"/>
  <c r="K824" i="18"/>
  <c r="K816" i="18"/>
  <c r="K808" i="18"/>
  <c r="K862" i="18"/>
  <c r="K860" i="18"/>
  <c r="K859" i="18"/>
  <c r="K857" i="18"/>
  <c r="K856" i="18"/>
  <c r="K854" i="18"/>
  <c r="K852" i="18"/>
  <c r="K851" i="18"/>
  <c r="K849" i="18"/>
  <c r="K848" i="18"/>
  <c r="K846" i="18"/>
  <c r="K844" i="18"/>
  <c r="K843" i="18"/>
  <c r="K837" i="18"/>
  <c r="K829" i="18"/>
  <c r="K821" i="18"/>
  <c r="K813" i="18"/>
  <c r="K805" i="18"/>
  <c r="K827" i="18"/>
  <c r="K819" i="18"/>
  <c r="K795" i="18"/>
  <c r="K787" i="18"/>
  <c r="K779" i="18"/>
  <c r="K771" i="18"/>
  <c r="K763" i="18"/>
  <c r="K755" i="18"/>
  <c r="K968" i="18"/>
  <c r="K936" i="18"/>
  <c r="K904" i="18"/>
  <c r="K802" i="18"/>
  <c r="K799" i="18"/>
  <c r="K792" i="18"/>
  <c r="K784" i="18"/>
  <c r="K776" i="18"/>
  <c r="K768" i="18"/>
  <c r="K760" i="18"/>
  <c r="K841" i="18"/>
  <c r="K831" i="18"/>
  <c r="K830" i="18"/>
  <c r="K823" i="18"/>
  <c r="K822" i="18"/>
  <c r="K815" i="18"/>
  <c r="K814" i="18"/>
  <c r="K801" i="18"/>
  <c r="K800" i="18"/>
  <c r="K798" i="18"/>
  <c r="K797" i="18"/>
  <c r="K789" i="18"/>
  <c r="K781" i="18"/>
  <c r="K773" i="18"/>
  <c r="K765" i="18"/>
  <c r="K757" i="18"/>
  <c r="K976" i="18"/>
  <c r="K944" i="18"/>
  <c r="K912" i="18"/>
  <c r="K880" i="18"/>
  <c r="K807" i="18"/>
  <c r="K794" i="18"/>
  <c r="K786" i="18"/>
  <c r="K778" i="18"/>
  <c r="K770" i="18"/>
  <c r="K762" i="18"/>
  <c r="K811" i="18"/>
  <c r="K810" i="18"/>
  <c r="K803" i="18"/>
  <c r="K791" i="18"/>
  <c r="K783" i="18"/>
  <c r="K775" i="18"/>
  <c r="K767" i="18"/>
  <c r="K759" i="18"/>
  <c r="K952" i="18"/>
  <c r="K920" i="18"/>
  <c r="K888" i="18"/>
  <c r="K833" i="18"/>
  <c r="K825" i="18"/>
  <c r="K817" i="18"/>
  <c r="K806" i="18"/>
  <c r="K796" i="18"/>
  <c r="K788" i="18"/>
  <c r="K780" i="18"/>
  <c r="K772" i="18"/>
  <c r="K764" i="18"/>
  <c r="K756" i="18"/>
  <c r="K793" i="18"/>
  <c r="K785" i="18"/>
  <c r="K777" i="18"/>
  <c r="K769" i="18"/>
  <c r="K761" i="18"/>
  <c r="H48" i="18"/>
  <c r="E49" i="18"/>
  <c r="J50" i="18"/>
  <c r="I53" i="18"/>
  <c r="F54" i="18"/>
  <c r="K55" i="18"/>
  <c r="H56" i="18"/>
  <c r="E57" i="18"/>
  <c r="J58" i="18"/>
  <c r="I61" i="18"/>
  <c r="F62" i="18"/>
  <c r="K63" i="18"/>
  <c r="H64" i="18"/>
  <c r="E65" i="18"/>
  <c r="J66" i="18"/>
  <c r="I69" i="18"/>
  <c r="F70" i="18"/>
  <c r="K71" i="18"/>
  <c r="H72" i="18"/>
  <c r="E73" i="18"/>
  <c r="J74" i="18"/>
  <c r="I77" i="18"/>
  <c r="F78" i="18"/>
  <c r="K79" i="18"/>
  <c r="H80" i="18"/>
  <c r="E81" i="18"/>
  <c r="J82" i="18"/>
  <c r="I85" i="18"/>
  <c r="F86" i="18"/>
  <c r="K87" i="18"/>
  <c r="H88" i="18"/>
  <c r="E89" i="18"/>
  <c r="J90" i="18"/>
  <c r="I93" i="18"/>
  <c r="F94" i="18"/>
  <c r="K95" i="18"/>
  <c r="H96" i="18"/>
  <c r="E97" i="18"/>
  <c r="J98" i="18"/>
  <c r="I101" i="18"/>
  <c r="F102" i="18"/>
  <c r="K103" i="18"/>
  <c r="H104" i="18"/>
  <c r="E105" i="18"/>
  <c r="J106" i="18"/>
  <c r="I109" i="18"/>
  <c r="F110" i="18"/>
  <c r="K111" i="18"/>
  <c r="H112" i="18"/>
  <c r="E113" i="18"/>
  <c r="J114" i="18"/>
  <c r="I117" i="18"/>
  <c r="F118" i="18"/>
  <c r="K119" i="18"/>
  <c r="H120" i="18"/>
  <c r="E121" i="18"/>
  <c r="J122" i="18"/>
  <c r="I125" i="18"/>
  <c r="F126" i="18"/>
  <c r="K127" i="18"/>
  <c r="H128" i="18"/>
  <c r="E129" i="18"/>
  <c r="J130" i="18"/>
  <c r="I133" i="18"/>
  <c r="F134" i="18"/>
  <c r="K135" i="18"/>
  <c r="H136" i="18"/>
  <c r="E137" i="18"/>
  <c r="J138" i="18"/>
  <c r="I141" i="18"/>
  <c r="F142" i="18"/>
  <c r="K143" i="18"/>
  <c r="H144" i="18"/>
  <c r="E145" i="18"/>
  <c r="J146" i="18"/>
  <c r="I149" i="18"/>
  <c r="F150" i="18"/>
  <c r="K151" i="18"/>
  <c r="H152" i="18"/>
  <c r="E153" i="18"/>
  <c r="J154" i="18"/>
  <c r="I157" i="18"/>
  <c r="F158" i="18"/>
  <c r="K159" i="18"/>
  <c r="H160" i="18"/>
  <c r="E161" i="18"/>
  <c r="J162" i="18"/>
  <c r="I165" i="18"/>
  <c r="F166" i="18"/>
  <c r="K167" i="18"/>
  <c r="H168" i="18"/>
  <c r="E169" i="18"/>
  <c r="J170" i="18"/>
  <c r="I173" i="18"/>
  <c r="F174" i="18"/>
  <c r="K175" i="18"/>
  <c r="H176" i="18"/>
  <c r="E177" i="18"/>
  <c r="J178" i="18"/>
  <c r="I181" i="18"/>
  <c r="F182" i="18"/>
  <c r="K183" i="18"/>
  <c r="H184" i="18"/>
  <c r="E185" i="18"/>
  <c r="J186" i="18"/>
  <c r="I189" i="18"/>
  <c r="F190" i="18"/>
  <c r="K191" i="18"/>
  <c r="H192" i="18"/>
  <c r="E193" i="18"/>
  <c r="J194" i="18"/>
  <c r="I197" i="18"/>
  <c r="F198" i="18"/>
  <c r="K199" i="18"/>
  <c r="H200" i="18"/>
  <c r="E201" i="18"/>
  <c r="J202" i="18"/>
  <c r="I205" i="18"/>
  <c r="F206" i="18"/>
  <c r="K207" i="18"/>
  <c r="H208" i="18"/>
  <c r="E209" i="18"/>
  <c r="J210" i="18"/>
  <c r="I213" i="18"/>
  <c r="F214" i="18"/>
  <c r="K215" i="18"/>
  <c r="H216" i="18"/>
  <c r="E217" i="18"/>
  <c r="J218" i="18"/>
  <c r="I221" i="18"/>
  <c r="F222" i="18"/>
  <c r="K223" i="18"/>
  <c r="H224" i="18"/>
  <c r="F225" i="18"/>
  <c r="E226" i="18"/>
  <c r="K227" i="18"/>
  <c r="I228" i="18"/>
  <c r="F229" i="18"/>
  <c r="K231" i="18"/>
  <c r="H232" i="18"/>
  <c r="F233" i="18"/>
  <c r="E234" i="18"/>
  <c r="K235" i="18"/>
  <c r="I236" i="18"/>
  <c r="F237" i="18"/>
  <c r="K239" i="18"/>
  <c r="H240" i="18"/>
  <c r="F241" i="18"/>
  <c r="E242" i="18"/>
  <c r="K243" i="18"/>
  <c r="I244" i="18"/>
  <c r="F245" i="18"/>
  <c r="K247" i="18"/>
  <c r="H248" i="18"/>
  <c r="F249" i="18"/>
  <c r="E250" i="18"/>
  <c r="K251" i="18"/>
  <c r="I252" i="18"/>
  <c r="F253" i="18"/>
  <c r="K255" i="18"/>
  <c r="H256" i="18"/>
  <c r="F257" i="18"/>
  <c r="E258" i="18"/>
  <c r="K259" i="18"/>
  <c r="I260" i="18"/>
  <c r="F261" i="18"/>
  <c r="K263" i="18"/>
  <c r="H264" i="18"/>
  <c r="F265" i="18"/>
  <c r="E266" i="18"/>
  <c r="K267" i="18"/>
  <c r="I268" i="18"/>
  <c r="F269" i="18"/>
  <c r="K271" i="18"/>
  <c r="H272" i="18"/>
  <c r="F273" i="18"/>
  <c r="E274" i="18"/>
  <c r="K275" i="18"/>
  <c r="I276" i="18"/>
  <c r="F277" i="18"/>
  <c r="K279" i="18"/>
  <c r="H280" i="18"/>
  <c r="F281" i="18"/>
  <c r="E282" i="18"/>
  <c r="K283" i="18"/>
  <c r="I284" i="18"/>
  <c r="F285" i="18"/>
  <c r="I288" i="18"/>
  <c r="J289" i="18"/>
  <c r="I290" i="18"/>
  <c r="F291" i="18"/>
  <c r="E292" i="18"/>
  <c r="E293" i="18"/>
  <c r="I296" i="18"/>
  <c r="J297" i="18"/>
  <c r="J298" i="18"/>
  <c r="H299" i="18"/>
  <c r="F304" i="18"/>
  <c r="K305" i="18"/>
  <c r="I309" i="18"/>
  <c r="F312" i="18"/>
  <c r="F315" i="18"/>
  <c r="F320" i="18"/>
  <c r="F323" i="18"/>
  <c r="F328" i="18"/>
  <c r="F331" i="18"/>
  <c r="F336" i="18"/>
  <c r="F339" i="18"/>
  <c r="F344" i="18"/>
  <c r="K835" i="18"/>
  <c r="F65" i="18"/>
  <c r="I72" i="18"/>
  <c r="F73" i="18"/>
  <c r="H75" i="18"/>
  <c r="E76" i="18"/>
  <c r="J77" i="18"/>
  <c r="I80" i="18"/>
  <c r="F81" i="18"/>
  <c r="H83" i="18"/>
  <c r="E84" i="18"/>
  <c r="J85" i="18"/>
  <c r="I88" i="18"/>
  <c r="F89" i="18"/>
  <c r="H91" i="18"/>
  <c r="E92" i="18"/>
  <c r="J93" i="18"/>
  <c r="I96" i="18"/>
  <c r="F97" i="18"/>
  <c r="H99" i="18"/>
  <c r="E100" i="18"/>
  <c r="J101" i="18"/>
  <c r="I104" i="18"/>
  <c r="F105" i="18"/>
  <c r="K106" i="18"/>
  <c r="H107" i="18"/>
  <c r="E108" i="18"/>
  <c r="J109" i="18"/>
  <c r="I112" i="18"/>
  <c r="F113" i="18"/>
  <c r="K114" i="18"/>
  <c r="H115" i="18"/>
  <c r="E116" i="18"/>
  <c r="J117" i="18"/>
  <c r="I120" i="18"/>
  <c r="F121" i="18"/>
  <c r="K122" i="18"/>
  <c r="H123" i="18"/>
  <c r="E124" i="18"/>
  <c r="J125" i="18"/>
  <c r="I128" i="18"/>
  <c r="F129" i="18"/>
  <c r="K130" i="18"/>
  <c r="H131" i="18"/>
  <c r="E132" i="18"/>
  <c r="J133" i="18"/>
  <c r="I136" i="18"/>
  <c r="F137" i="18"/>
  <c r="K138" i="18"/>
  <c r="H139" i="18"/>
  <c r="E140" i="18"/>
  <c r="J141" i="18"/>
  <c r="I144" i="18"/>
  <c r="F145" i="18"/>
  <c r="K146" i="18"/>
  <c r="H147" i="18"/>
  <c r="E148" i="18"/>
  <c r="J149" i="18"/>
  <c r="I152" i="18"/>
  <c r="F153" i="18"/>
  <c r="K154" i="18"/>
  <c r="H155" i="18"/>
  <c r="E156" i="18"/>
  <c r="J157" i="18"/>
  <c r="I160" i="18"/>
  <c r="F161" i="18"/>
  <c r="K162" i="18"/>
  <c r="H163" i="18"/>
  <c r="E164" i="18"/>
  <c r="J165" i="18"/>
  <c r="I168" i="18"/>
  <c r="F169" i="18"/>
  <c r="K170" i="18"/>
  <c r="H171" i="18"/>
  <c r="E172" i="18"/>
  <c r="J173" i="18"/>
  <c r="I176" i="18"/>
  <c r="F177" i="18"/>
  <c r="K178" i="18"/>
  <c r="H179" i="18"/>
  <c r="E180" i="18"/>
  <c r="J181" i="18"/>
  <c r="I184" i="18"/>
  <c r="F185" i="18"/>
  <c r="K186" i="18"/>
  <c r="H187" i="18"/>
  <c r="E188" i="18"/>
  <c r="J189" i="18"/>
  <c r="I192" i="18"/>
  <c r="F193" i="18"/>
  <c r="K194" i="18"/>
  <c r="H195" i="18"/>
  <c r="E196" i="18"/>
  <c r="J197" i="18"/>
  <c r="I200" i="18"/>
  <c r="F201" i="18"/>
  <c r="K202" i="18"/>
  <c r="H203" i="18"/>
  <c r="E204" i="18"/>
  <c r="J205" i="18"/>
  <c r="I208" i="18"/>
  <c r="F209" i="18"/>
  <c r="K210" i="18"/>
  <c r="H211" i="18"/>
  <c r="E212" i="18"/>
  <c r="J213" i="18"/>
  <c r="I216" i="18"/>
  <c r="F217" i="18"/>
  <c r="K218" i="18"/>
  <c r="H219" i="18"/>
  <c r="E220" i="18"/>
  <c r="J221" i="18"/>
  <c r="I224" i="18"/>
  <c r="H225" i="18"/>
  <c r="F226" i="18"/>
  <c r="J228" i="18"/>
  <c r="E230" i="18"/>
  <c r="I232" i="18"/>
  <c r="H233" i="18"/>
  <c r="F234" i="18"/>
  <c r="J236" i="18"/>
  <c r="E238" i="18"/>
  <c r="I240" i="18"/>
  <c r="H241" i="18"/>
  <c r="F242" i="18"/>
  <c r="J244" i="18"/>
  <c r="E246" i="18"/>
  <c r="I248" i="18"/>
  <c r="H249" i="18"/>
  <c r="F250" i="18"/>
  <c r="J252" i="18"/>
  <c r="E254" i="18"/>
  <c r="I256" i="18"/>
  <c r="H257" i="18"/>
  <c r="F258" i="18"/>
  <c r="J260" i="18"/>
  <c r="E262" i="18"/>
  <c r="I264" i="18"/>
  <c r="H265" i="18"/>
  <c r="F266" i="18"/>
  <c r="J268" i="18"/>
  <c r="E270" i="18"/>
  <c r="I272" i="18"/>
  <c r="H273" i="18"/>
  <c r="F274" i="18"/>
  <c r="J276" i="18"/>
  <c r="E278" i="18"/>
  <c r="I280" i="18"/>
  <c r="H281" i="18"/>
  <c r="F282" i="18"/>
  <c r="J284" i="18"/>
  <c r="K289" i="18"/>
  <c r="J290" i="18"/>
  <c r="H292" i="18"/>
  <c r="F293" i="18"/>
  <c r="K297" i="18"/>
  <c r="K298" i="18"/>
  <c r="J308" i="18"/>
  <c r="F757" i="18"/>
  <c r="J761" i="18"/>
  <c r="F765" i="18"/>
  <c r="J769" i="18"/>
  <c r="F773" i="18"/>
  <c r="J777" i="18"/>
  <c r="F781" i="18"/>
  <c r="J785" i="18"/>
  <c r="F789" i="18"/>
  <c r="J793" i="18"/>
  <c r="F797" i="18"/>
  <c r="J805" i="18"/>
  <c r="K928" i="18"/>
  <c r="E747" i="18"/>
  <c r="E739" i="18"/>
  <c r="E731" i="18"/>
  <c r="E723" i="18"/>
  <c r="E715" i="18"/>
  <c r="E707" i="18"/>
  <c r="E699" i="18"/>
  <c r="E691" i="18"/>
  <c r="E683" i="18"/>
  <c r="E675" i="18"/>
  <c r="E667" i="18"/>
  <c r="E659" i="18"/>
  <c r="E651" i="18"/>
  <c r="E643" i="18"/>
  <c r="E635" i="18"/>
  <c r="E627" i="18"/>
  <c r="E619" i="18"/>
  <c r="E611" i="18"/>
  <c r="E603" i="18"/>
  <c r="E595" i="18"/>
  <c r="E587" i="18"/>
  <c r="E579" i="18"/>
  <c r="E571" i="18"/>
  <c r="E563" i="18"/>
  <c r="E555" i="18"/>
  <c r="E547" i="18"/>
  <c r="E539" i="18"/>
  <c r="E531" i="18"/>
  <c r="E523" i="18"/>
  <c r="E515" i="18"/>
  <c r="E507" i="18"/>
  <c r="E499" i="18"/>
  <c r="E491" i="18"/>
  <c r="E483" i="18"/>
  <c r="E475" i="18"/>
  <c r="E467" i="18"/>
  <c r="E459" i="18"/>
  <c r="E451" i="18"/>
  <c r="E443" i="18"/>
  <c r="E435" i="18"/>
  <c r="E427" i="18"/>
  <c r="E419" i="18"/>
  <c r="E411" i="18"/>
  <c r="E403" i="18"/>
  <c r="E392" i="18"/>
  <c r="E384" i="18"/>
  <c r="E376" i="18"/>
  <c r="E368" i="18"/>
  <c r="E360" i="18"/>
  <c r="E352" i="18"/>
  <c r="E344" i="18"/>
  <c r="E336" i="18"/>
  <c r="E328" i="18"/>
  <c r="E320" i="18"/>
  <c r="E312" i="18"/>
  <c r="E304" i="18"/>
  <c r="E752" i="18"/>
  <c r="E744" i="18"/>
  <c r="E736" i="18"/>
  <c r="E728" i="18"/>
  <c r="E720" i="18"/>
  <c r="E712" i="18"/>
  <c r="E704" i="18"/>
  <c r="E696" i="18"/>
  <c r="E688" i="18"/>
  <c r="E680" i="18"/>
  <c r="E672" i="18"/>
  <c r="E664" i="18"/>
  <c r="E656" i="18"/>
  <c r="E648" i="18"/>
  <c r="E640" i="18"/>
  <c r="E632" i="18"/>
  <c r="E624" i="18"/>
  <c r="E616" i="18"/>
  <c r="E608" i="18"/>
  <c r="E600" i="18"/>
  <c r="E592" i="18"/>
  <c r="E584" i="18"/>
  <c r="E576" i="18"/>
  <c r="E568" i="18"/>
  <c r="E560" i="18"/>
  <c r="E552" i="18"/>
  <c r="E544" i="18"/>
  <c r="E536" i="18"/>
  <c r="E528" i="18"/>
  <c r="E520" i="18"/>
  <c r="E512" i="18"/>
  <c r="E504" i="18"/>
  <c r="E496" i="18"/>
  <c r="E488" i="18"/>
  <c r="E480" i="18"/>
  <c r="E472" i="18"/>
  <c r="E464" i="18"/>
  <c r="E456" i="18"/>
  <c r="E448" i="18"/>
  <c r="E440" i="18"/>
  <c r="E432" i="18"/>
  <c r="E424" i="18"/>
  <c r="E416" i="18"/>
  <c r="E408" i="18"/>
  <c r="E397" i="18"/>
  <c r="E389" i="18"/>
  <c r="E381" i="18"/>
  <c r="E373" i="18"/>
  <c r="E365" i="18"/>
  <c r="E357" i="18"/>
  <c r="E349" i="18"/>
  <c r="E341" i="18"/>
  <c r="E333" i="18"/>
  <c r="E325" i="18"/>
  <c r="E317" i="18"/>
  <c r="E309" i="18"/>
  <c r="E301" i="18"/>
  <c r="E749" i="18"/>
  <c r="E741" i="18"/>
  <c r="E733" i="18"/>
  <c r="E725" i="18"/>
  <c r="E717" i="18"/>
  <c r="E709" i="18"/>
  <c r="E701" i="18"/>
  <c r="E693" i="18"/>
  <c r="E685" i="18"/>
  <c r="E677" i="18"/>
  <c r="E669" i="18"/>
  <c r="E661" i="18"/>
  <c r="E653" i="18"/>
  <c r="E645" i="18"/>
  <c r="E637" i="18"/>
  <c r="E629" i="18"/>
  <c r="E621" i="18"/>
  <c r="E613" i="18"/>
  <c r="E605" i="18"/>
  <c r="E597" i="18"/>
  <c r="E589" i="18"/>
  <c r="E581" i="18"/>
  <c r="E573" i="18"/>
  <c r="E565" i="18"/>
  <c r="E557" i="18"/>
  <c r="E549" i="18"/>
  <c r="E541" i="18"/>
  <c r="E533" i="18"/>
  <c r="E525" i="18"/>
  <c r="E517" i="18"/>
  <c r="E509" i="18"/>
  <c r="E501" i="18"/>
  <c r="E493" i="18"/>
  <c r="E485" i="18"/>
  <c r="E477" i="18"/>
  <c r="E469" i="18"/>
  <c r="E461" i="18"/>
  <c r="E453" i="18"/>
  <c r="E445" i="18"/>
  <c r="E437" i="18"/>
  <c r="E429" i="18"/>
  <c r="E421" i="18"/>
  <c r="E413" i="18"/>
  <c r="E405" i="18"/>
  <c r="E394" i="18"/>
  <c r="E386" i="18"/>
  <c r="E378" i="18"/>
  <c r="E370" i="18"/>
  <c r="E362" i="18"/>
  <c r="E354" i="18"/>
  <c r="E346" i="18"/>
  <c r="E338" i="18"/>
  <c r="E330" i="18"/>
  <c r="E322" i="18"/>
  <c r="E314" i="18"/>
  <c r="E306" i="18"/>
  <c r="E298" i="18"/>
  <c r="E290" i="18"/>
  <c r="E746" i="18"/>
  <c r="E738" i="18"/>
  <c r="E730" i="18"/>
  <c r="E722" i="18"/>
  <c r="E714" i="18"/>
  <c r="E706" i="18"/>
  <c r="E698" i="18"/>
  <c r="E690" i="18"/>
  <c r="E682" i="18"/>
  <c r="E674" i="18"/>
  <c r="E666" i="18"/>
  <c r="E658" i="18"/>
  <c r="E650" i="18"/>
  <c r="E642" i="18"/>
  <c r="E634" i="18"/>
  <c r="E626" i="18"/>
  <c r="E618" i="18"/>
  <c r="E610" i="18"/>
  <c r="E602" i="18"/>
  <c r="E594" i="18"/>
  <c r="E586" i="18"/>
  <c r="E578" i="18"/>
  <c r="E570" i="18"/>
  <c r="E562" i="18"/>
  <c r="E554" i="18"/>
  <c r="E546" i="18"/>
  <c r="E538" i="18"/>
  <c r="E530" i="18"/>
  <c r="E522" i="18"/>
  <c r="E514" i="18"/>
  <c r="E506" i="18"/>
  <c r="E498" i="18"/>
  <c r="E490" i="18"/>
  <c r="E482" i="18"/>
  <c r="E474" i="18"/>
  <c r="E466" i="18"/>
  <c r="E458" i="18"/>
  <c r="E450" i="18"/>
  <c r="E442" i="18"/>
  <c r="E434" i="18"/>
  <c r="E426" i="18"/>
  <c r="E418" i="18"/>
  <c r="E410" i="18"/>
  <c r="E402" i="18"/>
  <c r="E391" i="18"/>
  <c r="E383" i="18"/>
  <c r="E375" i="18"/>
  <c r="E367" i="18"/>
  <c r="E359" i="18"/>
  <c r="E351" i="18"/>
  <c r="E343" i="18"/>
  <c r="E335" i="18"/>
  <c r="E327" i="18"/>
  <c r="E319" i="18"/>
  <c r="E311" i="18"/>
  <c r="E303" i="18"/>
  <c r="E295" i="18"/>
  <c r="E287" i="18"/>
  <c r="E279" i="18"/>
  <c r="E271" i="18"/>
  <c r="E263" i="18"/>
  <c r="E255" i="18"/>
  <c r="E247" i="18"/>
  <c r="E239" i="18"/>
  <c r="E231" i="18"/>
  <c r="E751" i="18"/>
  <c r="E743" i="18"/>
  <c r="E735" i="18"/>
  <c r="E727" i="18"/>
  <c r="E719" i="18"/>
  <c r="E711" i="18"/>
  <c r="E703" i="18"/>
  <c r="E695" i="18"/>
  <c r="E687" i="18"/>
  <c r="E679" i="18"/>
  <c r="E671" i="18"/>
  <c r="E663" i="18"/>
  <c r="E655" i="18"/>
  <c r="E647" i="18"/>
  <c r="E639" i="18"/>
  <c r="E631" i="18"/>
  <c r="E623" i="18"/>
  <c r="E615" i="18"/>
  <c r="E607" i="18"/>
  <c r="E599" i="18"/>
  <c r="E591" i="18"/>
  <c r="E583" i="18"/>
  <c r="E575" i="18"/>
  <c r="E567" i="18"/>
  <c r="E559" i="18"/>
  <c r="E551" i="18"/>
  <c r="E543" i="18"/>
  <c r="E535" i="18"/>
  <c r="E527" i="18"/>
  <c r="E519" i="18"/>
  <c r="E511" i="18"/>
  <c r="E503" i="18"/>
  <c r="E495" i="18"/>
  <c r="E487" i="18"/>
  <c r="E479" i="18"/>
  <c r="E471" i="18"/>
  <c r="E463" i="18"/>
  <c r="E455" i="18"/>
  <c r="E447" i="18"/>
  <c r="E439" i="18"/>
  <c r="E431" i="18"/>
  <c r="E423" i="18"/>
  <c r="E415" i="18"/>
  <c r="E407" i="18"/>
  <c r="E396" i="18"/>
  <c r="E388" i="18"/>
  <c r="E380" i="18"/>
  <c r="E372" i="18"/>
  <c r="E364" i="18"/>
  <c r="E356" i="18"/>
  <c r="E348" i="18"/>
  <c r="E340" i="18"/>
  <c r="E332" i="18"/>
  <c r="E324" i="18"/>
  <c r="E316" i="18"/>
  <c r="E308" i="18"/>
  <c r="E748" i="18"/>
  <c r="E740" i="18"/>
  <c r="E732" i="18"/>
  <c r="E724" i="18"/>
  <c r="E716" i="18"/>
  <c r="E708" i="18"/>
  <c r="E700" i="18"/>
  <c r="E692" i="18"/>
  <c r="E684" i="18"/>
  <c r="E676" i="18"/>
  <c r="E668" i="18"/>
  <c r="E660" i="18"/>
  <c r="E652" i="18"/>
  <c r="E644" i="18"/>
  <c r="E636" i="18"/>
  <c r="E628" i="18"/>
  <c r="E620" i="18"/>
  <c r="E612" i="18"/>
  <c r="E604" i="18"/>
  <c r="E596" i="18"/>
  <c r="E588" i="18"/>
  <c r="E580" i="18"/>
  <c r="E572" i="18"/>
  <c r="E564" i="18"/>
  <c r="E556" i="18"/>
  <c r="E548" i="18"/>
  <c r="E540" i="18"/>
  <c r="E532" i="18"/>
  <c r="E524" i="18"/>
  <c r="E516" i="18"/>
  <c r="E508" i="18"/>
  <c r="E500" i="18"/>
  <c r="E492" i="18"/>
  <c r="E484" i="18"/>
  <c r="E476" i="18"/>
  <c r="E468" i="18"/>
  <c r="E460" i="18"/>
  <c r="E452" i="18"/>
  <c r="E444" i="18"/>
  <c r="E436" i="18"/>
  <c r="E428" i="18"/>
  <c r="E420" i="18"/>
  <c r="E412" i="18"/>
  <c r="E404" i="18"/>
  <c r="E393" i="18"/>
  <c r="E385" i="18"/>
  <c r="E377" i="18"/>
  <c r="E369" i="18"/>
  <c r="E361" i="18"/>
  <c r="E353" i="18"/>
  <c r="E345" i="18"/>
  <c r="E337" i="18"/>
  <c r="E329" i="18"/>
  <c r="E321" i="18"/>
  <c r="E313" i="18"/>
  <c r="E745" i="18"/>
  <c r="E737" i="18"/>
  <c r="E729" i="18"/>
  <c r="E721" i="18"/>
  <c r="E713" i="18"/>
  <c r="E705" i="18"/>
  <c r="E697" i="18"/>
  <c r="E689" i="18"/>
  <c r="E681" i="18"/>
  <c r="E673" i="18"/>
  <c r="E665" i="18"/>
  <c r="E657" i="18"/>
  <c r="E649" i="18"/>
  <c r="E641" i="18"/>
  <c r="E633" i="18"/>
  <c r="E625" i="18"/>
  <c r="E617" i="18"/>
  <c r="E609" i="18"/>
  <c r="E601" i="18"/>
  <c r="E593" i="18"/>
  <c r="E585" i="18"/>
  <c r="E577" i="18"/>
  <c r="E569" i="18"/>
  <c r="E561" i="18"/>
  <c r="E553" i="18"/>
  <c r="E545" i="18"/>
  <c r="E537" i="18"/>
  <c r="E529" i="18"/>
  <c r="E521" i="18"/>
  <c r="E513" i="18"/>
  <c r="E505" i="18"/>
  <c r="E497" i="18"/>
  <c r="E489" i="18"/>
  <c r="E481" i="18"/>
  <c r="E473" i="18"/>
  <c r="E465" i="18"/>
  <c r="E457" i="18"/>
  <c r="E449" i="18"/>
  <c r="E441" i="18"/>
  <c r="E433" i="18"/>
  <c r="E425" i="18"/>
  <c r="E417" i="18"/>
  <c r="E409" i="18"/>
  <c r="E398" i="18"/>
  <c r="E390" i="18"/>
  <c r="E382" i="18"/>
  <c r="E374" i="18"/>
  <c r="E366" i="18"/>
  <c r="E358" i="18"/>
  <c r="E350" i="18"/>
  <c r="M1100" i="18"/>
  <c r="M1092" i="18"/>
  <c r="M1084" i="18"/>
  <c r="M1076" i="18"/>
  <c r="M1068" i="18"/>
  <c r="M1060" i="18"/>
  <c r="M1052" i="18"/>
  <c r="M1044" i="18"/>
  <c r="M1036" i="18"/>
  <c r="M1028" i="18"/>
  <c r="M1020" i="18"/>
  <c r="M1012" i="18"/>
  <c r="M1102" i="18"/>
  <c r="M1094" i="18"/>
  <c r="M1086" i="18"/>
  <c r="M1078" i="18"/>
  <c r="M1070" i="18"/>
  <c r="M1062" i="18"/>
  <c r="M1054" i="18"/>
  <c r="M1046" i="18"/>
  <c r="M1038" i="18"/>
  <c r="M1030" i="18"/>
  <c r="M1022" i="18"/>
  <c r="M1014" i="18"/>
  <c r="M1006" i="18"/>
  <c r="M998" i="18"/>
  <c r="M990" i="18"/>
  <c r="M982" i="18"/>
  <c r="M1101" i="18"/>
  <c r="M1093" i="18"/>
  <c r="M1085" i="18"/>
  <c r="M1077" i="18"/>
  <c r="M1069" i="18"/>
  <c r="M1061" i="18"/>
  <c r="M1053" i="18"/>
  <c r="M1045" i="18"/>
  <c r="M1037" i="18"/>
  <c r="M1029" i="18"/>
  <c r="M1021" i="18"/>
  <c r="M1013" i="18"/>
  <c r="M1104" i="18"/>
  <c r="M1096" i="18"/>
  <c r="M1099" i="18"/>
  <c r="M1098" i="18"/>
  <c r="M1089" i="18"/>
  <c r="M1005" i="18"/>
  <c r="M1004" i="18"/>
  <c r="M1003" i="18"/>
  <c r="M1002" i="18"/>
  <c r="M1001" i="18"/>
  <c r="M1000" i="18"/>
  <c r="M999" i="18"/>
  <c r="M997" i="18"/>
  <c r="M996" i="18"/>
  <c r="M995" i="18"/>
  <c r="M994" i="18"/>
  <c r="M993" i="18"/>
  <c r="M992" i="18"/>
  <c r="M991" i="18"/>
  <c r="M989" i="18"/>
  <c r="M988" i="18"/>
  <c r="M987" i="18"/>
  <c r="M986" i="18"/>
  <c r="M985" i="18"/>
  <c r="M984" i="18"/>
  <c r="M983" i="18"/>
  <c r="M981" i="18"/>
  <c r="M980" i="18"/>
  <c r="M979" i="18"/>
  <c r="M978" i="18"/>
  <c r="M977" i="18"/>
  <c r="M969" i="18"/>
  <c r="M961" i="18"/>
  <c r="M953" i="18"/>
  <c r="M945" i="18"/>
  <c r="M937" i="18"/>
  <c r="M929" i="18"/>
  <c r="M921" i="18"/>
  <c r="M913" i="18"/>
  <c r="M905" i="18"/>
  <c r="M897" i="18"/>
  <c r="M889" i="18"/>
  <c r="M881" i="18"/>
  <c r="M1095" i="18"/>
  <c r="M1087" i="18"/>
  <c r="M1083" i="18"/>
  <c r="M1079" i="18"/>
  <c r="M1075" i="18"/>
  <c r="M1071" i="18"/>
  <c r="M1067" i="18"/>
  <c r="M1063" i="18"/>
  <c r="M1059" i="18"/>
  <c r="M1055" i="18"/>
  <c r="M1051" i="18"/>
  <c r="M1047" i="18"/>
  <c r="M1043" i="18"/>
  <c r="M1039" i="18"/>
  <c r="M1035" i="18"/>
  <c r="M1031" i="18"/>
  <c r="M1027" i="18"/>
  <c r="M1023" i="18"/>
  <c r="M1019" i="18"/>
  <c r="M1015" i="18"/>
  <c r="M1011" i="18"/>
  <c r="M1007" i="18"/>
  <c r="M974" i="18"/>
  <c r="M966" i="18"/>
  <c r="M958" i="18"/>
  <c r="M950" i="18"/>
  <c r="M942" i="18"/>
  <c r="M934" i="18"/>
  <c r="M926" i="18"/>
  <c r="M918" i="18"/>
  <c r="M910" i="18"/>
  <c r="M902" i="18"/>
  <c r="M894" i="18"/>
  <c r="M886" i="18"/>
  <c r="M878" i="18"/>
  <c r="M1091" i="18"/>
  <c r="M1090" i="18"/>
  <c r="M971" i="18"/>
  <c r="M963" i="18"/>
  <c r="M955" i="18"/>
  <c r="M947" i="18"/>
  <c r="M939" i="18"/>
  <c r="M931" i="18"/>
  <c r="M923" i="18"/>
  <c r="M915" i="18"/>
  <c r="M907" i="18"/>
  <c r="M899" i="18"/>
  <c r="M891" i="18"/>
  <c r="M883" i="18"/>
  <c r="M875" i="18"/>
  <c r="M867" i="18"/>
  <c r="M1082" i="18"/>
  <c r="M1074" i="18"/>
  <c r="M1066" i="18"/>
  <c r="M1058" i="18"/>
  <c r="M1050" i="18"/>
  <c r="M1042" i="18"/>
  <c r="M1034" i="18"/>
  <c r="M1026" i="18"/>
  <c r="M1018" i="18"/>
  <c r="M1010" i="18"/>
  <c r="M976" i="18"/>
  <c r="M968" i="18"/>
  <c r="M960" i="18"/>
  <c r="M952" i="18"/>
  <c r="M944" i="18"/>
  <c r="M936" i="18"/>
  <c r="M928" i="18"/>
  <c r="M920" i="18"/>
  <c r="M912" i="18"/>
  <c r="M904" i="18"/>
  <c r="M896" i="18"/>
  <c r="M888" i="18"/>
  <c r="M880" i="18"/>
  <c r="M872" i="18"/>
  <c r="M864" i="18"/>
  <c r="M973" i="18"/>
  <c r="M965" i="18"/>
  <c r="M957" i="18"/>
  <c r="M949" i="18"/>
  <c r="M941" i="18"/>
  <c r="M933" i="18"/>
  <c r="M925" i="18"/>
  <c r="M917" i="18"/>
  <c r="M909" i="18"/>
  <c r="M901" i="18"/>
  <c r="M893" i="18"/>
  <c r="M885" i="18"/>
  <c r="M877" i="18"/>
  <c r="M869" i="18"/>
  <c r="M1105" i="18"/>
  <c r="M1097" i="18"/>
  <c r="M975" i="18"/>
  <c r="M967" i="18"/>
  <c r="M959" i="18"/>
  <c r="M951" i="18"/>
  <c r="M943" i="18"/>
  <c r="M935" i="18"/>
  <c r="M927" i="18"/>
  <c r="M919" i="18"/>
  <c r="M911" i="18"/>
  <c r="M903" i="18"/>
  <c r="M895" i="18"/>
  <c r="M887" i="18"/>
  <c r="M879" i="18"/>
  <c r="M871" i="18"/>
  <c r="M863" i="18"/>
  <c r="M855" i="18"/>
  <c r="M847" i="18"/>
  <c r="M874" i="18"/>
  <c r="M866" i="18"/>
  <c r="M836" i="18"/>
  <c r="M828" i="18"/>
  <c r="M820" i="18"/>
  <c r="M972" i="18"/>
  <c r="M964" i="18"/>
  <c r="M956" i="18"/>
  <c r="M948" i="18"/>
  <c r="M940" i="18"/>
  <c r="M932" i="18"/>
  <c r="M924" i="18"/>
  <c r="M916" i="18"/>
  <c r="M908" i="18"/>
  <c r="M900" i="18"/>
  <c r="M892" i="18"/>
  <c r="M884" i="18"/>
  <c r="M841" i="18"/>
  <c r="M833" i="18"/>
  <c r="M876" i="18"/>
  <c r="M868" i="18"/>
  <c r="M838" i="18"/>
  <c r="M830" i="18"/>
  <c r="M822" i="18"/>
  <c r="M814" i="18"/>
  <c r="M806" i="18"/>
  <c r="M970" i="18"/>
  <c r="M962" i="18"/>
  <c r="M954" i="18"/>
  <c r="M946" i="18"/>
  <c r="M938" i="18"/>
  <c r="M930" i="18"/>
  <c r="M922" i="18"/>
  <c r="M914" i="18"/>
  <c r="M906" i="18"/>
  <c r="M898" i="18"/>
  <c r="M890" i="18"/>
  <c r="M882" i="18"/>
  <c r="M870" i="18"/>
  <c r="M840" i="18"/>
  <c r="M1088" i="18"/>
  <c r="M1081" i="18"/>
  <c r="M1080" i="18"/>
  <c r="M1073" i="18"/>
  <c r="M1072" i="18"/>
  <c r="M1065" i="18"/>
  <c r="M1064" i="18"/>
  <c r="M1057" i="18"/>
  <c r="M1056" i="18"/>
  <c r="M1049" i="18"/>
  <c r="M1048" i="18"/>
  <c r="M1041" i="18"/>
  <c r="M1040" i="18"/>
  <c r="M1033" i="18"/>
  <c r="M1032" i="18"/>
  <c r="M1025" i="18"/>
  <c r="M1024" i="18"/>
  <c r="M1017" i="18"/>
  <c r="M1016" i="18"/>
  <c r="M1009" i="18"/>
  <c r="M1008" i="18"/>
  <c r="M842" i="18"/>
  <c r="M834" i="18"/>
  <c r="M826" i="18"/>
  <c r="M818" i="18"/>
  <c r="M810" i="18"/>
  <c r="M1103" i="18"/>
  <c r="M873" i="18"/>
  <c r="M865" i="18"/>
  <c r="M839" i="18"/>
  <c r="M831" i="18"/>
  <c r="M823" i="18"/>
  <c r="M815" i="18"/>
  <c r="M807" i="18"/>
  <c r="M799" i="18"/>
  <c r="M861" i="18"/>
  <c r="M853" i="18"/>
  <c r="M845" i="18"/>
  <c r="M844" i="18"/>
  <c r="M843" i="18"/>
  <c r="M829" i="18"/>
  <c r="M821" i="18"/>
  <c r="M813" i="18"/>
  <c r="M812" i="18"/>
  <c r="M808" i="18"/>
  <c r="M804" i="18"/>
  <c r="M802" i="18"/>
  <c r="M801" i="18"/>
  <c r="M800" i="18"/>
  <c r="M798" i="18"/>
  <c r="M797" i="18"/>
  <c r="M789" i="18"/>
  <c r="M781" i="18"/>
  <c r="M773" i="18"/>
  <c r="M765" i="18"/>
  <c r="M757" i="18"/>
  <c r="M856" i="18"/>
  <c r="M848" i="18"/>
  <c r="M794" i="18"/>
  <c r="M786" i="18"/>
  <c r="M778" i="18"/>
  <c r="M770" i="18"/>
  <c r="M762" i="18"/>
  <c r="M859" i="18"/>
  <c r="M851" i="18"/>
  <c r="M811" i="18"/>
  <c r="M803" i="18"/>
  <c r="M791" i="18"/>
  <c r="M783" i="18"/>
  <c r="M775" i="18"/>
  <c r="M767" i="18"/>
  <c r="M759" i="18"/>
  <c r="M862" i="18"/>
  <c r="M854" i="18"/>
  <c r="M846" i="18"/>
  <c r="M832" i="18"/>
  <c r="M824" i="18"/>
  <c r="M816" i="18"/>
  <c r="M796" i="18"/>
  <c r="M788" i="18"/>
  <c r="M780" i="18"/>
  <c r="M772" i="18"/>
  <c r="M764" i="18"/>
  <c r="M756" i="18"/>
  <c r="M857" i="18"/>
  <c r="M849" i="18"/>
  <c r="M825" i="18"/>
  <c r="M817" i="18"/>
  <c r="M793" i="18"/>
  <c r="M785" i="18"/>
  <c r="M777" i="18"/>
  <c r="M769" i="18"/>
  <c r="M761" i="18"/>
  <c r="M860" i="18"/>
  <c r="M852" i="18"/>
  <c r="M835" i="18"/>
  <c r="M790" i="18"/>
  <c r="M782" i="18"/>
  <c r="M774" i="18"/>
  <c r="M766" i="18"/>
  <c r="M758" i="18"/>
  <c r="M837" i="18"/>
  <c r="M827" i="18"/>
  <c r="M819" i="18"/>
  <c r="M809" i="18"/>
  <c r="M805" i="18"/>
  <c r="M795" i="18"/>
  <c r="M787" i="18"/>
  <c r="M779" i="18"/>
  <c r="M771" i="18"/>
  <c r="M763" i="18"/>
  <c r="M755" i="18"/>
  <c r="J48" i="18"/>
  <c r="I51" i="18"/>
  <c r="F52" i="18"/>
  <c r="H54" i="18"/>
  <c r="E55" i="18"/>
  <c r="J56" i="18"/>
  <c r="I59" i="18"/>
  <c r="F60" i="18"/>
  <c r="H62" i="18"/>
  <c r="E63" i="18"/>
  <c r="J64" i="18"/>
  <c r="I67" i="18"/>
  <c r="F68" i="18"/>
  <c r="H70" i="18"/>
  <c r="E71" i="18"/>
  <c r="J72" i="18"/>
  <c r="I75" i="18"/>
  <c r="F76" i="18"/>
  <c r="H78" i="18"/>
  <c r="E79" i="18"/>
  <c r="J80" i="18"/>
  <c r="I83" i="18"/>
  <c r="F84" i="18"/>
  <c r="K85" i="18"/>
  <c r="H86" i="18"/>
  <c r="E87" i="18"/>
  <c r="J88" i="18"/>
  <c r="I91" i="18"/>
  <c r="F92" i="18"/>
  <c r="K93" i="18"/>
  <c r="H94" i="18"/>
  <c r="E95" i="18"/>
  <c r="J96" i="18"/>
  <c r="I99" i="18"/>
  <c r="F100" i="18"/>
  <c r="K101" i="18"/>
  <c r="H102" i="18"/>
  <c r="E103" i="18"/>
  <c r="J104" i="18"/>
  <c r="I107" i="18"/>
  <c r="F108" i="18"/>
  <c r="K109" i="18"/>
  <c r="H110" i="18"/>
  <c r="E111" i="18"/>
  <c r="J112" i="18"/>
  <c r="I115" i="18"/>
  <c r="F116" i="18"/>
  <c r="K117" i="18"/>
  <c r="H118" i="18"/>
  <c r="E119" i="18"/>
  <c r="J120" i="18"/>
  <c r="I123" i="18"/>
  <c r="F124" i="18"/>
  <c r="K125" i="18"/>
  <c r="H126" i="18"/>
  <c r="E127" i="18"/>
  <c r="J128" i="18"/>
  <c r="I131" i="18"/>
  <c r="F132" i="18"/>
  <c r="K133" i="18"/>
  <c r="H134" i="18"/>
  <c r="E135" i="18"/>
  <c r="J136" i="18"/>
  <c r="I139" i="18"/>
  <c r="F140" i="18"/>
  <c r="K141" i="18"/>
  <c r="H142" i="18"/>
  <c r="E143" i="18"/>
  <c r="J144" i="18"/>
  <c r="I147" i="18"/>
  <c r="F148" i="18"/>
  <c r="K149" i="18"/>
  <c r="H150" i="18"/>
  <c r="E151" i="18"/>
  <c r="J152" i="18"/>
  <c r="I155" i="18"/>
  <c r="F156" i="18"/>
  <c r="K157" i="18"/>
  <c r="H158" i="18"/>
  <c r="E159" i="18"/>
  <c r="J160" i="18"/>
  <c r="I163" i="18"/>
  <c r="F164" i="18"/>
  <c r="K165" i="18"/>
  <c r="H166" i="18"/>
  <c r="E167" i="18"/>
  <c r="J168" i="18"/>
  <c r="I171" i="18"/>
  <c r="F172" i="18"/>
  <c r="K173" i="18"/>
  <c r="H174" i="18"/>
  <c r="E175" i="18"/>
  <c r="J176" i="18"/>
  <c r="I179" i="18"/>
  <c r="F180" i="18"/>
  <c r="K181" i="18"/>
  <c r="H182" i="18"/>
  <c r="E183" i="18"/>
  <c r="J184" i="18"/>
  <c r="I187" i="18"/>
  <c r="F188" i="18"/>
  <c r="K189" i="18"/>
  <c r="H190" i="18"/>
  <c r="E191" i="18"/>
  <c r="J192" i="18"/>
  <c r="I195" i="18"/>
  <c r="F196" i="18"/>
  <c r="K197" i="18"/>
  <c r="H198" i="18"/>
  <c r="E199" i="18"/>
  <c r="J200" i="18"/>
  <c r="I203" i="18"/>
  <c r="F204" i="18"/>
  <c r="K205" i="18"/>
  <c r="H206" i="18"/>
  <c r="E207" i="18"/>
  <c r="J208" i="18"/>
  <c r="I211" i="18"/>
  <c r="F212" i="18"/>
  <c r="K213" i="18"/>
  <c r="H214" i="18"/>
  <c r="E215" i="18"/>
  <c r="J216" i="18"/>
  <c r="I219" i="18"/>
  <c r="F220" i="18"/>
  <c r="K221" i="18"/>
  <c r="H222" i="18"/>
  <c r="E223" i="18"/>
  <c r="K224" i="18"/>
  <c r="I225" i="18"/>
  <c r="K228" i="18"/>
  <c r="H229" i="18"/>
  <c r="F230" i="18"/>
  <c r="K232" i="18"/>
  <c r="I233" i="18"/>
  <c r="K236" i="18"/>
  <c r="H237" i="18"/>
  <c r="F238" i="18"/>
  <c r="K240" i="18"/>
  <c r="I241" i="18"/>
  <c r="K244" i="18"/>
  <c r="H245" i="18"/>
  <c r="F246" i="18"/>
  <c r="K248" i="18"/>
  <c r="I249" i="18"/>
  <c r="K252" i="18"/>
  <c r="H253" i="18"/>
  <c r="F254" i="18"/>
  <c r="K256" i="18"/>
  <c r="I257" i="18"/>
  <c r="K260" i="18"/>
  <c r="H261" i="18"/>
  <c r="F262" i="18"/>
  <c r="K264" i="18"/>
  <c r="I265" i="18"/>
  <c r="K268" i="18"/>
  <c r="H269" i="18"/>
  <c r="F270" i="18"/>
  <c r="K272" i="18"/>
  <c r="I273" i="18"/>
  <c r="K276" i="18"/>
  <c r="H277" i="18"/>
  <c r="F278" i="18"/>
  <c r="K280" i="18"/>
  <c r="I281" i="18"/>
  <c r="K284" i="18"/>
  <c r="H285" i="18"/>
  <c r="K290" i="18"/>
  <c r="H291" i="18"/>
  <c r="I292" i="18"/>
  <c r="E294" i="18"/>
  <c r="I303" i="18"/>
  <c r="H304" i="18"/>
  <c r="E307" i="18"/>
  <c r="K308" i="18"/>
  <c r="I311" i="18"/>
  <c r="H314" i="18"/>
  <c r="H317" i="18"/>
  <c r="H322" i="18"/>
  <c r="H325" i="18"/>
  <c r="H330" i="18"/>
  <c r="H333" i="18"/>
  <c r="H338" i="18"/>
  <c r="H341" i="18"/>
  <c r="H346" i="18"/>
  <c r="F752" i="18"/>
  <c r="F744" i="18"/>
  <c r="F736" i="18"/>
  <c r="F728" i="18"/>
  <c r="F720" i="18"/>
  <c r="F712" i="18"/>
  <c r="F704" i="18"/>
  <c r="F696" i="18"/>
  <c r="F688" i="18"/>
  <c r="F680" i="18"/>
  <c r="F672" i="18"/>
  <c r="F664" i="18"/>
  <c r="F656" i="18"/>
  <c r="F648" i="18"/>
  <c r="F640" i="18"/>
  <c r="F632" i="18"/>
  <c r="F624" i="18"/>
  <c r="F616" i="18"/>
  <c r="F608" i="18"/>
  <c r="F600" i="18"/>
  <c r="F592" i="18"/>
  <c r="F584" i="18"/>
  <c r="F576" i="18"/>
  <c r="F568" i="18"/>
  <c r="F560" i="18"/>
  <c r="F552" i="18"/>
  <c r="F544" i="18"/>
  <c r="F536" i="18"/>
  <c r="F528" i="18"/>
  <c r="F520" i="18"/>
  <c r="F512" i="18"/>
  <c r="F504" i="18"/>
  <c r="F496" i="18"/>
  <c r="F488" i="18"/>
  <c r="F480" i="18"/>
  <c r="F472" i="18"/>
  <c r="F464" i="18"/>
  <c r="F456" i="18"/>
  <c r="F448" i="18"/>
  <c r="F440" i="18"/>
  <c r="F432" i="18"/>
  <c r="F424" i="18"/>
  <c r="F416" i="18"/>
  <c r="F408" i="18"/>
  <c r="F397" i="18"/>
  <c r="F389" i="18"/>
  <c r="F381" i="18"/>
  <c r="F373" i="18"/>
  <c r="F365" i="18"/>
  <c r="F357" i="18"/>
  <c r="F349" i="18"/>
  <c r="F341" i="18"/>
  <c r="F333" i="18"/>
  <c r="F325" i="18"/>
  <c r="F317" i="18"/>
  <c r="F309" i="18"/>
  <c r="F301" i="18"/>
  <c r="F749" i="18"/>
  <c r="F741" i="18"/>
  <c r="F733" i="18"/>
  <c r="F725" i="18"/>
  <c r="F717" i="18"/>
  <c r="F709" i="18"/>
  <c r="F701" i="18"/>
  <c r="F693" i="18"/>
  <c r="F685" i="18"/>
  <c r="F677" i="18"/>
  <c r="F669" i="18"/>
  <c r="F661" i="18"/>
  <c r="F653" i="18"/>
  <c r="F645" i="18"/>
  <c r="F637" i="18"/>
  <c r="F629" i="18"/>
  <c r="F621" i="18"/>
  <c r="F613" i="18"/>
  <c r="F605" i="18"/>
  <c r="F597" i="18"/>
  <c r="F589" i="18"/>
  <c r="F581" i="18"/>
  <c r="F573" i="18"/>
  <c r="F565" i="18"/>
  <c r="F557" i="18"/>
  <c r="F549" i="18"/>
  <c r="F541" i="18"/>
  <c r="F533" i="18"/>
  <c r="F525" i="18"/>
  <c r="F517" i="18"/>
  <c r="F509" i="18"/>
  <c r="F501" i="18"/>
  <c r="F493" i="18"/>
  <c r="F485" i="18"/>
  <c r="F477" i="18"/>
  <c r="F469" i="18"/>
  <c r="F461" i="18"/>
  <c r="F453" i="18"/>
  <c r="F445" i="18"/>
  <c r="F437" i="18"/>
  <c r="F429" i="18"/>
  <c r="F421" i="18"/>
  <c r="F413" i="18"/>
  <c r="F405" i="18"/>
  <c r="F394" i="18"/>
  <c r="F386" i="18"/>
  <c r="F378" i="18"/>
  <c r="F370" i="18"/>
  <c r="F362" i="18"/>
  <c r="F354" i="18"/>
  <c r="F346" i="18"/>
  <c r="F338" i="18"/>
  <c r="F330" i="18"/>
  <c r="F322" i="18"/>
  <c r="F314" i="18"/>
  <c r="F306" i="18"/>
  <c r="F298" i="18"/>
  <c r="F746" i="18"/>
  <c r="F738" i="18"/>
  <c r="F730" i="18"/>
  <c r="F722" i="18"/>
  <c r="F714" i="18"/>
  <c r="F706" i="18"/>
  <c r="F698" i="18"/>
  <c r="F690" i="18"/>
  <c r="F682" i="18"/>
  <c r="F674" i="18"/>
  <c r="F666" i="18"/>
  <c r="F658" i="18"/>
  <c r="F650" i="18"/>
  <c r="F642" i="18"/>
  <c r="F634" i="18"/>
  <c r="F626" i="18"/>
  <c r="F618" i="18"/>
  <c r="F610" i="18"/>
  <c r="F602" i="18"/>
  <c r="F594" i="18"/>
  <c r="F586" i="18"/>
  <c r="F578" i="18"/>
  <c r="F570" i="18"/>
  <c r="F562" i="18"/>
  <c r="F554" i="18"/>
  <c r="F546" i="18"/>
  <c r="F538" i="18"/>
  <c r="F530" i="18"/>
  <c r="F522" i="18"/>
  <c r="F514" i="18"/>
  <c r="F506" i="18"/>
  <c r="F498" i="18"/>
  <c r="F490" i="18"/>
  <c r="F482" i="18"/>
  <c r="F474" i="18"/>
  <c r="F466" i="18"/>
  <c r="F458" i="18"/>
  <c r="F450" i="18"/>
  <c r="F442" i="18"/>
  <c r="F434" i="18"/>
  <c r="F426" i="18"/>
  <c r="F418" i="18"/>
  <c r="F410" i="18"/>
  <c r="F402" i="18"/>
  <c r="F391" i="18"/>
  <c r="F383" i="18"/>
  <c r="F375" i="18"/>
  <c r="F367" i="18"/>
  <c r="F359" i="18"/>
  <c r="F351" i="18"/>
  <c r="F343" i="18"/>
  <c r="F335" i="18"/>
  <c r="F327" i="18"/>
  <c r="F319" i="18"/>
  <c r="F311" i="18"/>
  <c r="F303" i="18"/>
  <c r="F295" i="18"/>
  <c r="F287" i="18"/>
  <c r="F751" i="18"/>
  <c r="F743" i="18"/>
  <c r="F735" i="18"/>
  <c r="F727" i="18"/>
  <c r="F719" i="18"/>
  <c r="F711" i="18"/>
  <c r="F703" i="18"/>
  <c r="F695" i="18"/>
  <c r="F687" i="18"/>
  <c r="F679" i="18"/>
  <c r="F671" i="18"/>
  <c r="F663" i="18"/>
  <c r="F655" i="18"/>
  <c r="F647" i="18"/>
  <c r="F639" i="18"/>
  <c r="F631" i="18"/>
  <c r="F623" i="18"/>
  <c r="F615" i="18"/>
  <c r="F607" i="18"/>
  <c r="F599" i="18"/>
  <c r="F591" i="18"/>
  <c r="F583" i="18"/>
  <c r="F575" i="18"/>
  <c r="F567" i="18"/>
  <c r="F559" i="18"/>
  <c r="F551" i="18"/>
  <c r="F543" i="18"/>
  <c r="F535" i="18"/>
  <c r="F527" i="18"/>
  <c r="F519" i="18"/>
  <c r="F511" i="18"/>
  <c r="F503" i="18"/>
  <c r="F495" i="18"/>
  <c r="F487" i="18"/>
  <c r="F479" i="18"/>
  <c r="F471" i="18"/>
  <c r="F463" i="18"/>
  <c r="F455" i="18"/>
  <c r="F447" i="18"/>
  <c r="F439" i="18"/>
  <c r="F431" i="18"/>
  <c r="F423" i="18"/>
  <c r="F415" i="18"/>
  <c r="F407" i="18"/>
  <c r="F396" i="18"/>
  <c r="F388" i="18"/>
  <c r="F380" i="18"/>
  <c r="F372" i="18"/>
  <c r="F364" i="18"/>
  <c r="F356" i="18"/>
  <c r="F348" i="18"/>
  <c r="F340" i="18"/>
  <c r="F332" i="18"/>
  <c r="F324" i="18"/>
  <c r="F316" i="18"/>
  <c r="F308" i="18"/>
  <c r="F300" i="18"/>
  <c r="F292" i="18"/>
  <c r="F284" i="18"/>
  <c r="F276" i="18"/>
  <c r="F268" i="18"/>
  <c r="F260" i="18"/>
  <c r="F252" i="18"/>
  <c r="F244" i="18"/>
  <c r="F236" i="18"/>
  <c r="F228" i="18"/>
  <c r="F748" i="18"/>
  <c r="F740" i="18"/>
  <c r="F732" i="18"/>
  <c r="F724" i="18"/>
  <c r="F716" i="18"/>
  <c r="F708" i="18"/>
  <c r="F700" i="18"/>
  <c r="F692" i="18"/>
  <c r="F684" i="18"/>
  <c r="F676" i="18"/>
  <c r="F668" i="18"/>
  <c r="F660" i="18"/>
  <c r="F652" i="18"/>
  <c r="F644" i="18"/>
  <c r="F636" i="18"/>
  <c r="F628" i="18"/>
  <c r="F620" i="18"/>
  <c r="F612" i="18"/>
  <c r="F604" i="18"/>
  <c r="F596" i="18"/>
  <c r="F588" i="18"/>
  <c r="F580" i="18"/>
  <c r="F572" i="18"/>
  <c r="F564" i="18"/>
  <c r="F556" i="18"/>
  <c r="F548" i="18"/>
  <c r="F540" i="18"/>
  <c r="F532" i="18"/>
  <c r="F524" i="18"/>
  <c r="F516" i="18"/>
  <c r="F508" i="18"/>
  <c r="F500" i="18"/>
  <c r="F492" i="18"/>
  <c r="F484" i="18"/>
  <c r="F476" i="18"/>
  <c r="F468" i="18"/>
  <c r="F460" i="18"/>
  <c r="F452" i="18"/>
  <c r="F444" i="18"/>
  <c r="F436" i="18"/>
  <c r="F428" i="18"/>
  <c r="F420" i="18"/>
  <c r="F412" i="18"/>
  <c r="F404" i="18"/>
  <c r="F393" i="18"/>
  <c r="F385" i="18"/>
  <c r="F377" i="18"/>
  <c r="F369" i="18"/>
  <c r="F361" i="18"/>
  <c r="F353" i="18"/>
  <c r="F345" i="18"/>
  <c r="F337" i="18"/>
  <c r="F329" i="18"/>
  <c r="F321" i="18"/>
  <c r="F313" i="18"/>
  <c r="F305" i="18"/>
  <c r="F745" i="18"/>
  <c r="F737" i="18"/>
  <c r="F729" i="18"/>
  <c r="F721" i="18"/>
  <c r="F713" i="18"/>
  <c r="F705" i="18"/>
  <c r="F697" i="18"/>
  <c r="F689" i="18"/>
  <c r="F681" i="18"/>
  <c r="F673" i="18"/>
  <c r="F665" i="18"/>
  <c r="F657" i="18"/>
  <c r="F649" i="18"/>
  <c r="F641" i="18"/>
  <c r="F633" i="18"/>
  <c r="F625" i="18"/>
  <c r="F617" i="18"/>
  <c r="F609" i="18"/>
  <c r="F601" i="18"/>
  <c r="F593" i="18"/>
  <c r="F585" i="18"/>
  <c r="F577" i="18"/>
  <c r="F569" i="18"/>
  <c r="F561" i="18"/>
  <c r="F553" i="18"/>
  <c r="F545" i="18"/>
  <c r="F537" i="18"/>
  <c r="F529" i="18"/>
  <c r="F521" i="18"/>
  <c r="F513" i="18"/>
  <c r="F505" i="18"/>
  <c r="F497" i="18"/>
  <c r="F489" i="18"/>
  <c r="F481" i="18"/>
  <c r="F473" i="18"/>
  <c r="F465" i="18"/>
  <c r="F457" i="18"/>
  <c r="F449" i="18"/>
  <c r="F441" i="18"/>
  <c r="F433" i="18"/>
  <c r="F425" i="18"/>
  <c r="F417" i="18"/>
  <c r="F409" i="18"/>
  <c r="F398" i="18"/>
  <c r="F390" i="18"/>
  <c r="F382" i="18"/>
  <c r="F374" i="18"/>
  <c r="F366" i="18"/>
  <c r="F358" i="18"/>
  <c r="F350" i="18"/>
  <c r="F342" i="18"/>
  <c r="F334" i="18"/>
  <c r="F326" i="18"/>
  <c r="F318" i="18"/>
  <c r="F750" i="18"/>
  <c r="F742" i="18"/>
  <c r="F734" i="18"/>
  <c r="F726" i="18"/>
  <c r="F718" i="18"/>
  <c r="F710" i="18"/>
  <c r="F702" i="18"/>
  <c r="F694" i="18"/>
  <c r="F686" i="18"/>
  <c r="F678" i="18"/>
  <c r="F670" i="18"/>
  <c r="F662" i="18"/>
  <c r="F654" i="18"/>
  <c r="F646" i="18"/>
  <c r="F638" i="18"/>
  <c r="F630" i="18"/>
  <c r="F622" i="18"/>
  <c r="F614" i="18"/>
  <c r="F606" i="18"/>
  <c r="F598" i="18"/>
  <c r="F590" i="18"/>
  <c r="F582" i="18"/>
  <c r="F574" i="18"/>
  <c r="F566" i="18"/>
  <c r="F558" i="18"/>
  <c r="F550" i="18"/>
  <c r="F542" i="18"/>
  <c r="F534" i="18"/>
  <c r="F526" i="18"/>
  <c r="F518" i="18"/>
  <c r="F510" i="18"/>
  <c r="F502" i="18"/>
  <c r="F494" i="18"/>
  <c r="F486" i="18"/>
  <c r="F478" i="18"/>
  <c r="F470" i="18"/>
  <c r="F462" i="18"/>
  <c r="F454" i="18"/>
  <c r="F446" i="18"/>
  <c r="F438" i="18"/>
  <c r="F430" i="18"/>
  <c r="F422" i="18"/>
  <c r="F414" i="18"/>
  <c r="F406" i="18"/>
  <c r="F395" i="18"/>
  <c r="F387" i="18"/>
  <c r="F379" i="18"/>
  <c r="F371" i="18"/>
  <c r="F363" i="18"/>
  <c r="F355" i="18"/>
  <c r="F347" i="18"/>
  <c r="F1105" i="18"/>
  <c r="F1097" i="18"/>
  <c r="F1089" i="18"/>
  <c r="F1081" i="18"/>
  <c r="F1073" i="18"/>
  <c r="F1065" i="18"/>
  <c r="F1057" i="18"/>
  <c r="F1049" i="18"/>
  <c r="F1041" i="18"/>
  <c r="F1033" i="18"/>
  <c r="F1025" i="18"/>
  <c r="F1017" i="18"/>
  <c r="F1009" i="18"/>
  <c r="F1099" i="18"/>
  <c r="F1091" i="18"/>
  <c r="F1083" i="18"/>
  <c r="F1075" i="18"/>
  <c r="F1067" i="18"/>
  <c r="F1059" i="18"/>
  <c r="F1051" i="18"/>
  <c r="F1043" i="18"/>
  <c r="F1035" i="18"/>
  <c r="F1027" i="18"/>
  <c r="F1019" i="18"/>
  <c r="F1011" i="18"/>
  <c r="F1003" i="18"/>
  <c r="F995" i="18"/>
  <c r="F987" i="18"/>
  <c r="F979" i="18"/>
  <c r="F1098" i="18"/>
  <c r="F1090" i="18"/>
  <c r="F1082" i="18"/>
  <c r="F1074" i="18"/>
  <c r="F1066" i="18"/>
  <c r="F1058" i="18"/>
  <c r="F1050" i="18"/>
  <c r="F1042" i="18"/>
  <c r="F1034" i="18"/>
  <c r="F1026" i="18"/>
  <c r="F1018" i="18"/>
  <c r="F1010" i="18"/>
  <c r="F1104" i="18"/>
  <c r="F1102" i="18"/>
  <c r="F1094" i="18"/>
  <c r="F974" i="18"/>
  <c r="F966" i="18"/>
  <c r="F958" i="18"/>
  <c r="F950" i="18"/>
  <c r="F942" i="18"/>
  <c r="F934" i="18"/>
  <c r="F926" i="18"/>
  <c r="F918" i="18"/>
  <c r="F910" i="18"/>
  <c r="F902" i="18"/>
  <c r="F894" i="18"/>
  <c r="F886" i="18"/>
  <c r="F1093" i="18"/>
  <c r="F1085" i="18"/>
  <c r="F1077" i="18"/>
  <c r="F1069" i="18"/>
  <c r="F1061" i="18"/>
  <c r="F1053" i="18"/>
  <c r="F1045" i="18"/>
  <c r="F1037" i="18"/>
  <c r="F1029" i="18"/>
  <c r="F1021" i="18"/>
  <c r="F1013" i="18"/>
  <c r="F971" i="18"/>
  <c r="F963" i="18"/>
  <c r="F955" i="18"/>
  <c r="F947" i="18"/>
  <c r="F939" i="18"/>
  <c r="F931" i="18"/>
  <c r="F923" i="18"/>
  <c r="F915" i="18"/>
  <c r="F907" i="18"/>
  <c r="F899" i="18"/>
  <c r="F891" i="18"/>
  <c r="F883" i="18"/>
  <c r="F976" i="18"/>
  <c r="F968" i="18"/>
  <c r="F960" i="18"/>
  <c r="F952" i="18"/>
  <c r="F944" i="18"/>
  <c r="F936" i="18"/>
  <c r="F928" i="18"/>
  <c r="F920" i="18"/>
  <c r="F912" i="18"/>
  <c r="F904" i="18"/>
  <c r="F896" i="18"/>
  <c r="F888" i="18"/>
  <c r="F880" i="18"/>
  <c r="F872" i="18"/>
  <c r="F864" i="18"/>
  <c r="F1103" i="18"/>
  <c r="F1088" i="18"/>
  <c r="F1084" i="18"/>
  <c r="F1080" i="18"/>
  <c r="F1076" i="18"/>
  <c r="F1072" i="18"/>
  <c r="F1068" i="18"/>
  <c r="F1064" i="18"/>
  <c r="F1060" i="18"/>
  <c r="F1056" i="18"/>
  <c r="F1052" i="18"/>
  <c r="F1048" i="18"/>
  <c r="F1044" i="18"/>
  <c r="F1040" i="18"/>
  <c r="F1036" i="18"/>
  <c r="F1032" i="18"/>
  <c r="F1028" i="18"/>
  <c r="F1024" i="18"/>
  <c r="F1020" i="18"/>
  <c r="F1016" i="18"/>
  <c r="F1012" i="18"/>
  <c r="F1008" i="18"/>
  <c r="F973" i="18"/>
  <c r="F965" i="18"/>
  <c r="F957" i="18"/>
  <c r="F949" i="18"/>
  <c r="F941" i="18"/>
  <c r="F933" i="18"/>
  <c r="F925" i="18"/>
  <c r="F917" i="18"/>
  <c r="F909" i="18"/>
  <c r="F901" i="18"/>
  <c r="F893" i="18"/>
  <c r="F885" i="18"/>
  <c r="F877" i="18"/>
  <c r="F869" i="18"/>
  <c r="F970" i="18"/>
  <c r="F962" i="18"/>
  <c r="F954" i="18"/>
  <c r="F946" i="18"/>
  <c r="F938" i="18"/>
  <c r="F930" i="18"/>
  <c r="F922" i="18"/>
  <c r="F914" i="18"/>
  <c r="F906" i="18"/>
  <c r="F898" i="18"/>
  <c r="F890" i="18"/>
  <c r="F882" i="18"/>
  <c r="F874" i="18"/>
  <c r="F866" i="18"/>
  <c r="F1096" i="18"/>
  <c r="F1005" i="18"/>
  <c r="F1004" i="18"/>
  <c r="F1002" i="18"/>
  <c r="F1001" i="18"/>
  <c r="F1000" i="18"/>
  <c r="F999" i="18"/>
  <c r="F998" i="18"/>
  <c r="F997" i="18"/>
  <c r="F996" i="18"/>
  <c r="F994" i="18"/>
  <c r="F993" i="18"/>
  <c r="F992" i="18"/>
  <c r="F991" i="18"/>
  <c r="F990" i="18"/>
  <c r="F989" i="18"/>
  <c r="F988" i="18"/>
  <c r="F986" i="18"/>
  <c r="F985" i="18"/>
  <c r="F984" i="18"/>
  <c r="F983" i="18"/>
  <c r="F982" i="18"/>
  <c r="F981" i="18"/>
  <c r="F980" i="18"/>
  <c r="F978" i="18"/>
  <c r="F972" i="18"/>
  <c r="F964" i="18"/>
  <c r="F956" i="18"/>
  <c r="F948" i="18"/>
  <c r="F940" i="18"/>
  <c r="F932" i="18"/>
  <c r="F924" i="18"/>
  <c r="F916" i="18"/>
  <c r="F908" i="18"/>
  <c r="F900" i="18"/>
  <c r="F892" i="18"/>
  <c r="F884" i="18"/>
  <c r="F876" i="18"/>
  <c r="F868" i="18"/>
  <c r="F860" i="18"/>
  <c r="F852" i="18"/>
  <c r="F844" i="18"/>
  <c r="F1092" i="18"/>
  <c r="F871" i="18"/>
  <c r="F841" i="18"/>
  <c r="F833" i="18"/>
  <c r="F825" i="18"/>
  <c r="F817" i="18"/>
  <c r="F838" i="18"/>
  <c r="F1100" i="18"/>
  <c r="F873" i="18"/>
  <c r="F865" i="18"/>
  <c r="F835" i="18"/>
  <c r="F827" i="18"/>
  <c r="F819" i="18"/>
  <c r="F811" i="18"/>
  <c r="F803" i="18"/>
  <c r="F878" i="18"/>
  <c r="F862" i="18"/>
  <c r="F861" i="18"/>
  <c r="F859" i="18"/>
  <c r="F858" i="18"/>
  <c r="F857" i="18"/>
  <c r="F856" i="18"/>
  <c r="F855" i="18"/>
  <c r="F854" i="18"/>
  <c r="F853" i="18"/>
  <c r="F851" i="18"/>
  <c r="F850" i="18"/>
  <c r="F849" i="18"/>
  <c r="F848" i="18"/>
  <c r="F847" i="18"/>
  <c r="F846" i="18"/>
  <c r="F1101" i="18"/>
  <c r="F1086" i="18"/>
  <c r="F1078" i="18"/>
  <c r="F1070" i="18"/>
  <c r="F1062" i="18"/>
  <c r="F1054" i="18"/>
  <c r="F1046" i="18"/>
  <c r="F1038" i="18"/>
  <c r="F1030" i="18"/>
  <c r="F1022" i="18"/>
  <c r="F1014" i="18"/>
  <c r="F1006" i="18"/>
  <c r="F875" i="18"/>
  <c r="F867" i="18"/>
  <c r="F837" i="18"/>
  <c r="F1095" i="18"/>
  <c r="F839" i="18"/>
  <c r="F831" i="18"/>
  <c r="F823" i="18"/>
  <c r="F815" i="18"/>
  <c r="F807" i="18"/>
  <c r="F975" i="18"/>
  <c r="F967" i="18"/>
  <c r="F959" i="18"/>
  <c r="F951" i="18"/>
  <c r="F943" i="18"/>
  <c r="F935" i="18"/>
  <c r="F927" i="18"/>
  <c r="F919" i="18"/>
  <c r="F911" i="18"/>
  <c r="F903" i="18"/>
  <c r="F895" i="18"/>
  <c r="F887" i="18"/>
  <c r="F879" i="18"/>
  <c r="F870" i="18"/>
  <c r="F836" i="18"/>
  <c r="F828" i="18"/>
  <c r="F820" i="18"/>
  <c r="F812" i="18"/>
  <c r="F804" i="18"/>
  <c r="F1079" i="18"/>
  <c r="F1063" i="18"/>
  <c r="F1047" i="18"/>
  <c r="F1031" i="18"/>
  <c r="F1015" i="18"/>
  <c r="F826" i="18"/>
  <c r="F818" i="18"/>
  <c r="F810" i="18"/>
  <c r="F806" i="18"/>
  <c r="F794" i="18"/>
  <c r="F786" i="18"/>
  <c r="F778" i="18"/>
  <c r="F770" i="18"/>
  <c r="F762" i="18"/>
  <c r="F953" i="18"/>
  <c r="F921" i="18"/>
  <c r="F889" i="18"/>
  <c r="F845" i="18"/>
  <c r="F843" i="18"/>
  <c r="F791" i="18"/>
  <c r="F783" i="18"/>
  <c r="F775" i="18"/>
  <c r="F767" i="18"/>
  <c r="F759" i="18"/>
  <c r="F842" i="18"/>
  <c r="F809" i="18"/>
  <c r="F805" i="18"/>
  <c r="F796" i="18"/>
  <c r="F788" i="18"/>
  <c r="F780" i="18"/>
  <c r="F772" i="18"/>
  <c r="F764" i="18"/>
  <c r="F756" i="18"/>
  <c r="F961" i="18"/>
  <c r="F929" i="18"/>
  <c r="F897" i="18"/>
  <c r="F834" i="18"/>
  <c r="F829" i="18"/>
  <c r="F821" i="18"/>
  <c r="F813" i="18"/>
  <c r="F793" i="18"/>
  <c r="F785" i="18"/>
  <c r="F777" i="18"/>
  <c r="F769" i="18"/>
  <c r="F761" i="18"/>
  <c r="F1087" i="18"/>
  <c r="F1071" i="18"/>
  <c r="F1055" i="18"/>
  <c r="F1039" i="18"/>
  <c r="F1023" i="18"/>
  <c r="F1007" i="18"/>
  <c r="F840" i="18"/>
  <c r="F830" i="18"/>
  <c r="F822" i="18"/>
  <c r="F814" i="18"/>
  <c r="F808" i="18"/>
  <c r="F790" i="18"/>
  <c r="F782" i="18"/>
  <c r="F774" i="18"/>
  <c r="F766" i="18"/>
  <c r="F758" i="18"/>
  <c r="F969" i="18"/>
  <c r="F937" i="18"/>
  <c r="F905" i="18"/>
  <c r="F795" i="18"/>
  <c r="F787" i="18"/>
  <c r="F779" i="18"/>
  <c r="F771" i="18"/>
  <c r="F763" i="18"/>
  <c r="F755" i="18"/>
  <c r="F863" i="18"/>
  <c r="F832" i="18"/>
  <c r="F824" i="18"/>
  <c r="F816" i="18"/>
  <c r="F802" i="18"/>
  <c r="F801" i="18"/>
  <c r="F800" i="18"/>
  <c r="F799" i="18"/>
  <c r="F798" i="18"/>
  <c r="F792" i="18"/>
  <c r="F784" i="18"/>
  <c r="F776" i="18"/>
  <c r="F768" i="18"/>
  <c r="F760" i="18"/>
  <c r="I54" i="18"/>
  <c r="F55" i="18"/>
  <c r="H57" i="18"/>
  <c r="E58" i="18"/>
  <c r="J59" i="18"/>
  <c r="I62" i="18"/>
  <c r="F63" i="18"/>
  <c r="H65" i="18"/>
  <c r="E66" i="18"/>
  <c r="J67" i="18"/>
  <c r="I70" i="18"/>
  <c r="F71" i="18"/>
  <c r="H73" i="18"/>
  <c r="E74" i="18"/>
  <c r="J75" i="18"/>
  <c r="I78" i="18"/>
  <c r="F79" i="18"/>
  <c r="H81" i="18"/>
  <c r="E82" i="18"/>
  <c r="J83" i="18"/>
  <c r="I86" i="18"/>
  <c r="F87" i="18"/>
  <c r="H89" i="18"/>
  <c r="E90" i="18"/>
  <c r="J91" i="18"/>
  <c r="I94" i="18"/>
  <c r="F95" i="18"/>
  <c r="K96" i="18"/>
  <c r="H97" i="18"/>
  <c r="E98" i="18"/>
  <c r="J99" i="18"/>
  <c r="I102" i="18"/>
  <c r="F103" i="18"/>
  <c r="K104" i="18"/>
  <c r="H105" i="18"/>
  <c r="E106" i="18"/>
  <c r="J107" i="18"/>
  <c r="I110" i="18"/>
  <c r="F111" i="18"/>
  <c r="K112" i="18"/>
  <c r="H113" i="18"/>
  <c r="E114" i="18"/>
  <c r="J115" i="18"/>
  <c r="I118" i="18"/>
  <c r="F119" i="18"/>
  <c r="K120" i="18"/>
  <c r="H121" i="18"/>
  <c r="E122" i="18"/>
  <c r="J123" i="18"/>
  <c r="I126" i="18"/>
  <c r="F127" i="18"/>
  <c r="K128" i="18"/>
  <c r="H129" i="18"/>
  <c r="E130" i="18"/>
  <c r="J131" i="18"/>
  <c r="I134" i="18"/>
  <c r="F135" i="18"/>
  <c r="K136" i="18"/>
  <c r="H137" i="18"/>
  <c r="E138" i="18"/>
  <c r="J139" i="18"/>
  <c r="I142" i="18"/>
  <c r="F143" i="18"/>
  <c r="K144" i="18"/>
  <c r="H145" i="18"/>
  <c r="E146" i="18"/>
  <c r="J147" i="18"/>
  <c r="I150" i="18"/>
  <c r="F151" i="18"/>
  <c r="K152" i="18"/>
  <c r="H153" i="18"/>
  <c r="E154" i="18"/>
  <c r="J155" i="18"/>
  <c r="I158" i="18"/>
  <c r="F159" i="18"/>
  <c r="K160" i="18"/>
  <c r="H161" i="18"/>
  <c r="E162" i="18"/>
  <c r="J163" i="18"/>
  <c r="I166" i="18"/>
  <c r="F167" i="18"/>
  <c r="K168" i="18"/>
  <c r="H169" i="18"/>
  <c r="E170" i="18"/>
  <c r="J171" i="18"/>
  <c r="I174" i="18"/>
  <c r="F175" i="18"/>
  <c r="K176" i="18"/>
  <c r="H177" i="18"/>
  <c r="E178" i="18"/>
  <c r="J179" i="18"/>
  <c r="I182" i="18"/>
  <c r="F183" i="18"/>
  <c r="K184" i="18"/>
  <c r="H185" i="18"/>
  <c r="E186" i="18"/>
  <c r="J187" i="18"/>
  <c r="I190" i="18"/>
  <c r="F191" i="18"/>
  <c r="K192" i="18"/>
  <c r="H193" i="18"/>
  <c r="E194" i="18"/>
  <c r="J195" i="18"/>
  <c r="I198" i="18"/>
  <c r="F199" i="18"/>
  <c r="K200" i="18"/>
  <c r="H201" i="18"/>
  <c r="E202" i="18"/>
  <c r="J203" i="18"/>
  <c r="I206" i="18"/>
  <c r="F207" i="18"/>
  <c r="K208" i="18"/>
  <c r="H209" i="18"/>
  <c r="E210" i="18"/>
  <c r="J211" i="18"/>
  <c r="I214" i="18"/>
  <c r="F215" i="18"/>
  <c r="K216" i="18"/>
  <c r="H217" i="18"/>
  <c r="E218" i="18"/>
  <c r="J219" i="18"/>
  <c r="I222" i="18"/>
  <c r="F223" i="18"/>
  <c r="J225" i="18"/>
  <c r="H226" i="18"/>
  <c r="E227" i="18"/>
  <c r="I229" i="18"/>
  <c r="F231" i="18"/>
  <c r="J233" i="18"/>
  <c r="H234" i="18"/>
  <c r="E235" i="18"/>
  <c r="I237" i="18"/>
  <c r="F239" i="18"/>
  <c r="J241" i="18"/>
  <c r="H242" i="18"/>
  <c r="E243" i="18"/>
  <c r="I245" i="18"/>
  <c r="F247" i="18"/>
  <c r="J249" i="18"/>
  <c r="H250" i="18"/>
  <c r="E251" i="18"/>
  <c r="I253" i="18"/>
  <c r="F255" i="18"/>
  <c r="J257" i="18"/>
  <c r="H258" i="18"/>
  <c r="E259" i="18"/>
  <c r="I261" i="18"/>
  <c r="F263" i="18"/>
  <c r="J265" i="18"/>
  <c r="H266" i="18"/>
  <c r="E267" i="18"/>
  <c r="I269" i="18"/>
  <c r="F271" i="18"/>
  <c r="J273" i="18"/>
  <c r="H274" i="18"/>
  <c r="E275" i="18"/>
  <c r="I277" i="18"/>
  <c r="F279" i="18"/>
  <c r="J281" i="18"/>
  <c r="H282" i="18"/>
  <c r="E283" i="18"/>
  <c r="I285" i="18"/>
  <c r="K291" i="18"/>
  <c r="J292" i="18"/>
  <c r="H293" i="18"/>
  <c r="F294" i="18"/>
  <c r="E302" i="18"/>
  <c r="J303" i="18"/>
  <c r="F307" i="18"/>
  <c r="J311" i="18"/>
  <c r="I314" i="18"/>
  <c r="I319" i="18"/>
  <c r="I322" i="18"/>
  <c r="I327" i="18"/>
  <c r="I330" i="18"/>
  <c r="I335" i="18"/>
  <c r="I338" i="18"/>
  <c r="I343" i="18"/>
  <c r="I346" i="18"/>
  <c r="J348" i="18"/>
  <c r="F352" i="18"/>
  <c r="H354" i="18"/>
  <c r="J356" i="18"/>
  <c r="F360" i="18"/>
  <c r="H362" i="18"/>
  <c r="J364" i="18"/>
  <c r="F368" i="18"/>
  <c r="H370" i="18"/>
  <c r="J372" i="18"/>
  <c r="F376" i="18"/>
  <c r="H378" i="18"/>
  <c r="J380" i="18"/>
  <c r="F384" i="18"/>
  <c r="H386" i="18"/>
  <c r="J388" i="18"/>
  <c r="F392" i="18"/>
  <c r="H394" i="18"/>
  <c r="J396" i="18"/>
  <c r="F403" i="18"/>
  <c r="H405" i="18"/>
  <c r="J407" i="18"/>
  <c r="F411" i="18"/>
  <c r="H413" i="18"/>
  <c r="J415" i="18"/>
  <c r="F419" i="18"/>
  <c r="H421" i="18"/>
  <c r="J423" i="18"/>
  <c r="F427" i="18"/>
  <c r="H429" i="18"/>
  <c r="J431" i="18"/>
  <c r="F435" i="18"/>
  <c r="H437" i="18"/>
  <c r="J439" i="18"/>
  <c r="F443" i="18"/>
  <c r="H445" i="18"/>
  <c r="J447" i="18"/>
  <c r="F451" i="18"/>
  <c r="H453" i="18"/>
  <c r="J455" i="18"/>
  <c r="F459" i="18"/>
  <c r="H461" i="18"/>
  <c r="J463" i="18"/>
  <c r="F467" i="18"/>
  <c r="H469" i="18"/>
  <c r="J471" i="18"/>
  <c r="F475" i="18"/>
  <c r="H477" i="18"/>
  <c r="J479" i="18"/>
  <c r="F483" i="18"/>
  <c r="H485" i="18"/>
  <c r="J487" i="18"/>
  <c r="F491" i="18"/>
  <c r="H493" i="18"/>
  <c r="J495" i="18"/>
  <c r="F499" i="18"/>
  <c r="H501" i="18"/>
  <c r="J503" i="18"/>
  <c r="F507" i="18"/>
  <c r="H509" i="18"/>
  <c r="J511" i="18"/>
  <c r="F515" i="18"/>
  <c r="H517" i="18"/>
  <c r="J519" i="18"/>
  <c r="F523" i="18"/>
  <c r="H525" i="18"/>
  <c r="J527" i="18"/>
  <c r="F531" i="18"/>
  <c r="H533" i="18"/>
  <c r="J535" i="18"/>
  <c r="F539" i="18"/>
  <c r="H541" i="18"/>
  <c r="J543" i="18"/>
  <c r="F547" i="18"/>
  <c r="H549" i="18"/>
  <c r="J551" i="18"/>
  <c r="F555" i="18"/>
  <c r="H557" i="18"/>
  <c r="J559" i="18"/>
  <c r="F563" i="18"/>
  <c r="H565" i="18"/>
  <c r="J567" i="18"/>
  <c r="F571" i="18"/>
  <c r="H573" i="18"/>
  <c r="J575" i="18"/>
  <c r="F579" i="18"/>
  <c r="H581" i="18"/>
  <c r="J583" i="18"/>
  <c r="F587" i="18"/>
  <c r="H589" i="18"/>
  <c r="J591" i="18"/>
  <c r="F595" i="18"/>
  <c r="H597" i="18"/>
  <c r="J599" i="18"/>
  <c r="F603" i="18"/>
  <c r="H605" i="18"/>
  <c r="J607" i="18"/>
  <c r="F611" i="18"/>
  <c r="H613" i="18"/>
  <c r="J615" i="18"/>
  <c r="F619" i="18"/>
  <c r="H621" i="18"/>
  <c r="J623" i="18"/>
  <c r="F627" i="18"/>
  <c r="H629" i="18"/>
  <c r="J631" i="18"/>
  <c r="F635" i="18"/>
  <c r="H637" i="18"/>
  <c r="J639" i="18"/>
  <c r="F643" i="18"/>
  <c r="H645" i="18"/>
  <c r="J647" i="18"/>
  <c r="F651" i="18"/>
  <c r="H653" i="18"/>
  <c r="J655" i="18"/>
  <c r="F659" i="18"/>
  <c r="H661" i="18"/>
  <c r="J663" i="18"/>
  <c r="F667" i="18"/>
  <c r="H669" i="18"/>
  <c r="J671" i="18"/>
  <c r="F675" i="18"/>
  <c r="H677" i="18"/>
  <c r="J679" i="18"/>
  <c r="F683" i="18"/>
  <c r="H685" i="18"/>
  <c r="J687" i="18"/>
  <c r="F691" i="18"/>
  <c r="H693" i="18"/>
  <c r="J695" i="18"/>
  <c r="F699" i="18"/>
  <c r="H701" i="18"/>
  <c r="J703" i="18"/>
  <c r="F707" i="18"/>
  <c r="H709" i="18"/>
  <c r="J711" i="18"/>
  <c r="F715" i="18"/>
  <c r="H717" i="18"/>
  <c r="J719" i="18"/>
  <c r="F723" i="18"/>
  <c r="H725" i="18"/>
  <c r="J727" i="18"/>
  <c r="F731" i="18"/>
  <c r="H733" i="18"/>
  <c r="J735" i="18"/>
  <c r="F739" i="18"/>
  <c r="H741" i="18"/>
  <c r="J743" i="18"/>
  <c r="F747" i="18"/>
  <c r="H749" i="18"/>
  <c r="J751" i="18"/>
  <c r="I756" i="18"/>
  <c r="M760" i="18"/>
  <c r="I764" i="18"/>
  <c r="M768" i="18"/>
  <c r="I772" i="18"/>
  <c r="M776" i="18"/>
  <c r="I780" i="18"/>
  <c r="M784" i="18"/>
  <c r="I788" i="18"/>
  <c r="M792" i="18"/>
  <c r="I796" i="18"/>
  <c r="I825" i="18"/>
  <c r="F881" i="18"/>
  <c r="K896" i="18"/>
  <c r="AD101" i="20"/>
  <c r="V101" i="20"/>
  <c r="AK101" i="20"/>
  <c r="AC101" i="20"/>
  <c r="U101" i="20"/>
  <c r="AI101" i="20"/>
  <c r="AA101" i="20"/>
  <c r="S101" i="20"/>
  <c r="AH101" i="20"/>
  <c r="Z101" i="20"/>
  <c r="AG101" i="20"/>
  <c r="Y101" i="20"/>
  <c r="AF101" i="20"/>
  <c r="AB101" i="20"/>
  <c r="T101" i="20"/>
  <c r="AJ101" i="20"/>
  <c r="X101" i="20"/>
  <c r="W101" i="20"/>
  <c r="R101" i="20"/>
  <c r="AE101" i="20"/>
  <c r="BA40" i="20"/>
  <c r="AZ40" i="20"/>
  <c r="BD29" i="20"/>
  <c r="BA44" i="20"/>
  <c r="AZ44" i="20"/>
  <c r="BG46" i="20"/>
  <c r="BH46" i="20"/>
  <c r="BA14" i="20"/>
  <c r="AZ14" i="20"/>
  <c r="BH19" i="20"/>
  <c r="BG19" i="20"/>
  <c r="BH32" i="20"/>
  <c r="BG32" i="20"/>
  <c r="AI91" i="20"/>
  <c r="AA91" i="20"/>
  <c r="S91" i="20"/>
  <c r="AG91" i="20"/>
  <c r="Y91" i="20"/>
  <c r="AD91" i="20"/>
  <c r="V91" i="20"/>
  <c r="AK91" i="20"/>
  <c r="X91" i="20"/>
  <c r="AH91" i="20"/>
  <c r="U91" i="20"/>
  <c r="AE91" i="20"/>
  <c r="R91" i="20"/>
  <c r="AC91" i="20"/>
  <c r="AB91" i="20"/>
  <c r="AJ91" i="20"/>
  <c r="AF91" i="20"/>
  <c r="Z91" i="20"/>
  <c r="W91" i="20"/>
  <c r="T91" i="20"/>
  <c r="M43" i="24"/>
  <c r="L43" i="24"/>
  <c r="AZ41" i="20"/>
  <c r="BA41" i="20"/>
  <c r="AZ45" i="20"/>
  <c r="BA45" i="20"/>
  <c r="BO4" i="20"/>
  <c r="BN4" i="20"/>
  <c r="AZ37" i="20"/>
  <c r="BA37" i="20"/>
  <c r="AZ49" i="20"/>
  <c r="BA49" i="20"/>
  <c r="S97" i="20"/>
  <c r="AD109" i="20"/>
  <c r="V109" i="20"/>
  <c r="AK109" i="20"/>
  <c r="AC109" i="20"/>
  <c r="U109" i="20"/>
  <c r="AJ109" i="20"/>
  <c r="AB109" i="20"/>
  <c r="T109" i="20"/>
  <c r="AI109" i="20"/>
  <c r="AA109" i="20"/>
  <c r="S109" i="20"/>
  <c r="AH109" i="20"/>
  <c r="Z109" i="20"/>
  <c r="R109" i="20"/>
  <c r="AG109" i="20"/>
  <c r="Y109" i="20"/>
  <c r="AF109" i="20"/>
  <c r="X109" i="20"/>
  <c r="W109" i="20"/>
  <c r="X5" i="20"/>
  <c r="P5" i="20"/>
  <c r="V5" i="20"/>
  <c r="N5" i="20"/>
  <c r="AA5" i="20"/>
  <c r="S5" i="20"/>
  <c r="K5" i="20"/>
  <c r="T5" i="20"/>
  <c r="AB5" i="20"/>
  <c r="O5" i="20"/>
  <c r="Z5" i="20"/>
  <c r="M5" i="20"/>
  <c r="AC5" i="20"/>
  <c r="AZ21" i="20"/>
  <c r="BA21" i="20"/>
  <c r="AZ31" i="20"/>
  <c r="BA31" i="20"/>
  <c r="BH35" i="20"/>
  <c r="BG35" i="20"/>
  <c r="BA36" i="20"/>
  <c r="BD49" i="20"/>
  <c r="AI83" i="20"/>
  <c r="AA83" i="20"/>
  <c r="S83" i="20"/>
  <c r="AG83" i="20"/>
  <c r="Y83" i="20"/>
  <c r="AD83" i="20"/>
  <c r="V83" i="20"/>
  <c r="AE83" i="20"/>
  <c r="R83" i="20"/>
  <c r="AB83" i="20"/>
  <c r="AK83" i="20"/>
  <c r="X83" i="20"/>
  <c r="AJ83" i="20"/>
  <c r="W83" i="20"/>
  <c r="AH83" i="20"/>
  <c r="U83" i="20"/>
  <c r="Z94" i="20"/>
  <c r="AE97" i="20"/>
  <c r="H2" i="15"/>
  <c r="G2" i="15"/>
  <c r="F2" i="15"/>
  <c r="E2" i="15"/>
  <c r="D2" i="15"/>
  <c r="BA5" i="20"/>
  <c r="AW4" i="20"/>
  <c r="BH39" i="20"/>
  <c r="BG39" i="20"/>
  <c r="BA48" i="20"/>
  <c r="AC94" i="20"/>
  <c r="AE109" i="20"/>
  <c r="L5" i="20"/>
  <c r="AZ5" i="20"/>
  <c r="BA6" i="20"/>
  <c r="AZ8" i="20"/>
  <c r="BG7" i="20"/>
  <c r="BH26" i="20"/>
  <c r="BA34" i="20"/>
  <c r="AZ34" i="20"/>
  <c r="AZ36" i="20"/>
  <c r="BA42" i="20"/>
  <c r="AZ42" i="20"/>
  <c r="BD13" i="20"/>
  <c r="BA18" i="20"/>
  <c r="AZ19" i="20"/>
  <c r="BA19" i="20"/>
  <c r="BA24" i="20"/>
  <c r="AZ24" i="20"/>
  <c r="BH31" i="20"/>
  <c r="BG31" i="20"/>
  <c r="BA38" i="20"/>
  <c r="AZ38" i="20"/>
  <c r="BA46" i="20"/>
  <c r="AZ46" i="20"/>
  <c r="V3" i="24"/>
  <c r="U3" i="24"/>
  <c r="T3" i="24"/>
  <c r="S3" i="24"/>
  <c r="R3" i="24"/>
  <c r="AZ12" i="20"/>
  <c r="BD23" i="20"/>
  <c r="BH47" i="20"/>
  <c r="BG47" i="20"/>
  <c r="AD94" i="20"/>
  <c r="V94" i="20"/>
  <c r="AJ94" i="20"/>
  <c r="AB94" i="20"/>
  <c r="T94" i="20"/>
  <c r="AG94" i="20"/>
  <c r="Y94" i="20"/>
  <c r="AA94" i="20"/>
  <c r="AK94" i="20"/>
  <c r="X94" i="20"/>
  <c r="AH94" i="20"/>
  <c r="U94" i="20"/>
  <c r="AF94" i="20"/>
  <c r="S94" i="20"/>
  <c r="AE94" i="20"/>
  <c r="R94" i="20"/>
  <c r="AK97" i="20"/>
  <c r="U97" i="20"/>
  <c r="AF97" i="20"/>
  <c r="AA97" i="20"/>
  <c r="X97" i="20"/>
  <c r="BN3" i="20"/>
  <c r="BL3" i="20"/>
  <c r="AZ13" i="20"/>
  <c r="BA15" i="20"/>
  <c r="BD17" i="20"/>
  <c r="BD27" i="20"/>
  <c r="AZ28" i="20"/>
  <c r="AF88" i="20"/>
  <c r="X88" i="20"/>
  <c r="AD88" i="20"/>
  <c r="V88" i="20"/>
  <c r="AI88" i="20"/>
  <c r="AA88" i="20"/>
  <c r="S88" i="20"/>
  <c r="Z88" i="20"/>
  <c r="AH90" i="20"/>
  <c r="Z90" i="20"/>
  <c r="R90" i="20"/>
  <c r="AF90" i="20"/>
  <c r="X90" i="20"/>
  <c r="AK90" i="20"/>
  <c r="AC90" i="20"/>
  <c r="U90" i="20"/>
  <c r="AA90" i="20"/>
  <c r="AJ92" i="20"/>
  <c r="AB92" i="20"/>
  <c r="T92" i="20"/>
  <c r="AC92" i="20"/>
  <c r="AD93" i="20"/>
  <c r="S95" i="20"/>
  <c r="AF95" i="20"/>
  <c r="AC98" i="20"/>
  <c r="AG98" i="20"/>
  <c r="V98" i="20"/>
  <c r="AF98" i="20"/>
  <c r="X99" i="20"/>
  <c r="M6" i="24"/>
  <c r="L6" i="24"/>
  <c r="BK3" i="20"/>
  <c r="BD10" i="20"/>
  <c r="BA23" i="20"/>
  <c r="BA28" i="20"/>
  <c r="BA33" i="20"/>
  <c r="BD37" i="20"/>
  <c r="BD41" i="20"/>
  <c r="BD45" i="20"/>
  <c r="V82" i="20"/>
  <c r="X84" i="20"/>
  <c r="AD86" i="20"/>
  <c r="V86" i="20"/>
  <c r="AJ86" i="20"/>
  <c r="AB86" i="20"/>
  <c r="T86" i="20"/>
  <c r="AG86" i="20"/>
  <c r="Y86" i="20"/>
  <c r="Z86" i="20"/>
  <c r="AE87" i="20"/>
  <c r="AA87" i="20"/>
  <c r="AB88" i="20"/>
  <c r="AG89" i="20"/>
  <c r="Y89" i="20"/>
  <c r="AJ89" i="20"/>
  <c r="AB89" i="20"/>
  <c r="T89" i="20"/>
  <c r="AA89" i="20"/>
  <c r="AB90" i="20"/>
  <c r="AD92" i="20"/>
  <c r="R93" i="20"/>
  <c r="AE93" i="20"/>
  <c r="T95" i="20"/>
  <c r="AG95" i="20"/>
  <c r="U96" i="20"/>
  <c r="AJ96" i="20"/>
  <c r="AJ98" i="20"/>
  <c r="Z99" i="20"/>
  <c r="AD110" i="20"/>
  <c r="V110" i="20"/>
  <c r="AK110" i="20"/>
  <c r="AC110" i="20"/>
  <c r="U110" i="20"/>
  <c r="AJ110" i="20"/>
  <c r="AB110" i="20"/>
  <c r="T110" i="20"/>
  <c r="AI110" i="20"/>
  <c r="AA110" i="20"/>
  <c r="S110" i="20"/>
  <c r="AF110" i="20"/>
  <c r="G13" i="24"/>
  <c r="J14" i="24"/>
  <c r="AK85" i="20"/>
  <c r="AC85" i="20"/>
  <c r="U85" i="20"/>
  <c r="AI85" i="20"/>
  <c r="AA85" i="20"/>
  <c r="S85" i="20"/>
  <c r="AF85" i="20"/>
  <c r="X85" i="20"/>
  <c r="Z85" i="20"/>
  <c r="AA86" i="20"/>
  <c r="AB87" i="20"/>
  <c r="AC88" i="20"/>
  <c r="AC89" i="20"/>
  <c r="AD90" i="20"/>
  <c r="S92" i="20"/>
  <c r="AF92" i="20"/>
  <c r="T93" i="20"/>
  <c r="AG93" i="20"/>
  <c r="V95" i="20"/>
  <c r="AI95" i="20"/>
  <c r="AH97" i="20"/>
  <c r="Z97" i="20"/>
  <c r="R97" i="20"/>
  <c r="AG97" i="20"/>
  <c r="Y97" i="20"/>
  <c r="AD97" i="20"/>
  <c r="T97" i="20"/>
  <c r="AB97" i="20"/>
  <c r="AI97" i="20"/>
  <c r="W97" i="20"/>
  <c r="AC97" i="20"/>
  <c r="T98" i="20"/>
  <c r="AK98" i="20"/>
  <c r="M14" i="24"/>
  <c r="L14" i="24"/>
  <c r="AZ16" i="20"/>
  <c r="AZ26" i="20"/>
  <c r="BH28" i="20"/>
  <c r="AH82" i="20"/>
  <c r="Z82" i="20"/>
  <c r="R82" i="20"/>
  <c r="AF82" i="20"/>
  <c r="X82" i="20"/>
  <c r="AK82" i="20"/>
  <c r="AC82" i="20"/>
  <c r="U82" i="20"/>
  <c r="AA82" i="20"/>
  <c r="AJ84" i="20"/>
  <c r="AB84" i="20"/>
  <c r="T84" i="20"/>
  <c r="AC84" i="20"/>
  <c r="AD85" i="20"/>
  <c r="R86" i="20"/>
  <c r="AE86" i="20"/>
  <c r="S87" i="20"/>
  <c r="AF87" i="20"/>
  <c r="T88" i="20"/>
  <c r="AG88" i="20"/>
  <c r="S89" i="20"/>
  <c r="AF89" i="20"/>
  <c r="T90" i="20"/>
  <c r="AG90" i="20"/>
  <c r="V92" i="20"/>
  <c r="AI92" i="20"/>
  <c r="W93" i="20"/>
  <c r="Y95" i="20"/>
  <c r="AG96" i="20"/>
  <c r="Y96" i="20"/>
  <c r="AH96" i="20"/>
  <c r="X96" i="20"/>
  <c r="AE96" i="20"/>
  <c r="V96" i="20"/>
  <c r="AK96" i="20"/>
  <c r="AB96" i="20"/>
  <c r="S96" i="20"/>
  <c r="AA96" i="20"/>
  <c r="W98" i="20"/>
  <c r="AF99" i="20"/>
  <c r="AC99" i="20"/>
  <c r="V99" i="20"/>
  <c r="AK99" i="20"/>
  <c r="AG104" i="20"/>
  <c r="Y104" i="20"/>
  <c r="AF104" i="20"/>
  <c r="X104" i="20"/>
  <c r="AD104" i="20"/>
  <c r="V104" i="20"/>
  <c r="AK104" i="20"/>
  <c r="AC104" i="20"/>
  <c r="U104" i="20"/>
  <c r="AJ104" i="20"/>
  <c r="AB104" i="20"/>
  <c r="T104" i="20"/>
  <c r="S104" i="20"/>
  <c r="AI104" i="20"/>
  <c r="AA104" i="20"/>
  <c r="Y110" i="20"/>
  <c r="BD8" i="20"/>
  <c r="AD82" i="20"/>
  <c r="T85" i="20"/>
  <c r="AG85" i="20"/>
  <c r="U86" i="20"/>
  <c r="V87" i="20"/>
  <c r="AI87" i="20"/>
  <c r="W88" i="20"/>
  <c r="AJ88" i="20"/>
  <c r="W90" i="20"/>
  <c r="AJ90" i="20"/>
  <c r="Y92" i="20"/>
  <c r="AK93" i="20"/>
  <c r="AC93" i="20"/>
  <c r="U93" i="20"/>
  <c r="AI93" i="20"/>
  <c r="AA93" i="20"/>
  <c r="S93" i="20"/>
  <c r="AF93" i="20"/>
  <c r="X93" i="20"/>
  <c r="Z93" i="20"/>
  <c r="AB95" i="20"/>
  <c r="AD96" i="20"/>
  <c r="AB98" i="20"/>
  <c r="R99" i="20"/>
  <c r="I4" i="22"/>
  <c r="H4" i="22"/>
  <c r="G4" i="22"/>
  <c r="F4" i="22"/>
  <c r="E4" i="22"/>
  <c r="W84" i="20"/>
  <c r="AE84" i="20"/>
  <c r="R87" i="20"/>
  <c r="Z87" i="20"/>
  <c r="AH87" i="20"/>
  <c r="W92" i="20"/>
  <c r="AE92" i="20"/>
  <c r="R95" i="20"/>
  <c r="Z95" i="20"/>
  <c r="AH95" i="20"/>
  <c r="AK100" i="20"/>
  <c r="AC100" i="20"/>
  <c r="U100" i="20"/>
  <c r="AJ100" i="20"/>
  <c r="AB100" i="20"/>
  <c r="T100" i="20"/>
  <c r="AH100" i="20"/>
  <c r="Z100" i="20"/>
  <c r="R100" i="20"/>
  <c r="AF100" i="20"/>
  <c r="X100" i="20"/>
  <c r="AD100" i="20"/>
  <c r="AJ102" i="20"/>
  <c r="AB102" i="20"/>
  <c r="T102" i="20"/>
  <c r="AI102" i="20"/>
  <c r="AA102" i="20"/>
  <c r="S102" i="20"/>
  <c r="AK102" i="20"/>
  <c r="AK108" i="20"/>
  <c r="AC108" i="20"/>
  <c r="U108" i="20"/>
  <c r="AJ108" i="20"/>
  <c r="AB108" i="20"/>
  <c r="T108" i="20"/>
  <c r="AI108" i="20"/>
  <c r="AA108" i="20"/>
  <c r="S108" i="20"/>
  <c r="AH108" i="20"/>
  <c r="Z108" i="20"/>
  <c r="R108" i="20"/>
  <c r="AG108" i="20"/>
  <c r="Y108" i="20"/>
  <c r="AF108" i="20"/>
  <c r="X108" i="20"/>
  <c r="AK116" i="20"/>
  <c r="AC116" i="20"/>
  <c r="U116" i="20"/>
  <c r="AJ116" i="20"/>
  <c r="AB116" i="20"/>
  <c r="T116" i="20"/>
  <c r="AI116" i="20"/>
  <c r="AA116" i="20"/>
  <c r="S116" i="20"/>
  <c r="AH116" i="20"/>
  <c r="Z116" i="20"/>
  <c r="R116" i="20"/>
  <c r="AG116" i="20"/>
  <c r="Y116" i="20"/>
  <c r="AF116" i="20"/>
  <c r="X116" i="20"/>
  <c r="M19" i="24"/>
  <c r="L19" i="24"/>
  <c r="R84" i="20"/>
  <c r="Z84" i="20"/>
  <c r="U87" i="20"/>
  <c r="AC87" i="20"/>
  <c r="AK87" i="20"/>
  <c r="W89" i="20"/>
  <c r="R92" i="20"/>
  <c r="Z92" i="20"/>
  <c r="U95" i="20"/>
  <c r="AC95" i="20"/>
  <c r="AK95" i="20"/>
  <c r="AI98" i="20"/>
  <c r="AA98" i="20"/>
  <c r="S98" i="20"/>
  <c r="AH98" i="20"/>
  <c r="Z98" i="20"/>
  <c r="R98" i="20"/>
  <c r="AD98" i="20"/>
  <c r="Y98" i="20"/>
  <c r="AJ99" i="20"/>
  <c r="S100" i="20"/>
  <c r="AI100" i="20"/>
  <c r="X102" i="20"/>
  <c r="V108" i="20"/>
  <c r="V116" i="20"/>
  <c r="H3" i="21"/>
  <c r="G3" i="21"/>
  <c r="F3" i="21"/>
  <c r="E3" i="21"/>
  <c r="M10" i="24"/>
  <c r="L10" i="24"/>
  <c r="M27" i="24"/>
  <c r="L27" i="24"/>
  <c r="W87" i="20"/>
  <c r="W95" i="20"/>
  <c r="W100" i="20"/>
  <c r="AC102" i="20"/>
  <c r="AD105" i="20"/>
  <c r="V105" i="20"/>
  <c r="AI105" i="20"/>
  <c r="AD108" i="20"/>
  <c r="M18" i="24"/>
  <c r="L18" i="24"/>
  <c r="M35" i="24"/>
  <c r="L35" i="24"/>
  <c r="W99" i="20"/>
  <c r="AE99" i="20"/>
  <c r="R102" i="20"/>
  <c r="Z102" i="20"/>
  <c r="AH102" i="20"/>
  <c r="S103" i="20"/>
  <c r="AA103" i="20"/>
  <c r="AI103" i="20"/>
  <c r="U105" i="20"/>
  <c r="AC105" i="20"/>
  <c r="AK105" i="20"/>
  <c r="V106" i="20"/>
  <c r="AD106" i="20"/>
  <c r="W107" i="20"/>
  <c r="AE107" i="20"/>
  <c r="R110" i="20"/>
  <c r="Z110" i="20"/>
  <c r="AH110" i="20"/>
  <c r="S111" i="20"/>
  <c r="AA111" i="20"/>
  <c r="AI111" i="20"/>
  <c r="T112" i="20"/>
  <c r="AB112" i="20"/>
  <c r="AJ112" i="20"/>
  <c r="U113" i="20"/>
  <c r="AC113" i="20"/>
  <c r="AK113" i="20"/>
  <c r="V114" i="20"/>
  <c r="AD114" i="20"/>
  <c r="W115" i="20"/>
  <c r="AE115" i="20"/>
  <c r="N4" i="22"/>
  <c r="W106" i="20"/>
  <c r="AE106" i="20"/>
  <c r="X107" i="20"/>
  <c r="AF107" i="20"/>
  <c r="U112" i="20"/>
  <c r="AC112" i="20"/>
  <c r="AK112" i="20"/>
  <c r="V113" i="20"/>
  <c r="AD113" i="20"/>
  <c r="W114" i="20"/>
  <c r="AE114" i="20"/>
  <c r="X115" i="20"/>
  <c r="L26" i="24"/>
  <c r="L34" i="24"/>
  <c r="L42" i="24"/>
  <c r="Y99" i="20"/>
  <c r="AG99" i="20"/>
  <c r="W105" i="20"/>
  <c r="AE105" i="20"/>
  <c r="X106" i="20"/>
  <c r="AF106" i="20"/>
  <c r="Y107" i="20"/>
  <c r="AG107" i="20"/>
  <c r="V112" i="20"/>
  <c r="AD112" i="20"/>
  <c r="W113" i="20"/>
  <c r="AE113" i="20"/>
  <c r="X114" i="20"/>
  <c r="AF114" i="20"/>
  <c r="Y115" i="20"/>
  <c r="AG115" i="20"/>
  <c r="Y106" i="20"/>
  <c r="AG106" i="20"/>
  <c r="R107" i="20"/>
  <c r="Z107" i="20"/>
  <c r="W112" i="20"/>
  <c r="AE112" i="20"/>
  <c r="X113" i="20"/>
  <c r="Y114" i="20"/>
  <c r="AG114" i="20"/>
  <c r="R115" i="20"/>
  <c r="Z115" i="20"/>
  <c r="AH115" i="20"/>
  <c r="AS4" i="22"/>
  <c r="S99" i="20"/>
  <c r="AA99" i="20"/>
  <c r="AI99" i="20"/>
  <c r="V102" i="20"/>
  <c r="AD102" i="20"/>
  <c r="W103" i="20"/>
  <c r="AE103" i="20"/>
  <c r="Y105" i="20"/>
  <c r="AG105" i="20"/>
  <c r="R106" i="20"/>
  <c r="Z106" i="20"/>
  <c r="AH106" i="20"/>
  <c r="S107" i="20"/>
  <c r="AA107" i="20"/>
  <c r="AI107" i="20"/>
  <c r="W111" i="20"/>
  <c r="AE111" i="20"/>
  <c r="X112" i="20"/>
  <c r="AF112" i="20"/>
  <c r="Y113" i="20"/>
  <c r="AG113" i="20"/>
  <c r="R114" i="20"/>
  <c r="Z114" i="20"/>
  <c r="AH114" i="20"/>
  <c r="S115" i="20"/>
  <c r="AA115" i="20"/>
  <c r="AI115" i="20"/>
  <c r="T99" i="20"/>
  <c r="AB99" i="20"/>
  <c r="W102" i="20"/>
  <c r="X103" i="20"/>
  <c r="R105" i="20"/>
  <c r="Z105" i="20"/>
  <c r="S106" i="20"/>
  <c r="AA106" i="20"/>
  <c r="T107" i="20"/>
  <c r="AB107" i="20"/>
  <c r="W110" i="20"/>
  <c r="X111" i="20"/>
  <c r="Y112" i="20"/>
  <c r="R113" i="20"/>
  <c r="Z113" i="20"/>
  <c r="S114" i="20"/>
  <c r="AA114" i="20"/>
  <c r="T115" i="20"/>
  <c r="AB115" i="20"/>
  <c r="R35" i="20" l="1"/>
  <c r="AA30" i="20"/>
  <c r="V30" i="20"/>
  <c r="AH11" i="20"/>
  <c r="AK16" i="20"/>
  <c r="AJ28" i="20"/>
  <c r="AF40" i="20"/>
  <c r="AW6" i="13"/>
  <c r="AX6" i="13" s="1"/>
  <c r="AW8" i="13"/>
  <c r="AX8" i="13" s="1"/>
  <c r="AW5" i="13"/>
  <c r="AX5" i="13" s="1"/>
  <c r="N216" i="26"/>
  <c r="BH36" i="20"/>
  <c r="AW9" i="13"/>
  <c r="AX9" i="13" s="1"/>
  <c r="O216" i="26"/>
  <c r="Z11" i="20"/>
  <c r="S30" i="20"/>
  <c r="R23" i="20"/>
  <c r="I216" i="26"/>
  <c r="T30" i="20"/>
  <c r="AH23" i="20"/>
  <c r="H216" i="26"/>
  <c r="AI10" i="20"/>
  <c r="AH30" i="20"/>
  <c r="L216" i="26"/>
  <c r="R36" i="20"/>
  <c r="AJ35" i="20"/>
  <c r="AF36" i="20"/>
  <c r="U35" i="20"/>
  <c r="AG36" i="20"/>
  <c r="AG30" i="20"/>
  <c r="AH10" i="20"/>
  <c r="AB34" i="20"/>
  <c r="AG46" i="20"/>
  <c r="AA46" i="20"/>
  <c r="X23" i="20"/>
  <c r="AJ46" i="20"/>
  <c r="T46" i="20"/>
  <c r="AE26" i="20"/>
  <c r="S10" i="20"/>
  <c r="AE46" i="20"/>
  <c r="AB46" i="20"/>
  <c r="AK10" i="20"/>
  <c r="Y10" i="20"/>
  <c r="AK46" i="20"/>
  <c r="AF46" i="20"/>
  <c r="S26" i="20"/>
  <c r="AA10" i="20"/>
  <c r="R10" i="20"/>
  <c r="W46" i="20"/>
  <c r="AI46" i="20"/>
  <c r="U18" i="20"/>
  <c r="V10" i="20"/>
  <c r="AB10" i="20"/>
  <c r="AH46" i="20"/>
  <c r="AJ10" i="20"/>
  <c r="U46" i="20"/>
  <c r="U10" i="20"/>
  <c r="Z46" i="20"/>
  <c r="W26" i="20"/>
  <c r="AA40" i="20"/>
  <c r="AF19" i="5"/>
  <c r="S18" i="20"/>
  <c r="AK18" i="20"/>
  <c r="AI26" i="20"/>
  <c r="V22" i="20"/>
  <c r="T22" i="20"/>
  <c r="U16" i="20"/>
  <c r="BG21" i="20"/>
  <c r="BG33" i="20"/>
  <c r="BG22" i="20"/>
  <c r="N910" i="18"/>
  <c r="U25" i="20"/>
  <c r="AJ25" i="20"/>
  <c r="Y25" i="20"/>
  <c r="T25" i="20"/>
  <c r="AG25" i="20"/>
  <c r="BH5" i="20"/>
  <c r="AH26" i="20"/>
  <c r="AF44" i="20"/>
  <c r="AJ26" i="20"/>
  <c r="AG26" i="20"/>
  <c r="X40" i="20"/>
  <c r="N1095" i="18"/>
  <c r="BH18" i="20"/>
  <c r="BH42" i="20"/>
  <c r="T44" i="20"/>
  <c r="BG12" i="20"/>
  <c r="N895" i="18"/>
  <c r="N850" i="18"/>
  <c r="BG30" i="20"/>
  <c r="N986" i="18"/>
  <c r="AE10" i="20"/>
  <c r="Z10" i="20"/>
  <c r="AC10" i="20"/>
  <c r="S46" i="20"/>
  <c r="R46" i="20"/>
  <c r="AH25" i="20"/>
  <c r="Z42" i="20"/>
  <c r="Y26" i="20"/>
  <c r="N1028" i="18"/>
  <c r="BG6" i="20"/>
  <c r="AD10" i="20"/>
  <c r="T10" i="20"/>
  <c r="AF10" i="20"/>
  <c r="AA15" i="20"/>
  <c r="AD46" i="20"/>
  <c r="Y46" i="20"/>
  <c r="AA25" i="20"/>
  <c r="AD26" i="20"/>
  <c r="R40" i="20"/>
  <c r="BH16" i="20"/>
  <c r="N1076" i="18"/>
  <c r="N789" i="18"/>
  <c r="AH15" i="20"/>
  <c r="N1029" i="18"/>
  <c r="W10" i="20"/>
  <c r="AG10" i="20"/>
  <c r="W15" i="20"/>
  <c r="X46" i="20"/>
  <c r="AC46" i="20"/>
  <c r="Z25" i="20"/>
  <c r="U26" i="20"/>
  <c r="AK26" i="20"/>
  <c r="AI40" i="20"/>
  <c r="AB44" i="20"/>
  <c r="AD44" i="20"/>
  <c r="AK15" i="20"/>
  <c r="AG15" i="20"/>
  <c r="S44" i="20"/>
  <c r="AJ44" i="20"/>
  <c r="Y15" i="20"/>
  <c r="AB15" i="20"/>
  <c r="AE44" i="20"/>
  <c r="R44" i="20"/>
  <c r="AC15" i="20"/>
  <c r="S15" i="20"/>
  <c r="AK44" i="20"/>
  <c r="AH44" i="20"/>
  <c r="AG44" i="20"/>
  <c r="R15" i="20"/>
  <c r="U15" i="20"/>
  <c r="T15" i="20"/>
  <c r="V25" i="20"/>
  <c r="R25" i="20"/>
  <c r="W25" i="20"/>
  <c r="T26" i="20"/>
  <c r="AB26" i="20"/>
  <c r="AA26" i="20"/>
  <c r="AD40" i="20"/>
  <c r="AC44" i="20"/>
  <c r="X44" i="20"/>
  <c r="W44" i="20"/>
  <c r="V15" i="20"/>
  <c r="X15" i="20"/>
  <c r="AD15" i="20"/>
  <c r="AD25" i="20"/>
  <c r="AI25" i="20"/>
  <c r="X25" i="20"/>
  <c r="V26" i="20"/>
  <c r="AF26" i="20"/>
  <c r="AB40" i="20"/>
  <c r="AI44" i="20"/>
  <c r="U44" i="20"/>
  <c r="Y44" i="20"/>
  <c r="Z15" i="20"/>
  <c r="AJ15" i="20"/>
  <c r="AF15" i="20"/>
  <c r="AE25" i="20"/>
  <c r="AB25" i="20"/>
  <c r="AF25" i="20"/>
  <c r="Z26" i="20"/>
  <c r="R26" i="20"/>
  <c r="AK40" i="20"/>
  <c r="AA44" i="20"/>
  <c r="Z44" i="20"/>
  <c r="AI15" i="20"/>
  <c r="AC25" i="20"/>
  <c r="S25" i="20"/>
  <c r="AC26" i="20"/>
  <c r="AG40" i="20"/>
  <c r="AE43" i="20"/>
  <c r="AF43" i="20"/>
  <c r="X43" i="20"/>
  <c r="Z38" i="20"/>
  <c r="AJ38" i="20"/>
  <c r="AF32" i="20"/>
  <c r="T32" i="20"/>
  <c r="AJ39" i="20"/>
  <c r="S39" i="20"/>
  <c r="BH11" i="20"/>
  <c r="BG40" i="20"/>
  <c r="S43" i="20"/>
  <c r="T43" i="20"/>
  <c r="AA43" i="20"/>
  <c r="AF35" i="20"/>
  <c r="AG35" i="20"/>
  <c r="AE28" i="20"/>
  <c r="AC38" i="20"/>
  <c r="R38" i="20"/>
  <c r="X30" i="20"/>
  <c r="AE30" i="20"/>
  <c r="AK30" i="20"/>
  <c r="Z32" i="20"/>
  <c r="V32" i="20"/>
  <c r="AE39" i="20"/>
  <c r="R39" i="20"/>
  <c r="AF23" i="20"/>
  <c r="U23" i="20"/>
  <c r="Y18" i="20"/>
  <c r="T42" i="20"/>
  <c r="AI43" i="20"/>
  <c r="W43" i="20"/>
  <c r="AK43" i="20"/>
  <c r="V38" i="20"/>
  <c r="T38" i="20"/>
  <c r="S32" i="20"/>
  <c r="X32" i="20"/>
  <c r="AG32" i="20"/>
  <c r="AG39" i="20"/>
  <c r="AI39" i="20"/>
  <c r="AJ43" i="20"/>
  <c r="Y43" i="20"/>
  <c r="AK35" i="20"/>
  <c r="S35" i="20"/>
  <c r="T35" i="20"/>
  <c r="AH38" i="20"/>
  <c r="AI38" i="20"/>
  <c r="Y30" i="20"/>
  <c r="U30" i="20"/>
  <c r="AF30" i="20"/>
  <c r="AB32" i="20"/>
  <c r="AI32" i="20"/>
  <c r="AB39" i="20"/>
  <c r="AK39" i="20"/>
  <c r="Z23" i="20"/>
  <c r="V23" i="20"/>
  <c r="AJ23" i="20"/>
  <c r="U42" i="20"/>
  <c r="AC43" i="20"/>
  <c r="AD43" i="20"/>
  <c r="AC35" i="20"/>
  <c r="W35" i="20"/>
  <c r="V35" i="20"/>
  <c r="V36" i="20"/>
  <c r="AB28" i="20"/>
  <c r="Y11" i="20"/>
  <c r="U38" i="20"/>
  <c r="AG38" i="20"/>
  <c r="AC30" i="20"/>
  <c r="AJ30" i="20"/>
  <c r="AA32" i="20"/>
  <c r="U32" i="20"/>
  <c r="W39" i="20"/>
  <c r="Y39" i="20"/>
  <c r="T23" i="20"/>
  <c r="AI23" i="20"/>
  <c r="AE23" i="20"/>
  <c r="AA18" i="20"/>
  <c r="AH43" i="20"/>
  <c r="U43" i="20"/>
  <c r="X35" i="20"/>
  <c r="AA35" i="20"/>
  <c r="Y35" i="20"/>
  <c r="T28" i="20"/>
  <c r="W28" i="20"/>
  <c r="AJ11" i="20"/>
  <c r="AF38" i="20"/>
  <c r="W38" i="20"/>
  <c r="AI30" i="20"/>
  <c r="AB30" i="20"/>
  <c r="R32" i="20"/>
  <c r="W32" i="20"/>
  <c r="T39" i="20"/>
  <c r="AC39" i="20"/>
  <c r="AA23" i="20"/>
  <c r="AK23" i="20"/>
  <c r="AG23" i="20"/>
  <c r="AH18" i="20"/>
  <c r="H348" i="4"/>
  <c r="E20" i="43" s="1" a="1"/>
  <c r="E20" i="43" s="1"/>
  <c r="Z43" i="20"/>
  <c r="AG43" i="20"/>
  <c r="AH35" i="20"/>
  <c r="Z35" i="20"/>
  <c r="AI35" i="20"/>
  <c r="AC28" i="20"/>
  <c r="AH28" i="20"/>
  <c r="AG11" i="20"/>
  <c r="AB38" i="20"/>
  <c r="Y38" i="20"/>
  <c r="Z30" i="20"/>
  <c r="AD30" i="20"/>
  <c r="Y32" i="20"/>
  <c r="AD32" i="20"/>
  <c r="AD39" i="20"/>
  <c r="U39" i="20"/>
  <c r="S23" i="20"/>
  <c r="Y23" i="20"/>
  <c r="AB23" i="20"/>
  <c r="Z18" i="20"/>
  <c r="BF15" i="20"/>
  <c r="BE14" i="20"/>
  <c r="V43" i="20"/>
  <c r="AB43" i="20"/>
  <c r="AE35" i="20"/>
  <c r="AK28" i="20"/>
  <c r="AI28" i="20"/>
  <c r="AA38" i="20"/>
  <c r="AD38" i="20"/>
  <c r="AE38" i="20"/>
  <c r="W30" i="20"/>
  <c r="AJ32" i="20"/>
  <c r="AH32" i="20"/>
  <c r="AA39" i="20"/>
  <c r="AF39" i="20"/>
  <c r="W23" i="20"/>
  <c r="AD18" i="20"/>
  <c r="AC18" i="20"/>
  <c r="AG18" i="20"/>
  <c r="W40" i="20"/>
  <c r="AJ18" i="20"/>
  <c r="X18" i="20"/>
  <c r="AE18" i="20"/>
  <c r="W18" i="20"/>
  <c r="S38" i="20"/>
  <c r="X38" i="20"/>
  <c r="AC32" i="20"/>
  <c r="AE32" i="20"/>
  <c r="X39" i="20"/>
  <c r="Z39" i="20"/>
  <c r="AH39" i="20"/>
  <c r="AH34" i="20"/>
  <c r="N787" i="18"/>
  <c r="N883" i="18"/>
  <c r="AJ16" i="20"/>
  <c r="N881" i="18"/>
  <c r="K216" i="26"/>
  <c r="AA42" i="20"/>
  <c r="AK42" i="20"/>
  <c r="V42" i="20"/>
  <c r="R42" i="20"/>
  <c r="N1101" i="18"/>
  <c r="Y42" i="20"/>
  <c r="N1035" i="18"/>
  <c r="AC42" i="20"/>
  <c r="N796" i="18"/>
  <c r="N996" i="18"/>
  <c r="N1034" i="18"/>
  <c r="N951" i="18"/>
  <c r="N817" i="18"/>
  <c r="N830" i="18"/>
  <c r="N852" i="18"/>
  <c r="N912" i="18"/>
  <c r="N1025" i="18"/>
  <c r="N965" i="18"/>
  <c r="N873" i="18"/>
  <c r="N956" i="18"/>
  <c r="N1030" i="18"/>
  <c r="O782" i="18"/>
  <c r="AI42" i="20"/>
  <c r="O989" i="18"/>
  <c r="N766" i="18"/>
  <c r="N945" i="18"/>
  <c r="N874" i="18"/>
  <c r="N974" i="18"/>
  <c r="O933" i="18"/>
  <c r="S42" i="20"/>
  <c r="T40" i="20"/>
  <c r="W42" i="20"/>
  <c r="AH42" i="20"/>
  <c r="V18" i="20"/>
  <c r="AB18" i="20"/>
  <c r="AE42" i="20"/>
  <c r="AF42" i="20"/>
  <c r="AD20" i="20"/>
  <c r="Y20" i="20"/>
  <c r="AE22" i="20"/>
  <c r="AK22" i="20"/>
  <c r="AF16" i="20"/>
  <c r="W16" i="20"/>
  <c r="AG16" i="20"/>
  <c r="W34" i="20"/>
  <c r="AF34" i="20"/>
  <c r="AJ34" i="20"/>
  <c r="S20" i="20"/>
  <c r="T20" i="20"/>
  <c r="AI20" i="20"/>
  <c r="AG37" i="20"/>
  <c r="X22" i="20"/>
  <c r="AJ22" i="20"/>
  <c r="AA22" i="20"/>
  <c r="AC16" i="20"/>
  <c r="R16" i="20"/>
  <c r="T34" i="20"/>
  <c r="R34" i="20"/>
  <c r="V34" i="20"/>
  <c r="BH14" i="20"/>
  <c r="AG20" i="20"/>
  <c r="AC20" i="20"/>
  <c r="V20" i="20"/>
  <c r="Z37" i="20"/>
  <c r="AG22" i="20"/>
  <c r="S22" i="20"/>
  <c r="AH22" i="20"/>
  <c r="Z16" i="20"/>
  <c r="AD16" i="20"/>
  <c r="AC34" i="20"/>
  <c r="X34" i="20"/>
  <c r="Z34" i="20"/>
  <c r="AF20" i="20"/>
  <c r="AJ20" i="20"/>
  <c r="W20" i="20"/>
  <c r="Y22" i="20"/>
  <c r="U22" i="20"/>
  <c r="AF22" i="20"/>
  <c r="X16" i="20"/>
  <c r="AH16" i="20"/>
  <c r="AG34" i="20"/>
  <c r="AE34" i="20"/>
  <c r="AD34" i="20"/>
  <c r="AH40" i="20"/>
  <c r="Y40" i="20"/>
  <c r="X20" i="20"/>
  <c r="AB20" i="20"/>
  <c r="AH20" i="20"/>
  <c r="AI22" i="20"/>
  <c r="AB22" i="20"/>
  <c r="Z22" i="20"/>
  <c r="S16" i="20"/>
  <c r="AB16" i="20"/>
  <c r="U34" i="20"/>
  <c r="AK34" i="20"/>
  <c r="AC40" i="20"/>
  <c r="AA20" i="20"/>
  <c r="Z20" i="20"/>
  <c r="AC22" i="20"/>
  <c r="AD22" i="20"/>
  <c r="Y16" i="20"/>
  <c r="AE16" i="20"/>
  <c r="T16" i="20"/>
  <c r="S34" i="20"/>
  <c r="AA34" i="20"/>
  <c r="S40" i="20"/>
  <c r="V40" i="20"/>
  <c r="U40" i="20"/>
  <c r="AE20" i="20"/>
  <c r="W22" i="20"/>
  <c r="AA16" i="20"/>
  <c r="AI16" i="20"/>
  <c r="Y34" i="20"/>
  <c r="Z40" i="20"/>
  <c r="AE40" i="20"/>
  <c r="AD37" i="20"/>
  <c r="AE37" i="20"/>
  <c r="AA37" i="20"/>
  <c r="AH37" i="20"/>
  <c r="AB37" i="20"/>
  <c r="X37" i="20"/>
  <c r="AK37" i="20"/>
  <c r="V37" i="20"/>
  <c r="Y37" i="20"/>
  <c r="AC37" i="20"/>
  <c r="S37" i="20"/>
  <c r="U37" i="20"/>
  <c r="T37" i="20"/>
  <c r="AJ42" i="20"/>
  <c r="W37" i="20"/>
  <c r="R37" i="20"/>
  <c r="X42" i="20"/>
  <c r="AB42" i="20"/>
  <c r="AF37" i="20"/>
  <c r="AJ37" i="20"/>
  <c r="AG42" i="20"/>
  <c r="AI36" i="20"/>
  <c r="AK36" i="20"/>
  <c r="AA36" i="20"/>
  <c r="S28" i="20"/>
  <c r="U28" i="20"/>
  <c r="AD11" i="20"/>
  <c r="U11" i="20"/>
  <c r="S36" i="20"/>
  <c r="AE36" i="20"/>
  <c r="W36" i="20"/>
  <c r="X28" i="20"/>
  <c r="Y28" i="20"/>
  <c r="AA11" i="20"/>
  <c r="S11" i="20"/>
  <c r="AI18" i="20"/>
  <c r="BH24" i="20"/>
  <c r="AB36" i="20"/>
  <c r="U36" i="20"/>
  <c r="X11" i="20"/>
  <c r="AI11" i="20"/>
  <c r="AF11" i="20"/>
  <c r="AJ36" i="20"/>
  <c r="Y36" i="20"/>
  <c r="T11" i="20"/>
  <c r="AK11" i="20"/>
  <c r="V11" i="20"/>
  <c r="BG24" i="20"/>
  <c r="AD36" i="20"/>
  <c r="AH36" i="20"/>
  <c r="T36" i="20"/>
  <c r="AG28" i="20"/>
  <c r="Z28" i="20"/>
  <c r="R11" i="20"/>
  <c r="AC11" i="20"/>
  <c r="T18" i="20"/>
  <c r="AF18" i="20"/>
  <c r="AC36" i="20"/>
  <c r="Z36" i="20"/>
  <c r="AA28" i="20"/>
  <c r="W11" i="20"/>
  <c r="N795" i="18"/>
  <c r="N756" i="18"/>
  <c r="N786" i="18"/>
  <c r="N837" i="18"/>
  <c r="N905" i="18"/>
  <c r="N991" i="18"/>
  <c r="N825" i="18"/>
  <c r="N1008" i="18"/>
  <c r="N1093" i="18"/>
  <c r="N1037" i="18"/>
  <c r="N872" i="18"/>
  <c r="N1062" i="18"/>
  <c r="N918" i="18"/>
  <c r="N1100" i="18"/>
  <c r="N1059" i="18"/>
  <c r="O757" i="18"/>
  <c r="O999" i="18"/>
  <c r="N935" i="18"/>
  <c r="N764" i="18"/>
  <c r="N822" i="18"/>
  <c r="N847" i="18"/>
  <c r="N913" i="18"/>
  <c r="N994" i="18"/>
  <c r="N875" i="18"/>
  <c r="N1012" i="18"/>
  <c r="N866" i="18"/>
  <c r="N1069" i="18"/>
  <c r="N880" i="18"/>
  <c r="N1086" i="18"/>
  <c r="N950" i="18"/>
  <c r="N1104" i="18"/>
  <c r="N1067" i="18"/>
  <c r="O787" i="18"/>
  <c r="O869" i="18"/>
  <c r="N774" i="18"/>
  <c r="N832" i="18"/>
  <c r="N812" i="18"/>
  <c r="N851" i="18"/>
  <c r="N969" i="18"/>
  <c r="N1000" i="18"/>
  <c r="N860" i="18"/>
  <c r="N1040" i="18"/>
  <c r="N906" i="18"/>
  <c r="N869" i="18"/>
  <c r="N936" i="18"/>
  <c r="N915" i="18"/>
  <c r="N1007" i="18"/>
  <c r="N1058" i="18"/>
  <c r="N1033" i="18"/>
  <c r="N781" i="18"/>
  <c r="O767" i="18"/>
  <c r="O1023" i="18"/>
  <c r="N768" i="18"/>
  <c r="N826" i="18"/>
  <c r="N840" i="18"/>
  <c r="N836" i="18"/>
  <c r="N856" i="18"/>
  <c r="N977" i="18"/>
  <c r="N1004" i="18"/>
  <c r="N892" i="18"/>
  <c r="N1044" i="18"/>
  <c r="N930" i="18"/>
  <c r="N901" i="18"/>
  <c r="N944" i="18"/>
  <c r="N939" i="18"/>
  <c r="N1039" i="18"/>
  <c r="N1066" i="18"/>
  <c r="N1089" i="18"/>
  <c r="O817" i="18"/>
  <c r="O1087" i="18"/>
  <c r="N821" i="18"/>
  <c r="N776" i="18"/>
  <c r="N777" i="18"/>
  <c r="N783" i="18"/>
  <c r="N863" i="18"/>
  <c r="N859" i="18"/>
  <c r="N982" i="18"/>
  <c r="N1005" i="18"/>
  <c r="N916" i="18"/>
  <c r="N1060" i="18"/>
  <c r="N938" i="18"/>
  <c r="N925" i="18"/>
  <c r="N976" i="18"/>
  <c r="N947" i="18"/>
  <c r="N1063" i="18"/>
  <c r="N995" i="18"/>
  <c r="N1097" i="18"/>
  <c r="O1003" i="18"/>
  <c r="N802" i="18"/>
  <c r="N763" i="18"/>
  <c r="N785" i="18"/>
  <c r="N919" i="18"/>
  <c r="N831" i="18"/>
  <c r="N861" i="18"/>
  <c r="N985" i="18"/>
  <c r="N827" i="18"/>
  <c r="N924" i="18"/>
  <c r="N1072" i="18"/>
  <c r="N970" i="18"/>
  <c r="N933" i="18"/>
  <c r="N1022" i="18"/>
  <c r="N886" i="18"/>
  <c r="N1071" i="18"/>
  <c r="N1003" i="18"/>
  <c r="O868" i="18"/>
  <c r="O1102" i="18"/>
  <c r="N784" i="18"/>
  <c r="N805" i="18"/>
  <c r="N782" i="18"/>
  <c r="N793" i="18"/>
  <c r="N772" i="18"/>
  <c r="N759" i="18"/>
  <c r="N762" i="18"/>
  <c r="N834" i="18"/>
  <c r="N807" i="18"/>
  <c r="N843" i="18"/>
  <c r="N853" i="18"/>
  <c r="N862" i="18"/>
  <c r="N921" i="18"/>
  <c r="N978" i="18"/>
  <c r="N988" i="18"/>
  <c r="N997" i="18"/>
  <c r="N803" i="18"/>
  <c r="N833" i="18"/>
  <c r="N868" i="18"/>
  <c r="N932" i="18"/>
  <c r="N1016" i="18"/>
  <c r="N1048" i="18"/>
  <c r="N1080" i="18"/>
  <c r="N882" i="18"/>
  <c r="N946" i="18"/>
  <c r="N1045" i="18"/>
  <c r="N877" i="18"/>
  <c r="N941" i="18"/>
  <c r="N888" i="18"/>
  <c r="N952" i="18"/>
  <c r="N1038" i="18"/>
  <c r="N891" i="18"/>
  <c r="N955" i="18"/>
  <c r="N926" i="18"/>
  <c r="N1015" i="18"/>
  <c r="N1079" i="18"/>
  <c r="N1010" i="18"/>
  <c r="N1074" i="18"/>
  <c r="N1011" i="18"/>
  <c r="N1075" i="18"/>
  <c r="N1041" i="18"/>
  <c r="N1105" i="18"/>
  <c r="N773" i="18"/>
  <c r="O765" i="18"/>
  <c r="O790" i="18"/>
  <c r="O825" i="18"/>
  <c r="O1060" i="18"/>
  <c r="O887" i="18"/>
  <c r="O1026" i="18"/>
  <c r="O1024" i="18"/>
  <c r="BG4" i="20"/>
  <c r="N792" i="18"/>
  <c r="N809" i="18"/>
  <c r="N790" i="18"/>
  <c r="N806" i="18"/>
  <c r="N780" i="18"/>
  <c r="N767" i="18"/>
  <c r="N770" i="18"/>
  <c r="N842" i="18"/>
  <c r="N815" i="18"/>
  <c r="N845" i="18"/>
  <c r="N854" i="18"/>
  <c r="N871" i="18"/>
  <c r="N929" i="18"/>
  <c r="N980" i="18"/>
  <c r="N989" i="18"/>
  <c r="N998" i="18"/>
  <c r="N811" i="18"/>
  <c r="N841" i="18"/>
  <c r="N876" i="18"/>
  <c r="N940" i="18"/>
  <c r="N1020" i="18"/>
  <c r="N1052" i="18"/>
  <c r="N1084" i="18"/>
  <c r="N890" i="18"/>
  <c r="N954" i="18"/>
  <c r="N1053" i="18"/>
  <c r="N885" i="18"/>
  <c r="N949" i="18"/>
  <c r="N896" i="18"/>
  <c r="N960" i="18"/>
  <c r="N1046" i="18"/>
  <c r="N899" i="18"/>
  <c r="N963" i="18"/>
  <c r="N934" i="18"/>
  <c r="N1023" i="18"/>
  <c r="N1087" i="18"/>
  <c r="N1018" i="18"/>
  <c r="N1082" i="18"/>
  <c r="N1019" i="18"/>
  <c r="N1083" i="18"/>
  <c r="N1049" i="18"/>
  <c r="N765" i="18"/>
  <c r="O800" i="18"/>
  <c r="O785" i="18"/>
  <c r="O804" i="18"/>
  <c r="O838" i="18"/>
  <c r="O951" i="18"/>
  <c r="O880" i="18"/>
  <c r="O1088" i="18"/>
  <c r="BH4" i="20"/>
  <c r="N755" i="18"/>
  <c r="N903" i="18"/>
  <c r="N818" i="18"/>
  <c r="N810" i="18"/>
  <c r="N788" i="18"/>
  <c r="N775" i="18"/>
  <c r="N778" i="18"/>
  <c r="N804" i="18"/>
  <c r="N823" i="18"/>
  <c r="N846" i="18"/>
  <c r="N855" i="18"/>
  <c r="N870" i="18"/>
  <c r="N937" i="18"/>
  <c r="N981" i="18"/>
  <c r="N990" i="18"/>
  <c r="N999" i="18"/>
  <c r="N819" i="18"/>
  <c r="N867" i="18"/>
  <c r="N884" i="18"/>
  <c r="N948" i="18"/>
  <c r="N1024" i="18"/>
  <c r="N1056" i="18"/>
  <c r="N1088" i="18"/>
  <c r="N898" i="18"/>
  <c r="N962" i="18"/>
  <c r="N1061" i="18"/>
  <c r="N893" i="18"/>
  <c r="N957" i="18"/>
  <c r="N904" i="18"/>
  <c r="N968" i="18"/>
  <c r="N1054" i="18"/>
  <c r="N907" i="18"/>
  <c r="N971" i="18"/>
  <c r="N942" i="18"/>
  <c r="N1031" i="18"/>
  <c r="N1094" i="18"/>
  <c r="N1026" i="18"/>
  <c r="N1090" i="18"/>
  <c r="N1027" i="18"/>
  <c r="N1091" i="18"/>
  <c r="N1057" i="18"/>
  <c r="N757" i="18"/>
  <c r="O802" i="18"/>
  <c r="O793" i="18"/>
  <c r="O910" i="18"/>
  <c r="O940" i="18"/>
  <c r="O1041" i="18"/>
  <c r="O944" i="18"/>
  <c r="O1046" i="18"/>
  <c r="N1098" i="18"/>
  <c r="N1099" i="18"/>
  <c r="N1065" i="18"/>
  <c r="N800" i="18"/>
  <c r="O784" i="18"/>
  <c r="O788" i="18"/>
  <c r="O974" i="18"/>
  <c r="O857" i="18"/>
  <c r="O882" i="18"/>
  <c r="O883" i="18"/>
  <c r="N771" i="18"/>
  <c r="N967" i="18"/>
  <c r="N761" i="18"/>
  <c r="N927" i="18"/>
  <c r="N816" i="18"/>
  <c r="N791" i="18"/>
  <c r="N794" i="18"/>
  <c r="N820" i="18"/>
  <c r="N839" i="18"/>
  <c r="N848" i="18"/>
  <c r="N857" i="18"/>
  <c r="N889" i="18"/>
  <c r="N953" i="18"/>
  <c r="N983" i="18"/>
  <c r="N992" i="18"/>
  <c r="N1001" i="18"/>
  <c r="N835" i="18"/>
  <c r="N878" i="18"/>
  <c r="N900" i="18"/>
  <c r="N964" i="18"/>
  <c r="N1032" i="18"/>
  <c r="N1064" i="18"/>
  <c r="N1102" i="18"/>
  <c r="N914" i="18"/>
  <c r="N1013" i="18"/>
  <c r="N1077" i="18"/>
  <c r="N909" i="18"/>
  <c r="N973" i="18"/>
  <c r="N920" i="18"/>
  <c r="N1006" i="18"/>
  <c r="N1070" i="18"/>
  <c r="N923" i="18"/>
  <c r="N894" i="18"/>
  <c r="N958" i="18"/>
  <c r="N1047" i="18"/>
  <c r="N1092" i="18"/>
  <c r="N1042" i="18"/>
  <c r="N979" i="18"/>
  <c r="N1043" i="18"/>
  <c r="N1009" i="18"/>
  <c r="N1073" i="18"/>
  <c r="N943" i="18"/>
  <c r="O792" i="18"/>
  <c r="O796" i="18"/>
  <c r="O846" i="18"/>
  <c r="O921" i="18"/>
  <c r="O946" i="18"/>
  <c r="O947" i="18"/>
  <c r="N760" i="18"/>
  <c r="N779" i="18"/>
  <c r="N758" i="18"/>
  <c r="N769" i="18"/>
  <c r="N959" i="18"/>
  <c r="N824" i="18"/>
  <c r="N887" i="18"/>
  <c r="N814" i="18"/>
  <c r="N828" i="18"/>
  <c r="N865" i="18"/>
  <c r="N849" i="18"/>
  <c r="N858" i="18"/>
  <c r="N897" i="18"/>
  <c r="N961" i="18"/>
  <c r="N984" i="18"/>
  <c r="N993" i="18"/>
  <c r="N1002" i="18"/>
  <c r="N838" i="18"/>
  <c r="N844" i="18"/>
  <c r="N908" i="18"/>
  <c r="N972" i="18"/>
  <c r="N1036" i="18"/>
  <c r="N1068" i="18"/>
  <c r="N1103" i="18"/>
  <c r="N922" i="18"/>
  <c r="N1021" i="18"/>
  <c r="N1085" i="18"/>
  <c r="N917" i="18"/>
  <c r="N864" i="18"/>
  <c r="N928" i="18"/>
  <c r="N1014" i="18"/>
  <c r="N1078" i="18"/>
  <c r="N931" i="18"/>
  <c r="N902" i="18"/>
  <c r="N966" i="18"/>
  <c r="N1055" i="18"/>
  <c r="N1096" i="18"/>
  <c r="N1050" i="18"/>
  <c r="N987" i="18"/>
  <c r="N1051" i="18"/>
  <c r="N1017" i="18"/>
  <c r="N1081" i="18"/>
  <c r="N797" i="18"/>
  <c r="D33" i="43" s="1" a="1"/>
  <c r="D33" i="43" s="1"/>
  <c r="O779" i="18"/>
  <c r="O759" i="18"/>
  <c r="O856" i="18"/>
  <c r="O978" i="18"/>
  <c r="O1045" i="18"/>
  <c r="O1043" i="18"/>
  <c r="A20" i="11"/>
  <c r="A21" i="11" s="1"/>
  <c r="A22" i="11" s="1"/>
  <c r="A23" i="11" s="1"/>
  <c r="A24" i="11" s="1"/>
  <c r="A25" i="11" s="1"/>
  <c r="A26" i="11" s="1"/>
  <c r="A27" i="11" s="1"/>
  <c r="A28" i="11" s="1"/>
  <c r="A29" i="11" s="1"/>
  <c r="A30" i="11" s="1"/>
  <c r="A31" i="11" s="1"/>
  <c r="A32" i="11" s="1"/>
  <c r="A33" i="11" s="1"/>
  <c r="A34" i="11" s="1"/>
  <c r="BG25" i="20"/>
  <c r="E216" i="26"/>
  <c r="AA36" i="4"/>
  <c r="AA35" i="4"/>
  <c r="O36" i="4"/>
  <c r="O35" i="4"/>
  <c r="H211" i="26"/>
  <c r="N39" i="26"/>
  <c r="I39" i="26"/>
  <c r="L39" i="26"/>
  <c r="H39" i="26"/>
  <c r="K39" i="26"/>
  <c r="O39" i="26"/>
  <c r="N221" i="26"/>
  <c r="I221" i="26"/>
  <c r="H221" i="26"/>
  <c r="L221" i="26"/>
  <c r="K221" i="26"/>
  <c r="O221" i="26"/>
  <c r="I211" i="26"/>
  <c r="O812" i="18"/>
  <c r="O918" i="18"/>
  <c r="O842" i="18"/>
  <c r="O847" i="18"/>
  <c r="O858" i="18"/>
  <c r="O808" i="18"/>
  <c r="O876" i="18"/>
  <c r="O1068" i="18"/>
  <c r="O884" i="18"/>
  <c r="O948" i="18"/>
  <c r="O865" i="18"/>
  <c r="O929" i="18"/>
  <c r="O980" i="18"/>
  <c r="O990" i="18"/>
  <c r="O1001" i="18"/>
  <c r="O895" i="18"/>
  <c r="O959" i="18"/>
  <c r="O1049" i="18"/>
  <c r="O890" i="18"/>
  <c r="O954" i="18"/>
  <c r="O1053" i="18"/>
  <c r="O877" i="18"/>
  <c r="O941" i="18"/>
  <c r="O1034" i="18"/>
  <c r="O888" i="18"/>
  <c r="O952" i="18"/>
  <c r="O891" i="18"/>
  <c r="O955" i="18"/>
  <c r="O1051" i="18"/>
  <c r="O1031" i="18"/>
  <c r="O1095" i="18"/>
  <c r="O1032" i="18"/>
  <c r="O1096" i="18"/>
  <c r="O1054" i="18"/>
  <c r="O843" i="18"/>
  <c r="O773" i="18"/>
  <c r="O813" i="18"/>
  <c r="O819" i="18"/>
  <c r="O795" i="18"/>
  <c r="O818" i="18"/>
  <c r="O806" i="18"/>
  <c r="O803" i="18"/>
  <c r="O775" i="18"/>
  <c r="O833" i="18"/>
  <c r="O820" i="18"/>
  <c r="O926" i="18"/>
  <c r="O844" i="18"/>
  <c r="O848" i="18"/>
  <c r="O859" i="18"/>
  <c r="O816" i="18"/>
  <c r="O1012" i="18"/>
  <c r="O1076" i="18"/>
  <c r="O892" i="18"/>
  <c r="O956" i="18"/>
  <c r="O873" i="18"/>
  <c r="O937" i="18"/>
  <c r="O981" i="18"/>
  <c r="O991" i="18"/>
  <c r="O1002" i="18"/>
  <c r="O903" i="18"/>
  <c r="O967" i="18"/>
  <c r="O1057" i="18"/>
  <c r="O898" i="18"/>
  <c r="O962" i="18"/>
  <c r="O1061" i="18"/>
  <c r="O885" i="18"/>
  <c r="O949" i="18"/>
  <c r="O1042" i="18"/>
  <c r="O896" i="18"/>
  <c r="O960" i="18"/>
  <c r="O899" i="18"/>
  <c r="O963" i="18"/>
  <c r="O1059" i="18"/>
  <c r="O1039" i="18"/>
  <c r="O1103" i="18"/>
  <c r="O1040" i="18"/>
  <c r="O1104" i="18"/>
  <c r="O1062" i="18"/>
  <c r="N829" i="18"/>
  <c r="O762" i="18"/>
  <c r="O781" i="18"/>
  <c r="O821" i="18"/>
  <c r="O827" i="18"/>
  <c r="O805" i="18"/>
  <c r="O826" i="18"/>
  <c r="O810" i="18"/>
  <c r="O807" i="18"/>
  <c r="O783" i="18"/>
  <c r="O841" i="18"/>
  <c r="O828" i="18"/>
  <c r="O934" i="18"/>
  <c r="O852" i="18"/>
  <c r="O850" i="18"/>
  <c r="O861" i="18"/>
  <c r="O824" i="18"/>
  <c r="O1020" i="18"/>
  <c r="O1084" i="18"/>
  <c r="O900" i="18"/>
  <c r="O964" i="18"/>
  <c r="O881" i="18"/>
  <c r="O945" i="18"/>
  <c r="O982" i="18"/>
  <c r="O993" i="18"/>
  <c r="O1004" i="18"/>
  <c r="O911" i="18"/>
  <c r="O975" i="18"/>
  <c r="O1065" i="18"/>
  <c r="O906" i="18"/>
  <c r="O970" i="18"/>
  <c r="O1069" i="18"/>
  <c r="O893" i="18"/>
  <c r="O957" i="18"/>
  <c r="O1050" i="18"/>
  <c r="O904" i="18"/>
  <c r="O968" i="18"/>
  <c r="O907" i="18"/>
  <c r="O971" i="18"/>
  <c r="O1067" i="18"/>
  <c r="O1047" i="18"/>
  <c r="O984" i="18"/>
  <c r="O1048" i="18"/>
  <c r="O1006" i="18"/>
  <c r="O1070" i="18"/>
  <c r="N975" i="18"/>
  <c r="O770" i="18"/>
  <c r="O789" i="18"/>
  <c r="O829" i="18"/>
  <c r="O837" i="18"/>
  <c r="O872" i="18"/>
  <c r="O839" i="18"/>
  <c r="O756" i="18"/>
  <c r="O811" i="18"/>
  <c r="O791" i="18"/>
  <c r="O867" i="18"/>
  <c r="O836" i="18"/>
  <c r="O942" i="18"/>
  <c r="O860" i="18"/>
  <c r="O851" i="18"/>
  <c r="O862" i="18"/>
  <c r="O832" i="18"/>
  <c r="O1028" i="18"/>
  <c r="O1097" i="18"/>
  <c r="O908" i="18"/>
  <c r="O972" i="18"/>
  <c r="O889" i="18"/>
  <c r="O953" i="18"/>
  <c r="O983" i="18"/>
  <c r="O994" i="18"/>
  <c r="O1005" i="18"/>
  <c r="O919" i="18"/>
  <c r="O1009" i="18"/>
  <c r="O1073" i="18"/>
  <c r="O914" i="18"/>
  <c r="O1013" i="18"/>
  <c r="O1077" i="18"/>
  <c r="O901" i="18"/>
  <c r="O965" i="18"/>
  <c r="O1058" i="18"/>
  <c r="O912" i="18"/>
  <c r="O976" i="18"/>
  <c r="O915" i="18"/>
  <c r="O1011" i="18"/>
  <c r="O1075" i="18"/>
  <c r="O1055" i="18"/>
  <c r="O992" i="18"/>
  <c r="O1056" i="18"/>
  <c r="O1014" i="18"/>
  <c r="O1078" i="18"/>
  <c r="N813" i="18"/>
  <c r="N801" i="18"/>
  <c r="O778" i="18"/>
  <c r="O797" i="18"/>
  <c r="O760" i="18"/>
  <c r="O755" i="18"/>
  <c r="O758" i="18"/>
  <c r="O761" i="18"/>
  <c r="O764" i="18"/>
  <c r="O815" i="18"/>
  <c r="O864" i="18"/>
  <c r="O875" i="18"/>
  <c r="O886" i="18"/>
  <c r="O950" i="18"/>
  <c r="O1098" i="18"/>
  <c r="O853" i="18"/>
  <c r="O979" i="18"/>
  <c r="O840" i="18"/>
  <c r="O1036" i="18"/>
  <c r="O814" i="18"/>
  <c r="O916" i="18"/>
  <c r="O1089" i="18"/>
  <c r="O897" i="18"/>
  <c r="O961" i="18"/>
  <c r="O985" i="18"/>
  <c r="O996" i="18"/>
  <c r="O863" i="18"/>
  <c r="O927" i="18"/>
  <c r="O1017" i="18"/>
  <c r="O1081" i="18"/>
  <c r="O922" i="18"/>
  <c r="O1021" i="18"/>
  <c r="O1085" i="18"/>
  <c r="O909" i="18"/>
  <c r="O973" i="18"/>
  <c r="O1066" i="18"/>
  <c r="O920" i="18"/>
  <c r="O1090" i="18"/>
  <c r="O923" i="18"/>
  <c r="O1019" i="18"/>
  <c r="O1083" i="18"/>
  <c r="O1063" i="18"/>
  <c r="O1000" i="18"/>
  <c r="O1064" i="18"/>
  <c r="O1022" i="18"/>
  <c r="O1086" i="18"/>
  <c r="N808" i="18"/>
  <c r="O786" i="18"/>
  <c r="O798" i="18"/>
  <c r="O768" i="18"/>
  <c r="O763" i="18"/>
  <c r="O766" i="18"/>
  <c r="O769" i="18"/>
  <c r="O772" i="18"/>
  <c r="O823" i="18"/>
  <c r="O801" i="18"/>
  <c r="O878" i="18"/>
  <c r="O894" i="18"/>
  <c r="O958" i="18"/>
  <c r="O1105" i="18"/>
  <c r="O854" i="18"/>
  <c r="O987" i="18"/>
  <c r="O870" i="18"/>
  <c r="O1044" i="18"/>
  <c r="O822" i="18"/>
  <c r="O924" i="18"/>
  <c r="O1093" i="18"/>
  <c r="O905" i="18"/>
  <c r="O969" i="18"/>
  <c r="O986" i="18"/>
  <c r="O997" i="18"/>
  <c r="O871" i="18"/>
  <c r="O935" i="18"/>
  <c r="O1025" i="18"/>
  <c r="O866" i="18"/>
  <c r="O930" i="18"/>
  <c r="O1029" i="18"/>
  <c r="O1092" i="18"/>
  <c r="O917" i="18"/>
  <c r="O1010" i="18"/>
  <c r="O1074" i="18"/>
  <c r="O928" i="18"/>
  <c r="O1091" i="18"/>
  <c r="O931" i="18"/>
  <c r="O1027" i="18"/>
  <c r="O1007" i="18"/>
  <c r="O1071" i="18"/>
  <c r="O1008" i="18"/>
  <c r="O1072" i="18"/>
  <c r="O1030" i="18"/>
  <c r="O1094" i="18"/>
  <c r="N798" i="18"/>
  <c r="O794" i="18"/>
  <c r="O799" i="18"/>
  <c r="O776" i="18"/>
  <c r="O771" i="18"/>
  <c r="O774" i="18"/>
  <c r="O777" i="18"/>
  <c r="O780" i="18"/>
  <c r="O831" i="18"/>
  <c r="O809" i="18"/>
  <c r="O1099" i="18"/>
  <c r="O902" i="18"/>
  <c r="O966" i="18"/>
  <c r="O845" i="18"/>
  <c r="O855" i="18"/>
  <c r="O995" i="18"/>
  <c r="O835" i="18"/>
  <c r="O1052" i="18"/>
  <c r="O830" i="18"/>
  <c r="O932" i="18"/>
  <c r="O849" i="18"/>
  <c r="O913" i="18"/>
  <c r="O977" i="18"/>
  <c r="O988" i="18"/>
  <c r="O998" i="18"/>
  <c r="O879" i="18"/>
  <c r="O943" i="18"/>
  <c r="O1033" i="18"/>
  <c r="O874" i="18"/>
  <c r="O938" i="18"/>
  <c r="O1037" i="18"/>
  <c r="O1101" i="18"/>
  <c r="O925" i="18"/>
  <c r="O1018" i="18"/>
  <c r="O1082" i="18"/>
  <c r="O936" i="18"/>
  <c r="O1100" i="18"/>
  <c r="O939" i="18"/>
  <c r="O1035" i="18"/>
  <c r="O1015" i="18"/>
  <c r="O1079" i="18"/>
  <c r="O1016" i="18"/>
  <c r="O1080" i="18"/>
  <c r="O1038" i="18"/>
  <c r="R24" i="5"/>
  <c r="Q25" i="5"/>
  <c r="AG16" i="5"/>
  <c r="AG21" i="5" s="1"/>
  <c r="AF21" i="5"/>
  <c r="R23" i="5"/>
  <c r="S23" i="5" s="1"/>
  <c r="F39" i="26"/>
  <c r="T8" i="18"/>
  <c r="S14" i="18"/>
  <c r="T6" i="18"/>
  <c r="S12" i="18"/>
  <c r="T7" i="18"/>
  <c r="S13" i="18"/>
  <c r="S5" i="18"/>
  <c r="R11" i="18"/>
  <c r="T9" i="18"/>
  <c r="S15" i="18"/>
  <c r="E39" i="26"/>
  <c r="D95" i="5"/>
  <c r="AL7" i="5" s="1"/>
  <c r="F94" i="5"/>
  <c r="AK8" i="5" s="1"/>
  <c r="AF22" i="5"/>
  <c r="AF18" i="5"/>
  <c r="J7" i="15" a="1"/>
  <c r="J7" i="15" s="1"/>
  <c r="L792" i="18"/>
  <c r="L1004" i="18"/>
  <c r="L880" i="18"/>
  <c r="L944" i="18"/>
  <c r="L920" i="18"/>
  <c r="L938" i="18"/>
  <c r="L948" i="18"/>
  <c r="L872" i="18"/>
  <c r="L757" i="18"/>
  <c r="L1016" i="18"/>
  <c r="L772" i="18"/>
  <c r="L962" i="18"/>
  <c r="L1079" i="18"/>
  <c r="L1099" i="18"/>
  <c r="L834" i="18"/>
  <c r="F45" i="1" a="1"/>
  <c r="F45" i="1" s="1"/>
  <c r="BG44" i="20"/>
  <c r="BH44" i="20"/>
  <c r="K22" i="5"/>
  <c r="L22" i="5" s="1"/>
  <c r="K20" i="5"/>
  <c r="L20" i="5" s="1"/>
  <c r="M20" i="5" s="1"/>
  <c r="N20" i="5" s="1"/>
  <c r="O20" i="5" s="1"/>
  <c r="U4" i="24"/>
  <c r="BH15" i="20"/>
  <c r="BG43" i="20"/>
  <c r="BG5" i="20"/>
  <c r="L1083" i="18"/>
  <c r="L963" i="18"/>
  <c r="L908" i="18"/>
  <c r="L1006" i="18"/>
  <c r="L1013" i="18"/>
  <c r="L885" i="18"/>
  <c r="L1039" i="18"/>
  <c r="L1044" i="18"/>
  <c r="L786" i="18"/>
  <c r="L932" i="18"/>
  <c r="L949" i="18"/>
  <c r="L821" i="18"/>
  <c r="L1017" i="18"/>
  <c r="L1056" i="18"/>
  <c r="L1089" i="18"/>
  <c r="L1078" i="18"/>
  <c r="L758" i="18"/>
  <c r="L836" i="18"/>
  <c r="AS33" i="5"/>
  <c r="L827" i="18"/>
  <c r="L966" i="18"/>
  <c r="L943" i="18"/>
  <c r="L931" i="18"/>
  <c r="L871" i="18"/>
  <c r="N911" i="18"/>
  <c r="L902" i="18"/>
  <c r="L1066" i="18"/>
  <c r="L856" i="18"/>
  <c r="L833" i="18"/>
  <c r="L807" i="18"/>
  <c r="L1077" i="18"/>
  <c r="M858" i="18"/>
  <c r="L1081" i="18"/>
  <c r="L928" i="18"/>
  <c r="L874" i="18"/>
  <c r="L956" i="18"/>
  <c r="L1076" i="18"/>
  <c r="L1095" i="18"/>
  <c r="L826" i="18"/>
  <c r="L900" i="18"/>
  <c r="L930" i="18"/>
  <c r="L1028" i="18"/>
  <c r="L893" i="18"/>
  <c r="L1040" i="18"/>
  <c r="L919" i="18"/>
  <c r="L953" i="18"/>
  <c r="L1054" i="18"/>
  <c r="L936" i="18"/>
  <c r="L899" i="18"/>
  <c r="L769" i="18"/>
  <c r="L857" i="18"/>
  <c r="L1080" i="18"/>
  <c r="L1007" i="18"/>
  <c r="L934" i="18"/>
  <c r="L835" i="18"/>
  <c r="L1070" i="18"/>
  <c r="L996" i="18"/>
  <c r="L923" i="18"/>
  <c r="L817" i="18"/>
  <c r="L1068" i="18"/>
  <c r="L995" i="18"/>
  <c r="L922" i="18"/>
  <c r="L814" i="18"/>
  <c r="L1069" i="18"/>
  <c r="L1005" i="18"/>
  <c r="L941" i="18"/>
  <c r="L866" i="18"/>
  <c r="L848" i="18"/>
  <c r="L784" i="18"/>
  <c r="L863" i="18"/>
  <c r="L799" i="18"/>
  <c r="L877" i="18"/>
  <c r="L813" i="18"/>
  <c r="L892" i="18"/>
  <c r="L828" i="18"/>
  <c r="L764" i="18"/>
  <c r="L991" i="18"/>
  <c r="L1036" i="18"/>
  <c r="L1064" i="18"/>
  <c r="L862" i="18"/>
  <c r="L1055" i="18"/>
  <c r="L1075" i="18"/>
  <c r="L1094" i="18"/>
  <c r="L811" i="18"/>
  <c r="L875" i="18"/>
  <c r="L1012" i="18"/>
  <c r="L859" i="18"/>
  <c r="L1027" i="18"/>
  <c r="L890" i="18"/>
  <c r="L937" i="18"/>
  <c r="L1038" i="18"/>
  <c r="L911" i="18"/>
  <c r="L888" i="18"/>
  <c r="L935" i="18"/>
  <c r="L841" i="18"/>
  <c r="L1071" i="18"/>
  <c r="L998" i="18"/>
  <c r="L924" i="18"/>
  <c r="L818" i="18"/>
  <c r="L1060" i="18"/>
  <c r="L987" i="18"/>
  <c r="L914" i="18"/>
  <c r="L798" i="18"/>
  <c r="L1059" i="18"/>
  <c r="L986" i="18"/>
  <c r="L913" i="18"/>
  <c r="L795" i="18"/>
  <c r="L1061" i="18"/>
  <c r="L997" i="18"/>
  <c r="L933" i="18"/>
  <c r="L854" i="18"/>
  <c r="L840" i="18"/>
  <c r="L776" i="18"/>
  <c r="L855" i="18"/>
  <c r="L791" i="18"/>
  <c r="L869" i="18"/>
  <c r="L805" i="18"/>
  <c r="L884" i="18"/>
  <c r="L820" i="18"/>
  <c r="L756" i="18"/>
  <c r="L777" i="18"/>
  <c r="L990" i="18"/>
  <c r="L921" i="18"/>
  <c r="L1018" i="18"/>
  <c r="L1103" i="18"/>
  <c r="L1031" i="18"/>
  <c r="L1049" i="18"/>
  <c r="L1074" i="18"/>
  <c r="L1092" i="18"/>
  <c r="L787" i="18"/>
  <c r="L1000" i="18"/>
  <c r="L810" i="18"/>
  <c r="L1011" i="18"/>
  <c r="L849" i="18"/>
  <c r="L912" i="18"/>
  <c r="L1022" i="18"/>
  <c r="L878" i="18"/>
  <c r="L873" i="18"/>
  <c r="L926" i="18"/>
  <c r="L819" i="18"/>
  <c r="L1062" i="18"/>
  <c r="L988" i="18"/>
  <c r="L915" i="18"/>
  <c r="L801" i="18"/>
  <c r="L1051" i="18"/>
  <c r="L978" i="18"/>
  <c r="L905" i="18"/>
  <c r="L779" i="18"/>
  <c r="L1050" i="18"/>
  <c r="L977" i="18"/>
  <c r="L904" i="18"/>
  <c r="L778" i="18"/>
  <c r="L1053" i="18"/>
  <c r="L989" i="18"/>
  <c r="L925" i="18"/>
  <c r="L838" i="18"/>
  <c r="L832" i="18"/>
  <c r="L768" i="18"/>
  <c r="L847" i="18"/>
  <c r="L783" i="18"/>
  <c r="L861" i="18"/>
  <c r="L797" i="18"/>
  <c r="L876" i="18"/>
  <c r="L812" i="18"/>
  <c r="L771" i="18"/>
  <c r="L985" i="18"/>
  <c r="L1035" i="18"/>
  <c r="L958" i="18"/>
  <c r="L1058" i="18"/>
  <c r="L1003" i="18"/>
  <c r="L1030" i="18"/>
  <c r="L1048" i="18"/>
  <c r="L1067" i="18"/>
  <c r="L1102" i="18"/>
  <c r="L984" i="18"/>
  <c r="L999" i="18"/>
  <c r="L809" i="18"/>
  <c r="L889" i="18"/>
  <c r="L1009" i="18"/>
  <c r="L843" i="18"/>
  <c r="L858" i="18"/>
  <c r="L916" i="18"/>
  <c r="L802" i="18"/>
  <c r="L1052" i="18"/>
  <c r="L979" i="18"/>
  <c r="L906" i="18"/>
  <c r="L782" i="18"/>
  <c r="L1042" i="18"/>
  <c r="L969" i="18"/>
  <c r="L896" i="18"/>
  <c r="L762" i="18"/>
  <c r="L1041" i="18"/>
  <c r="L968" i="18"/>
  <c r="L894" i="18"/>
  <c r="L761" i="18"/>
  <c r="L1045" i="18"/>
  <c r="L981" i="18"/>
  <c r="L917" i="18"/>
  <c r="L822" i="18"/>
  <c r="L824" i="18"/>
  <c r="L760" i="18"/>
  <c r="L839" i="18"/>
  <c r="L775" i="18"/>
  <c r="L853" i="18"/>
  <c r="L789" i="18"/>
  <c r="L868" i="18"/>
  <c r="L804" i="18"/>
  <c r="L770" i="18"/>
  <c r="L976" i="18"/>
  <c r="L910" i="18"/>
  <c r="L864" i="18"/>
  <c r="L1008" i="18"/>
  <c r="L975" i="18"/>
  <c r="L1002" i="18"/>
  <c r="L1026" i="18"/>
  <c r="L1047" i="18"/>
  <c r="L1086" i="18"/>
  <c r="L971" i="18"/>
  <c r="L1100" i="18"/>
  <c r="L983" i="18"/>
  <c r="L1010" i="18"/>
  <c r="L846" i="18"/>
  <c r="L993" i="18"/>
  <c r="L793" i="18"/>
  <c r="L842" i="18"/>
  <c r="L907" i="18"/>
  <c r="L785" i="18"/>
  <c r="L1043" i="18"/>
  <c r="L970" i="18"/>
  <c r="L897" i="18"/>
  <c r="L763" i="18"/>
  <c r="L1033" i="18"/>
  <c r="L960" i="18"/>
  <c r="L882" i="18"/>
  <c r="L1105" i="18"/>
  <c r="L1032" i="18"/>
  <c r="L959" i="18"/>
  <c r="L881" i="18"/>
  <c r="L1101" i="18"/>
  <c r="L1037" i="18"/>
  <c r="L973" i="18"/>
  <c r="L909" i="18"/>
  <c r="L806" i="18"/>
  <c r="L816" i="18"/>
  <c r="L895" i="18"/>
  <c r="L831" i="18"/>
  <c r="L767" i="18"/>
  <c r="L845" i="18"/>
  <c r="L781" i="18"/>
  <c r="L860" i="18"/>
  <c r="L796" i="18"/>
  <c r="N799" i="18"/>
  <c r="L1091" i="18"/>
  <c r="L1046" i="18"/>
  <c r="L1065" i="18"/>
  <c r="L1104" i="18"/>
  <c r="L947" i="18"/>
  <c r="L946" i="18"/>
  <c r="L974" i="18"/>
  <c r="L1001" i="18"/>
  <c r="L1020" i="18"/>
  <c r="L1073" i="18"/>
  <c r="L955" i="18"/>
  <c r="L1084" i="18"/>
  <c r="L967" i="18"/>
  <c r="L994" i="18"/>
  <c r="L794" i="18"/>
  <c r="L980" i="18"/>
  <c r="L927" i="18"/>
  <c r="L825" i="18"/>
  <c r="L898" i="18"/>
  <c r="L766" i="18"/>
  <c r="L1034" i="18"/>
  <c r="L961" i="18"/>
  <c r="L883" i="18"/>
  <c r="L1097" i="18"/>
  <c r="L1024" i="18"/>
  <c r="L951" i="18"/>
  <c r="L867" i="18"/>
  <c r="L1096" i="18"/>
  <c r="L1023" i="18"/>
  <c r="L950" i="18"/>
  <c r="L865" i="18"/>
  <c r="L1093" i="18"/>
  <c r="L1029" i="18"/>
  <c r="L965" i="18"/>
  <c r="L901" i="18"/>
  <c r="L790" i="18"/>
  <c r="L808" i="18"/>
  <c r="L887" i="18"/>
  <c r="L823" i="18"/>
  <c r="L759" i="18"/>
  <c r="L837" i="18"/>
  <c r="L773" i="18"/>
  <c r="L852" i="18"/>
  <c r="L788" i="18"/>
  <c r="N879" i="18"/>
  <c r="L1090" i="18"/>
  <c r="L929" i="18"/>
  <c r="L1019" i="18"/>
  <c r="L1063" i="18"/>
  <c r="L830" i="18"/>
  <c r="L903" i="18"/>
  <c r="L945" i="18"/>
  <c r="L972" i="18"/>
  <c r="L992" i="18"/>
  <c r="L1057" i="18"/>
  <c r="L939" i="18"/>
  <c r="L1072" i="18"/>
  <c r="L954" i="18"/>
  <c r="L982" i="18"/>
  <c r="L1082" i="18"/>
  <c r="L964" i="18"/>
  <c r="L918" i="18"/>
  <c r="L803" i="18"/>
  <c r="L886" i="18"/>
  <c r="L1098" i="18"/>
  <c r="L1025" i="18"/>
  <c r="L952" i="18"/>
  <c r="L870" i="18"/>
  <c r="L1088" i="18"/>
  <c r="L1015" i="18"/>
  <c r="L942" i="18"/>
  <c r="L851" i="18"/>
  <c r="L1087" i="18"/>
  <c r="L1014" i="18"/>
  <c r="L940" i="18"/>
  <c r="L850" i="18"/>
  <c r="L1085" i="18"/>
  <c r="L1021" i="18"/>
  <c r="L957" i="18"/>
  <c r="L891" i="18"/>
  <c r="L774" i="18"/>
  <c r="L800" i="18"/>
  <c r="L879" i="18"/>
  <c r="L815" i="18"/>
  <c r="L829" i="18"/>
  <c r="L765" i="18"/>
  <c r="L844" i="18"/>
  <c r="L780" i="18"/>
  <c r="L50" i="18"/>
  <c r="L58" i="18"/>
  <c r="L66" i="18"/>
  <c r="L74" i="18"/>
  <c r="L82" i="18"/>
  <c r="L90" i="18"/>
  <c r="L98" i="18"/>
  <c r="L106" i="18"/>
  <c r="L114" i="18"/>
  <c r="L122" i="18"/>
  <c r="L130" i="18"/>
  <c r="L138" i="18"/>
  <c r="L146" i="18"/>
  <c r="L154" i="18"/>
  <c r="L162" i="18"/>
  <c r="L170" i="18"/>
  <c r="L178" i="18"/>
  <c r="L186" i="18"/>
  <c r="L194" i="18"/>
  <c r="L202" i="18"/>
  <c r="L210" i="18"/>
  <c r="L218" i="18"/>
  <c r="L226" i="18"/>
  <c r="L234" i="18"/>
  <c r="L242" i="18"/>
  <c r="L250" i="18"/>
  <c r="L258" i="18"/>
  <c r="L266" i="18"/>
  <c r="L274" i="18"/>
  <c r="L282" i="18"/>
  <c r="L290" i="18"/>
  <c r="L298" i="18"/>
  <c r="L306" i="18"/>
  <c r="L314" i="18"/>
  <c r="L322" i="18"/>
  <c r="L330" i="18"/>
  <c r="L338" i="18"/>
  <c r="L346" i="18"/>
  <c r="L354" i="18"/>
  <c r="L362" i="18"/>
  <c r="L370" i="18"/>
  <c r="L378" i="18"/>
  <c r="L386" i="18"/>
  <c r="L394" i="18"/>
  <c r="L405" i="18"/>
  <c r="L413" i="18"/>
  <c r="L421" i="18"/>
  <c r="L429" i="18"/>
  <c r="L437" i="18"/>
  <c r="L445" i="18"/>
  <c r="L453" i="18"/>
  <c r="L461" i="18"/>
  <c r="L469" i="18"/>
  <c r="L477" i="18"/>
  <c r="L485" i="18"/>
  <c r="L493" i="18"/>
  <c r="L501" i="18"/>
  <c r="L509" i="18"/>
  <c r="L517" i="18"/>
  <c r="L56" i="18"/>
  <c r="L65" i="18"/>
  <c r="L75" i="18"/>
  <c r="L84" i="18"/>
  <c r="L93" i="18"/>
  <c r="L102" i="18"/>
  <c r="L111" i="18"/>
  <c r="L120" i="18"/>
  <c r="L129" i="18"/>
  <c r="L139" i="18"/>
  <c r="L148" i="18"/>
  <c r="L157" i="18"/>
  <c r="L166" i="18"/>
  <c r="L175" i="18"/>
  <c r="L184" i="18"/>
  <c r="L193" i="18"/>
  <c r="L203" i="18"/>
  <c r="L212" i="18"/>
  <c r="L221" i="18"/>
  <c r="L230" i="18"/>
  <c r="L239" i="18"/>
  <c r="L248" i="18"/>
  <c r="L257" i="18"/>
  <c r="L267" i="18"/>
  <c r="L276" i="18"/>
  <c r="L285" i="18"/>
  <c r="L294" i="18"/>
  <c r="L303" i="18"/>
  <c r="L312" i="18"/>
  <c r="L321" i="18"/>
  <c r="L331" i="18"/>
  <c r="L340" i="18"/>
  <c r="L349" i="18"/>
  <c r="L358" i="18"/>
  <c r="L367" i="18"/>
  <c r="L376" i="18"/>
  <c r="L385" i="18"/>
  <c r="L395" i="18"/>
  <c r="L407" i="18"/>
  <c r="L416" i="18"/>
  <c r="L425" i="18"/>
  <c r="L434" i="18"/>
  <c r="L443" i="18"/>
  <c r="L452" i="18"/>
  <c r="L462" i="18"/>
  <c r="L471" i="18"/>
  <c r="L480" i="18"/>
  <c r="L489" i="18"/>
  <c r="L498" i="18"/>
  <c r="L507" i="18"/>
  <c r="L516" i="18"/>
  <c r="L525" i="18"/>
  <c r="L533" i="18"/>
  <c r="L541" i="18"/>
  <c r="L549" i="18"/>
  <c r="L557" i="18"/>
  <c r="L565" i="18"/>
  <c r="L573" i="18"/>
  <c r="L581" i="18"/>
  <c r="L589" i="18"/>
  <c r="L597" i="18"/>
  <c r="L49" i="18"/>
  <c r="L59" i="18"/>
  <c r="L68" i="18"/>
  <c r="L77" i="18"/>
  <c r="L86" i="18"/>
  <c r="L95" i="18"/>
  <c r="L104" i="18"/>
  <c r="L113" i="18"/>
  <c r="L123" i="18"/>
  <c r="L51" i="18"/>
  <c r="L60" i="18"/>
  <c r="L69" i="18"/>
  <c r="L78" i="18"/>
  <c r="L87" i="18"/>
  <c r="L96" i="18"/>
  <c r="L105" i="18"/>
  <c r="L115" i="18"/>
  <c r="L124" i="18"/>
  <c r="L133" i="18"/>
  <c r="L142" i="18"/>
  <c r="L151" i="18"/>
  <c r="L160" i="18"/>
  <c r="L169" i="18"/>
  <c r="L179" i="18"/>
  <c r="L188" i="18"/>
  <c r="L197" i="18"/>
  <c r="L206" i="18"/>
  <c r="L215" i="18"/>
  <c r="L224" i="18"/>
  <c r="L233" i="18"/>
  <c r="L243" i="18"/>
  <c r="L252" i="18"/>
  <c r="L261" i="18"/>
  <c r="L270" i="18"/>
  <c r="L279" i="18"/>
  <c r="L288" i="18"/>
  <c r="L297" i="18"/>
  <c r="L307" i="18"/>
  <c r="L316" i="18"/>
  <c r="L325" i="18"/>
  <c r="L334" i="18"/>
  <c r="L343" i="18"/>
  <c r="L352" i="18"/>
  <c r="L361" i="18"/>
  <c r="L371" i="18"/>
  <c r="L380" i="18"/>
  <c r="L389" i="18"/>
  <c r="L398" i="18"/>
  <c r="L410" i="18"/>
  <c r="L419" i="18"/>
  <c r="L428" i="18"/>
  <c r="L438" i="18"/>
  <c r="L447" i="18"/>
  <c r="L456" i="18"/>
  <c r="L465" i="18"/>
  <c r="L474" i="18"/>
  <c r="L483" i="18"/>
  <c r="L492" i="18"/>
  <c r="L502" i="18"/>
  <c r="L511" i="18"/>
  <c r="L520" i="18"/>
  <c r="L528" i="18"/>
  <c r="L536" i="18"/>
  <c r="L544" i="18"/>
  <c r="L552" i="18"/>
  <c r="L560" i="18"/>
  <c r="L568" i="18"/>
  <c r="L576" i="18"/>
  <c r="L584" i="18"/>
  <c r="L592" i="18"/>
  <c r="L600" i="18"/>
  <c r="L52" i="18"/>
  <c r="L61" i="18"/>
  <c r="L70" i="18"/>
  <c r="L79" i="18"/>
  <c r="L88" i="18"/>
  <c r="L97" i="18"/>
  <c r="L107" i="18"/>
  <c r="L116" i="18"/>
  <c r="L125" i="18"/>
  <c r="L134" i="18"/>
  <c r="L143" i="18"/>
  <c r="L152" i="18"/>
  <c r="L161" i="18"/>
  <c r="L171" i="18"/>
  <c r="L180" i="18"/>
  <c r="L189" i="18"/>
  <c r="L198" i="18"/>
  <c r="L207" i="18"/>
  <c r="L216" i="18"/>
  <c r="L225" i="18"/>
  <c r="L235" i="18"/>
  <c r="L244" i="18"/>
  <c r="L253" i="18"/>
  <c r="L262" i="18"/>
  <c r="L271" i="18"/>
  <c r="L280" i="18"/>
  <c r="L289" i="18"/>
  <c r="L299" i="18"/>
  <c r="L308" i="18"/>
  <c r="L317" i="18"/>
  <c r="L326" i="18"/>
  <c r="L335" i="18"/>
  <c r="L344" i="18"/>
  <c r="L353" i="18"/>
  <c r="L363" i="18"/>
  <c r="L372" i="18"/>
  <c r="L381" i="18"/>
  <c r="L390" i="18"/>
  <c r="L402" i="18"/>
  <c r="L411" i="18"/>
  <c r="L420" i="18"/>
  <c r="L430" i="18"/>
  <c r="L439" i="18"/>
  <c r="L448" i="18"/>
  <c r="L457" i="18"/>
  <c r="L466" i="18"/>
  <c r="L475" i="18"/>
  <c r="L484" i="18"/>
  <c r="L494" i="18"/>
  <c r="L503" i="18"/>
  <c r="L512" i="18"/>
  <c r="L521" i="18"/>
  <c r="L529" i="18"/>
  <c r="L537" i="18"/>
  <c r="L545" i="18"/>
  <c r="L553" i="18"/>
  <c r="L561" i="18"/>
  <c r="L569" i="18"/>
  <c r="L577" i="18"/>
  <c r="L585" i="18"/>
  <c r="L593" i="18"/>
  <c r="L601" i="18"/>
  <c r="L53" i="18"/>
  <c r="L62" i="18"/>
  <c r="L71" i="18"/>
  <c r="L80" i="18"/>
  <c r="L89" i="18"/>
  <c r="L99" i="18"/>
  <c r="L108" i="18"/>
  <c r="L117" i="18"/>
  <c r="L126" i="18"/>
  <c r="L135" i="18"/>
  <c r="L144" i="18"/>
  <c r="L153" i="18"/>
  <c r="L163" i="18"/>
  <c r="L172" i="18"/>
  <c r="L181" i="18"/>
  <c r="L190" i="18"/>
  <c r="L199" i="18"/>
  <c r="L208" i="18"/>
  <c r="L217" i="18"/>
  <c r="L227" i="18"/>
  <c r="L236" i="18"/>
  <c r="L245" i="18"/>
  <c r="L254" i="18"/>
  <c r="L263" i="18"/>
  <c r="L272" i="18"/>
  <c r="L281" i="18"/>
  <c r="L291" i="18"/>
  <c r="L300" i="18"/>
  <c r="L309" i="18"/>
  <c r="L318" i="18"/>
  <c r="L327" i="18"/>
  <c r="L336" i="18"/>
  <c r="L345" i="18"/>
  <c r="L355" i="18"/>
  <c r="L364" i="18"/>
  <c r="L373" i="18"/>
  <c r="L382" i="18"/>
  <c r="L391" i="18"/>
  <c r="L403" i="18"/>
  <c r="L412" i="18"/>
  <c r="L422" i="18"/>
  <c r="L431" i="18"/>
  <c r="L440" i="18"/>
  <c r="L449" i="18"/>
  <c r="L458" i="18"/>
  <c r="L467" i="18"/>
  <c r="L476" i="18"/>
  <c r="L486" i="18"/>
  <c r="L495" i="18"/>
  <c r="L504" i="18"/>
  <c r="L513" i="18"/>
  <c r="L522" i="18"/>
  <c r="L530" i="18"/>
  <c r="L538" i="18"/>
  <c r="L546" i="18"/>
  <c r="L554" i="18"/>
  <c r="L562" i="18"/>
  <c r="L570" i="18"/>
  <c r="L578" i="18"/>
  <c r="L586" i="18"/>
  <c r="L594" i="18"/>
  <c r="L602" i="18"/>
  <c r="L63" i="18"/>
  <c r="L85" i="18"/>
  <c r="L110" i="18"/>
  <c r="L132" i="18"/>
  <c r="L150" i="18"/>
  <c r="L168" i="18"/>
  <c r="L187" i="18"/>
  <c r="L205" i="18"/>
  <c r="L223" i="18"/>
  <c r="L241" i="18"/>
  <c r="L260" i="18"/>
  <c r="L278" i="18"/>
  <c r="L296" i="18"/>
  <c r="L315" i="18"/>
  <c r="L333" i="18"/>
  <c r="L351" i="18"/>
  <c r="L369" i="18"/>
  <c r="L388" i="18"/>
  <c r="L409" i="18"/>
  <c r="L427" i="18"/>
  <c r="L446" i="18"/>
  <c r="L464" i="18"/>
  <c r="L482" i="18"/>
  <c r="L500" i="18"/>
  <c r="L519" i="18"/>
  <c r="L535" i="18"/>
  <c r="L551" i="18"/>
  <c r="L567" i="18"/>
  <c r="L583" i="18"/>
  <c r="L599" i="18"/>
  <c r="L610" i="18"/>
  <c r="L618" i="18"/>
  <c r="L626" i="18"/>
  <c r="L634" i="18"/>
  <c r="L642" i="18"/>
  <c r="L650" i="18"/>
  <c r="L658" i="18"/>
  <c r="L666" i="18"/>
  <c r="L674" i="18"/>
  <c r="L682" i="18"/>
  <c r="L690" i="18"/>
  <c r="L698" i="18"/>
  <c r="L706" i="18"/>
  <c r="L714" i="18"/>
  <c r="L722" i="18"/>
  <c r="L730" i="18"/>
  <c r="L738" i="18"/>
  <c r="L746" i="18"/>
  <c r="L64" i="18"/>
  <c r="L91" i="18"/>
  <c r="L112" i="18"/>
  <c r="L136" i="18"/>
  <c r="L155" i="18"/>
  <c r="L173" i="18"/>
  <c r="L191" i="18"/>
  <c r="L209" i="18"/>
  <c r="L228" i="18"/>
  <c r="L246" i="18"/>
  <c r="L264" i="18"/>
  <c r="L283" i="18"/>
  <c r="L301" i="18"/>
  <c r="L319" i="18"/>
  <c r="L337" i="18"/>
  <c r="L356" i="18"/>
  <c r="L374" i="18"/>
  <c r="L392" i="18"/>
  <c r="L414" i="18"/>
  <c r="L432" i="18"/>
  <c r="L450" i="18"/>
  <c r="L468" i="18"/>
  <c r="L487" i="18"/>
  <c r="L505" i="18"/>
  <c r="L523" i="18"/>
  <c r="L539" i="18"/>
  <c r="L555" i="18"/>
  <c r="L571" i="18"/>
  <c r="L587" i="18"/>
  <c r="L603" i="18"/>
  <c r="L611" i="18"/>
  <c r="L619" i="18"/>
  <c r="L627" i="18"/>
  <c r="L635" i="18"/>
  <c r="L643" i="18"/>
  <c r="L651" i="18"/>
  <c r="L659" i="18"/>
  <c r="L667" i="18"/>
  <c r="L675" i="18"/>
  <c r="L683" i="18"/>
  <c r="L691" i="18"/>
  <c r="L699" i="18"/>
  <c r="L707" i="18"/>
  <c r="L715" i="18"/>
  <c r="L723" i="18"/>
  <c r="L731" i="18"/>
  <c r="L739" i="18"/>
  <c r="L747" i="18"/>
  <c r="L418" i="18"/>
  <c r="L622" i="18"/>
  <c r="L662" i="18"/>
  <c r="L686" i="18"/>
  <c r="L718" i="18"/>
  <c r="L734" i="18"/>
  <c r="L167" i="18"/>
  <c r="L463" i="18"/>
  <c r="L566" i="18"/>
  <c r="L625" i="18"/>
  <c r="L673" i="18"/>
  <c r="L713" i="18"/>
  <c r="L67" i="18"/>
  <c r="L92" i="18"/>
  <c r="L118" i="18"/>
  <c r="L137" i="18"/>
  <c r="L156" i="18"/>
  <c r="L174" i="18"/>
  <c r="L192" i="18"/>
  <c r="L211" i="18"/>
  <c r="L229" i="18"/>
  <c r="L247" i="18"/>
  <c r="L265" i="18"/>
  <c r="L284" i="18"/>
  <c r="L302" i="18"/>
  <c r="L320" i="18"/>
  <c r="L339" i="18"/>
  <c r="L357" i="18"/>
  <c r="L375" i="18"/>
  <c r="L393" i="18"/>
  <c r="L415" i="18"/>
  <c r="L433" i="18"/>
  <c r="L451" i="18"/>
  <c r="L470" i="18"/>
  <c r="L488" i="18"/>
  <c r="L506" i="18"/>
  <c r="L524" i="18"/>
  <c r="L540" i="18"/>
  <c r="L556" i="18"/>
  <c r="L572" i="18"/>
  <c r="L588" i="18"/>
  <c r="L604" i="18"/>
  <c r="L612" i="18"/>
  <c r="L620" i="18"/>
  <c r="L628" i="18"/>
  <c r="L636" i="18"/>
  <c r="L644" i="18"/>
  <c r="L652" i="18"/>
  <c r="L660" i="18"/>
  <c r="L668" i="18"/>
  <c r="L676" i="18"/>
  <c r="L684" i="18"/>
  <c r="L692" i="18"/>
  <c r="L700" i="18"/>
  <c r="L708" i="18"/>
  <c r="L716" i="18"/>
  <c r="L724" i="18"/>
  <c r="L732" i="18"/>
  <c r="L740" i="18"/>
  <c r="L748" i="18"/>
  <c r="L324" i="18"/>
  <c r="L491" i="18"/>
  <c r="L559" i="18"/>
  <c r="L591" i="18"/>
  <c r="L630" i="18"/>
  <c r="L646" i="18"/>
  <c r="L670" i="18"/>
  <c r="L694" i="18"/>
  <c r="L726" i="18"/>
  <c r="L742" i="18"/>
  <c r="L109" i="18"/>
  <c r="L408" i="18"/>
  <c r="L518" i="18"/>
  <c r="L582" i="18"/>
  <c r="L633" i="18"/>
  <c r="L665" i="18"/>
  <c r="L697" i="18"/>
  <c r="L729" i="18"/>
  <c r="L72" i="18"/>
  <c r="L94" i="18"/>
  <c r="L119" i="18"/>
  <c r="L140" i="18"/>
  <c r="L158" i="18"/>
  <c r="L176" i="18"/>
  <c r="L195" i="18"/>
  <c r="L213" i="18"/>
  <c r="L231" i="18"/>
  <c r="L249" i="18"/>
  <c r="L268" i="18"/>
  <c r="L286" i="18"/>
  <c r="L304" i="18"/>
  <c r="L323" i="18"/>
  <c r="L341" i="18"/>
  <c r="L359" i="18"/>
  <c r="L377" i="18"/>
  <c r="L396" i="18"/>
  <c r="L417" i="18"/>
  <c r="L435" i="18"/>
  <c r="L454" i="18"/>
  <c r="L472" i="18"/>
  <c r="L490" i="18"/>
  <c r="L508" i="18"/>
  <c r="L526" i="18"/>
  <c r="L542" i="18"/>
  <c r="L558" i="18"/>
  <c r="L574" i="18"/>
  <c r="L590" i="18"/>
  <c r="L605" i="18"/>
  <c r="L613" i="18"/>
  <c r="L621" i="18"/>
  <c r="L629" i="18"/>
  <c r="L637" i="18"/>
  <c r="L645" i="18"/>
  <c r="L653" i="18"/>
  <c r="L661" i="18"/>
  <c r="L669" i="18"/>
  <c r="L677" i="18"/>
  <c r="L685" i="18"/>
  <c r="L693" i="18"/>
  <c r="L701" i="18"/>
  <c r="L709" i="18"/>
  <c r="L717" i="18"/>
  <c r="L725" i="18"/>
  <c r="L733" i="18"/>
  <c r="L741" i="18"/>
  <c r="L749" i="18"/>
  <c r="L214" i="18"/>
  <c r="L436" i="18"/>
  <c r="L473" i="18"/>
  <c r="L527" i="18"/>
  <c r="L543" i="18"/>
  <c r="L575" i="18"/>
  <c r="L614" i="18"/>
  <c r="L638" i="18"/>
  <c r="L654" i="18"/>
  <c r="L678" i="18"/>
  <c r="L710" i="18"/>
  <c r="L750" i="18"/>
  <c r="L48" i="18"/>
  <c r="L73" i="18"/>
  <c r="L100" i="18"/>
  <c r="L121" i="18"/>
  <c r="L141" i="18"/>
  <c r="L159" i="18"/>
  <c r="L177" i="18"/>
  <c r="L196" i="18"/>
  <c r="L232" i="18"/>
  <c r="L251" i="18"/>
  <c r="L269" i="18"/>
  <c r="L287" i="18"/>
  <c r="L305" i="18"/>
  <c r="L342" i="18"/>
  <c r="L360" i="18"/>
  <c r="L379" i="18"/>
  <c r="L397" i="18"/>
  <c r="L455" i="18"/>
  <c r="L510" i="18"/>
  <c r="L606" i="18"/>
  <c r="L702" i="18"/>
  <c r="L277" i="18"/>
  <c r="L499" i="18"/>
  <c r="L609" i="18"/>
  <c r="L657" i="18"/>
  <c r="L705" i="18"/>
  <c r="L54" i="18"/>
  <c r="L76" i="18"/>
  <c r="L101" i="18"/>
  <c r="L127" i="18"/>
  <c r="L145" i="18"/>
  <c r="L164" i="18"/>
  <c r="L182" i="18"/>
  <c r="L200" i="18"/>
  <c r="L219" i="18"/>
  <c r="L237" i="18"/>
  <c r="L255" i="18"/>
  <c r="L273" i="18"/>
  <c r="L292" i="18"/>
  <c r="L310" i="18"/>
  <c r="L328" i="18"/>
  <c r="L347" i="18"/>
  <c r="L365" i="18"/>
  <c r="L383" i="18"/>
  <c r="L404" i="18"/>
  <c r="L423" i="18"/>
  <c r="L441" i="18"/>
  <c r="L459" i="18"/>
  <c r="L478" i="18"/>
  <c r="L496" i="18"/>
  <c r="L514" i="18"/>
  <c r="L531" i="18"/>
  <c r="L547" i="18"/>
  <c r="L563" i="18"/>
  <c r="L579" i="18"/>
  <c r="L595" i="18"/>
  <c r="L607" i="18"/>
  <c r="L615" i="18"/>
  <c r="L623" i="18"/>
  <c r="L631" i="18"/>
  <c r="L639" i="18"/>
  <c r="L647" i="18"/>
  <c r="L655" i="18"/>
  <c r="L663" i="18"/>
  <c r="L671" i="18"/>
  <c r="L679" i="18"/>
  <c r="L687" i="18"/>
  <c r="L695" i="18"/>
  <c r="L703" i="18"/>
  <c r="L711" i="18"/>
  <c r="L719" i="18"/>
  <c r="L727" i="18"/>
  <c r="L735" i="18"/>
  <c r="L743" i="18"/>
  <c r="L751" i="18"/>
  <c r="L83" i="18"/>
  <c r="L149" i="18"/>
  <c r="L185" i="18"/>
  <c r="L222" i="18"/>
  <c r="L259" i="18"/>
  <c r="L332" i="18"/>
  <c r="L368" i="18"/>
  <c r="L426" i="18"/>
  <c r="L481" i="18"/>
  <c r="L550" i="18"/>
  <c r="L598" i="18"/>
  <c r="L641" i="18"/>
  <c r="L649" i="18"/>
  <c r="L689" i="18"/>
  <c r="L721" i="18"/>
  <c r="L55" i="18"/>
  <c r="L81" i="18"/>
  <c r="L103" i="18"/>
  <c r="L128" i="18"/>
  <c r="L147" i="18"/>
  <c r="L165" i="18"/>
  <c r="L183" i="18"/>
  <c r="L201" i="18"/>
  <c r="L220" i="18"/>
  <c r="L238" i="18"/>
  <c r="L256" i="18"/>
  <c r="L275" i="18"/>
  <c r="L293" i="18"/>
  <c r="L311" i="18"/>
  <c r="L329" i="18"/>
  <c r="L348" i="18"/>
  <c r="L366" i="18"/>
  <c r="L384" i="18"/>
  <c r="L406" i="18"/>
  <c r="L424" i="18"/>
  <c r="L442" i="18"/>
  <c r="L460" i="18"/>
  <c r="L479" i="18"/>
  <c r="L497" i="18"/>
  <c r="L515" i="18"/>
  <c r="L532" i="18"/>
  <c r="L548" i="18"/>
  <c r="L564" i="18"/>
  <c r="L580" i="18"/>
  <c r="L596" i="18"/>
  <c r="L608" i="18"/>
  <c r="L616" i="18"/>
  <c r="L624" i="18"/>
  <c r="L632" i="18"/>
  <c r="L640" i="18"/>
  <c r="L648" i="18"/>
  <c r="L656" i="18"/>
  <c r="L664" i="18"/>
  <c r="L672" i="18"/>
  <c r="L680" i="18"/>
  <c r="L688" i="18"/>
  <c r="L696" i="18"/>
  <c r="L704" i="18"/>
  <c r="L712" i="18"/>
  <c r="L720" i="18"/>
  <c r="L728" i="18"/>
  <c r="L736" i="18"/>
  <c r="L744" i="18"/>
  <c r="L752" i="18"/>
  <c r="L57" i="18"/>
  <c r="L131" i="18"/>
  <c r="L204" i="18"/>
  <c r="L240" i="18"/>
  <c r="L295" i="18"/>
  <c r="L313" i="18"/>
  <c r="L350" i="18"/>
  <c r="L387" i="18"/>
  <c r="L444" i="18"/>
  <c r="L534" i="18"/>
  <c r="L617" i="18"/>
  <c r="L681" i="18"/>
  <c r="L737" i="18"/>
  <c r="L745" i="18"/>
  <c r="BG9" i="20"/>
  <c r="G4" i="18"/>
  <c r="G44" i="18" s="1"/>
  <c r="F401" i="18"/>
  <c r="F754" i="18"/>
  <c r="F47" i="18"/>
  <c r="AT32" i="5"/>
  <c r="F91" i="4"/>
  <c r="L13" i="3"/>
  <c r="F32" i="26"/>
  <c r="F92" i="26" s="1"/>
  <c r="E32" i="26"/>
  <c r="E92" i="26" s="1"/>
  <c r="K16" i="3"/>
  <c r="J2" i="3" s="1"/>
  <c r="P38" i="18"/>
  <c r="O834" i="18"/>
  <c r="AI31" i="18"/>
  <c r="J25" i="5"/>
  <c r="AN63" i="5"/>
  <c r="F110" i="5" s="1"/>
  <c r="BB32" i="5"/>
  <c r="E33" i="26"/>
  <c r="AQ3" i="22"/>
  <c r="F92" i="4"/>
  <c r="F33" i="26"/>
  <c r="N34" i="4"/>
  <c r="N35" i="4" s="1"/>
  <c r="AB34" i="4"/>
  <c r="AB35" i="4" s="1"/>
  <c r="AY32" i="5"/>
  <c r="AX32" i="5"/>
  <c r="AU32" i="5"/>
  <c r="AW32" i="5"/>
  <c r="BH20" i="20"/>
  <c r="AO63" i="5"/>
  <c r="F111" i="5" s="1"/>
  <c r="AN64" i="5"/>
  <c r="G110" i="5" s="1"/>
  <c r="AA58" i="5"/>
  <c r="AN59" i="5"/>
  <c r="AM59" i="5"/>
  <c r="AO59" i="5"/>
  <c r="AS32" i="5"/>
  <c r="AV33" i="5"/>
  <c r="AW33" i="5"/>
  <c r="AY33" i="5"/>
  <c r="BB33" i="5"/>
  <c r="AX33" i="5"/>
  <c r="AV32" i="5"/>
  <c r="BA33" i="5"/>
  <c r="AU33" i="5"/>
  <c r="AZ33" i="5"/>
  <c r="AT33" i="5"/>
  <c r="AM72" i="5"/>
  <c r="O109" i="5" s="1"/>
  <c r="BH48" i="20"/>
  <c r="BG48" i="20"/>
  <c r="F1" i="26"/>
  <c r="AZ32" i="5"/>
  <c r="AK64" i="5"/>
  <c r="G108" i="5" s="1"/>
  <c r="AJ64" i="5"/>
  <c r="G107" i="5" s="1"/>
  <c r="AI64" i="5"/>
  <c r="G106" i="5" s="1"/>
  <c r="BA32" i="5"/>
  <c r="BH8" i="20"/>
  <c r="BG8" i="20"/>
  <c r="AK59" i="5"/>
  <c r="AJ59" i="5"/>
  <c r="AI59" i="5"/>
  <c r="Z58" i="5"/>
  <c r="X32" i="4"/>
  <c r="Y31" i="4"/>
  <c r="Y36" i="4"/>
  <c r="X34" i="4"/>
  <c r="X35" i="4" s="1"/>
  <c r="BH37" i="20"/>
  <c r="BG37" i="20"/>
  <c r="BH27" i="20"/>
  <c r="BG27" i="20"/>
  <c r="BH17" i="20"/>
  <c r="BG17" i="20"/>
  <c r="BH29" i="20"/>
  <c r="BG29" i="20"/>
  <c r="H25" i="5"/>
  <c r="F19" i="26"/>
  <c r="F18" i="26"/>
  <c r="F17" i="26"/>
  <c r="BH41" i="20"/>
  <c r="BG41" i="20"/>
  <c r="BG10" i="20"/>
  <c r="BH10" i="20"/>
  <c r="E209" i="26"/>
  <c r="E211" i="26" s="1"/>
  <c r="E207" i="26" s="1"/>
  <c r="G25" i="5"/>
  <c r="F22" i="5"/>
  <c r="AA31" i="4"/>
  <c r="AB32" i="4"/>
  <c r="E221" i="26"/>
  <c r="F221" i="26"/>
  <c r="BH45" i="20"/>
  <c r="BG45" i="20"/>
  <c r="BH13" i="20"/>
  <c r="BG13" i="20"/>
  <c r="AN73" i="5"/>
  <c r="P110" i="5" s="1"/>
  <c r="AM73" i="5"/>
  <c r="P109" i="5" s="1"/>
  <c r="AI73" i="5"/>
  <c r="P106" i="5" s="1"/>
  <c r="G12" i="24"/>
  <c r="J13" i="24"/>
  <c r="BH49" i="20"/>
  <c r="BG49" i="20"/>
  <c r="C258" i="4"/>
  <c r="D32" i="3"/>
  <c r="E5" i="3"/>
  <c r="G3" i="3" s="1"/>
  <c r="D23" i="3"/>
  <c r="D14" i="3"/>
  <c r="BH23" i="20"/>
  <c r="BG23" i="20"/>
  <c r="BA4" i="20"/>
  <c r="AZ4" i="20"/>
  <c r="O31" i="4"/>
  <c r="N32" i="4"/>
  <c r="F20" i="43" l="1" a="1"/>
  <c r="F20" i="43" s="1"/>
  <c r="C20" i="43" a="1"/>
  <c r="C20" i="43" s="1"/>
  <c r="AG19" i="5"/>
  <c r="D20" i="43" a="1"/>
  <c r="D20" i="43" s="1"/>
  <c r="BE13" i="20"/>
  <c r="BF14" i="20"/>
  <c r="H207" i="26"/>
  <c r="H208" i="26" s="1"/>
  <c r="H61" i="26" s="1"/>
  <c r="I207" i="26"/>
  <c r="I208" i="26" s="1"/>
  <c r="I61" i="26" s="1"/>
  <c r="D58" i="15"/>
  <c r="E58" i="15"/>
  <c r="F58" i="15" s="1"/>
  <c r="D57" i="15"/>
  <c r="D61" i="15"/>
  <c r="E57" i="15"/>
  <c r="F57" i="15" s="1"/>
  <c r="E61" i="15"/>
  <c r="F61" i="15" s="1"/>
  <c r="D56" i="15"/>
  <c r="D60" i="15"/>
  <c r="E56" i="15"/>
  <c r="F56" i="15" s="1"/>
  <c r="E60" i="15"/>
  <c r="F60" i="15" s="1"/>
  <c r="D59" i="15"/>
  <c r="E59" i="15"/>
  <c r="F59" i="15" s="1"/>
  <c r="H57" i="15"/>
  <c r="G57" i="15"/>
  <c r="H59" i="15"/>
  <c r="G59" i="15"/>
  <c r="H56" i="15"/>
  <c r="G56" i="15"/>
  <c r="H60" i="15"/>
  <c r="H58" i="15"/>
  <c r="G58" i="15"/>
  <c r="G60" i="15"/>
  <c r="H61" i="15"/>
  <c r="G61" i="15"/>
  <c r="D50" i="15"/>
  <c r="E51" i="15"/>
  <c r="F51" i="15" s="1"/>
  <c r="D55" i="15"/>
  <c r="E50" i="15"/>
  <c r="F50" i="15" s="1"/>
  <c r="G51" i="15"/>
  <c r="E55" i="15"/>
  <c r="F55" i="15" s="1"/>
  <c r="D54" i="15"/>
  <c r="E49" i="15"/>
  <c r="F49" i="15" s="1"/>
  <c r="D52" i="15"/>
  <c r="E54" i="15"/>
  <c r="F54" i="15" s="1"/>
  <c r="D49" i="15"/>
  <c r="D53" i="15"/>
  <c r="E53" i="15"/>
  <c r="F53" i="15" s="1"/>
  <c r="E52" i="15"/>
  <c r="F52" i="15" s="1"/>
  <c r="G53" i="15"/>
  <c r="D51" i="15"/>
  <c r="G52" i="15"/>
  <c r="H55" i="15"/>
  <c r="H52" i="15"/>
  <c r="H50" i="15"/>
  <c r="G55" i="15"/>
  <c r="H51" i="15"/>
  <c r="H54" i="15"/>
  <c r="G49" i="15"/>
  <c r="H49" i="15"/>
  <c r="G50" i="15"/>
  <c r="G54" i="15"/>
  <c r="H53" i="15"/>
  <c r="G13" i="15"/>
  <c r="S24" i="5"/>
  <c r="R25" i="5"/>
  <c r="T23" i="5"/>
  <c r="U7" i="18"/>
  <c r="T13" i="18"/>
  <c r="U6" i="18"/>
  <c r="T12" i="18"/>
  <c r="T5" i="18"/>
  <c r="S11" i="18"/>
  <c r="U9" i="18"/>
  <c r="T15" i="18"/>
  <c r="U8" i="18"/>
  <c r="T14" i="18"/>
  <c r="D96" i="5"/>
  <c r="AM7" i="5" s="1"/>
  <c r="F95" i="5"/>
  <c r="AL8" i="5" s="1"/>
  <c r="AG22" i="5"/>
  <c r="AG18" i="5"/>
  <c r="G46" i="15"/>
  <c r="D22" i="15"/>
  <c r="E10" i="15"/>
  <c r="F10" i="15" s="1"/>
  <c r="E4" i="15"/>
  <c r="F4" i="15" s="1"/>
  <c r="E15" i="15"/>
  <c r="F15" i="15" s="1"/>
  <c r="G18" i="15"/>
  <c r="G31" i="15"/>
  <c r="K25" i="5"/>
  <c r="E25" i="15"/>
  <c r="F25" i="15" s="1"/>
  <c r="D8" i="15"/>
  <c r="E22" i="15"/>
  <c r="F22" i="15" s="1"/>
  <c r="E26" i="15"/>
  <c r="F26" i="15" s="1"/>
  <c r="H14" i="15"/>
  <c r="D42" i="15"/>
  <c r="D32" i="15"/>
  <c r="D35" i="15"/>
  <c r="D17" i="15"/>
  <c r="G27" i="15"/>
  <c r="G20" i="15"/>
  <c r="G10" i="15"/>
  <c r="H16" i="15"/>
  <c r="E20" i="15"/>
  <c r="F20" i="15" s="1"/>
  <c r="D27" i="15"/>
  <c r="G4" i="15"/>
  <c r="G15" i="15"/>
  <c r="H22" i="15"/>
  <c r="G5" i="15"/>
  <c r="G21" i="15"/>
  <c r="H42" i="15"/>
  <c r="K7" i="21"/>
  <c r="H15" i="15"/>
  <c r="E32" i="15"/>
  <c r="F32" i="15" s="1"/>
  <c r="H47" i="15"/>
  <c r="D20" i="15"/>
  <c r="G33" i="15"/>
  <c r="H38" i="15"/>
  <c r="D43" i="15"/>
  <c r="E12" i="15"/>
  <c r="F12" i="15" s="1"/>
  <c r="E31" i="15"/>
  <c r="F31" i="15" s="1"/>
  <c r="E33" i="15"/>
  <c r="F33" i="15" s="1"/>
  <c r="H48" i="15"/>
  <c r="H35" i="15"/>
  <c r="E17" i="15"/>
  <c r="F17" i="15" s="1"/>
  <c r="H34" i="15"/>
  <c r="H5" i="15"/>
  <c r="D40" i="15"/>
  <c r="H39" i="15"/>
  <c r="E44" i="15"/>
  <c r="F44" i="15" s="1"/>
  <c r="D9" i="15"/>
  <c r="G41" i="15"/>
  <c r="G43" i="15"/>
  <c r="D16" i="15"/>
  <c r="E7" i="15"/>
  <c r="F7" i="15" s="1"/>
  <c r="D46" i="15"/>
  <c r="H21" i="15"/>
  <c r="H24" i="15"/>
  <c r="D44" i="15"/>
  <c r="G23" i="15"/>
  <c r="H29" i="15"/>
  <c r="H46" i="15"/>
  <c r="E23" i="15"/>
  <c r="F23" i="15" s="1"/>
  <c r="G16" i="15"/>
  <c r="D31" i="15"/>
  <c r="G8" i="15"/>
  <c r="G39" i="15"/>
  <c r="D38" i="15"/>
  <c r="H31" i="15"/>
  <c r="G44" i="15"/>
  <c r="G30" i="15"/>
  <c r="H7" i="15"/>
  <c r="E13" i="15"/>
  <c r="F13" i="15" s="1"/>
  <c r="G38" i="15"/>
  <c r="E30" i="15"/>
  <c r="F30" i="15" s="1"/>
  <c r="D29" i="15"/>
  <c r="H45" i="15"/>
  <c r="H4" i="15"/>
  <c r="H17" i="15"/>
  <c r="E16" i="15"/>
  <c r="F16" i="15" s="1"/>
  <c r="H32" i="15"/>
  <c r="D21" i="15"/>
  <c r="E39" i="15"/>
  <c r="F39" i="15" s="1"/>
  <c r="G47" i="15"/>
  <c r="H20" i="15"/>
  <c r="E8" i="15"/>
  <c r="F8" i="15" s="1"/>
  <c r="D11" i="15"/>
  <c r="D23" i="15"/>
  <c r="G3" i="15"/>
  <c r="E42" i="15"/>
  <c r="F42" i="15" s="1"/>
  <c r="G28" i="15"/>
  <c r="E29" i="15"/>
  <c r="F29" i="15" s="1"/>
  <c r="G37" i="15"/>
  <c r="D30" i="15"/>
  <c r="E47" i="15"/>
  <c r="F47" i="15" s="1"/>
  <c r="D26" i="15"/>
  <c r="Q5" i="22"/>
  <c r="H12" i="15"/>
  <c r="G45" i="15"/>
  <c r="D25" i="15"/>
  <c r="D47" i="15"/>
  <c r="H44" i="15"/>
  <c r="D37" i="15"/>
  <c r="D12" i="15"/>
  <c r="G25" i="15"/>
  <c r="E19" i="15"/>
  <c r="F19" i="15" s="1"/>
  <c r="D14" i="15"/>
  <c r="D24" i="15"/>
  <c r="H3" i="15"/>
  <c r="H36" i="15"/>
  <c r="E24" i="15"/>
  <c r="F24" i="15" s="1"/>
  <c r="G14" i="15"/>
  <c r="E11" i="15"/>
  <c r="F11" i="15" s="1"/>
  <c r="G19" i="15"/>
  <c r="D36" i="15"/>
  <c r="H33" i="15"/>
  <c r="E45" i="15"/>
  <c r="F45" i="15" s="1"/>
  <c r="D18" i="15"/>
  <c r="H41" i="15"/>
  <c r="E3" i="15"/>
  <c r="F3" i="15" s="1"/>
  <c r="H11" i="15"/>
  <c r="D13" i="15"/>
  <c r="E35" i="15"/>
  <c r="F35" i="15" s="1"/>
  <c r="E48" i="15"/>
  <c r="F48" i="15" s="1"/>
  <c r="E34" i="15"/>
  <c r="F34" i="15" s="1"/>
  <c r="E37" i="15"/>
  <c r="F37" i="15" s="1"/>
  <c r="G11" i="15"/>
  <c r="H28" i="15"/>
  <c r="D3" i="15"/>
  <c r="H19" i="15"/>
  <c r="D45" i="15"/>
  <c r="D15" i="15"/>
  <c r="E40" i="15"/>
  <c r="F40" i="15" s="1"/>
  <c r="G12" i="15"/>
  <c r="E27" i="15"/>
  <c r="F27" i="15" s="1"/>
  <c r="G35" i="15"/>
  <c r="G32" i="15"/>
  <c r="D48" i="15"/>
  <c r="H9" i="15"/>
  <c r="D5" i="15"/>
  <c r="H10" i="15"/>
  <c r="H27" i="15"/>
  <c r="D6" i="15"/>
  <c r="D33" i="15"/>
  <c r="G22" i="15"/>
  <c r="H37" i="15"/>
  <c r="G9" i="15"/>
  <c r="D34" i="15"/>
  <c r="G29" i="15"/>
  <c r="E5" i="15"/>
  <c r="F5" i="15" s="1"/>
  <c r="G36" i="15"/>
  <c r="E18" i="15"/>
  <c r="F18" i="15" s="1"/>
  <c r="H18" i="15"/>
  <c r="E6" i="15"/>
  <c r="F6" i="15" s="1"/>
  <c r="H43" i="15"/>
  <c r="E9" i="15"/>
  <c r="F9" i="15" s="1"/>
  <c r="G17" i="15"/>
  <c r="D28" i="15"/>
  <c r="G48" i="15"/>
  <c r="E43" i="15"/>
  <c r="F43" i="15" s="1"/>
  <c r="D10" i="15"/>
  <c r="H8" i="15"/>
  <c r="H25" i="15"/>
  <c r="G42" i="15"/>
  <c r="H26" i="15"/>
  <c r="E14" i="15"/>
  <c r="F14" i="15" s="1"/>
  <c r="G24" i="15"/>
  <c r="G40" i="15"/>
  <c r="E36" i="15"/>
  <c r="F36" i="15" s="1"/>
  <c r="E21" i="15"/>
  <c r="F21" i="15" s="1"/>
  <c r="D4" i="15"/>
  <c r="G26" i="15"/>
  <c r="H30" i="15"/>
  <c r="H13" i="15"/>
  <c r="D7" i="15"/>
  <c r="D41" i="15"/>
  <c r="E38" i="15"/>
  <c r="F38" i="15" s="1"/>
  <c r="D19" i="15"/>
  <c r="E41" i="15"/>
  <c r="F41" i="15" s="1"/>
  <c r="H6" i="15"/>
  <c r="H23" i="15"/>
  <c r="G34" i="15"/>
  <c r="H40" i="15"/>
  <c r="E28" i="15"/>
  <c r="F28" i="15" s="1"/>
  <c r="G6" i="15"/>
  <c r="D39" i="15"/>
  <c r="G7" i="15"/>
  <c r="E46" i="15"/>
  <c r="F46" i="15" s="1"/>
  <c r="AC34" i="4"/>
  <c r="AB36" i="4"/>
  <c r="AO64" i="5"/>
  <c r="G111" i="5" s="1"/>
  <c r="M34" i="4"/>
  <c r="H4" i="18"/>
  <c r="H44" i="18" s="1"/>
  <c r="G401" i="18"/>
  <c r="G754" i="18"/>
  <c r="G47" i="18"/>
  <c r="M752" i="18"/>
  <c r="M748" i="18"/>
  <c r="M744" i="18"/>
  <c r="M740" i="18"/>
  <c r="M736" i="18"/>
  <c r="M732" i="18"/>
  <c r="M728" i="18"/>
  <c r="M724" i="18"/>
  <c r="M720" i="18"/>
  <c r="M716" i="18"/>
  <c r="M712" i="18"/>
  <c r="M708" i="18"/>
  <c r="M704" i="18"/>
  <c r="M700" i="18"/>
  <c r="M696" i="18"/>
  <c r="M692" i="18"/>
  <c r="M688" i="18"/>
  <c r="M684" i="18"/>
  <c r="M680" i="18"/>
  <c r="M676" i="18"/>
  <c r="M672" i="18"/>
  <c r="M668" i="18"/>
  <c r="M664" i="18"/>
  <c r="M660" i="18"/>
  <c r="M656" i="18"/>
  <c r="M652" i="18"/>
  <c r="M648" i="18"/>
  <c r="M644" i="18"/>
  <c r="M640" i="18"/>
  <c r="M636" i="18"/>
  <c r="M632" i="18"/>
  <c r="M628" i="18"/>
  <c r="M624" i="18"/>
  <c r="M620" i="18"/>
  <c r="M616" i="18"/>
  <c r="M612" i="18"/>
  <c r="M608" i="18"/>
  <c r="M604" i="18"/>
  <c r="M600" i="18"/>
  <c r="M596" i="18"/>
  <c r="M592" i="18"/>
  <c r="M588" i="18"/>
  <c r="M749" i="18"/>
  <c r="M745" i="18"/>
  <c r="M741" i="18"/>
  <c r="M737" i="18"/>
  <c r="M733" i="18"/>
  <c r="M729" i="18"/>
  <c r="M725" i="18"/>
  <c r="M721" i="18"/>
  <c r="M717" i="18"/>
  <c r="M713" i="18"/>
  <c r="M750" i="18"/>
  <c r="M746" i="18"/>
  <c r="M742" i="18"/>
  <c r="M738" i="18"/>
  <c r="M734" i="18"/>
  <c r="M730" i="18"/>
  <c r="M726" i="18"/>
  <c r="M722" i="18"/>
  <c r="M718" i="18"/>
  <c r="M714" i="18"/>
  <c r="M710" i="18"/>
  <c r="M706" i="18"/>
  <c r="M702" i="18"/>
  <c r="M698" i="18"/>
  <c r="M694" i="18"/>
  <c r="M690" i="18"/>
  <c r="M686" i="18"/>
  <c r="M682" i="18"/>
  <c r="M678" i="18"/>
  <c r="M674" i="18"/>
  <c r="M670" i="18"/>
  <c r="M666" i="18"/>
  <c r="M747" i="18"/>
  <c r="M715" i="18"/>
  <c r="M701" i="18"/>
  <c r="M699" i="18"/>
  <c r="M669" i="18"/>
  <c r="M667" i="18"/>
  <c r="M743" i="18"/>
  <c r="M705" i="18"/>
  <c r="M703" i="18"/>
  <c r="M673" i="18"/>
  <c r="M671" i="18"/>
  <c r="M659" i="18"/>
  <c r="M657" i="18"/>
  <c r="M650" i="18"/>
  <c r="M643" i="18"/>
  <c r="M641" i="18"/>
  <c r="M634" i="18"/>
  <c r="M627" i="18"/>
  <c r="M625" i="18"/>
  <c r="M618" i="18"/>
  <c r="M611" i="18"/>
  <c r="M609" i="18"/>
  <c r="M602" i="18"/>
  <c r="M595" i="18"/>
  <c r="M593" i="18"/>
  <c r="M585" i="18"/>
  <c r="M581" i="18"/>
  <c r="M577" i="18"/>
  <c r="M573" i="18"/>
  <c r="M569" i="18"/>
  <c r="M565" i="18"/>
  <c r="M561" i="18"/>
  <c r="M557" i="18"/>
  <c r="M553" i="18"/>
  <c r="M549" i="18"/>
  <c r="M545" i="18"/>
  <c r="M541" i="18"/>
  <c r="M537" i="18"/>
  <c r="M533" i="18"/>
  <c r="M529" i="18"/>
  <c r="M525" i="18"/>
  <c r="M521" i="18"/>
  <c r="M517" i="18"/>
  <c r="M513" i="18"/>
  <c r="M509" i="18"/>
  <c r="M505" i="18"/>
  <c r="M501" i="18"/>
  <c r="M497" i="18"/>
  <c r="M493" i="18"/>
  <c r="M489" i="18"/>
  <c r="M485" i="18"/>
  <c r="M481" i="18"/>
  <c r="M477" i="18"/>
  <c r="M739" i="18"/>
  <c r="M709" i="18"/>
  <c r="M707" i="18"/>
  <c r="M677" i="18"/>
  <c r="M675" i="18"/>
  <c r="M735" i="18"/>
  <c r="M711" i="18"/>
  <c r="M681" i="18"/>
  <c r="M679" i="18"/>
  <c r="M662" i="18"/>
  <c r="M655" i="18"/>
  <c r="M653" i="18"/>
  <c r="M646" i="18"/>
  <c r="M639" i="18"/>
  <c r="M637" i="18"/>
  <c r="M630" i="18"/>
  <c r="M623" i="18"/>
  <c r="M621" i="18"/>
  <c r="M614" i="18"/>
  <c r="M607" i="18"/>
  <c r="M605" i="18"/>
  <c r="M598" i="18"/>
  <c r="M591" i="18"/>
  <c r="M589" i="18"/>
  <c r="M586" i="18"/>
  <c r="M582" i="18"/>
  <c r="M578" i="18"/>
  <c r="M574" i="18"/>
  <c r="M570" i="18"/>
  <c r="M566" i="18"/>
  <c r="M562" i="18"/>
  <c r="M558" i="18"/>
  <c r="M554" i="18"/>
  <c r="M550" i="18"/>
  <c r="M546" i="18"/>
  <c r="M542" i="18"/>
  <c r="M538" i="18"/>
  <c r="M534" i="18"/>
  <c r="M530" i="18"/>
  <c r="M526" i="18"/>
  <c r="M522" i="18"/>
  <c r="M518" i="18"/>
  <c r="M514" i="18"/>
  <c r="M510" i="18"/>
  <c r="M506" i="18"/>
  <c r="M502" i="18"/>
  <c r="M498" i="18"/>
  <c r="M494" i="18"/>
  <c r="M490" i="18"/>
  <c r="M486" i="18"/>
  <c r="M482" i="18"/>
  <c r="M478" i="18"/>
  <c r="M727" i="18"/>
  <c r="M689" i="18"/>
  <c r="M687" i="18"/>
  <c r="M658" i="18"/>
  <c r="M651" i="18"/>
  <c r="M649" i="18"/>
  <c r="M642" i="18"/>
  <c r="M635" i="18"/>
  <c r="M633" i="18"/>
  <c r="M626" i="18"/>
  <c r="M619" i="18"/>
  <c r="M617" i="18"/>
  <c r="M610" i="18"/>
  <c r="M603" i="18"/>
  <c r="M601" i="18"/>
  <c r="M594" i="18"/>
  <c r="M587" i="18"/>
  <c r="M583" i="18"/>
  <c r="M579" i="18"/>
  <c r="M719" i="18"/>
  <c r="M693" i="18"/>
  <c r="M665" i="18"/>
  <c r="M622" i="18"/>
  <c r="M575" i="18"/>
  <c r="M567" i="18"/>
  <c r="M559" i="18"/>
  <c r="M551" i="18"/>
  <c r="M543" i="18"/>
  <c r="M535" i="18"/>
  <c r="M527" i="18"/>
  <c r="M519" i="18"/>
  <c r="M511" i="18"/>
  <c r="M503" i="18"/>
  <c r="M495" i="18"/>
  <c r="M487" i="18"/>
  <c r="M479" i="18"/>
  <c r="M471" i="18"/>
  <c r="M464" i="18"/>
  <c r="M461" i="18"/>
  <c r="M457" i="18"/>
  <c r="M453" i="18"/>
  <c r="M645" i="18"/>
  <c r="M631" i="18"/>
  <c r="M469" i="18"/>
  <c r="M654" i="18"/>
  <c r="M597" i="18"/>
  <c r="M584" i="18"/>
  <c r="M572" i="18"/>
  <c r="M564" i="18"/>
  <c r="M556" i="18"/>
  <c r="M548" i="18"/>
  <c r="M540" i="18"/>
  <c r="M532" i="18"/>
  <c r="M524" i="18"/>
  <c r="M516" i="18"/>
  <c r="M508" i="18"/>
  <c r="M500" i="18"/>
  <c r="M492" i="18"/>
  <c r="M484" i="18"/>
  <c r="M476" i="18"/>
  <c r="M474" i="18"/>
  <c r="M467" i="18"/>
  <c r="M462" i="18"/>
  <c r="M458" i="18"/>
  <c r="M454" i="18"/>
  <c r="M450" i="18"/>
  <c r="M446" i="18"/>
  <c r="M442" i="18"/>
  <c r="M438" i="18"/>
  <c r="M697" i="18"/>
  <c r="M691" i="18"/>
  <c r="M685" i="18"/>
  <c r="M663" i="18"/>
  <c r="M606" i="18"/>
  <c r="M580" i="18"/>
  <c r="M465" i="18"/>
  <c r="M751" i="18"/>
  <c r="M731" i="18"/>
  <c r="M638" i="18"/>
  <c r="M615" i="18"/>
  <c r="M590" i="18"/>
  <c r="M544" i="18"/>
  <c r="M515" i="18"/>
  <c r="M480" i="18"/>
  <c r="M444" i="18"/>
  <c r="M436" i="18"/>
  <c r="M432" i="18"/>
  <c r="M428" i="18"/>
  <c r="M424" i="18"/>
  <c r="M420" i="18"/>
  <c r="M416" i="18"/>
  <c r="M412" i="18"/>
  <c r="M408" i="18"/>
  <c r="M404" i="18"/>
  <c r="M397" i="18"/>
  <c r="M393" i="18"/>
  <c r="M389" i="18"/>
  <c r="M385" i="18"/>
  <c r="M381" i="18"/>
  <c r="M377" i="18"/>
  <c r="M373" i="18"/>
  <c r="M369" i="18"/>
  <c r="M365" i="18"/>
  <c r="M361" i="18"/>
  <c r="M357" i="18"/>
  <c r="M353" i="18"/>
  <c r="M349" i="18"/>
  <c r="M345" i="18"/>
  <c r="M341" i="18"/>
  <c r="M337" i="18"/>
  <c r="M333" i="18"/>
  <c r="M329" i="18"/>
  <c r="M325" i="18"/>
  <c r="M321" i="18"/>
  <c r="M317" i="18"/>
  <c r="M313" i="18"/>
  <c r="M309" i="18"/>
  <c r="M305" i="18"/>
  <c r="M301" i="18"/>
  <c r="M297" i="18"/>
  <c r="M293" i="18"/>
  <c r="M289" i="18"/>
  <c r="M285" i="18"/>
  <c r="M281" i="18"/>
  <c r="M277" i="18"/>
  <c r="M273" i="18"/>
  <c r="M269" i="18"/>
  <c r="M265" i="18"/>
  <c r="M261" i="18"/>
  <c r="M695" i="18"/>
  <c r="M571" i="18"/>
  <c r="M536" i="18"/>
  <c r="M507" i="18"/>
  <c r="M460" i="18"/>
  <c r="M448" i="18"/>
  <c r="M613" i="18"/>
  <c r="M563" i="18"/>
  <c r="M528" i="18"/>
  <c r="M499" i="18"/>
  <c r="M473" i="18"/>
  <c r="M468" i="18"/>
  <c r="M463" i="18"/>
  <c r="M456" i="18"/>
  <c r="M439" i="18"/>
  <c r="M433" i="18"/>
  <c r="M429" i="18"/>
  <c r="M425" i="18"/>
  <c r="M421" i="18"/>
  <c r="M417" i="18"/>
  <c r="M413" i="18"/>
  <c r="M409" i="18"/>
  <c r="M405" i="18"/>
  <c r="M398" i="18"/>
  <c r="M394" i="18"/>
  <c r="M390" i="18"/>
  <c r="M386" i="18"/>
  <c r="M382" i="18"/>
  <c r="M378" i="18"/>
  <c r="M374" i="18"/>
  <c r="M370" i="18"/>
  <c r="M366" i="18"/>
  <c r="M362" i="18"/>
  <c r="M358" i="18"/>
  <c r="M354" i="18"/>
  <c r="M350" i="18"/>
  <c r="M346" i="18"/>
  <c r="M342" i="18"/>
  <c r="M338" i="18"/>
  <c r="M334" i="18"/>
  <c r="M330" i="18"/>
  <c r="M326" i="18"/>
  <c r="M322" i="18"/>
  <c r="M318" i="18"/>
  <c r="M314" i="18"/>
  <c r="M310" i="18"/>
  <c r="M306" i="18"/>
  <c r="M302" i="18"/>
  <c r="M298" i="18"/>
  <c r="M294" i="18"/>
  <c r="M290" i="18"/>
  <c r="M286" i="18"/>
  <c r="M282" i="18"/>
  <c r="M278" i="18"/>
  <c r="M274" i="18"/>
  <c r="M270" i="18"/>
  <c r="M266" i="18"/>
  <c r="M262" i="18"/>
  <c r="M661" i="18"/>
  <c r="M599" i="18"/>
  <c r="M555" i="18"/>
  <c r="M520" i="18"/>
  <c r="M491" i="18"/>
  <c r="M472" i="18"/>
  <c r="M459" i="18"/>
  <c r="M443" i="18"/>
  <c r="M568" i="18"/>
  <c r="M539" i="18"/>
  <c r="M504" i="18"/>
  <c r="M466" i="18"/>
  <c r="M445" i="18"/>
  <c r="M560" i="18"/>
  <c r="M531" i="18"/>
  <c r="M496" i="18"/>
  <c r="M475" i="18"/>
  <c r="M470" i="18"/>
  <c r="M451" i="18"/>
  <c r="M449" i="18"/>
  <c r="M435" i="18"/>
  <c r="M431" i="18"/>
  <c r="M427" i="18"/>
  <c r="M423" i="18"/>
  <c r="M419" i="18"/>
  <c r="M415" i="18"/>
  <c r="M411" i="18"/>
  <c r="M407" i="18"/>
  <c r="M403" i="18"/>
  <c r="M396" i="18"/>
  <c r="M392" i="18"/>
  <c r="M388" i="18"/>
  <c r="M384" i="18"/>
  <c r="M380" i="18"/>
  <c r="M376" i="18"/>
  <c r="M372" i="18"/>
  <c r="M368" i="18"/>
  <c r="M364" i="18"/>
  <c r="M360" i="18"/>
  <c r="M356" i="18"/>
  <c r="M352" i="18"/>
  <c r="M348" i="18"/>
  <c r="M344" i="18"/>
  <c r="M340" i="18"/>
  <c r="M336" i="18"/>
  <c r="M332" i="18"/>
  <c r="M328" i="18"/>
  <c r="M324" i="18"/>
  <c r="M320" i="18"/>
  <c r="M316" i="18"/>
  <c r="M312" i="18"/>
  <c r="M308" i="18"/>
  <c r="M304" i="18"/>
  <c r="M300" i="18"/>
  <c r="M296" i="18"/>
  <c r="M292" i="18"/>
  <c r="M288" i="18"/>
  <c r="M284" i="18"/>
  <c r="M280" i="18"/>
  <c r="M276" i="18"/>
  <c r="M272" i="18"/>
  <c r="M268" i="18"/>
  <c r="M264" i="18"/>
  <c r="M260" i="18"/>
  <c r="M455" i="18"/>
  <c r="M437" i="18"/>
  <c r="M426" i="18"/>
  <c r="M410" i="18"/>
  <c r="M391" i="18"/>
  <c r="M375" i="18"/>
  <c r="M359" i="18"/>
  <c r="M343" i="18"/>
  <c r="M327" i="18"/>
  <c r="M311" i="18"/>
  <c r="M295" i="18"/>
  <c r="M279" i="18"/>
  <c r="M263" i="18"/>
  <c r="M259" i="18"/>
  <c r="M255" i="18"/>
  <c r="M251" i="18"/>
  <c r="M247" i="18"/>
  <c r="M243" i="18"/>
  <c r="M239" i="18"/>
  <c r="M235" i="18"/>
  <c r="M231" i="18"/>
  <c r="M227" i="18"/>
  <c r="M223" i="18"/>
  <c r="M219" i="18"/>
  <c r="M215" i="18"/>
  <c r="M211" i="18"/>
  <c r="M207" i="18"/>
  <c r="M576" i="18"/>
  <c r="M547" i="18"/>
  <c r="M452" i="18"/>
  <c r="M430" i="18"/>
  <c r="M414" i="18"/>
  <c r="M395" i="18"/>
  <c r="M379" i="18"/>
  <c r="M363" i="18"/>
  <c r="M347" i="18"/>
  <c r="M331" i="18"/>
  <c r="M315" i="18"/>
  <c r="M299" i="18"/>
  <c r="M283" i="18"/>
  <c r="M267" i="18"/>
  <c r="M256" i="18"/>
  <c r="M252" i="18"/>
  <c r="M248" i="18"/>
  <c r="M244" i="18"/>
  <c r="M240" i="18"/>
  <c r="M236" i="18"/>
  <c r="M232" i="18"/>
  <c r="M228" i="18"/>
  <c r="M224" i="18"/>
  <c r="M220" i="18"/>
  <c r="M216" i="18"/>
  <c r="M212" i="18"/>
  <c r="M208" i="18"/>
  <c r="M204" i="18"/>
  <c r="M200" i="18"/>
  <c r="M196" i="18"/>
  <c r="M192" i="18"/>
  <c r="M188" i="18"/>
  <c r="M184" i="18"/>
  <c r="M180" i="18"/>
  <c r="M176" i="18"/>
  <c r="M172" i="18"/>
  <c r="M168" i="18"/>
  <c r="M164" i="18"/>
  <c r="M160" i="18"/>
  <c r="M156" i="18"/>
  <c r="M152" i="18"/>
  <c r="M148" i="18"/>
  <c r="M144" i="18"/>
  <c r="M140" i="18"/>
  <c r="M136" i="18"/>
  <c r="M132" i="18"/>
  <c r="M128" i="18"/>
  <c r="M124" i="18"/>
  <c r="M120" i="18"/>
  <c r="M116" i="18"/>
  <c r="M112" i="18"/>
  <c r="M488" i="18"/>
  <c r="M723" i="18"/>
  <c r="M512" i="18"/>
  <c r="M483" i="18"/>
  <c r="M441" i="18"/>
  <c r="M434" i="18"/>
  <c r="M418" i="18"/>
  <c r="M402" i="18"/>
  <c r="M383" i="18"/>
  <c r="M367" i="18"/>
  <c r="M351" i="18"/>
  <c r="M335" i="18"/>
  <c r="M319" i="18"/>
  <c r="M303" i="18"/>
  <c r="M287" i="18"/>
  <c r="M271" i="18"/>
  <c r="M257" i="18"/>
  <c r="M253" i="18"/>
  <c r="M249" i="18"/>
  <c r="M245" i="18"/>
  <c r="M241" i="18"/>
  <c r="M237" i="18"/>
  <c r="M233" i="18"/>
  <c r="M229" i="18"/>
  <c r="M225" i="18"/>
  <c r="M221" i="18"/>
  <c r="M217" i="18"/>
  <c r="M213" i="18"/>
  <c r="M209" i="18"/>
  <c r="M205" i="18"/>
  <c r="M201" i="18"/>
  <c r="M197" i="18"/>
  <c r="M193" i="18"/>
  <c r="M189" i="18"/>
  <c r="M185" i="18"/>
  <c r="M181" i="18"/>
  <c r="M177" i="18"/>
  <c r="M173" i="18"/>
  <c r="M169" i="18"/>
  <c r="M165" i="18"/>
  <c r="M161" i="18"/>
  <c r="M157" i="18"/>
  <c r="M153" i="18"/>
  <c r="M149" i="18"/>
  <c r="M145" i="18"/>
  <c r="M141" i="18"/>
  <c r="M137" i="18"/>
  <c r="M133" i="18"/>
  <c r="M129" i="18"/>
  <c r="M125" i="18"/>
  <c r="M121" i="18"/>
  <c r="M117" i="18"/>
  <c r="M113" i="18"/>
  <c r="M440" i="18"/>
  <c r="M106" i="18"/>
  <c r="M97" i="18"/>
  <c r="M90" i="18"/>
  <c r="M406" i="18"/>
  <c r="M339" i="18"/>
  <c r="M275" i="18"/>
  <c r="M258" i="18"/>
  <c r="M242" i="18"/>
  <c r="M226" i="18"/>
  <c r="M210" i="18"/>
  <c r="M104" i="18"/>
  <c r="M95" i="18"/>
  <c r="M87" i="18"/>
  <c r="M83" i="18"/>
  <c r="M79" i="18"/>
  <c r="M75" i="18"/>
  <c r="M71" i="18"/>
  <c r="M67" i="18"/>
  <c r="M63" i="18"/>
  <c r="M59" i="18"/>
  <c r="M55" i="18"/>
  <c r="M51" i="18"/>
  <c r="M552" i="18"/>
  <c r="M202" i="18"/>
  <c r="M194" i="18"/>
  <c r="M186" i="18"/>
  <c r="M178" i="18"/>
  <c r="M170" i="18"/>
  <c r="M162" i="18"/>
  <c r="M154" i="18"/>
  <c r="M146" i="18"/>
  <c r="M138" i="18"/>
  <c r="M130" i="18"/>
  <c r="M122" i="18"/>
  <c r="M114" i="18"/>
  <c r="M109" i="18"/>
  <c r="M102" i="18"/>
  <c r="M93" i="18"/>
  <c r="M447" i="18"/>
  <c r="M422" i="18"/>
  <c r="M355" i="18"/>
  <c r="M291" i="18"/>
  <c r="M246" i="18"/>
  <c r="M230" i="18"/>
  <c r="M214" i="18"/>
  <c r="M199" i="18"/>
  <c r="M191" i="18"/>
  <c r="M183" i="18"/>
  <c r="M175" i="18"/>
  <c r="M167" i="18"/>
  <c r="M159" i="18"/>
  <c r="M151" i="18"/>
  <c r="M143" i="18"/>
  <c r="M135" i="18"/>
  <c r="M127" i="18"/>
  <c r="M119" i="18"/>
  <c r="M111" i="18"/>
  <c r="M107" i="18"/>
  <c r="M100" i="18"/>
  <c r="M91" i="18"/>
  <c r="M88" i="18"/>
  <c r="M84" i="18"/>
  <c r="M80" i="18"/>
  <c r="M76" i="18"/>
  <c r="M72" i="18"/>
  <c r="M68" i="18"/>
  <c r="M64" i="18"/>
  <c r="M60" i="18"/>
  <c r="M56" i="18"/>
  <c r="M52" i="18"/>
  <c r="M48" i="18"/>
  <c r="M683" i="18"/>
  <c r="M523" i="18"/>
  <c r="M105" i="18"/>
  <c r="M98" i="18"/>
  <c r="M647" i="18"/>
  <c r="M371" i="18"/>
  <c r="M307" i="18"/>
  <c r="M250" i="18"/>
  <c r="M234" i="18"/>
  <c r="M218" i="18"/>
  <c r="M103" i="18"/>
  <c r="M96" i="18"/>
  <c r="M89" i="18"/>
  <c r="M85" i="18"/>
  <c r="M81" i="18"/>
  <c r="M77" i="18"/>
  <c r="M73" i="18"/>
  <c r="M69" i="18"/>
  <c r="M65" i="18"/>
  <c r="M61" i="18"/>
  <c r="M57" i="18"/>
  <c r="M53" i="18"/>
  <c r="M49" i="18"/>
  <c r="M629" i="18"/>
  <c r="M198" i="18"/>
  <c r="M190" i="18"/>
  <c r="M182" i="18"/>
  <c r="M174" i="18"/>
  <c r="M166" i="18"/>
  <c r="M158" i="18"/>
  <c r="M150" i="18"/>
  <c r="M142" i="18"/>
  <c r="M134" i="18"/>
  <c r="M126" i="18"/>
  <c r="M118" i="18"/>
  <c r="M110" i="18"/>
  <c r="M101" i="18"/>
  <c r="M94" i="18"/>
  <c r="M387" i="18"/>
  <c r="M323" i="18"/>
  <c r="M254" i="18"/>
  <c r="M238" i="18"/>
  <c r="M222" i="18"/>
  <c r="M206" i="18"/>
  <c r="M203" i="18"/>
  <c r="M195" i="18"/>
  <c r="M187" i="18"/>
  <c r="M179" i="18"/>
  <c r="M171" i="18"/>
  <c r="M163" i="18"/>
  <c r="M155" i="18"/>
  <c r="M147" i="18"/>
  <c r="M139" i="18"/>
  <c r="M131" i="18"/>
  <c r="M123" i="18"/>
  <c r="M115" i="18"/>
  <c r="M108" i="18"/>
  <c r="M99" i="18"/>
  <c r="M92" i="18"/>
  <c r="M86" i="18"/>
  <c r="M82" i="18"/>
  <c r="M78" i="18"/>
  <c r="M74" i="18"/>
  <c r="M70" i="18"/>
  <c r="M66" i="18"/>
  <c r="M62" i="18"/>
  <c r="M58" i="18"/>
  <c r="M54" i="18"/>
  <c r="M50" i="18"/>
  <c r="E388" i="26"/>
  <c r="E392" i="26"/>
  <c r="E397" i="26"/>
  <c r="E394" i="26"/>
  <c r="E403" i="26"/>
  <c r="E387" i="26"/>
  <c r="E208" i="26"/>
  <c r="E61" i="26" s="1"/>
  <c r="E400" i="26"/>
  <c r="E402" i="26"/>
  <c r="E401" i="26"/>
  <c r="E398" i="26"/>
  <c r="E393" i="26"/>
  <c r="E389" i="26"/>
  <c r="E390" i="26"/>
  <c r="E395" i="26"/>
  <c r="E391" i="26"/>
  <c r="E404" i="26"/>
  <c r="E399" i="26"/>
  <c r="E396" i="26"/>
  <c r="E406" i="26"/>
  <c r="E60" i="26"/>
  <c r="E405" i="26"/>
  <c r="E205" i="26"/>
  <c r="L14" i="3"/>
  <c r="B34" i="46" s="1"/>
  <c r="L15" i="3"/>
  <c r="L17" i="3"/>
  <c r="B18" i="46" s="1"/>
  <c r="F60" i="26"/>
  <c r="F405" i="26"/>
  <c r="F397" i="26"/>
  <c r="F389" i="26"/>
  <c r="F404" i="26"/>
  <c r="F396" i="26"/>
  <c r="F388" i="26"/>
  <c r="F403" i="26"/>
  <c r="F395" i="26"/>
  <c r="F387" i="26"/>
  <c r="F402" i="26"/>
  <c r="F394" i="26"/>
  <c r="F205" i="26"/>
  <c r="F401" i="26"/>
  <c r="F393" i="26"/>
  <c r="F400" i="26"/>
  <c r="F392" i="26"/>
  <c r="F390" i="26"/>
  <c r="F406" i="26"/>
  <c r="F399" i="26"/>
  <c r="F398" i="26"/>
  <c r="F391" i="26"/>
  <c r="AJ31" i="18"/>
  <c r="Q38" i="18"/>
  <c r="P1051" i="18"/>
  <c r="P1085" i="18"/>
  <c r="P1021" i="18"/>
  <c r="P1084" i="18"/>
  <c r="P1020" i="18"/>
  <c r="P960" i="18"/>
  <c r="P896" i="18"/>
  <c r="P1070" i="18"/>
  <c r="P1038" i="18"/>
  <c r="P1006" i="18"/>
  <c r="P917" i="18"/>
  <c r="P962" i="18"/>
  <c r="P898" i="18"/>
  <c r="P1057" i="18"/>
  <c r="P967" i="18"/>
  <c r="P903" i="18"/>
  <c r="P956" i="18"/>
  <c r="P892" i="18"/>
  <c r="P995" i="18"/>
  <c r="P950" i="18"/>
  <c r="P886" i="18"/>
  <c r="P819" i="18"/>
  <c r="P915" i="18"/>
  <c r="P1001" i="18"/>
  <c r="P988" i="18"/>
  <c r="P969" i="18"/>
  <c r="P905" i="18"/>
  <c r="P856" i="18"/>
  <c r="P843" i="18"/>
  <c r="P857" i="18"/>
  <c r="P1055" i="18"/>
  <c r="P864" i="18"/>
  <c r="P817" i="18"/>
  <c r="P1088" i="18"/>
  <c r="P831" i="18"/>
  <c r="P780" i="18"/>
  <c r="P793" i="18"/>
  <c r="P782" i="18"/>
  <c r="P763" i="18"/>
  <c r="P792" i="18"/>
  <c r="P797" i="18"/>
  <c r="P820" i="18"/>
  <c r="P767" i="18"/>
  <c r="P842" i="18"/>
  <c r="P1093" i="18"/>
  <c r="P1042" i="18"/>
  <c r="P975" i="18"/>
  <c r="P894" i="18"/>
  <c r="P913" i="18"/>
  <c r="P798" i="18"/>
  <c r="P771" i="18"/>
  <c r="P759" i="18"/>
  <c r="P1043" i="18"/>
  <c r="P1077" i="18"/>
  <c r="P1013" i="18"/>
  <c r="P1076" i="18"/>
  <c r="P1012" i="18"/>
  <c r="P952" i="18"/>
  <c r="P888" i="18"/>
  <c r="P1066" i="18"/>
  <c r="P1034" i="18"/>
  <c r="P973" i="18"/>
  <c r="P909" i="18"/>
  <c r="P954" i="18"/>
  <c r="P890" i="18"/>
  <c r="P1049" i="18"/>
  <c r="P959" i="18"/>
  <c r="P895" i="18"/>
  <c r="P948" i="18"/>
  <c r="P884" i="18"/>
  <c r="P992" i="18"/>
  <c r="P942" i="18"/>
  <c r="P878" i="18"/>
  <c r="P971" i="18"/>
  <c r="P907" i="18"/>
  <c r="P999" i="18"/>
  <c r="P986" i="18"/>
  <c r="P961" i="18"/>
  <c r="P897" i="18"/>
  <c r="P855" i="18"/>
  <c r="P837" i="18"/>
  <c r="P852" i="18"/>
  <c r="P1047" i="18"/>
  <c r="P839" i="18"/>
  <c r="P809" i="18"/>
  <c r="P1072" i="18"/>
  <c r="P823" i="18"/>
  <c r="P772" i="18"/>
  <c r="P785" i="18"/>
  <c r="P774" i="18"/>
  <c r="P755" i="18"/>
  <c r="P784" i="18"/>
  <c r="P789" i="18"/>
  <c r="P808" i="18"/>
  <c r="P775" i="18"/>
  <c r="P844" i="18"/>
  <c r="P1059" i="18"/>
  <c r="P904" i="18"/>
  <c r="P970" i="18"/>
  <c r="P1000" i="18"/>
  <c r="P990" i="18"/>
  <c r="P1063" i="18"/>
  <c r="P810" i="18"/>
  <c r="P804" i="18"/>
  <c r="P1099" i="18"/>
  <c r="P1035" i="18"/>
  <c r="P1069" i="18"/>
  <c r="P1005" i="18"/>
  <c r="P1068" i="18"/>
  <c r="P1105" i="18"/>
  <c r="P944" i="18"/>
  <c r="P880" i="18"/>
  <c r="P1062" i="18"/>
  <c r="P1030" i="18"/>
  <c r="P965" i="18"/>
  <c r="P901" i="18"/>
  <c r="P946" i="18"/>
  <c r="P882" i="18"/>
  <c r="P1041" i="18"/>
  <c r="P951" i="18"/>
  <c r="P887" i="18"/>
  <c r="P940" i="18"/>
  <c r="P876" i="18"/>
  <c r="P987" i="18"/>
  <c r="P934" i="18"/>
  <c r="P870" i="18"/>
  <c r="P963" i="18"/>
  <c r="P899" i="18"/>
  <c r="P998" i="18"/>
  <c r="P985" i="18"/>
  <c r="P953" i="18"/>
  <c r="P889" i="18"/>
  <c r="P853" i="18"/>
  <c r="P829" i="18"/>
  <c r="P849" i="18"/>
  <c r="P1039" i="18"/>
  <c r="P875" i="18"/>
  <c r="P838" i="18"/>
  <c r="P1056" i="18"/>
  <c r="P815" i="18"/>
  <c r="P764" i="18"/>
  <c r="P777" i="18"/>
  <c r="P766" i="18"/>
  <c r="P1080" i="18"/>
  <c r="P776" i="18"/>
  <c r="P781" i="18"/>
  <c r="P801" i="18"/>
  <c r="P783" i="18"/>
  <c r="P812" i="18"/>
  <c r="P1028" i="18"/>
  <c r="P906" i="18"/>
  <c r="P958" i="18"/>
  <c r="P977" i="18"/>
  <c r="P872" i="18"/>
  <c r="P865" i="18"/>
  <c r="P1091" i="18"/>
  <c r="P1027" i="18"/>
  <c r="P1061" i="18"/>
  <c r="P997" i="18"/>
  <c r="P1060" i="18"/>
  <c r="P1103" i="18"/>
  <c r="P936" i="18"/>
  <c r="P1104" i="18"/>
  <c r="P1058" i="18"/>
  <c r="P1026" i="18"/>
  <c r="P957" i="18"/>
  <c r="P893" i="18"/>
  <c r="P938" i="18"/>
  <c r="P874" i="18"/>
  <c r="P1033" i="18"/>
  <c r="P943" i="18"/>
  <c r="P879" i="18"/>
  <c r="P932" i="18"/>
  <c r="P868" i="18"/>
  <c r="P984" i="18"/>
  <c r="P926" i="18"/>
  <c r="P862" i="18"/>
  <c r="P955" i="18"/>
  <c r="P891" i="18"/>
  <c r="P996" i="18"/>
  <c r="P983" i="18"/>
  <c r="P945" i="18"/>
  <c r="P881" i="18"/>
  <c r="P851" i="18"/>
  <c r="P821" i="18"/>
  <c r="P1102" i="18"/>
  <c r="P1031" i="18"/>
  <c r="P867" i="18"/>
  <c r="P830" i="18"/>
  <c r="P1040" i="18"/>
  <c r="P811" i="18"/>
  <c r="P756" i="18"/>
  <c r="P769" i="18"/>
  <c r="P758" i="18"/>
  <c r="P1064" i="18"/>
  <c r="P768" i="18"/>
  <c r="P773" i="18"/>
  <c r="P794" i="18"/>
  <c r="P791" i="18"/>
  <c r="P1083" i="18"/>
  <c r="P1019" i="18"/>
  <c r="P1053" i="18"/>
  <c r="P989" i="18"/>
  <c r="P1052" i="18"/>
  <c r="P1095" i="18"/>
  <c r="P928" i="18"/>
  <c r="P1086" i="18"/>
  <c r="P1054" i="18"/>
  <c r="P1022" i="18"/>
  <c r="P949" i="18"/>
  <c r="P885" i="18"/>
  <c r="P930" i="18"/>
  <c r="P866" i="18"/>
  <c r="P1025" i="18"/>
  <c r="P935" i="18"/>
  <c r="P871" i="18"/>
  <c r="P924" i="18"/>
  <c r="P1098" i="18"/>
  <c r="P979" i="18"/>
  <c r="P918" i="18"/>
  <c r="P854" i="18"/>
  <c r="P947" i="18"/>
  <c r="P883" i="18"/>
  <c r="P994" i="18"/>
  <c r="P982" i="18"/>
  <c r="P937" i="18"/>
  <c r="P869" i="18"/>
  <c r="P850" i="18"/>
  <c r="P813" i="18"/>
  <c r="P1087" i="18"/>
  <c r="P1023" i="18"/>
  <c r="P863" i="18"/>
  <c r="P822" i="18"/>
  <c r="P1024" i="18"/>
  <c r="P807" i="18"/>
  <c r="P832" i="18"/>
  <c r="P761" i="18"/>
  <c r="P795" i="18"/>
  <c r="P1048" i="18"/>
  <c r="P760" i="18"/>
  <c r="P765" i="18"/>
  <c r="P786" i="18"/>
  <c r="P968" i="18"/>
  <c r="P925" i="18"/>
  <c r="P900" i="18"/>
  <c r="P1002" i="18"/>
  <c r="P860" i="18"/>
  <c r="P788" i="18"/>
  <c r="P762" i="18"/>
  <c r="P1075" i="18"/>
  <c r="P1011" i="18"/>
  <c r="P1045" i="18"/>
  <c r="P981" i="18"/>
  <c r="P1044" i="18"/>
  <c r="P1090" i="18"/>
  <c r="P920" i="18"/>
  <c r="P1082" i="18"/>
  <c r="P1050" i="18"/>
  <c r="P1018" i="18"/>
  <c r="P941" i="18"/>
  <c r="P877" i="18"/>
  <c r="P922" i="18"/>
  <c r="P1081" i="18"/>
  <c r="P1017" i="18"/>
  <c r="P927" i="18"/>
  <c r="P1097" i="18"/>
  <c r="P916" i="18"/>
  <c r="P1089" i="18"/>
  <c r="P974" i="18"/>
  <c r="P910" i="18"/>
  <c r="P846" i="18"/>
  <c r="P939" i="18"/>
  <c r="P840" i="18"/>
  <c r="P993" i="18"/>
  <c r="P980" i="18"/>
  <c r="P929" i="18"/>
  <c r="P861" i="18"/>
  <c r="P848" i="18"/>
  <c r="P805" i="18"/>
  <c r="P1079" i="18"/>
  <c r="P1015" i="18"/>
  <c r="P841" i="18"/>
  <c r="P814" i="18"/>
  <c r="P1008" i="18"/>
  <c r="P803" i="18"/>
  <c r="P824" i="18"/>
  <c r="P826" i="18"/>
  <c r="P787" i="18"/>
  <c r="P1032" i="18"/>
  <c r="P802" i="18"/>
  <c r="P757" i="18"/>
  <c r="P778" i="18"/>
  <c r="P1029" i="18"/>
  <c r="P1010" i="18"/>
  <c r="P911" i="18"/>
  <c r="P827" i="18"/>
  <c r="P858" i="18"/>
  <c r="P836" i="18"/>
  <c r="P799" i="18"/>
  <c r="P1067" i="18"/>
  <c r="P1101" i="18"/>
  <c r="P1037" i="18"/>
  <c r="P1100" i="18"/>
  <c r="P1036" i="18"/>
  <c r="P976" i="18"/>
  <c r="P912" i="18"/>
  <c r="P1078" i="18"/>
  <c r="P1046" i="18"/>
  <c r="P1014" i="18"/>
  <c r="P933" i="18"/>
  <c r="P1096" i="18"/>
  <c r="P914" i="18"/>
  <c r="P1073" i="18"/>
  <c r="P1009" i="18"/>
  <c r="P919" i="18"/>
  <c r="P972" i="18"/>
  <c r="P908" i="18"/>
  <c r="P1003" i="18"/>
  <c r="P966" i="18"/>
  <c r="P902" i="18"/>
  <c r="P835" i="18"/>
  <c r="P931" i="18"/>
  <c r="P1004" i="18"/>
  <c r="P991" i="18"/>
  <c r="P978" i="18"/>
  <c r="P921" i="18"/>
  <c r="P859" i="18"/>
  <c r="P847" i="18"/>
  <c r="P1094" i="18"/>
  <c r="P1071" i="18"/>
  <c r="P1007" i="18"/>
  <c r="P833" i="18"/>
  <c r="P806" i="18"/>
  <c r="P873" i="18"/>
  <c r="P796" i="18"/>
  <c r="P816" i="18"/>
  <c r="P818" i="18"/>
  <c r="P779" i="18"/>
  <c r="P1016" i="18"/>
  <c r="P800" i="18"/>
  <c r="P834" i="18"/>
  <c r="P770" i="18"/>
  <c r="P1092" i="18"/>
  <c r="P1074" i="18"/>
  <c r="P1065" i="18"/>
  <c r="P964" i="18"/>
  <c r="P923" i="18"/>
  <c r="P845" i="18"/>
  <c r="P825" i="18"/>
  <c r="P790" i="18"/>
  <c r="P828" i="18"/>
  <c r="AN65" i="5"/>
  <c r="H110" i="5" s="1"/>
  <c r="AM64" i="5"/>
  <c r="G109" i="5" s="1"/>
  <c r="N36" i="4"/>
  <c r="AA57" i="5"/>
  <c r="AN58" i="5"/>
  <c r="AO58" i="5"/>
  <c r="AM58" i="5"/>
  <c r="AO74" i="5"/>
  <c r="Q111" i="5" s="1"/>
  <c r="AN74" i="5"/>
  <c r="Q110" i="5" s="1"/>
  <c r="AM74" i="5"/>
  <c r="Q109" i="5" s="1"/>
  <c r="P32" i="5"/>
  <c r="AC32" i="4"/>
  <c r="AB31" i="4"/>
  <c r="F25" i="5"/>
  <c r="E22" i="5"/>
  <c r="D22" i="5" s="1"/>
  <c r="D25" i="5" s="1"/>
  <c r="AK65" i="5"/>
  <c r="H108" i="5" s="1"/>
  <c r="AJ65" i="5"/>
  <c r="H107" i="5" s="1"/>
  <c r="AI65" i="5"/>
  <c r="H106" i="5" s="1"/>
  <c r="W32" i="4"/>
  <c r="X31" i="4"/>
  <c r="AK74" i="5"/>
  <c r="Q108" i="5" s="1"/>
  <c r="AJ74" i="5"/>
  <c r="Q107" i="5" s="1"/>
  <c r="AI74" i="5"/>
  <c r="Q106" i="5" s="1"/>
  <c r="F209" i="26"/>
  <c r="F211" i="26" s="1"/>
  <c r="W34" i="4"/>
  <c r="W35" i="4" s="1"/>
  <c r="X36" i="4"/>
  <c r="J12" i="24"/>
  <c r="G11" i="24"/>
  <c r="E382" i="26"/>
  <c r="E359" i="26"/>
  <c r="E381" i="26"/>
  <c r="E372" i="26"/>
  <c r="E364" i="26"/>
  <c r="E356" i="26"/>
  <c r="E379" i="26"/>
  <c r="E374" i="26"/>
  <c r="E366" i="26"/>
  <c r="E358" i="26"/>
  <c r="E353" i="26"/>
  <c r="E352" i="26"/>
  <c r="E351" i="26"/>
  <c r="E350" i="26"/>
  <c r="E349" i="26"/>
  <c r="E348" i="26"/>
  <c r="E347" i="26"/>
  <c r="E378" i="26"/>
  <c r="E375" i="26"/>
  <c r="E371" i="26"/>
  <c r="E363" i="26"/>
  <c r="E385" i="26"/>
  <c r="E377" i="26"/>
  <c r="E368" i="26"/>
  <c r="E360" i="26"/>
  <c r="E369" i="26"/>
  <c r="E365" i="26"/>
  <c r="E361" i="26"/>
  <c r="E355" i="26"/>
  <c r="E384" i="26"/>
  <c r="E383" i="26"/>
  <c r="E362" i="26"/>
  <c r="E380" i="26"/>
  <c r="E357" i="26"/>
  <c r="E376" i="26"/>
  <c r="E373" i="26"/>
  <c r="E370" i="26"/>
  <c r="E386" i="26"/>
  <c r="E354" i="26"/>
  <c r="C259" i="4"/>
  <c r="M22" i="5"/>
  <c r="L25" i="5"/>
  <c r="M32" i="4"/>
  <c r="N31" i="4"/>
  <c r="E23" i="3"/>
  <c r="E32" i="3"/>
  <c r="E14" i="3"/>
  <c r="AK58" i="5"/>
  <c r="AJ58" i="5"/>
  <c r="AI58" i="5"/>
  <c r="Z57" i="5"/>
  <c r="AH19" i="5" l="1"/>
  <c r="BE12" i="20"/>
  <c r="BF13" i="20"/>
  <c r="B1" i="46"/>
  <c r="C10" i="45" s="1"/>
  <c r="D61" i="39"/>
  <c r="F207" i="26"/>
  <c r="F208" i="26" s="1"/>
  <c r="F61" i="26" s="1"/>
  <c r="L40" i="22"/>
  <c r="E53" i="22"/>
  <c r="AS53" i="22" s="1"/>
  <c r="L58" i="22"/>
  <c r="E59" i="22"/>
  <c r="AS59" i="22" s="1"/>
  <c r="L60" i="22"/>
  <c r="E51" i="22"/>
  <c r="AS51" i="22" s="1"/>
  <c r="F53" i="22"/>
  <c r="L55" i="22"/>
  <c r="E56" i="22"/>
  <c r="AS56" i="22" s="1"/>
  <c r="F59" i="22"/>
  <c r="E61" i="22"/>
  <c r="AS61" i="22" s="1"/>
  <c r="L63" i="22"/>
  <c r="F51" i="22"/>
  <c r="H53" i="22"/>
  <c r="O55" i="22"/>
  <c r="F56" i="22"/>
  <c r="H59" i="22"/>
  <c r="O60" i="22"/>
  <c r="F61" i="22"/>
  <c r="H51" i="22"/>
  <c r="L53" i="22"/>
  <c r="H56" i="22"/>
  <c r="E57" i="22"/>
  <c r="AS57" i="22" s="1"/>
  <c r="L59" i="22"/>
  <c r="H61" i="22"/>
  <c r="L51" i="22"/>
  <c r="E52" i="22"/>
  <c r="AS52" i="22" s="1"/>
  <c r="E54" i="22"/>
  <c r="AS54" i="22" s="1"/>
  <c r="L56" i="22"/>
  <c r="F57" i="22"/>
  <c r="E60" i="22"/>
  <c r="AS60" i="22" s="1"/>
  <c r="L61" i="22"/>
  <c r="E62" i="22"/>
  <c r="AS62" i="22" s="1"/>
  <c r="F52" i="22"/>
  <c r="F54" i="22"/>
  <c r="I57" i="22"/>
  <c r="E58" i="22"/>
  <c r="AS58" i="22" s="1"/>
  <c r="F60" i="22"/>
  <c r="F62" i="22"/>
  <c r="E55" i="22"/>
  <c r="AS55" i="22" s="1"/>
  <c r="L57" i="22"/>
  <c r="F58" i="22"/>
  <c r="E63" i="22"/>
  <c r="AS63" i="22" s="1"/>
  <c r="L52" i="22"/>
  <c r="L54" i="22"/>
  <c r="F55" i="22"/>
  <c r="L62" i="22"/>
  <c r="AT62" i="22" s="1"/>
  <c r="F63" i="22"/>
  <c r="N59" i="22"/>
  <c r="G60" i="22"/>
  <c r="O53" i="22"/>
  <c r="G63" i="22"/>
  <c r="G53" i="22"/>
  <c r="H52" i="22"/>
  <c r="M53" i="22"/>
  <c r="I54" i="22"/>
  <c r="M58" i="22"/>
  <c r="G52" i="22"/>
  <c r="N51" i="22"/>
  <c r="G55" i="22"/>
  <c r="O58" i="22"/>
  <c r="N63" i="22"/>
  <c r="M52" i="22"/>
  <c r="H55" i="22"/>
  <c r="H63" i="22"/>
  <c r="I53" i="22"/>
  <c r="H58" i="22"/>
  <c r="O63" i="22"/>
  <c r="G54" i="22"/>
  <c r="N60" i="22"/>
  <c r="G57" i="22"/>
  <c r="G61" i="22"/>
  <c r="N54" i="22"/>
  <c r="M62" i="22"/>
  <c r="N61" i="22"/>
  <c r="H62" i="22"/>
  <c r="I51" i="22"/>
  <c r="G59" i="22"/>
  <c r="N56" i="22"/>
  <c r="I55" i="22"/>
  <c r="G58" i="22"/>
  <c r="I56" i="22"/>
  <c r="M60" i="22"/>
  <c r="I52" i="22"/>
  <c r="O59" i="22"/>
  <c r="M57" i="22"/>
  <c r="M61" i="22"/>
  <c r="G62" i="22"/>
  <c r="N52" i="22"/>
  <c r="N55" i="22"/>
  <c r="M63" i="22"/>
  <c r="I63" i="22"/>
  <c r="O56" i="22"/>
  <c r="I61" i="22"/>
  <c r="M56" i="22"/>
  <c r="G51" i="22"/>
  <c r="O54" i="22"/>
  <c r="O57" i="22"/>
  <c r="O51" i="22"/>
  <c r="M59" i="22"/>
  <c r="M51" i="22"/>
  <c r="N58" i="22"/>
  <c r="O62" i="22"/>
  <c r="N62" i="22"/>
  <c r="N57" i="22"/>
  <c r="N53" i="22"/>
  <c r="H54" i="22"/>
  <c r="I59" i="22"/>
  <c r="I60" i="22"/>
  <c r="I62" i="22"/>
  <c r="O52" i="22"/>
  <c r="O61" i="22"/>
  <c r="M55" i="22"/>
  <c r="G56" i="22"/>
  <c r="H60" i="22"/>
  <c r="M54" i="22"/>
  <c r="H57" i="22"/>
  <c r="I58" i="22"/>
  <c r="D60" i="21"/>
  <c r="D62" i="21"/>
  <c r="E60" i="21"/>
  <c r="E62" i="21"/>
  <c r="D59" i="21"/>
  <c r="D61" i="21"/>
  <c r="E59" i="21"/>
  <c r="E61" i="21"/>
  <c r="E48" i="21"/>
  <c r="D51" i="21"/>
  <c r="D55" i="21"/>
  <c r="E51" i="21"/>
  <c r="E55" i="21"/>
  <c r="D54" i="21"/>
  <c r="D58" i="21"/>
  <c r="E56" i="21"/>
  <c r="E54" i="21"/>
  <c r="E58" i="21"/>
  <c r="D53" i="21"/>
  <c r="D57" i="21"/>
  <c r="E50" i="21"/>
  <c r="E53" i="21"/>
  <c r="E57" i="21"/>
  <c r="D50" i="21"/>
  <c r="D52" i="21"/>
  <c r="D56" i="21"/>
  <c r="E52" i="21"/>
  <c r="N209" i="26"/>
  <c r="N211" i="26" s="1"/>
  <c r="O209" i="26"/>
  <c r="O211" i="26" s="1"/>
  <c r="L209" i="26"/>
  <c r="L211" i="26" s="1"/>
  <c r="K209" i="26"/>
  <c r="K211" i="26" s="1"/>
  <c r="AC36" i="4"/>
  <c r="AC35" i="4"/>
  <c r="M36" i="4"/>
  <c r="M35" i="4"/>
  <c r="T24" i="5"/>
  <c r="U23" i="5"/>
  <c r="V9" i="18"/>
  <c r="U15" i="18"/>
  <c r="U5" i="18"/>
  <c r="T11" i="18"/>
  <c r="V6" i="18"/>
  <c r="U12" i="18"/>
  <c r="V8" i="18"/>
  <c r="U14" i="18"/>
  <c r="V7" i="18"/>
  <c r="U13" i="18"/>
  <c r="AD34" i="4"/>
  <c r="AD35" i="4" s="1"/>
  <c r="D38" i="21"/>
  <c r="V38" i="21" s="1"/>
  <c r="F38" i="21" s="1"/>
  <c r="D97" i="5"/>
  <c r="AN7" i="5" s="1"/>
  <c r="F96" i="5"/>
  <c r="AM8" i="5" s="1"/>
  <c r="AH22" i="5"/>
  <c r="AI16" i="5"/>
  <c r="AI21" i="5" s="1"/>
  <c r="AH18" i="5"/>
  <c r="G44" i="22"/>
  <c r="M14" i="22"/>
  <c r="L21" i="22"/>
  <c r="D40" i="21"/>
  <c r="X40" i="21" s="1"/>
  <c r="H40" i="21" s="1"/>
  <c r="O13" i="22"/>
  <c r="E46" i="21"/>
  <c r="E27" i="21"/>
  <c r="D46" i="21"/>
  <c r="X46" i="21" s="1"/>
  <c r="H46" i="21" s="1"/>
  <c r="D14" i="21"/>
  <c r="V14" i="21" s="1"/>
  <c r="F14" i="21" s="1"/>
  <c r="E41" i="21"/>
  <c r="D32" i="21"/>
  <c r="X32" i="21" s="1"/>
  <c r="H32" i="21" s="1"/>
  <c r="E26" i="21"/>
  <c r="E25" i="21"/>
  <c r="D48" i="21"/>
  <c r="W48" i="21" s="1"/>
  <c r="G48" i="21" s="1"/>
  <c r="E23" i="21"/>
  <c r="E47" i="21"/>
  <c r="D9" i="21"/>
  <c r="W9" i="21" s="1"/>
  <c r="G9" i="21" s="1"/>
  <c r="D18" i="21"/>
  <c r="X18" i="21" s="1"/>
  <c r="H18" i="21" s="1"/>
  <c r="D42" i="21"/>
  <c r="X42" i="21" s="1"/>
  <c r="H42" i="21" s="1"/>
  <c r="E20" i="21"/>
  <c r="E44" i="21"/>
  <c r="D47" i="21"/>
  <c r="X47" i="21" s="1"/>
  <c r="H47" i="21" s="1"/>
  <c r="D39" i="21"/>
  <c r="W39" i="21" s="1"/>
  <c r="G39" i="21" s="1"/>
  <c r="E36" i="21"/>
  <c r="D10" i="21"/>
  <c r="V10" i="21" s="1"/>
  <c r="F10" i="21" s="1"/>
  <c r="D43" i="21"/>
  <c r="W43" i="21" s="1"/>
  <c r="G43" i="21" s="1"/>
  <c r="D26" i="21"/>
  <c r="W26" i="21" s="1"/>
  <c r="G26" i="21" s="1"/>
  <c r="E45" i="21"/>
  <c r="D4" i="21"/>
  <c r="V4" i="21" s="1"/>
  <c r="F4" i="21" s="1"/>
  <c r="D23" i="21"/>
  <c r="W23" i="21" s="1"/>
  <c r="G23" i="21" s="1"/>
  <c r="E35" i="21"/>
  <c r="D7" i="21"/>
  <c r="V7" i="21" s="1"/>
  <c r="F7" i="21" s="1"/>
  <c r="D20" i="21"/>
  <c r="X20" i="21" s="1"/>
  <c r="H20" i="21" s="1"/>
  <c r="D25" i="21"/>
  <c r="V25" i="21" s="1"/>
  <c r="F25" i="21" s="1"/>
  <c r="E21" i="21"/>
  <c r="D5" i="21"/>
  <c r="X5" i="21" s="1"/>
  <c r="H5" i="21" s="1"/>
  <c r="D13" i="21"/>
  <c r="W13" i="21" s="1"/>
  <c r="G13" i="21" s="1"/>
  <c r="D15" i="21"/>
  <c r="W15" i="21" s="1"/>
  <c r="G15" i="21" s="1"/>
  <c r="E40" i="21"/>
  <c r="D33" i="21"/>
  <c r="W33" i="21" s="1"/>
  <c r="G33" i="21" s="1"/>
  <c r="D21" i="21"/>
  <c r="V21" i="21" s="1"/>
  <c r="F21" i="21" s="1"/>
  <c r="E29" i="21"/>
  <c r="D31" i="21"/>
  <c r="X31" i="21" s="1"/>
  <c r="H31" i="21" s="1"/>
  <c r="E42" i="21"/>
  <c r="E18" i="21"/>
  <c r="D41" i="21"/>
  <c r="X41" i="21" s="1"/>
  <c r="H41" i="21" s="1"/>
  <c r="D29" i="21"/>
  <c r="V29" i="21" s="1"/>
  <c r="F29" i="21" s="1"/>
  <c r="D8" i="21"/>
  <c r="V8" i="21" s="1"/>
  <c r="F8" i="21" s="1"/>
  <c r="D12" i="21"/>
  <c r="X12" i="21" s="1"/>
  <c r="H12" i="21" s="1"/>
  <c r="D35" i="21"/>
  <c r="W35" i="21" s="1"/>
  <c r="G35" i="21" s="1"/>
  <c r="D34" i="21"/>
  <c r="V34" i="21" s="1"/>
  <c r="F34" i="21" s="1"/>
  <c r="E28" i="21"/>
  <c r="E39" i="21"/>
  <c r="D16" i="21"/>
  <c r="V16" i="21" s="1"/>
  <c r="F16" i="21" s="1"/>
  <c r="H40" i="22"/>
  <c r="F27" i="22"/>
  <c r="G42" i="22"/>
  <c r="E19" i="22"/>
  <c r="AS19" i="22" s="1"/>
  <c r="F5" i="22"/>
  <c r="E27" i="22"/>
  <c r="AS27" i="22" s="1"/>
  <c r="M19" i="22"/>
  <c r="L6" i="22"/>
  <c r="F33" i="22"/>
  <c r="M40" i="22"/>
  <c r="I32" i="22"/>
  <c r="M33" i="22"/>
  <c r="M20" i="22"/>
  <c r="N16" i="22"/>
  <c r="I8" i="22"/>
  <c r="L41" i="22"/>
  <c r="G43" i="22"/>
  <c r="I18" i="22"/>
  <c r="M44" i="22"/>
  <c r="I47" i="22"/>
  <c r="N26" i="22"/>
  <c r="H18" i="22"/>
  <c r="E44" i="22"/>
  <c r="AS44" i="22" s="1"/>
  <c r="O7" i="22"/>
  <c r="O45" i="22"/>
  <c r="H6" i="22"/>
  <c r="G41" i="22"/>
  <c r="F50" i="22"/>
  <c r="L34" i="4"/>
  <c r="L35" i="4" s="1"/>
  <c r="F23" i="22"/>
  <c r="F11" i="22"/>
  <c r="H32" i="22"/>
  <c r="I29" i="22"/>
  <c r="G29" i="22"/>
  <c r="G25" i="22"/>
  <c r="G22" i="22"/>
  <c r="M16" i="22"/>
  <c r="G20" i="22"/>
  <c r="G19" i="22"/>
  <c r="I21" i="22"/>
  <c r="O12" i="22"/>
  <c r="F8" i="22"/>
  <c r="F30" i="22"/>
  <c r="O37" i="22"/>
  <c r="I28" i="22"/>
  <c r="I7" i="22"/>
  <c r="N15" i="22"/>
  <c r="O41" i="22"/>
  <c r="H45" i="22"/>
  <c r="E15" i="22"/>
  <c r="AS15" i="22" s="1"/>
  <c r="O17" i="22"/>
  <c r="F47" i="22"/>
  <c r="I27" i="22"/>
  <c r="M15" i="22"/>
  <c r="L14" i="22"/>
  <c r="N41" i="22"/>
  <c r="O22" i="22"/>
  <c r="L13" i="22"/>
  <c r="N8" i="22"/>
  <c r="L25" i="22"/>
  <c r="E19" i="21"/>
  <c r="E31" i="21"/>
  <c r="E16" i="21"/>
  <c r="E34" i="21"/>
  <c r="E17" i="21"/>
  <c r="D45" i="21"/>
  <c r="W45" i="21" s="1"/>
  <c r="G45" i="21" s="1"/>
  <c r="D30" i="21"/>
  <c r="V30" i="21" s="1"/>
  <c r="F30" i="21" s="1"/>
  <c r="D44" i="21"/>
  <c r="W44" i="21" s="1"/>
  <c r="G44" i="21" s="1"/>
  <c r="D28" i="21"/>
  <c r="V28" i="21" s="1"/>
  <c r="F28" i="21" s="1"/>
  <c r="E37" i="21"/>
  <c r="I5" i="22"/>
  <c r="F46" i="22"/>
  <c r="I17" i="22"/>
  <c r="N27" i="22"/>
  <c r="H31" i="22"/>
  <c r="M37" i="22"/>
  <c r="O21" i="22"/>
  <c r="G48" i="22"/>
  <c r="M50" i="22"/>
  <c r="M43" i="22"/>
  <c r="N32" i="22"/>
  <c r="F32" i="22"/>
  <c r="F9" i="22"/>
  <c r="O32" i="22"/>
  <c r="E21" i="22"/>
  <c r="AS21" i="22" s="1"/>
  <c r="G23" i="22"/>
  <c r="M7" i="22"/>
  <c r="H22" i="22"/>
  <c r="G33" i="22"/>
  <c r="M32" i="22"/>
  <c r="G30" i="22"/>
  <c r="E11" i="22"/>
  <c r="AS11" i="22" s="1"/>
  <c r="G13" i="22"/>
  <c r="F19" i="22"/>
  <c r="F14" i="22"/>
  <c r="AT14" i="22" s="1"/>
  <c r="I43" i="22"/>
  <c r="L23" i="22"/>
  <c r="L22" i="22"/>
  <c r="O30" i="22"/>
  <c r="N17" i="22"/>
  <c r="M49" i="22"/>
  <c r="F18" i="22"/>
  <c r="L12" i="22"/>
  <c r="E33" i="21"/>
  <c r="E49" i="21"/>
  <c r="E30" i="21"/>
  <c r="D27" i="21"/>
  <c r="W27" i="21" s="1"/>
  <c r="G27" i="21" s="1"/>
  <c r="D19" i="21"/>
  <c r="X19" i="21" s="1"/>
  <c r="H19" i="21" s="1"/>
  <c r="D36" i="21"/>
  <c r="W36" i="21" s="1"/>
  <c r="G36" i="21" s="1"/>
  <c r="D37" i="21"/>
  <c r="X37" i="21" s="1"/>
  <c r="H37" i="21" s="1"/>
  <c r="D22" i="21"/>
  <c r="X22" i="21" s="1"/>
  <c r="H22" i="21" s="1"/>
  <c r="E43" i="21"/>
  <c r="D24" i="21"/>
  <c r="V24" i="21" s="1"/>
  <c r="F24" i="21" s="1"/>
  <c r="M5" i="22"/>
  <c r="N7" i="22"/>
  <c r="G8" i="22"/>
  <c r="G32" i="22"/>
  <c r="H16" i="22"/>
  <c r="H49" i="22"/>
  <c r="M29" i="22"/>
  <c r="H37" i="22"/>
  <c r="E24" i="22"/>
  <c r="AS24" i="22" s="1"/>
  <c r="O47" i="22"/>
  <c r="M42" i="22"/>
  <c r="E45" i="22"/>
  <c r="AS45" i="22" s="1"/>
  <c r="E22" i="22"/>
  <c r="AS22" i="22" s="1"/>
  <c r="M27" i="22"/>
  <c r="I33" i="22"/>
  <c r="I10" i="22"/>
  <c r="O28" i="22"/>
  <c r="G35" i="22"/>
  <c r="E25" i="22"/>
  <c r="AS25" i="22" s="1"/>
  <c r="I11" i="22"/>
  <c r="F24" i="22"/>
  <c r="H36" i="22"/>
  <c r="O29" i="22"/>
  <c r="I44" i="22"/>
  <c r="I39" i="22"/>
  <c r="N19" i="22"/>
  <c r="N25" i="22"/>
  <c r="E47" i="22"/>
  <c r="AS47" i="22" s="1"/>
  <c r="L31" i="22"/>
  <c r="O14" i="22"/>
  <c r="M41" i="22"/>
  <c r="L50" i="22"/>
  <c r="L35" i="22"/>
  <c r="N5" i="22"/>
  <c r="O44" i="22"/>
  <c r="G26" i="22"/>
  <c r="E43" i="22"/>
  <c r="AS43" i="22" s="1"/>
  <c r="H9" i="22"/>
  <c r="G27" i="22"/>
  <c r="G21" i="22"/>
  <c r="G17" i="22"/>
  <c r="G10" i="22"/>
  <c r="M28" i="22"/>
  <c r="O49" i="22"/>
  <c r="G24" i="22"/>
  <c r="I34" i="22"/>
  <c r="O39" i="22"/>
  <c r="H46" i="22"/>
  <c r="H23" i="22"/>
  <c r="O16" i="22"/>
  <c r="F48" i="22"/>
  <c r="G12" i="22"/>
  <c r="O15" i="22"/>
  <c r="E37" i="22"/>
  <c r="AS37" i="22" s="1"/>
  <c r="H26" i="22"/>
  <c r="G6" i="22"/>
  <c r="H38" i="22"/>
  <c r="G15" i="22"/>
  <c r="M45" i="22"/>
  <c r="L15" i="22"/>
  <c r="L39" i="22"/>
  <c r="H8" i="22"/>
  <c r="M12" i="22"/>
  <c r="N38" i="22"/>
  <c r="L34" i="22"/>
  <c r="L24" i="22"/>
  <c r="D6" i="21"/>
  <c r="V6" i="21" s="1"/>
  <c r="F6" i="21" s="1"/>
  <c r="E38" i="21"/>
  <c r="D17" i="21"/>
  <c r="X17" i="21" s="1"/>
  <c r="H17" i="21" s="1"/>
  <c r="E22" i="21"/>
  <c r="D49" i="21"/>
  <c r="V49" i="21" s="1"/>
  <c r="F49" i="21" s="1"/>
  <c r="D11" i="21"/>
  <c r="W11" i="21" s="1"/>
  <c r="G11" i="21" s="1"/>
  <c r="E32" i="21"/>
  <c r="E24" i="21"/>
  <c r="G5" i="22"/>
  <c r="N30" i="22"/>
  <c r="E33" i="22"/>
  <c r="AS33" i="22" s="1"/>
  <c r="N24" i="22"/>
  <c r="G46" i="22"/>
  <c r="E10" i="22"/>
  <c r="AS10" i="22" s="1"/>
  <c r="G50" i="22"/>
  <c r="G7" i="22"/>
  <c r="F39" i="22"/>
  <c r="F40" i="22"/>
  <c r="G37" i="22"/>
  <c r="F15" i="22"/>
  <c r="H47" i="22"/>
  <c r="M13" i="22"/>
  <c r="E26" i="22"/>
  <c r="AS26" i="22" s="1"/>
  <c r="G36" i="22"/>
  <c r="M34" i="22"/>
  <c r="I14" i="22"/>
  <c r="F25" i="22"/>
  <c r="M10" i="22"/>
  <c r="I49" i="22"/>
  <c r="I26" i="22"/>
  <c r="O11" i="22"/>
  <c r="E41" i="22"/>
  <c r="AS41" i="22" s="1"/>
  <c r="N10" i="22"/>
  <c r="M23" i="22"/>
  <c r="L7" i="22"/>
  <c r="L30" i="22"/>
  <c r="G45" i="22"/>
  <c r="O35" i="22"/>
  <c r="L10" i="22"/>
  <c r="H13" i="22"/>
  <c r="I24" i="22"/>
  <c r="E6" i="22"/>
  <c r="AS6" i="22" s="1"/>
  <c r="E8" i="22"/>
  <c r="AS8" i="22" s="1"/>
  <c r="H35" i="22"/>
  <c r="I46" i="22"/>
  <c r="F20" i="22"/>
  <c r="F17" i="22"/>
  <c r="H20" i="22"/>
  <c r="I48" i="22"/>
  <c r="O40" i="22"/>
  <c r="E28" i="22"/>
  <c r="AS28" i="22" s="1"/>
  <c r="E35" i="22"/>
  <c r="AS35" i="22" s="1"/>
  <c r="M35" i="22"/>
  <c r="I16" i="22"/>
  <c r="F49" i="22"/>
  <c r="O10" i="22"/>
  <c r="G40" i="22"/>
  <c r="E38" i="22"/>
  <c r="AS38" i="22" s="1"/>
  <c r="O31" i="22"/>
  <c r="G16" i="22"/>
  <c r="H39" i="22"/>
  <c r="N50" i="22"/>
  <c r="E18" i="22"/>
  <c r="AS18" i="22" s="1"/>
  <c r="F41" i="22"/>
  <c r="N42" i="22"/>
  <c r="O25" i="22"/>
  <c r="N36" i="22"/>
  <c r="N49" i="22"/>
  <c r="L37" i="22"/>
  <c r="L36" i="22"/>
  <c r="O50" i="22"/>
  <c r="I36" i="22"/>
  <c r="G49" i="22"/>
  <c r="I42" i="22"/>
  <c r="H14" i="22"/>
  <c r="G31" i="22"/>
  <c r="K5" i="22"/>
  <c r="E30" i="22"/>
  <c r="AS30" i="22" s="1"/>
  <c r="L8" i="22"/>
  <c r="E17" i="22"/>
  <c r="AS17" i="22" s="1"/>
  <c r="I23" i="22"/>
  <c r="H25" i="22"/>
  <c r="I40" i="22"/>
  <c r="I19" i="22"/>
  <c r="N28" i="22"/>
  <c r="H29" i="22"/>
  <c r="F38" i="22"/>
  <c r="O24" i="22"/>
  <c r="F31" i="22"/>
  <c r="I50" i="22"/>
  <c r="N47" i="22"/>
  <c r="E42" i="22"/>
  <c r="AS42" i="22" s="1"/>
  <c r="H5" i="22"/>
  <c r="N39" i="22"/>
  <c r="I30" i="22"/>
  <c r="F22" i="22"/>
  <c r="M6" i="22"/>
  <c r="M36" i="22"/>
  <c r="L38" i="22"/>
  <c r="O38" i="22"/>
  <c r="L29" i="22"/>
  <c r="N21" i="22"/>
  <c r="N45" i="22"/>
  <c r="L44" i="22"/>
  <c r="L19" i="22"/>
  <c r="O42" i="22"/>
  <c r="L28" i="22"/>
  <c r="O18" i="22"/>
  <c r="O34" i="22"/>
  <c r="L20" i="22"/>
  <c r="L32" i="22"/>
  <c r="F34" i="22"/>
  <c r="M38" i="22"/>
  <c r="L49" i="22"/>
  <c r="E39" i="22"/>
  <c r="AS39" i="22" s="1"/>
  <c r="L43" i="22"/>
  <c r="E48" i="22"/>
  <c r="AS48" i="22" s="1"/>
  <c r="F6" i="22"/>
  <c r="O23" i="22"/>
  <c r="O19" i="22"/>
  <c r="M48" i="22"/>
  <c r="E36" i="22"/>
  <c r="AS36" i="22" s="1"/>
  <c r="N43" i="22"/>
  <c r="N34" i="22"/>
  <c r="F44" i="22"/>
  <c r="N20" i="22"/>
  <c r="I45" i="22"/>
  <c r="H33" i="22"/>
  <c r="I12" i="22"/>
  <c r="H11" i="22"/>
  <c r="E9" i="22"/>
  <c r="AS9" i="22" s="1"/>
  <c r="G9" i="22"/>
  <c r="M21" i="22"/>
  <c r="G14" i="22"/>
  <c r="F13" i="22"/>
  <c r="H10" i="22"/>
  <c r="H12" i="22"/>
  <c r="M8" i="22"/>
  <c r="E16" i="22"/>
  <c r="AS16" i="22" s="1"/>
  <c r="H27" i="22"/>
  <c r="F12" i="22"/>
  <c r="I15" i="22"/>
  <c r="O5" i="22"/>
  <c r="H17" i="22"/>
  <c r="F29" i="22"/>
  <c r="I13" i="22"/>
  <c r="H44" i="22"/>
  <c r="M9" i="22"/>
  <c r="E32" i="22"/>
  <c r="AS32" i="22" s="1"/>
  <c r="H43" i="22"/>
  <c r="F28" i="22"/>
  <c r="H48" i="22"/>
  <c r="O6" i="22"/>
  <c r="L47" i="22"/>
  <c r="L46" i="22"/>
  <c r="M31" i="22"/>
  <c r="F26" i="22"/>
  <c r="O9" i="22"/>
  <c r="N9" i="22"/>
  <c r="O8" i="22"/>
  <c r="L42" i="22"/>
  <c r="N37" i="22"/>
  <c r="L33" i="22"/>
  <c r="M46" i="22"/>
  <c r="M11" i="22"/>
  <c r="M18" i="22"/>
  <c r="H42" i="22"/>
  <c r="F35" i="22"/>
  <c r="E29" i="22"/>
  <c r="AS29" i="22" s="1"/>
  <c r="E46" i="22"/>
  <c r="AS46" i="22" s="1"/>
  <c r="H30" i="22"/>
  <c r="I31" i="22"/>
  <c r="I22" i="22"/>
  <c r="N6" i="22"/>
  <c r="G38" i="22"/>
  <c r="F37" i="22"/>
  <c r="H34" i="22"/>
  <c r="F42" i="22"/>
  <c r="N22" i="22"/>
  <c r="E40" i="22"/>
  <c r="AS40" i="22" s="1"/>
  <c r="I38" i="22"/>
  <c r="F36" i="22"/>
  <c r="F10" i="22"/>
  <c r="N18" i="22"/>
  <c r="H41" i="22"/>
  <c r="E7" i="22"/>
  <c r="AS7" i="22" s="1"/>
  <c r="I37" i="22"/>
  <c r="E23" i="22"/>
  <c r="AS23" i="22" s="1"/>
  <c r="N13" i="22"/>
  <c r="F43" i="22"/>
  <c r="F7" i="22"/>
  <c r="G39" i="22"/>
  <c r="I35" i="22"/>
  <c r="O20" i="22"/>
  <c r="E13" i="22"/>
  <c r="AS13" i="22" s="1"/>
  <c r="H21" i="22"/>
  <c r="H15" i="22"/>
  <c r="N11" i="22"/>
  <c r="M26" i="22"/>
  <c r="N44" i="22"/>
  <c r="N33" i="22"/>
  <c r="O46" i="22"/>
  <c r="M39" i="22"/>
  <c r="M25" i="22"/>
  <c r="H24" i="22"/>
  <c r="N46" i="22"/>
  <c r="L27" i="22"/>
  <c r="L26" i="22"/>
  <c r="N29" i="22"/>
  <c r="L17" i="22"/>
  <c r="M30" i="22"/>
  <c r="L48" i="22"/>
  <c r="O48" i="22"/>
  <c r="I6" i="22"/>
  <c r="F45" i="22"/>
  <c r="E34" i="22"/>
  <c r="AS34" i="22" s="1"/>
  <c r="F16" i="22"/>
  <c r="I20" i="22"/>
  <c r="H7" i="22"/>
  <c r="I41" i="22"/>
  <c r="H19" i="22"/>
  <c r="H28" i="22"/>
  <c r="F21" i="22"/>
  <c r="N40" i="22"/>
  <c r="E12" i="22"/>
  <c r="AS12" i="22" s="1"/>
  <c r="O36" i="22"/>
  <c r="E50" i="22"/>
  <c r="AS50" i="22" s="1"/>
  <c r="G47" i="22"/>
  <c r="L16" i="22"/>
  <c r="N31" i="22"/>
  <c r="E5" i="22"/>
  <c r="E49" i="22"/>
  <c r="AS49" i="22" s="1"/>
  <c r="L9" i="22"/>
  <c r="N23" i="22"/>
  <c r="I9" i="22"/>
  <c r="G18" i="22"/>
  <c r="H50" i="22"/>
  <c r="N14" i="22"/>
  <c r="G11" i="22"/>
  <c r="E20" i="22"/>
  <c r="AS20" i="22" s="1"/>
  <c r="E14" i="22"/>
  <c r="AS14" i="22" s="1"/>
  <c r="N48" i="22"/>
  <c r="O27" i="22"/>
  <c r="I25" i="22"/>
  <c r="G34" i="22"/>
  <c r="G28" i="22"/>
  <c r="M24" i="22"/>
  <c r="N35" i="22"/>
  <c r="O33" i="22"/>
  <c r="M47" i="22"/>
  <c r="E31" i="22"/>
  <c r="AS31" i="22" s="1"/>
  <c r="N12" i="22"/>
  <c r="M17" i="22"/>
  <c r="L45" i="22"/>
  <c r="O43" i="22"/>
  <c r="L11" i="22"/>
  <c r="L18" i="22"/>
  <c r="O26" i="22"/>
  <c r="L5" i="22"/>
  <c r="M22" i="22"/>
  <c r="AO65" i="5"/>
  <c r="H111" i="5" s="1"/>
  <c r="AM65" i="5"/>
  <c r="H109" i="5" s="1"/>
  <c r="N749" i="18"/>
  <c r="N745" i="18"/>
  <c r="N741" i="18"/>
  <c r="N737" i="18"/>
  <c r="N733" i="18"/>
  <c r="N729" i="18"/>
  <c r="N725" i="18"/>
  <c r="N721" i="18"/>
  <c r="N717" i="18"/>
  <c r="N713" i="18"/>
  <c r="N709" i="18"/>
  <c r="N705" i="18"/>
  <c r="N701" i="18"/>
  <c r="N697" i="18"/>
  <c r="N693" i="18"/>
  <c r="N689" i="18"/>
  <c r="N685" i="18"/>
  <c r="N681" i="18"/>
  <c r="N677" i="18"/>
  <c r="N673" i="18"/>
  <c r="N669" i="18"/>
  <c r="N665" i="18"/>
  <c r="N661" i="18"/>
  <c r="N657" i="18"/>
  <c r="N653" i="18"/>
  <c r="N649" i="18"/>
  <c r="N645" i="18"/>
  <c r="N641" i="18"/>
  <c r="N637" i="18"/>
  <c r="N633" i="18"/>
  <c r="N629" i="18"/>
  <c r="N625" i="18"/>
  <c r="N621" i="18"/>
  <c r="N617" i="18"/>
  <c r="N613" i="18"/>
  <c r="N609" i="18"/>
  <c r="N605" i="18"/>
  <c r="N601" i="18"/>
  <c r="N597" i="18"/>
  <c r="N593" i="18"/>
  <c r="N589" i="18"/>
  <c r="N750" i="18"/>
  <c r="N746" i="18"/>
  <c r="N742" i="18"/>
  <c r="N738" i="18"/>
  <c r="N734" i="18"/>
  <c r="N730" i="18"/>
  <c r="N726" i="18"/>
  <c r="N722" i="18"/>
  <c r="N718" i="18"/>
  <c r="N714" i="18"/>
  <c r="N743" i="18"/>
  <c r="N740" i="18"/>
  <c r="N703" i="18"/>
  <c r="N686" i="18"/>
  <c r="N684" i="18"/>
  <c r="N671" i="18"/>
  <c r="N659" i="18"/>
  <c r="N652" i="18"/>
  <c r="N650" i="18"/>
  <c r="N643" i="18"/>
  <c r="N636" i="18"/>
  <c r="N634" i="18"/>
  <c r="N627" i="18"/>
  <c r="N620" i="18"/>
  <c r="N618" i="18"/>
  <c r="N611" i="18"/>
  <c r="N604" i="18"/>
  <c r="N602" i="18"/>
  <c r="N595" i="18"/>
  <c r="N588" i="18"/>
  <c r="N585" i="18"/>
  <c r="N581" i="18"/>
  <c r="N577" i="18"/>
  <c r="N573" i="18"/>
  <c r="N569" i="18"/>
  <c r="N565" i="18"/>
  <c r="N561" i="18"/>
  <c r="N557" i="18"/>
  <c r="N553" i="18"/>
  <c r="N549" i="18"/>
  <c r="N545" i="18"/>
  <c r="N541" i="18"/>
  <c r="N537" i="18"/>
  <c r="N533" i="18"/>
  <c r="N529" i="18"/>
  <c r="N525" i="18"/>
  <c r="N521" i="18"/>
  <c r="N517" i="18"/>
  <c r="N513" i="18"/>
  <c r="N509" i="18"/>
  <c r="N505" i="18"/>
  <c r="N501" i="18"/>
  <c r="N497" i="18"/>
  <c r="N493" i="18"/>
  <c r="N489" i="18"/>
  <c r="N485" i="18"/>
  <c r="N481" i="18"/>
  <c r="N477" i="18"/>
  <c r="N473" i="18"/>
  <c r="N469" i="18"/>
  <c r="N465" i="18"/>
  <c r="N739" i="18"/>
  <c r="N736" i="18"/>
  <c r="N707" i="18"/>
  <c r="N690" i="18"/>
  <c r="N688" i="18"/>
  <c r="N675" i="18"/>
  <c r="N735" i="18"/>
  <c r="N732" i="18"/>
  <c r="N711" i="18"/>
  <c r="N694" i="18"/>
  <c r="N692" i="18"/>
  <c r="N679" i="18"/>
  <c r="N662" i="18"/>
  <c r="N655" i="18"/>
  <c r="N648" i="18"/>
  <c r="N646" i="18"/>
  <c r="N639" i="18"/>
  <c r="N632" i="18"/>
  <c r="N630" i="18"/>
  <c r="N623" i="18"/>
  <c r="N616" i="18"/>
  <c r="N614" i="18"/>
  <c r="N607" i="18"/>
  <c r="N600" i="18"/>
  <c r="N598" i="18"/>
  <c r="N591" i="18"/>
  <c r="N586" i="18"/>
  <c r="N582" i="18"/>
  <c r="N578" i="18"/>
  <c r="N574" i="18"/>
  <c r="N570" i="18"/>
  <c r="N566" i="18"/>
  <c r="N562" i="18"/>
  <c r="N558" i="18"/>
  <c r="N554" i="18"/>
  <c r="N550" i="18"/>
  <c r="N546" i="18"/>
  <c r="N542" i="18"/>
  <c r="N538" i="18"/>
  <c r="N534" i="18"/>
  <c r="N530" i="18"/>
  <c r="N526" i="18"/>
  <c r="N522" i="18"/>
  <c r="N518" i="18"/>
  <c r="N514" i="18"/>
  <c r="N510" i="18"/>
  <c r="N506" i="18"/>
  <c r="N502" i="18"/>
  <c r="N498" i="18"/>
  <c r="N494" i="18"/>
  <c r="N490" i="18"/>
  <c r="N486" i="18"/>
  <c r="N482" i="18"/>
  <c r="N478" i="18"/>
  <c r="N474" i="18"/>
  <c r="N470" i="18"/>
  <c r="N466" i="18"/>
  <c r="N731" i="18"/>
  <c r="N728" i="18"/>
  <c r="N698" i="18"/>
  <c r="N696" i="18"/>
  <c r="N683" i="18"/>
  <c r="N666" i="18"/>
  <c r="N664" i="18"/>
  <c r="N752" i="18"/>
  <c r="N723" i="18"/>
  <c r="N720" i="18"/>
  <c r="N706" i="18"/>
  <c r="N704" i="18"/>
  <c r="N691" i="18"/>
  <c r="N674" i="18"/>
  <c r="N672" i="18"/>
  <c r="N747" i="18"/>
  <c r="N727" i="18"/>
  <c r="N710" i="18"/>
  <c r="N699" i="18"/>
  <c r="N687" i="18"/>
  <c r="N682" i="18"/>
  <c r="N676" i="18"/>
  <c r="N670" i="18"/>
  <c r="N631" i="18"/>
  <c r="N626" i="18"/>
  <c r="N612" i="18"/>
  <c r="N654" i="18"/>
  <c r="N640" i="18"/>
  <c r="N635" i="18"/>
  <c r="N584" i="18"/>
  <c r="N572" i="18"/>
  <c r="N564" i="18"/>
  <c r="N556" i="18"/>
  <c r="N548" i="18"/>
  <c r="N540" i="18"/>
  <c r="N532" i="18"/>
  <c r="N524" i="18"/>
  <c r="N516" i="18"/>
  <c r="N508" i="18"/>
  <c r="N500" i="18"/>
  <c r="N492" i="18"/>
  <c r="N484" i="18"/>
  <c r="N476" i="18"/>
  <c r="N467" i="18"/>
  <c r="N462" i="18"/>
  <c r="N458" i="18"/>
  <c r="N454" i="18"/>
  <c r="N450" i="18"/>
  <c r="N446" i="18"/>
  <c r="N442" i="18"/>
  <c r="N438" i="18"/>
  <c r="N716" i="18"/>
  <c r="N663" i="18"/>
  <c r="N658" i="18"/>
  <c r="N644" i="18"/>
  <c r="N606" i="18"/>
  <c r="N592" i="18"/>
  <c r="N587" i="18"/>
  <c r="N580" i="18"/>
  <c r="N744" i="18"/>
  <c r="N724" i="18"/>
  <c r="N715" i="18"/>
  <c r="N708" i="18"/>
  <c r="N702" i="18"/>
  <c r="N680" i="18"/>
  <c r="N668" i="18"/>
  <c r="N615" i="18"/>
  <c r="N610" i="18"/>
  <c r="N596" i="18"/>
  <c r="N583" i="18"/>
  <c r="N571" i="18"/>
  <c r="N563" i="18"/>
  <c r="N555" i="18"/>
  <c r="N547" i="18"/>
  <c r="N539" i="18"/>
  <c r="N531" i="18"/>
  <c r="N523" i="18"/>
  <c r="N515" i="18"/>
  <c r="N507" i="18"/>
  <c r="N499" i="18"/>
  <c r="N491" i="18"/>
  <c r="N483" i="18"/>
  <c r="N472" i="18"/>
  <c r="N463" i="18"/>
  <c r="N459" i="18"/>
  <c r="N455" i="18"/>
  <c r="N451" i="18"/>
  <c r="N447" i="18"/>
  <c r="N443" i="18"/>
  <c r="N439" i="18"/>
  <c r="N695" i="18"/>
  <c r="N678" i="18"/>
  <c r="N667" i="18"/>
  <c r="N647" i="18"/>
  <c r="N642" i="18"/>
  <c r="N628" i="18"/>
  <c r="N590" i="18"/>
  <c r="N576" i="18"/>
  <c r="N568" i="18"/>
  <c r="N560" i="18"/>
  <c r="N552" i="18"/>
  <c r="N544" i="18"/>
  <c r="N536" i="18"/>
  <c r="N528" i="18"/>
  <c r="N520" i="18"/>
  <c r="N512" i="18"/>
  <c r="N504" i="18"/>
  <c r="N496" i="18"/>
  <c r="N488" i="18"/>
  <c r="N480" i="18"/>
  <c r="N475" i="18"/>
  <c r="N468" i="18"/>
  <c r="N460" i="18"/>
  <c r="N456" i="18"/>
  <c r="N712" i="18"/>
  <c r="N603" i="18"/>
  <c r="N579" i="18"/>
  <c r="N551" i="18"/>
  <c r="N487" i="18"/>
  <c r="N457" i="18"/>
  <c r="N448" i="18"/>
  <c r="N651" i="18"/>
  <c r="N638" i="18"/>
  <c r="N543" i="18"/>
  <c r="N479" i="18"/>
  <c r="N464" i="18"/>
  <c r="N453" i="18"/>
  <c r="N433" i="18"/>
  <c r="N429" i="18"/>
  <c r="N425" i="18"/>
  <c r="N421" i="18"/>
  <c r="N417" i="18"/>
  <c r="N413" i="18"/>
  <c r="N409" i="18"/>
  <c r="N405" i="18"/>
  <c r="N398" i="18"/>
  <c r="N394" i="18"/>
  <c r="N390" i="18"/>
  <c r="N386" i="18"/>
  <c r="N382" i="18"/>
  <c r="N378" i="18"/>
  <c r="N374" i="18"/>
  <c r="N370" i="18"/>
  <c r="N366" i="18"/>
  <c r="N362" i="18"/>
  <c r="N358" i="18"/>
  <c r="N354" i="18"/>
  <c r="N350" i="18"/>
  <c r="N346" i="18"/>
  <c r="N342" i="18"/>
  <c r="N338" i="18"/>
  <c r="N334" i="18"/>
  <c r="N330" i="18"/>
  <c r="N326" i="18"/>
  <c r="N322" i="18"/>
  <c r="N318" i="18"/>
  <c r="N314" i="18"/>
  <c r="N310" i="18"/>
  <c r="N306" i="18"/>
  <c r="N302" i="18"/>
  <c r="N298" i="18"/>
  <c r="N294" i="18"/>
  <c r="N290" i="18"/>
  <c r="N286" i="18"/>
  <c r="N282" i="18"/>
  <c r="N278" i="18"/>
  <c r="N274" i="18"/>
  <c r="N270" i="18"/>
  <c r="N266" i="18"/>
  <c r="N262" i="18"/>
  <c r="N624" i="18"/>
  <c r="N599" i="18"/>
  <c r="N535" i="18"/>
  <c r="N751" i="18"/>
  <c r="N527" i="18"/>
  <c r="N452" i="18"/>
  <c r="N441" i="18"/>
  <c r="N437" i="18"/>
  <c r="N434" i="18"/>
  <c r="N430" i="18"/>
  <c r="N426" i="18"/>
  <c r="N422" i="18"/>
  <c r="N418" i="18"/>
  <c r="N414" i="18"/>
  <c r="N410" i="18"/>
  <c r="N406" i="18"/>
  <c r="N402" i="18"/>
  <c r="N395" i="18"/>
  <c r="N391" i="18"/>
  <c r="N387" i="18"/>
  <c r="N383" i="18"/>
  <c r="N379" i="18"/>
  <c r="N375" i="18"/>
  <c r="N371" i="18"/>
  <c r="N367" i="18"/>
  <c r="N363" i="18"/>
  <c r="N359" i="18"/>
  <c r="N355" i="18"/>
  <c r="N351" i="18"/>
  <c r="N347" i="18"/>
  <c r="N343" i="18"/>
  <c r="N339" i="18"/>
  <c r="N335" i="18"/>
  <c r="N331" i="18"/>
  <c r="N327" i="18"/>
  <c r="N323" i="18"/>
  <c r="N319" i="18"/>
  <c r="N315" i="18"/>
  <c r="N311" i="18"/>
  <c r="N307" i="18"/>
  <c r="N303" i="18"/>
  <c r="N299" i="18"/>
  <c r="N295" i="18"/>
  <c r="N291" i="18"/>
  <c r="N287" i="18"/>
  <c r="N283" i="18"/>
  <c r="N279" i="18"/>
  <c r="N275" i="18"/>
  <c r="N271" i="18"/>
  <c r="N267" i="18"/>
  <c r="N263" i="18"/>
  <c r="N748" i="18"/>
  <c r="N619" i="18"/>
  <c r="N608" i="18"/>
  <c r="N594" i="18"/>
  <c r="N575" i="18"/>
  <c r="N511" i="18"/>
  <c r="N471" i="18"/>
  <c r="N449" i="18"/>
  <c r="N435" i="18"/>
  <c r="N431" i="18"/>
  <c r="N427" i="18"/>
  <c r="N423" i="18"/>
  <c r="N419" i="18"/>
  <c r="N415" i="18"/>
  <c r="N411" i="18"/>
  <c r="N407" i="18"/>
  <c r="N403" i="18"/>
  <c r="N396" i="18"/>
  <c r="N392" i="18"/>
  <c r="N388" i="18"/>
  <c r="N384" i="18"/>
  <c r="N380" i="18"/>
  <c r="N376" i="18"/>
  <c r="N372" i="18"/>
  <c r="N368" i="18"/>
  <c r="N364" i="18"/>
  <c r="N360" i="18"/>
  <c r="N356" i="18"/>
  <c r="N352" i="18"/>
  <c r="N348" i="18"/>
  <c r="N344" i="18"/>
  <c r="N340" i="18"/>
  <c r="N336" i="18"/>
  <c r="N332" i="18"/>
  <c r="N328" i="18"/>
  <c r="N324" i="18"/>
  <c r="N320" i="18"/>
  <c r="N316" i="18"/>
  <c r="N312" i="18"/>
  <c r="N308" i="18"/>
  <c r="N304" i="18"/>
  <c r="N300" i="18"/>
  <c r="N296" i="18"/>
  <c r="N292" i="18"/>
  <c r="N288" i="18"/>
  <c r="N284" i="18"/>
  <c r="N280" i="18"/>
  <c r="N276" i="18"/>
  <c r="N272" i="18"/>
  <c r="N268" i="18"/>
  <c r="N264" i="18"/>
  <c r="N260" i="18"/>
  <c r="N719" i="18"/>
  <c r="N700" i="18"/>
  <c r="N656" i="18"/>
  <c r="N567" i="18"/>
  <c r="N503" i="18"/>
  <c r="N440" i="18"/>
  <c r="N559" i="18"/>
  <c r="N432" i="18"/>
  <c r="N416" i="18"/>
  <c r="N397" i="18"/>
  <c r="N381" i="18"/>
  <c r="N365" i="18"/>
  <c r="N349" i="18"/>
  <c r="N333" i="18"/>
  <c r="N317" i="18"/>
  <c r="N301" i="18"/>
  <c r="N285" i="18"/>
  <c r="N269" i="18"/>
  <c r="N259" i="18"/>
  <c r="N255" i="18"/>
  <c r="N251" i="18"/>
  <c r="N247" i="18"/>
  <c r="N243" i="18"/>
  <c r="N239" i="18"/>
  <c r="N235" i="18"/>
  <c r="N231" i="18"/>
  <c r="N227" i="18"/>
  <c r="N223" i="18"/>
  <c r="N219" i="18"/>
  <c r="N215" i="18"/>
  <c r="N211" i="18"/>
  <c r="N207" i="18"/>
  <c r="N203" i="18"/>
  <c r="N199" i="18"/>
  <c r="N195" i="18"/>
  <c r="N191" i="18"/>
  <c r="N187" i="18"/>
  <c r="N183" i="18"/>
  <c r="N179" i="18"/>
  <c r="N175" i="18"/>
  <c r="N171" i="18"/>
  <c r="N167" i="18"/>
  <c r="N163" i="18"/>
  <c r="N159" i="18"/>
  <c r="N155" i="18"/>
  <c r="N151" i="18"/>
  <c r="N147" i="18"/>
  <c r="N143" i="18"/>
  <c r="N139" i="18"/>
  <c r="N135" i="18"/>
  <c r="N131" i="18"/>
  <c r="N127" i="18"/>
  <c r="N123" i="18"/>
  <c r="N119" i="18"/>
  <c r="N115" i="18"/>
  <c r="N111" i="18"/>
  <c r="N107" i="18"/>
  <c r="N103" i="18"/>
  <c r="N99" i="18"/>
  <c r="N95" i="18"/>
  <c r="N91" i="18"/>
  <c r="N445" i="18"/>
  <c r="N622" i="18"/>
  <c r="N519" i="18"/>
  <c r="N424" i="18"/>
  <c r="N408" i="18"/>
  <c r="N389" i="18"/>
  <c r="N373" i="18"/>
  <c r="N357" i="18"/>
  <c r="N341" i="18"/>
  <c r="N325" i="18"/>
  <c r="N309" i="18"/>
  <c r="N293" i="18"/>
  <c r="N277" i="18"/>
  <c r="N261" i="18"/>
  <c r="N257" i="18"/>
  <c r="N253" i="18"/>
  <c r="N249" i="18"/>
  <c r="N245" i="18"/>
  <c r="N241" i="18"/>
  <c r="N237" i="18"/>
  <c r="N233" i="18"/>
  <c r="N229" i="18"/>
  <c r="N225" i="18"/>
  <c r="N221" i="18"/>
  <c r="N217" i="18"/>
  <c r="N213" i="18"/>
  <c r="N209" i="18"/>
  <c r="N205" i="18"/>
  <c r="N201" i="18"/>
  <c r="N197" i="18"/>
  <c r="N193" i="18"/>
  <c r="N189" i="18"/>
  <c r="N185" i="18"/>
  <c r="N181" i="18"/>
  <c r="N177" i="18"/>
  <c r="N173" i="18"/>
  <c r="N169" i="18"/>
  <c r="N165" i="18"/>
  <c r="N161" i="18"/>
  <c r="N157" i="18"/>
  <c r="N153" i="18"/>
  <c r="N149" i="18"/>
  <c r="N145" i="18"/>
  <c r="N141" i="18"/>
  <c r="N137" i="18"/>
  <c r="N133" i="18"/>
  <c r="N129" i="18"/>
  <c r="N125" i="18"/>
  <c r="N121" i="18"/>
  <c r="N117" i="18"/>
  <c r="N113" i="18"/>
  <c r="N109" i="18"/>
  <c r="N105" i="18"/>
  <c r="N101" i="18"/>
  <c r="N97" i="18"/>
  <c r="N93" i="18"/>
  <c r="N660" i="18"/>
  <c r="N461" i="18"/>
  <c r="N428" i="18"/>
  <c r="N412" i="18"/>
  <c r="N393" i="18"/>
  <c r="N377" i="18"/>
  <c r="N361" i="18"/>
  <c r="N345" i="18"/>
  <c r="N329" i="18"/>
  <c r="N313" i="18"/>
  <c r="N297" i="18"/>
  <c r="N281" i="18"/>
  <c r="N265" i="18"/>
  <c r="N258" i="18"/>
  <c r="N254" i="18"/>
  <c r="N250" i="18"/>
  <c r="N246" i="18"/>
  <c r="N242" i="18"/>
  <c r="N238" i="18"/>
  <c r="N234" i="18"/>
  <c r="N230" i="18"/>
  <c r="N226" i="18"/>
  <c r="N222" i="18"/>
  <c r="N218" i="18"/>
  <c r="N214" i="18"/>
  <c r="N210" i="18"/>
  <c r="N206" i="18"/>
  <c r="N385" i="18"/>
  <c r="N321" i="18"/>
  <c r="N248" i="18"/>
  <c r="N232" i="18"/>
  <c r="N216" i="18"/>
  <c r="N200" i="18"/>
  <c r="N192" i="18"/>
  <c r="N184" i="18"/>
  <c r="N176" i="18"/>
  <c r="N168" i="18"/>
  <c r="N160" i="18"/>
  <c r="N152" i="18"/>
  <c r="N144" i="18"/>
  <c r="N136" i="18"/>
  <c r="N128" i="18"/>
  <c r="N120" i="18"/>
  <c r="N112" i="18"/>
  <c r="N104" i="18"/>
  <c r="N87" i="18"/>
  <c r="N83" i="18"/>
  <c r="N79" i="18"/>
  <c r="N75" i="18"/>
  <c r="N71" i="18"/>
  <c r="N67" i="18"/>
  <c r="N63" i="18"/>
  <c r="N59" i="18"/>
  <c r="N55" i="18"/>
  <c r="N51" i="18"/>
  <c r="N202" i="18"/>
  <c r="N194" i="18"/>
  <c r="N186" i="18"/>
  <c r="N178" i="18"/>
  <c r="N170" i="18"/>
  <c r="N162" i="18"/>
  <c r="N154" i="18"/>
  <c r="N146" i="18"/>
  <c r="N138" i="18"/>
  <c r="N130" i="18"/>
  <c r="N122" i="18"/>
  <c r="N114" i="18"/>
  <c r="N102" i="18"/>
  <c r="N404" i="18"/>
  <c r="N337" i="18"/>
  <c r="N273" i="18"/>
  <c r="N252" i="18"/>
  <c r="N236" i="18"/>
  <c r="N220" i="18"/>
  <c r="N100" i="18"/>
  <c r="N88" i="18"/>
  <c r="N84" i="18"/>
  <c r="N80" i="18"/>
  <c r="N76" i="18"/>
  <c r="N72" i="18"/>
  <c r="N68" i="18"/>
  <c r="N64" i="18"/>
  <c r="N60" i="18"/>
  <c r="N56" i="18"/>
  <c r="N52" i="18"/>
  <c r="N48" i="18"/>
  <c r="N98" i="18"/>
  <c r="N444" i="18"/>
  <c r="N420" i="18"/>
  <c r="N353" i="18"/>
  <c r="N289" i="18"/>
  <c r="N256" i="18"/>
  <c r="N240" i="18"/>
  <c r="N224" i="18"/>
  <c r="N208" i="18"/>
  <c r="N204" i="18"/>
  <c r="N196" i="18"/>
  <c r="N188" i="18"/>
  <c r="N180" i="18"/>
  <c r="N172" i="18"/>
  <c r="N164" i="18"/>
  <c r="N156" i="18"/>
  <c r="N148" i="18"/>
  <c r="E33" i="43" s="1" a="1"/>
  <c r="E33" i="43" s="1"/>
  <c r="N140" i="18"/>
  <c r="N132" i="18"/>
  <c r="N124" i="18"/>
  <c r="N116" i="18"/>
  <c r="N96" i="18"/>
  <c r="N89" i="18"/>
  <c r="N85" i="18"/>
  <c r="N81" i="18"/>
  <c r="N77" i="18"/>
  <c r="N73" i="18"/>
  <c r="N69" i="18"/>
  <c r="N65" i="18"/>
  <c r="N61" i="18"/>
  <c r="N57" i="18"/>
  <c r="N53" i="18"/>
  <c r="N49" i="18"/>
  <c r="N198" i="18"/>
  <c r="N190" i="18"/>
  <c r="N182" i="18"/>
  <c r="N174" i="18"/>
  <c r="N166" i="18"/>
  <c r="N158" i="18"/>
  <c r="N150" i="18"/>
  <c r="N142" i="18"/>
  <c r="N134" i="18"/>
  <c r="N126" i="18"/>
  <c r="N118" i="18"/>
  <c r="N110" i="18"/>
  <c r="N94" i="18"/>
  <c r="N495" i="18"/>
  <c r="N436" i="18"/>
  <c r="N369" i="18"/>
  <c r="N305" i="18"/>
  <c r="N244" i="18"/>
  <c r="N228" i="18"/>
  <c r="N212" i="18"/>
  <c r="N108" i="18"/>
  <c r="N92" i="18"/>
  <c r="N86" i="18"/>
  <c r="N82" i="18"/>
  <c r="N78" i="18"/>
  <c r="N74" i="18"/>
  <c r="N70" i="18"/>
  <c r="N66" i="18"/>
  <c r="N62" i="18"/>
  <c r="N58" i="18"/>
  <c r="N54" i="18"/>
  <c r="N50" i="18"/>
  <c r="N106" i="18"/>
  <c r="N90" i="18"/>
  <c r="I4" i="18"/>
  <c r="I44" i="18" s="1"/>
  <c r="H401" i="18"/>
  <c r="H47" i="18"/>
  <c r="H754" i="18"/>
  <c r="R38" i="18"/>
  <c r="Q788" i="18"/>
  <c r="Q1048" i="18"/>
  <c r="Q1082" i="18"/>
  <c r="Q1018" i="18"/>
  <c r="Q1089" i="18"/>
  <c r="Q1025" i="18"/>
  <c r="Q1086" i="18"/>
  <c r="Q1022" i="18"/>
  <c r="Q933" i="18"/>
  <c r="Q962" i="18"/>
  <c r="Q898" i="18"/>
  <c r="Q1061" i="18"/>
  <c r="Q967" i="18"/>
  <c r="Q903" i="18"/>
  <c r="Q948" i="18"/>
  <c r="Q884" i="18"/>
  <c r="Q1060" i="18"/>
  <c r="Q1001" i="18"/>
  <c r="Q985" i="18"/>
  <c r="Q945" i="18"/>
  <c r="Q881" i="18"/>
  <c r="Q1055" i="18"/>
  <c r="Q963" i="18"/>
  <c r="Q899" i="18"/>
  <c r="Q1083" i="18"/>
  <c r="Q1019" i="18"/>
  <c r="Q861" i="18"/>
  <c r="Q845" i="18"/>
  <c r="Q989" i="18"/>
  <c r="Q854" i="18"/>
  <c r="Q818" i="18"/>
  <c r="Q944" i="18"/>
  <c r="Q880" i="18"/>
  <c r="Q874" i="18"/>
  <c r="Q785" i="18"/>
  <c r="Q790" i="18"/>
  <c r="Q779" i="18"/>
  <c r="Q817" i="18"/>
  <c r="Q809" i="18"/>
  <c r="Q765" i="18"/>
  <c r="Q821" i="18"/>
  <c r="Q778" i="18"/>
  <c r="Q767" i="18"/>
  <c r="Q831" i="18"/>
  <c r="Q1090" i="18"/>
  <c r="Q1026" i="18"/>
  <c r="Q1033" i="18"/>
  <c r="Q1030" i="18"/>
  <c r="Q970" i="18"/>
  <c r="Q1069" i="18"/>
  <c r="Q911" i="18"/>
  <c r="Q1068" i="18"/>
  <c r="Q988" i="18"/>
  <c r="Q889" i="18"/>
  <c r="Q971" i="18"/>
  <c r="Q843" i="18"/>
  <c r="Q869" i="18"/>
  <c r="Q992" i="18"/>
  <c r="Q826" i="18"/>
  <c r="Q888" i="18"/>
  <c r="Q793" i="18"/>
  <c r="Q787" i="18"/>
  <c r="Q833" i="18"/>
  <c r="Q828" i="18"/>
  <c r="Q775" i="18"/>
  <c r="Q756" i="18"/>
  <c r="Q1104" i="18"/>
  <c r="Q1040" i="18"/>
  <c r="Q1074" i="18"/>
  <c r="Q1010" i="18"/>
  <c r="Q1081" i="18"/>
  <c r="Q1017" i="18"/>
  <c r="Q1078" i="18"/>
  <c r="Q1014" i="18"/>
  <c r="Q925" i="18"/>
  <c r="Q954" i="18"/>
  <c r="Q890" i="18"/>
  <c r="Q1053" i="18"/>
  <c r="Q959" i="18"/>
  <c r="Q895" i="18"/>
  <c r="Q940" i="18"/>
  <c r="Q876" i="18"/>
  <c r="Q1052" i="18"/>
  <c r="Q999" i="18"/>
  <c r="Q983" i="18"/>
  <c r="Q937" i="18"/>
  <c r="Q873" i="18"/>
  <c r="Q1047" i="18"/>
  <c r="Q955" i="18"/>
  <c r="Q891" i="18"/>
  <c r="Q1075" i="18"/>
  <c r="Q1011" i="18"/>
  <c r="Q858" i="18"/>
  <c r="Q837" i="18"/>
  <c r="Q987" i="18"/>
  <c r="Q852" i="18"/>
  <c r="Q810" i="18"/>
  <c r="Q936" i="18"/>
  <c r="Q877" i="18"/>
  <c r="Q866" i="18"/>
  <c r="Q777" i="18"/>
  <c r="Q782" i="18"/>
  <c r="Q771" i="18"/>
  <c r="Q805" i="18"/>
  <c r="Q802" i="18"/>
  <c r="Q757" i="18"/>
  <c r="Q820" i="18"/>
  <c r="Q770" i="18"/>
  <c r="Q759" i="18"/>
  <c r="Q894" i="18"/>
  <c r="Q1096" i="18"/>
  <c r="Q1032" i="18"/>
  <c r="Q1066" i="18"/>
  <c r="Q1002" i="18"/>
  <c r="Q1073" i="18"/>
  <c r="Q1009" i="18"/>
  <c r="Q1070" i="18"/>
  <c r="Q1006" i="18"/>
  <c r="Q917" i="18"/>
  <c r="Q946" i="18"/>
  <c r="Q882" i="18"/>
  <c r="Q1045" i="18"/>
  <c r="Q951" i="18"/>
  <c r="Q887" i="18"/>
  <c r="Q932" i="18"/>
  <c r="Q868" i="18"/>
  <c r="Q1044" i="18"/>
  <c r="Q998" i="18"/>
  <c r="Q982" i="18"/>
  <c r="Q929" i="18"/>
  <c r="Q865" i="18"/>
  <c r="Q1039" i="18"/>
  <c r="Q947" i="18"/>
  <c r="Q883" i="18"/>
  <c r="Q1067" i="18"/>
  <c r="Q840" i="18"/>
  <c r="Q856" i="18"/>
  <c r="Q1005" i="18"/>
  <c r="Q984" i="18"/>
  <c r="Q849" i="18"/>
  <c r="Q872" i="18"/>
  <c r="Q928" i="18"/>
  <c r="Q878" i="18"/>
  <c r="Q835" i="18"/>
  <c r="Q769" i="18"/>
  <c r="Q774" i="18"/>
  <c r="Q763" i="18"/>
  <c r="Q792" i="18"/>
  <c r="Q800" i="18"/>
  <c r="Q950" i="18"/>
  <c r="Q813" i="18"/>
  <c r="Q762" i="18"/>
  <c r="Q807" i="18"/>
  <c r="Q780" i="18"/>
  <c r="Q1088" i="18"/>
  <c r="Q1024" i="18"/>
  <c r="Q1058" i="18"/>
  <c r="Q994" i="18"/>
  <c r="Q1065" i="18"/>
  <c r="Q1103" i="18"/>
  <c r="Q1062" i="18"/>
  <c r="Q973" i="18"/>
  <c r="Q909" i="18"/>
  <c r="Q938" i="18"/>
  <c r="Q1101" i="18"/>
  <c r="Q1037" i="18"/>
  <c r="Q943" i="18"/>
  <c r="Q879" i="18"/>
  <c r="Q924" i="18"/>
  <c r="Q1102" i="18"/>
  <c r="Q1036" i="18"/>
  <c r="Q996" i="18"/>
  <c r="Q980" i="18"/>
  <c r="Q921" i="18"/>
  <c r="Q1094" i="18"/>
  <c r="Q1031" i="18"/>
  <c r="Q939" i="18"/>
  <c r="Q875" i="18"/>
  <c r="Q1059" i="18"/>
  <c r="Q832" i="18"/>
  <c r="Q855" i="18"/>
  <c r="Q1003" i="18"/>
  <c r="Q981" i="18"/>
  <c r="Q846" i="18"/>
  <c r="Q864" i="18"/>
  <c r="Q920" i="18"/>
  <c r="Q838" i="18"/>
  <c r="Q827" i="18"/>
  <c r="Q761" i="18"/>
  <c r="Q766" i="18"/>
  <c r="Q755" i="18"/>
  <c r="Q784" i="18"/>
  <c r="Q799" i="18"/>
  <c r="Q918" i="18"/>
  <c r="Q808" i="18"/>
  <c r="Q812" i="18"/>
  <c r="Q926" i="18"/>
  <c r="Q1056" i="18"/>
  <c r="Q772" i="18"/>
  <c r="Q1080" i="18"/>
  <c r="Q1016" i="18"/>
  <c r="Q1050" i="18"/>
  <c r="Q986" i="18"/>
  <c r="Q1057" i="18"/>
  <c r="Q1095" i="18"/>
  <c r="Q1054" i="18"/>
  <c r="Q965" i="18"/>
  <c r="Q901" i="18"/>
  <c r="Q930" i="18"/>
  <c r="Q1092" i="18"/>
  <c r="Q1029" i="18"/>
  <c r="Q935" i="18"/>
  <c r="Q871" i="18"/>
  <c r="Q916" i="18"/>
  <c r="Q1093" i="18"/>
  <c r="Q1028" i="18"/>
  <c r="Q993" i="18"/>
  <c r="Q977" i="18"/>
  <c r="Q913" i="18"/>
  <c r="Q1087" i="18"/>
  <c r="Q1023" i="18"/>
  <c r="Q931" i="18"/>
  <c r="Q867" i="18"/>
  <c r="Q1051" i="18"/>
  <c r="Q824" i="18"/>
  <c r="Q853" i="18"/>
  <c r="Q1000" i="18"/>
  <c r="Q979" i="18"/>
  <c r="Q844" i="18"/>
  <c r="Q976" i="18"/>
  <c r="Q912" i="18"/>
  <c r="Q830" i="18"/>
  <c r="Q819" i="18"/>
  <c r="Q966" i="18"/>
  <c r="Q758" i="18"/>
  <c r="Q974" i="18"/>
  <c r="Q776" i="18"/>
  <c r="Q797" i="18"/>
  <c r="Q886" i="18"/>
  <c r="Q801" i="18"/>
  <c r="Q804" i="18"/>
  <c r="Q815" i="18"/>
  <c r="Q836" i="18"/>
  <c r="Q1072" i="18"/>
  <c r="Q1008" i="18"/>
  <c r="Q1042" i="18"/>
  <c r="Q978" i="18"/>
  <c r="Q1049" i="18"/>
  <c r="Q1099" i="18"/>
  <c r="Q1046" i="18"/>
  <c r="Q957" i="18"/>
  <c r="Q893" i="18"/>
  <c r="Q922" i="18"/>
  <c r="Q1085" i="18"/>
  <c r="Q1021" i="18"/>
  <c r="Q927" i="18"/>
  <c r="Q972" i="18"/>
  <c r="Q908" i="18"/>
  <c r="Q1084" i="18"/>
  <c r="Q1020" i="18"/>
  <c r="Q991" i="18"/>
  <c r="Q969" i="18"/>
  <c r="Q905" i="18"/>
  <c r="Q1079" i="18"/>
  <c r="Q1015" i="18"/>
  <c r="Q923" i="18"/>
  <c r="Q859" i="18"/>
  <c r="Q1043" i="18"/>
  <c r="Q816" i="18"/>
  <c r="Q850" i="18"/>
  <c r="Q997" i="18"/>
  <c r="Q862" i="18"/>
  <c r="Q842" i="18"/>
  <c r="Q968" i="18"/>
  <c r="Q904" i="18"/>
  <c r="Q822" i="18"/>
  <c r="Q811" i="18"/>
  <c r="Q934" i="18"/>
  <c r="Q839" i="18"/>
  <c r="Q942" i="18"/>
  <c r="Q768" i="18"/>
  <c r="Q789" i="18"/>
  <c r="Q863" i="18"/>
  <c r="Q798" i="18"/>
  <c r="Q791" i="18"/>
  <c r="Q958" i="18"/>
  <c r="Q823" i="18"/>
  <c r="Q1097" i="18"/>
  <c r="Q1100" i="18"/>
  <c r="Q941" i="18"/>
  <c r="Q906" i="18"/>
  <c r="Q975" i="18"/>
  <c r="Q956" i="18"/>
  <c r="Q892" i="18"/>
  <c r="Q1004" i="18"/>
  <c r="Q953" i="18"/>
  <c r="Q1063" i="18"/>
  <c r="Q907" i="18"/>
  <c r="Q1027" i="18"/>
  <c r="Q847" i="18"/>
  <c r="Q857" i="18"/>
  <c r="Q952" i="18"/>
  <c r="Q806" i="18"/>
  <c r="Q841" i="18"/>
  <c r="Q825" i="18"/>
  <c r="Q773" i="18"/>
  <c r="Q786" i="18"/>
  <c r="Q764" i="18"/>
  <c r="Q1064" i="18"/>
  <c r="Q1098" i="18"/>
  <c r="Q1034" i="18"/>
  <c r="Q1105" i="18"/>
  <c r="Q1041" i="18"/>
  <c r="Q1091" i="18"/>
  <c r="Q1038" i="18"/>
  <c r="Q949" i="18"/>
  <c r="Q885" i="18"/>
  <c r="Q914" i="18"/>
  <c r="Q1077" i="18"/>
  <c r="Q1013" i="18"/>
  <c r="Q919" i="18"/>
  <c r="Q964" i="18"/>
  <c r="Q900" i="18"/>
  <c r="Q1076" i="18"/>
  <c r="Q1012" i="18"/>
  <c r="Q990" i="18"/>
  <c r="Q961" i="18"/>
  <c r="Q897" i="18"/>
  <c r="Q1071" i="18"/>
  <c r="Q1007" i="18"/>
  <c r="Q915" i="18"/>
  <c r="Q851" i="18"/>
  <c r="Q1035" i="18"/>
  <c r="Q870" i="18"/>
  <c r="Q848" i="18"/>
  <c r="Q995" i="18"/>
  <c r="Q860" i="18"/>
  <c r="Q834" i="18"/>
  <c r="Q960" i="18"/>
  <c r="Q896" i="18"/>
  <c r="Q814" i="18"/>
  <c r="Q803" i="18"/>
  <c r="Q902" i="18"/>
  <c r="Q795" i="18"/>
  <c r="Q910" i="18"/>
  <c r="Q760" i="18"/>
  <c r="Q781" i="18"/>
  <c r="Q829" i="18"/>
  <c r="Q794" i="18"/>
  <c r="Q783" i="18"/>
  <c r="Q796" i="18"/>
  <c r="AK31" i="18"/>
  <c r="AO66" i="5"/>
  <c r="I111" i="5" s="1"/>
  <c r="AM57" i="5"/>
  <c r="AO57" i="5"/>
  <c r="AN57" i="5"/>
  <c r="M31" i="4"/>
  <c r="L32" i="4"/>
  <c r="N22" i="5"/>
  <c r="M25" i="5"/>
  <c r="F386" i="26"/>
  <c r="F385" i="26"/>
  <c r="F384" i="26"/>
  <c r="F383" i="26"/>
  <c r="F382" i="26"/>
  <c r="F381" i="26"/>
  <c r="F380" i="26"/>
  <c r="F379" i="26"/>
  <c r="F378" i="26"/>
  <c r="F377" i="26"/>
  <c r="F376" i="26"/>
  <c r="F375" i="26"/>
  <c r="F372" i="26"/>
  <c r="F364" i="26"/>
  <c r="F356" i="26"/>
  <c r="F369" i="26"/>
  <c r="F361" i="26"/>
  <c r="F371" i="26"/>
  <c r="F363" i="26"/>
  <c r="F355" i="26"/>
  <c r="F368" i="26"/>
  <c r="F360" i="26"/>
  <c r="F373" i="26"/>
  <c r="F365" i="26"/>
  <c r="F357" i="26"/>
  <c r="F358" i="26"/>
  <c r="F353" i="26"/>
  <c r="F351" i="26"/>
  <c r="F349" i="26"/>
  <c r="F347" i="26"/>
  <c r="F359" i="26"/>
  <c r="F367" i="26"/>
  <c r="F352" i="26"/>
  <c r="F350" i="26"/>
  <c r="F348" i="26"/>
  <c r="F374" i="26"/>
  <c r="F370" i="26"/>
  <c r="F362" i="26"/>
  <c r="F354" i="26"/>
  <c r="F366" i="26"/>
  <c r="AC31" i="4"/>
  <c r="AD32" i="4"/>
  <c r="C260" i="4"/>
  <c r="W36" i="4"/>
  <c r="V34" i="4"/>
  <c r="V35" i="4" s="1"/>
  <c r="AK66" i="5"/>
  <c r="I108" i="5" s="1"/>
  <c r="AJ66" i="5"/>
  <c r="I107" i="5" s="1"/>
  <c r="AI66" i="5"/>
  <c r="I106" i="5" s="1"/>
  <c r="AK57" i="5"/>
  <c r="AJ57" i="5"/>
  <c r="AI57" i="5"/>
  <c r="J11" i="24"/>
  <c r="G10" i="24"/>
  <c r="W31" i="4"/>
  <c r="V32" i="4"/>
  <c r="E25" i="5"/>
  <c r="C33" i="43" l="1" a="1"/>
  <c r="C33" i="43" s="1"/>
  <c r="C34" i="43" s="1"/>
  <c r="C36" i="43" s="1"/>
  <c r="E34" i="43"/>
  <c r="E36" i="43" s="1"/>
  <c r="K11" i="26" s="1"/>
  <c r="K172" i="26" s="1"/>
  <c r="K173" i="26" s="1"/>
  <c r="K174" i="26" s="1"/>
  <c r="AI19" i="5"/>
  <c r="AV59" i="22"/>
  <c r="D34" i="43"/>
  <c r="D36" i="43" s="1"/>
  <c r="H11" i="26" s="1"/>
  <c r="H172" i="26" s="1"/>
  <c r="H173" i="26" s="1"/>
  <c r="H174" i="26" s="1"/>
  <c r="D21" i="43"/>
  <c r="F34" i="43"/>
  <c r="F36" i="43" s="1"/>
  <c r="N11" i="26" s="1"/>
  <c r="F21" i="43"/>
  <c r="BE11" i="20"/>
  <c r="BF12" i="20"/>
  <c r="C9" i="45"/>
  <c r="C12" i="45"/>
  <c r="C7" i="45"/>
  <c r="C11" i="45"/>
  <c r="C8" i="45"/>
  <c r="B38" i="46"/>
  <c r="O103" i="1"/>
  <c r="B7" i="46"/>
  <c r="B22" i="46"/>
  <c r="O207" i="26"/>
  <c r="O208" i="26" s="1"/>
  <c r="O61" i="26" s="1"/>
  <c r="N207" i="26"/>
  <c r="N208" i="26" s="1"/>
  <c r="N61" i="26" s="1"/>
  <c r="K207" i="26"/>
  <c r="K208" i="26" s="1"/>
  <c r="K61" i="26" s="1"/>
  <c r="L207" i="26"/>
  <c r="L208" i="26" s="1"/>
  <c r="L61" i="26" s="1"/>
  <c r="AU60" i="22"/>
  <c r="AV12" i="22"/>
  <c r="AW56" i="22"/>
  <c r="AU63" i="22"/>
  <c r="AT59" i="22"/>
  <c r="AU56" i="22"/>
  <c r="AU52" i="22"/>
  <c r="AV58" i="22"/>
  <c r="AV62" i="22"/>
  <c r="AT61" i="22"/>
  <c r="AT40" i="22"/>
  <c r="AW52" i="22"/>
  <c r="AV63" i="22"/>
  <c r="AT54" i="22"/>
  <c r="AV61" i="22"/>
  <c r="AW59" i="22"/>
  <c r="AV51" i="22"/>
  <c r="AU47" i="22"/>
  <c r="AU55" i="22"/>
  <c r="AU57" i="22"/>
  <c r="AV60" i="22"/>
  <c r="AU61" i="22"/>
  <c r="AU51" i="22"/>
  <c r="AT56" i="22"/>
  <c r="AT53" i="22"/>
  <c r="AW57" i="22"/>
  <c r="AV33" i="22"/>
  <c r="AW54" i="22"/>
  <c r="AV54" i="22"/>
  <c r="V62" i="21"/>
  <c r="F62" i="21" s="1"/>
  <c r="W62" i="21"/>
  <c r="G62" i="21" s="1"/>
  <c r="X62" i="21"/>
  <c r="H62" i="21" s="1"/>
  <c r="AW61" i="22"/>
  <c r="AT55" i="22"/>
  <c r="V60" i="21"/>
  <c r="F60" i="21" s="1"/>
  <c r="W60" i="21"/>
  <c r="G60" i="21" s="1"/>
  <c r="X60" i="21"/>
  <c r="H60" i="21" s="1"/>
  <c r="AW62" i="22"/>
  <c r="AV56" i="22"/>
  <c r="AU53" i="22"/>
  <c r="AW55" i="22"/>
  <c r="AW58" i="22"/>
  <c r="AT60" i="22"/>
  <c r="V61" i="21"/>
  <c r="F61" i="21" s="1"/>
  <c r="W61" i="21"/>
  <c r="G61" i="21" s="1"/>
  <c r="X61" i="21"/>
  <c r="H61" i="21" s="1"/>
  <c r="AU54" i="22"/>
  <c r="AU59" i="22"/>
  <c r="AW63" i="22"/>
  <c r="AT52" i="22"/>
  <c r="AT63" i="22"/>
  <c r="V59" i="21"/>
  <c r="F59" i="21" s="1"/>
  <c r="W59" i="21"/>
  <c r="G59" i="21" s="1"/>
  <c r="X59" i="21"/>
  <c r="H59" i="21" s="1"/>
  <c r="AW51" i="22"/>
  <c r="AW53" i="22"/>
  <c r="AT58" i="22"/>
  <c r="AV53" i="22"/>
  <c r="AV55" i="22"/>
  <c r="AU62" i="22"/>
  <c r="AT51" i="22"/>
  <c r="AW60" i="22"/>
  <c r="AW29" i="22"/>
  <c r="AD36" i="4"/>
  <c r="AE34" i="4"/>
  <c r="AE35" i="4" s="1"/>
  <c r="AV57" i="22"/>
  <c r="AV52" i="22"/>
  <c r="AU58" i="22"/>
  <c r="AT57" i="22"/>
  <c r="W57" i="21"/>
  <c r="G57" i="21" s="1"/>
  <c r="X57" i="21"/>
  <c r="H57" i="21" s="1"/>
  <c r="V57" i="21"/>
  <c r="F57" i="21" s="1"/>
  <c r="W53" i="21"/>
  <c r="G53" i="21" s="1"/>
  <c r="X53" i="21"/>
  <c r="H53" i="21" s="1"/>
  <c r="V53" i="21"/>
  <c r="F53" i="21" s="1"/>
  <c r="V56" i="21"/>
  <c r="F56" i="21" s="1"/>
  <c r="W56" i="21"/>
  <c r="G56" i="21" s="1"/>
  <c r="X56" i="21"/>
  <c r="H56" i="21" s="1"/>
  <c r="V52" i="21"/>
  <c r="F52" i="21" s="1"/>
  <c r="W52" i="21"/>
  <c r="G52" i="21" s="1"/>
  <c r="X52" i="21"/>
  <c r="H52" i="21" s="1"/>
  <c r="X50" i="21"/>
  <c r="H50" i="21" s="1"/>
  <c r="V50" i="21"/>
  <c r="F50" i="21" s="1"/>
  <c r="W50" i="21"/>
  <c r="G50" i="21" s="1"/>
  <c r="V55" i="21"/>
  <c r="F55" i="21" s="1"/>
  <c r="W55" i="21"/>
  <c r="G55" i="21" s="1"/>
  <c r="X55" i="21"/>
  <c r="H55" i="21" s="1"/>
  <c r="V58" i="21"/>
  <c r="F58" i="21" s="1"/>
  <c r="W58" i="21"/>
  <c r="G58" i="21" s="1"/>
  <c r="X58" i="21"/>
  <c r="H58" i="21" s="1"/>
  <c r="V51" i="21"/>
  <c r="F51" i="21" s="1"/>
  <c r="W51" i="21"/>
  <c r="G51" i="21" s="1"/>
  <c r="X51" i="21"/>
  <c r="H51" i="21" s="1"/>
  <c r="V54" i="21"/>
  <c r="F54" i="21" s="1"/>
  <c r="W54" i="21"/>
  <c r="G54" i="21" s="1"/>
  <c r="X54" i="21"/>
  <c r="H54" i="21" s="1"/>
  <c r="AU9" i="22"/>
  <c r="U24" i="5"/>
  <c r="V23" i="5"/>
  <c r="W8" i="18"/>
  <c r="V14" i="18"/>
  <c r="W6" i="18"/>
  <c r="V12" i="18"/>
  <c r="V5" i="18"/>
  <c r="U11" i="18"/>
  <c r="W7" i="18"/>
  <c r="V13" i="18"/>
  <c r="W9" i="18"/>
  <c r="V15" i="18"/>
  <c r="X39" i="21"/>
  <c r="H39" i="21" s="1"/>
  <c r="AW13" i="22"/>
  <c r="W38" i="21"/>
  <c r="G38" i="21" s="1"/>
  <c r="X38" i="21"/>
  <c r="H38" i="21" s="1"/>
  <c r="W16" i="21"/>
  <c r="G16" i="21" s="1"/>
  <c r="X9" i="21"/>
  <c r="H9" i="21" s="1"/>
  <c r="X16" i="21"/>
  <c r="H16" i="21" s="1"/>
  <c r="V9" i="21"/>
  <c r="F9" i="21" s="1"/>
  <c r="V41" i="21"/>
  <c r="F41" i="21" s="1"/>
  <c r="W41" i="21"/>
  <c r="G41" i="21" s="1"/>
  <c r="X26" i="21"/>
  <c r="H26" i="21" s="1"/>
  <c r="X33" i="21"/>
  <c r="H33" i="21" s="1"/>
  <c r="V26" i="21"/>
  <c r="F26" i="21" s="1"/>
  <c r="V33" i="21"/>
  <c r="F33" i="21" s="1"/>
  <c r="W42" i="21"/>
  <c r="G42" i="21" s="1"/>
  <c r="X7" i="21"/>
  <c r="H7" i="21" s="1"/>
  <c r="W31" i="21"/>
  <c r="G31" i="21" s="1"/>
  <c r="K34" i="4"/>
  <c r="K35" i="4" s="1"/>
  <c r="X10" i="21"/>
  <c r="H10" i="21" s="1"/>
  <c r="W18" i="21"/>
  <c r="G18" i="21" s="1"/>
  <c r="D98" i="5"/>
  <c r="AO7" i="5" s="1"/>
  <c r="F97" i="5"/>
  <c r="AN8" i="5" s="1"/>
  <c r="AV47" i="22"/>
  <c r="W32" i="21"/>
  <c r="G32" i="21" s="1"/>
  <c r="X13" i="21"/>
  <c r="H13" i="21" s="1"/>
  <c r="AI22" i="5"/>
  <c r="V32" i="21"/>
  <c r="F32" i="21" s="1"/>
  <c r="V13" i="21"/>
  <c r="F13" i="21" s="1"/>
  <c r="V31" i="21"/>
  <c r="F31" i="21" s="1"/>
  <c r="W14" i="21"/>
  <c r="G14" i="21" s="1"/>
  <c r="X14" i="21"/>
  <c r="H14" i="21" s="1"/>
  <c r="W34" i="21"/>
  <c r="G34" i="21" s="1"/>
  <c r="X34" i="21"/>
  <c r="H34" i="21" s="1"/>
  <c r="AJ16" i="5"/>
  <c r="AJ21" i="5" s="1"/>
  <c r="AI18" i="5"/>
  <c r="V18" i="21"/>
  <c r="F18" i="21" s="1"/>
  <c r="W28" i="21"/>
  <c r="G28" i="21" s="1"/>
  <c r="AU14" i="22"/>
  <c r="X29" i="21"/>
  <c r="H29" i="21" s="1"/>
  <c r="V46" i="21"/>
  <c r="F46" i="21" s="1"/>
  <c r="V47" i="21"/>
  <c r="F47" i="21" s="1"/>
  <c r="X45" i="21"/>
  <c r="H45" i="21" s="1"/>
  <c r="V39" i="21"/>
  <c r="F39" i="21" s="1"/>
  <c r="W46" i="21"/>
  <c r="G46" i="21" s="1"/>
  <c r="V40" i="21"/>
  <c r="F40" i="21" s="1"/>
  <c r="V23" i="21"/>
  <c r="F23" i="21" s="1"/>
  <c r="W40" i="21"/>
  <c r="G40" i="21" s="1"/>
  <c r="X23" i="21"/>
  <c r="H23" i="21" s="1"/>
  <c r="X35" i="21"/>
  <c r="H35" i="21" s="1"/>
  <c r="V35" i="21"/>
  <c r="F35" i="21" s="1"/>
  <c r="W5" i="21"/>
  <c r="G5" i="21" s="1"/>
  <c r="V5" i="21"/>
  <c r="F5" i="21" s="1"/>
  <c r="U13" i="21"/>
  <c r="E13" i="21" s="1"/>
  <c r="AT21" i="22"/>
  <c r="AU44" i="22"/>
  <c r="L36" i="4"/>
  <c r="V43" i="21"/>
  <c r="F43" i="21" s="1"/>
  <c r="AT22" i="22"/>
  <c r="AU35" i="22"/>
  <c r="V42" i="21"/>
  <c r="F42" i="21" s="1"/>
  <c r="W10" i="21"/>
  <c r="G10" i="21" s="1"/>
  <c r="W7" i="21"/>
  <c r="G7" i="21" s="1"/>
  <c r="AT13" i="22"/>
  <c r="AU20" i="22"/>
  <c r="W20" i="21"/>
  <c r="G20" i="21" s="1"/>
  <c r="X43" i="21"/>
  <c r="H43" i="21" s="1"/>
  <c r="V20" i="21"/>
  <c r="F20" i="21" s="1"/>
  <c r="W6" i="21"/>
  <c r="G6" i="21" s="1"/>
  <c r="W8" i="21"/>
  <c r="G8" i="21" s="1"/>
  <c r="W47" i="21"/>
  <c r="G47" i="21" s="1"/>
  <c r="V48" i="21"/>
  <c r="F48" i="21" s="1"/>
  <c r="W4" i="21"/>
  <c r="G4" i="21" s="1"/>
  <c r="X48" i="21"/>
  <c r="H48" i="21" s="1"/>
  <c r="X8" i="21"/>
  <c r="H8" i="21" s="1"/>
  <c r="W22" i="21"/>
  <c r="G22" i="21" s="1"/>
  <c r="X4" i="21"/>
  <c r="H4" i="21" s="1"/>
  <c r="AW14" i="22"/>
  <c r="V22" i="21"/>
  <c r="F22" i="21" s="1"/>
  <c r="AV9" i="22"/>
  <c r="AW5" i="22"/>
  <c r="AW34" i="22"/>
  <c r="W12" i="21"/>
  <c r="G12" i="21" s="1"/>
  <c r="AU7" i="22"/>
  <c r="AU42" i="22"/>
  <c r="AW32" i="22"/>
  <c r="V12" i="21"/>
  <c r="F12" i="21" s="1"/>
  <c r="AU50" i="22"/>
  <c r="AU19" i="22"/>
  <c r="AV49" i="22"/>
  <c r="AT32" i="22"/>
  <c r="U10" i="21"/>
  <c r="E10" i="21" s="1"/>
  <c r="AV15" i="22"/>
  <c r="AU41" i="22"/>
  <c r="AW45" i="22"/>
  <c r="U9" i="21"/>
  <c r="E9" i="21" s="1"/>
  <c r="AT6" i="22"/>
  <c r="X28" i="21"/>
  <c r="H28" i="21" s="1"/>
  <c r="U7" i="21"/>
  <c r="E7" i="21" s="1"/>
  <c r="U11" i="21"/>
  <c r="E11" i="21" s="1"/>
  <c r="X21" i="21"/>
  <c r="H21" i="21" s="1"/>
  <c r="AT33" i="22"/>
  <c r="U8" i="21"/>
  <c r="E8" i="21" s="1"/>
  <c r="U14" i="21"/>
  <c r="E14" i="21" s="1"/>
  <c r="X25" i="21"/>
  <c r="H25" i="21" s="1"/>
  <c r="W21" i="21"/>
  <c r="G21" i="21" s="1"/>
  <c r="U12" i="21"/>
  <c r="E12" i="21" s="1"/>
  <c r="U5" i="21"/>
  <c r="E5" i="21" s="1"/>
  <c r="W25" i="21"/>
  <c r="G25" i="21" s="1"/>
  <c r="V15" i="21"/>
  <c r="F15" i="21" s="1"/>
  <c r="AV40" i="22"/>
  <c r="AT48" i="22"/>
  <c r="AT47" i="22"/>
  <c r="AU43" i="22"/>
  <c r="W29" i="21"/>
  <c r="G29" i="21" s="1"/>
  <c r="X36" i="21"/>
  <c r="H36" i="21" s="1"/>
  <c r="U6" i="21"/>
  <c r="E6" i="21" s="1"/>
  <c r="U4" i="21"/>
  <c r="E4" i="21" s="1"/>
  <c r="X15" i="21"/>
  <c r="H15" i="21" s="1"/>
  <c r="AW8" i="22"/>
  <c r="W19" i="21"/>
  <c r="G19" i="21" s="1"/>
  <c r="U15" i="21"/>
  <c r="E15" i="21" s="1"/>
  <c r="X6" i="21"/>
  <c r="H6" i="21" s="1"/>
  <c r="AT41" i="22"/>
  <c r="AW10" i="22"/>
  <c r="AV16" i="22"/>
  <c r="AW7" i="22"/>
  <c r="X24" i="21"/>
  <c r="H24" i="21" s="1"/>
  <c r="V11" i="21"/>
  <c r="F11" i="21" s="1"/>
  <c r="AT18" i="22"/>
  <c r="AV18" i="22"/>
  <c r="AW15" i="22"/>
  <c r="AW18" i="22"/>
  <c r="W24" i="21"/>
  <c r="G24" i="21" s="1"/>
  <c r="V45" i="21"/>
  <c r="F45" i="21" s="1"/>
  <c r="X11" i="21"/>
  <c r="H11" i="21" s="1"/>
  <c r="AT27" i="22"/>
  <c r="W17" i="21"/>
  <c r="G17" i="21" s="1"/>
  <c r="AV6" i="22"/>
  <c r="V17" i="21"/>
  <c r="F17" i="21" s="1"/>
  <c r="AU17" i="22"/>
  <c r="AU25" i="22"/>
  <c r="AW31" i="22"/>
  <c r="AV26" i="22"/>
  <c r="AW39" i="22"/>
  <c r="AV30" i="22"/>
  <c r="AW12" i="22"/>
  <c r="AV45" i="22"/>
  <c r="AU40" i="22"/>
  <c r="AT39" i="22"/>
  <c r="AT30" i="22"/>
  <c r="AV22" i="22"/>
  <c r="AT20" i="22"/>
  <c r="AW25" i="22"/>
  <c r="AV41" i="22"/>
  <c r="AW50" i="22"/>
  <c r="AU34" i="22"/>
  <c r="AU12" i="22"/>
  <c r="AW49" i="22"/>
  <c r="AW21" i="22"/>
  <c r="AT23" i="22"/>
  <c r="AW33" i="22"/>
  <c r="AW41" i="22"/>
  <c r="W49" i="21"/>
  <c r="G49" i="21" s="1"/>
  <c r="AW47" i="22"/>
  <c r="X49" i="21"/>
  <c r="H49" i="21" s="1"/>
  <c r="AW43" i="22"/>
  <c r="AT44" i="22"/>
  <c r="AW42" i="22"/>
  <c r="AV24" i="22"/>
  <c r="AT46" i="22"/>
  <c r="AW40" i="22"/>
  <c r="AT50" i="22"/>
  <c r="AU33" i="22"/>
  <c r="AW27" i="22"/>
  <c r="AV10" i="22"/>
  <c r="AU29" i="22"/>
  <c r="AV23" i="22"/>
  <c r="AW48" i="22"/>
  <c r="AW23" i="22"/>
  <c r="AW24" i="22"/>
  <c r="AT31" i="22"/>
  <c r="AV42" i="22"/>
  <c r="AU32" i="22"/>
  <c r="V36" i="21"/>
  <c r="F36" i="21" s="1"/>
  <c r="AW36" i="22"/>
  <c r="AV46" i="22"/>
  <c r="AV27" i="22"/>
  <c r="AU36" i="22"/>
  <c r="AW44" i="22"/>
  <c r="AV25" i="22"/>
  <c r="AU37" i="22"/>
  <c r="AT25" i="22"/>
  <c r="AV14" i="22"/>
  <c r="AW22" i="22"/>
  <c r="AV37" i="22"/>
  <c r="AW11" i="22"/>
  <c r="AT24" i="22"/>
  <c r="AW16" i="22"/>
  <c r="AV5" i="22"/>
  <c r="AT34" i="22"/>
  <c r="V19" i="21"/>
  <c r="F19" i="21" s="1"/>
  <c r="AV50" i="22"/>
  <c r="AW37" i="22"/>
  <c r="AT29" i="22"/>
  <c r="AU31" i="22"/>
  <c r="AU16" i="22"/>
  <c r="AU13" i="22"/>
  <c r="AV38" i="22"/>
  <c r="AW30" i="22"/>
  <c r="AT9" i="22"/>
  <c r="AV8" i="22"/>
  <c r="AW17" i="22"/>
  <c r="AT16" i="22"/>
  <c r="AW20" i="22"/>
  <c r="AV29" i="22"/>
  <c r="AW35" i="22"/>
  <c r="AV44" i="22"/>
  <c r="AT37" i="22"/>
  <c r="AT35" i="22"/>
  <c r="AT43" i="22"/>
  <c r="V44" i="21"/>
  <c r="F44" i="21" s="1"/>
  <c r="AU46" i="22"/>
  <c r="AU21" i="22"/>
  <c r="AV36" i="22"/>
  <c r="AT49" i="22"/>
  <c r="AU15" i="22"/>
  <c r="AV39" i="22"/>
  <c r="W37" i="21"/>
  <c r="G37" i="21" s="1"/>
  <c r="X44" i="21"/>
  <c r="H44" i="21" s="1"/>
  <c r="AV35" i="22"/>
  <c r="AV7" i="22"/>
  <c r="AU26" i="22"/>
  <c r="AU38" i="22"/>
  <c r="AV20" i="22"/>
  <c r="AT19" i="22"/>
  <c r="AT38" i="22"/>
  <c r="AU6" i="22"/>
  <c r="AW28" i="22"/>
  <c r="AU5" i="22"/>
  <c r="V37" i="21"/>
  <c r="F37" i="21" s="1"/>
  <c r="X27" i="21"/>
  <c r="H27" i="21" s="1"/>
  <c r="AU24" i="22"/>
  <c r="AV11" i="22"/>
  <c r="AT36" i="22"/>
  <c r="AU10" i="22"/>
  <c r="AT15" i="22"/>
  <c r="AU27" i="22"/>
  <c r="AV32" i="22"/>
  <c r="V27" i="21"/>
  <c r="F27" i="21" s="1"/>
  <c r="W30" i="21"/>
  <c r="G30" i="21" s="1"/>
  <c r="AU28" i="22"/>
  <c r="AV13" i="22"/>
  <c r="AW38" i="22"/>
  <c r="AU49" i="22"/>
  <c r="AU23" i="22"/>
  <c r="X30" i="21"/>
  <c r="H30" i="21" s="1"/>
  <c r="AS5" i="22"/>
  <c r="AV21" i="22"/>
  <c r="AU8" i="22"/>
  <c r="AU22" i="22"/>
  <c r="AV31" i="22"/>
  <c r="AU30" i="22"/>
  <c r="AV28" i="22"/>
  <c r="AT17" i="22"/>
  <c r="AW46" i="22"/>
  <c r="AV17" i="22"/>
  <c r="AU48" i="22"/>
  <c r="AT28" i="22"/>
  <c r="AU45" i="22"/>
  <c r="AW26" i="22"/>
  <c r="AV19" i="22"/>
  <c r="AW19" i="22"/>
  <c r="AU39" i="22"/>
  <c r="AW6" i="22"/>
  <c r="AV48" i="22"/>
  <c r="AT26" i="22"/>
  <c r="AU11" i="22"/>
  <c r="AW9" i="22"/>
  <c r="AU18" i="22"/>
  <c r="AT45" i="22"/>
  <c r="AV34" i="22"/>
  <c r="AT42" i="22"/>
  <c r="AV43" i="22"/>
  <c r="AN66" i="5"/>
  <c r="I110" i="5" s="1"/>
  <c r="AM66" i="5"/>
  <c r="I109" i="5" s="1"/>
  <c r="J4" i="18"/>
  <c r="J44" i="18" s="1"/>
  <c r="I401" i="18"/>
  <c r="I47" i="18"/>
  <c r="I754" i="18"/>
  <c r="O749" i="18"/>
  <c r="O745" i="18"/>
  <c r="O741" i="18"/>
  <c r="O737" i="18"/>
  <c r="O733" i="18"/>
  <c r="O729" i="18"/>
  <c r="O725" i="18"/>
  <c r="O721" i="18"/>
  <c r="O717" i="18"/>
  <c r="O713" i="18"/>
  <c r="O709" i="18"/>
  <c r="O705" i="18"/>
  <c r="O701" i="18"/>
  <c r="O697" i="18"/>
  <c r="O693" i="18"/>
  <c r="O689" i="18"/>
  <c r="O685" i="18"/>
  <c r="O681" i="18"/>
  <c r="O677" i="18"/>
  <c r="O673" i="18"/>
  <c r="O669" i="18"/>
  <c r="O665" i="18"/>
  <c r="O661" i="18"/>
  <c r="O657" i="18"/>
  <c r="O653" i="18"/>
  <c r="O649" i="18"/>
  <c r="O645" i="18"/>
  <c r="O641" i="18"/>
  <c r="O637" i="18"/>
  <c r="O633" i="18"/>
  <c r="O629" i="18"/>
  <c r="O625" i="18"/>
  <c r="O621" i="18"/>
  <c r="O617" i="18"/>
  <c r="O613" i="18"/>
  <c r="O609" i="18"/>
  <c r="O605" i="18"/>
  <c r="O601" i="18"/>
  <c r="O597" i="18"/>
  <c r="O593" i="18"/>
  <c r="O589" i="18"/>
  <c r="O750" i="18"/>
  <c r="O746" i="18"/>
  <c r="O742" i="18"/>
  <c r="O738" i="18"/>
  <c r="O734" i="18"/>
  <c r="O730" i="18"/>
  <c r="O726" i="18"/>
  <c r="O722" i="18"/>
  <c r="O718" i="18"/>
  <c r="O714" i="18"/>
  <c r="O751" i="18"/>
  <c r="O747" i="18"/>
  <c r="O743" i="18"/>
  <c r="O739" i="18"/>
  <c r="O735" i="18"/>
  <c r="O731" i="18"/>
  <c r="O727" i="18"/>
  <c r="O723" i="18"/>
  <c r="O719" i="18"/>
  <c r="O715" i="18"/>
  <c r="O711" i="18"/>
  <c r="O707" i="18"/>
  <c r="O703" i="18"/>
  <c r="O699" i="18"/>
  <c r="O695" i="18"/>
  <c r="O691" i="18"/>
  <c r="O687" i="18"/>
  <c r="O683" i="18"/>
  <c r="O679" i="18"/>
  <c r="O675" i="18"/>
  <c r="O671" i="18"/>
  <c r="O667" i="18"/>
  <c r="O663" i="18"/>
  <c r="O736" i="18"/>
  <c r="O690" i="18"/>
  <c r="O688" i="18"/>
  <c r="O732" i="18"/>
  <c r="O694" i="18"/>
  <c r="O692" i="18"/>
  <c r="O662" i="18"/>
  <c r="O655" i="18"/>
  <c r="O648" i="18"/>
  <c r="O646" i="18"/>
  <c r="O639" i="18"/>
  <c r="O632" i="18"/>
  <c r="O630" i="18"/>
  <c r="O623" i="18"/>
  <c r="O616" i="18"/>
  <c r="O614" i="18"/>
  <c r="O607" i="18"/>
  <c r="O600" i="18"/>
  <c r="O598" i="18"/>
  <c r="O591" i="18"/>
  <c r="O586" i="18"/>
  <c r="O582" i="18"/>
  <c r="O578" i="18"/>
  <c r="O574" i="18"/>
  <c r="O570" i="18"/>
  <c r="O566" i="18"/>
  <c r="O562" i="18"/>
  <c r="O558" i="18"/>
  <c r="O554" i="18"/>
  <c r="O550" i="18"/>
  <c r="O546" i="18"/>
  <c r="O542" i="18"/>
  <c r="O538" i="18"/>
  <c r="O534" i="18"/>
  <c r="O530" i="18"/>
  <c r="O526" i="18"/>
  <c r="O522" i="18"/>
  <c r="O518" i="18"/>
  <c r="O514" i="18"/>
  <c r="O510" i="18"/>
  <c r="O506" i="18"/>
  <c r="O502" i="18"/>
  <c r="O498" i="18"/>
  <c r="O494" i="18"/>
  <c r="O490" i="18"/>
  <c r="O486" i="18"/>
  <c r="O482" i="18"/>
  <c r="O478" i="18"/>
  <c r="O728" i="18"/>
  <c r="O698" i="18"/>
  <c r="O696" i="18"/>
  <c r="O666" i="18"/>
  <c r="O664" i="18"/>
  <c r="O724" i="18"/>
  <c r="O702" i="18"/>
  <c r="O700" i="18"/>
  <c r="O670" i="18"/>
  <c r="O668" i="18"/>
  <c r="O660" i="18"/>
  <c r="O658" i="18"/>
  <c r="O651" i="18"/>
  <c r="O644" i="18"/>
  <c r="O642" i="18"/>
  <c r="O635" i="18"/>
  <c r="O628" i="18"/>
  <c r="O626" i="18"/>
  <c r="O619" i="18"/>
  <c r="O612" i="18"/>
  <c r="O610" i="18"/>
  <c r="O603" i="18"/>
  <c r="O596" i="18"/>
  <c r="O594" i="18"/>
  <c r="O587" i="18"/>
  <c r="O583" i="18"/>
  <c r="O579" i="18"/>
  <c r="O575" i="18"/>
  <c r="O571" i="18"/>
  <c r="O567" i="18"/>
  <c r="O563" i="18"/>
  <c r="O559" i="18"/>
  <c r="O555" i="18"/>
  <c r="O551" i="18"/>
  <c r="O547" i="18"/>
  <c r="O543" i="18"/>
  <c r="O539" i="18"/>
  <c r="O535" i="18"/>
  <c r="O531" i="18"/>
  <c r="O527" i="18"/>
  <c r="O523" i="18"/>
  <c r="O519" i="18"/>
  <c r="O515" i="18"/>
  <c r="O511" i="18"/>
  <c r="O507" i="18"/>
  <c r="O503" i="18"/>
  <c r="O499" i="18"/>
  <c r="O495" i="18"/>
  <c r="O491" i="18"/>
  <c r="O487" i="18"/>
  <c r="O483" i="18"/>
  <c r="O479" i="18"/>
  <c r="O748" i="18"/>
  <c r="O716" i="18"/>
  <c r="O710" i="18"/>
  <c r="O708" i="18"/>
  <c r="O678" i="18"/>
  <c r="O676" i="18"/>
  <c r="O656" i="18"/>
  <c r="O654" i="18"/>
  <c r="O647" i="18"/>
  <c r="O640" i="18"/>
  <c r="O638" i="18"/>
  <c r="O631" i="18"/>
  <c r="O624" i="18"/>
  <c r="O622" i="18"/>
  <c r="O615" i="18"/>
  <c r="O608" i="18"/>
  <c r="O606" i="18"/>
  <c r="O599" i="18"/>
  <c r="O592" i="18"/>
  <c r="O590" i="18"/>
  <c r="O584" i="18"/>
  <c r="O580" i="18"/>
  <c r="O704" i="18"/>
  <c r="O650" i="18"/>
  <c r="O636" i="18"/>
  <c r="O581" i="18"/>
  <c r="O572" i="18"/>
  <c r="O564" i="18"/>
  <c r="O556" i="18"/>
  <c r="O548" i="18"/>
  <c r="O540" i="18"/>
  <c r="O532" i="18"/>
  <c r="O524" i="18"/>
  <c r="O516" i="18"/>
  <c r="O508" i="18"/>
  <c r="O500" i="18"/>
  <c r="O492" i="18"/>
  <c r="O484" i="18"/>
  <c r="O476" i="18"/>
  <c r="O469" i="18"/>
  <c r="O467" i="18"/>
  <c r="O462" i="18"/>
  <c r="O458" i="18"/>
  <c r="O454" i="18"/>
  <c r="O450" i="18"/>
  <c r="O659" i="18"/>
  <c r="O602" i="18"/>
  <c r="O588" i="18"/>
  <c r="O474" i="18"/>
  <c r="O744" i="18"/>
  <c r="O686" i="18"/>
  <c r="O680" i="18"/>
  <c r="O674" i="18"/>
  <c r="O611" i="18"/>
  <c r="O577" i="18"/>
  <c r="O569" i="18"/>
  <c r="O561" i="18"/>
  <c r="O553" i="18"/>
  <c r="O545" i="18"/>
  <c r="O537" i="18"/>
  <c r="O529" i="18"/>
  <c r="O521" i="18"/>
  <c r="O513" i="18"/>
  <c r="O505" i="18"/>
  <c r="O497" i="18"/>
  <c r="O489" i="18"/>
  <c r="O481" i="18"/>
  <c r="O472" i="18"/>
  <c r="O465" i="18"/>
  <c r="O463" i="18"/>
  <c r="O459" i="18"/>
  <c r="O455" i="18"/>
  <c r="O451" i="18"/>
  <c r="O447" i="18"/>
  <c r="O443" i="18"/>
  <c r="O439" i="18"/>
  <c r="O752" i="18"/>
  <c r="O634" i="18"/>
  <c r="O620" i="18"/>
  <c r="O470" i="18"/>
  <c r="O712" i="18"/>
  <c r="O706" i="18"/>
  <c r="O684" i="18"/>
  <c r="O672" i="18"/>
  <c r="O652" i="18"/>
  <c r="O595" i="18"/>
  <c r="O466" i="18"/>
  <c r="O682" i="18"/>
  <c r="O565" i="18"/>
  <c r="O536" i="18"/>
  <c r="O501" i="18"/>
  <c r="O464" i="18"/>
  <c r="O460" i="18"/>
  <c r="O453" i="18"/>
  <c r="O446" i="18"/>
  <c r="O433" i="18"/>
  <c r="O429" i="18"/>
  <c r="O425" i="18"/>
  <c r="O421" i="18"/>
  <c r="O417" i="18"/>
  <c r="O413" i="18"/>
  <c r="O409" i="18"/>
  <c r="O405" i="18"/>
  <c r="O398" i="18"/>
  <c r="O394" i="18"/>
  <c r="O390" i="18"/>
  <c r="O386" i="18"/>
  <c r="O382" i="18"/>
  <c r="O378" i="18"/>
  <c r="O374" i="18"/>
  <c r="O370" i="18"/>
  <c r="O366" i="18"/>
  <c r="O362" i="18"/>
  <c r="O358" i="18"/>
  <c r="O354" i="18"/>
  <c r="O350" i="18"/>
  <c r="O346" i="18"/>
  <c r="O342" i="18"/>
  <c r="O338" i="18"/>
  <c r="O334" i="18"/>
  <c r="O330" i="18"/>
  <c r="O326" i="18"/>
  <c r="O322" i="18"/>
  <c r="O318" i="18"/>
  <c r="O314" i="18"/>
  <c r="O310" i="18"/>
  <c r="O306" i="18"/>
  <c r="O302" i="18"/>
  <c r="O298" i="18"/>
  <c r="O294" i="18"/>
  <c r="O290" i="18"/>
  <c r="O286" i="18"/>
  <c r="O282" i="18"/>
  <c r="O278" i="18"/>
  <c r="O274" i="18"/>
  <c r="O270" i="18"/>
  <c r="O266" i="18"/>
  <c r="O262" i="18"/>
  <c r="O627" i="18"/>
  <c r="O557" i="18"/>
  <c r="O528" i="18"/>
  <c r="O493" i="18"/>
  <c r="O473" i="18"/>
  <c r="O468" i="18"/>
  <c r="O456" i="18"/>
  <c r="O549" i="18"/>
  <c r="O520" i="18"/>
  <c r="O485" i="18"/>
  <c r="O452" i="18"/>
  <c r="O441" i="18"/>
  <c r="O437" i="18"/>
  <c r="O434" i="18"/>
  <c r="O430" i="18"/>
  <c r="O426" i="18"/>
  <c r="O422" i="18"/>
  <c r="O418" i="18"/>
  <c r="O414" i="18"/>
  <c r="O410" i="18"/>
  <c r="O406" i="18"/>
  <c r="O402" i="18"/>
  <c r="O395" i="18"/>
  <c r="O391" i="18"/>
  <c r="O387" i="18"/>
  <c r="O383" i="18"/>
  <c r="O379" i="18"/>
  <c r="O375" i="18"/>
  <c r="O371" i="18"/>
  <c r="O367" i="18"/>
  <c r="O363" i="18"/>
  <c r="O359" i="18"/>
  <c r="O355" i="18"/>
  <c r="O351" i="18"/>
  <c r="O347" i="18"/>
  <c r="O343" i="18"/>
  <c r="O339" i="18"/>
  <c r="O335" i="18"/>
  <c r="O331" i="18"/>
  <c r="O327" i="18"/>
  <c r="O323" i="18"/>
  <c r="O319" i="18"/>
  <c r="O315" i="18"/>
  <c r="O311" i="18"/>
  <c r="O307" i="18"/>
  <c r="O303" i="18"/>
  <c r="O299" i="18"/>
  <c r="O295" i="18"/>
  <c r="O291" i="18"/>
  <c r="O287" i="18"/>
  <c r="O283" i="18"/>
  <c r="O279" i="18"/>
  <c r="O275" i="18"/>
  <c r="O271" i="18"/>
  <c r="O267" i="18"/>
  <c r="O263" i="18"/>
  <c r="O576" i="18"/>
  <c r="O541" i="18"/>
  <c r="O512" i="18"/>
  <c r="O477" i="18"/>
  <c r="O445" i="18"/>
  <c r="O720" i="18"/>
  <c r="O560" i="18"/>
  <c r="O525" i="18"/>
  <c r="O496" i="18"/>
  <c r="O475" i="18"/>
  <c r="O440" i="18"/>
  <c r="O643" i="18"/>
  <c r="O618" i="18"/>
  <c r="O552" i="18"/>
  <c r="O517" i="18"/>
  <c r="O488" i="18"/>
  <c r="O461" i="18"/>
  <c r="O444" i="18"/>
  <c r="O438" i="18"/>
  <c r="O436" i="18"/>
  <c r="O432" i="18"/>
  <c r="O428" i="18"/>
  <c r="O424" i="18"/>
  <c r="O420" i="18"/>
  <c r="O416" i="18"/>
  <c r="O412" i="18"/>
  <c r="O408" i="18"/>
  <c r="O404" i="18"/>
  <c r="O397" i="18"/>
  <c r="O393" i="18"/>
  <c r="O389" i="18"/>
  <c r="O385" i="18"/>
  <c r="O381" i="18"/>
  <c r="O377" i="18"/>
  <c r="O373" i="18"/>
  <c r="O369" i="18"/>
  <c r="O365" i="18"/>
  <c r="O361" i="18"/>
  <c r="O357" i="18"/>
  <c r="O353" i="18"/>
  <c r="O349" i="18"/>
  <c r="O345" i="18"/>
  <c r="O341" i="18"/>
  <c r="O337" i="18"/>
  <c r="O333" i="18"/>
  <c r="O329" i="18"/>
  <c r="O325" i="18"/>
  <c r="O321" i="18"/>
  <c r="O317" i="18"/>
  <c r="O313" i="18"/>
  <c r="O309" i="18"/>
  <c r="O305" i="18"/>
  <c r="O301" i="18"/>
  <c r="O297" i="18"/>
  <c r="O293" i="18"/>
  <c r="O289" i="18"/>
  <c r="O285" i="18"/>
  <c r="O281" i="18"/>
  <c r="O277" i="18"/>
  <c r="O273" i="18"/>
  <c r="O269" i="18"/>
  <c r="O265" i="18"/>
  <c r="O261" i="18"/>
  <c r="O457" i="18"/>
  <c r="O585" i="18"/>
  <c r="O471" i="18"/>
  <c r="O431" i="18"/>
  <c r="O415" i="18"/>
  <c r="O396" i="18"/>
  <c r="O380" i="18"/>
  <c r="O364" i="18"/>
  <c r="O348" i="18"/>
  <c r="O332" i="18"/>
  <c r="O316" i="18"/>
  <c r="O300" i="18"/>
  <c r="O284" i="18"/>
  <c r="O268" i="18"/>
  <c r="O256" i="18"/>
  <c r="O252" i="18"/>
  <c r="O248" i="18"/>
  <c r="O244" i="18"/>
  <c r="O240" i="18"/>
  <c r="O236" i="18"/>
  <c r="O232" i="18"/>
  <c r="O228" i="18"/>
  <c r="O224" i="18"/>
  <c r="O220" i="18"/>
  <c r="O216" i="18"/>
  <c r="O212" i="18"/>
  <c r="O208" i="18"/>
  <c r="O435" i="18"/>
  <c r="O419" i="18"/>
  <c r="O403" i="18"/>
  <c r="O384" i="18"/>
  <c r="O368" i="18"/>
  <c r="O352" i="18"/>
  <c r="O336" i="18"/>
  <c r="O320" i="18"/>
  <c r="O304" i="18"/>
  <c r="O288" i="18"/>
  <c r="O272" i="18"/>
  <c r="O257" i="18"/>
  <c r="O253" i="18"/>
  <c r="O249" i="18"/>
  <c r="O245" i="18"/>
  <c r="O241" i="18"/>
  <c r="O237" i="18"/>
  <c r="O233" i="18"/>
  <c r="O229" i="18"/>
  <c r="O225" i="18"/>
  <c r="O221" i="18"/>
  <c r="O217" i="18"/>
  <c r="O213" i="18"/>
  <c r="O209" i="18"/>
  <c r="O205" i="18"/>
  <c r="O201" i="18"/>
  <c r="O197" i="18"/>
  <c r="O193" i="18"/>
  <c r="O189" i="18"/>
  <c r="O185" i="18"/>
  <c r="O181" i="18"/>
  <c r="O177" i="18"/>
  <c r="O173" i="18"/>
  <c r="O169" i="18"/>
  <c r="O165" i="18"/>
  <c r="O161" i="18"/>
  <c r="O157" i="18"/>
  <c r="O153" i="18"/>
  <c r="O149" i="18"/>
  <c r="O145" i="18"/>
  <c r="O141" i="18"/>
  <c r="O137" i="18"/>
  <c r="O133" i="18"/>
  <c r="O129" i="18"/>
  <c r="O125" i="18"/>
  <c r="O121" i="18"/>
  <c r="O117" i="18"/>
  <c r="O113" i="18"/>
  <c r="O740" i="18"/>
  <c r="O573" i="18"/>
  <c r="O544" i="18"/>
  <c r="O442" i="18"/>
  <c r="O568" i="18"/>
  <c r="O449" i="18"/>
  <c r="O423" i="18"/>
  <c r="O407" i="18"/>
  <c r="O388" i="18"/>
  <c r="O372" i="18"/>
  <c r="O356" i="18"/>
  <c r="O340" i="18"/>
  <c r="O324" i="18"/>
  <c r="O308" i="18"/>
  <c r="O292" i="18"/>
  <c r="O276" i="18"/>
  <c r="O260" i="18"/>
  <c r="O258" i="18"/>
  <c r="O254" i="18"/>
  <c r="O250" i="18"/>
  <c r="O246" i="18"/>
  <c r="O242" i="18"/>
  <c r="O238" i="18"/>
  <c r="O234" i="18"/>
  <c r="O230" i="18"/>
  <c r="O226" i="18"/>
  <c r="O222" i="18"/>
  <c r="O218" i="18"/>
  <c r="O214" i="18"/>
  <c r="O210" i="18"/>
  <c r="O206" i="18"/>
  <c r="O202" i="18"/>
  <c r="O198" i="18"/>
  <c r="O194" i="18"/>
  <c r="O190" i="18"/>
  <c r="O186" i="18"/>
  <c r="O182" i="18"/>
  <c r="O178" i="18"/>
  <c r="O174" i="18"/>
  <c r="O170" i="18"/>
  <c r="O166" i="18"/>
  <c r="O162" i="18"/>
  <c r="O158" i="18"/>
  <c r="O154" i="18"/>
  <c r="O150" i="18"/>
  <c r="O146" i="18"/>
  <c r="O142" i="18"/>
  <c r="O138" i="18"/>
  <c r="O134" i="18"/>
  <c r="O130" i="18"/>
  <c r="O126" i="18"/>
  <c r="O122" i="18"/>
  <c r="O118" i="18"/>
  <c r="O114" i="18"/>
  <c r="O110" i="18"/>
  <c r="O604" i="18"/>
  <c r="O509" i="18"/>
  <c r="O480" i="18"/>
  <c r="O448" i="18"/>
  <c r="O102" i="18"/>
  <c r="O95" i="18"/>
  <c r="O427" i="18"/>
  <c r="O360" i="18"/>
  <c r="O296" i="18"/>
  <c r="O247" i="18"/>
  <c r="O231" i="18"/>
  <c r="O215" i="18"/>
  <c r="O109" i="18"/>
  <c r="O100" i="18"/>
  <c r="O93" i="18"/>
  <c r="O88" i="18"/>
  <c r="O84" i="18"/>
  <c r="O80" i="18"/>
  <c r="O76" i="18"/>
  <c r="O72" i="18"/>
  <c r="O68" i="18"/>
  <c r="O64" i="18"/>
  <c r="O60" i="18"/>
  <c r="O56" i="18"/>
  <c r="O52" i="18"/>
  <c r="O48" i="18"/>
  <c r="O199" i="18"/>
  <c r="O191" i="18"/>
  <c r="O183" i="18"/>
  <c r="O175" i="18"/>
  <c r="O167" i="18"/>
  <c r="O159" i="18"/>
  <c r="O151" i="18"/>
  <c r="O143" i="18"/>
  <c r="O135" i="18"/>
  <c r="O127" i="18"/>
  <c r="O119" i="18"/>
  <c r="O111" i="18"/>
  <c r="O107" i="18"/>
  <c r="O98" i="18"/>
  <c r="O91" i="18"/>
  <c r="O533" i="18"/>
  <c r="O376" i="18"/>
  <c r="O312" i="18"/>
  <c r="O251" i="18"/>
  <c r="O235" i="18"/>
  <c r="O219" i="18"/>
  <c r="O204" i="18"/>
  <c r="O196" i="18"/>
  <c r="O188" i="18"/>
  <c r="O180" i="18"/>
  <c r="O172" i="18"/>
  <c r="O164" i="18"/>
  <c r="O156" i="18"/>
  <c r="O148" i="18"/>
  <c r="O140" i="18"/>
  <c r="O132" i="18"/>
  <c r="O124" i="18"/>
  <c r="O116" i="18"/>
  <c r="O105" i="18"/>
  <c r="O96" i="18"/>
  <c r="O89" i="18"/>
  <c r="O85" i="18"/>
  <c r="O81" i="18"/>
  <c r="O77" i="18"/>
  <c r="O73" i="18"/>
  <c r="O69" i="18"/>
  <c r="O65" i="18"/>
  <c r="O61" i="18"/>
  <c r="O57" i="18"/>
  <c r="O53" i="18"/>
  <c r="O49" i="18"/>
  <c r="O103" i="18"/>
  <c r="O94" i="18"/>
  <c r="O504" i="18"/>
  <c r="O392" i="18"/>
  <c r="O328" i="18"/>
  <c r="O264" i="18"/>
  <c r="O255" i="18"/>
  <c r="O239" i="18"/>
  <c r="O223" i="18"/>
  <c r="O207" i="18"/>
  <c r="O108" i="18"/>
  <c r="O101" i="18"/>
  <c r="O92" i="18"/>
  <c r="O86" i="18"/>
  <c r="O82" i="18"/>
  <c r="O78" i="18"/>
  <c r="O74" i="18"/>
  <c r="O70" i="18"/>
  <c r="O66" i="18"/>
  <c r="O62" i="18"/>
  <c r="O58" i="18"/>
  <c r="O54" i="18"/>
  <c r="O50" i="18"/>
  <c r="O203" i="18"/>
  <c r="O195" i="18"/>
  <c r="O187" i="18"/>
  <c r="O179" i="18"/>
  <c r="O171" i="18"/>
  <c r="O163" i="18"/>
  <c r="O155" i="18"/>
  <c r="O147" i="18"/>
  <c r="O139" i="18"/>
  <c r="O131" i="18"/>
  <c r="O123" i="18"/>
  <c r="O115" i="18"/>
  <c r="O106" i="18"/>
  <c r="O99" i="18"/>
  <c r="O90" i="18"/>
  <c r="O411" i="18"/>
  <c r="O344" i="18"/>
  <c r="O280" i="18"/>
  <c r="O259" i="18"/>
  <c r="O243" i="18"/>
  <c r="O227" i="18"/>
  <c r="O211" i="18"/>
  <c r="O200" i="18"/>
  <c r="O192" i="18"/>
  <c r="O184" i="18"/>
  <c r="O176" i="18"/>
  <c r="O168" i="18"/>
  <c r="O160" i="18"/>
  <c r="O152" i="18"/>
  <c r="O144" i="18"/>
  <c r="O136" i="18"/>
  <c r="O128" i="18"/>
  <c r="O120" i="18"/>
  <c r="O112" i="18"/>
  <c r="O104" i="18"/>
  <c r="O97" i="18"/>
  <c r="O87" i="18"/>
  <c r="O83" i="18"/>
  <c r="O79" i="18"/>
  <c r="O75" i="18"/>
  <c r="O71" i="18"/>
  <c r="O67" i="18"/>
  <c r="O63" i="18"/>
  <c r="O59" i="18"/>
  <c r="O55" i="18"/>
  <c r="O51" i="18"/>
  <c r="AL31" i="18"/>
  <c r="S38" i="18"/>
  <c r="R1069" i="18"/>
  <c r="R1103" i="18"/>
  <c r="R1039" i="18"/>
  <c r="R1102" i="18"/>
  <c r="R1038" i="18"/>
  <c r="R1082" i="18"/>
  <c r="R1018" i="18"/>
  <c r="R922" i="18"/>
  <c r="R975" i="18"/>
  <c r="R911" i="18"/>
  <c r="R1057" i="18"/>
  <c r="R964" i="18"/>
  <c r="R900" i="18"/>
  <c r="R1068" i="18"/>
  <c r="R1004" i="18"/>
  <c r="R982" i="18"/>
  <c r="R929" i="18"/>
  <c r="R865" i="18"/>
  <c r="R1040" i="18"/>
  <c r="R1000" i="18"/>
  <c r="R984" i="18"/>
  <c r="R942" i="18"/>
  <c r="R878" i="18"/>
  <c r="R1043" i="18"/>
  <c r="R952" i="18"/>
  <c r="R888" i="18"/>
  <c r="R955" i="18"/>
  <c r="R891" i="18"/>
  <c r="R847" i="18"/>
  <c r="R859" i="18"/>
  <c r="R843" i="18"/>
  <c r="R1098" i="18"/>
  <c r="R835" i="18"/>
  <c r="R957" i="18"/>
  <c r="R893" i="18"/>
  <c r="R875" i="18"/>
  <c r="R818" i="18"/>
  <c r="R825" i="18"/>
  <c r="R833" i="18"/>
  <c r="R765" i="18"/>
  <c r="R794" i="18"/>
  <c r="R783" i="18"/>
  <c r="R772" i="18"/>
  <c r="R761" i="18"/>
  <c r="R793" i="18"/>
  <c r="R983" i="18"/>
  <c r="R1092" i="18"/>
  <c r="R1076" i="18"/>
  <c r="R1048" i="18"/>
  <c r="R1051" i="18"/>
  <c r="R850" i="18"/>
  <c r="R965" i="18"/>
  <c r="R798" i="18"/>
  <c r="R830" i="18"/>
  <c r="R1061" i="18"/>
  <c r="R1095" i="18"/>
  <c r="R1031" i="18"/>
  <c r="R1094" i="18"/>
  <c r="R1030" i="18"/>
  <c r="R1074" i="18"/>
  <c r="R1010" i="18"/>
  <c r="R914" i="18"/>
  <c r="R967" i="18"/>
  <c r="R903" i="18"/>
  <c r="R1049" i="18"/>
  <c r="R956" i="18"/>
  <c r="R892" i="18"/>
  <c r="R1060" i="18"/>
  <c r="R1001" i="18"/>
  <c r="R980" i="18"/>
  <c r="R921" i="18"/>
  <c r="R1105" i="18"/>
  <c r="R1032" i="18"/>
  <c r="R997" i="18"/>
  <c r="R981" i="18"/>
  <c r="R934" i="18"/>
  <c r="R870" i="18"/>
  <c r="R1035" i="18"/>
  <c r="R944" i="18"/>
  <c r="R880" i="18"/>
  <c r="R947" i="18"/>
  <c r="R883" i="18"/>
  <c r="R845" i="18"/>
  <c r="R857" i="18"/>
  <c r="R842" i="18"/>
  <c r="R1090" i="18"/>
  <c r="R827" i="18"/>
  <c r="R949" i="18"/>
  <c r="R885" i="18"/>
  <c r="R810" i="18"/>
  <c r="R806" i="18"/>
  <c r="R817" i="18"/>
  <c r="R809" i="18"/>
  <c r="R757" i="18"/>
  <c r="R786" i="18"/>
  <c r="R775" i="18"/>
  <c r="R764" i="18"/>
  <c r="R826" i="18"/>
  <c r="R1053" i="18"/>
  <c r="R1087" i="18"/>
  <c r="R1023" i="18"/>
  <c r="R1086" i="18"/>
  <c r="R1022" i="18"/>
  <c r="R1066" i="18"/>
  <c r="R970" i="18"/>
  <c r="R906" i="18"/>
  <c r="R959" i="18"/>
  <c r="R895" i="18"/>
  <c r="R1041" i="18"/>
  <c r="R948" i="18"/>
  <c r="R884" i="18"/>
  <c r="R1052" i="18"/>
  <c r="R998" i="18"/>
  <c r="R977" i="18"/>
  <c r="R913" i="18"/>
  <c r="R1088" i="18"/>
  <c r="R1024" i="18"/>
  <c r="R995" i="18"/>
  <c r="R979" i="18"/>
  <c r="R926" i="18"/>
  <c r="R862" i="18"/>
  <c r="R1027" i="18"/>
  <c r="R936" i="18"/>
  <c r="R872" i="18"/>
  <c r="R939" i="18"/>
  <c r="R869" i="18"/>
  <c r="R837" i="18"/>
  <c r="R854" i="18"/>
  <c r="R834" i="18"/>
  <c r="R877" i="18"/>
  <c r="R819" i="18"/>
  <c r="R941" i="18"/>
  <c r="R840" i="18"/>
  <c r="R790" i="18"/>
  <c r="R795" i="18"/>
  <c r="R805" i="18"/>
  <c r="R802" i="18"/>
  <c r="R867" i="18"/>
  <c r="R778" i="18"/>
  <c r="R767" i="18"/>
  <c r="R756" i="18"/>
  <c r="R769" i="18"/>
  <c r="R1077" i="18"/>
  <c r="R930" i="18"/>
  <c r="R908" i="18"/>
  <c r="R873" i="18"/>
  <c r="R886" i="18"/>
  <c r="R899" i="18"/>
  <c r="R866" i="18"/>
  <c r="R773" i="18"/>
  <c r="R1045" i="18"/>
  <c r="R1079" i="18"/>
  <c r="R1015" i="18"/>
  <c r="R1078" i="18"/>
  <c r="R1014" i="18"/>
  <c r="R1058" i="18"/>
  <c r="R962" i="18"/>
  <c r="R898" i="18"/>
  <c r="R951" i="18"/>
  <c r="R887" i="18"/>
  <c r="R1033" i="18"/>
  <c r="R940" i="18"/>
  <c r="R876" i="18"/>
  <c r="R1044" i="18"/>
  <c r="R996" i="18"/>
  <c r="R969" i="18"/>
  <c r="R905" i="18"/>
  <c r="R1080" i="18"/>
  <c r="R1016" i="18"/>
  <c r="R994" i="18"/>
  <c r="R978" i="18"/>
  <c r="R918" i="18"/>
  <c r="R1083" i="18"/>
  <c r="R1019" i="18"/>
  <c r="R928" i="18"/>
  <c r="R864" i="18"/>
  <c r="R931" i="18"/>
  <c r="R861" i="18"/>
  <c r="R829" i="18"/>
  <c r="R852" i="18"/>
  <c r="R839" i="18"/>
  <c r="R871" i="18"/>
  <c r="R811" i="18"/>
  <c r="R933" i="18"/>
  <c r="R832" i="18"/>
  <c r="R782" i="18"/>
  <c r="R787" i="18"/>
  <c r="R792" i="18"/>
  <c r="R799" i="18"/>
  <c r="R838" i="18"/>
  <c r="R770" i="18"/>
  <c r="R759" i="18"/>
  <c r="R814" i="18"/>
  <c r="R1013" i="18"/>
  <c r="R1026" i="18"/>
  <c r="R972" i="18"/>
  <c r="R937" i="18"/>
  <c r="R950" i="18"/>
  <c r="R963" i="18"/>
  <c r="R807" i="18"/>
  <c r="R760" i="18"/>
  <c r="R1101" i="18"/>
  <c r="R1037" i="18"/>
  <c r="R1071" i="18"/>
  <c r="R1007" i="18"/>
  <c r="R1070" i="18"/>
  <c r="R1006" i="18"/>
  <c r="R1050" i="18"/>
  <c r="R954" i="18"/>
  <c r="R890" i="18"/>
  <c r="R943" i="18"/>
  <c r="R879" i="18"/>
  <c r="R1025" i="18"/>
  <c r="R932" i="18"/>
  <c r="R868" i="18"/>
  <c r="R1036" i="18"/>
  <c r="R993" i="18"/>
  <c r="R961" i="18"/>
  <c r="R897" i="18"/>
  <c r="R1072" i="18"/>
  <c r="R1008" i="18"/>
  <c r="R992" i="18"/>
  <c r="R974" i="18"/>
  <c r="R910" i="18"/>
  <c r="R1075" i="18"/>
  <c r="R1011" i="18"/>
  <c r="R920" i="18"/>
  <c r="R856" i="18"/>
  <c r="R923" i="18"/>
  <c r="R858" i="18"/>
  <c r="R821" i="18"/>
  <c r="R851" i="18"/>
  <c r="R831" i="18"/>
  <c r="R863" i="18"/>
  <c r="R803" i="18"/>
  <c r="R925" i="18"/>
  <c r="R824" i="18"/>
  <c r="R774" i="18"/>
  <c r="R779" i="18"/>
  <c r="R784" i="18"/>
  <c r="R797" i="18"/>
  <c r="R828" i="18"/>
  <c r="R762" i="18"/>
  <c r="R836" i="18"/>
  <c r="R777" i="18"/>
  <c r="R755" i="18"/>
  <c r="R1093" i="18"/>
  <c r="R1029" i="18"/>
  <c r="R1063" i="18"/>
  <c r="R999" i="18"/>
  <c r="R1062" i="18"/>
  <c r="R1099" i="18"/>
  <c r="R1042" i="18"/>
  <c r="R946" i="18"/>
  <c r="R882" i="18"/>
  <c r="R935" i="18"/>
  <c r="R1081" i="18"/>
  <c r="R1017" i="18"/>
  <c r="R924" i="18"/>
  <c r="R1097" i="18"/>
  <c r="R1028" i="18"/>
  <c r="R990" i="18"/>
  <c r="R953" i="18"/>
  <c r="R889" i="18"/>
  <c r="R1064" i="18"/>
  <c r="R1005" i="18"/>
  <c r="R989" i="18"/>
  <c r="R966" i="18"/>
  <c r="R902" i="18"/>
  <c r="R1067" i="18"/>
  <c r="R976" i="18"/>
  <c r="R912" i="18"/>
  <c r="R848" i="18"/>
  <c r="R915" i="18"/>
  <c r="R855" i="18"/>
  <c r="R813" i="18"/>
  <c r="R849" i="18"/>
  <c r="R823" i="18"/>
  <c r="R841" i="18"/>
  <c r="R1089" i="18"/>
  <c r="R917" i="18"/>
  <c r="R816" i="18"/>
  <c r="R766" i="18"/>
  <c r="R771" i="18"/>
  <c r="R776" i="18"/>
  <c r="R789" i="18"/>
  <c r="R820" i="18"/>
  <c r="R812" i="18"/>
  <c r="R796" i="18"/>
  <c r="R1047" i="18"/>
  <c r="R1104" i="18"/>
  <c r="R1065" i="18"/>
  <c r="R1012" i="18"/>
  <c r="R1002" i="18"/>
  <c r="R960" i="18"/>
  <c r="R860" i="18"/>
  <c r="R901" i="18"/>
  <c r="R791" i="18"/>
  <c r="R1085" i="18"/>
  <c r="R1021" i="18"/>
  <c r="R1055" i="18"/>
  <c r="R991" i="18"/>
  <c r="R1054" i="18"/>
  <c r="R1091" i="18"/>
  <c r="R1034" i="18"/>
  <c r="R938" i="18"/>
  <c r="R1096" i="18"/>
  <c r="R927" i="18"/>
  <c r="R1073" i="18"/>
  <c r="R1009" i="18"/>
  <c r="R916" i="18"/>
  <c r="R1084" i="18"/>
  <c r="R1020" i="18"/>
  <c r="R988" i="18"/>
  <c r="R945" i="18"/>
  <c r="R881" i="18"/>
  <c r="R1056" i="18"/>
  <c r="R1003" i="18"/>
  <c r="R987" i="18"/>
  <c r="R958" i="18"/>
  <c r="R894" i="18"/>
  <c r="R1059" i="18"/>
  <c r="R968" i="18"/>
  <c r="R904" i="18"/>
  <c r="R971" i="18"/>
  <c r="R907" i="18"/>
  <c r="R853" i="18"/>
  <c r="R1100" i="18"/>
  <c r="R846" i="18"/>
  <c r="R815" i="18"/>
  <c r="R874" i="18"/>
  <c r="R973" i="18"/>
  <c r="R909" i="18"/>
  <c r="R808" i="18"/>
  <c r="R758" i="18"/>
  <c r="R763" i="18"/>
  <c r="R768" i="18"/>
  <c r="R781" i="18"/>
  <c r="R801" i="18"/>
  <c r="R804" i="18"/>
  <c r="R788" i="18"/>
  <c r="R822" i="18"/>
  <c r="R785" i="18"/>
  <c r="R1046" i="18"/>
  <c r="R919" i="18"/>
  <c r="R985" i="18"/>
  <c r="R986" i="18"/>
  <c r="R896" i="18"/>
  <c r="R844" i="18"/>
  <c r="R800" i="18"/>
  <c r="R780" i="18"/>
  <c r="AK67" i="5"/>
  <c r="J108" i="5" s="1"/>
  <c r="AI67" i="5"/>
  <c r="J106" i="5" s="1"/>
  <c r="AJ67" i="5"/>
  <c r="J107" i="5" s="1"/>
  <c r="AE32" i="4"/>
  <c r="AD31" i="4"/>
  <c r="O22" i="5"/>
  <c r="N25" i="5"/>
  <c r="Q33" i="5"/>
  <c r="K32" i="4"/>
  <c r="L31" i="4"/>
  <c r="U32" i="4"/>
  <c r="V31" i="4"/>
  <c r="G9" i="24"/>
  <c r="J10" i="24"/>
  <c r="U34" i="4"/>
  <c r="U35" i="4" s="1"/>
  <c r="V36" i="4"/>
  <c r="AT12" i="22"/>
  <c r="AO76" i="5"/>
  <c r="S111" i="5" s="1"/>
  <c r="AM76" i="5"/>
  <c r="S109" i="5" s="1"/>
  <c r="AN76" i="5"/>
  <c r="S110" i="5" s="1"/>
  <c r="AK76" i="5"/>
  <c r="S108" i="5" s="1"/>
  <c r="AJ76" i="5"/>
  <c r="S107" i="5" s="1"/>
  <c r="S6" i="5" s="1"/>
  <c r="AI76" i="5"/>
  <c r="S106" i="5" s="1"/>
  <c r="C21" i="43" l="1"/>
  <c r="E37" i="26" s="1" a="1"/>
  <c r="E37" i="26" s="1"/>
  <c r="E21" i="43"/>
  <c r="L37" i="26" s="1" a="1"/>
  <c r="L37" i="26" s="1"/>
  <c r="AJ19" i="5"/>
  <c r="O11" i="26"/>
  <c r="O172" i="26" s="1"/>
  <c r="O173" i="26" s="1"/>
  <c r="O174" i="26" s="1"/>
  <c r="N172" i="26"/>
  <c r="N173" i="26" s="1"/>
  <c r="N174" i="26" s="1"/>
  <c r="L107" i="1"/>
  <c r="H37" i="26" a="1"/>
  <c r="H37" i="26" s="1"/>
  <c r="I37" i="26" a="1"/>
  <c r="I37" i="26" s="1"/>
  <c r="AF34" i="4"/>
  <c r="AF35" i="4" s="1"/>
  <c r="BE10" i="20"/>
  <c r="BF11" i="20"/>
  <c r="N37" i="26" a="1"/>
  <c r="N37" i="26" s="1"/>
  <c r="O37" i="26" a="1"/>
  <c r="O37" i="26" s="1"/>
  <c r="C69" i="45"/>
  <c r="C42" i="45"/>
  <c r="C15" i="45"/>
  <c r="E11" i="26"/>
  <c r="E172" i="26" s="1"/>
  <c r="E173" i="26" s="1"/>
  <c r="E174" i="26" s="1"/>
  <c r="AE36" i="4"/>
  <c r="V24" i="5"/>
  <c r="U25" i="5"/>
  <c r="W23" i="5"/>
  <c r="X23" i="5" s="1"/>
  <c r="Y23" i="5" s="1"/>
  <c r="X7" i="18"/>
  <c r="W13" i="18"/>
  <c r="W5" i="18"/>
  <c r="V11" i="18"/>
  <c r="X6" i="18"/>
  <c r="W12" i="18"/>
  <c r="X9" i="18"/>
  <c r="W15" i="18"/>
  <c r="X8" i="18"/>
  <c r="W14" i="18"/>
  <c r="J34" i="4"/>
  <c r="K36" i="4"/>
  <c r="S11" i="5" a="1"/>
  <c r="S11" i="5" s="1"/>
  <c r="D99" i="5"/>
  <c r="AP7" i="5" s="1"/>
  <c r="F98" i="5"/>
  <c r="AO8" i="5" s="1"/>
  <c r="AJ22" i="5"/>
  <c r="AK16" i="5"/>
  <c r="AK21" i="5" s="1"/>
  <c r="AJ18" i="5"/>
  <c r="AO67" i="5"/>
  <c r="J111" i="5" s="1"/>
  <c r="AM67" i="5"/>
  <c r="J109" i="5" s="1"/>
  <c r="AN67" i="5"/>
  <c r="J110" i="5" s="1"/>
  <c r="P750" i="18"/>
  <c r="P746" i="18"/>
  <c r="P742" i="18"/>
  <c r="P738" i="18"/>
  <c r="P734" i="18"/>
  <c r="P730" i="18"/>
  <c r="P726" i="18"/>
  <c r="P722" i="18"/>
  <c r="P718" i="18"/>
  <c r="P714" i="18"/>
  <c r="P710" i="18"/>
  <c r="P706" i="18"/>
  <c r="P702" i="18"/>
  <c r="P698" i="18"/>
  <c r="P694" i="18"/>
  <c r="P690" i="18"/>
  <c r="P686" i="18"/>
  <c r="P682" i="18"/>
  <c r="P678" i="18"/>
  <c r="P674" i="18"/>
  <c r="P670" i="18"/>
  <c r="P666" i="18"/>
  <c r="P662" i="18"/>
  <c r="P658" i="18"/>
  <c r="P654" i="18"/>
  <c r="P650" i="18"/>
  <c r="P646" i="18"/>
  <c r="P642" i="18"/>
  <c r="P638" i="18"/>
  <c r="P634" i="18"/>
  <c r="P630" i="18"/>
  <c r="P626" i="18"/>
  <c r="P622" i="18"/>
  <c r="P618" i="18"/>
  <c r="P614" i="18"/>
  <c r="P610" i="18"/>
  <c r="P606" i="18"/>
  <c r="P602" i="18"/>
  <c r="P598" i="18"/>
  <c r="P594" i="18"/>
  <c r="P590" i="18"/>
  <c r="P751" i="18"/>
  <c r="P747" i="18"/>
  <c r="P743" i="18"/>
  <c r="P739" i="18"/>
  <c r="P735" i="18"/>
  <c r="P731" i="18"/>
  <c r="P727" i="18"/>
  <c r="P723" i="18"/>
  <c r="P719" i="18"/>
  <c r="P715" i="18"/>
  <c r="P732" i="18"/>
  <c r="P729" i="18"/>
  <c r="P707" i="18"/>
  <c r="P705" i="18"/>
  <c r="P692" i="18"/>
  <c r="P675" i="18"/>
  <c r="P673" i="18"/>
  <c r="P657" i="18"/>
  <c r="P655" i="18"/>
  <c r="P648" i="18"/>
  <c r="P641" i="18"/>
  <c r="P639" i="18"/>
  <c r="P632" i="18"/>
  <c r="P625" i="18"/>
  <c r="P623" i="18"/>
  <c r="P616" i="18"/>
  <c r="P609" i="18"/>
  <c r="P607" i="18"/>
  <c r="P600" i="18"/>
  <c r="P593" i="18"/>
  <c r="P591" i="18"/>
  <c r="P586" i="18"/>
  <c r="P582" i="18"/>
  <c r="P578" i="18"/>
  <c r="P574" i="18"/>
  <c r="P570" i="18"/>
  <c r="P566" i="18"/>
  <c r="P562" i="18"/>
  <c r="P558" i="18"/>
  <c r="P554" i="18"/>
  <c r="P550" i="18"/>
  <c r="P546" i="18"/>
  <c r="P542" i="18"/>
  <c r="P538" i="18"/>
  <c r="P534" i="18"/>
  <c r="P530" i="18"/>
  <c r="P526" i="18"/>
  <c r="P522" i="18"/>
  <c r="P518" i="18"/>
  <c r="P514" i="18"/>
  <c r="P510" i="18"/>
  <c r="P506" i="18"/>
  <c r="P502" i="18"/>
  <c r="P498" i="18"/>
  <c r="P494" i="18"/>
  <c r="P490" i="18"/>
  <c r="P486" i="18"/>
  <c r="P482" i="18"/>
  <c r="P478" i="18"/>
  <c r="P474" i="18"/>
  <c r="P470" i="18"/>
  <c r="P466" i="18"/>
  <c r="P728" i="18"/>
  <c r="P725" i="18"/>
  <c r="P711" i="18"/>
  <c r="P709" i="18"/>
  <c r="P696" i="18"/>
  <c r="P679" i="18"/>
  <c r="P677" i="18"/>
  <c r="P664" i="18"/>
  <c r="P724" i="18"/>
  <c r="P721" i="18"/>
  <c r="P700" i="18"/>
  <c r="P683" i="18"/>
  <c r="P681" i="18"/>
  <c r="P668" i="18"/>
  <c r="P660" i="18"/>
  <c r="P653" i="18"/>
  <c r="P651" i="18"/>
  <c r="P644" i="18"/>
  <c r="P637" i="18"/>
  <c r="P635" i="18"/>
  <c r="P628" i="18"/>
  <c r="P621" i="18"/>
  <c r="P619" i="18"/>
  <c r="P612" i="18"/>
  <c r="P605" i="18"/>
  <c r="P603" i="18"/>
  <c r="P596" i="18"/>
  <c r="P589" i="18"/>
  <c r="P587" i="18"/>
  <c r="P583" i="18"/>
  <c r="P579" i="18"/>
  <c r="P575" i="18"/>
  <c r="P571" i="18"/>
  <c r="P567" i="18"/>
  <c r="P563" i="18"/>
  <c r="P559" i="18"/>
  <c r="P555" i="18"/>
  <c r="P551" i="18"/>
  <c r="P547" i="18"/>
  <c r="P543" i="18"/>
  <c r="P539" i="18"/>
  <c r="P535" i="18"/>
  <c r="P531" i="18"/>
  <c r="P527" i="18"/>
  <c r="P523" i="18"/>
  <c r="P519" i="18"/>
  <c r="P515" i="18"/>
  <c r="P511" i="18"/>
  <c r="P507" i="18"/>
  <c r="P503" i="18"/>
  <c r="P499" i="18"/>
  <c r="P495" i="18"/>
  <c r="P491" i="18"/>
  <c r="P487" i="18"/>
  <c r="P483" i="18"/>
  <c r="P479" i="18"/>
  <c r="P475" i="18"/>
  <c r="P471" i="18"/>
  <c r="P467" i="18"/>
  <c r="P463" i="18"/>
  <c r="P752" i="18"/>
  <c r="P749" i="18"/>
  <c r="P720" i="18"/>
  <c r="P717" i="18"/>
  <c r="P704" i="18"/>
  <c r="P687" i="18"/>
  <c r="P685" i="18"/>
  <c r="P672" i="18"/>
  <c r="P744" i="18"/>
  <c r="P741" i="18"/>
  <c r="P712" i="18"/>
  <c r="P695" i="18"/>
  <c r="P693" i="18"/>
  <c r="P680" i="18"/>
  <c r="P663" i="18"/>
  <c r="P737" i="18"/>
  <c r="P659" i="18"/>
  <c r="P645" i="18"/>
  <c r="P640" i="18"/>
  <c r="P588" i="18"/>
  <c r="P584" i="18"/>
  <c r="P745" i="18"/>
  <c r="P736" i="18"/>
  <c r="P716" i="18"/>
  <c r="P649" i="18"/>
  <c r="P611" i="18"/>
  <c r="P597" i="18"/>
  <c r="P592" i="18"/>
  <c r="P580" i="18"/>
  <c r="P577" i="18"/>
  <c r="P569" i="18"/>
  <c r="P561" i="18"/>
  <c r="P553" i="18"/>
  <c r="P545" i="18"/>
  <c r="P537" i="18"/>
  <c r="P529" i="18"/>
  <c r="P521" i="18"/>
  <c r="P513" i="18"/>
  <c r="P505" i="18"/>
  <c r="P497" i="18"/>
  <c r="P489" i="18"/>
  <c r="P481" i="18"/>
  <c r="P472" i="18"/>
  <c r="P465" i="18"/>
  <c r="P459" i="18"/>
  <c r="P455" i="18"/>
  <c r="P451" i="18"/>
  <c r="P447" i="18"/>
  <c r="P443" i="18"/>
  <c r="P439" i="18"/>
  <c r="P708" i="18"/>
  <c r="P703" i="18"/>
  <c r="P697" i="18"/>
  <c r="P691" i="18"/>
  <c r="P669" i="18"/>
  <c r="P620" i="18"/>
  <c r="P615" i="18"/>
  <c r="P601" i="18"/>
  <c r="P643" i="18"/>
  <c r="P629" i="18"/>
  <c r="P624" i="18"/>
  <c r="P576" i="18"/>
  <c r="P568" i="18"/>
  <c r="P560" i="18"/>
  <c r="P552" i="18"/>
  <c r="P544" i="18"/>
  <c r="P536" i="18"/>
  <c r="P528" i="18"/>
  <c r="P520" i="18"/>
  <c r="P512" i="18"/>
  <c r="P504" i="18"/>
  <c r="P496" i="18"/>
  <c r="P488" i="18"/>
  <c r="P480" i="18"/>
  <c r="P468" i="18"/>
  <c r="P460" i="18"/>
  <c r="P456" i="18"/>
  <c r="P452" i="18"/>
  <c r="P448" i="18"/>
  <c r="P444" i="18"/>
  <c r="P440" i="18"/>
  <c r="P740" i="18"/>
  <c r="P701" i="18"/>
  <c r="P689" i="18"/>
  <c r="P661" i="18"/>
  <c r="P656" i="18"/>
  <c r="P604" i="18"/>
  <c r="P599" i="18"/>
  <c r="P573" i="18"/>
  <c r="P565" i="18"/>
  <c r="P557" i="18"/>
  <c r="P549" i="18"/>
  <c r="P541" i="18"/>
  <c r="P533" i="18"/>
  <c r="P525" i="18"/>
  <c r="P517" i="18"/>
  <c r="P509" i="18"/>
  <c r="P501" i="18"/>
  <c r="P493" i="18"/>
  <c r="P485" i="18"/>
  <c r="P477" i="18"/>
  <c r="P473" i="18"/>
  <c r="P464" i="18"/>
  <c r="P461" i="18"/>
  <c r="P457" i="18"/>
  <c r="P453" i="18"/>
  <c r="P652" i="18"/>
  <c r="P627" i="18"/>
  <c r="P572" i="18"/>
  <c r="P508" i="18"/>
  <c r="P469" i="18"/>
  <c r="P733" i="18"/>
  <c r="P665" i="18"/>
  <c r="P613" i="18"/>
  <c r="P564" i="18"/>
  <c r="P500" i="18"/>
  <c r="P450" i="18"/>
  <c r="P441" i="18"/>
  <c r="P437" i="18"/>
  <c r="P434" i="18"/>
  <c r="P430" i="18"/>
  <c r="P426" i="18"/>
  <c r="P422" i="18"/>
  <c r="P418" i="18"/>
  <c r="P414" i="18"/>
  <c r="P410" i="18"/>
  <c r="P406" i="18"/>
  <c r="P402" i="18"/>
  <c r="P395" i="18"/>
  <c r="P391" i="18"/>
  <c r="P387" i="18"/>
  <c r="P383" i="18"/>
  <c r="P379" i="18"/>
  <c r="P375" i="18"/>
  <c r="P371" i="18"/>
  <c r="P367" i="18"/>
  <c r="P363" i="18"/>
  <c r="P359" i="18"/>
  <c r="P355" i="18"/>
  <c r="P351" i="18"/>
  <c r="P347" i="18"/>
  <c r="P343" i="18"/>
  <c r="P339" i="18"/>
  <c r="P335" i="18"/>
  <c r="P331" i="18"/>
  <c r="P327" i="18"/>
  <c r="P323" i="18"/>
  <c r="P319" i="18"/>
  <c r="P315" i="18"/>
  <c r="P311" i="18"/>
  <c r="P307" i="18"/>
  <c r="P303" i="18"/>
  <c r="P299" i="18"/>
  <c r="P295" i="18"/>
  <c r="P291" i="18"/>
  <c r="P287" i="18"/>
  <c r="P283" i="18"/>
  <c r="P279" i="18"/>
  <c r="P275" i="18"/>
  <c r="P271" i="18"/>
  <c r="P267" i="18"/>
  <c r="P263" i="18"/>
  <c r="P259" i="18"/>
  <c r="P556" i="18"/>
  <c r="P492" i="18"/>
  <c r="P445" i="18"/>
  <c r="P676" i="18"/>
  <c r="P647" i="18"/>
  <c r="P636" i="18"/>
  <c r="P585" i="18"/>
  <c r="P548" i="18"/>
  <c r="P484" i="18"/>
  <c r="P449" i="18"/>
  <c r="P435" i="18"/>
  <c r="P431" i="18"/>
  <c r="P427" i="18"/>
  <c r="P423" i="18"/>
  <c r="P419" i="18"/>
  <c r="P415" i="18"/>
  <c r="P411" i="18"/>
  <c r="P407" i="18"/>
  <c r="P403" i="18"/>
  <c r="P396" i="18"/>
  <c r="P392" i="18"/>
  <c r="P388" i="18"/>
  <c r="P384" i="18"/>
  <c r="P380" i="18"/>
  <c r="P376" i="18"/>
  <c r="P372" i="18"/>
  <c r="P368" i="18"/>
  <c r="P364" i="18"/>
  <c r="P360" i="18"/>
  <c r="P356" i="18"/>
  <c r="P352" i="18"/>
  <c r="P348" i="18"/>
  <c r="P344" i="18"/>
  <c r="P340" i="18"/>
  <c r="P336" i="18"/>
  <c r="P332" i="18"/>
  <c r="P328" i="18"/>
  <c r="P324" i="18"/>
  <c r="P320" i="18"/>
  <c r="P316" i="18"/>
  <c r="P312" i="18"/>
  <c r="P308" i="18"/>
  <c r="P304" i="18"/>
  <c r="P300" i="18"/>
  <c r="P296" i="18"/>
  <c r="P292" i="18"/>
  <c r="P288" i="18"/>
  <c r="P284" i="18"/>
  <c r="P280" i="18"/>
  <c r="P276" i="18"/>
  <c r="P272" i="18"/>
  <c r="P268" i="18"/>
  <c r="P264" i="18"/>
  <c r="P260" i="18"/>
  <c r="P688" i="18"/>
  <c r="P532" i="18"/>
  <c r="P458" i="18"/>
  <c r="P438" i="18"/>
  <c r="P436" i="18"/>
  <c r="P432" i="18"/>
  <c r="P428" i="18"/>
  <c r="P424" i="18"/>
  <c r="P420" i="18"/>
  <c r="P416" i="18"/>
  <c r="P412" i="18"/>
  <c r="P408" i="18"/>
  <c r="P404" i="18"/>
  <c r="P397" i="18"/>
  <c r="P393" i="18"/>
  <c r="P389" i="18"/>
  <c r="P385" i="18"/>
  <c r="P381" i="18"/>
  <c r="P377" i="18"/>
  <c r="P373" i="18"/>
  <c r="P369" i="18"/>
  <c r="P365" i="18"/>
  <c r="P361" i="18"/>
  <c r="P357" i="18"/>
  <c r="P353" i="18"/>
  <c r="P349" i="18"/>
  <c r="P345" i="18"/>
  <c r="P341" i="18"/>
  <c r="P337" i="18"/>
  <c r="P333" i="18"/>
  <c r="P329" i="18"/>
  <c r="P325" i="18"/>
  <c r="P321" i="18"/>
  <c r="P317" i="18"/>
  <c r="P313" i="18"/>
  <c r="P309" i="18"/>
  <c r="P305" i="18"/>
  <c r="P301" i="18"/>
  <c r="P297" i="18"/>
  <c r="P293" i="18"/>
  <c r="P289" i="18"/>
  <c r="P285" i="18"/>
  <c r="P281" i="18"/>
  <c r="P277" i="18"/>
  <c r="P273" i="18"/>
  <c r="P269" i="18"/>
  <c r="P265" i="18"/>
  <c r="P261" i="18"/>
  <c r="P684" i="18"/>
  <c r="P671" i="18"/>
  <c r="P631" i="18"/>
  <c r="P524" i="18"/>
  <c r="P454" i="18"/>
  <c r="P442" i="18"/>
  <c r="P699" i="18"/>
  <c r="P446" i="18"/>
  <c r="P421" i="18"/>
  <c r="P405" i="18"/>
  <c r="P386" i="18"/>
  <c r="P370" i="18"/>
  <c r="P354" i="18"/>
  <c r="P338" i="18"/>
  <c r="P322" i="18"/>
  <c r="P306" i="18"/>
  <c r="P290" i="18"/>
  <c r="P274" i="18"/>
  <c r="P256" i="18"/>
  <c r="P252" i="18"/>
  <c r="P248" i="18"/>
  <c r="P244" i="18"/>
  <c r="P240" i="18"/>
  <c r="P236" i="18"/>
  <c r="P232" i="18"/>
  <c r="P228" i="18"/>
  <c r="P224" i="18"/>
  <c r="P220" i="18"/>
  <c r="P216" i="18"/>
  <c r="P212" i="18"/>
  <c r="P208" i="18"/>
  <c r="P204" i="18"/>
  <c r="P200" i="18"/>
  <c r="P196" i="18"/>
  <c r="P192" i="18"/>
  <c r="P188" i="18"/>
  <c r="P184" i="18"/>
  <c r="P180" i="18"/>
  <c r="P176" i="18"/>
  <c r="P172" i="18"/>
  <c r="P168" i="18"/>
  <c r="P164" i="18"/>
  <c r="P160" i="18"/>
  <c r="P156" i="18"/>
  <c r="P152" i="18"/>
  <c r="P148" i="18"/>
  <c r="P144" i="18"/>
  <c r="P140" i="18"/>
  <c r="P136" i="18"/>
  <c r="P132" i="18"/>
  <c r="P128" i="18"/>
  <c r="P124" i="18"/>
  <c r="P120" i="18"/>
  <c r="P116" i="18"/>
  <c r="P112" i="18"/>
  <c r="P108" i="18"/>
  <c r="P104" i="18"/>
  <c r="P100" i="18"/>
  <c r="P96" i="18"/>
  <c r="P92" i="18"/>
  <c r="P633" i="18"/>
  <c r="P748" i="18"/>
  <c r="P667" i="18"/>
  <c r="P617" i="18"/>
  <c r="P516" i="18"/>
  <c r="P429" i="18"/>
  <c r="P413" i="18"/>
  <c r="P394" i="18"/>
  <c r="P378" i="18"/>
  <c r="P362" i="18"/>
  <c r="P346" i="18"/>
  <c r="P330" i="18"/>
  <c r="P314" i="18"/>
  <c r="P298" i="18"/>
  <c r="P282" i="18"/>
  <c r="P266" i="18"/>
  <c r="P258" i="18"/>
  <c r="P254" i="18"/>
  <c r="P250" i="18"/>
  <c r="P246" i="18"/>
  <c r="P242" i="18"/>
  <c r="P238" i="18"/>
  <c r="P234" i="18"/>
  <c r="P230" i="18"/>
  <c r="P226" i="18"/>
  <c r="P222" i="18"/>
  <c r="P218" i="18"/>
  <c r="P214" i="18"/>
  <c r="P210" i="18"/>
  <c r="P206" i="18"/>
  <c r="P202" i="18"/>
  <c r="P198" i="18"/>
  <c r="P194" i="18"/>
  <c r="P190" i="18"/>
  <c r="P186" i="18"/>
  <c r="P182" i="18"/>
  <c r="P178" i="18"/>
  <c r="P174" i="18"/>
  <c r="P170" i="18"/>
  <c r="P166" i="18"/>
  <c r="P162" i="18"/>
  <c r="P158" i="18"/>
  <c r="P154" i="18"/>
  <c r="P150" i="18"/>
  <c r="P146" i="18"/>
  <c r="P142" i="18"/>
  <c r="P138" i="18"/>
  <c r="P134" i="18"/>
  <c r="P130" i="18"/>
  <c r="P126" i="18"/>
  <c r="P122" i="18"/>
  <c r="P118" i="18"/>
  <c r="P114" i="18"/>
  <c r="P110" i="18"/>
  <c r="P106" i="18"/>
  <c r="P102" i="18"/>
  <c r="P98" i="18"/>
  <c r="P94" i="18"/>
  <c r="P90" i="18"/>
  <c r="P608" i="18"/>
  <c r="P540" i="18"/>
  <c r="P462" i="18"/>
  <c r="P713" i="18"/>
  <c r="P433" i="18"/>
  <c r="P417" i="18"/>
  <c r="P398" i="18"/>
  <c r="P382" i="18"/>
  <c r="P366" i="18"/>
  <c r="P350" i="18"/>
  <c r="P334" i="18"/>
  <c r="P318" i="18"/>
  <c r="P302" i="18"/>
  <c r="P286" i="18"/>
  <c r="P270" i="18"/>
  <c r="P255" i="18"/>
  <c r="P251" i="18"/>
  <c r="P247" i="18"/>
  <c r="P243" i="18"/>
  <c r="P239" i="18"/>
  <c r="P235" i="18"/>
  <c r="P231" i="18"/>
  <c r="P227" i="18"/>
  <c r="P223" i="18"/>
  <c r="P219" i="18"/>
  <c r="P215" i="18"/>
  <c r="P211" i="18"/>
  <c r="P207" i="18"/>
  <c r="P581" i="18"/>
  <c r="P409" i="18"/>
  <c r="P342" i="18"/>
  <c r="P278" i="18"/>
  <c r="P253" i="18"/>
  <c r="P237" i="18"/>
  <c r="P221" i="18"/>
  <c r="P205" i="18"/>
  <c r="P197" i="18"/>
  <c r="P189" i="18"/>
  <c r="P181" i="18"/>
  <c r="P173" i="18"/>
  <c r="P165" i="18"/>
  <c r="P157" i="18"/>
  <c r="P149" i="18"/>
  <c r="P141" i="18"/>
  <c r="P133" i="18"/>
  <c r="P125" i="18"/>
  <c r="P117" i="18"/>
  <c r="P109" i="18"/>
  <c r="P93" i="18"/>
  <c r="P88" i="18"/>
  <c r="P84" i="18"/>
  <c r="P80" i="18"/>
  <c r="P76" i="18"/>
  <c r="P72" i="18"/>
  <c r="P68" i="18"/>
  <c r="P64" i="18"/>
  <c r="P60" i="18"/>
  <c r="P56" i="18"/>
  <c r="P52" i="18"/>
  <c r="P48" i="18"/>
  <c r="P199" i="18"/>
  <c r="P191" i="18"/>
  <c r="P183" i="18"/>
  <c r="P175" i="18"/>
  <c r="P167" i="18"/>
  <c r="P159" i="18"/>
  <c r="P151" i="18"/>
  <c r="P143" i="18"/>
  <c r="P135" i="18"/>
  <c r="P127" i="18"/>
  <c r="P119" i="18"/>
  <c r="P111" i="18"/>
  <c r="P107" i="18"/>
  <c r="P91" i="18"/>
  <c r="P425" i="18"/>
  <c r="P358" i="18"/>
  <c r="P294" i="18"/>
  <c r="P257" i="18"/>
  <c r="P241" i="18"/>
  <c r="P225" i="18"/>
  <c r="P209" i="18"/>
  <c r="P105" i="18"/>
  <c r="P89" i="18"/>
  <c r="P85" i="18"/>
  <c r="P81" i="18"/>
  <c r="P77" i="18"/>
  <c r="P73" i="18"/>
  <c r="P69" i="18"/>
  <c r="P65" i="18"/>
  <c r="P61" i="18"/>
  <c r="P57" i="18"/>
  <c r="P53" i="18"/>
  <c r="P49" i="18"/>
  <c r="P103" i="18"/>
  <c r="P374" i="18"/>
  <c r="P310" i="18"/>
  <c r="P245" i="18"/>
  <c r="P229" i="18"/>
  <c r="P213" i="18"/>
  <c r="P201" i="18"/>
  <c r="P193" i="18"/>
  <c r="P185" i="18"/>
  <c r="P177" i="18"/>
  <c r="P169" i="18"/>
  <c r="P161" i="18"/>
  <c r="P153" i="18"/>
  <c r="P145" i="18"/>
  <c r="P137" i="18"/>
  <c r="P129" i="18"/>
  <c r="P121" i="18"/>
  <c r="P113" i="18"/>
  <c r="P101" i="18"/>
  <c r="P86" i="18"/>
  <c r="P82" i="18"/>
  <c r="P78" i="18"/>
  <c r="P74" i="18"/>
  <c r="P70" i="18"/>
  <c r="P66" i="18"/>
  <c r="P62" i="18"/>
  <c r="P58" i="18"/>
  <c r="P54" i="18"/>
  <c r="P50" i="18"/>
  <c r="P203" i="18"/>
  <c r="P195" i="18"/>
  <c r="P187" i="18"/>
  <c r="P179" i="18"/>
  <c r="P171" i="18"/>
  <c r="P163" i="18"/>
  <c r="P155" i="18"/>
  <c r="P147" i="18"/>
  <c r="P139" i="18"/>
  <c r="P131" i="18"/>
  <c r="P123" i="18"/>
  <c r="P115" i="18"/>
  <c r="P99" i="18"/>
  <c r="P390" i="18"/>
  <c r="P326" i="18"/>
  <c r="P262" i="18"/>
  <c r="P249" i="18"/>
  <c r="P233" i="18"/>
  <c r="P217" i="18"/>
  <c r="P97" i="18"/>
  <c r="P87" i="18"/>
  <c r="P83" i="18"/>
  <c r="P79" i="18"/>
  <c r="P75" i="18"/>
  <c r="P71" i="18"/>
  <c r="P67" i="18"/>
  <c r="P63" i="18"/>
  <c r="P59" i="18"/>
  <c r="P55" i="18"/>
  <c r="P51" i="18"/>
  <c r="P595" i="18"/>
  <c r="P476" i="18"/>
  <c r="P95" i="18"/>
  <c r="K4" i="18"/>
  <c r="K44" i="18" s="1"/>
  <c r="J401" i="18"/>
  <c r="J47" i="18"/>
  <c r="J754" i="18"/>
  <c r="T38" i="18"/>
  <c r="S773" i="18"/>
  <c r="S800" i="18"/>
  <c r="S837" i="18"/>
  <c r="S809" i="18"/>
  <c r="S823" i="18"/>
  <c r="S760" i="18"/>
  <c r="S829" i="18"/>
  <c r="S881" i="18"/>
  <c r="S816" i="18"/>
  <c r="S766" i="18"/>
  <c r="S871" i="18"/>
  <c r="S798" i="18"/>
  <c r="S929" i="18"/>
  <c r="S1103" i="18"/>
  <c r="S1084" i="18"/>
  <c r="S1081" i="18"/>
  <c r="S1080" i="18"/>
  <c r="S1061" i="18"/>
  <c r="S1034" i="18"/>
  <c r="S1039" i="18"/>
  <c r="S1027" i="18"/>
  <c r="S1082" i="18"/>
  <c r="S1070" i="18"/>
  <c r="S995" i="18"/>
  <c r="S992" i="18"/>
  <c r="S1102" i="18"/>
  <c r="S952" i="18"/>
  <c r="S1017" i="18"/>
  <c r="S1050" i="18"/>
  <c r="S907" i="18"/>
  <c r="S972" i="18"/>
  <c r="S979" i="18"/>
  <c r="S1014" i="18"/>
  <c r="S922" i="18"/>
  <c r="S1022" i="18"/>
  <c r="S908" i="18"/>
  <c r="S910" i="18"/>
  <c r="S918" i="18"/>
  <c r="S919" i="18"/>
  <c r="S920" i="18"/>
  <c r="S888" i="18"/>
  <c r="S827" i="18"/>
  <c r="S955" i="18"/>
  <c r="S861" i="18"/>
  <c r="S850" i="18"/>
  <c r="S786" i="18"/>
  <c r="S844" i="18"/>
  <c r="S780" i="18"/>
  <c r="S775" i="18"/>
  <c r="S831" i="18"/>
  <c r="S887" i="18"/>
  <c r="S761" i="18"/>
  <c r="S799" i="18"/>
  <c r="S764" i="18"/>
  <c r="S767" i="18"/>
  <c r="S776" i="18"/>
  <c r="S801" i="18"/>
  <c r="S1095" i="18"/>
  <c r="S1076" i="18"/>
  <c r="S1073" i="18"/>
  <c r="S1072" i="18"/>
  <c r="S1053" i="18"/>
  <c r="S1026" i="18"/>
  <c r="S1031" i="18"/>
  <c r="S1019" i="18"/>
  <c r="S1078" i="18"/>
  <c r="S1056" i="18"/>
  <c r="S987" i="18"/>
  <c r="S984" i="18"/>
  <c r="S1099" i="18"/>
  <c r="S1029" i="18"/>
  <c r="S1001" i="18"/>
  <c r="S1009" i="18"/>
  <c r="S899" i="18"/>
  <c r="S971" i="18"/>
  <c r="S959" i="18"/>
  <c r="S1006" i="18"/>
  <c r="S914" i="18"/>
  <c r="S1013" i="18"/>
  <c r="S900" i="18"/>
  <c r="S903" i="18"/>
  <c r="S911" i="18"/>
  <c r="S912" i="18"/>
  <c r="S913" i="18"/>
  <c r="S886" i="18"/>
  <c r="S819" i="18"/>
  <c r="S894" i="18"/>
  <c r="S853" i="18"/>
  <c r="S842" i="18"/>
  <c r="S778" i="18"/>
  <c r="S836" i="18"/>
  <c r="S772" i="18"/>
  <c r="S832" i="18"/>
  <c r="S846" i="18"/>
  <c r="S901" i="18"/>
  <c r="S847" i="18"/>
  <c r="S791" i="18"/>
  <c r="S855" i="18"/>
  <c r="S808" i="18"/>
  <c r="S833" i="18"/>
  <c r="S755" i="18"/>
  <c r="S758" i="18"/>
  <c r="S841" i="18"/>
  <c r="S1087" i="18"/>
  <c r="S1068" i="18"/>
  <c r="S1065" i="18"/>
  <c r="S1064" i="18"/>
  <c r="S1098" i="18"/>
  <c r="S1018" i="18"/>
  <c r="S1023" i="18"/>
  <c r="S1083" i="18"/>
  <c r="S1036" i="18"/>
  <c r="S1066" i="18"/>
  <c r="S1055" i="18"/>
  <c r="S1041" i="18"/>
  <c r="S1038" i="18"/>
  <c r="S1007" i="18"/>
  <c r="S985" i="18"/>
  <c r="S964" i="18"/>
  <c r="S891" i="18"/>
  <c r="S944" i="18"/>
  <c r="S958" i="18"/>
  <c r="S967" i="18"/>
  <c r="S906" i="18"/>
  <c r="S998" i="18"/>
  <c r="S892" i="18"/>
  <c r="S896" i="18"/>
  <c r="S904" i="18"/>
  <c r="S905" i="18"/>
  <c r="S974" i="18"/>
  <c r="S877" i="18"/>
  <c r="S811" i="18"/>
  <c r="S856" i="18"/>
  <c r="S845" i="18"/>
  <c r="S834" i="18"/>
  <c r="S770" i="18"/>
  <c r="S828" i="18"/>
  <c r="S762" i="18"/>
  <c r="S768" i="18"/>
  <c r="S824" i="18"/>
  <c r="S895" i="18"/>
  <c r="S813" i="18"/>
  <c r="S849" i="18"/>
  <c r="S857" i="18"/>
  <c r="S885" i="18"/>
  <c r="S769" i="18"/>
  <c r="S797" i="18"/>
  <c r="S763" i="18"/>
  <c r="S1079" i="18"/>
  <c r="S1060" i="18"/>
  <c r="S1057" i="18"/>
  <c r="S1101" i="18"/>
  <c r="S1094" i="18"/>
  <c r="S1010" i="18"/>
  <c r="S1015" i="18"/>
  <c r="S1058" i="18"/>
  <c r="S1020" i="18"/>
  <c r="S1062" i="18"/>
  <c r="S1048" i="18"/>
  <c r="S1025" i="18"/>
  <c r="S1012" i="18"/>
  <c r="S991" i="18"/>
  <c r="S978" i="18"/>
  <c r="S963" i="18"/>
  <c r="S883" i="18"/>
  <c r="S936" i="18"/>
  <c r="S951" i="18"/>
  <c r="S966" i="18"/>
  <c r="S898" i="18"/>
  <c r="S961" i="18"/>
  <c r="S884" i="18"/>
  <c r="S889" i="18"/>
  <c r="S897" i="18"/>
  <c r="S869" i="18"/>
  <c r="S947" i="18"/>
  <c r="S865" i="18"/>
  <c r="S803" i="18"/>
  <c r="S848" i="18"/>
  <c r="S977" i="18"/>
  <c r="S826" i="18"/>
  <c r="S986" i="18"/>
  <c r="S820" i="18"/>
  <c r="S825" i="18"/>
  <c r="S757" i="18"/>
  <c r="S792" i="18"/>
  <c r="S822" i="18"/>
  <c r="S784" i="18"/>
  <c r="S815" i="18"/>
  <c r="S863" i="18"/>
  <c r="S1071" i="18"/>
  <c r="S1052" i="18"/>
  <c r="S1049" i="18"/>
  <c r="S1093" i="18"/>
  <c r="S1067" i="18"/>
  <c r="S1090" i="18"/>
  <c r="S1091" i="18"/>
  <c r="S1040" i="18"/>
  <c r="S1004" i="18"/>
  <c r="S1046" i="18"/>
  <c r="S1044" i="18"/>
  <c r="S1005" i="18"/>
  <c r="S994" i="18"/>
  <c r="S973" i="18"/>
  <c r="S970" i="18"/>
  <c r="S939" i="18"/>
  <c r="S875" i="18"/>
  <c r="S928" i="18"/>
  <c r="S941" i="18"/>
  <c r="S950" i="18"/>
  <c r="S890" i="18"/>
  <c r="S940" i="18"/>
  <c r="S876" i="18"/>
  <c r="S1002" i="18"/>
  <c r="S1075" i="18"/>
  <c r="S862" i="18"/>
  <c r="S937" i="18"/>
  <c r="S859" i="18"/>
  <c r="S795" i="18"/>
  <c r="S840" i="18"/>
  <c r="S909" i="18"/>
  <c r="S818" i="18"/>
  <c r="S902" i="18"/>
  <c r="S812" i="18"/>
  <c r="S789" i="18"/>
  <c r="S817" i="18"/>
  <c r="S839" i="18"/>
  <c r="S790" i="18"/>
  <c r="S879" i="18"/>
  <c r="S1063" i="18"/>
  <c r="S1105" i="18"/>
  <c r="S1104" i="18"/>
  <c r="S1085" i="18"/>
  <c r="S1054" i="18"/>
  <c r="S1086" i="18"/>
  <c r="S1051" i="18"/>
  <c r="S1032" i="18"/>
  <c r="S996" i="18"/>
  <c r="S1037" i="18"/>
  <c r="S1028" i="18"/>
  <c r="S997" i="18"/>
  <c r="S976" i="18"/>
  <c r="S965" i="18"/>
  <c r="S962" i="18"/>
  <c r="S931" i="18"/>
  <c r="S867" i="18"/>
  <c r="S1011" i="18"/>
  <c r="S933" i="18"/>
  <c r="S948" i="18"/>
  <c r="S882" i="18"/>
  <c r="S932" i="18"/>
  <c r="S868" i="18"/>
  <c r="S975" i="18"/>
  <c r="S982" i="18"/>
  <c r="S956" i="18"/>
  <c r="S935" i="18"/>
  <c r="S851" i="18"/>
  <c r="S787" i="18"/>
  <c r="S993" i="18"/>
  <c r="S893" i="18"/>
  <c r="S810" i="18"/>
  <c r="S873" i="18"/>
  <c r="S804" i="18"/>
  <c r="S830" i="18"/>
  <c r="S785" i="18"/>
  <c r="S806" i="18"/>
  <c r="S756" i="18"/>
  <c r="S777" i="18"/>
  <c r="S805" i="18"/>
  <c r="S864" i="18"/>
  <c r="S759" i="18"/>
  <c r="S838" i="18"/>
  <c r="S1100" i="18"/>
  <c r="S1097" i="18"/>
  <c r="S1096" i="18"/>
  <c r="S1077" i="18"/>
  <c r="S1045" i="18"/>
  <c r="S1059" i="18"/>
  <c r="S1043" i="18"/>
  <c r="S1024" i="18"/>
  <c r="S988" i="18"/>
  <c r="S1021" i="18"/>
  <c r="S1008" i="18"/>
  <c r="S989" i="18"/>
  <c r="S968" i="18"/>
  <c r="S957" i="18"/>
  <c r="S954" i="18"/>
  <c r="S923" i="18"/>
  <c r="S1030" i="18"/>
  <c r="S999" i="18"/>
  <c r="S925" i="18"/>
  <c r="S938" i="18"/>
  <c r="S874" i="18"/>
  <c r="S924" i="18"/>
  <c r="S942" i="18"/>
  <c r="S969" i="18"/>
  <c r="S953" i="18"/>
  <c r="S945" i="18"/>
  <c r="S921" i="18"/>
  <c r="S843" i="18"/>
  <c r="S779" i="18"/>
  <c r="S880" i="18"/>
  <c r="S878" i="18"/>
  <c r="S802" i="18"/>
  <c r="S860" i="18"/>
  <c r="S796" i="18"/>
  <c r="S782" i="18"/>
  <c r="S765" i="18"/>
  <c r="S854" i="18"/>
  <c r="S870" i="18"/>
  <c r="S1042" i="18"/>
  <c r="S960" i="18"/>
  <c r="S866" i="18"/>
  <c r="S771" i="18"/>
  <c r="S1047" i="18"/>
  <c r="S949" i="18"/>
  <c r="S916" i="18"/>
  <c r="S872" i="18"/>
  <c r="S927" i="18"/>
  <c r="S1035" i="18"/>
  <c r="S946" i="18"/>
  <c r="S917" i="18"/>
  <c r="S858" i="18"/>
  <c r="S814" i="18"/>
  <c r="S1016" i="18"/>
  <c r="S915" i="18"/>
  <c r="S934" i="18"/>
  <c r="S794" i="18"/>
  <c r="S793" i="18"/>
  <c r="S1092" i="18"/>
  <c r="S1074" i="18"/>
  <c r="S983" i="18"/>
  <c r="S926" i="18"/>
  <c r="S852" i="18"/>
  <c r="S774" i="18"/>
  <c r="S807" i="18"/>
  <c r="S783" i="18"/>
  <c r="S1089" i="18"/>
  <c r="S1003" i="18"/>
  <c r="S990" i="18"/>
  <c r="S943" i="18"/>
  <c r="S788" i="18"/>
  <c r="S781" i="18"/>
  <c r="S981" i="18"/>
  <c r="S835" i="18"/>
  <c r="S821" i="18"/>
  <c r="S1088" i="18"/>
  <c r="S1000" i="18"/>
  <c r="S1033" i="18"/>
  <c r="S980" i="18"/>
  <c r="S1069" i="18"/>
  <c r="S930" i="18"/>
  <c r="AM31" i="18"/>
  <c r="AM77" i="5"/>
  <c r="T109" i="5" s="1"/>
  <c r="AN77" i="5"/>
  <c r="T110" i="5" s="1"/>
  <c r="AO77" i="5"/>
  <c r="T111" i="5" s="1"/>
  <c r="AM68" i="5"/>
  <c r="K109" i="5" s="1"/>
  <c r="AN68" i="5"/>
  <c r="K110" i="5" s="1"/>
  <c r="AO68" i="5"/>
  <c r="K111" i="5" s="1"/>
  <c r="AI68" i="5"/>
  <c r="K106" i="5" s="1"/>
  <c r="AK68" i="5"/>
  <c r="K108" i="5" s="1"/>
  <c r="AJ68" i="5"/>
  <c r="K107" i="5" s="1"/>
  <c r="AF36" i="4"/>
  <c r="U31" i="4"/>
  <c r="T32" i="4"/>
  <c r="U36" i="4"/>
  <c r="T34" i="4"/>
  <c r="T35" i="4" s="1"/>
  <c r="AE31" i="4"/>
  <c r="AF32" i="4"/>
  <c r="G8" i="24"/>
  <c r="J9" i="24"/>
  <c r="AT11" i="22"/>
  <c r="K31" i="4"/>
  <c r="J32" i="4"/>
  <c r="O25" i="5"/>
  <c r="AJ77" i="5"/>
  <c r="T107" i="5" s="1"/>
  <c r="T6" i="5" s="1"/>
  <c r="AI77" i="5"/>
  <c r="T106" i="5" s="1"/>
  <c r="AK77" i="5"/>
  <c r="T108" i="5" s="1"/>
  <c r="K37" i="26" l="1" a="1"/>
  <c r="K37" i="26" s="1"/>
  <c r="AG34" i="4"/>
  <c r="AG35" i="4" s="1"/>
  <c r="AK19" i="5"/>
  <c r="BE9" i="20"/>
  <c r="BF10" i="20"/>
  <c r="F37" i="26" a="1"/>
  <c r="F37" i="26" s="1"/>
  <c r="L108" i="1"/>
  <c r="I34" i="4"/>
  <c r="I35" i="4" s="1"/>
  <c r="J35" i="4"/>
  <c r="J36" i="4"/>
  <c r="W24" i="5"/>
  <c r="V25" i="5"/>
  <c r="Z23" i="5"/>
  <c r="AA23" i="5" s="1"/>
  <c r="AB23" i="5" s="1"/>
  <c r="AC23" i="5" s="1"/>
  <c r="AD23" i="5" s="1"/>
  <c r="AE23" i="5" s="1"/>
  <c r="AF23" i="5" s="1"/>
  <c r="AG23" i="5" s="1"/>
  <c r="AH23" i="5" s="1"/>
  <c r="AI23" i="5" s="1"/>
  <c r="AJ23" i="5" s="1"/>
  <c r="AK23" i="5" s="1"/>
  <c r="AL23" i="5" s="1"/>
  <c r="AM23" i="5" s="1"/>
  <c r="AN23" i="5" s="1"/>
  <c r="AO23" i="5" s="1"/>
  <c r="AP23" i="5" s="1"/>
  <c r="AQ23" i="5" s="1"/>
  <c r="AR23" i="5" s="1"/>
  <c r="AS23" i="5" s="1"/>
  <c r="AT23" i="5" s="1"/>
  <c r="AU23" i="5" s="1"/>
  <c r="AV23" i="5" s="1"/>
  <c r="AW23" i="5" s="1"/>
  <c r="AX23" i="5" s="1"/>
  <c r="AY23" i="5" s="1"/>
  <c r="AZ23" i="5" s="1"/>
  <c r="BA23" i="5" s="1"/>
  <c r="BB23" i="5" s="1"/>
  <c r="Y9" i="18"/>
  <c r="X15" i="18"/>
  <c r="Y6" i="18"/>
  <c r="X12" i="18"/>
  <c r="X5" i="18"/>
  <c r="W11" i="18"/>
  <c r="Y8" i="18"/>
  <c r="X14" i="18"/>
  <c r="Y7" i="18"/>
  <c r="X13" i="18"/>
  <c r="T11" i="5" a="1"/>
  <c r="T11" i="5" s="1"/>
  <c r="D100" i="5"/>
  <c r="F99" i="5"/>
  <c r="AP8" i="5" s="1"/>
  <c r="AK22" i="5"/>
  <c r="AL16" i="5"/>
  <c r="AL21" i="5" s="1"/>
  <c r="AK18" i="5"/>
  <c r="L4" i="18"/>
  <c r="L44" i="18" s="1"/>
  <c r="K401" i="18"/>
  <c r="K47" i="18"/>
  <c r="K754" i="18"/>
  <c r="Q750" i="18"/>
  <c r="Q746" i="18"/>
  <c r="Q742" i="18"/>
  <c r="Q738" i="18"/>
  <c r="Q734" i="18"/>
  <c r="Q730" i="18"/>
  <c r="Q726" i="18"/>
  <c r="Q722" i="18"/>
  <c r="Q718" i="18"/>
  <c r="Q714" i="18"/>
  <c r="Q710" i="18"/>
  <c r="Q706" i="18"/>
  <c r="Q702" i="18"/>
  <c r="Q698" i="18"/>
  <c r="Q694" i="18"/>
  <c r="Q690" i="18"/>
  <c r="Q686" i="18"/>
  <c r="Q682" i="18"/>
  <c r="Q678" i="18"/>
  <c r="Q674" i="18"/>
  <c r="Q670" i="18"/>
  <c r="Q666" i="18"/>
  <c r="Q662" i="18"/>
  <c r="Q658" i="18"/>
  <c r="Q654" i="18"/>
  <c r="Q650" i="18"/>
  <c r="Q646" i="18"/>
  <c r="Q642" i="18"/>
  <c r="Q638" i="18"/>
  <c r="Q634" i="18"/>
  <c r="Q630" i="18"/>
  <c r="Q626" i="18"/>
  <c r="Q622" i="18"/>
  <c r="Q618" i="18"/>
  <c r="Q614" i="18"/>
  <c r="Q610" i="18"/>
  <c r="Q606" i="18"/>
  <c r="Q602" i="18"/>
  <c r="Q598" i="18"/>
  <c r="Q594" i="18"/>
  <c r="Q590" i="18"/>
  <c r="Q751" i="18"/>
  <c r="Q747" i="18"/>
  <c r="Q743" i="18"/>
  <c r="Q739" i="18"/>
  <c r="Q735" i="18"/>
  <c r="Q731" i="18"/>
  <c r="Q727" i="18"/>
  <c r="Q723" i="18"/>
  <c r="Q719" i="18"/>
  <c r="Q715" i="18"/>
  <c r="Q752" i="18"/>
  <c r="Q748" i="18"/>
  <c r="Q744" i="18"/>
  <c r="Q740" i="18"/>
  <c r="Q736" i="18"/>
  <c r="Q732" i="18"/>
  <c r="Q728" i="18"/>
  <c r="Q724" i="18"/>
  <c r="Q720" i="18"/>
  <c r="Q716" i="18"/>
  <c r="Q712" i="18"/>
  <c r="Q708" i="18"/>
  <c r="Q704" i="18"/>
  <c r="Q700" i="18"/>
  <c r="Q696" i="18"/>
  <c r="Q692" i="18"/>
  <c r="Q688" i="18"/>
  <c r="Q684" i="18"/>
  <c r="Q680" i="18"/>
  <c r="Q676" i="18"/>
  <c r="Q672" i="18"/>
  <c r="Q668" i="18"/>
  <c r="Q664" i="18"/>
  <c r="Q725" i="18"/>
  <c r="Q711" i="18"/>
  <c r="Q709" i="18"/>
  <c r="Q679" i="18"/>
  <c r="Q677" i="18"/>
  <c r="Q721" i="18"/>
  <c r="Q683" i="18"/>
  <c r="Q681" i="18"/>
  <c r="Q660" i="18"/>
  <c r="Q653" i="18"/>
  <c r="Q651" i="18"/>
  <c r="Q644" i="18"/>
  <c r="Q637" i="18"/>
  <c r="Q635" i="18"/>
  <c r="Q628" i="18"/>
  <c r="Q621" i="18"/>
  <c r="Q619" i="18"/>
  <c r="Q612" i="18"/>
  <c r="Q605" i="18"/>
  <c r="Q603" i="18"/>
  <c r="Q596" i="18"/>
  <c r="Q589" i="18"/>
  <c r="Q587" i="18"/>
  <c r="Q583" i="18"/>
  <c r="Q579" i="18"/>
  <c r="Q575" i="18"/>
  <c r="Q571" i="18"/>
  <c r="Q567" i="18"/>
  <c r="Q563" i="18"/>
  <c r="Q559" i="18"/>
  <c r="Q555" i="18"/>
  <c r="Q551" i="18"/>
  <c r="Q547" i="18"/>
  <c r="Q543" i="18"/>
  <c r="Q539" i="18"/>
  <c r="Q535" i="18"/>
  <c r="Q531" i="18"/>
  <c r="Q527" i="18"/>
  <c r="Q523" i="18"/>
  <c r="Q519" i="18"/>
  <c r="Q515" i="18"/>
  <c r="Q511" i="18"/>
  <c r="Q507" i="18"/>
  <c r="Q503" i="18"/>
  <c r="Q499" i="18"/>
  <c r="Q495" i="18"/>
  <c r="Q491" i="18"/>
  <c r="Q487" i="18"/>
  <c r="Q483" i="18"/>
  <c r="Q479" i="18"/>
  <c r="Q749" i="18"/>
  <c r="Q717" i="18"/>
  <c r="Q687" i="18"/>
  <c r="Q685" i="18"/>
  <c r="Q745" i="18"/>
  <c r="Q713" i="18"/>
  <c r="Q691" i="18"/>
  <c r="Q689" i="18"/>
  <c r="Q656" i="18"/>
  <c r="Q649" i="18"/>
  <c r="Q647" i="18"/>
  <c r="Q640" i="18"/>
  <c r="Q633" i="18"/>
  <c r="Q631" i="18"/>
  <c r="Q624" i="18"/>
  <c r="Q617" i="18"/>
  <c r="Q615" i="18"/>
  <c r="Q608" i="18"/>
  <c r="Q601" i="18"/>
  <c r="Q599" i="18"/>
  <c r="Q592" i="18"/>
  <c r="Q584" i="18"/>
  <c r="Q580" i="18"/>
  <c r="Q576" i="18"/>
  <c r="Q572" i="18"/>
  <c r="Q568" i="18"/>
  <c r="Q564" i="18"/>
  <c r="Q560" i="18"/>
  <c r="Q556" i="18"/>
  <c r="Q552" i="18"/>
  <c r="Q548" i="18"/>
  <c r="Q544" i="18"/>
  <c r="Q540" i="18"/>
  <c r="Q536" i="18"/>
  <c r="Q532" i="18"/>
  <c r="Q528" i="18"/>
  <c r="Q524" i="18"/>
  <c r="Q520" i="18"/>
  <c r="Q516" i="18"/>
  <c r="Q512" i="18"/>
  <c r="Q508" i="18"/>
  <c r="Q504" i="18"/>
  <c r="Q500" i="18"/>
  <c r="Q496" i="18"/>
  <c r="Q492" i="18"/>
  <c r="Q488" i="18"/>
  <c r="Q484" i="18"/>
  <c r="Q480" i="18"/>
  <c r="Q476" i="18"/>
  <c r="Q737" i="18"/>
  <c r="Q699" i="18"/>
  <c r="Q697" i="18"/>
  <c r="Q667" i="18"/>
  <c r="Q665" i="18"/>
  <c r="Q661" i="18"/>
  <c r="Q659" i="18"/>
  <c r="Q652" i="18"/>
  <c r="Q645" i="18"/>
  <c r="Q643" i="18"/>
  <c r="Q636" i="18"/>
  <c r="Q629" i="18"/>
  <c r="Q627" i="18"/>
  <c r="Q620" i="18"/>
  <c r="Q613" i="18"/>
  <c r="Q611" i="18"/>
  <c r="Q604" i="18"/>
  <c r="Q597" i="18"/>
  <c r="Q595" i="18"/>
  <c r="Q588" i="18"/>
  <c r="Q585" i="18"/>
  <c r="Q581" i="18"/>
  <c r="Q607" i="18"/>
  <c r="Q593" i="18"/>
  <c r="Q577" i="18"/>
  <c r="Q569" i="18"/>
  <c r="Q561" i="18"/>
  <c r="Q553" i="18"/>
  <c r="Q545" i="18"/>
  <c r="Q537" i="18"/>
  <c r="Q529" i="18"/>
  <c r="Q521" i="18"/>
  <c r="Q513" i="18"/>
  <c r="Q505" i="18"/>
  <c r="Q497" i="18"/>
  <c r="Q489" i="18"/>
  <c r="Q481" i="18"/>
  <c r="Q474" i="18"/>
  <c r="Q472" i="18"/>
  <c r="Q465" i="18"/>
  <c r="Q459" i="18"/>
  <c r="Q455" i="18"/>
  <c r="Q451" i="18"/>
  <c r="Q703" i="18"/>
  <c r="Q675" i="18"/>
  <c r="Q669" i="18"/>
  <c r="Q663" i="18"/>
  <c r="Q616" i="18"/>
  <c r="Q463" i="18"/>
  <c r="Q639" i="18"/>
  <c r="Q625" i="18"/>
  <c r="Q574" i="18"/>
  <c r="Q566" i="18"/>
  <c r="Q558" i="18"/>
  <c r="Q550" i="18"/>
  <c r="Q542" i="18"/>
  <c r="Q534" i="18"/>
  <c r="Q526" i="18"/>
  <c r="Q518" i="18"/>
  <c r="Q510" i="18"/>
  <c r="Q502" i="18"/>
  <c r="Q494" i="18"/>
  <c r="Q486" i="18"/>
  <c r="Q478" i="18"/>
  <c r="Q470" i="18"/>
  <c r="Q468" i="18"/>
  <c r="Q460" i="18"/>
  <c r="Q456" i="18"/>
  <c r="Q452" i="18"/>
  <c r="Q448" i="18"/>
  <c r="Q444" i="18"/>
  <c r="Q440" i="18"/>
  <c r="Q436" i="18"/>
  <c r="Q733" i="18"/>
  <c r="Q648" i="18"/>
  <c r="Q591" i="18"/>
  <c r="Q475" i="18"/>
  <c r="Q623" i="18"/>
  <c r="Q609" i="18"/>
  <c r="Q582" i="18"/>
  <c r="Q471" i="18"/>
  <c r="Q695" i="18"/>
  <c r="Q641" i="18"/>
  <c r="Q557" i="18"/>
  <c r="Q522" i="18"/>
  <c r="Q493" i="18"/>
  <c r="Q473" i="18"/>
  <c r="Q450" i="18"/>
  <c r="Q441" i="18"/>
  <c r="Q437" i="18"/>
  <c r="Q434" i="18"/>
  <c r="Q430" i="18"/>
  <c r="Q426" i="18"/>
  <c r="Q422" i="18"/>
  <c r="Q418" i="18"/>
  <c r="Q414" i="18"/>
  <c r="Q410" i="18"/>
  <c r="Q406" i="18"/>
  <c r="Q402" i="18"/>
  <c r="Q395" i="18"/>
  <c r="Q391" i="18"/>
  <c r="Q387" i="18"/>
  <c r="Q383" i="18"/>
  <c r="Q379" i="18"/>
  <c r="Q375" i="18"/>
  <c r="Q371" i="18"/>
  <c r="Q367" i="18"/>
  <c r="Q363" i="18"/>
  <c r="Q359" i="18"/>
  <c r="Q355" i="18"/>
  <c r="Q351" i="18"/>
  <c r="Q347" i="18"/>
  <c r="Q343" i="18"/>
  <c r="Q339" i="18"/>
  <c r="Q335" i="18"/>
  <c r="Q331" i="18"/>
  <c r="Q327" i="18"/>
  <c r="Q323" i="18"/>
  <c r="Q319" i="18"/>
  <c r="Q315" i="18"/>
  <c r="Q311" i="18"/>
  <c r="Q307" i="18"/>
  <c r="Q303" i="18"/>
  <c r="Q299" i="18"/>
  <c r="Q295" i="18"/>
  <c r="Q291" i="18"/>
  <c r="Q287" i="18"/>
  <c r="Q283" i="18"/>
  <c r="Q279" i="18"/>
  <c r="Q275" i="18"/>
  <c r="Q271" i="18"/>
  <c r="Q267" i="18"/>
  <c r="Q263" i="18"/>
  <c r="Q259" i="18"/>
  <c r="Q600" i="18"/>
  <c r="Q578" i="18"/>
  <c r="Q549" i="18"/>
  <c r="Q514" i="18"/>
  <c r="Q485" i="18"/>
  <c r="Q445" i="18"/>
  <c r="Q439" i="18"/>
  <c r="Q707" i="18"/>
  <c r="Q693" i="18"/>
  <c r="Q586" i="18"/>
  <c r="Q570" i="18"/>
  <c r="Q541" i="18"/>
  <c r="Q506" i="18"/>
  <c r="Q477" i="18"/>
  <c r="Q449" i="18"/>
  <c r="Q443" i="18"/>
  <c r="Q435" i="18"/>
  <c r="Q431" i="18"/>
  <c r="Q427" i="18"/>
  <c r="Q423" i="18"/>
  <c r="Q419" i="18"/>
  <c r="Q415" i="18"/>
  <c r="Q411" i="18"/>
  <c r="Q407" i="18"/>
  <c r="Q403" i="18"/>
  <c r="Q396" i="18"/>
  <c r="Q392" i="18"/>
  <c r="Q388" i="18"/>
  <c r="Q384" i="18"/>
  <c r="Q380" i="18"/>
  <c r="Q376" i="18"/>
  <c r="Q372" i="18"/>
  <c r="Q368" i="18"/>
  <c r="Q364" i="18"/>
  <c r="Q360" i="18"/>
  <c r="Q356" i="18"/>
  <c r="Q352" i="18"/>
  <c r="Q348" i="18"/>
  <c r="Q344" i="18"/>
  <c r="Q340" i="18"/>
  <c r="Q336" i="18"/>
  <c r="Q332" i="18"/>
  <c r="Q328" i="18"/>
  <c r="Q324" i="18"/>
  <c r="Q320" i="18"/>
  <c r="Q316" i="18"/>
  <c r="Q312" i="18"/>
  <c r="Q308" i="18"/>
  <c r="Q304" i="18"/>
  <c r="Q300" i="18"/>
  <c r="Q296" i="18"/>
  <c r="Q292" i="18"/>
  <c r="Q288" i="18"/>
  <c r="Q284" i="18"/>
  <c r="Q280" i="18"/>
  <c r="Q276" i="18"/>
  <c r="Q272" i="18"/>
  <c r="Q268" i="18"/>
  <c r="Q264" i="18"/>
  <c r="Q260" i="18"/>
  <c r="Q729" i="18"/>
  <c r="Q562" i="18"/>
  <c r="Q533" i="18"/>
  <c r="Q498" i="18"/>
  <c r="Q467" i="18"/>
  <c r="Q462" i="18"/>
  <c r="Q447" i="18"/>
  <c r="Q701" i="18"/>
  <c r="Q671" i="18"/>
  <c r="Q657" i="18"/>
  <c r="Q632" i="18"/>
  <c r="Q546" i="18"/>
  <c r="Q517" i="18"/>
  <c r="Q482" i="18"/>
  <c r="Q461" i="18"/>
  <c r="Q454" i="18"/>
  <c r="Q442" i="18"/>
  <c r="Q741" i="18"/>
  <c r="Q573" i="18"/>
  <c r="Q538" i="18"/>
  <c r="Q509" i="18"/>
  <c r="Q457" i="18"/>
  <c r="Q446" i="18"/>
  <c r="Q433" i="18"/>
  <c r="Q429" i="18"/>
  <c r="Q425" i="18"/>
  <c r="Q421" i="18"/>
  <c r="Q417" i="18"/>
  <c r="Q413" i="18"/>
  <c r="Q409" i="18"/>
  <c r="Q405" i="18"/>
  <c r="Q398" i="18"/>
  <c r="Q394" i="18"/>
  <c r="Q390" i="18"/>
  <c r="Q386" i="18"/>
  <c r="Q382" i="18"/>
  <c r="Q378" i="18"/>
  <c r="Q374" i="18"/>
  <c r="Q370" i="18"/>
  <c r="Q366" i="18"/>
  <c r="Q362" i="18"/>
  <c r="Q358" i="18"/>
  <c r="Q354" i="18"/>
  <c r="Q350" i="18"/>
  <c r="Q346" i="18"/>
  <c r="Q342" i="18"/>
  <c r="Q338" i="18"/>
  <c r="Q334" i="18"/>
  <c r="Q330" i="18"/>
  <c r="Q326" i="18"/>
  <c r="Q322" i="18"/>
  <c r="Q318" i="18"/>
  <c r="Q314" i="18"/>
  <c r="Q310" i="18"/>
  <c r="Q306" i="18"/>
  <c r="Q302" i="18"/>
  <c r="Q298" i="18"/>
  <c r="Q294" i="18"/>
  <c r="Q290" i="18"/>
  <c r="Q286" i="18"/>
  <c r="Q282" i="18"/>
  <c r="Q278" i="18"/>
  <c r="Q274" i="18"/>
  <c r="Q270" i="18"/>
  <c r="Q266" i="18"/>
  <c r="Q262" i="18"/>
  <c r="Q530" i="18"/>
  <c r="Q501" i="18"/>
  <c r="Q554" i="18"/>
  <c r="Q525" i="18"/>
  <c r="Q420" i="18"/>
  <c r="Q404" i="18"/>
  <c r="Q385" i="18"/>
  <c r="Q369" i="18"/>
  <c r="Q353" i="18"/>
  <c r="Q337" i="18"/>
  <c r="Q321" i="18"/>
  <c r="Q305" i="18"/>
  <c r="Q289" i="18"/>
  <c r="Q273" i="18"/>
  <c r="Q257" i="18"/>
  <c r="Q253" i="18"/>
  <c r="Q249" i="18"/>
  <c r="Q245" i="18"/>
  <c r="Q241" i="18"/>
  <c r="Q237" i="18"/>
  <c r="Q233" i="18"/>
  <c r="Q229" i="18"/>
  <c r="Q225" i="18"/>
  <c r="Q221" i="18"/>
  <c r="Q217" i="18"/>
  <c r="Q213" i="18"/>
  <c r="Q209" i="18"/>
  <c r="Q205" i="18"/>
  <c r="Q673" i="18"/>
  <c r="Q490" i="18"/>
  <c r="Q466" i="18"/>
  <c r="Q424" i="18"/>
  <c r="Q408" i="18"/>
  <c r="Q389" i="18"/>
  <c r="Q373" i="18"/>
  <c r="Q357" i="18"/>
  <c r="Q341" i="18"/>
  <c r="Q325" i="18"/>
  <c r="Q309" i="18"/>
  <c r="Q293" i="18"/>
  <c r="Q277" i="18"/>
  <c r="Q261" i="18"/>
  <c r="Q258" i="18"/>
  <c r="Q254" i="18"/>
  <c r="Q250" i="18"/>
  <c r="Q246" i="18"/>
  <c r="Q242" i="18"/>
  <c r="Q238" i="18"/>
  <c r="Q234" i="18"/>
  <c r="Q230" i="18"/>
  <c r="Q226" i="18"/>
  <c r="Q222" i="18"/>
  <c r="Q218" i="18"/>
  <c r="Q214" i="18"/>
  <c r="Q210" i="18"/>
  <c r="Q206" i="18"/>
  <c r="Q202" i="18"/>
  <c r="Q198" i="18"/>
  <c r="Q194" i="18"/>
  <c r="Q190" i="18"/>
  <c r="Q186" i="18"/>
  <c r="Q182" i="18"/>
  <c r="Q178" i="18"/>
  <c r="Q174" i="18"/>
  <c r="Q170" i="18"/>
  <c r="Q166" i="18"/>
  <c r="Q162" i="18"/>
  <c r="Q158" i="18"/>
  <c r="Q154" i="18"/>
  <c r="Q150" i="18"/>
  <c r="Q146" i="18"/>
  <c r="Q142" i="18"/>
  <c r="Q138" i="18"/>
  <c r="Q134" i="18"/>
  <c r="Q130" i="18"/>
  <c r="Q126" i="18"/>
  <c r="Q122" i="18"/>
  <c r="Q118" i="18"/>
  <c r="Q114" i="18"/>
  <c r="Q110" i="18"/>
  <c r="Q464" i="18"/>
  <c r="Q428" i="18"/>
  <c r="Q412" i="18"/>
  <c r="Q393" i="18"/>
  <c r="Q377" i="18"/>
  <c r="Q361" i="18"/>
  <c r="Q345" i="18"/>
  <c r="Q329" i="18"/>
  <c r="Q313" i="18"/>
  <c r="Q297" i="18"/>
  <c r="Q281" i="18"/>
  <c r="Q265" i="18"/>
  <c r="Q255" i="18"/>
  <c r="Q251" i="18"/>
  <c r="Q247" i="18"/>
  <c r="Q243" i="18"/>
  <c r="Q239" i="18"/>
  <c r="Q235" i="18"/>
  <c r="Q231" i="18"/>
  <c r="Q227" i="18"/>
  <c r="Q223" i="18"/>
  <c r="Q219" i="18"/>
  <c r="Q215" i="18"/>
  <c r="Q211" i="18"/>
  <c r="Q207" i="18"/>
  <c r="Q203" i="18"/>
  <c r="Q199" i="18"/>
  <c r="Q195" i="18"/>
  <c r="Q191" i="18"/>
  <c r="Q187" i="18"/>
  <c r="Q183" i="18"/>
  <c r="Q179" i="18"/>
  <c r="Q175" i="18"/>
  <c r="Q171" i="18"/>
  <c r="Q167" i="18"/>
  <c r="Q163" i="18"/>
  <c r="Q159" i="18"/>
  <c r="Q155" i="18"/>
  <c r="Q151" i="18"/>
  <c r="Q147" i="18"/>
  <c r="Q143" i="18"/>
  <c r="Q139" i="18"/>
  <c r="Q135" i="18"/>
  <c r="Q131" i="18"/>
  <c r="Q127" i="18"/>
  <c r="Q123" i="18"/>
  <c r="Q119" i="18"/>
  <c r="Q115" i="18"/>
  <c r="Q111" i="18"/>
  <c r="Q655" i="18"/>
  <c r="Q565" i="18"/>
  <c r="Q469" i="18"/>
  <c r="Q107" i="18"/>
  <c r="Q100" i="18"/>
  <c r="Q91" i="18"/>
  <c r="Q458" i="18"/>
  <c r="Q381" i="18"/>
  <c r="Q317" i="18"/>
  <c r="Q252" i="18"/>
  <c r="Q236" i="18"/>
  <c r="Q220" i="18"/>
  <c r="Q105" i="18"/>
  <c r="Q98" i="18"/>
  <c r="Q89" i="18"/>
  <c r="Q85" i="18"/>
  <c r="Q81" i="18"/>
  <c r="Q77" i="18"/>
  <c r="Q73" i="18"/>
  <c r="Q69" i="18"/>
  <c r="Q65" i="18"/>
  <c r="Q61" i="18"/>
  <c r="Q57" i="18"/>
  <c r="Q53" i="18"/>
  <c r="Q49" i="18"/>
  <c r="Q453" i="18"/>
  <c r="Q204" i="18"/>
  <c r="Q196" i="18"/>
  <c r="Q188" i="18"/>
  <c r="Q180" i="18"/>
  <c r="Q172" i="18"/>
  <c r="Q164" i="18"/>
  <c r="Q156" i="18"/>
  <c r="Q148" i="18"/>
  <c r="Q140" i="18"/>
  <c r="Q132" i="18"/>
  <c r="Q124" i="18"/>
  <c r="Q116" i="18"/>
  <c r="Q103" i="18"/>
  <c r="Q96" i="18"/>
  <c r="Q705" i="18"/>
  <c r="Q397" i="18"/>
  <c r="Q333" i="18"/>
  <c r="Q269" i="18"/>
  <c r="Q256" i="18"/>
  <c r="Q240" i="18"/>
  <c r="Q224" i="18"/>
  <c r="Q208" i="18"/>
  <c r="Q201" i="18"/>
  <c r="Q193" i="18"/>
  <c r="Q185" i="18"/>
  <c r="Q177" i="18"/>
  <c r="Q169" i="18"/>
  <c r="Q161" i="18"/>
  <c r="Q153" i="18"/>
  <c r="Q145" i="18"/>
  <c r="Q137" i="18"/>
  <c r="Q129" i="18"/>
  <c r="Q121" i="18"/>
  <c r="Q113" i="18"/>
  <c r="Q101" i="18"/>
  <c r="Q94" i="18"/>
  <c r="Q86" i="18"/>
  <c r="Q82" i="18"/>
  <c r="Q78" i="18"/>
  <c r="Q74" i="18"/>
  <c r="Q70" i="18"/>
  <c r="Q66" i="18"/>
  <c r="Q62" i="18"/>
  <c r="Q58" i="18"/>
  <c r="Q54" i="18"/>
  <c r="Q50" i="18"/>
  <c r="Q108" i="18"/>
  <c r="Q99" i="18"/>
  <c r="Q92" i="18"/>
  <c r="Q438" i="18"/>
  <c r="Q416" i="18"/>
  <c r="Q349" i="18"/>
  <c r="Q285" i="18"/>
  <c r="Q244" i="18"/>
  <c r="Q228" i="18"/>
  <c r="Q212" i="18"/>
  <c r="Q106" i="18"/>
  <c r="Q97" i="18"/>
  <c r="Q90" i="18"/>
  <c r="Q87" i="18"/>
  <c r="Q83" i="18"/>
  <c r="Q79" i="18"/>
  <c r="Q75" i="18"/>
  <c r="Q71" i="18"/>
  <c r="Q67" i="18"/>
  <c r="Q63" i="18"/>
  <c r="Q59" i="18"/>
  <c r="Q55" i="18"/>
  <c r="Q51" i="18"/>
  <c r="Q200" i="18"/>
  <c r="Q192" i="18"/>
  <c r="Q184" i="18"/>
  <c r="Q176" i="18"/>
  <c r="Q168" i="18"/>
  <c r="Q160" i="18"/>
  <c r="Q152" i="18"/>
  <c r="Q144" i="18"/>
  <c r="Q136" i="18"/>
  <c r="Q128" i="18"/>
  <c r="Q120" i="18"/>
  <c r="Q112" i="18"/>
  <c r="Q104" i="18"/>
  <c r="Q95" i="18"/>
  <c r="Q432" i="18"/>
  <c r="Q365" i="18"/>
  <c r="Q301" i="18"/>
  <c r="Q248" i="18"/>
  <c r="Q232" i="18"/>
  <c r="Q216" i="18"/>
  <c r="Q197" i="18"/>
  <c r="Q189" i="18"/>
  <c r="Q181" i="18"/>
  <c r="Q173" i="18"/>
  <c r="Q165" i="18"/>
  <c r="Q157" i="18"/>
  <c r="Q149" i="18"/>
  <c r="Q141" i="18"/>
  <c r="Q133" i="18"/>
  <c r="Q125" i="18"/>
  <c r="Q117" i="18"/>
  <c r="Q109" i="18"/>
  <c r="Q102" i="18"/>
  <c r="Q93" i="18"/>
  <c r="Q88" i="18"/>
  <c r="Q84" i="18"/>
  <c r="Q80" i="18"/>
  <c r="Q76" i="18"/>
  <c r="Q72" i="18"/>
  <c r="Q68" i="18"/>
  <c r="Q64" i="18"/>
  <c r="Q60" i="18"/>
  <c r="Q56" i="18"/>
  <c r="Q52" i="18"/>
  <c r="Q48" i="18"/>
  <c r="U38" i="18"/>
  <c r="T781" i="18"/>
  <c r="T766" i="18"/>
  <c r="T821" i="18"/>
  <c r="T890" i="18"/>
  <c r="T780" i="18"/>
  <c r="T794" i="18"/>
  <c r="T788" i="18"/>
  <c r="T757" i="18"/>
  <c r="T773" i="18"/>
  <c r="T852" i="18"/>
  <c r="T787" i="18"/>
  <c r="T836" i="18"/>
  <c r="T795" i="18"/>
  <c r="T830" i="18"/>
  <c r="T843" i="18"/>
  <c r="T902" i="18"/>
  <c r="T802" i="18"/>
  <c r="T837" i="18"/>
  <c r="T763" i="18"/>
  <c r="T758" i="18"/>
  <c r="T786" i="18"/>
  <c r="T774" i="18"/>
  <c r="T854" i="18"/>
  <c r="T860" i="18"/>
  <c r="T765" i="18"/>
  <c r="T901" i="18"/>
  <c r="T770" i="18"/>
  <c r="T829" i="18"/>
  <c r="T812" i="18"/>
  <c r="T1068" i="18"/>
  <c r="T1057" i="18"/>
  <c r="T1054" i="18"/>
  <c r="T1098" i="18"/>
  <c r="T1063" i="18"/>
  <c r="T1055" i="18"/>
  <c r="T1083" i="18"/>
  <c r="T1037" i="18"/>
  <c r="T1001" i="18"/>
  <c r="T1008" i="18"/>
  <c r="T997" i="18"/>
  <c r="T1002" i="18"/>
  <c r="T957" i="18"/>
  <c r="T962" i="18"/>
  <c r="T975" i="18"/>
  <c r="T944" i="18"/>
  <c r="T880" i="18"/>
  <c r="T990" i="18"/>
  <c r="T966" i="18"/>
  <c r="T953" i="18"/>
  <c r="T911" i="18"/>
  <c r="T969" i="18"/>
  <c r="T897" i="18"/>
  <c r="T932" i="18"/>
  <c r="T995" i="18"/>
  <c r="T906" i="18"/>
  <c r="T907" i="18"/>
  <c r="T894" i="18"/>
  <c r="T808" i="18"/>
  <c r="T869" i="18"/>
  <c r="T878" i="18"/>
  <c r="T839" i="18"/>
  <c r="T775" i="18"/>
  <c r="T825" i="18"/>
  <c r="T803" i="18"/>
  <c r="T778" i="18"/>
  <c r="T827" i="18"/>
  <c r="T755" i="18"/>
  <c r="T767" i="18"/>
  <c r="T804" i="18"/>
  <c r="T1060" i="18"/>
  <c r="T1049" i="18"/>
  <c r="T1046" i="18"/>
  <c r="T1090" i="18"/>
  <c r="T1059" i="18"/>
  <c r="T1048" i="18"/>
  <c r="T1040" i="18"/>
  <c r="T1029" i="18"/>
  <c r="T993" i="18"/>
  <c r="T1000" i="18"/>
  <c r="T989" i="18"/>
  <c r="T994" i="18"/>
  <c r="T1067" i="18"/>
  <c r="T954" i="18"/>
  <c r="T967" i="18"/>
  <c r="T936" i="18"/>
  <c r="T872" i="18"/>
  <c r="T979" i="18"/>
  <c r="T950" i="18"/>
  <c r="T952" i="18"/>
  <c r="T903" i="18"/>
  <c r="T968" i="18"/>
  <c r="T889" i="18"/>
  <c r="T918" i="18"/>
  <c r="T956" i="18"/>
  <c r="T899" i="18"/>
  <c r="T900" i="18"/>
  <c r="T874" i="18"/>
  <c r="T800" i="18"/>
  <c r="T861" i="18"/>
  <c r="T866" i="18"/>
  <c r="T831" i="18"/>
  <c r="T976" i="18"/>
  <c r="T817" i="18"/>
  <c r="T844" i="18"/>
  <c r="T893" i="18"/>
  <c r="T883" i="18"/>
  <c r="T867" i="18"/>
  <c r="T822" i="18"/>
  <c r="T756" i="18"/>
  <c r="T805" i="18"/>
  <c r="T1105" i="18"/>
  <c r="T1102" i="18"/>
  <c r="T1101" i="18"/>
  <c r="T1082" i="18"/>
  <c r="T1047" i="18"/>
  <c r="T1044" i="18"/>
  <c r="T1032" i="18"/>
  <c r="T1021" i="18"/>
  <c r="T985" i="18"/>
  <c r="T992" i="18"/>
  <c r="T981" i="18"/>
  <c r="T986" i="18"/>
  <c r="T1026" i="18"/>
  <c r="T946" i="18"/>
  <c r="T959" i="18"/>
  <c r="T928" i="18"/>
  <c r="T864" i="18"/>
  <c r="T958" i="18"/>
  <c r="T948" i="18"/>
  <c r="T949" i="18"/>
  <c r="T895" i="18"/>
  <c r="T945" i="18"/>
  <c r="T881" i="18"/>
  <c r="T882" i="18"/>
  <c r="T898" i="18"/>
  <c r="T892" i="18"/>
  <c r="T856" i="18"/>
  <c r="T792" i="18"/>
  <c r="T853" i="18"/>
  <c r="T862" i="18"/>
  <c r="T823" i="18"/>
  <c r="T809" i="18"/>
  <c r="T762" i="18"/>
  <c r="T796" i="18"/>
  <c r="T846" i="18"/>
  <c r="T820" i="18"/>
  <c r="T797" i="18"/>
  <c r="T772" i="18"/>
  <c r="T1097" i="18"/>
  <c r="T1094" i="18"/>
  <c r="T1093" i="18"/>
  <c r="T1074" i="18"/>
  <c r="T1039" i="18"/>
  <c r="T1036" i="18"/>
  <c r="T1024" i="18"/>
  <c r="T1013" i="18"/>
  <c r="T1051" i="18"/>
  <c r="T984" i="18"/>
  <c r="T1103" i="18"/>
  <c r="T1035" i="18"/>
  <c r="T1010" i="18"/>
  <c r="T1095" i="18"/>
  <c r="T951" i="18"/>
  <c r="T920" i="18"/>
  <c r="T1091" i="18"/>
  <c r="T941" i="18"/>
  <c r="T938" i="18"/>
  <c r="T947" i="18"/>
  <c r="T887" i="18"/>
  <c r="T937" i="18"/>
  <c r="T873" i="18"/>
  <c r="T875" i="18"/>
  <c r="T891" i="18"/>
  <c r="T885" i="18"/>
  <c r="T964" i="18"/>
  <c r="T848" i="18"/>
  <c r="T784" i="18"/>
  <c r="T845" i="18"/>
  <c r="T858" i="18"/>
  <c r="T815" i="18"/>
  <c r="T876" i="18"/>
  <c r="T801" i="18"/>
  <c r="T760" i="18"/>
  <c r="T771" i="18"/>
  <c r="T814" i="18"/>
  <c r="T835" i="18"/>
  <c r="T851" i="18"/>
  <c r="T859" i="18"/>
  <c r="T798" i="18"/>
  <c r="T826" i="18"/>
  <c r="T923" i="18"/>
  <c r="T1100" i="18"/>
  <c r="T1089" i="18"/>
  <c r="T1086" i="18"/>
  <c r="T1085" i="18"/>
  <c r="T1066" i="18"/>
  <c r="T1031" i="18"/>
  <c r="T1028" i="18"/>
  <c r="T1016" i="18"/>
  <c r="T1056" i="18"/>
  <c r="T1104" i="18"/>
  <c r="T1080" i="18"/>
  <c r="T1099" i="18"/>
  <c r="T1007" i="18"/>
  <c r="T1004" i="18"/>
  <c r="T1064" i="18"/>
  <c r="T1030" i="18"/>
  <c r="T912" i="18"/>
  <c r="T1071" i="18"/>
  <c r="T933" i="18"/>
  <c r="T930" i="18"/>
  <c r="T943" i="18"/>
  <c r="T879" i="18"/>
  <c r="T929" i="18"/>
  <c r="T865" i="18"/>
  <c r="T868" i="18"/>
  <c r="T884" i="18"/>
  <c r="T987" i="18"/>
  <c r="T955" i="18"/>
  <c r="T840" i="18"/>
  <c r="T776" i="18"/>
  <c r="T1045" i="18"/>
  <c r="T850" i="18"/>
  <c r="T807" i="18"/>
  <c r="T857" i="18"/>
  <c r="T793" i="18"/>
  <c r="T789" i="18"/>
  <c r="T838" i="18"/>
  <c r="T761" i="18"/>
  <c r="T813" i="18"/>
  <c r="T764" i="18"/>
  <c r="T790" i="18"/>
  <c r="T818" i="18"/>
  <c r="T819" i="18"/>
  <c r="T759" i="18"/>
  <c r="T1084" i="18"/>
  <c r="T1073" i="18"/>
  <c r="T1070" i="18"/>
  <c r="T1069" i="18"/>
  <c r="T1050" i="18"/>
  <c r="T1015" i="18"/>
  <c r="T1012" i="18"/>
  <c r="T1075" i="18"/>
  <c r="T1017" i="18"/>
  <c r="T1034" i="18"/>
  <c r="T1025" i="18"/>
  <c r="T1038" i="18"/>
  <c r="T973" i="18"/>
  <c r="T978" i="18"/>
  <c r="T998" i="18"/>
  <c r="T972" i="18"/>
  <c r="T896" i="18"/>
  <c r="T1011" i="18"/>
  <c r="T1019" i="18"/>
  <c r="T980" i="18"/>
  <c r="T927" i="18"/>
  <c r="T863" i="18"/>
  <c r="T913" i="18"/>
  <c r="T960" i="18"/>
  <c r="T926" i="18"/>
  <c r="T870" i="18"/>
  <c r="T939" i="18"/>
  <c r="T916" i="18"/>
  <c r="T824" i="18"/>
  <c r="T942" i="18"/>
  <c r="T915" i="18"/>
  <c r="T855" i="18"/>
  <c r="T791" i="18"/>
  <c r="T841" i="18"/>
  <c r="T777" i="18"/>
  <c r="T782" i="18"/>
  <c r="T810" i="18"/>
  <c r="T940" i="18"/>
  <c r="T1065" i="18"/>
  <c r="T1088" i="18"/>
  <c r="T1018" i="18"/>
  <c r="T970" i="18"/>
  <c r="T999" i="18"/>
  <c r="T1003" i="18"/>
  <c r="T1027" i="18"/>
  <c r="T931" i="18"/>
  <c r="T833" i="18"/>
  <c r="T917" i="18"/>
  <c r="T779" i="18"/>
  <c r="T1078" i="18"/>
  <c r="T1020" i="18"/>
  <c r="T1041" i="18"/>
  <c r="T1014" i="18"/>
  <c r="T925" i="18"/>
  <c r="T921" i="18"/>
  <c r="T977" i="18"/>
  <c r="T961" i="18"/>
  <c r="T785" i="18"/>
  <c r="T834" i="18"/>
  <c r="T1062" i="18"/>
  <c r="T1087" i="18"/>
  <c r="T1005" i="18"/>
  <c r="T982" i="18"/>
  <c r="T1006" i="18"/>
  <c r="T905" i="18"/>
  <c r="T914" i="18"/>
  <c r="T909" i="18"/>
  <c r="T769" i="18"/>
  <c r="T1077" i="18"/>
  <c r="T1079" i="18"/>
  <c r="T1072" i="18"/>
  <c r="T983" i="18"/>
  <c r="T1042" i="18"/>
  <c r="T996" i="18"/>
  <c r="T922" i="18"/>
  <c r="T842" i="18"/>
  <c r="T828" i="18"/>
  <c r="T1061" i="18"/>
  <c r="T1052" i="18"/>
  <c r="T1022" i="18"/>
  <c r="T971" i="18"/>
  <c r="T974" i="18"/>
  <c r="T934" i="18"/>
  <c r="T910" i="18"/>
  <c r="T847" i="18"/>
  <c r="T886" i="18"/>
  <c r="T1092" i="18"/>
  <c r="T1058" i="18"/>
  <c r="T1033" i="18"/>
  <c r="T991" i="18"/>
  <c r="T904" i="18"/>
  <c r="T935" i="18"/>
  <c r="T963" i="18"/>
  <c r="T832" i="18"/>
  <c r="T799" i="18"/>
  <c r="T1096" i="18"/>
  <c r="T965" i="18"/>
  <c r="T919" i="18"/>
  <c r="T816" i="18"/>
  <c r="T806" i="18"/>
  <c r="T1023" i="18"/>
  <c r="T988" i="18"/>
  <c r="T871" i="18"/>
  <c r="T877" i="18"/>
  <c r="T849" i="18"/>
  <c r="T811" i="18"/>
  <c r="T1076" i="18"/>
  <c r="T1009" i="18"/>
  <c r="T888" i="18"/>
  <c r="T924" i="18"/>
  <c r="T783" i="18"/>
  <c r="T1081" i="18"/>
  <c r="T1053" i="18"/>
  <c r="T1043" i="18"/>
  <c r="T768" i="18"/>
  <c r="T908" i="18"/>
  <c r="AO69" i="5"/>
  <c r="L111" i="5" s="1"/>
  <c r="AM69" i="5"/>
  <c r="L109" i="5" s="1"/>
  <c r="AN69" i="5"/>
  <c r="L110" i="5" s="1"/>
  <c r="AI69" i="5"/>
  <c r="L106" i="5" s="1"/>
  <c r="AK69" i="5"/>
  <c r="L108" i="5" s="1"/>
  <c r="AJ69" i="5"/>
  <c r="L107" i="5" s="1"/>
  <c r="AO78" i="5"/>
  <c r="U111" i="5" s="1"/>
  <c r="AN78" i="5"/>
  <c r="U110" i="5" s="1"/>
  <c r="AM78" i="5"/>
  <c r="U109" i="5" s="1"/>
  <c r="AJ78" i="5"/>
  <c r="U107" i="5" s="1"/>
  <c r="U6" i="5" s="1"/>
  <c r="AK78" i="5"/>
  <c r="U108" i="5" s="1"/>
  <c r="AI78" i="5"/>
  <c r="U106" i="5" s="1"/>
  <c r="S32" i="4"/>
  <c r="T31" i="4"/>
  <c r="J8" i="24"/>
  <c r="G7" i="24"/>
  <c r="AT10" i="22"/>
  <c r="AG32" i="4"/>
  <c r="AF31" i="4"/>
  <c r="I32" i="4"/>
  <c r="J31" i="4"/>
  <c r="AH34" i="4"/>
  <c r="AH35" i="4" s="1"/>
  <c r="AG36" i="4"/>
  <c r="P25" i="5"/>
  <c r="T36" i="4"/>
  <c r="S34" i="4"/>
  <c r="S35" i="4" s="1"/>
  <c r="AL19" i="5" l="1"/>
  <c r="BE8" i="20"/>
  <c r="BF9" i="20"/>
  <c r="H12" i="26"/>
  <c r="K79" i="26"/>
  <c r="K88" i="26" s="1"/>
  <c r="N48" i="26"/>
  <c r="E79" i="26"/>
  <c r="E296" i="26" s="1"/>
  <c r="H48" i="26"/>
  <c r="H13" i="26"/>
  <c r="H82" i="26" s="1"/>
  <c r="H217" i="26" s="1"/>
  <c r="N15" i="26"/>
  <c r="N84" i="26" s="1"/>
  <c r="O84" i="26" s="1"/>
  <c r="N16" i="26"/>
  <c r="O16" i="26" s="1"/>
  <c r="E15" i="26"/>
  <c r="E84" i="26" s="1"/>
  <c r="F84" i="26" s="1"/>
  <c r="H15" i="26"/>
  <c r="H84" i="26" s="1"/>
  <c r="I84" i="26" s="1"/>
  <c r="K15" i="26"/>
  <c r="K84" i="26" s="1"/>
  <c r="L84" i="26" s="1"/>
  <c r="H16" i="26"/>
  <c r="I16" i="26" s="1"/>
  <c r="K16" i="26"/>
  <c r="E16" i="26"/>
  <c r="E85" i="26" s="1"/>
  <c r="F85" i="26" s="1"/>
  <c r="L111" i="1"/>
  <c r="L112" i="1" s="1"/>
  <c r="H34" i="4"/>
  <c r="H35" i="4" s="1"/>
  <c r="I36" i="4"/>
  <c r="AQ7" i="5"/>
  <c r="AR7" i="5"/>
  <c r="X24" i="5"/>
  <c r="W25" i="5"/>
  <c r="Z8" i="18"/>
  <c r="Y14" i="18"/>
  <c r="Y5" i="18"/>
  <c r="X11" i="18"/>
  <c r="Z6" i="18"/>
  <c r="Y12" i="18"/>
  <c r="Z7" i="18"/>
  <c r="Y13" i="18"/>
  <c r="Z9" i="18"/>
  <c r="Y15" i="18"/>
  <c r="U11" i="5" a="1"/>
  <c r="U11" i="5" s="1"/>
  <c r="D101" i="5"/>
  <c r="F100" i="5"/>
  <c r="AL22" i="5"/>
  <c r="AM16" i="5"/>
  <c r="AM21" i="5" s="1"/>
  <c r="AL18" i="5"/>
  <c r="R751" i="18"/>
  <c r="R747" i="18"/>
  <c r="R743" i="18"/>
  <c r="R739" i="18"/>
  <c r="R735" i="18"/>
  <c r="R731" i="18"/>
  <c r="R727" i="18"/>
  <c r="R723" i="18"/>
  <c r="R719" i="18"/>
  <c r="R715" i="18"/>
  <c r="R711" i="18"/>
  <c r="R707" i="18"/>
  <c r="R703" i="18"/>
  <c r="R699" i="18"/>
  <c r="R695" i="18"/>
  <c r="R691" i="18"/>
  <c r="R687" i="18"/>
  <c r="R683" i="18"/>
  <c r="R679" i="18"/>
  <c r="R675" i="18"/>
  <c r="R671" i="18"/>
  <c r="R667" i="18"/>
  <c r="R663" i="18"/>
  <c r="R659" i="18"/>
  <c r="R655" i="18"/>
  <c r="R651" i="18"/>
  <c r="R647" i="18"/>
  <c r="R643" i="18"/>
  <c r="R639" i="18"/>
  <c r="R635" i="18"/>
  <c r="R631" i="18"/>
  <c r="R627" i="18"/>
  <c r="R623" i="18"/>
  <c r="R619" i="18"/>
  <c r="R615" i="18"/>
  <c r="R611" i="18"/>
  <c r="R607" i="18"/>
  <c r="R603" i="18"/>
  <c r="R599" i="18"/>
  <c r="R595" i="18"/>
  <c r="R591" i="18"/>
  <c r="R587" i="18"/>
  <c r="R752" i="18"/>
  <c r="R748" i="18"/>
  <c r="R744" i="18"/>
  <c r="R740" i="18"/>
  <c r="R736" i="18"/>
  <c r="R732" i="18"/>
  <c r="R728" i="18"/>
  <c r="R724" i="18"/>
  <c r="R720" i="18"/>
  <c r="R716" i="18"/>
  <c r="R712" i="18"/>
  <c r="R750" i="18"/>
  <c r="R721" i="18"/>
  <c r="R718" i="18"/>
  <c r="R696" i="18"/>
  <c r="R694" i="18"/>
  <c r="R681" i="18"/>
  <c r="R664" i="18"/>
  <c r="R662" i="18"/>
  <c r="R660" i="18"/>
  <c r="R653" i="18"/>
  <c r="R646" i="18"/>
  <c r="R644" i="18"/>
  <c r="R637" i="18"/>
  <c r="R630" i="18"/>
  <c r="R628" i="18"/>
  <c r="R621" i="18"/>
  <c r="R614" i="18"/>
  <c r="R612" i="18"/>
  <c r="R605" i="18"/>
  <c r="R598" i="18"/>
  <c r="R596" i="18"/>
  <c r="R589" i="18"/>
  <c r="R583" i="18"/>
  <c r="R579" i="18"/>
  <c r="R575" i="18"/>
  <c r="R571" i="18"/>
  <c r="R567" i="18"/>
  <c r="R563" i="18"/>
  <c r="R559" i="18"/>
  <c r="R555" i="18"/>
  <c r="R551" i="18"/>
  <c r="R547" i="18"/>
  <c r="R543" i="18"/>
  <c r="R539" i="18"/>
  <c r="R535" i="18"/>
  <c r="R531" i="18"/>
  <c r="R527" i="18"/>
  <c r="R523" i="18"/>
  <c r="R519" i="18"/>
  <c r="R515" i="18"/>
  <c r="R511" i="18"/>
  <c r="R507" i="18"/>
  <c r="R503" i="18"/>
  <c r="R499" i="18"/>
  <c r="R495" i="18"/>
  <c r="R491" i="18"/>
  <c r="R487" i="18"/>
  <c r="R483" i="18"/>
  <c r="R479" i="18"/>
  <c r="R475" i="18"/>
  <c r="R471" i="18"/>
  <c r="R467" i="18"/>
  <c r="R463" i="18"/>
  <c r="R749" i="18"/>
  <c r="R746" i="18"/>
  <c r="R717" i="18"/>
  <c r="R714" i="18"/>
  <c r="R700" i="18"/>
  <c r="R698" i="18"/>
  <c r="R685" i="18"/>
  <c r="R668" i="18"/>
  <c r="R666" i="18"/>
  <c r="R745" i="18"/>
  <c r="R742" i="18"/>
  <c r="R713" i="18"/>
  <c r="R704" i="18"/>
  <c r="R702" i="18"/>
  <c r="R689" i="18"/>
  <c r="R672" i="18"/>
  <c r="R670" i="18"/>
  <c r="R658" i="18"/>
  <c r="R656" i="18"/>
  <c r="R649" i="18"/>
  <c r="R642" i="18"/>
  <c r="R640" i="18"/>
  <c r="R633" i="18"/>
  <c r="R626" i="18"/>
  <c r="R624" i="18"/>
  <c r="R617" i="18"/>
  <c r="R610" i="18"/>
  <c r="R608" i="18"/>
  <c r="R601" i="18"/>
  <c r="R594" i="18"/>
  <c r="R592" i="18"/>
  <c r="R584" i="18"/>
  <c r="R580" i="18"/>
  <c r="R576" i="18"/>
  <c r="R572" i="18"/>
  <c r="R568" i="18"/>
  <c r="R564" i="18"/>
  <c r="R560" i="18"/>
  <c r="R556" i="18"/>
  <c r="R552" i="18"/>
  <c r="R548" i="18"/>
  <c r="R544" i="18"/>
  <c r="R540" i="18"/>
  <c r="R536" i="18"/>
  <c r="R532" i="18"/>
  <c r="R528" i="18"/>
  <c r="R524" i="18"/>
  <c r="R520" i="18"/>
  <c r="R516" i="18"/>
  <c r="R512" i="18"/>
  <c r="R508" i="18"/>
  <c r="R504" i="18"/>
  <c r="R500" i="18"/>
  <c r="R496" i="18"/>
  <c r="R492" i="18"/>
  <c r="R488" i="18"/>
  <c r="R484" i="18"/>
  <c r="R480" i="18"/>
  <c r="R476" i="18"/>
  <c r="R472" i="18"/>
  <c r="R468" i="18"/>
  <c r="R464" i="18"/>
  <c r="R741" i="18"/>
  <c r="R738" i="18"/>
  <c r="R708" i="18"/>
  <c r="R706" i="18"/>
  <c r="R693" i="18"/>
  <c r="R676" i="18"/>
  <c r="R674" i="18"/>
  <c r="R733" i="18"/>
  <c r="R730" i="18"/>
  <c r="R701" i="18"/>
  <c r="R684" i="18"/>
  <c r="R682" i="18"/>
  <c r="R669" i="18"/>
  <c r="R654" i="18"/>
  <c r="R616" i="18"/>
  <c r="R602" i="18"/>
  <c r="R597" i="18"/>
  <c r="R726" i="18"/>
  <c r="R709" i="18"/>
  <c r="R697" i="18"/>
  <c r="R692" i="18"/>
  <c r="R686" i="18"/>
  <c r="R680" i="18"/>
  <c r="R625" i="18"/>
  <c r="R620" i="18"/>
  <c r="R606" i="18"/>
  <c r="R574" i="18"/>
  <c r="R566" i="18"/>
  <c r="R558" i="18"/>
  <c r="R550" i="18"/>
  <c r="R542" i="18"/>
  <c r="R534" i="18"/>
  <c r="R526" i="18"/>
  <c r="R518" i="18"/>
  <c r="R510" i="18"/>
  <c r="R502" i="18"/>
  <c r="R494" i="18"/>
  <c r="R486" i="18"/>
  <c r="R478" i="18"/>
  <c r="R470" i="18"/>
  <c r="R460" i="18"/>
  <c r="R456" i="18"/>
  <c r="R452" i="18"/>
  <c r="R448" i="18"/>
  <c r="R444" i="18"/>
  <c r="R440" i="18"/>
  <c r="R436" i="18"/>
  <c r="R734" i="18"/>
  <c r="R725" i="18"/>
  <c r="R648" i="18"/>
  <c r="R634" i="18"/>
  <c r="R629" i="18"/>
  <c r="R673" i="18"/>
  <c r="R657" i="18"/>
  <c r="R652" i="18"/>
  <c r="R638" i="18"/>
  <c r="R600" i="18"/>
  <c r="R586" i="18"/>
  <c r="R573" i="18"/>
  <c r="R565" i="18"/>
  <c r="R557" i="18"/>
  <c r="R549" i="18"/>
  <c r="R541" i="18"/>
  <c r="R533" i="18"/>
  <c r="R525" i="18"/>
  <c r="R517" i="18"/>
  <c r="R509" i="18"/>
  <c r="R501" i="18"/>
  <c r="R493" i="18"/>
  <c r="R485" i="18"/>
  <c r="R477" i="18"/>
  <c r="R473" i="18"/>
  <c r="R466" i="18"/>
  <c r="R461" i="18"/>
  <c r="R457" i="18"/>
  <c r="R453" i="18"/>
  <c r="R449" i="18"/>
  <c r="R445" i="18"/>
  <c r="R441" i="18"/>
  <c r="R722" i="18"/>
  <c r="R632" i="18"/>
  <c r="R618" i="18"/>
  <c r="R613" i="18"/>
  <c r="R585" i="18"/>
  <c r="R578" i="18"/>
  <c r="R570" i="18"/>
  <c r="R562" i="18"/>
  <c r="R554" i="18"/>
  <c r="R546" i="18"/>
  <c r="R538" i="18"/>
  <c r="R530" i="18"/>
  <c r="R522" i="18"/>
  <c r="R514" i="18"/>
  <c r="R506" i="18"/>
  <c r="R498" i="18"/>
  <c r="R490" i="18"/>
  <c r="R482" i="18"/>
  <c r="R469" i="18"/>
  <c r="R462" i="18"/>
  <c r="R458" i="18"/>
  <c r="R454" i="18"/>
  <c r="R737" i="18"/>
  <c r="R665" i="18"/>
  <c r="R529" i="18"/>
  <c r="R439" i="18"/>
  <c r="R710" i="18"/>
  <c r="R678" i="18"/>
  <c r="R588" i="18"/>
  <c r="R521" i="18"/>
  <c r="R443" i="18"/>
  <c r="R435" i="18"/>
  <c r="R431" i="18"/>
  <c r="R427" i="18"/>
  <c r="R423" i="18"/>
  <c r="R419" i="18"/>
  <c r="R415" i="18"/>
  <c r="R411" i="18"/>
  <c r="R407" i="18"/>
  <c r="R403" i="18"/>
  <c r="R396" i="18"/>
  <c r="R392" i="18"/>
  <c r="R388" i="18"/>
  <c r="R384" i="18"/>
  <c r="R380" i="18"/>
  <c r="R376" i="18"/>
  <c r="R372" i="18"/>
  <c r="R368" i="18"/>
  <c r="R364" i="18"/>
  <c r="R360" i="18"/>
  <c r="R356" i="18"/>
  <c r="R352" i="18"/>
  <c r="R348" i="18"/>
  <c r="R344" i="18"/>
  <c r="R340" i="18"/>
  <c r="R336" i="18"/>
  <c r="R332" i="18"/>
  <c r="R328" i="18"/>
  <c r="R324" i="18"/>
  <c r="R320" i="18"/>
  <c r="R316" i="18"/>
  <c r="R312" i="18"/>
  <c r="R308" i="18"/>
  <c r="R304" i="18"/>
  <c r="R300" i="18"/>
  <c r="R296" i="18"/>
  <c r="R292" i="18"/>
  <c r="R288" i="18"/>
  <c r="R284" i="18"/>
  <c r="R280" i="18"/>
  <c r="R276" i="18"/>
  <c r="R272" i="18"/>
  <c r="R268" i="18"/>
  <c r="R264" i="18"/>
  <c r="R260" i="18"/>
  <c r="R729" i="18"/>
  <c r="R677" i="18"/>
  <c r="R661" i="18"/>
  <c r="R650" i="18"/>
  <c r="R636" i="18"/>
  <c r="R577" i="18"/>
  <c r="R513" i="18"/>
  <c r="R459" i="18"/>
  <c r="R447" i="18"/>
  <c r="R705" i="18"/>
  <c r="R690" i="18"/>
  <c r="R622" i="18"/>
  <c r="R609" i="18"/>
  <c r="R569" i="18"/>
  <c r="R505" i="18"/>
  <c r="R455" i="18"/>
  <c r="R438" i="18"/>
  <c r="R432" i="18"/>
  <c r="R428" i="18"/>
  <c r="R424" i="18"/>
  <c r="R420" i="18"/>
  <c r="R416" i="18"/>
  <c r="R412" i="18"/>
  <c r="R408" i="18"/>
  <c r="R404" i="18"/>
  <c r="R397" i="18"/>
  <c r="R393" i="18"/>
  <c r="R389" i="18"/>
  <c r="R385" i="18"/>
  <c r="R381" i="18"/>
  <c r="R377" i="18"/>
  <c r="R373" i="18"/>
  <c r="R369" i="18"/>
  <c r="R365" i="18"/>
  <c r="R361" i="18"/>
  <c r="R357" i="18"/>
  <c r="R353" i="18"/>
  <c r="R349" i="18"/>
  <c r="R345" i="18"/>
  <c r="R341" i="18"/>
  <c r="R337" i="18"/>
  <c r="R333" i="18"/>
  <c r="R329" i="18"/>
  <c r="R325" i="18"/>
  <c r="R321" i="18"/>
  <c r="R317" i="18"/>
  <c r="R313" i="18"/>
  <c r="R309" i="18"/>
  <c r="R305" i="18"/>
  <c r="R301" i="18"/>
  <c r="R297" i="18"/>
  <c r="R293" i="18"/>
  <c r="R289" i="18"/>
  <c r="R285" i="18"/>
  <c r="R281" i="18"/>
  <c r="R277" i="18"/>
  <c r="R273" i="18"/>
  <c r="R269" i="18"/>
  <c r="R265" i="18"/>
  <c r="R261" i="18"/>
  <c r="R645" i="18"/>
  <c r="R582" i="18"/>
  <c r="R553" i="18"/>
  <c r="R489" i="18"/>
  <c r="R451" i="18"/>
  <c r="R446" i="18"/>
  <c r="R433" i="18"/>
  <c r="R429" i="18"/>
  <c r="R425" i="18"/>
  <c r="R421" i="18"/>
  <c r="R417" i="18"/>
  <c r="R413" i="18"/>
  <c r="R409" i="18"/>
  <c r="R405" i="18"/>
  <c r="R398" i="18"/>
  <c r="R394" i="18"/>
  <c r="R390" i="18"/>
  <c r="R386" i="18"/>
  <c r="R382" i="18"/>
  <c r="R378" i="18"/>
  <c r="R374" i="18"/>
  <c r="R370" i="18"/>
  <c r="R366" i="18"/>
  <c r="R362" i="18"/>
  <c r="R358" i="18"/>
  <c r="R354" i="18"/>
  <c r="R350" i="18"/>
  <c r="R346" i="18"/>
  <c r="R342" i="18"/>
  <c r="R338" i="18"/>
  <c r="R334" i="18"/>
  <c r="R330" i="18"/>
  <c r="R326" i="18"/>
  <c r="R322" i="18"/>
  <c r="R318" i="18"/>
  <c r="R314" i="18"/>
  <c r="R310" i="18"/>
  <c r="R306" i="18"/>
  <c r="R302" i="18"/>
  <c r="R298" i="18"/>
  <c r="R294" i="18"/>
  <c r="R290" i="18"/>
  <c r="R286" i="18"/>
  <c r="R282" i="18"/>
  <c r="R278" i="18"/>
  <c r="R274" i="18"/>
  <c r="R270" i="18"/>
  <c r="R266" i="18"/>
  <c r="R262" i="18"/>
  <c r="R604" i="18"/>
  <c r="R593" i="18"/>
  <c r="R581" i="18"/>
  <c r="R545" i="18"/>
  <c r="R481" i="18"/>
  <c r="R465" i="18"/>
  <c r="R641" i="18"/>
  <c r="R590" i="18"/>
  <c r="R474" i="18"/>
  <c r="R437" i="18"/>
  <c r="R426" i="18"/>
  <c r="R410" i="18"/>
  <c r="R391" i="18"/>
  <c r="R375" i="18"/>
  <c r="R359" i="18"/>
  <c r="R343" i="18"/>
  <c r="R327" i="18"/>
  <c r="R311" i="18"/>
  <c r="R295" i="18"/>
  <c r="R279" i="18"/>
  <c r="R263" i="18"/>
  <c r="R257" i="18"/>
  <c r="R253" i="18"/>
  <c r="R249" i="18"/>
  <c r="R245" i="18"/>
  <c r="R241" i="18"/>
  <c r="R237" i="18"/>
  <c r="R233" i="18"/>
  <c r="R229" i="18"/>
  <c r="R225" i="18"/>
  <c r="R221" i="18"/>
  <c r="R217" i="18"/>
  <c r="R213" i="18"/>
  <c r="R209" i="18"/>
  <c r="R205" i="18"/>
  <c r="R201" i="18"/>
  <c r="R197" i="18"/>
  <c r="R193" i="18"/>
  <c r="R189" i="18"/>
  <c r="R185" i="18"/>
  <c r="R181" i="18"/>
  <c r="R177" i="18"/>
  <c r="R173" i="18"/>
  <c r="R169" i="18"/>
  <c r="R165" i="18"/>
  <c r="R161" i="18"/>
  <c r="R157" i="18"/>
  <c r="R153" i="18"/>
  <c r="R149" i="18"/>
  <c r="R145" i="18"/>
  <c r="R141" i="18"/>
  <c r="R137" i="18"/>
  <c r="R133" i="18"/>
  <c r="R129" i="18"/>
  <c r="R125" i="18"/>
  <c r="R121" i="18"/>
  <c r="R117" i="18"/>
  <c r="R113" i="18"/>
  <c r="R109" i="18"/>
  <c r="R105" i="18"/>
  <c r="R101" i="18"/>
  <c r="R97" i="18"/>
  <c r="R93" i="18"/>
  <c r="R89" i="18"/>
  <c r="R688" i="18"/>
  <c r="R497" i="18"/>
  <c r="R442" i="18"/>
  <c r="R450" i="18"/>
  <c r="R434" i="18"/>
  <c r="R418" i="18"/>
  <c r="R402" i="18"/>
  <c r="R383" i="18"/>
  <c r="R367" i="18"/>
  <c r="R351" i="18"/>
  <c r="R335" i="18"/>
  <c r="R319" i="18"/>
  <c r="R303" i="18"/>
  <c r="R287" i="18"/>
  <c r="R271" i="18"/>
  <c r="R255" i="18"/>
  <c r="R251" i="18"/>
  <c r="R247" i="18"/>
  <c r="R243" i="18"/>
  <c r="R239" i="18"/>
  <c r="R235" i="18"/>
  <c r="R231" i="18"/>
  <c r="R227" i="18"/>
  <c r="R223" i="18"/>
  <c r="R219" i="18"/>
  <c r="R215" i="18"/>
  <c r="R211" i="18"/>
  <c r="R207" i="18"/>
  <c r="R203" i="18"/>
  <c r="R199" i="18"/>
  <c r="R195" i="18"/>
  <c r="R191" i="18"/>
  <c r="R187" i="18"/>
  <c r="R183" i="18"/>
  <c r="R179" i="18"/>
  <c r="R175" i="18"/>
  <c r="R171" i="18"/>
  <c r="R167" i="18"/>
  <c r="R163" i="18"/>
  <c r="R159" i="18"/>
  <c r="R155" i="18"/>
  <c r="R151" i="18"/>
  <c r="R147" i="18"/>
  <c r="R143" i="18"/>
  <c r="R139" i="18"/>
  <c r="R135" i="18"/>
  <c r="R131" i="18"/>
  <c r="R127" i="18"/>
  <c r="R123" i="18"/>
  <c r="R119" i="18"/>
  <c r="R115" i="18"/>
  <c r="R111" i="18"/>
  <c r="R107" i="18"/>
  <c r="R103" i="18"/>
  <c r="R99" i="18"/>
  <c r="R95" i="18"/>
  <c r="R91" i="18"/>
  <c r="R537" i="18"/>
  <c r="R422" i="18"/>
  <c r="R406" i="18"/>
  <c r="R387" i="18"/>
  <c r="R371" i="18"/>
  <c r="R355" i="18"/>
  <c r="R339" i="18"/>
  <c r="R323" i="18"/>
  <c r="R307" i="18"/>
  <c r="R291" i="18"/>
  <c r="R275" i="18"/>
  <c r="R259" i="18"/>
  <c r="R256" i="18"/>
  <c r="R252" i="18"/>
  <c r="R248" i="18"/>
  <c r="R244" i="18"/>
  <c r="R240" i="18"/>
  <c r="R236" i="18"/>
  <c r="R232" i="18"/>
  <c r="R228" i="18"/>
  <c r="R224" i="18"/>
  <c r="R220" i="18"/>
  <c r="R216" i="18"/>
  <c r="R212" i="18"/>
  <c r="R208" i="18"/>
  <c r="R430" i="18"/>
  <c r="R363" i="18"/>
  <c r="R299" i="18"/>
  <c r="R258" i="18"/>
  <c r="R242" i="18"/>
  <c r="R226" i="18"/>
  <c r="R210" i="18"/>
  <c r="R202" i="18"/>
  <c r="R194" i="18"/>
  <c r="R186" i="18"/>
  <c r="R178" i="18"/>
  <c r="R170" i="18"/>
  <c r="R162" i="18"/>
  <c r="R154" i="18"/>
  <c r="R146" i="18"/>
  <c r="R138" i="18"/>
  <c r="R130" i="18"/>
  <c r="R122" i="18"/>
  <c r="R114" i="18"/>
  <c r="R98" i="18"/>
  <c r="R85" i="18"/>
  <c r="R81" i="18"/>
  <c r="R77" i="18"/>
  <c r="R73" i="18"/>
  <c r="R69" i="18"/>
  <c r="R65" i="18"/>
  <c r="R61" i="18"/>
  <c r="R57" i="18"/>
  <c r="R53" i="18"/>
  <c r="R49" i="18"/>
  <c r="R561" i="18"/>
  <c r="R204" i="18"/>
  <c r="R196" i="18"/>
  <c r="R188" i="18"/>
  <c r="R180" i="18"/>
  <c r="R172" i="18"/>
  <c r="R164" i="18"/>
  <c r="R156" i="18"/>
  <c r="R148" i="18"/>
  <c r="R140" i="18"/>
  <c r="R132" i="18"/>
  <c r="R124" i="18"/>
  <c r="R116" i="18"/>
  <c r="R96" i="18"/>
  <c r="R379" i="18"/>
  <c r="R315" i="18"/>
  <c r="R246" i="18"/>
  <c r="R230" i="18"/>
  <c r="R214" i="18"/>
  <c r="R94" i="18"/>
  <c r="R86" i="18"/>
  <c r="R82" i="18"/>
  <c r="R78" i="18"/>
  <c r="R74" i="18"/>
  <c r="R70" i="18"/>
  <c r="R66" i="18"/>
  <c r="R62" i="18"/>
  <c r="R58" i="18"/>
  <c r="R54" i="18"/>
  <c r="R50" i="18"/>
  <c r="R108" i="18"/>
  <c r="R92" i="18"/>
  <c r="R395" i="18"/>
  <c r="R331" i="18"/>
  <c r="R267" i="18"/>
  <c r="R250" i="18"/>
  <c r="R234" i="18"/>
  <c r="R218" i="18"/>
  <c r="R198" i="18"/>
  <c r="R190" i="18"/>
  <c r="R182" i="18"/>
  <c r="R174" i="18"/>
  <c r="R166" i="18"/>
  <c r="R158" i="18"/>
  <c r="R150" i="18"/>
  <c r="R142" i="18"/>
  <c r="R134" i="18"/>
  <c r="R126" i="18"/>
  <c r="R118" i="18"/>
  <c r="R110" i="18"/>
  <c r="R106" i="18"/>
  <c r="R90" i="18"/>
  <c r="R87" i="18"/>
  <c r="R83" i="18"/>
  <c r="R79" i="18"/>
  <c r="R75" i="18"/>
  <c r="R71" i="18"/>
  <c r="R67" i="18"/>
  <c r="R63" i="18"/>
  <c r="R59" i="18"/>
  <c r="R55" i="18"/>
  <c r="R51" i="18"/>
  <c r="R200" i="18"/>
  <c r="R192" i="18"/>
  <c r="R184" i="18"/>
  <c r="R176" i="18"/>
  <c r="R168" i="18"/>
  <c r="R160" i="18"/>
  <c r="R152" i="18"/>
  <c r="R144" i="18"/>
  <c r="R136" i="18"/>
  <c r="R128" i="18"/>
  <c r="R120" i="18"/>
  <c r="R112" i="18"/>
  <c r="R104" i="18"/>
  <c r="R414" i="18"/>
  <c r="R347" i="18"/>
  <c r="R283" i="18"/>
  <c r="R254" i="18"/>
  <c r="R238" i="18"/>
  <c r="R222" i="18"/>
  <c r="R206" i="18"/>
  <c r="R102" i="18"/>
  <c r="R88" i="18"/>
  <c r="R84" i="18"/>
  <c r="R80" i="18"/>
  <c r="R76" i="18"/>
  <c r="R72" i="18"/>
  <c r="R68" i="18"/>
  <c r="R64" i="18"/>
  <c r="R60" i="18"/>
  <c r="R56" i="18"/>
  <c r="R52" i="18"/>
  <c r="R48" i="18"/>
  <c r="R100" i="18"/>
  <c r="M4" i="18"/>
  <c r="M44" i="18" s="1"/>
  <c r="L754" i="18"/>
  <c r="L401" i="18"/>
  <c r="L47" i="18"/>
  <c r="V38" i="18"/>
  <c r="U895" i="18"/>
  <c r="U793" i="18"/>
  <c r="U841" i="18"/>
  <c r="U1003" i="18"/>
  <c r="U787" i="18"/>
  <c r="U865" i="18"/>
  <c r="U760" i="18"/>
  <c r="U888" i="18"/>
  <c r="U808" i="18"/>
  <c r="U843" i="18"/>
  <c r="U757" i="18"/>
  <c r="U795" i="18"/>
  <c r="U835" i="18"/>
  <c r="U849" i="18"/>
  <c r="U803" i="18"/>
  <c r="U784" i="18"/>
  <c r="U857" i="18"/>
  <c r="U1089" i="18"/>
  <c r="U1070" i="18"/>
  <c r="U1067" i="18"/>
  <c r="U1103" i="18"/>
  <c r="U1092" i="18"/>
  <c r="U1012" i="18"/>
  <c r="U1085" i="18"/>
  <c r="U1077" i="18"/>
  <c r="U1030" i="18"/>
  <c r="U1100" i="18"/>
  <c r="U981" i="18"/>
  <c r="U1068" i="18"/>
  <c r="U999" i="18"/>
  <c r="U970" i="18"/>
  <c r="U959" i="18"/>
  <c r="U1039" i="18"/>
  <c r="U909" i="18"/>
  <c r="U965" i="18"/>
  <c r="U953" i="18"/>
  <c r="U1024" i="18"/>
  <c r="U924" i="18"/>
  <c r="U1027" i="18"/>
  <c r="U910" i="18"/>
  <c r="U984" i="18"/>
  <c r="U883" i="18"/>
  <c r="U945" i="18"/>
  <c r="U937" i="18"/>
  <c r="U929" i="18"/>
  <c r="U821" i="18"/>
  <c r="U880" i="18"/>
  <c r="U875" i="18"/>
  <c r="U852" i="18"/>
  <c r="U788" i="18"/>
  <c r="U846" i="18"/>
  <c r="U782" i="18"/>
  <c r="U944" i="18"/>
  <c r="U775" i="18"/>
  <c r="U802" i="18"/>
  <c r="U758" i="18"/>
  <c r="U771" i="18"/>
  <c r="U799" i="18"/>
  <c r="U851" i="18"/>
  <c r="U856" i="18"/>
  <c r="U761" i="18"/>
  <c r="U859" i="18"/>
  <c r="U776" i="18"/>
  <c r="U1081" i="18"/>
  <c r="U1062" i="18"/>
  <c r="U1059" i="18"/>
  <c r="U1095" i="18"/>
  <c r="U1088" i="18"/>
  <c r="U1084" i="18"/>
  <c r="U1058" i="18"/>
  <c r="U1053" i="18"/>
  <c r="U1014" i="18"/>
  <c r="U1096" i="18"/>
  <c r="U1076" i="18"/>
  <c r="U1064" i="18"/>
  <c r="U991" i="18"/>
  <c r="U962" i="18"/>
  <c r="U951" i="18"/>
  <c r="U979" i="18"/>
  <c r="U901" i="18"/>
  <c r="U950" i="18"/>
  <c r="U952" i="18"/>
  <c r="U996" i="18"/>
  <c r="U916" i="18"/>
  <c r="U977" i="18"/>
  <c r="U902" i="18"/>
  <c r="U969" i="18"/>
  <c r="U928" i="18"/>
  <c r="U920" i="18"/>
  <c r="U921" i="18"/>
  <c r="U922" i="18"/>
  <c r="U813" i="18"/>
  <c r="U872" i="18"/>
  <c r="U855" i="18"/>
  <c r="U844" i="18"/>
  <c r="U780" i="18"/>
  <c r="U838" i="18"/>
  <c r="U774" i="18"/>
  <c r="U767" i="18"/>
  <c r="U832" i="18"/>
  <c r="U768" i="18"/>
  <c r="U779" i="18"/>
  <c r="U800" i="18"/>
  <c r="U824" i="18"/>
  <c r="U809" i="18"/>
  <c r="U777" i="18"/>
  <c r="U816" i="18"/>
  <c r="U756" i="18"/>
  <c r="U833" i="18"/>
  <c r="U1073" i="18"/>
  <c r="U1054" i="18"/>
  <c r="U1051" i="18"/>
  <c r="U1087" i="18"/>
  <c r="U1061" i="18"/>
  <c r="U1080" i="18"/>
  <c r="U1052" i="18"/>
  <c r="U1045" i="18"/>
  <c r="U1006" i="18"/>
  <c r="U1069" i="18"/>
  <c r="U1072" i="18"/>
  <c r="U1057" i="18"/>
  <c r="U983" i="18"/>
  <c r="U954" i="18"/>
  <c r="U1043" i="18"/>
  <c r="U958" i="18"/>
  <c r="U893" i="18"/>
  <c r="U938" i="18"/>
  <c r="U949" i="18"/>
  <c r="U987" i="18"/>
  <c r="U908" i="18"/>
  <c r="U976" i="18"/>
  <c r="U894" i="18"/>
  <c r="U963" i="18"/>
  <c r="U919" i="18"/>
  <c r="U913" i="18"/>
  <c r="U914" i="18"/>
  <c r="U915" i="18"/>
  <c r="U805" i="18"/>
  <c r="U866" i="18"/>
  <c r="U847" i="18"/>
  <c r="U836" i="18"/>
  <c r="U772" i="18"/>
  <c r="U830" i="18"/>
  <c r="U755" i="18"/>
  <c r="U871" i="18"/>
  <c r="U792" i="18"/>
  <c r="U810" i="18"/>
  <c r="U834" i="18"/>
  <c r="U769" i="18"/>
  <c r="U1065" i="18"/>
  <c r="U1046" i="18"/>
  <c r="U1098" i="18"/>
  <c r="U1079" i="18"/>
  <c r="U1048" i="18"/>
  <c r="U1056" i="18"/>
  <c r="U1037" i="18"/>
  <c r="U1042" i="18"/>
  <c r="U998" i="18"/>
  <c r="U1031" i="18"/>
  <c r="U1038" i="18"/>
  <c r="U1050" i="18"/>
  <c r="U1032" i="18"/>
  <c r="U1023" i="18"/>
  <c r="U995" i="18"/>
  <c r="U957" i="18"/>
  <c r="U885" i="18"/>
  <c r="U930" i="18"/>
  <c r="U947" i="18"/>
  <c r="U961" i="18"/>
  <c r="U900" i="18"/>
  <c r="U955" i="18"/>
  <c r="U886" i="18"/>
  <c r="U936" i="18"/>
  <c r="U912" i="18"/>
  <c r="U906" i="18"/>
  <c r="U907" i="18"/>
  <c r="U861" i="18"/>
  <c r="U797" i="18"/>
  <c r="U858" i="18"/>
  <c r="U839" i="18"/>
  <c r="U828" i="18"/>
  <c r="U923" i="18"/>
  <c r="U822" i="18"/>
  <c r="U763" i="18"/>
  <c r="U766" i="18"/>
  <c r="U762" i="18"/>
  <c r="U770" i="18"/>
  <c r="U765" i="18"/>
  <c r="U826" i="18"/>
  <c r="U1102" i="18"/>
  <c r="U1099" i="18"/>
  <c r="U1090" i="18"/>
  <c r="U1071" i="18"/>
  <c r="U1044" i="18"/>
  <c r="U1041" i="18"/>
  <c r="U1029" i="18"/>
  <c r="U1034" i="18"/>
  <c r="U990" i="18"/>
  <c r="U1015" i="18"/>
  <c r="U1022" i="18"/>
  <c r="U1035" i="18"/>
  <c r="U1010" i="18"/>
  <c r="U1001" i="18"/>
  <c r="U972" i="18"/>
  <c r="U941" i="18"/>
  <c r="U877" i="18"/>
  <c r="U1008" i="18"/>
  <c r="U943" i="18"/>
  <c r="U960" i="18"/>
  <c r="U892" i="18"/>
  <c r="U942" i="18"/>
  <c r="U878" i="18"/>
  <c r="U911" i="18"/>
  <c r="U905" i="18"/>
  <c r="U899" i="18"/>
  <c r="U1000" i="18"/>
  <c r="U853" i="18"/>
  <c r="U789" i="18"/>
  <c r="U850" i="18"/>
  <c r="U889" i="18"/>
  <c r="U820" i="18"/>
  <c r="U881" i="18"/>
  <c r="U814" i="18"/>
  <c r="U794" i="18"/>
  <c r="U785" i="18"/>
  <c r="U817" i="18"/>
  <c r="U827" i="18"/>
  <c r="U764" i="18"/>
  <c r="U1094" i="18"/>
  <c r="U1091" i="18"/>
  <c r="U1082" i="18"/>
  <c r="U1063" i="18"/>
  <c r="U1036" i="18"/>
  <c r="U1033" i="18"/>
  <c r="U1021" i="18"/>
  <c r="U1026" i="18"/>
  <c r="U982" i="18"/>
  <c r="U1005" i="18"/>
  <c r="U1002" i="18"/>
  <c r="U1019" i="18"/>
  <c r="U1004" i="18"/>
  <c r="U985" i="18"/>
  <c r="U964" i="18"/>
  <c r="U933" i="18"/>
  <c r="U869" i="18"/>
  <c r="U980" i="18"/>
  <c r="U935" i="18"/>
  <c r="U946" i="18"/>
  <c r="U884" i="18"/>
  <c r="U934" i="18"/>
  <c r="U870" i="18"/>
  <c r="U904" i="18"/>
  <c r="U898" i="18"/>
  <c r="U863" i="18"/>
  <c r="U993" i="18"/>
  <c r="U845" i="18"/>
  <c r="U781" i="18"/>
  <c r="U842" i="18"/>
  <c r="U887" i="18"/>
  <c r="U812" i="18"/>
  <c r="U879" i="18"/>
  <c r="U806" i="18"/>
  <c r="U896" i="18"/>
  <c r="U874" i="18"/>
  <c r="U801" i="18"/>
  <c r="U823" i="18"/>
  <c r="U815" i="18"/>
  <c r="U791" i="18"/>
  <c r="U819" i="18"/>
  <c r="U840" i="18"/>
  <c r="U1105" i="18"/>
  <c r="U1086" i="18"/>
  <c r="U1083" i="18"/>
  <c r="U1074" i="18"/>
  <c r="U1055" i="18"/>
  <c r="U1028" i="18"/>
  <c r="U1025" i="18"/>
  <c r="U1013" i="18"/>
  <c r="U1018" i="18"/>
  <c r="U1101" i="18"/>
  <c r="U997" i="18"/>
  <c r="U994" i="18"/>
  <c r="U1011" i="18"/>
  <c r="U988" i="18"/>
  <c r="U975" i="18"/>
  <c r="U956" i="18"/>
  <c r="U925" i="18"/>
  <c r="U992" i="18"/>
  <c r="U974" i="18"/>
  <c r="U927" i="18"/>
  <c r="U940" i="18"/>
  <c r="U876" i="18"/>
  <c r="U926" i="18"/>
  <c r="U862" i="18"/>
  <c r="U897" i="18"/>
  <c r="U1040" i="18"/>
  <c r="U968" i="18"/>
  <c r="U971" i="18"/>
  <c r="U837" i="18"/>
  <c r="U773" i="18"/>
  <c r="U903" i="18"/>
  <c r="U867" i="18"/>
  <c r="U804" i="18"/>
  <c r="U864" i="18"/>
  <c r="U798" i="18"/>
  <c r="U759" i="18"/>
  <c r="U786" i="18"/>
  <c r="U1047" i="18"/>
  <c r="U1007" i="18"/>
  <c r="U932" i="18"/>
  <c r="U829" i="18"/>
  <c r="U1020" i="18"/>
  <c r="U978" i="18"/>
  <c r="U868" i="18"/>
  <c r="U882" i="18"/>
  <c r="U818" i="18"/>
  <c r="U848" i="18"/>
  <c r="U807" i="18"/>
  <c r="U1017" i="18"/>
  <c r="U967" i="18"/>
  <c r="U918" i="18"/>
  <c r="U891" i="18"/>
  <c r="U783" i="18"/>
  <c r="U1104" i="18"/>
  <c r="U948" i="18"/>
  <c r="U1009" i="18"/>
  <c r="U860" i="18"/>
  <c r="U825" i="18"/>
  <c r="U778" i="18"/>
  <c r="U1097" i="18"/>
  <c r="U1049" i="18"/>
  <c r="U917" i="18"/>
  <c r="U890" i="18"/>
  <c r="U796" i="18"/>
  <c r="U1078" i="18"/>
  <c r="U1093" i="18"/>
  <c r="U966" i="18"/>
  <c r="U1016" i="18"/>
  <c r="U854" i="18"/>
  <c r="U873" i="18"/>
  <c r="U831" i="18"/>
  <c r="U1066" i="18"/>
  <c r="U986" i="18"/>
  <c r="U931" i="18"/>
  <c r="U811" i="18"/>
  <c r="U1075" i="18"/>
  <c r="U989" i="18"/>
  <c r="U973" i="18"/>
  <c r="U939" i="18"/>
  <c r="U790" i="18"/>
  <c r="U1060" i="18"/>
  <c r="AO70" i="5"/>
  <c r="M111" i="5" s="1"/>
  <c r="AM70" i="5"/>
  <c r="M109" i="5" s="1"/>
  <c r="AN70" i="5"/>
  <c r="M110" i="5" s="1"/>
  <c r="AI79" i="5"/>
  <c r="V106" i="5" s="1"/>
  <c r="AK79" i="5"/>
  <c r="V108" i="5" s="1"/>
  <c r="AJ79" i="5"/>
  <c r="V107" i="5" s="1"/>
  <c r="V6" i="5" s="1"/>
  <c r="AO79" i="5"/>
  <c r="V111" i="5" s="1"/>
  <c r="AM79" i="5"/>
  <c r="V109" i="5" s="1"/>
  <c r="AN79" i="5"/>
  <c r="V110" i="5" s="1"/>
  <c r="J7" i="24"/>
  <c r="G6" i="24"/>
  <c r="H32" i="4"/>
  <c r="I31" i="4"/>
  <c r="S36" i="4"/>
  <c r="R34" i="4"/>
  <c r="R35" i="4" s="1"/>
  <c r="S31" i="4"/>
  <c r="R32" i="4"/>
  <c r="AH36" i="4"/>
  <c r="AI34" i="4"/>
  <c r="AI35" i="4" s="1"/>
  <c r="AG31" i="4"/>
  <c r="AH32" i="4"/>
  <c r="AI70" i="5"/>
  <c r="M106" i="5" s="1"/>
  <c r="AJ70" i="5"/>
  <c r="M107" i="5" s="1"/>
  <c r="AK70" i="5"/>
  <c r="M108" i="5" s="1"/>
  <c r="AM19" i="5" l="1"/>
  <c r="BE7" i="20"/>
  <c r="BF8" i="20"/>
  <c r="K12" i="26"/>
  <c r="K81" i="26" s="1"/>
  <c r="L81" i="26" s="1"/>
  <c r="N12" i="26"/>
  <c r="O12" i="26" s="1"/>
  <c r="K96" i="26"/>
  <c r="K146" i="26" s="1"/>
  <c r="E81" i="26"/>
  <c r="F81" i="26" s="1"/>
  <c r="E88" i="26"/>
  <c r="E48" i="26"/>
  <c r="E87" i="26"/>
  <c r="F87" i="26" s="1"/>
  <c r="F11" i="26"/>
  <c r="F172" i="26" s="1"/>
  <c r="F173" i="26" s="1"/>
  <c r="F174" i="26" s="1"/>
  <c r="G34" i="4"/>
  <c r="G35" i="4" s="1"/>
  <c r="K93" i="26"/>
  <c r="L93" i="26" s="1"/>
  <c r="K87" i="26"/>
  <c r="K323" i="26" s="1"/>
  <c r="E295" i="26"/>
  <c r="E297" i="26" s="1"/>
  <c r="K296" i="26"/>
  <c r="K48" i="26"/>
  <c r="K295" i="26"/>
  <c r="O79" i="26"/>
  <c r="O295" i="26" s="1"/>
  <c r="N79" i="26"/>
  <c r="N88" i="26" s="1"/>
  <c r="O88" i="26" s="1"/>
  <c r="E93" i="26"/>
  <c r="F93" i="26" s="1"/>
  <c r="L11" i="26"/>
  <c r="L172" i="26" s="1"/>
  <c r="L173" i="26" s="1"/>
  <c r="L174" i="26" s="1"/>
  <c r="I11" i="26"/>
  <c r="I172" i="26" s="1"/>
  <c r="I173" i="26" s="1"/>
  <c r="I174" i="26" s="1"/>
  <c r="H79" i="26"/>
  <c r="H88" i="26" s="1"/>
  <c r="I13" i="26"/>
  <c r="K13" i="26"/>
  <c r="K82" i="26" s="1"/>
  <c r="K217" i="26" s="1"/>
  <c r="E13" i="26"/>
  <c r="E82" i="26" s="1"/>
  <c r="E217" i="26" s="1"/>
  <c r="F13" i="26"/>
  <c r="L13" i="26"/>
  <c r="O13" i="26"/>
  <c r="I82" i="26"/>
  <c r="I217" i="26" s="1"/>
  <c r="N13" i="26"/>
  <c r="N82" i="26" s="1"/>
  <c r="N217" i="26" s="1"/>
  <c r="N85" i="26"/>
  <c r="O85" i="26" s="1"/>
  <c r="O27" i="26" s="1"/>
  <c r="O222" i="26" s="1"/>
  <c r="O15" i="26"/>
  <c r="O26" i="26" s="1"/>
  <c r="O178" i="26" s="1"/>
  <c r="F15" i="26"/>
  <c r="F26" i="26" s="1"/>
  <c r="F178" i="26" s="1"/>
  <c r="E26" i="26"/>
  <c r="E178" i="26" s="1"/>
  <c r="H26" i="26"/>
  <c r="H178" i="26" s="1"/>
  <c r="I15" i="26"/>
  <c r="I26" i="26" s="1"/>
  <c r="I178" i="26" s="1"/>
  <c r="L15" i="26"/>
  <c r="L26" i="26" s="1"/>
  <c r="L178" i="26" s="1"/>
  <c r="K26" i="26"/>
  <c r="K178" i="26" s="1"/>
  <c r="E27" i="26"/>
  <c r="L16" i="26"/>
  <c r="F16" i="26"/>
  <c r="F27" i="26" s="1"/>
  <c r="F222" i="26" s="1"/>
  <c r="F233" i="26" s="1"/>
  <c r="K85" i="26"/>
  <c r="L85" i="26" s="1"/>
  <c r="H85" i="26"/>
  <c r="I85" i="26" s="1"/>
  <c r="I27" i="26" s="1"/>
  <c r="I222" i="26" s="1"/>
  <c r="N26" i="26"/>
  <c r="N178" i="26" s="1"/>
  <c r="H36" i="4"/>
  <c r="H215" i="26"/>
  <c r="H224" i="26" s="1"/>
  <c r="H225" i="26" s="1"/>
  <c r="H227" i="26" s="1"/>
  <c r="H81" i="26"/>
  <c r="I81" i="26" s="1"/>
  <c r="I12" i="26"/>
  <c r="H232" i="26"/>
  <c r="K30" i="26"/>
  <c r="L88" i="26"/>
  <c r="AQ8" i="5"/>
  <c r="AR8" i="5"/>
  <c r="Y24" i="5"/>
  <c r="X25" i="5"/>
  <c r="AA7" i="18"/>
  <c r="Z13" i="18"/>
  <c r="AA6" i="18"/>
  <c r="Z12" i="18"/>
  <c r="Z5" i="18"/>
  <c r="Y11" i="18"/>
  <c r="AA9" i="18"/>
  <c r="Z15" i="18"/>
  <c r="AA8" i="18"/>
  <c r="Z14" i="18"/>
  <c r="V11" i="5" a="1"/>
  <c r="V11" i="5" s="1"/>
  <c r="F101" i="5"/>
  <c r="AM22" i="5"/>
  <c r="AN16" i="5"/>
  <c r="AN21" i="5" s="1"/>
  <c r="AM18" i="5"/>
  <c r="S55" i="18"/>
  <c r="S494" i="18"/>
  <c r="S127" i="18"/>
  <c r="S60" i="18"/>
  <c r="S310" i="18"/>
  <c r="S119" i="18"/>
  <c r="S106" i="18"/>
  <c r="S600" i="18"/>
  <c r="S529" i="18"/>
  <c r="S542" i="18"/>
  <c r="S652" i="18"/>
  <c r="S531" i="18"/>
  <c r="S613" i="18"/>
  <c r="S536" i="18"/>
  <c r="S651" i="18"/>
  <c r="S525" i="18"/>
  <c r="S521" i="18"/>
  <c r="S522" i="18"/>
  <c r="S443" i="18"/>
  <c r="S480" i="18"/>
  <c r="S646" i="18"/>
  <c r="S469" i="18"/>
  <c r="S513" i="18"/>
  <c r="S442" i="18"/>
  <c r="S457" i="18"/>
  <c r="S372" i="18"/>
  <c r="S420" i="18"/>
  <c r="S353" i="18"/>
  <c r="S417" i="18"/>
  <c r="S614" i="18"/>
  <c r="S379" i="18"/>
  <c r="S307" i="18"/>
  <c r="S243" i="18"/>
  <c r="S701" i="18"/>
  <c r="S387" i="18"/>
  <c r="S304" i="18"/>
  <c r="S240" i="18"/>
  <c r="S656" i="18"/>
  <c r="S349" i="18"/>
  <c r="S285" i="18"/>
  <c r="S221" i="18"/>
  <c r="S436" i="18"/>
  <c r="S338" i="18"/>
  <c r="S498" i="18"/>
  <c r="S367" i="18"/>
  <c r="S295" i="18"/>
  <c r="S329" i="18"/>
  <c r="S194" i="18"/>
  <c r="S132" i="18"/>
  <c r="S540" i="18"/>
  <c r="S266" i="18"/>
  <c r="S169" i="18"/>
  <c r="S105" i="18"/>
  <c r="S383" i="18"/>
  <c r="S231" i="18"/>
  <c r="S150" i="18"/>
  <c r="S86" i="18"/>
  <c r="S332" i="18"/>
  <c r="S179" i="18"/>
  <c r="S115" i="18"/>
  <c r="S51" i="18"/>
  <c r="S324" i="18"/>
  <c r="S176" i="18"/>
  <c r="S112" i="18"/>
  <c r="S281" i="18"/>
  <c r="S584" i="18"/>
  <c r="S130" i="18"/>
  <c r="S149" i="18"/>
  <c r="S191" i="18"/>
  <c r="S52" i="18"/>
  <c r="S308" i="18"/>
  <c r="S527" i="18"/>
  <c r="S508" i="18"/>
  <c r="S48" i="18"/>
  <c r="S82" i="18"/>
  <c r="S53" i="18"/>
  <c r="S255" i="18"/>
  <c r="S750" i="18"/>
  <c r="S683" i="18"/>
  <c r="S635" i="18"/>
  <c r="S711" i="18"/>
  <c r="S731" i="18"/>
  <c r="S712" i="18"/>
  <c r="S706" i="18"/>
  <c r="S588" i="18"/>
  <c r="S669" i="18"/>
  <c r="S622" i="18"/>
  <c r="S569" i="18"/>
  <c r="S598" i="18"/>
  <c r="S650" i="18"/>
  <c r="S739" i="18"/>
  <c r="S592" i="18"/>
  <c r="S748" i="18"/>
  <c r="S534" i="18"/>
  <c r="S587" i="18"/>
  <c r="S523" i="18"/>
  <c r="S608" i="18"/>
  <c r="S528" i="18"/>
  <c r="S642" i="18"/>
  <c r="S517" i="18"/>
  <c r="S505" i="18"/>
  <c r="S506" i="18"/>
  <c r="S435" i="18"/>
  <c r="S472" i="18"/>
  <c r="S549" i="18"/>
  <c r="S461" i="18"/>
  <c r="S497" i="18"/>
  <c r="S434" i="18"/>
  <c r="S441" i="18"/>
  <c r="S364" i="18"/>
  <c r="S412" i="18"/>
  <c r="S609" i="18"/>
  <c r="S409" i="18"/>
  <c r="S568" i="18"/>
  <c r="S378" i="18"/>
  <c r="S299" i="18"/>
  <c r="S235" i="18"/>
  <c r="S538" i="18"/>
  <c r="S386" i="18"/>
  <c r="S296" i="18"/>
  <c r="S232" i="18"/>
  <c r="S460" i="18"/>
  <c r="S341" i="18"/>
  <c r="S277" i="18"/>
  <c r="S213" i="18"/>
  <c r="S406" i="18"/>
  <c r="S330" i="18"/>
  <c r="S492" i="18"/>
  <c r="S351" i="18"/>
  <c r="S287" i="18"/>
  <c r="S302" i="18"/>
  <c r="S193" i="18"/>
  <c r="S124" i="18"/>
  <c r="S408" i="18"/>
  <c r="S265" i="18"/>
  <c r="S161" i="18"/>
  <c r="S97" i="18"/>
  <c r="S350" i="18"/>
  <c r="S230" i="18"/>
  <c r="S142" i="18"/>
  <c r="S78" i="18"/>
  <c r="S305" i="18"/>
  <c r="S171" i="18"/>
  <c r="S107" i="18"/>
  <c r="S550" i="18"/>
  <c r="S297" i="18"/>
  <c r="S168" i="18"/>
  <c r="S104" i="18"/>
  <c r="S242" i="18"/>
  <c r="S316" i="18"/>
  <c r="S103" i="18"/>
  <c r="S122" i="18"/>
  <c r="S178" i="18"/>
  <c r="S278" i="18"/>
  <c r="S271" i="18"/>
  <c r="S416" i="18"/>
  <c r="S433" i="18"/>
  <c r="S391" i="18"/>
  <c r="S71" i="18"/>
  <c r="S95" i="18"/>
  <c r="S744" i="18"/>
  <c r="S745" i="18"/>
  <c r="S627" i="18"/>
  <c r="S703" i="18"/>
  <c r="S708" i="18"/>
  <c r="S709" i="18"/>
  <c r="S684" i="18"/>
  <c r="S580" i="18"/>
  <c r="S664" i="18"/>
  <c r="S617" i="18"/>
  <c r="S700" i="18"/>
  <c r="S590" i="18"/>
  <c r="S640" i="18"/>
  <c r="S723" i="18"/>
  <c r="S591" i="18"/>
  <c r="S716" i="18"/>
  <c r="S526" i="18"/>
  <c r="S586" i="18"/>
  <c r="S515" i="18"/>
  <c r="S594" i="18"/>
  <c r="S520" i="18"/>
  <c r="S581" i="18"/>
  <c r="S509" i="18"/>
  <c r="S725" i="18"/>
  <c r="S491" i="18"/>
  <c r="S427" i="18"/>
  <c r="S464" i="18"/>
  <c r="S535" i="18"/>
  <c r="S453" i="18"/>
  <c r="S490" i="18"/>
  <c r="S426" i="18"/>
  <c r="S425" i="18"/>
  <c r="S356" i="18"/>
  <c r="S404" i="18"/>
  <c r="S589" i="18"/>
  <c r="S398" i="18"/>
  <c r="S479" i="18"/>
  <c r="S357" i="18"/>
  <c r="S291" i="18"/>
  <c r="S227" i="18"/>
  <c r="S524" i="18"/>
  <c r="S365" i="18"/>
  <c r="S288" i="18"/>
  <c r="S224" i="18"/>
  <c r="S446" i="18"/>
  <c r="S333" i="18"/>
  <c r="S269" i="18"/>
  <c r="S205" i="18"/>
  <c r="S405" i="18"/>
  <c r="S322" i="18"/>
  <c r="S478" i="18"/>
  <c r="S343" i="18"/>
  <c r="S666" i="18"/>
  <c r="S292" i="18"/>
  <c r="S180" i="18"/>
  <c r="S116" i="18"/>
  <c r="S371" i="18"/>
  <c r="S244" i="18"/>
  <c r="S153" i="18"/>
  <c r="S89" i="18"/>
  <c r="S340" i="18"/>
  <c r="S210" i="18"/>
  <c r="S134" i="18"/>
  <c r="S70" i="18"/>
  <c r="S260" i="18"/>
  <c r="S163" i="18"/>
  <c r="S99" i="18"/>
  <c r="S484" i="18"/>
  <c r="S268" i="18"/>
  <c r="S160" i="18"/>
  <c r="S96" i="18"/>
  <c r="S183" i="18"/>
  <c r="S270" i="18"/>
  <c r="S337" i="18"/>
  <c r="S421" i="18"/>
  <c r="S151" i="18"/>
  <c r="S228" i="18"/>
  <c r="S190" i="18"/>
  <c r="S363" i="18"/>
  <c r="S375" i="18"/>
  <c r="S345" i="18"/>
  <c r="S199" i="18"/>
  <c r="S133" i="18"/>
  <c r="S749" i="18"/>
  <c r="S721" i="18"/>
  <c r="S726" i="18"/>
  <c r="S619" i="18"/>
  <c r="S699" i="18"/>
  <c r="S704" i="18"/>
  <c r="S695" i="18"/>
  <c r="S675" i="18"/>
  <c r="S572" i="18"/>
  <c r="S659" i="18"/>
  <c r="S612" i="18"/>
  <c r="S672" i="18"/>
  <c r="S582" i="18"/>
  <c r="S625" i="18"/>
  <c r="S571" i="18"/>
  <c r="S655" i="18"/>
  <c r="S518" i="18"/>
  <c r="S565" i="18"/>
  <c r="S507" i="18"/>
  <c r="S573" i="18"/>
  <c r="S512" i="18"/>
  <c r="S559" i="18"/>
  <c r="S501" i="18"/>
  <c r="S707" i="18"/>
  <c r="S483" i="18"/>
  <c r="S624" i="18"/>
  <c r="S456" i="18"/>
  <c r="S516" i="18"/>
  <c r="S445" i="18"/>
  <c r="S482" i="18"/>
  <c r="S546" i="18"/>
  <c r="S415" i="18"/>
  <c r="S514" i="18"/>
  <c r="S393" i="18"/>
  <c r="S530" i="18"/>
  <c r="S390" i="18"/>
  <c r="S465" i="18"/>
  <c r="S347" i="18"/>
  <c r="S283" i="18"/>
  <c r="S219" i="18"/>
  <c r="S481" i="18"/>
  <c r="S344" i="18"/>
  <c r="S280" i="18"/>
  <c r="S216" i="18"/>
  <c r="S419" i="18"/>
  <c r="S325" i="18"/>
  <c r="S261" i="18"/>
  <c r="S197" i="18"/>
  <c r="S381" i="18"/>
  <c r="S314" i="18"/>
  <c r="S452" i="18"/>
  <c r="S335" i="18"/>
  <c r="S604" i="18"/>
  <c r="S258" i="18"/>
  <c r="S172" i="18"/>
  <c r="S108" i="18"/>
  <c r="S355" i="18"/>
  <c r="S223" i="18"/>
  <c r="S145" i="18"/>
  <c r="S81" i="18"/>
  <c r="S313" i="18"/>
  <c r="S209" i="18"/>
  <c r="S126" i="18"/>
  <c r="S62" i="18"/>
  <c r="S239" i="18"/>
  <c r="S155" i="18"/>
  <c r="S91" i="18"/>
  <c r="S447" i="18"/>
  <c r="S247" i="18"/>
  <c r="S152" i="18"/>
  <c r="S88" i="18"/>
  <c r="S175" i="18"/>
  <c r="S254" i="18"/>
  <c r="S326" i="18"/>
  <c r="S300" i="18"/>
  <c r="S141" i="18"/>
  <c r="S125" i="18"/>
  <c r="S117" i="18"/>
  <c r="S318" i="18"/>
  <c r="S250" i="18"/>
  <c r="S262" i="18"/>
  <c r="S249" i="18"/>
  <c r="S90" i="18"/>
  <c r="S740" i="18"/>
  <c r="S719" i="18"/>
  <c r="S698" i="18"/>
  <c r="S611" i="18"/>
  <c r="S688" i="18"/>
  <c r="S680" i="18"/>
  <c r="S691" i="18"/>
  <c r="S647" i="18"/>
  <c r="S564" i="18"/>
  <c r="S648" i="18"/>
  <c r="S607" i="18"/>
  <c r="S630" i="18"/>
  <c r="S574" i="18"/>
  <c r="S620" i="18"/>
  <c r="S570" i="18"/>
  <c r="S643" i="18"/>
  <c r="S510" i="18"/>
  <c r="S563" i="18"/>
  <c r="S499" i="18"/>
  <c r="S562" i="18"/>
  <c r="S504" i="18"/>
  <c r="S557" i="18"/>
  <c r="S696" i="18"/>
  <c r="S682" i="18"/>
  <c r="S475" i="18"/>
  <c r="S543" i="18"/>
  <c r="S448" i="18"/>
  <c r="S500" i="18"/>
  <c r="S437" i="18"/>
  <c r="S474" i="18"/>
  <c r="S511" i="18"/>
  <c r="S407" i="18"/>
  <c r="S486" i="18"/>
  <c r="S385" i="18"/>
  <c r="S487" i="18"/>
  <c r="S382" i="18"/>
  <c r="S428" i="18"/>
  <c r="S339" i="18"/>
  <c r="S275" i="18"/>
  <c r="S211" i="18"/>
  <c r="S444" i="18"/>
  <c r="S336" i="18"/>
  <c r="S272" i="18"/>
  <c r="S208" i="18"/>
  <c r="S418" i="18"/>
  <c r="S317" i="18"/>
  <c r="S253" i="18"/>
  <c r="S189" i="18"/>
  <c r="S360" i="18"/>
  <c r="S306" i="18"/>
  <c r="S414" i="18"/>
  <c r="S327" i="18"/>
  <c r="S468" i="18"/>
  <c r="S257" i="18"/>
  <c r="S164" i="18"/>
  <c r="S100" i="18"/>
  <c r="S348" i="18"/>
  <c r="S222" i="18"/>
  <c r="S137" i="18"/>
  <c r="S73" i="18"/>
  <c r="S286" i="18"/>
  <c r="S188" i="18"/>
  <c r="S118" i="18"/>
  <c r="S54" i="18"/>
  <c r="S238" i="18"/>
  <c r="S147" i="18"/>
  <c r="S83" i="18"/>
  <c r="S422" i="18"/>
  <c r="S246" i="18"/>
  <c r="S144" i="18"/>
  <c r="S80" i="18"/>
  <c r="S165" i="18"/>
  <c r="S220" i="18"/>
  <c r="S276" i="18"/>
  <c r="S289" i="18"/>
  <c r="S114" i="18"/>
  <c r="S63" i="18"/>
  <c r="S85" i="18"/>
  <c r="S233" i="18"/>
  <c r="S182" i="18"/>
  <c r="S212" i="18"/>
  <c r="S173" i="18"/>
  <c r="S154" i="18"/>
  <c r="S734" i="18"/>
  <c r="S717" i="18"/>
  <c r="S677" i="18"/>
  <c r="S603" i="18"/>
  <c r="S668" i="18"/>
  <c r="S679" i="18"/>
  <c r="S690" i="18"/>
  <c r="S637" i="18"/>
  <c r="S556" i="18"/>
  <c r="S638" i="18"/>
  <c r="S602" i="18"/>
  <c r="S628" i="18"/>
  <c r="S566" i="18"/>
  <c r="S610" i="18"/>
  <c r="S545" i="18"/>
  <c r="S579" i="18"/>
  <c r="S671" i="18"/>
  <c r="S547" i="18"/>
  <c r="S623" i="18"/>
  <c r="S560" i="18"/>
  <c r="S674" i="18"/>
  <c r="S541" i="18"/>
  <c r="S567" i="18"/>
  <c r="S576" i="18"/>
  <c r="S459" i="18"/>
  <c r="S503" i="18"/>
  <c r="S432" i="18"/>
  <c r="S485" i="18"/>
  <c r="S575" i="18"/>
  <c r="S458" i="18"/>
  <c r="S489" i="18"/>
  <c r="S388" i="18"/>
  <c r="S454" i="18"/>
  <c r="S369" i="18"/>
  <c r="S455" i="18"/>
  <c r="S366" i="18"/>
  <c r="S403" i="18"/>
  <c r="S323" i="18"/>
  <c r="S259" i="18"/>
  <c r="S195" i="18"/>
  <c r="S411" i="18"/>
  <c r="S320" i="18"/>
  <c r="S256" i="18"/>
  <c r="S192" i="18"/>
  <c r="S394" i="18"/>
  <c r="S301" i="18"/>
  <c r="S237" i="18"/>
  <c r="S476" i="18"/>
  <c r="S352" i="18"/>
  <c r="S290" i="18"/>
  <c r="S389" i="18"/>
  <c r="S311" i="18"/>
  <c r="S431" i="18"/>
  <c r="S215" i="18"/>
  <c r="S148" i="18"/>
  <c r="S84" i="18"/>
  <c r="S294" i="18"/>
  <c r="S201" i="18"/>
  <c r="S121" i="18"/>
  <c r="S57" i="18"/>
  <c r="S273" i="18"/>
  <c r="S166" i="18"/>
  <c r="S102" i="18"/>
  <c r="S376" i="18"/>
  <c r="S217" i="18"/>
  <c r="S131" i="18"/>
  <c r="S67" i="18"/>
  <c r="S354" i="18"/>
  <c r="S225" i="18"/>
  <c r="S128" i="18"/>
  <c r="S64" i="18"/>
  <c r="S111" i="18"/>
  <c r="S167" i="18"/>
  <c r="S198" i="18"/>
  <c r="S241" i="18"/>
  <c r="S77" i="18"/>
  <c r="S50" i="18"/>
  <c r="S66" i="18"/>
  <c r="S69" i="18"/>
  <c r="S143" i="18"/>
  <c r="S135" i="18"/>
  <c r="S234" i="18"/>
  <c r="S146" i="18"/>
  <c r="S729" i="18"/>
  <c r="S687" i="18"/>
  <c r="S644" i="18"/>
  <c r="S724" i="18"/>
  <c r="S658" i="18"/>
  <c r="S662" i="18"/>
  <c r="S741" i="18"/>
  <c r="S634" i="18"/>
  <c r="S736" i="18"/>
  <c r="S632" i="18"/>
  <c r="S585" i="18"/>
  <c r="S621" i="18"/>
  <c r="S670" i="18"/>
  <c r="S605" i="18"/>
  <c r="S537" i="18"/>
  <c r="S578" i="18"/>
  <c r="S661" i="18"/>
  <c r="S539" i="18"/>
  <c r="S618" i="18"/>
  <c r="S544" i="18"/>
  <c r="S660" i="18"/>
  <c r="S533" i="18"/>
  <c r="S532" i="18"/>
  <c r="S554" i="18"/>
  <c r="S451" i="18"/>
  <c r="S488" i="18"/>
  <c r="S424" i="18"/>
  <c r="S477" i="18"/>
  <c r="S555" i="18"/>
  <c r="S450" i="18"/>
  <c r="S473" i="18"/>
  <c r="S380" i="18"/>
  <c r="S438" i="18"/>
  <c r="S361" i="18"/>
  <c r="S439" i="18"/>
  <c r="S358" i="18"/>
  <c r="S402" i="18"/>
  <c r="S315" i="18"/>
  <c r="S251" i="18"/>
  <c r="S187" i="18"/>
  <c r="S410" i="18"/>
  <c r="S312" i="18"/>
  <c r="S248" i="18"/>
  <c r="S184" i="18"/>
  <c r="S373" i="18"/>
  <c r="S293" i="18"/>
  <c r="S229" i="18"/>
  <c r="S462" i="18"/>
  <c r="S346" i="18"/>
  <c r="S282" i="18"/>
  <c r="S368" i="18"/>
  <c r="S303" i="18"/>
  <c r="S362" i="18"/>
  <c r="S214" i="18"/>
  <c r="S140" i="18"/>
  <c r="S76" i="18"/>
  <c r="S284" i="18"/>
  <c r="S177" i="18"/>
  <c r="S113" i="18"/>
  <c r="S449" i="18"/>
  <c r="S252" i="18"/>
  <c r="S158" i="18"/>
  <c r="S94" i="18"/>
  <c r="S342" i="18"/>
  <c r="S196" i="18"/>
  <c r="S123" i="18"/>
  <c r="S59" i="18"/>
  <c r="S334" i="18"/>
  <c r="S204" i="18"/>
  <c r="S120" i="18"/>
  <c r="S56" i="18"/>
  <c r="S101" i="18"/>
  <c r="S157" i="18"/>
  <c r="S159" i="18"/>
  <c r="S207" i="18"/>
  <c r="S68" i="18"/>
  <c r="S397" i="18"/>
  <c r="S61" i="18"/>
  <c r="S49" i="18"/>
  <c r="S98" i="18"/>
  <c r="S93" i="18"/>
  <c r="S384" i="18"/>
  <c r="S206" i="18"/>
  <c r="S692" i="18"/>
  <c r="S685" i="18"/>
  <c r="S639" i="18"/>
  <c r="S714" i="18"/>
  <c r="S653" i="18"/>
  <c r="S629" i="18"/>
  <c r="S732" i="18"/>
  <c r="S596" i="18"/>
  <c r="S693" i="18"/>
  <c r="S631" i="18"/>
  <c r="S577" i="18"/>
  <c r="S616" i="18"/>
  <c r="S654" i="18"/>
  <c r="S645" i="18"/>
  <c r="S440" i="18"/>
  <c r="S471" i="18"/>
  <c r="S264" i="18"/>
  <c r="S413" i="18"/>
  <c r="S129" i="18"/>
  <c r="S75" i="18"/>
  <c r="S279" i="18"/>
  <c r="S79" i="18"/>
  <c r="S636" i="18"/>
  <c r="S595" i="18"/>
  <c r="S733" i="18"/>
  <c r="S673" i="18"/>
  <c r="S694" i="18"/>
  <c r="S561" i="18"/>
  <c r="S493" i="18"/>
  <c r="S374" i="18"/>
  <c r="S200" i="18"/>
  <c r="S319" i="18"/>
  <c r="S65" i="18"/>
  <c r="S370" i="18"/>
  <c r="S87" i="18"/>
  <c r="S730" i="18"/>
  <c r="S548" i="18"/>
  <c r="S496" i="18"/>
  <c r="S429" i="18"/>
  <c r="S423" i="18"/>
  <c r="S395" i="18"/>
  <c r="S463" i="18"/>
  <c r="S274" i="18"/>
  <c r="S226" i="18"/>
  <c r="S58" i="18"/>
  <c r="S715" i="18"/>
  <c r="S633" i="18"/>
  <c r="S752" i="18"/>
  <c r="S722" i="18"/>
  <c r="S657" i="18"/>
  <c r="S678" i="18"/>
  <c r="S502" i="18"/>
  <c r="S321" i="18"/>
  <c r="S728" i="18"/>
  <c r="S552" i="18"/>
  <c r="S377" i="18"/>
  <c r="S298" i="18"/>
  <c r="S139" i="18"/>
  <c r="S185" i="18"/>
  <c r="S746" i="18"/>
  <c r="S681" i="18"/>
  <c r="S665" i="18"/>
  <c r="S615" i="18"/>
  <c r="S551" i="18"/>
  <c r="S466" i="18"/>
  <c r="S331" i="18"/>
  <c r="S309" i="18"/>
  <c r="S236" i="18"/>
  <c r="S174" i="18"/>
  <c r="S136" i="18"/>
  <c r="S74" i="18"/>
  <c r="S676" i="18"/>
  <c r="S593" i="18"/>
  <c r="S747" i="18"/>
  <c r="S713" i="18"/>
  <c r="S649" i="18"/>
  <c r="S467" i="18"/>
  <c r="S359" i="18"/>
  <c r="S218" i="18"/>
  <c r="S606" i="18"/>
  <c r="S710" i="18"/>
  <c r="S553" i="18"/>
  <c r="S583" i="18"/>
  <c r="S495" i="18"/>
  <c r="S267" i="18"/>
  <c r="S245" i="18"/>
  <c r="S156" i="18"/>
  <c r="S110" i="18"/>
  <c r="S72" i="18"/>
  <c r="S109" i="18"/>
  <c r="S738" i="18"/>
  <c r="S626" i="18"/>
  <c r="S742" i="18"/>
  <c r="S705" i="18"/>
  <c r="S641" i="18"/>
  <c r="S751" i="18"/>
  <c r="S470" i="18"/>
  <c r="S162" i="18"/>
  <c r="S735" i="18"/>
  <c r="S720" i="18"/>
  <c r="S727" i="18"/>
  <c r="S597" i="18"/>
  <c r="S599" i="18"/>
  <c r="S396" i="18"/>
  <c r="S203" i="18"/>
  <c r="S181" i="18"/>
  <c r="S92" i="18"/>
  <c r="S392" i="18"/>
  <c r="S138" i="18"/>
  <c r="S170" i="18"/>
  <c r="S663" i="18"/>
  <c r="S558" i="18"/>
  <c r="S737" i="18"/>
  <c r="S697" i="18"/>
  <c r="S718" i="18"/>
  <c r="S743" i="18"/>
  <c r="S430" i="18"/>
  <c r="S186" i="18"/>
  <c r="S667" i="18"/>
  <c r="S689" i="18"/>
  <c r="S519" i="18"/>
  <c r="S328" i="18"/>
  <c r="S202" i="18"/>
  <c r="S263" i="18"/>
  <c r="S601" i="18"/>
  <c r="S702" i="18"/>
  <c r="S686" i="18"/>
  <c r="N4" i="18"/>
  <c r="N44" i="18" s="1"/>
  <c r="M401" i="18"/>
  <c r="M754" i="18"/>
  <c r="M47" i="18"/>
  <c r="W38" i="18"/>
  <c r="V796" i="18"/>
  <c r="V910" i="18"/>
  <c r="V760" i="18"/>
  <c r="V768" i="18"/>
  <c r="V832" i="18"/>
  <c r="V904" i="18"/>
  <c r="V775" i="18"/>
  <c r="V789" i="18"/>
  <c r="V830" i="18"/>
  <c r="V767" i="18"/>
  <c r="V824" i="18"/>
  <c r="V848" i="18"/>
  <c r="V846" i="18"/>
  <c r="V759" i="18"/>
  <c r="V808" i="18"/>
  <c r="V829" i="18"/>
  <c r="V763" i="18"/>
  <c r="V807" i="18"/>
  <c r="V1086" i="18"/>
  <c r="V1067" i="18"/>
  <c r="V1064" i="18"/>
  <c r="V1063" i="18"/>
  <c r="V1090" i="18"/>
  <c r="V1038" i="18"/>
  <c r="V1042" i="18"/>
  <c r="V1031" i="18"/>
  <c r="V1003" i="18"/>
  <c r="V1058" i="18"/>
  <c r="V1057" i="18"/>
  <c r="V983" i="18"/>
  <c r="V980" i="18"/>
  <c r="V1054" i="18"/>
  <c r="V948" i="18"/>
  <c r="V1021" i="18"/>
  <c r="V922" i="18"/>
  <c r="V1006" i="18"/>
  <c r="V943" i="18"/>
  <c r="V924" i="18"/>
  <c r="V913" i="18"/>
  <c r="V993" i="18"/>
  <c r="V907" i="18"/>
  <c r="V926" i="18"/>
  <c r="V885" i="18"/>
  <c r="V900" i="18"/>
  <c r="V901" i="18"/>
  <c r="V842" i="18"/>
  <c r="V778" i="18"/>
  <c r="V979" i="18"/>
  <c r="V844" i="18"/>
  <c r="V849" i="18"/>
  <c r="V785" i="18"/>
  <c r="V895" i="18"/>
  <c r="V803" i="18"/>
  <c r="V766" i="18"/>
  <c r="V784" i="18"/>
  <c r="V812" i="18"/>
  <c r="V916" i="18"/>
  <c r="V845" i="18"/>
  <c r="V773" i="18"/>
  <c r="V816" i="18"/>
  <c r="V1078" i="18"/>
  <c r="V1059" i="18"/>
  <c r="V1056" i="18"/>
  <c r="V1100" i="18"/>
  <c r="V1055" i="18"/>
  <c r="V1030" i="18"/>
  <c r="V1034" i="18"/>
  <c r="V1023" i="18"/>
  <c r="V995" i="18"/>
  <c r="V1065" i="18"/>
  <c r="V1050" i="18"/>
  <c r="V1032" i="18"/>
  <c r="V1029" i="18"/>
  <c r="V1047" i="18"/>
  <c r="V1040" i="18"/>
  <c r="V990" i="18"/>
  <c r="V914" i="18"/>
  <c r="V997" i="18"/>
  <c r="V935" i="18"/>
  <c r="V1037" i="18"/>
  <c r="V905" i="18"/>
  <c r="V984" i="18"/>
  <c r="V899" i="18"/>
  <c r="V919" i="18"/>
  <c r="V878" i="18"/>
  <c r="V893" i="18"/>
  <c r="V894" i="18"/>
  <c r="V834" i="18"/>
  <c r="V770" i="18"/>
  <c r="V970" i="18"/>
  <c r="V1009" i="18"/>
  <c r="V841" i="18"/>
  <c r="V777" i="18"/>
  <c r="V859" i="18"/>
  <c r="V795" i="18"/>
  <c r="V813" i="18"/>
  <c r="V761" i="18"/>
  <c r="V757" i="18"/>
  <c r="V776" i="18"/>
  <c r="V804" i="18"/>
  <c r="V756" i="18"/>
  <c r="V788" i="18"/>
  <c r="V822" i="18"/>
  <c r="V888" i="18"/>
  <c r="V800" i="18"/>
  <c r="V828" i="18"/>
  <c r="V1070" i="18"/>
  <c r="V1051" i="18"/>
  <c r="V1048" i="18"/>
  <c r="V1092" i="18"/>
  <c r="V1041" i="18"/>
  <c r="V1022" i="18"/>
  <c r="V1026" i="18"/>
  <c r="V1015" i="18"/>
  <c r="V987" i="18"/>
  <c r="V1061" i="18"/>
  <c r="V1035" i="18"/>
  <c r="V1016" i="18"/>
  <c r="V1001" i="18"/>
  <c r="V1020" i="18"/>
  <c r="V1008" i="18"/>
  <c r="V981" i="18"/>
  <c r="V906" i="18"/>
  <c r="V974" i="18"/>
  <c r="V927" i="18"/>
  <c r="V989" i="18"/>
  <c r="V897" i="18"/>
  <c r="V963" i="18"/>
  <c r="V891" i="18"/>
  <c r="V912" i="18"/>
  <c r="V871" i="18"/>
  <c r="V886" i="18"/>
  <c r="V942" i="18"/>
  <c r="V826" i="18"/>
  <c r="V909" i="18"/>
  <c r="V954" i="18"/>
  <c r="V918" i="18"/>
  <c r="V833" i="18"/>
  <c r="V769" i="18"/>
  <c r="V851" i="18"/>
  <c r="V787" i="18"/>
  <c r="V854" i="18"/>
  <c r="V861" i="18"/>
  <c r="V805" i="18"/>
  <c r="V837" i="18"/>
  <c r="V853" i="18"/>
  <c r="V762" i="18"/>
  <c r="V1062" i="18"/>
  <c r="V1104" i="18"/>
  <c r="V1103" i="18"/>
  <c r="V1084" i="18"/>
  <c r="V1033" i="18"/>
  <c r="V1014" i="18"/>
  <c r="V1018" i="18"/>
  <c r="V1105" i="18"/>
  <c r="V1097" i="18"/>
  <c r="V1044" i="18"/>
  <c r="V1019" i="18"/>
  <c r="V1012" i="18"/>
  <c r="V985" i="18"/>
  <c r="V998" i="18"/>
  <c r="V992" i="18"/>
  <c r="V966" i="18"/>
  <c r="V898" i="18"/>
  <c r="V973" i="18"/>
  <c r="V1024" i="18"/>
  <c r="V968" i="18"/>
  <c r="V889" i="18"/>
  <c r="V962" i="18"/>
  <c r="V883" i="18"/>
  <c r="V876" i="18"/>
  <c r="V864" i="18"/>
  <c r="V879" i="18"/>
  <c r="V884" i="18"/>
  <c r="V818" i="18"/>
  <c r="V903" i="18"/>
  <c r="V936" i="18"/>
  <c r="V902" i="18"/>
  <c r="V825" i="18"/>
  <c r="V958" i="18"/>
  <c r="V843" i="18"/>
  <c r="V779" i="18"/>
  <c r="V806" i="18"/>
  <c r="V831" i="18"/>
  <c r="V877" i="18"/>
  <c r="V782" i="18"/>
  <c r="V821" i="18"/>
  <c r="V1099" i="18"/>
  <c r="V1096" i="18"/>
  <c r="V1095" i="18"/>
  <c r="V1076" i="18"/>
  <c r="V1025" i="18"/>
  <c r="V1081" i="18"/>
  <c r="V1073" i="18"/>
  <c r="V1101" i="18"/>
  <c r="V1093" i="18"/>
  <c r="V1028" i="18"/>
  <c r="V1011" i="18"/>
  <c r="V1010" i="18"/>
  <c r="V975" i="18"/>
  <c r="V982" i="18"/>
  <c r="V977" i="18"/>
  <c r="V965" i="18"/>
  <c r="V890" i="18"/>
  <c r="V952" i="18"/>
  <c r="V960" i="18"/>
  <c r="V945" i="18"/>
  <c r="V881" i="18"/>
  <c r="V939" i="18"/>
  <c r="V875" i="18"/>
  <c r="V869" i="18"/>
  <c r="V1013" i="18"/>
  <c r="V1005" i="18"/>
  <c r="V880" i="18"/>
  <c r="V810" i="18"/>
  <c r="V862" i="18"/>
  <c r="V925" i="18"/>
  <c r="V896" i="18"/>
  <c r="V817" i="18"/>
  <c r="V944" i="18"/>
  <c r="V835" i="18"/>
  <c r="V771" i="18"/>
  <c r="V868" i="18"/>
  <c r="V798" i="18"/>
  <c r="V976" i="18"/>
  <c r="V780" i="18"/>
  <c r="V772" i="18"/>
  <c r="V815" i="18"/>
  <c r="V836" i="18"/>
  <c r="V781" i="18"/>
  <c r="V755" i="18"/>
  <c r="V1091" i="18"/>
  <c r="V1088" i="18"/>
  <c r="V1087" i="18"/>
  <c r="V1068" i="18"/>
  <c r="V1017" i="18"/>
  <c r="V1077" i="18"/>
  <c r="V1069" i="18"/>
  <c r="V1074" i="18"/>
  <c r="V1066" i="18"/>
  <c r="V1002" i="18"/>
  <c r="V1007" i="18"/>
  <c r="V1004" i="18"/>
  <c r="V967" i="18"/>
  <c r="V972" i="18"/>
  <c r="V969" i="18"/>
  <c r="V950" i="18"/>
  <c r="V882" i="18"/>
  <c r="V951" i="18"/>
  <c r="V946" i="18"/>
  <c r="V937" i="18"/>
  <c r="V873" i="18"/>
  <c r="V931" i="18"/>
  <c r="V867" i="18"/>
  <c r="V920" i="18"/>
  <c r="V1000" i="18"/>
  <c r="V955" i="18"/>
  <c r="V872" i="18"/>
  <c r="V802" i="18"/>
  <c r="V855" i="18"/>
  <c r="V887" i="18"/>
  <c r="V870" i="18"/>
  <c r="V809" i="18"/>
  <c r="V934" i="18"/>
  <c r="V827" i="18"/>
  <c r="V758" i="18"/>
  <c r="V799" i="18"/>
  <c r="V814" i="18"/>
  <c r="V1102" i="18"/>
  <c r="V1083" i="18"/>
  <c r="V1080" i="18"/>
  <c r="V1079" i="18"/>
  <c r="V1060" i="18"/>
  <c r="V1082" i="18"/>
  <c r="V1053" i="18"/>
  <c r="V1046" i="18"/>
  <c r="V1043" i="18"/>
  <c r="V1089" i="18"/>
  <c r="V994" i="18"/>
  <c r="V999" i="18"/>
  <c r="V996" i="18"/>
  <c r="V959" i="18"/>
  <c r="V964" i="18"/>
  <c r="V961" i="18"/>
  <c r="V938" i="18"/>
  <c r="V874" i="18"/>
  <c r="V949" i="18"/>
  <c r="V940" i="18"/>
  <c r="V929" i="18"/>
  <c r="V865" i="18"/>
  <c r="V923" i="18"/>
  <c r="V957" i="18"/>
  <c r="V978" i="18"/>
  <c r="V971" i="18"/>
  <c r="V933" i="18"/>
  <c r="V858" i="18"/>
  <c r="V794" i="18"/>
  <c r="V847" i="18"/>
  <c r="V860" i="18"/>
  <c r="V863" i="18"/>
  <c r="V801" i="18"/>
  <c r="V917" i="18"/>
  <c r="V819" i="18"/>
  <c r="V791" i="18"/>
  <c r="V838" i="18"/>
  <c r="V1094" i="18"/>
  <c r="V1027" i="18"/>
  <c r="V930" i="18"/>
  <c r="V892" i="18"/>
  <c r="V793" i="18"/>
  <c r="V790" i="18"/>
  <c r="V840" i="18"/>
  <c r="V1075" i="18"/>
  <c r="V1085" i="18"/>
  <c r="V866" i="18"/>
  <c r="V941" i="18"/>
  <c r="V911" i="18"/>
  <c r="V820" i="18"/>
  <c r="V764" i="18"/>
  <c r="V1072" i="18"/>
  <c r="V986" i="18"/>
  <c r="V947" i="18"/>
  <c r="V908" i="18"/>
  <c r="V811" i="18"/>
  <c r="V823" i="18"/>
  <c r="V797" i="18"/>
  <c r="V856" i="18"/>
  <c r="V1071" i="18"/>
  <c r="V991" i="18"/>
  <c r="V932" i="18"/>
  <c r="V850" i="18"/>
  <c r="V765" i="18"/>
  <c r="V1052" i="18"/>
  <c r="V988" i="18"/>
  <c r="V921" i="18"/>
  <c r="V786" i="18"/>
  <c r="V1049" i="18"/>
  <c r="V1098" i="18"/>
  <c r="V1036" i="18"/>
  <c r="V839" i="18"/>
  <c r="V953" i="18"/>
  <c r="V857" i="18"/>
  <c r="V774" i="18"/>
  <c r="V1045" i="18"/>
  <c r="V956" i="18"/>
  <c r="V915" i="18"/>
  <c r="V852" i="18"/>
  <c r="V792" i="18"/>
  <c r="V783" i="18"/>
  <c r="V1039" i="18"/>
  <c r="V928" i="18"/>
  <c r="AI36" i="4"/>
  <c r="AJ34" i="4"/>
  <c r="AJ35" i="4" s="1"/>
  <c r="Q32" i="4"/>
  <c r="Q31" i="4" s="1"/>
  <c r="R31" i="4"/>
  <c r="Q34" i="4"/>
  <c r="Q35" i="4" s="1"/>
  <c r="R36" i="4"/>
  <c r="AO80" i="5"/>
  <c r="W111" i="5" s="1"/>
  <c r="AM80" i="5"/>
  <c r="W109" i="5" s="1"/>
  <c r="AN80" i="5"/>
  <c r="W110" i="5" s="1"/>
  <c r="AI32" i="4"/>
  <c r="AH31" i="4"/>
  <c r="AT8" i="22"/>
  <c r="G32" i="4"/>
  <c r="H31" i="4"/>
  <c r="AJ80" i="5"/>
  <c r="W107" i="5" s="1"/>
  <c r="W6" i="5" s="1"/>
  <c r="AI80" i="5"/>
  <c r="W106" i="5" s="1"/>
  <c r="AK80" i="5"/>
  <c r="W108" i="5" s="1"/>
  <c r="G5" i="24"/>
  <c r="J6" i="24"/>
  <c r="G36" i="4" l="1"/>
  <c r="L191" i="26"/>
  <c r="L189" i="26"/>
  <c r="L194" i="26"/>
  <c r="L182" i="26"/>
  <c r="L180" i="26"/>
  <c r="L186" i="26"/>
  <c r="L197" i="26"/>
  <c r="L190" i="26"/>
  <c r="L188" i="26"/>
  <c r="L185" i="26"/>
  <c r="L179" i="26"/>
  <c r="L192" i="26"/>
  <c r="L187" i="26"/>
  <c r="L181" i="26"/>
  <c r="L198" i="26"/>
  <c r="L196" i="26"/>
  <c r="L184" i="26"/>
  <c r="L195" i="26"/>
  <c r="L193" i="26"/>
  <c r="L183" i="26"/>
  <c r="N196" i="26"/>
  <c r="N192" i="26"/>
  <c r="N186" i="26"/>
  <c r="N180" i="26"/>
  <c r="N190" i="26"/>
  <c r="N191" i="26"/>
  <c r="N194" i="26"/>
  <c r="N197" i="26"/>
  <c r="N193" i="26"/>
  <c r="N184" i="26"/>
  <c r="N187" i="26"/>
  <c r="N182" i="26"/>
  <c r="N188" i="26"/>
  <c r="N189" i="26"/>
  <c r="N181" i="26"/>
  <c r="N179" i="26"/>
  <c r="N183" i="26"/>
  <c r="N195" i="26"/>
  <c r="N198" i="26"/>
  <c r="N185" i="26"/>
  <c r="I183" i="26"/>
  <c r="I192" i="26"/>
  <c r="I190" i="26"/>
  <c r="I180" i="26"/>
  <c r="I194" i="26"/>
  <c r="I182" i="26"/>
  <c r="I191" i="26"/>
  <c r="I186" i="26"/>
  <c r="I198" i="26"/>
  <c r="I188" i="26"/>
  <c r="I185" i="26"/>
  <c r="I181" i="26"/>
  <c r="I193" i="26"/>
  <c r="I179" i="26"/>
  <c r="I195" i="26"/>
  <c r="I196" i="26"/>
  <c r="I189" i="26"/>
  <c r="I187" i="26"/>
  <c r="I197" i="26"/>
  <c r="I184" i="26"/>
  <c r="H179" i="26"/>
  <c r="H194" i="26"/>
  <c r="H189" i="26"/>
  <c r="H195" i="26"/>
  <c r="H193" i="26"/>
  <c r="H181" i="26"/>
  <c r="H187" i="26"/>
  <c r="H185" i="26"/>
  <c r="H197" i="26"/>
  <c r="H183" i="26"/>
  <c r="H184" i="26"/>
  <c r="H192" i="26"/>
  <c r="H190" i="26"/>
  <c r="H191" i="26"/>
  <c r="H180" i="26"/>
  <c r="H182" i="26"/>
  <c r="H188" i="26"/>
  <c r="H198" i="26"/>
  <c r="H186" i="26"/>
  <c r="H196" i="26"/>
  <c r="E183" i="26"/>
  <c r="E198" i="26"/>
  <c r="E184" i="26"/>
  <c r="E194" i="26"/>
  <c r="E179" i="26"/>
  <c r="E196" i="26"/>
  <c r="E186" i="26"/>
  <c r="E191" i="26"/>
  <c r="E180" i="26"/>
  <c r="E193" i="26"/>
  <c r="E185" i="26"/>
  <c r="E181" i="26"/>
  <c r="E197" i="26"/>
  <c r="E190" i="26"/>
  <c r="E189" i="26"/>
  <c r="E182" i="26"/>
  <c r="E195" i="26"/>
  <c r="E187" i="26"/>
  <c r="E192" i="26"/>
  <c r="E188" i="26"/>
  <c r="F179" i="26"/>
  <c r="F197" i="26"/>
  <c r="F191" i="26"/>
  <c r="F195" i="26"/>
  <c r="F193" i="26"/>
  <c r="F187" i="26"/>
  <c r="F185" i="26"/>
  <c r="F189" i="26"/>
  <c r="F184" i="26"/>
  <c r="F180" i="26"/>
  <c r="F182" i="26"/>
  <c r="F190" i="26"/>
  <c r="F196" i="26"/>
  <c r="F186" i="26"/>
  <c r="F192" i="26"/>
  <c r="F194" i="26"/>
  <c r="F183" i="26"/>
  <c r="F188" i="26"/>
  <c r="F181" i="26"/>
  <c r="F198" i="26"/>
  <c r="O186" i="26"/>
  <c r="O180" i="26"/>
  <c r="O196" i="26"/>
  <c r="O192" i="26"/>
  <c r="O185" i="26"/>
  <c r="O183" i="26"/>
  <c r="O179" i="26"/>
  <c r="O193" i="26"/>
  <c r="O188" i="26"/>
  <c r="O195" i="26"/>
  <c r="O191" i="26"/>
  <c r="O184" i="26"/>
  <c r="O189" i="26"/>
  <c r="O182" i="26"/>
  <c r="O187" i="26"/>
  <c r="O197" i="26"/>
  <c r="O198" i="26"/>
  <c r="O194" i="26"/>
  <c r="O190" i="26"/>
  <c r="O181" i="26"/>
  <c r="K192" i="26"/>
  <c r="K187" i="26"/>
  <c r="K191" i="26"/>
  <c r="K189" i="26"/>
  <c r="K184" i="26"/>
  <c r="K183" i="26"/>
  <c r="K181" i="26"/>
  <c r="K195" i="26"/>
  <c r="K185" i="26"/>
  <c r="K197" i="26"/>
  <c r="K186" i="26"/>
  <c r="K194" i="26"/>
  <c r="K182" i="26"/>
  <c r="K188" i="26"/>
  <c r="K198" i="26"/>
  <c r="K193" i="26"/>
  <c r="K180" i="26"/>
  <c r="K179" i="26"/>
  <c r="K190" i="26"/>
  <c r="K196" i="26"/>
  <c r="F34" i="4"/>
  <c r="F35" i="4" s="1"/>
  <c r="AN19" i="5"/>
  <c r="E222" i="26"/>
  <c r="E233" i="26" s="1"/>
  <c r="K175" i="26"/>
  <c r="BE6" i="20"/>
  <c r="BF7" i="20"/>
  <c r="F88" i="26"/>
  <c r="I88" i="26"/>
  <c r="I30" i="26" s="1"/>
  <c r="I232" i="26"/>
  <c r="K232" i="26"/>
  <c r="N232" i="26"/>
  <c r="E232" i="26"/>
  <c r="N27" i="26"/>
  <c r="N222" i="26" s="1"/>
  <c r="L27" i="26"/>
  <c r="L222" i="26" s="1"/>
  <c r="L79" i="26"/>
  <c r="L296" i="26" s="1"/>
  <c r="F48" i="26"/>
  <c r="L96" i="26"/>
  <c r="L146" i="26" s="1"/>
  <c r="K145" i="26"/>
  <c r="K147" i="26"/>
  <c r="K148" i="26"/>
  <c r="K149" i="26"/>
  <c r="K150" i="26"/>
  <c r="K151" i="26"/>
  <c r="K152" i="26"/>
  <c r="K153" i="26"/>
  <c r="K154" i="26"/>
  <c r="K155" i="26"/>
  <c r="K156" i="26"/>
  <c r="K157" i="26"/>
  <c r="K158" i="26"/>
  <c r="K159" i="26"/>
  <c r="K160" i="26"/>
  <c r="K161" i="26"/>
  <c r="K162" i="26"/>
  <c r="K163" i="26"/>
  <c r="K164" i="26"/>
  <c r="K165" i="26"/>
  <c r="I79" i="26"/>
  <c r="I295" i="26" s="1"/>
  <c r="K215" i="26"/>
  <c r="K224" i="26" s="1"/>
  <c r="K225" i="26" s="1"/>
  <c r="K227" i="26" s="1"/>
  <c r="H24" i="26"/>
  <c r="H42" i="26" s="1"/>
  <c r="H27" i="26"/>
  <c r="H222" i="26" s="1"/>
  <c r="H233" i="26" s="1"/>
  <c r="K27" i="26"/>
  <c r="K222" i="26" s="1"/>
  <c r="K24" i="26"/>
  <c r="K42" i="26" s="1"/>
  <c r="N81" i="26"/>
  <c r="O81" i="26" s="1"/>
  <c r="O24" i="26" s="1"/>
  <c r="L12" i="26"/>
  <c r="L215" i="26" s="1"/>
  <c r="L224" i="26" s="1"/>
  <c r="L225" i="26" s="1"/>
  <c r="L227" i="26" s="1"/>
  <c r="F12" i="26"/>
  <c r="F215" i="26" s="1"/>
  <c r="E24" i="26"/>
  <c r="E42" i="26" s="1"/>
  <c r="N215" i="26"/>
  <c r="N224" i="26" s="1"/>
  <c r="N225" i="26" s="1"/>
  <c r="N227" i="26" s="1"/>
  <c r="E215" i="26"/>
  <c r="E323" i="26"/>
  <c r="E29" i="26"/>
  <c r="E324" i="26" s="1"/>
  <c r="E343" i="26" s="1"/>
  <c r="H30" i="26"/>
  <c r="N96" i="26"/>
  <c r="N146" i="26" s="1"/>
  <c r="E30" i="26"/>
  <c r="K94" i="26"/>
  <c r="O48" i="26"/>
  <c r="O296" i="26"/>
  <c r="O297" i="26" s="1"/>
  <c r="O311" i="26" s="1"/>
  <c r="L87" i="26"/>
  <c r="L323" i="26" s="1"/>
  <c r="K29" i="26"/>
  <c r="K324" i="26" s="1"/>
  <c r="K338" i="26" s="1"/>
  <c r="K297" i="26"/>
  <c r="K314" i="26" s="1"/>
  <c r="N295" i="26"/>
  <c r="H296" i="26"/>
  <c r="N296" i="26"/>
  <c r="N87" i="26"/>
  <c r="O87" i="26" s="1"/>
  <c r="O323" i="26" s="1"/>
  <c r="H295" i="26"/>
  <c r="N30" i="26"/>
  <c r="N95" i="26"/>
  <c r="O95" i="26" s="1"/>
  <c r="N93" i="26"/>
  <c r="O93" i="26" s="1"/>
  <c r="L48" i="26"/>
  <c r="E94" i="26"/>
  <c r="H96" i="26"/>
  <c r="H146" i="26" s="1"/>
  <c r="H87" i="26"/>
  <c r="I87" i="26" s="1"/>
  <c r="I323" i="26" s="1"/>
  <c r="O82" i="26"/>
  <c r="O217" i="26" s="1"/>
  <c r="H93" i="26"/>
  <c r="I93" i="26" s="1"/>
  <c r="I48" i="26"/>
  <c r="F82" i="26"/>
  <c r="F217" i="26" s="1"/>
  <c r="L82" i="26"/>
  <c r="L217" i="26" s="1"/>
  <c r="O215" i="26"/>
  <c r="O224" i="26" s="1"/>
  <c r="O225" i="26" s="1"/>
  <c r="O227" i="26" s="1"/>
  <c r="O233" i="26" s="1"/>
  <c r="I215" i="26"/>
  <c r="I224" i="26" s="1"/>
  <c r="I225" i="26" s="1"/>
  <c r="I227" i="26" s="1"/>
  <c r="I233" i="26" s="1"/>
  <c r="I24" i="26"/>
  <c r="I42" i="26" s="1"/>
  <c r="O30" i="26"/>
  <c r="L30" i="26"/>
  <c r="Z24" i="5"/>
  <c r="Y25" i="5"/>
  <c r="AB9" i="18"/>
  <c r="AA15" i="18"/>
  <c r="AA5" i="18"/>
  <c r="Z11" i="18"/>
  <c r="AB6" i="18"/>
  <c r="AA12" i="18"/>
  <c r="AB8" i="18"/>
  <c r="AA14" i="18"/>
  <c r="AB7" i="18"/>
  <c r="AA13" i="18"/>
  <c r="W11" i="5" a="1"/>
  <c r="W11" i="5" s="1"/>
  <c r="V9" i="5"/>
  <c r="V10" i="5" s="1"/>
  <c r="S9" i="5"/>
  <c r="T9" i="5"/>
  <c r="T10" i="5" s="1"/>
  <c r="U9" i="5"/>
  <c r="U10" i="5" s="1"/>
  <c r="AN22" i="5"/>
  <c r="AO16" i="5"/>
  <c r="AO21" i="5" s="1"/>
  <c r="AN18" i="5"/>
  <c r="O4" i="18"/>
  <c r="O44" i="18" s="1"/>
  <c r="N401" i="18"/>
  <c r="N754" i="18"/>
  <c r="N47" i="18"/>
  <c r="T751" i="18"/>
  <c r="T710" i="18"/>
  <c r="T646" i="18"/>
  <c r="T707" i="18"/>
  <c r="T728" i="18"/>
  <c r="T714" i="18"/>
  <c r="T703" i="18"/>
  <c r="T643" i="18"/>
  <c r="T708" i="18"/>
  <c r="T657" i="18"/>
  <c r="T696" i="18"/>
  <c r="T669" i="18"/>
  <c r="T612" i="18"/>
  <c r="T553" i="18"/>
  <c r="T590" i="18"/>
  <c r="T649" i="18"/>
  <c r="T587" i="18"/>
  <c r="T665" i="18"/>
  <c r="T605" i="18"/>
  <c r="T676" i="18"/>
  <c r="T515" i="18"/>
  <c r="T573" i="18"/>
  <c r="T520" i="18"/>
  <c r="T559" i="18"/>
  <c r="T509" i="18"/>
  <c r="T556" i="18"/>
  <c r="T506" i="18"/>
  <c r="T570" i="18"/>
  <c r="T456" i="18"/>
  <c r="T516" i="18"/>
  <c r="T445" i="18"/>
  <c r="T513" i="18"/>
  <c r="T442" i="18"/>
  <c r="T487" i="18"/>
  <c r="T423" i="18"/>
  <c r="T404" i="18"/>
  <c r="T483" i="18"/>
  <c r="T382" i="18"/>
  <c r="T452" i="18"/>
  <c r="T371" i="18"/>
  <c r="T430" i="18"/>
  <c r="T328" i="18"/>
  <c r="T264" i="18"/>
  <c r="T200" i="18"/>
  <c r="T418" i="18"/>
  <c r="T317" i="18"/>
  <c r="T253" i="18"/>
  <c r="T189" i="18"/>
  <c r="T360" i="18"/>
  <c r="T306" i="18"/>
  <c r="T242" i="18"/>
  <c r="T492" i="18"/>
  <c r="T367" i="18"/>
  <c r="T295" i="18"/>
  <c r="T457" i="18"/>
  <c r="T348" i="18"/>
  <c r="T284" i="18"/>
  <c r="T244" i="18"/>
  <c r="T153" i="18"/>
  <c r="T89" i="18"/>
  <c r="T313" i="18"/>
  <c r="T188" i="18"/>
  <c r="T126" i="18"/>
  <c r="T62" i="18"/>
  <c r="T260" i="18"/>
  <c r="T171" i="18"/>
  <c r="T107" i="18"/>
  <c r="T407" i="18"/>
  <c r="T246" i="18"/>
  <c r="T144" i="18"/>
  <c r="T80" i="18"/>
  <c r="T299" i="18"/>
  <c r="T191" i="18"/>
  <c r="T133" i="18"/>
  <c r="T69" i="18"/>
  <c r="T167" i="18"/>
  <c r="T276" i="18"/>
  <c r="T347" i="18"/>
  <c r="T508" i="18"/>
  <c r="T182" i="18"/>
  <c r="T271" i="18"/>
  <c r="T215" i="18"/>
  <c r="T87" i="18"/>
  <c r="T135" i="18"/>
  <c r="T746" i="18"/>
  <c r="T702" i="18"/>
  <c r="T638" i="18"/>
  <c r="T699" i="18"/>
  <c r="T750" i="18"/>
  <c r="T712" i="18"/>
  <c r="T688" i="18"/>
  <c r="T632" i="18"/>
  <c r="T704" i="18"/>
  <c r="T652" i="18"/>
  <c r="T681" i="18"/>
  <c r="T664" i="18"/>
  <c r="T607" i="18"/>
  <c r="T698" i="18"/>
  <c r="T582" i="18"/>
  <c r="T640" i="18"/>
  <c r="T579" i="18"/>
  <c r="T660" i="18"/>
  <c r="T685" i="18"/>
  <c r="T586" i="18"/>
  <c r="T507" i="18"/>
  <c r="T572" i="18"/>
  <c r="T512" i="18"/>
  <c r="T558" i="18"/>
  <c r="T501" i="18"/>
  <c r="T555" i="18"/>
  <c r="T498" i="18"/>
  <c r="T543" i="18"/>
  <c r="T448" i="18"/>
  <c r="T500" i="18"/>
  <c r="T437" i="18"/>
  <c r="T497" i="18"/>
  <c r="T434" i="18"/>
  <c r="T479" i="18"/>
  <c r="T583" i="18"/>
  <c r="T393" i="18"/>
  <c r="T467" i="18"/>
  <c r="T374" i="18"/>
  <c r="T436" i="18"/>
  <c r="T363" i="18"/>
  <c r="T411" i="18"/>
  <c r="T320" i="18"/>
  <c r="T256" i="18"/>
  <c r="T192" i="18"/>
  <c r="T394" i="18"/>
  <c r="T309" i="18"/>
  <c r="T245" i="18"/>
  <c r="T495" i="18"/>
  <c r="T359" i="18"/>
  <c r="T298" i="18"/>
  <c r="T234" i="18"/>
  <c r="T478" i="18"/>
  <c r="T351" i="18"/>
  <c r="T287" i="18"/>
  <c r="T443" i="18"/>
  <c r="T340" i="18"/>
  <c r="T475" i="18"/>
  <c r="T243" i="18"/>
  <c r="T145" i="18"/>
  <c r="T81" i="18"/>
  <c r="T286" i="18"/>
  <c r="T187" i="18"/>
  <c r="T118" i="18"/>
  <c r="T54" i="18"/>
  <c r="T259" i="18"/>
  <c r="T163" i="18"/>
  <c r="T99" i="18"/>
  <c r="T370" i="18"/>
  <c r="T225" i="18"/>
  <c r="T136" i="18"/>
  <c r="T72" i="18"/>
  <c r="T289" i="18"/>
  <c r="T190" i="18"/>
  <c r="T125" i="18"/>
  <c r="T61" i="18"/>
  <c r="T140" i="18"/>
  <c r="T263" i="18"/>
  <c r="T257" i="18"/>
  <c r="T433" i="18"/>
  <c r="T180" i="18"/>
  <c r="T164" i="18"/>
  <c r="T156" i="18"/>
  <c r="T76" i="18"/>
  <c r="T108" i="18"/>
  <c r="T741" i="18"/>
  <c r="T694" i="18"/>
  <c r="T745" i="18"/>
  <c r="T691" i="18"/>
  <c r="T720" i="18"/>
  <c r="T684" i="18"/>
  <c r="T687" i="18"/>
  <c r="T624" i="18"/>
  <c r="T679" i="18"/>
  <c r="T647" i="18"/>
  <c r="T672" i="18"/>
  <c r="T659" i="18"/>
  <c r="T602" i="18"/>
  <c r="T677" i="18"/>
  <c r="T574" i="18"/>
  <c r="T639" i="18"/>
  <c r="T571" i="18"/>
  <c r="T651" i="18"/>
  <c r="T655" i="18"/>
  <c r="T565" i="18"/>
  <c r="T499" i="18"/>
  <c r="T564" i="18"/>
  <c r="T504" i="18"/>
  <c r="T557" i="18"/>
  <c r="T713" i="18"/>
  <c r="T550" i="18"/>
  <c r="T673" i="18"/>
  <c r="T519" i="18"/>
  <c r="T440" i="18"/>
  <c r="T493" i="18"/>
  <c r="T429" i="18"/>
  <c r="T490" i="18"/>
  <c r="T426" i="18"/>
  <c r="T471" i="18"/>
  <c r="T486" i="18"/>
  <c r="T385" i="18"/>
  <c r="T451" i="18"/>
  <c r="T366" i="18"/>
  <c r="T422" i="18"/>
  <c r="T355" i="18"/>
  <c r="T410" i="18"/>
  <c r="T312" i="18"/>
  <c r="T248" i="18"/>
  <c r="T184" i="18"/>
  <c r="T373" i="18"/>
  <c r="T301" i="18"/>
  <c r="T237" i="18"/>
  <c r="T476" i="18"/>
  <c r="T352" i="18"/>
  <c r="T290" i="18"/>
  <c r="T226" i="18"/>
  <c r="T441" i="18"/>
  <c r="T343" i="18"/>
  <c r="T279" i="18"/>
  <c r="T421" i="18"/>
  <c r="T332" i="18"/>
  <c r="T408" i="18"/>
  <c r="T223" i="18"/>
  <c r="T137" i="18"/>
  <c r="T73" i="18"/>
  <c r="T273" i="18"/>
  <c r="T174" i="18"/>
  <c r="T110" i="18"/>
  <c r="T502" i="18"/>
  <c r="T239" i="18"/>
  <c r="T155" i="18"/>
  <c r="T91" i="18"/>
  <c r="T334" i="18"/>
  <c r="T204" i="18"/>
  <c r="T128" i="18"/>
  <c r="T64" i="18"/>
  <c r="T278" i="18"/>
  <c r="T183" i="18"/>
  <c r="T117" i="18"/>
  <c r="T53" i="18"/>
  <c r="T130" i="18"/>
  <c r="T214" i="18"/>
  <c r="T241" i="18"/>
  <c r="T384" i="18"/>
  <c r="T170" i="18"/>
  <c r="T92" i="18"/>
  <c r="T49" i="18"/>
  <c r="T732" i="18"/>
  <c r="T82" i="18"/>
  <c r="T736" i="18"/>
  <c r="T686" i="18"/>
  <c r="T744" i="18"/>
  <c r="T683" i="18"/>
  <c r="T719" i="18"/>
  <c r="T682" i="18"/>
  <c r="T668" i="18"/>
  <c r="T616" i="18"/>
  <c r="T667" i="18"/>
  <c r="T642" i="18"/>
  <c r="T671" i="18"/>
  <c r="T635" i="18"/>
  <c r="T593" i="18"/>
  <c r="T630" i="18"/>
  <c r="T566" i="18"/>
  <c r="T627" i="18"/>
  <c r="T563" i="18"/>
  <c r="T641" i="18"/>
  <c r="T597" i="18"/>
  <c r="T552" i="18"/>
  <c r="T645" i="18"/>
  <c r="T562" i="18"/>
  <c r="T496" i="18"/>
  <c r="T551" i="18"/>
  <c r="T697" i="18"/>
  <c r="T546" i="18"/>
  <c r="T599" i="18"/>
  <c r="T503" i="18"/>
  <c r="T432" i="18"/>
  <c r="T485" i="18"/>
  <c r="T706" i="18"/>
  <c r="T482" i="18"/>
  <c r="T614" i="18"/>
  <c r="T463" i="18"/>
  <c r="T470" i="18"/>
  <c r="T377" i="18"/>
  <c r="T435" i="18"/>
  <c r="T358" i="18"/>
  <c r="T414" i="18"/>
  <c r="T596" i="18"/>
  <c r="T386" i="18"/>
  <c r="T304" i="18"/>
  <c r="T240" i="18"/>
  <c r="T511" i="18"/>
  <c r="T372" i="18"/>
  <c r="T293" i="18"/>
  <c r="T229" i="18"/>
  <c r="T462" i="18"/>
  <c r="T346" i="18"/>
  <c r="T282" i="18"/>
  <c r="T218" i="18"/>
  <c r="T427" i="18"/>
  <c r="T335" i="18"/>
  <c r="T644" i="18"/>
  <c r="T397" i="18"/>
  <c r="T324" i="18"/>
  <c r="T356" i="18"/>
  <c r="T222" i="18"/>
  <c r="T129" i="18"/>
  <c r="T449" i="18"/>
  <c r="T252" i="18"/>
  <c r="T166" i="18"/>
  <c r="T102" i="18"/>
  <c r="T473" i="18"/>
  <c r="T238" i="18"/>
  <c r="T147" i="18"/>
  <c r="T83" i="18"/>
  <c r="T307" i="18"/>
  <c r="T203" i="18"/>
  <c r="T120" i="18"/>
  <c r="T56" i="18"/>
  <c r="T255" i="18"/>
  <c r="T173" i="18"/>
  <c r="T109" i="18"/>
  <c r="T302" i="18"/>
  <c r="T103" i="18"/>
  <c r="T198" i="18"/>
  <c r="T207" i="18"/>
  <c r="T310" i="18"/>
  <c r="T143" i="18"/>
  <c r="T74" i="18"/>
  <c r="T339" i="18"/>
  <c r="T465" i="18"/>
  <c r="T748" i="18"/>
  <c r="T730" i="18"/>
  <c r="T678" i="18"/>
  <c r="T743" i="18"/>
  <c r="T675" i="18"/>
  <c r="T717" i="18"/>
  <c r="T680" i="18"/>
  <c r="T663" i="18"/>
  <c r="T608" i="18"/>
  <c r="T709" i="18"/>
  <c r="T637" i="18"/>
  <c r="T666" i="18"/>
  <c r="T633" i="18"/>
  <c r="T585" i="18"/>
  <c r="T629" i="18"/>
  <c r="T749" i="18"/>
  <c r="T611" i="18"/>
  <c r="T739" i="18"/>
  <c r="T625" i="18"/>
  <c r="T578" i="18"/>
  <c r="T547" i="18"/>
  <c r="T623" i="18"/>
  <c r="T560" i="18"/>
  <c r="T636" i="18"/>
  <c r="T541" i="18"/>
  <c r="T589" i="18"/>
  <c r="T538" i="18"/>
  <c r="T592" i="18"/>
  <c r="T488" i="18"/>
  <c r="T424" i="18"/>
  <c r="T477" i="18"/>
  <c r="T619" i="18"/>
  <c r="T474" i="18"/>
  <c r="T584" i="18"/>
  <c r="T455" i="18"/>
  <c r="T454" i="18"/>
  <c r="T369" i="18"/>
  <c r="T417" i="18"/>
  <c r="T701" i="18"/>
  <c r="T406" i="18"/>
  <c r="T532" i="18"/>
  <c r="T365" i="18"/>
  <c r="T296" i="18"/>
  <c r="T232" i="18"/>
  <c r="T505" i="18"/>
  <c r="T349" i="18"/>
  <c r="T285" i="18"/>
  <c r="T221" i="18"/>
  <c r="T425" i="18"/>
  <c r="T338" i="18"/>
  <c r="T274" i="18"/>
  <c r="T210" i="18"/>
  <c r="T413" i="18"/>
  <c r="T327" i="18"/>
  <c r="T604" i="18"/>
  <c r="T396" i="18"/>
  <c r="T316" i="18"/>
  <c r="T331" i="18"/>
  <c r="T201" i="18"/>
  <c r="T121" i="18"/>
  <c r="T402" i="18"/>
  <c r="T251" i="18"/>
  <c r="T158" i="18"/>
  <c r="T94" i="18"/>
  <c r="T392" i="18"/>
  <c r="T217" i="18"/>
  <c r="T139" i="18"/>
  <c r="T75" i="18"/>
  <c r="T297" i="18"/>
  <c r="T176" i="18"/>
  <c r="T112" i="18"/>
  <c r="T491" i="18"/>
  <c r="T254" i="18"/>
  <c r="T165" i="18"/>
  <c r="T101" i="18"/>
  <c r="T291" i="18"/>
  <c r="T489" i="18"/>
  <c r="T159" i="18"/>
  <c r="T178" i="18"/>
  <c r="T275" i="18"/>
  <c r="T116" i="18"/>
  <c r="T68" i="18"/>
  <c r="T227" i="18"/>
  <c r="T391" i="18"/>
  <c r="T740" i="18"/>
  <c r="T752" i="18"/>
  <c r="T670" i="18"/>
  <c r="T726" i="18"/>
  <c r="T737" i="18"/>
  <c r="T747" i="18"/>
  <c r="T738" i="18"/>
  <c r="T658" i="18"/>
  <c r="T600" i="18"/>
  <c r="T695" i="18"/>
  <c r="T634" i="18"/>
  <c r="T661" i="18"/>
  <c r="T631" i="18"/>
  <c r="T577" i="18"/>
  <c r="T628" i="18"/>
  <c r="T727" i="18"/>
  <c r="T606" i="18"/>
  <c r="T723" i="18"/>
  <c r="T620" i="18"/>
  <c r="T548" i="18"/>
  <c r="T539" i="18"/>
  <c r="T618" i="18"/>
  <c r="T544" i="18"/>
  <c r="T603" i="18"/>
  <c r="T533" i="18"/>
  <c r="T588" i="18"/>
  <c r="T530" i="18"/>
  <c r="T576" i="18"/>
  <c r="T480" i="18"/>
  <c r="T549" i="18"/>
  <c r="T469" i="18"/>
  <c r="T591" i="18"/>
  <c r="T466" i="18"/>
  <c r="T529" i="18"/>
  <c r="T447" i="18"/>
  <c r="T438" i="18"/>
  <c r="T361" i="18"/>
  <c r="T409" i="18"/>
  <c r="T540" i="18"/>
  <c r="T395" i="18"/>
  <c r="T524" i="18"/>
  <c r="T364" i="18"/>
  <c r="T288" i="18"/>
  <c r="T224" i="18"/>
  <c r="T460" i="18"/>
  <c r="T341" i="18"/>
  <c r="T277" i="18"/>
  <c r="T213" i="18"/>
  <c r="T405" i="18"/>
  <c r="T330" i="18"/>
  <c r="T266" i="18"/>
  <c r="T202" i="18"/>
  <c r="T389" i="18"/>
  <c r="T319" i="18"/>
  <c r="T527" i="18"/>
  <c r="T376" i="18"/>
  <c r="T308" i="18"/>
  <c r="T321" i="18"/>
  <c r="T177" i="18"/>
  <c r="T113" i="18"/>
  <c r="T383" i="18"/>
  <c r="T231" i="18"/>
  <c r="T150" i="18"/>
  <c r="T86" i="18"/>
  <c r="T342" i="18"/>
  <c r="T196" i="18"/>
  <c r="T131" i="18"/>
  <c r="T67" i="18"/>
  <c r="T268" i="18"/>
  <c r="T168" i="18"/>
  <c r="T104" i="18"/>
  <c r="T459" i="18"/>
  <c r="T233" i="18"/>
  <c r="T157" i="18"/>
  <c r="T93" i="18"/>
  <c r="T270" i="18"/>
  <c r="T415" i="18"/>
  <c r="T132" i="18"/>
  <c r="T151" i="18"/>
  <c r="T235" i="18"/>
  <c r="T106" i="18"/>
  <c r="T66" i="18"/>
  <c r="T175" i="18"/>
  <c r="T345" i="18"/>
  <c r="T733" i="18"/>
  <c r="T742" i="18"/>
  <c r="T662" i="18"/>
  <c r="T721" i="18"/>
  <c r="T734" i="18"/>
  <c r="T735" i="18"/>
  <c r="T724" i="18"/>
  <c r="T653" i="18"/>
  <c r="T731" i="18"/>
  <c r="T690" i="18"/>
  <c r="T626" i="18"/>
  <c r="T656" i="18"/>
  <c r="T622" i="18"/>
  <c r="T569" i="18"/>
  <c r="T621" i="18"/>
  <c r="T705" i="18"/>
  <c r="T601" i="18"/>
  <c r="T692" i="18"/>
  <c r="T615" i="18"/>
  <c r="T542" i="18"/>
  <c r="T531" i="18"/>
  <c r="T613" i="18"/>
  <c r="T536" i="18"/>
  <c r="T581" i="18"/>
  <c r="T525" i="18"/>
  <c r="T568" i="18"/>
  <c r="T522" i="18"/>
  <c r="T554" i="18"/>
  <c r="T472" i="18"/>
  <c r="T545" i="18"/>
  <c r="T461" i="18"/>
  <c r="T575" i="18"/>
  <c r="T458" i="18"/>
  <c r="T526" i="18"/>
  <c r="T439" i="18"/>
  <c r="T420" i="18"/>
  <c r="T353" i="18"/>
  <c r="T398" i="18"/>
  <c r="T484" i="18"/>
  <c r="T387" i="18"/>
  <c r="T481" i="18"/>
  <c r="T344" i="18"/>
  <c r="T280" i="18"/>
  <c r="T216" i="18"/>
  <c r="T446" i="18"/>
  <c r="T333" i="18"/>
  <c r="T269" i="18"/>
  <c r="T205" i="18"/>
  <c r="T381" i="18"/>
  <c r="T322" i="18"/>
  <c r="T258" i="18"/>
  <c r="T194" i="18"/>
  <c r="T388" i="18"/>
  <c r="T311" i="18"/>
  <c r="T521" i="18"/>
  <c r="T375" i="18"/>
  <c r="T300" i="18"/>
  <c r="T294" i="18"/>
  <c r="T169" i="18"/>
  <c r="T105" i="18"/>
  <c r="T350" i="18"/>
  <c r="T230" i="18"/>
  <c r="T142" i="18"/>
  <c r="T78" i="18"/>
  <c r="T315" i="18"/>
  <c r="T195" i="18"/>
  <c r="T123" i="18"/>
  <c r="T59" i="18"/>
  <c r="T267" i="18"/>
  <c r="T160" i="18"/>
  <c r="T96" i="18"/>
  <c r="T416" i="18"/>
  <c r="T212" i="18"/>
  <c r="T149" i="18"/>
  <c r="T85" i="18"/>
  <c r="T236" i="18"/>
  <c r="T362" i="18"/>
  <c r="T122" i="18"/>
  <c r="T124" i="18"/>
  <c r="T219" i="18"/>
  <c r="T79" i="18"/>
  <c r="T329" i="18"/>
  <c r="T148" i="18"/>
  <c r="T262" i="18"/>
  <c r="T654" i="18"/>
  <c r="T700" i="18"/>
  <c r="T610" i="18"/>
  <c r="T514" i="18"/>
  <c r="T431" i="18"/>
  <c r="T272" i="18"/>
  <c r="T250" i="18"/>
  <c r="T161" i="18"/>
  <c r="T115" i="18"/>
  <c r="T77" i="18"/>
  <c r="T98" i="18"/>
  <c r="T403" i="18"/>
  <c r="T428" i="18"/>
  <c r="T119" i="18"/>
  <c r="T60" i="18"/>
  <c r="T715" i="18"/>
  <c r="T693" i="18"/>
  <c r="T534" i="18"/>
  <c r="T518" i="18"/>
  <c r="T412" i="18"/>
  <c r="T208" i="18"/>
  <c r="T186" i="18"/>
  <c r="T97" i="18"/>
  <c r="T51" i="18"/>
  <c r="T220" i="18"/>
  <c r="T162" i="18"/>
  <c r="T90" i="18"/>
  <c r="T249" i="18"/>
  <c r="T281" i="18"/>
  <c r="T729" i="18"/>
  <c r="T617" i="18"/>
  <c r="T523" i="18"/>
  <c r="T464" i="18"/>
  <c r="T609" i="18"/>
  <c r="T419" i="18"/>
  <c r="T368" i="18"/>
  <c r="T323" i="18"/>
  <c r="T247" i="18"/>
  <c r="T337" i="18"/>
  <c r="T71" i="18"/>
  <c r="T84" i="18"/>
  <c r="T199" i="18"/>
  <c r="T228" i="18"/>
  <c r="T716" i="18"/>
  <c r="T561" i="18"/>
  <c r="T594" i="18"/>
  <c r="T535" i="18"/>
  <c r="T390" i="18"/>
  <c r="T325" i="18"/>
  <c r="T303" i="18"/>
  <c r="T209" i="18"/>
  <c r="T152" i="18"/>
  <c r="T378" i="18"/>
  <c r="T357" i="18"/>
  <c r="T63" i="18"/>
  <c r="T111" i="18"/>
  <c r="T48" i="18"/>
  <c r="T711" i="18"/>
  <c r="T598" i="18"/>
  <c r="T528" i="18"/>
  <c r="T453" i="18"/>
  <c r="T468" i="18"/>
  <c r="T261" i="18"/>
  <c r="T494" i="18"/>
  <c r="T134" i="18"/>
  <c r="T88" i="18"/>
  <c r="T114" i="18"/>
  <c r="T283" i="18"/>
  <c r="T50" i="18"/>
  <c r="T100" i="18"/>
  <c r="T55" i="18"/>
  <c r="T648" i="18"/>
  <c r="T650" i="18"/>
  <c r="T580" i="18"/>
  <c r="T537" i="18"/>
  <c r="T379" i="18"/>
  <c r="T197" i="18"/>
  <c r="T354" i="18"/>
  <c r="T70" i="18"/>
  <c r="T326" i="18"/>
  <c r="T185" i="18"/>
  <c r="T206" i="18"/>
  <c r="T95" i="18"/>
  <c r="T52" i="18"/>
  <c r="T193" i="18"/>
  <c r="T725" i="18"/>
  <c r="T722" i="18"/>
  <c r="T595" i="18"/>
  <c r="T517" i="18"/>
  <c r="T450" i="18"/>
  <c r="T444" i="18"/>
  <c r="T380" i="18"/>
  <c r="T292" i="18"/>
  <c r="T305" i="18"/>
  <c r="T211" i="18"/>
  <c r="T65" i="18"/>
  <c r="T154" i="18"/>
  <c r="T58" i="18"/>
  <c r="T181" i="18"/>
  <c r="T146" i="18"/>
  <c r="T718" i="18"/>
  <c r="T689" i="18"/>
  <c r="T674" i="18"/>
  <c r="T567" i="18"/>
  <c r="T510" i="18"/>
  <c r="T336" i="18"/>
  <c r="T314" i="18"/>
  <c r="T265" i="18"/>
  <c r="T179" i="18"/>
  <c r="T141" i="18"/>
  <c r="T318" i="18"/>
  <c r="T127" i="18"/>
  <c r="T57" i="18"/>
  <c r="T172" i="18"/>
  <c r="T138" i="18"/>
  <c r="X38" i="18"/>
  <c r="W1099" i="18"/>
  <c r="W1088" i="18"/>
  <c r="W1085" i="18"/>
  <c r="W1076" i="18"/>
  <c r="W1065" i="18"/>
  <c r="W1014" i="18"/>
  <c r="W1011" i="18"/>
  <c r="W1098" i="18"/>
  <c r="W1070" i="18"/>
  <c r="W1062" i="18"/>
  <c r="W991" i="18"/>
  <c r="W996" i="18"/>
  <c r="W993" i="18"/>
  <c r="W1017" i="18"/>
  <c r="W1005" i="18"/>
  <c r="W1006" i="18"/>
  <c r="W935" i="18"/>
  <c r="W871" i="18"/>
  <c r="W924" i="18"/>
  <c r="W945" i="18"/>
  <c r="W955" i="18"/>
  <c r="W894" i="18"/>
  <c r="W971" i="18"/>
  <c r="W896" i="18"/>
  <c r="W905" i="18"/>
  <c r="W899" i="18"/>
  <c r="W900" i="18"/>
  <c r="W901" i="18"/>
  <c r="W869" i="18"/>
  <c r="W807" i="18"/>
  <c r="W875" i="18"/>
  <c r="W841" i="18"/>
  <c r="W814" i="18"/>
  <c r="W848" i="18"/>
  <c r="W784" i="18"/>
  <c r="W764" i="18"/>
  <c r="W1091" i="18"/>
  <c r="W1080" i="18"/>
  <c r="W1077" i="18"/>
  <c r="W1068" i="18"/>
  <c r="W1057" i="18"/>
  <c r="W1078" i="18"/>
  <c r="W1079" i="18"/>
  <c r="W1071" i="18"/>
  <c r="W1066" i="18"/>
  <c r="W1058" i="18"/>
  <c r="W983" i="18"/>
  <c r="W988" i="18"/>
  <c r="W985" i="18"/>
  <c r="W995" i="18"/>
  <c r="W989" i="18"/>
  <c r="W997" i="18"/>
  <c r="W927" i="18"/>
  <c r="W863" i="18"/>
  <c r="W1090" i="18"/>
  <c r="W937" i="18"/>
  <c r="W954" i="18"/>
  <c r="W886" i="18"/>
  <c r="W970" i="18"/>
  <c r="W888" i="18"/>
  <c r="W898" i="18"/>
  <c r="W892" i="18"/>
  <c r="W893" i="18"/>
  <c r="W981" i="18"/>
  <c r="W866" i="18"/>
  <c r="W799" i="18"/>
  <c r="W860" i="18"/>
  <c r="W885" i="18"/>
  <c r="W806" i="18"/>
  <c r="W840" i="18"/>
  <c r="W776" i="18"/>
  <c r="W1083" i="18"/>
  <c r="W1072" i="18"/>
  <c r="W1069" i="18"/>
  <c r="W1060" i="18"/>
  <c r="W1049" i="18"/>
  <c r="W1074" i="18"/>
  <c r="W1046" i="18"/>
  <c r="W1054" i="18"/>
  <c r="W1040" i="18"/>
  <c r="W1051" i="18"/>
  <c r="W1103" i="18"/>
  <c r="W980" i="18"/>
  <c r="W1026" i="18"/>
  <c r="W977" i="18"/>
  <c r="W974" i="18"/>
  <c r="W973" i="18"/>
  <c r="W919" i="18"/>
  <c r="W960" i="18"/>
  <c r="W1063" i="18"/>
  <c r="W929" i="18"/>
  <c r="W942" i="18"/>
  <c r="W878" i="18"/>
  <c r="W944" i="18"/>
  <c r="W880" i="18"/>
  <c r="W891" i="18"/>
  <c r="W962" i="18"/>
  <c r="W965" i="18"/>
  <c r="W925" i="18"/>
  <c r="W855" i="18"/>
  <c r="W791" i="18"/>
  <c r="W852" i="18"/>
  <c r="W873" i="18"/>
  <c r="W798" i="18"/>
  <c r="W832" i="18"/>
  <c r="W768" i="18"/>
  <c r="W767" i="18"/>
  <c r="W1075" i="18"/>
  <c r="W1064" i="18"/>
  <c r="W1061" i="18"/>
  <c r="W1105" i="18"/>
  <c r="W1086" i="18"/>
  <c r="W1050" i="18"/>
  <c r="W1039" i="18"/>
  <c r="W1047" i="18"/>
  <c r="W1024" i="18"/>
  <c r="W1055" i="18"/>
  <c r="W1032" i="18"/>
  <c r="W1095" i="18"/>
  <c r="W998" i="18"/>
  <c r="W969" i="18"/>
  <c r="W966" i="18"/>
  <c r="W952" i="18"/>
  <c r="W911" i="18"/>
  <c r="W959" i="18"/>
  <c r="W1042" i="18"/>
  <c r="W1087" i="18"/>
  <c r="W934" i="18"/>
  <c r="W870" i="18"/>
  <c r="W936" i="18"/>
  <c r="W872" i="18"/>
  <c r="W884" i="18"/>
  <c r="W941" i="18"/>
  <c r="W933" i="18"/>
  <c r="W923" i="18"/>
  <c r="W847" i="18"/>
  <c r="W783" i="18"/>
  <c r="W844" i="18"/>
  <c r="W854" i="18"/>
  <c r="W790" i="18"/>
  <c r="W824" i="18"/>
  <c r="W1067" i="18"/>
  <c r="W1056" i="18"/>
  <c r="W1053" i="18"/>
  <c r="W1097" i="18"/>
  <c r="W1082" i="18"/>
  <c r="W1043" i="18"/>
  <c r="W1031" i="18"/>
  <c r="W1044" i="18"/>
  <c r="W1008" i="18"/>
  <c r="W1041" i="18"/>
  <c r="W1016" i="18"/>
  <c r="W1029" i="18"/>
  <c r="W982" i="18"/>
  <c r="W961" i="18"/>
  <c r="W958" i="18"/>
  <c r="W951" i="18"/>
  <c r="W903" i="18"/>
  <c r="W948" i="18"/>
  <c r="W1033" i="18"/>
  <c r="W1003" i="18"/>
  <c r="W926" i="18"/>
  <c r="W862" i="18"/>
  <c r="W928" i="18"/>
  <c r="W864" i="18"/>
  <c r="W877" i="18"/>
  <c r="W939" i="18"/>
  <c r="W931" i="18"/>
  <c r="W916" i="18"/>
  <c r="W839" i="18"/>
  <c r="W775" i="18"/>
  <c r="W889" i="18"/>
  <c r="W846" i="18"/>
  <c r="W782" i="18"/>
  <c r="W816" i="18"/>
  <c r="W1059" i="18"/>
  <c r="W1048" i="18"/>
  <c r="W1100" i="18"/>
  <c r="W1089" i="18"/>
  <c r="W1038" i="18"/>
  <c r="W1035" i="18"/>
  <c r="W1023" i="18"/>
  <c r="W1036" i="18"/>
  <c r="W1000" i="18"/>
  <c r="W1025" i="18"/>
  <c r="W1012" i="18"/>
  <c r="W1013" i="18"/>
  <c r="W972" i="18"/>
  <c r="W953" i="18"/>
  <c r="W950" i="18"/>
  <c r="W949" i="18"/>
  <c r="W895" i="18"/>
  <c r="W946" i="18"/>
  <c r="W987" i="18"/>
  <c r="W994" i="18"/>
  <c r="W918" i="18"/>
  <c r="W1045" i="18"/>
  <c r="W920" i="18"/>
  <c r="W1002" i="18"/>
  <c r="W978" i="18"/>
  <c r="W921" i="18"/>
  <c r="W922" i="18"/>
  <c r="W909" i="18"/>
  <c r="W831" i="18"/>
  <c r="W979" i="18"/>
  <c r="W867" i="18"/>
  <c r="W838" i="18"/>
  <c r="W774" i="18"/>
  <c r="W808" i="18"/>
  <c r="W802" i="18"/>
  <c r="W803" i="18"/>
  <c r="W1104" i="18"/>
  <c r="W1101" i="18"/>
  <c r="W1092" i="18"/>
  <c r="W1081" i="18"/>
  <c r="W1030" i="18"/>
  <c r="W1027" i="18"/>
  <c r="W1015" i="18"/>
  <c r="W1028" i="18"/>
  <c r="W992" i="18"/>
  <c r="W1007" i="18"/>
  <c r="W1010" i="18"/>
  <c r="W1009" i="18"/>
  <c r="W964" i="18"/>
  <c r="W1052" i="18"/>
  <c r="W1094" i="18"/>
  <c r="W947" i="18"/>
  <c r="W887" i="18"/>
  <c r="W940" i="18"/>
  <c r="W968" i="18"/>
  <c r="W976" i="18"/>
  <c r="W910" i="18"/>
  <c r="W1018" i="18"/>
  <c r="W912" i="18"/>
  <c r="W990" i="18"/>
  <c r="W913" i="18"/>
  <c r="W914" i="18"/>
  <c r="W915" i="18"/>
  <c r="W1021" i="18"/>
  <c r="W823" i="18"/>
  <c r="W963" i="18"/>
  <c r="W857" i="18"/>
  <c r="W830" i="18"/>
  <c r="W868" i="18"/>
  <c r="W800" i="18"/>
  <c r="W1022" i="18"/>
  <c r="W956" i="18"/>
  <c r="W902" i="18"/>
  <c r="W815" i="18"/>
  <c r="W787" i="18"/>
  <c r="W779" i="18"/>
  <c r="W821" i="18"/>
  <c r="W789" i="18"/>
  <c r="W766" i="18"/>
  <c r="W859" i="18"/>
  <c r="W812" i="18"/>
  <c r="W842" i="18"/>
  <c r="W1019" i="18"/>
  <c r="W1037" i="18"/>
  <c r="W986" i="18"/>
  <c r="W897" i="18"/>
  <c r="W874" i="18"/>
  <c r="W836" i="18"/>
  <c r="W804" i="18"/>
  <c r="W796" i="18"/>
  <c r="W781" i="18"/>
  <c r="W755" i="18"/>
  <c r="W785" i="18"/>
  <c r="W813" i="18"/>
  <c r="W861" i="18"/>
  <c r="W761" i="18"/>
  <c r="W805" i="18"/>
  <c r="W833" i="18"/>
  <c r="W1102" i="18"/>
  <c r="W1034" i="18"/>
  <c r="W904" i="18"/>
  <c r="W849" i="18"/>
  <c r="W772" i="18"/>
  <c r="W788" i="18"/>
  <c r="W795" i="18"/>
  <c r="W777" i="18"/>
  <c r="W762" i="18"/>
  <c r="W1020" i="18"/>
  <c r="W943" i="18"/>
  <c r="W930" i="18"/>
  <c r="W822" i="18"/>
  <c r="W780" i="18"/>
  <c r="W801" i="18"/>
  <c r="W825" i="18"/>
  <c r="W817" i="18"/>
  <c r="W829" i="18"/>
  <c r="W810" i="18"/>
  <c r="W778" i="18"/>
  <c r="W834" i="18"/>
  <c r="W957" i="18"/>
  <c r="W769" i="18"/>
  <c r="W1096" i="18"/>
  <c r="W984" i="18"/>
  <c r="W879" i="18"/>
  <c r="W906" i="18"/>
  <c r="W856" i="18"/>
  <c r="W760" i="18"/>
  <c r="W793" i="18"/>
  <c r="W890" i="18"/>
  <c r="W811" i="18"/>
  <c r="W883" i="18"/>
  <c r="W763" i="18"/>
  <c r="W835" i="18"/>
  <c r="W770" i="18"/>
  <c r="W881" i="18"/>
  <c r="W826" i="18"/>
  <c r="W1093" i="18"/>
  <c r="W999" i="18"/>
  <c r="W932" i="18"/>
  <c r="W907" i="18"/>
  <c r="W792" i="18"/>
  <c r="W794" i="18"/>
  <c r="W756" i="18"/>
  <c r="W850" i="18"/>
  <c r="W843" i="18"/>
  <c r="W917" i="18"/>
  <c r="W759" i="18"/>
  <c r="W809" i="18"/>
  <c r="W771" i="18"/>
  <c r="W851" i="18"/>
  <c r="W938" i="18"/>
  <c r="W758" i="18"/>
  <c r="W827" i="18"/>
  <c r="W1084" i="18"/>
  <c r="W1004" i="18"/>
  <c r="W967" i="18"/>
  <c r="W908" i="18"/>
  <c r="W757" i="18"/>
  <c r="W773" i="18"/>
  <c r="W837" i="18"/>
  <c r="W786" i="18"/>
  <c r="W845" i="18"/>
  <c r="W818" i="18"/>
  <c r="W828" i="18"/>
  <c r="W853" i="18"/>
  <c r="W876" i="18"/>
  <c r="W858" i="18"/>
  <c r="W819" i="18"/>
  <c r="W1001" i="18"/>
  <c r="W975" i="18"/>
  <c r="W882" i="18"/>
  <c r="W865" i="18"/>
  <c r="W765" i="18"/>
  <c r="W797" i="18"/>
  <c r="W1073" i="18"/>
  <c r="W820" i="18"/>
  <c r="Q36" i="4"/>
  <c r="AN81" i="5"/>
  <c r="X110" i="5" s="1"/>
  <c r="AM81" i="5"/>
  <c r="X109" i="5" s="1"/>
  <c r="AO81" i="5"/>
  <c r="X111" i="5" s="1"/>
  <c r="G4" i="24"/>
  <c r="J4" i="24" s="1"/>
  <c r="J5" i="24"/>
  <c r="AI31" i="4"/>
  <c r="AJ32" i="4"/>
  <c r="AT7" i="22"/>
  <c r="F36" i="4"/>
  <c r="G31" i="4"/>
  <c r="F32" i="4"/>
  <c r="F31" i="4" s="1"/>
  <c r="AK34" i="4"/>
  <c r="AK35" i="4" s="1"/>
  <c r="AJ36" i="4"/>
  <c r="AJ81" i="5"/>
  <c r="X107" i="5" s="1"/>
  <c r="X6" i="5" s="1"/>
  <c r="AK81" i="5"/>
  <c r="X108" i="5" s="1"/>
  <c r="AI81" i="5"/>
  <c r="X106" i="5" s="1"/>
  <c r="E59" i="26" l="1"/>
  <c r="AO19" i="5"/>
  <c r="N24" i="26"/>
  <c r="N42" i="26" s="1"/>
  <c r="H175" i="26"/>
  <c r="L175" i="26"/>
  <c r="O175" i="26"/>
  <c r="N175" i="26"/>
  <c r="E175" i="26"/>
  <c r="BE5" i="20"/>
  <c r="BF6" i="20"/>
  <c r="K58" i="26"/>
  <c r="K71" i="26" s="1"/>
  <c r="E58" i="26"/>
  <c r="E71" i="26" s="1"/>
  <c r="L233" i="26"/>
  <c r="N233" i="26"/>
  <c r="K233" i="26"/>
  <c r="O232" i="26"/>
  <c r="L232" i="26"/>
  <c r="F232" i="26"/>
  <c r="L295" i="26"/>
  <c r="L297" i="26" s="1"/>
  <c r="L304" i="26" s="1"/>
  <c r="N234" i="26"/>
  <c r="K101" i="26" a="1"/>
  <c r="K101" i="26" s="1"/>
  <c r="L148" i="26"/>
  <c r="L152" i="26"/>
  <c r="L155" i="26"/>
  <c r="L159" i="26"/>
  <c r="L161" i="26"/>
  <c r="L162" i="26"/>
  <c r="L163" i="26"/>
  <c r="L165" i="26"/>
  <c r="L149" i="26"/>
  <c r="L151" i="26"/>
  <c r="L153" i="26"/>
  <c r="L156" i="26"/>
  <c r="L158" i="26"/>
  <c r="L164" i="26"/>
  <c r="L147" i="26"/>
  <c r="L145" i="26"/>
  <c r="L150" i="26"/>
  <c r="L154" i="26"/>
  <c r="L157" i="26"/>
  <c r="L160" i="26"/>
  <c r="I96" i="26"/>
  <c r="I146" i="26" s="1"/>
  <c r="H145" i="26"/>
  <c r="H147" i="26"/>
  <c r="H148" i="26"/>
  <c r="H149" i="26"/>
  <c r="H150" i="26"/>
  <c r="H151" i="26"/>
  <c r="H152" i="26"/>
  <c r="H153" i="26"/>
  <c r="H154" i="26"/>
  <c r="H155" i="26"/>
  <c r="H156" i="26"/>
  <c r="H157" i="26"/>
  <c r="H158" i="26"/>
  <c r="H159" i="26"/>
  <c r="H160" i="26"/>
  <c r="H161" i="26"/>
  <c r="H162" i="26"/>
  <c r="H163" i="26"/>
  <c r="H164" i="26"/>
  <c r="H165" i="26"/>
  <c r="O96" i="26"/>
  <c r="O146" i="26" s="1"/>
  <c r="N147" i="26"/>
  <c r="N148" i="26"/>
  <c r="N149" i="26"/>
  <c r="N150" i="26"/>
  <c r="N151" i="26"/>
  <c r="N152" i="26"/>
  <c r="N153" i="26"/>
  <c r="N154" i="26"/>
  <c r="N155" i="26"/>
  <c r="N156" i="26"/>
  <c r="N157" i="26"/>
  <c r="N158" i="26"/>
  <c r="N159" i="26"/>
  <c r="N160" i="26"/>
  <c r="N161" i="26"/>
  <c r="N162" i="26"/>
  <c r="N163" i="26"/>
  <c r="N164" i="26"/>
  <c r="N165" i="26"/>
  <c r="N145" i="26"/>
  <c r="L94" i="26"/>
  <c r="I296" i="26"/>
  <c r="I297" i="26" s="1"/>
  <c r="I314" i="26" s="1"/>
  <c r="E307" i="26"/>
  <c r="E299" i="26"/>
  <c r="L24" i="26"/>
  <c r="L42" i="26" s="1"/>
  <c r="F94" i="26"/>
  <c r="K329" i="26"/>
  <c r="K330" i="26"/>
  <c r="L29" i="26"/>
  <c r="L324" i="26" s="1"/>
  <c r="L342" i="26" s="1"/>
  <c r="K333" i="26"/>
  <c r="K345" i="26"/>
  <c r="K339" i="26"/>
  <c r="K341" i="26"/>
  <c r="K328" i="26"/>
  <c r="F24" i="26"/>
  <c r="K300" i="26"/>
  <c r="K344" i="26"/>
  <c r="E345" i="26"/>
  <c r="E336" i="26"/>
  <c r="E334" i="26"/>
  <c r="E327" i="26"/>
  <c r="E333" i="26"/>
  <c r="E329" i="26"/>
  <c r="E331" i="26"/>
  <c r="E326" i="26"/>
  <c r="E328" i="26"/>
  <c r="E342" i="26"/>
  <c r="E337" i="26"/>
  <c r="E335" i="26"/>
  <c r="E330" i="26"/>
  <c r="E338" i="26"/>
  <c r="E341" i="26"/>
  <c r="E340" i="26"/>
  <c r="E339" i="26"/>
  <c r="E332" i="26"/>
  <c r="E344" i="26"/>
  <c r="E302" i="26"/>
  <c r="K306" i="26"/>
  <c r="N29" i="26"/>
  <c r="N324" i="26" s="1"/>
  <c r="N329" i="26" s="1"/>
  <c r="K343" i="26"/>
  <c r="K337" i="26"/>
  <c r="K335" i="26"/>
  <c r="K332" i="26"/>
  <c r="K342" i="26"/>
  <c r="K336" i="26"/>
  <c r="K334" i="26"/>
  <c r="K331" i="26"/>
  <c r="K326" i="26"/>
  <c r="K327" i="26"/>
  <c r="K340" i="26"/>
  <c r="E317" i="26"/>
  <c r="E308" i="26"/>
  <c r="E316" i="26"/>
  <c r="E300" i="26"/>
  <c r="E311" i="26"/>
  <c r="K307" i="26"/>
  <c r="K317" i="26"/>
  <c r="K316" i="26"/>
  <c r="K311" i="26"/>
  <c r="K308" i="26"/>
  <c r="K310" i="26"/>
  <c r="K309" i="26"/>
  <c r="K318" i="26"/>
  <c r="K312" i="26"/>
  <c r="K301" i="26"/>
  <c r="K313" i="26"/>
  <c r="K305" i="26"/>
  <c r="K299" i="26"/>
  <c r="K315" i="26"/>
  <c r="K303" i="26"/>
  <c r="I29" i="26"/>
  <c r="I324" i="26" s="1"/>
  <c r="I343" i="26" s="1"/>
  <c r="K302" i="26"/>
  <c r="K304" i="26"/>
  <c r="E303" i="26"/>
  <c r="E309" i="26"/>
  <c r="E301" i="26"/>
  <c r="E312" i="26"/>
  <c r="E315" i="26"/>
  <c r="E310" i="26"/>
  <c r="E305" i="26"/>
  <c r="E314" i="26"/>
  <c r="N297" i="26"/>
  <c r="N309" i="26" s="1"/>
  <c r="E304" i="26"/>
  <c r="E306" i="26"/>
  <c r="E318" i="26"/>
  <c r="H297" i="26"/>
  <c r="H309" i="26" s="1"/>
  <c r="E313" i="26"/>
  <c r="N323" i="26"/>
  <c r="O29" i="26"/>
  <c r="O324" i="26" s="1"/>
  <c r="O344" i="26" s="1"/>
  <c r="N94" i="26"/>
  <c r="H323" i="26"/>
  <c r="H29" i="26"/>
  <c r="H324" i="26" s="1"/>
  <c r="H335" i="26" s="1"/>
  <c r="H94" i="26"/>
  <c r="O317" i="26"/>
  <c r="O305" i="26"/>
  <c r="O316" i="26"/>
  <c r="O299" i="26"/>
  <c r="O315" i="26"/>
  <c r="O308" i="26"/>
  <c r="O300" i="26"/>
  <c r="O312" i="26"/>
  <c r="O314" i="26"/>
  <c r="O303" i="26"/>
  <c r="O310" i="26"/>
  <c r="O304" i="26"/>
  <c r="O302" i="26"/>
  <c r="O306" i="26"/>
  <c r="O318" i="26"/>
  <c r="O307" i="26"/>
  <c r="O313" i="26"/>
  <c r="O309" i="26"/>
  <c r="O301" i="26"/>
  <c r="O42" i="26"/>
  <c r="AA24" i="5"/>
  <c r="Z25" i="5"/>
  <c r="AC8" i="18"/>
  <c r="AB14" i="18"/>
  <c r="AC6" i="18"/>
  <c r="AB12" i="18"/>
  <c r="AB5" i="18"/>
  <c r="AA11" i="18"/>
  <c r="AC7" i="18"/>
  <c r="AB13" i="18"/>
  <c r="AC9" i="18"/>
  <c r="AB15" i="18"/>
  <c r="X11" i="5" a="1"/>
  <c r="X11" i="5" s="1"/>
  <c r="W9" i="5"/>
  <c r="W10" i="5" s="1"/>
  <c r="W32" i="5" s="1"/>
  <c r="U32" i="5"/>
  <c r="T32" i="5"/>
  <c r="S10" i="5"/>
  <c r="S32" i="5" s="1"/>
  <c r="Q32" i="5"/>
  <c r="AO22" i="5"/>
  <c r="AP16" i="5"/>
  <c r="AP21" i="5" s="1"/>
  <c r="AO18" i="5"/>
  <c r="U746" i="18"/>
  <c r="U726" i="18"/>
  <c r="U667" i="18"/>
  <c r="U704" i="18"/>
  <c r="U747" i="18"/>
  <c r="U709" i="18"/>
  <c r="U629" i="18"/>
  <c r="U657" i="18"/>
  <c r="U666" i="18"/>
  <c r="U705" i="18"/>
  <c r="U628" i="18"/>
  <c r="U728" i="18"/>
  <c r="U627" i="18"/>
  <c r="U579" i="18"/>
  <c r="U660" i="18"/>
  <c r="U584" i="18"/>
  <c r="U642" i="18"/>
  <c r="U552" i="18"/>
  <c r="U618" i="18"/>
  <c r="U544" i="18"/>
  <c r="U608" i="18"/>
  <c r="U541" i="18"/>
  <c r="U664" i="18"/>
  <c r="U546" i="18"/>
  <c r="U624" i="18"/>
  <c r="U527" i="18"/>
  <c r="U612" i="18"/>
  <c r="U469" i="18"/>
  <c r="U635" i="18"/>
  <c r="U474" i="18"/>
  <c r="U602" i="18"/>
  <c r="U463" i="18"/>
  <c r="U553" i="18"/>
  <c r="U452" i="18"/>
  <c r="U417" i="18"/>
  <c r="U637" i="18"/>
  <c r="U414" i="18"/>
  <c r="U673" i="18"/>
  <c r="U419" i="18"/>
  <c r="U352" i="18"/>
  <c r="U418" i="18"/>
  <c r="U325" i="18"/>
  <c r="U261" i="18"/>
  <c r="U197" i="18"/>
  <c r="U381" i="18"/>
  <c r="U306" i="18"/>
  <c r="U242" i="18"/>
  <c r="U478" i="18"/>
  <c r="U351" i="18"/>
  <c r="U287" i="18"/>
  <c r="U223" i="18"/>
  <c r="U521" i="18"/>
  <c r="U396" i="18"/>
  <c r="U316" i="18"/>
  <c r="U473" i="18"/>
  <c r="U337" i="18"/>
  <c r="U542" i="18"/>
  <c r="U272" i="18"/>
  <c r="U174" i="18"/>
  <c r="U110" i="18"/>
  <c r="U424" i="18"/>
  <c r="U217" i="18"/>
  <c r="U147" i="18"/>
  <c r="U83" i="18"/>
  <c r="U386" i="18"/>
  <c r="U246" i="18"/>
  <c r="U152" i="18"/>
  <c r="U88" i="18"/>
  <c r="U364" i="18"/>
  <c r="U212" i="18"/>
  <c r="U133" i="18"/>
  <c r="U69" i="18"/>
  <c r="U318" i="18"/>
  <c r="U198" i="18"/>
  <c r="U130" i="18"/>
  <c r="U66" i="18"/>
  <c r="U248" i="18"/>
  <c r="U369" i="18"/>
  <c r="U385" i="18"/>
  <c r="U116" i="18"/>
  <c r="U135" i="18"/>
  <c r="U156" i="18"/>
  <c r="U87" i="18"/>
  <c r="U256" i="18"/>
  <c r="U741" i="18"/>
  <c r="U721" i="18"/>
  <c r="U659" i="18"/>
  <c r="U696" i="18"/>
  <c r="U718" i="18"/>
  <c r="U681" i="18"/>
  <c r="U621" i="18"/>
  <c r="U652" i="18"/>
  <c r="U661" i="18"/>
  <c r="U701" i="18"/>
  <c r="U598" i="18"/>
  <c r="U724" i="18"/>
  <c r="U626" i="18"/>
  <c r="U571" i="18"/>
  <c r="U654" i="18"/>
  <c r="U576" i="18"/>
  <c r="U600" i="18"/>
  <c r="U547" i="18"/>
  <c r="U594" i="18"/>
  <c r="U536" i="18"/>
  <c r="U603" i="18"/>
  <c r="U533" i="18"/>
  <c r="U647" i="18"/>
  <c r="U538" i="18"/>
  <c r="U619" i="18"/>
  <c r="U519" i="18"/>
  <c r="U549" i="18"/>
  <c r="U461" i="18"/>
  <c r="U607" i="18"/>
  <c r="U466" i="18"/>
  <c r="U569" i="18"/>
  <c r="U455" i="18"/>
  <c r="U523" i="18"/>
  <c r="U444" i="18"/>
  <c r="U409" i="18"/>
  <c r="U599" i="18"/>
  <c r="U406" i="18"/>
  <c r="U633" i="18"/>
  <c r="U411" i="18"/>
  <c r="U663" i="18"/>
  <c r="U394" i="18"/>
  <c r="U317" i="18"/>
  <c r="U253" i="18"/>
  <c r="U189" i="18"/>
  <c r="U380" i="18"/>
  <c r="U298" i="18"/>
  <c r="U234" i="18"/>
  <c r="U441" i="18"/>
  <c r="U343" i="18"/>
  <c r="U279" i="18"/>
  <c r="U215" i="18"/>
  <c r="U499" i="18"/>
  <c r="U375" i="18"/>
  <c r="U308" i="18"/>
  <c r="U459" i="18"/>
  <c r="U329" i="18"/>
  <c r="U402" i="18"/>
  <c r="U252" i="18"/>
  <c r="U166" i="18"/>
  <c r="U102" i="18"/>
  <c r="U377" i="18"/>
  <c r="U216" i="18"/>
  <c r="U139" i="18"/>
  <c r="U75" i="18"/>
  <c r="U370" i="18"/>
  <c r="U225" i="18"/>
  <c r="U144" i="18"/>
  <c r="U80" i="18"/>
  <c r="U336" i="18"/>
  <c r="U211" i="18"/>
  <c r="U125" i="18"/>
  <c r="U61" i="18"/>
  <c r="U291" i="18"/>
  <c r="U182" i="18"/>
  <c r="U122" i="18"/>
  <c r="U58" i="18"/>
  <c r="U214" i="18"/>
  <c r="U347" i="18"/>
  <c r="U310" i="18"/>
  <c r="U470" i="18"/>
  <c r="U108" i="18"/>
  <c r="U129" i="18"/>
  <c r="U76" i="18"/>
  <c r="U206" i="18"/>
  <c r="U736" i="18"/>
  <c r="U715" i="18"/>
  <c r="U651" i="18"/>
  <c r="U688" i="18"/>
  <c r="U716" i="18"/>
  <c r="U679" i="18"/>
  <c r="U613" i="18"/>
  <c r="U752" i="18"/>
  <c r="U656" i="18"/>
  <c r="U682" i="18"/>
  <c r="U590" i="18"/>
  <c r="U703" i="18"/>
  <c r="U616" i="18"/>
  <c r="U739" i="18"/>
  <c r="U641" i="18"/>
  <c r="U568" i="18"/>
  <c r="U597" i="18"/>
  <c r="U539" i="18"/>
  <c r="U593" i="18"/>
  <c r="U528" i="18"/>
  <c r="U581" i="18"/>
  <c r="U525" i="18"/>
  <c r="U634" i="18"/>
  <c r="U530" i="18"/>
  <c r="U614" i="18"/>
  <c r="U511" i="18"/>
  <c r="U545" i="18"/>
  <c r="U453" i="18"/>
  <c r="U591" i="18"/>
  <c r="U458" i="18"/>
  <c r="U529" i="18"/>
  <c r="U447" i="18"/>
  <c r="U507" i="18"/>
  <c r="U436" i="18"/>
  <c r="U398" i="18"/>
  <c r="U540" i="18"/>
  <c r="U395" i="18"/>
  <c r="U622" i="18"/>
  <c r="U403" i="18"/>
  <c r="U583" i="18"/>
  <c r="U393" i="18"/>
  <c r="U309" i="18"/>
  <c r="U245" i="18"/>
  <c r="U181" i="18"/>
  <c r="U359" i="18"/>
  <c r="U290" i="18"/>
  <c r="U226" i="18"/>
  <c r="U427" i="18"/>
  <c r="U335" i="18"/>
  <c r="U271" i="18"/>
  <c r="U207" i="18"/>
  <c r="U494" i="18"/>
  <c r="U354" i="18"/>
  <c r="U300" i="18"/>
  <c r="U408" i="18"/>
  <c r="U321" i="18"/>
  <c r="U365" i="18"/>
  <c r="U251" i="18"/>
  <c r="U158" i="18"/>
  <c r="U94" i="18"/>
  <c r="U342" i="18"/>
  <c r="U196" i="18"/>
  <c r="U131" i="18"/>
  <c r="U67" i="18"/>
  <c r="U344" i="18"/>
  <c r="U224" i="18"/>
  <c r="U136" i="18"/>
  <c r="U72" i="18"/>
  <c r="U326" i="18"/>
  <c r="U190" i="18"/>
  <c r="U117" i="18"/>
  <c r="U53" i="18"/>
  <c r="U275" i="18"/>
  <c r="U178" i="18"/>
  <c r="U114" i="18"/>
  <c r="U489" i="18"/>
  <c r="U169" i="18"/>
  <c r="U257" i="18"/>
  <c r="U235" i="18"/>
  <c r="U331" i="18"/>
  <c r="U81" i="18"/>
  <c r="U49" i="18"/>
  <c r="U270" i="18"/>
  <c r="U127" i="18"/>
  <c r="U730" i="18"/>
  <c r="U707" i="18"/>
  <c r="U643" i="18"/>
  <c r="U680" i="18"/>
  <c r="U714" i="18"/>
  <c r="U677" i="18"/>
  <c r="U605" i="18"/>
  <c r="U740" i="18"/>
  <c r="U631" i="18"/>
  <c r="U698" i="18"/>
  <c r="U582" i="18"/>
  <c r="U686" i="18"/>
  <c r="U611" i="18"/>
  <c r="U723" i="18"/>
  <c r="U625" i="18"/>
  <c r="U560" i="18"/>
  <c r="U748" i="18"/>
  <c r="U531" i="18"/>
  <c r="U573" i="18"/>
  <c r="U520" i="18"/>
  <c r="U580" i="18"/>
  <c r="U517" i="18"/>
  <c r="U589" i="18"/>
  <c r="U522" i="18"/>
  <c r="U609" i="18"/>
  <c r="U503" i="18"/>
  <c r="U516" i="18"/>
  <c r="U445" i="18"/>
  <c r="U537" i="18"/>
  <c r="U450" i="18"/>
  <c r="U526" i="18"/>
  <c r="U439" i="18"/>
  <c r="U492" i="18"/>
  <c r="U428" i="18"/>
  <c r="U390" i="18"/>
  <c r="U480" i="18"/>
  <c r="U387" i="18"/>
  <c r="U518" i="18"/>
  <c r="U392" i="18"/>
  <c r="U548" i="18"/>
  <c r="U373" i="18"/>
  <c r="U301" i="18"/>
  <c r="U237" i="18"/>
  <c r="U488" i="18"/>
  <c r="U346" i="18"/>
  <c r="U282" i="18"/>
  <c r="U218" i="18"/>
  <c r="U413" i="18"/>
  <c r="U327" i="18"/>
  <c r="U263" i="18"/>
  <c r="U199" i="18"/>
  <c r="U457" i="18"/>
  <c r="U353" i="18"/>
  <c r="U292" i="18"/>
  <c r="U407" i="18"/>
  <c r="U313" i="18"/>
  <c r="U350" i="18"/>
  <c r="U230" i="18"/>
  <c r="U150" i="18"/>
  <c r="U86" i="18"/>
  <c r="U315" i="18"/>
  <c r="U195" i="18"/>
  <c r="U123" i="18"/>
  <c r="U59" i="18"/>
  <c r="U334" i="18"/>
  <c r="U204" i="18"/>
  <c r="U128" i="18"/>
  <c r="U64" i="18"/>
  <c r="U299" i="18"/>
  <c r="U173" i="18"/>
  <c r="U109" i="18"/>
  <c r="U532" i="18"/>
  <c r="U262" i="18"/>
  <c r="U170" i="18"/>
  <c r="U106" i="18"/>
  <c r="U475" i="18"/>
  <c r="U159" i="18"/>
  <c r="U192" i="18"/>
  <c r="U201" i="18"/>
  <c r="U320" i="18"/>
  <c r="U71" i="18"/>
  <c r="U339" i="18"/>
  <c r="U167" i="18"/>
  <c r="U89" i="18"/>
  <c r="U722" i="18"/>
  <c r="U699" i="18"/>
  <c r="U735" i="18"/>
  <c r="U672" i="18"/>
  <c r="U738" i="18"/>
  <c r="U708" i="18"/>
  <c r="U695" i="18"/>
  <c r="U733" i="18"/>
  <c r="U749" i="18"/>
  <c r="U653" i="18"/>
  <c r="U574" i="18"/>
  <c r="U650" i="18"/>
  <c r="U606" i="18"/>
  <c r="U692" i="18"/>
  <c r="U620" i="18"/>
  <c r="U710" i="18"/>
  <c r="U676" i="18"/>
  <c r="U668" i="18"/>
  <c r="U572" i="18"/>
  <c r="U512" i="18"/>
  <c r="U561" i="18"/>
  <c r="U509" i="18"/>
  <c r="U588" i="18"/>
  <c r="U514" i="18"/>
  <c r="U604" i="18"/>
  <c r="U495" i="18"/>
  <c r="U500" i="18"/>
  <c r="U437" i="18"/>
  <c r="U513" i="18"/>
  <c r="U442" i="18"/>
  <c r="U510" i="18"/>
  <c r="U431" i="18"/>
  <c r="U484" i="18"/>
  <c r="U483" i="18"/>
  <c r="U382" i="18"/>
  <c r="U464" i="18"/>
  <c r="U379" i="18"/>
  <c r="U481" i="18"/>
  <c r="U384" i="18"/>
  <c r="U505" i="18"/>
  <c r="U372" i="18"/>
  <c r="U293" i="18"/>
  <c r="U229" i="18"/>
  <c r="U462" i="18"/>
  <c r="U338" i="18"/>
  <c r="U274" i="18"/>
  <c r="U210" i="18"/>
  <c r="U412" i="18"/>
  <c r="U319" i="18"/>
  <c r="U255" i="18"/>
  <c r="U191" i="18"/>
  <c r="U443" i="18"/>
  <c r="U348" i="18"/>
  <c r="U284" i="18"/>
  <c r="U383" i="18"/>
  <c r="U305" i="18"/>
  <c r="U323" i="18"/>
  <c r="U209" i="18"/>
  <c r="U142" i="18"/>
  <c r="U78" i="18"/>
  <c r="U288" i="18"/>
  <c r="U179" i="18"/>
  <c r="U115" i="18"/>
  <c r="U51" i="18"/>
  <c r="U307" i="18"/>
  <c r="U203" i="18"/>
  <c r="U120" i="18"/>
  <c r="U56" i="18"/>
  <c r="U278" i="18"/>
  <c r="U165" i="18"/>
  <c r="U101" i="18"/>
  <c r="U410" i="18"/>
  <c r="U241" i="18"/>
  <c r="U162" i="18"/>
  <c r="U98" i="18"/>
  <c r="U440" i="18"/>
  <c r="U132" i="18"/>
  <c r="U161" i="18"/>
  <c r="U185" i="18"/>
  <c r="U244" i="18"/>
  <c r="U62" i="18"/>
  <c r="U227" i="18"/>
  <c r="U140" i="18"/>
  <c r="U745" i="18"/>
  <c r="U750" i="18"/>
  <c r="U691" i="18"/>
  <c r="U734" i="18"/>
  <c r="U720" i="18"/>
  <c r="U731" i="18"/>
  <c r="U694" i="18"/>
  <c r="U690" i="18"/>
  <c r="U729" i="18"/>
  <c r="U742" i="18"/>
  <c r="U648" i="18"/>
  <c r="U566" i="18"/>
  <c r="U649" i="18"/>
  <c r="U601" i="18"/>
  <c r="U674" i="18"/>
  <c r="U615" i="18"/>
  <c r="U697" i="18"/>
  <c r="U586" i="18"/>
  <c r="U658" i="18"/>
  <c r="U564" i="18"/>
  <c r="U504" i="18"/>
  <c r="U559" i="18"/>
  <c r="U501" i="18"/>
  <c r="U567" i="18"/>
  <c r="U506" i="18"/>
  <c r="U575" i="18"/>
  <c r="U617" i="18"/>
  <c r="U493" i="18"/>
  <c r="U429" i="18"/>
  <c r="U497" i="18"/>
  <c r="U434" i="18"/>
  <c r="U487" i="18"/>
  <c r="U423" i="18"/>
  <c r="U476" i="18"/>
  <c r="U467" i="18"/>
  <c r="U374" i="18"/>
  <c r="U448" i="18"/>
  <c r="U371" i="18"/>
  <c r="U465" i="18"/>
  <c r="U376" i="18"/>
  <c r="U486" i="18"/>
  <c r="U349" i="18"/>
  <c r="U285" i="18"/>
  <c r="U221" i="18"/>
  <c r="U425" i="18"/>
  <c r="U330" i="18"/>
  <c r="U266" i="18"/>
  <c r="U202" i="18"/>
  <c r="U389" i="18"/>
  <c r="U311" i="18"/>
  <c r="U247" i="18"/>
  <c r="U183" i="18"/>
  <c r="U421" i="18"/>
  <c r="U340" i="18"/>
  <c r="U276" i="18"/>
  <c r="U362" i="18"/>
  <c r="U297" i="18"/>
  <c r="U296" i="18"/>
  <c r="U208" i="18"/>
  <c r="U134" i="18"/>
  <c r="U70" i="18"/>
  <c r="U260" i="18"/>
  <c r="U171" i="18"/>
  <c r="U107" i="18"/>
  <c r="U596" i="18"/>
  <c r="U280" i="18"/>
  <c r="U176" i="18"/>
  <c r="U112" i="18"/>
  <c r="U491" i="18"/>
  <c r="U254" i="18"/>
  <c r="U157" i="18"/>
  <c r="U93" i="18"/>
  <c r="U391" i="18"/>
  <c r="U240" i="18"/>
  <c r="U154" i="18"/>
  <c r="U90" i="18"/>
  <c r="U415" i="18"/>
  <c r="U105" i="18"/>
  <c r="U151" i="18"/>
  <c r="U180" i="18"/>
  <c r="U228" i="18"/>
  <c r="U48" i="18"/>
  <c r="U175" i="18"/>
  <c r="U113" i="18"/>
  <c r="U737" i="18"/>
  <c r="U744" i="18"/>
  <c r="U683" i="18"/>
  <c r="U732" i="18"/>
  <c r="U719" i="18"/>
  <c r="U713" i="18"/>
  <c r="U678" i="18"/>
  <c r="U689" i="18"/>
  <c r="U700" i="18"/>
  <c r="U727" i="18"/>
  <c r="U632" i="18"/>
  <c r="U558" i="18"/>
  <c r="U640" i="18"/>
  <c r="U595" i="18"/>
  <c r="U670" i="18"/>
  <c r="U610" i="18"/>
  <c r="U685" i="18"/>
  <c r="U585" i="18"/>
  <c r="U645" i="18"/>
  <c r="U563" i="18"/>
  <c r="U496" i="18"/>
  <c r="U557" i="18"/>
  <c r="U693" i="18"/>
  <c r="U556" i="18"/>
  <c r="U498" i="18"/>
  <c r="U543" i="18"/>
  <c r="U570" i="18"/>
  <c r="U485" i="18"/>
  <c r="U706" i="18"/>
  <c r="U490" i="18"/>
  <c r="U426" i="18"/>
  <c r="U479" i="18"/>
  <c r="U644" i="18"/>
  <c r="U468" i="18"/>
  <c r="U451" i="18"/>
  <c r="U366" i="18"/>
  <c r="U432" i="18"/>
  <c r="U363" i="18"/>
  <c r="U449" i="18"/>
  <c r="U368" i="18"/>
  <c r="U472" i="18"/>
  <c r="U341" i="18"/>
  <c r="U277" i="18"/>
  <c r="U213" i="18"/>
  <c r="U405" i="18"/>
  <c r="U322" i="18"/>
  <c r="U258" i="18"/>
  <c r="U194" i="18"/>
  <c r="U388" i="18"/>
  <c r="U303" i="18"/>
  <c r="U239" i="18"/>
  <c r="U687" i="18"/>
  <c r="U420" i="18"/>
  <c r="U332" i="18"/>
  <c r="U577" i="18"/>
  <c r="U361" i="18"/>
  <c r="U289" i="18"/>
  <c r="U286" i="18"/>
  <c r="U188" i="18"/>
  <c r="U126" i="18"/>
  <c r="U502" i="18"/>
  <c r="U259" i="18"/>
  <c r="U163" i="18"/>
  <c r="U99" i="18"/>
  <c r="U534" i="18"/>
  <c r="U268" i="18"/>
  <c r="U168" i="18"/>
  <c r="U104" i="18"/>
  <c r="U454" i="18"/>
  <c r="U233" i="18"/>
  <c r="U149" i="18"/>
  <c r="U85" i="18"/>
  <c r="U357" i="18"/>
  <c r="U220" i="18"/>
  <c r="U146" i="18"/>
  <c r="U82" i="18"/>
  <c r="U312" i="18"/>
  <c r="U524" i="18"/>
  <c r="U124" i="18"/>
  <c r="U153" i="18"/>
  <c r="U172" i="18"/>
  <c r="U265" i="18"/>
  <c r="U148" i="18"/>
  <c r="U294" i="18"/>
  <c r="U743" i="18"/>
  <c r="U725" i="18"/>
  <c r="U565" i="18"/>
  <c r="U535" i="18"/>
  <c r="U460" i="18"/>
  <c r="U333" i="18"/>
  <c r="U295" i="18"/>
  <c r="U273" i="18"/>
  <c r="U267" i="18"/>
  <c r="U219" i="18"/>
  <c r="U184" i="18"/>
  <c r="U100" i="18"/>
  <c r="U97" i="18"/>
  <c r="U137" i="18"/>
  <c r="U243" i="18"/>
  <c r="U675" i="18"/>
  <c r="U630" i="18"/>
  <c r="U623" i="18"/>
  <c r="U515" i="18"/>
  <c r="U435" i="18"/>
  <c r="U269" i="18"/>
  <c r="U231" i="18"/>
  <c r="U187" i="18"/>
  <c r="U160" i="18"/>
  <c r="U138" i="18"/>
  <c r="U121" i="18"/>
  <c r="U95" i="18"/>
  <c r="U222" i="18"/>
  <c r="U302" i="18"/>
  <c r="U63" i="18"/>
  <c r="U712" i="18"/>
  <c r="U550" i="18"/>
  <c r="U562" i="18"/>
  <c r="U477" i="18"/>
  <c r="U358" i="18"/>
  <c r="U205" i="18"/>
  <c r="U554" i="18"/>
  <c r="U118" i="18"/>
  <c r="U96" i="18"/>
  <c r="U74" i="18"/>
  <c r="U283" i="18"/>
  <c r="U84" i="18"/>
  <c r="U103" i="18"/>
  <c r="U55" i="18"/>
  <c r="U592" i="18"/>
  <c r="U360" i="18"/>
  <c r="U143" i="18"/>
  <c r="U65" i="18"/>
  <c r="U717" i="18"/>
  <c r="U639" i="18"/>
  <c r="U636" i="18"/>
  <c r="U646" i="18"/>
  <c r="U422" i="18"/>
  <c r="U404" i="18"/>
  <c r="U397" i="18"/>
  <c r="U456" i="18"/>
  <c r="U416" i="18"/>
  <c r="U264" i="18"/>
  <c r="U54" i="18"/>
  <c r="U73" i="18"/>
  <c r="U236" i="18"/>
  <c r="U68" i="18"/>
  <c r="U662" i="18"/>
  <c r="U471" i="18"/>
  <c r="U345" i="18"/>
  <c r="U200" i="18"/>
  <c r="U92" i="18"/>
  <c r="U671" i="18"/>
  <c r="U702" i="18"/>
  <c r="U446" i="18"/>
  <c r="U367" i="18"/>
  <c r="U430" i="18"/>
  <c r="U145" i="18"/>
  <c r="U60" i="18"/>
  <c r="U711" i="18"/>
  <c r="U587" i="18"/>
  <c r="U551" i="18"/>
  <c r="U482" i="18"/>
  <c r="U355" i="18"/>
  <c r="U314" i="18"/>
  <c r="U324" i="18"/>
  <c r="U238" i="18"/>
  <c r="U232" i="18"/>
  <c r="U378" i="18"/>
  <c r="U304" i="18"/>
  <c r="U57" i="18"/>
  <c r="U164" i="18"/>
  <c r="U193" i="18"/>
  <c r="U91" i="18"/>
  <c r="U655" i="18"/>
  <c r="U177" i="18"/>
  <c r="U638" i="18"/>
  <c r="U665" i="18"/>
  <c r="U684" i="18"/>
  <c r="U669" i="18"/>
  <c r="U433" i="18"/>
  <c r="U250" i="18"/>
  <c r="U508" i="18"/>
  <c r="U155" i="18"/>
  <c r="U141" i="18"/>
  <c r="U438" i="18"/>
  <c r="U249" i="18"/>
  <c r="U52" i="18"/>
  <c r="U111" i="18"/>
  <c r="U79" i="18"/>
  <c r="U555" i="18"/>
  <c r="U186" i="18"/>
  <c r="U77" i="18"/>
  <c r="U356" i="18"/>
  <c r="U751" i="18"/>
  <c r="U578" i="18"/>
  <c r="U281" i="18"/>
  <c r="U328" i="18"/>
  <c r="U119" i="18"/>
  <c r="U50" i="18"/>
  <c r="P4" i="18"/>
  <c r="P44" i="18" s="1"/>
  <c r="O401" i="18"/>
  <c r="O754" i="18"/>
  <c r="O47" i="18"/>
  <c r="Y38" i="18"/>
  <c r="X790" i="18"/>
  <c r="X1101" i="18"/>
  <c r="X1098" i="18"/>
  <c r="X1097" i="18"/>
  <c r="X1078" i="18"/>
  <c r="X1043" i="18"/>
  <c r="X1040" i="18"/>
  <c r="X1036" i="18"/>
  <c r="X1033" i="18"/>
  <c r="X989" i="18"/>
  <c r="X1004" i="18"/>
  <c r="X1013" i="18"/>
  <c r="X1052" i="18"/>
  <c r="X1023" i="18"/>
  <c r="X992" i="18"/>
  <c r="X986" i="18"/>
  <c r="X959" i="18"/>
  <c r="X900" i="18"/>
  <c r="X945" i="18"/>
  <c r="X954" i="18"/>
  <c r="X915" i="18"/>
  <c r="X1000" i="18"/>
  <c r="X917" i="18"/>
  <c r="X1018" i="18"/>
  <c r="X921" i="18"/>
  <c r="X872" i="18"/>
  <c r="X952" i="18"/>
  <c r="X860" i="18"/>
  <c r="X796" i="18"/>
  <c r="X857" i="18"/>
  <c r="X854" i="18"/>
  <c r="X835" i="18"/>
  <c r="X771" i="18"/>
  <c r="X837" i="18"/>
  <c r="X773" i="18"/>
  <c r="X802" i="18"/>
  <c r="X830" i="18"/>
  <c r="X964" i="18"/>
  <c r="X824" i="18"/>
  <c r="X1093" i="18"/>
  <c r="X1090" i="18"/>
  <c r="X1089" i="18"/>
  <c r="X1070" i="18"/>
  <c r="X1035" i="18"/>
  <c r="X1032" i="18"/>
  <c r="X1028" i="18"/>
  <c r="X1025" i="18"/>
  <c r="X981" i="18"/>
  <c r="X996" i="18"/>
  <c r="X1009" i="18"/>
  <c r="X1042" i="18"/>
  <c r="X995" i="18"/>
  <c r="X974" i="18"/>
  <c r="X979" i="18"/>
  <c r="X948" i="18"/>
  <c r="X892" i="18"/>
  <c r="X937" i="18"/>
  <c r="X942" i="18"/>
  <c r="X907" i="18"/>
  <c r="X991" i="18"/>
  <c r="X909" i="18"/>
  <c r="X920" i="18"/>
  <c r="X928" i="18"/>
  <c r="X776" i="18"/>
  <c r="X756" i="18"/>
  <c r="X1104" i="18"/>
  <c r="X1085" i="18"/>
  <c r="X1082" i="18"/>
  <c r="X1081" i="18"/>
  <c r="X1062" i="18"/>
  <c r="X1027" i="18"/>
  <c r="X1024" i="18"/>
  <c r="X1020" i="18"/>
  <c r="X1017" i="18"/>
  <c r="X1092" i="18"/>
  <c r="X988" i="18"/>
  <c r="X1001" i="18"/>
  <c r="X1026" i="18"/>
  <c r="X977" i="18"/>
  <c r="X966" i="18"/>
  <c r="X971" i="18"/>
  <c r="X946" i="18"/>
  <c r="X884" i="18"/>
  <c r="X929" i="18"/>
  <c r="X934" i="18"/>
  <c r="X899" i="18"/>
  <c r="X978" i="18"/>
  <c r="X901" i="18"/>
  <c r="X913" i="18"/>
  <c r="X831" i="18"/>
  <c r="X783" i="18"/>
  <c r="X1096" i="18"/>
  <c r="X1077" i="18"/>
  <c r="X1074" i="18"/>
  <c r="X1073" i="18"/>
  <c r="X1054" i="18"/>
  <c r="X1019" i="18"/>
  <c r="X1016" i="18"/>
  <c r="X1100" i="18"/>
  <c r="X1051" i="18"/>
  <c r="X1048" i="18"/>
  <c r="X980" i="18"/>
  <c r="X993" i="18"/>
  <c r="X1006" i="18"/>
  <c r="X969" i="18"/>
  <c r="X958" i="18"/>
  <c r="X963" i="18"/>
  <c r="X940" i="18"/>
  <c r="X876" i="18"/>
  <c r="X1015" i="18"/>
  <c r="X926" i="18"/>
  <c r="X891" i="18"/>
  <c r="X957" i="18"/>
  <c r="X893" i="18"/>
  <c r="X906" i="18"/>
  <c r="X842" i="18"/>
  <c r="X1088" i="18"/>
  <c r="X1069" i="18"/>
  <c r="X1066" i="18"/>
  <c r="X1065" i="18"/>
  <c r="X1046" i="18"/>
  <c r="X1011" i="18"/>
  <c r="X1075" i="18"/>
  <c r="X1067" i="18"/>
  <c r="X1037" i="18"/>
  <c r="X1038" i="18"/>
  <c r="X1099" i="18"/>
  <c r="X985" i="18"/>
  <c r="X998" i="18"/>
  <c r="X961" i="18"/>
  <c r="X950" i="18"/>
  <c r="X955" i="18"/>
  <c r="X932" i="18"/>
  <c r="X868" i="18"/>
  <c r="X1003" i="18"/>
  <c r="X962" i="18"/>
  <c r="X883" i="18"/>
  <c r="X956" i="18"/>
  <c r="X885" i="18"/>
  <c r="X870" i="18"/>
  <c r="X833" i="18"/>
  <c r="X782" i="18"/>
  <c r="X1080" i="18"/>
  <c r="X1061" i="18"/>
  <c r="X1058" i="18"/>
  <c r="X1102" i="18"/>
  <c r="X1084" i="18"/>
  <c r="X1103" i="18"/>
  <c r="X1071" i="18"/>
  <c r="X1063" i="18"/>
  <c r="X1021" i="18"/>
  <c r="X1022" i="18"/>
  <c r="X1095" i="18"/>
  <c r="X1091" i="18"/>
  <c r="X990" i="18"/>
  <c r="X953" i="18"/>
  <c r="X1079" i="18"/>
  <c r="X947" i="18"/>
  <c r="X924" i="18"/>
  <c r="X987" i="18"/>
  <c r="X994" i="18"/>
  <c r="X939" i="18"/>
  <c r="X875" i="18"/>
  <c r="X941" i="18"/>
  <c r="X877" i="18"/>
  <c r="X1030" i="18"/>
  <c r="X922" i="18"/>
  <c r="X894" i="18"/>
  <c r="X903" i="18"/>
  <c r="X820" i="18"/>
  <c r="X936" i="18"/>
  <c r="X896" i="18"/>
  <c r="X859" i="18"/>
  <c r="X795" i="18"/>
  <c r="X871" i="18"/>
  <c r="X797" i="18"/>
  <c r="X840" i="18"/>
  <c r="X858" i="18"/>
  <c r="X1072" i="18"/>
  <c r="X1053" i="18"/>
  <c r="X1050" i="18"/>
  <c r="X1094" i="18"/>
  <c r="X1056" i="18"/>
  <c r="X1076" i="18"/>
  <c r="X1047" i="18"/>
  <c r="X1055" i="18"/>
  <c r="X1005" i="18"/>
  <c r="X1012" i="18"/>
  <c r="X1068" i="18"/>
  <c r="X1087" i="18"/>
  <c r="X982" i="18"/>
  <c r="X1014" i="18"/>
  <c r="X1034" i="18"/>
  <c r="X999" i="18"/>
  <c r="X916" i="18"/>
  <c r="X968" i="18"/>
  <c r="X976" i="18"/>
  <c r="X931" i="18"/>
  <c r="X867" i="18"/>
  <c r="X933" i="18"/>
  <c r="X869" i="18"/>
  <c r="X983" i="18"/>
  <c r="X886" i="18"/>
  <c r="X887" i="18"/>
  <c r="X897" i="18"/>
  <c r="X812" i="18"/>
  <c r="X889" i="18"/>
  <c r="X873" i="18"/>
  <c r="X851" i="18"/>
  <c r="X787" i="18"/>
  <c r="X853" i="18"/>
  <c r="X789" i="18"/>
  <c r="X1041" i="18"/>
  <c r="X960" i="18"/>
  <c r="X972" i="18"/>
  <c r="X1039" i="18"/>
  <c r="X852" i="18"/>
  <c r="X970" i="18"/>
  <c r="X838" i="18"/>
  <c r="X779" i="18"/>
  <c r="X813" i="18"/>
  <c r="X944" i="18"/>
  <c r="X757" i="18"/>
  <c r="X760" i="18"/>
  <c r="X793" i="18"/>
  <c r="X766" i="18"/>
  <c r="X784" i="18"/>
  <c r="X984" i="18"/>
  <c r="X1064" i="18"/>
  <c r="X997" i="18"/>
  <c r="X908" i="18"/>
  <c r="X914" i="18"/>
  <c r="X935" i="18"/>
  <c r="X844" i="18"/>
  <c r="X878" i="18"/>
  <c r="X930" i="18"/>
  <c r="X951" i="18"/>
  <c r="X805" i="18"/>
  <c r="X809" i="18"/>
  <c r="X808" i="18"/>
  <c r="X949" i="18"/>
  <c r="X848" i="18"/>
  <c r="X898" i="18"/>
  <c r="X755" i="18"/>
  <c r="X785" i="18"/>
  <c r="X768" i="18"/>
  <c r="X826" i="18"/>
  <c r="X1045" i="18"/>
  <c r="X1010" i="18"/>
  <c r="X967" i="18"/>
  <c r="X1007" i="18"/>
  <c r="X880" i="18"/>
  <c r="X836" i="18"/>
  <c r="X849" i="18"/>
  <c r="X881" i="18"/>
  <c r="X890" i="18"/>
  <c r="X781" i="18"/>
  <c r="X973" i="18"/>
  <c r="X786" i="18"/>
  <c r="X814" i="18"/>
  <c r="X938" i="18"/>
  <c r="X775" i="18"/>
  <c r="X777" i="18"/>
  <c r="X1105" i="18"/>
  <c r="X1029" i="18"/>
  <c r="X975" i="18"/>
  <c r="X965" i="18"/>
  <c r="X927" i="18"/>
  <c r="X828" i="18"/>
  <c r="X841" i="18"/>
  <c r="X843" i="18"/>
  <c r="X888" i="18"/>
  <c r="X762" i="18"/>
  <c r="X823" i="18"/>
  <c r="X910" i="18"/>
  <c r="X765" i="18"/>
  <c r="X801" i="18"/>
  <c r="X866" i="18"/>
  <c r="X856" i="18"/>
  <c r="X864" i="18"/>
  <c r="X778" i="18"/>
  <c r="X806" i="18"/>
  <c r="X1086" i="18"/>
  <c r="X1060" i="18"/>
  <c r="X923" i="18"/>
  <c r="X943" i="18"/>
  <c r="X902" i="18"/>
  <c r="X804" i="18"/>
  <c r="X918" i="18"/>
  <c r="X827" i="18"/>
  <c r="X874" i="18"/>
  <c r="X807" i="18"/>
  <c r="X832" i="18"/>
  <c r="X763" i="18"/>
  <c r="X770" i="18"/>
  <c r="X798" i="18"/>
  <c r="X1049" i="18"/>
  <c r="X1083" i="18"/>
  <c r="X1031" i="18"/>
  <c r="X879" i="18"/>
  <c r="X895" i="18"/>
  <c r="X788" i="18"/>
  <c r="X912" i="18"/>
  <c r="X819" i="18"/>
  <c r="X845" i="18"/>
  <c r="X794" i="18"/>
  <c r="X822" i="18"/>
  <c r="X905" i="18"/>
  <c r="X818" i="18"/>
  <c r="X759" i="18"/>
  <c r="X810" i="18"/>
  <c r="X799" i="18"/>
  <c r="X1057" i="18"/>
  <c r="X1008" i="18"/>
  <c r="X925" i="18"/>
  <c r="X865" i="18"/>
  <c r="X919" i="18"/>
  <c r="X780" i="18"/>
  <c r="X863" i="18"/>
  <c r="X811" i="18"/>
  <c r="X829" i="18"/>
  <c r="X816" i="18"/>
  <c r="X850" i="18"/>
  <c r="X764" i="18"/>
  <c r="X911" i="18"/>
  <c r="X800" i="18"/>
  <c r="X774" i="18"/>
  <c r="X817" i="18"/>
  <c r="X825" i="18"/>
  <c r="X791" i="18"/>
  <c r="X862" i="18"/>
  <c r="X815" i="18"/>
  <c r="X772" i="18"/>
  <c r="X846" i="18"/>
  <c r="X803" i="18"/>
  <c r="X847" i="18"/>
  <c r="X761" i="18"/>
  <c r="X1044" i="18"/>
  <c r="X821" i="18"/>
  <c r="X855" i="18"/>
  <c r="X792" i="18"/>
  <c r="X769" i="18"/>
  <c r="X1002" i="18"/>
  <c r="X839" i="18"/>
  <c r="X767" i="18"/>
  <c r="X834" i="18"/>
  <c r="X1059" i="18"/>
  <c r="X904" i="18"/>
  <c r="X758" i="18"/>
  <c r="X861" i="18"/>
  <c r="X882" i="18"/>
  <c r="V32" i="5"/>
  <c r="AT5" i="22"/>
  <c r="AK32" i="4"/>
  <c r="AJ31" i="4"/>
  <c r="AN82" i="5"/>
  <c r="Y110" i="5" s="1"/>
  <c r="AM82" i="5"/>
  <c r="Y109" i="5" s="1"/>
  <c r="AO82" i="5"/>
  <c r="Y111" i="5" s="1"/>
  <c r="AK82" i="5"/>
  <c r="Y108" i="5" s="1"/>
  <c r="AJ82" i="5"/>
  <c r="Y107" i="5" s="1"/>
  <c r="Y6" i="5" s="1"/>
  <c r="AI82" i="5"/>
  <c r="Y106" i="5" s="1"/>
  <c r="AK36" i="4"/>
  <c r="AL34" i="4"/>
  <c r="AL35" i="4" s="1"/>
  <c r="AP19" i="5" l="1"/>
  <c r="H257" i="26"/>
  <c r="I256" i="26"/>
  <c r="H255" i="26"/>
  <c r="I254" i="26"/>
  <c r="H256" i="26"/>
  <c r="I255" i="26"/>
  <c r="H258" i="26"/>
  <c r="I257" i="26"/>
  <c r="H254" i="26"/>
  <c r="H274" i="26" s="1"/>
  <c r="I175" i="26"/>
  <c r="L314" i="26"/>
  <c r="BE4" i="20"/>
  <c r="BF4" i="20" s="1"/>
  <c r="BF5" i="20"/>
  <c r="L58" i="26"/>
  <c r="L71" i="26" s="1"/>
  <c r="O58" i="26"/>
  <c r="O71" i="26" s="1"/>
  <c r="N58" i="26"/>
  <c r="N71" i="26" s="1"/>
  <c r="H58" i="26"/>
  <c r="H71" i="26" s="1"/>
  <c r="L114" i="1"/>
  <c r="E96" i="26"/>
  <c r="L312" i="26"/>
  <c r="L306" i="26"/>
  <c r="L307" i="26"/>
  <c r="L308" i="26"/>
  <c r="L313" i="26"/>
  <c r="L303" i="26"/>
  <c r="L309" i="26"/>
  <c r="L301" i="26"/>
  <c r="L315" i="26"/>
  <c r="L311" i="26"/>
  <c r="L299" i="26"/>
  <c r="L305" i="26"/>
  <c r="L300" i="26"/>
  <c r="L317" i="26"/>
  <c r="L302" i="26"/>
  <c r="L318" i="26"/>
  <c r="L310" i="26"/>
  <c r="L316" i="26"/>
  <c r="L234" i="26"/>
  <c r="N235" i="26"/>
  <c r="H235" i="26"/>
  <c r="K235" i="26"/>
  <c r="I234" i="26"/>
  <c r="O234" i="26"/>
  <c r="E235" i="26"/>
  <c r="L101" i="26" a="1"/>
  <c r="L101" i="26" s="1"/>
  <c r="N101" i="26" a="1"/>
  <c r="N101" i="26" s="1"/>
  <c r="H101" i="26" a="1"/>
  <c r="H101" i="26" s="1"/>
  <c r="I147" i="26"/>
  <c r="I148" i="26"/>
  <c r="I149" i="26"/>
  <c r="I150" i="26"/>
  <c r="I151" i="26"/>
  <c r="I152" i="26"/>
  <c r="I153" i="26"/>
  <c r="I154" i="26"/>
  <c r="I155" i="26"/>
  <c r="I156" i="26"/>
  <c r="I157" i="26"/>
  <c r="I158" i="26"/>
  <c r="I159" i="26"/>
  <c r="I160" i="26"/>
  <c r="I161" i="26"/>
  <c r="I162" i="26"/>
  <c r="I163" i="26"/>
  <c r="I164" i="26"/>
  <c r="I165" i="26"/>
  <c r="I145" i="26"/>
  <c r="O147" i="26"/>
  <c r="O148" i="26"/>
  <c r="O149" i="26"/>
  <c r="O150" i="26"/>
  <c r="O151" i="26"/>
  <c r="O152" i="26"/>
  <c r="O153" i="26"/>
  <c r="O154" i="26"/>
  <c r="O155" i="26"/>
  <c r="O156" i="26"/>
  <c r="O157" i="26"/>
  <c r="O158" i="26"/>
  <c r="O159" i="26"/>
  <c r="O160" i="26"/>
  <c r="O161" i="26"/>
  <c r="O162" i="26"/>
  <c r="O163" i="26"/>
  <c r="O164" i="26"/>
  <c r="O165" i="26"/>
  <c r="O145" i="26"/>
  <c r="N97" i="26"/>
  <c r="N83" i="26" s="1"/>
  <c r="N25" i="26" s="1"/>
  <c r="N98" i="26" s="1"/>
  <c r="N99" i="26" s="1"/>
  <c r="N125" i="26" s="1"/>
  <c r="N104" i="26" s="1"/>
  <c r="I315" i="26"/>
  <c r="I306" i="26"/>
  <c r="I94" i="26"/>
  <c r="I307" i="26"/>
  <c r="I304" i="26"/>
  <c r="I305" i="26"/>
  <c r="I301" i="26"/>
  <c r="I312" i="26"/>
  <c r="I309" i="26"/>
  <c r="I308" i="26"/>
  <c r="I299" i="26"/>
  <c r="I313" i="26"/>
  <c r="I317" i="26"/>
  <c r="I311" i="26"/>
  <c r="I302" i="26"/>
  <c r="I300" i="26"/>
  <c r="I303" i="26"/>
  <c r="I310" i="26"/>
  <c r="I318" i="26"/>
  <c r="I316" i="26"/>
  <c r="L331" i="26"/>
  <c r="L329" i="26"/>
  <c r="L334" i="26"/>
  <c r="L339" i="26"/>
  <c r="L332" i="26"/>
  <c r="L333" i="26"/>
  <c r="L344" i="26"/>
  <c r="L343" i="26"/>
  <c r="L330" i="26"/>
  <c r="L328" i="26"/>
  <c r="L340" i="26"/>
  <c r="L345" i="26"/>
  <c r="L335" i="26"/>
  <c r="L337" i="26"/>
  <c r="L336" i="26"/>
  <c r="L327" i="26"/>
  <c r="L326" i="26"/>
  <c r="L338" i="26"/>
  <c r="L341" i="26"/>
  <c r="E325" i="26"/>
  <c r="E67" i="26" s="1"/>
  <c r="N339" i="26"/>
  <c r="N328" i="26"/>
  <c r="N331" i="26"/>
  <c r="N337" i="26"/>
  <c r="N335" i="26"/>
  <c r="N345" i="26"/>
  <c r="N333" i="26"/>
  <c r="N332" i="26"/>
  <c r="N327" i="26"/>
  <c r="N336" i="26"/>
  <c r="N338" i="26"/>
  <c r="N341" i="26"/>
  <c r="N343" i="26"/>
  <c r="N344" i="26"/>
  <c r="N334" i="26"/>
  <c r="N326" i="26"/>
  <c r="O343" i="26"/>
  <c r="I344" i="26"/>
  <c r="N330" i="26"/>
  <c r="N342" i="26"/>
  <c r="N340" i="26"/>
  <c r="O329" i="26"/>
  <c r="O340" i="26"/>
  <c r="O334" i="26"/>
  <c r="K325" i="26"/>
  <c r="K67" i="26" s="1"/>
  <c r="O345" i="26"/>
  <c r="O326" i="26"/>
  <c r="O336" i="26"/>
  <c r="I328" i="26"/>
  <c r="H299" i="26"/>
  <c r="I342" i="26"/>
  <c r="I340" i="26"/>
  <c r="I332" i="26"/>
  <c r="H303" i="26"/>
  <c r="I337" i="26"/>
  <c r="O330" i="26"/>
  <c r="I331" i="26"/>
  <c r="I335" i="26"/>
  <c r="I333" i="26"/>
  <c r="I327" i="26"/>
  <c r="I345" i="26"/>
  <c r="I336" i="26"/>
  <c r="H313" i="26"/>
  <c r="I338" i="26"/>
  <c r="I341" i="26"/>
  <c r="K319" i="26"/>
  <c r="K86" i="26" s="1"/>
  <c r="K28" i="26" s="1"/>
  <c r="I334" i="26"/>
  <c r="I330" i="26"/>
  <c r="I339" i="26"/>
  <c r="I326" i="26"/>
  <c r="N305" i="26"/>
  <c r="I329" i="26"/>
  <c r="N308" i="26"/>
  <c r="N304" i="26"/>
  <c r="O331" i="26"/>
  <c r="O338" i="26"/>
  <c r="N300" i="26"/>
  <c r="N316" i="26"/>
  <c r="O341" i="26"/>
  <c r="O332" i="26"/>
  <c r="N317" i="26"/>
  <c r="N303" i="26"/>
  <c r="O342" i="26"/>
  <c r="H312" i="26"/>
  <c r="N306" i="26"/>
  <c r="H307" i="26"/>
  <c r="H305" i="26"/>
  <c r="H317" i="26"/>
  <c r="H308" i="26"/>
  <c r="H302" i="26"/>
  <c r="H316" i="26"/>
  <c r="H300" i="26"/>
  <c r="H311" i="26"/>
  <c r="H315" i="26"/>
  <c r="H314" i="26"/>
  <c r="H301" i="26"/>
  <c r="H310" i="26"/>
  <c r="N315" i="26"/>
  <c r="N312" i="26"/>
  <c r="N313" i="26"/>
  <c r="O335" i="26"/>
  <c r="O339" i="26"/>
  <c r="N302" i="26"/>
  <c r="N301" i="26"/>
  <c r="N299" i="26"/>
  <c r="N311" i="26"/>
  <c r="N310" i="26"/>
  <c r="N318" i="26"/>
  <c r="N314" i="26"/>
  <c r="O94" i="26"/>
  <c r="E319" i="26"/>
  <c r="N307" i="26"/>
  <c r="H318" i="26"/>
  <c r="O328" i="26"/>
  <c r="O327" i="26"/>
  <c r="O337" i="26"/>
  <c r="H306" i="26"/>
  <c r="O333" i="26"/>
  <c r="H304" i="26"/>
  <c r="H329" i="26"/>
  <c r="H342" i="26"/>
  <c r="H337" i="26"/>
  <c r="H334" i="26"/>
  <c r="H332" i="26"/>
  <c r="H331" i="26"/>
  <c r="H345" i="26"/>
  <c r="H343" i="26"/>
  <c r="H327" i="26"/>
  <c r="H344" i="26"/>
  <c r="H339" i="26"/>
  <c r="H326" i="26"/>
  <c r="H340" i="26"/>
  <c r="H333" i="26"/>
  <c r="H338" i="26"/>
  <c r="H328" i="26"/>
  <c r="H330" i="26"/>
  <c r="H336" i="26"/>
  <c r="H341" i="26"/>
  <c r="O319" i="26"/>
  <c r="AB24" i="5"/>
  <c r="AA25" i="5"/>
  <c r="AD7" i="18"/>
  <c r="AC13" i="18"/>
  <c r="AC5" i="18"/>
  <c r="AB11" i="18"/>
  <c r="AD6" i="18"/>
  <c r="AC12" i="18"/>
  <c r="AD9" i="18"/>
  <c r="AC15" i="18"/>
  <c r="AD8" i="18"/>
  <c r="AC14" i="18"/>
  <c r="Y11" i="5" a="1"/>
  <c r="Y11" i="5" s="1"/>
  <c r="AP22" i="5"/>
  <c r="AQ16" i="5"/>
  <c r="AQ21" i="5" s="1"/>
  <c r="AP18" i="5"/>
  <c r="X9" i="5"/>
  <c r="Q4" i="18"/>
  <c r="Q44" i="18" s="1"/>
  <c r="P401" i="18"/>
  <c r="P47" i="18"/>
  <c r="P754" i="18"/>
  <c r="V735" i="18"/>
  <c r="V672" i="18"/>
  <c r="V720" i="18"/>
  <c r="V730" i="18"/>
  <c r="V713" i="18"/>
  <c r="V706" i="18"/>
  <c r="V689" i="18"/>
  <c r="V637" i="18"/>
  <c r="V700" i="18"/>
  <c r="V681" i="18"/>
  <c r="V673" i="18"/>
  <c r="V650" i="18"/>
  <c r="V611" i="18"/>
  <c r="V555" i="18"/>
  <c r="V576" i="18"/>
  <c r="V589" i="18"/>
  <c r="V619" i="18"/>
  <c r="V623" i="18"/>
  <c r="V694" i="18"/>
  <c r="V551" i="18"/>
  <c r="V684" i="18"/>
  <c r="V530" i="18"/>
  <c r="V632" i="18"/>
  <c r="V527" i="18"/>
  <c r="V599" i="18"/>
  <c r="V516" i="18"/>
  <c r="V528" i="18"/>
  <c r="V490" i="18"/>
  <c r="V426" i="18"/>
  <c r="V510" i="18"/>
  <c r="V431" i="18"/>
  <c r="V492" i="18"/>
  <c r="V428" i="18"/>
  <c r="V473" i="18"/>
  <c r="V480" i="18"/>
  <c r="V387" i="18"/>
  <c r="V493" i="18"/>
  <c r="V392" i="18"/>
  <c r="V478" i="18"/>
  <c r="V381" i="18"/>
  <c r="V405" i="18"/>
  <c r="V322" i="18"/>
  <c r="V258" i="18"/>
  <c r="V194" i="18"/>
  <c r="V388" i="18"/>
  <c r="V319" i="18"/>
  <c r="V255" i="18"/>
  <c r="V191" i="18"/>
  <c r="V375" i="18"/>
  <c r="V316" i="18"/>
  <c r="V252" i="18"/>
  <c r="V188" i="18"/>
  <c r="V361" i="18"/>
  <c r="V289" i="18"/>
  <c r="V391" i="18"/>
  <c r="V318" i="18"/>
  <c r="V393" i="18"/>
  <c r="V217" i="18"/>
  <c r="V139" i="18"/>
  <c r="V75" i="18"/>
  <c r="V246" i="18"/>
  <c r="V152" i="18"/>
  <c r="V88" i="18"/>
  <c r="V417" i="18"/>
  <c r="V253" i="18"/>
  <c r="V157" i="18"/>
  <c r="V93" i="18"/>
  <c r="V301" i="18"/>
  <c r="V198" i="18"/>
  <c r="V146" i="18"/>
  <c r="V82" i="18"/>
  <c r="V385" i="18"/>
  <c r="V248" i="18"/>
  <c r="V167" i="18"/>
  <c r="V103" i="18"/>
  <c r="V378" i="18"/>
  <c r="V124" i="18"/>
  <c r="V153" i="18"/>
  <c r="V145" i="18"/>
  <c r="V164" i="18"/>
  <c r="V339" i="18"/>
  <c r="V349" i="18"/>
  <c r="V132" i="18"/>
  <c r="V84" i="18"/>
  <c r="V732" i="18"/>
  <c r="V664" i="18"/>
  <c r="V717" i="18"/>
  <c r="V718" i="18"/>
  <c r="V711" i="18"/>
  <c r="V678" i="18"/>
  <c r="V679" i="18"/>
  <c r="V634" i="18"/>
  <c r="V671" i="18"/>
  <c r="V651" i="18"/>
  <c r="V670" i="18"/>
  <c r="V649" i="18"/>
  <c r="V606" i="18"/>
  <c r="V547" i="18"/>
  <c r="V568" i="18"/>
  <c r="V581" i="18"/>
  <c r="V614" i="18"/>
  <c r="V594" i="18"/>
  <c r="V613" i="18"/>
  <c r="V541" i="18"/>
  <c r="V588" i="18"/>
  <c r="V522" i="18"/>
  <c r="V630" i="18"/>
  <c r="V519" i="18"/>
  <c r="V583" i="18"/>
  <c r="V508" i="18"/>
  <c r="V512" i="18"/>
  <c r="V482" i="18"/>
  <c r="V669" i="18"/>
  <c r="V487" i="18"/>
  <c r="V423" i="18"/>
  <c r="V484" i="18"/>
  <c r="V659" i="18"/>
  <c r="V465" i="18"/>
  <c r="V464" i="18"/>
  <c r="V379" i="18"/>
  <c r="V477" i="18"/>
  <c r="V384" i="18"/>
  <c r="V462" i="18"/>
  <c r="V373" i="18"/>
  <c r="V404" i="18"/>
  <c r="V314" i="18"/>
  <c r="V250" i="18"/>
  <c r="V186" i="18"/>
  <c r="V367" i="18"/>
  <c r="V311" i="18"/>
  <c r="V247" i="18"/>
  <c r="V499" i="18"/>
  <c r="V374" i="18"/>
  <c r="V308" i="18"/>
  <c r="V244" i="18"/>
  <c r="V577" i="18"/>
  <c r="V345" i="18"/>
  <c r="V281" i="18"/>
  <c r="V390" i="18"/>
  <c r="V310" i="18"/>
  <c r="V377" i="18"/>
  <c r="V216" i="18"/>
  <c r="V131" i="18"/>
  <c r="V386" i="18"/>
  <c r="V245" i="18"/>
  <c r="V144" i="18"/>
  <c r="V80" i="18"/>
  <c r="V398" i="18"/>
  <c r="V233" i="18"/>
  <c r="V149" i="18"/>
  <c r="V85" i="18"/>
  <c r="V291" i="18"/>
  <c r="V197" i="18"/>
  <c r="V138" i="18"/>
  <c r="V74" i="18"/>
  <c r="V347" i="18"/>
  <c r="V227" i="18"/>
  <c r="V159" i="18"/>
  <c r="V95" i="18"/>
  <c r="V333" i="18"/>
  <c r="V394" i="18"/>
  <c r="V126" i="18"/>
  <c r="V118" i="18"/>
  <c r="V137" i="18"/>
  <c r="V209" i="18"/>
  <c r="V221" i="18"/>
  <c r="V105" i="18"/>
  <c r="V57" i="18"/>
  <c r="V734" i="18"/>
  <c r="V656" i="18"/>
  <c r="V709" i="18"/>
  <c r="V716" i="18"/>
  <c r="V741" i="18"/>
  <c r="V676" i="18"/>
  <c r="V667" i="18"/>
  <c r="V626" i="18"/>
  <c r="V666" i="18"/>
  <c r="V646" i="18"/>
  <c r="V665" i="18"/>
  <c r="V639" i="18"/>
  <c r="V601" i="18"/>
  <c r="V654" i="18"/>
  <c r="V697" i="18"/>
  <c r="V573" i="18"/>
  <c r="V609" i="18"/>
  <c r="V593" i="18"/>
  <c r="V608" i="18"/>
  <c r="V533" i="18"/>
  <c r="V567" i="18"/>
  <c r="V514" i="18"/>
  <c r="V598" i="18"/>
  <c r="V511" i="18"/>
  <c r="V582" i="18"/>
  <c r="V500" i="18"/>
  <c r="V635" i="18"/>
  <c r="V474" i="18"/>
  <c r="V653" i="18"/>
  <c r="V479" i="18"/>
  <c r="V719" i="18"/>
  <c r="V476" i="18"/>
  <c r="V633" i="18"/>
  <c r="V457" i="18"/>
  <c r="V448" i="18"/>
  <c r="V371" i="18"/>
  <c r="V461" i="18"/>
  <c r="V376" i="18"/>
  <c r="V446" i="18"/>
  <c r="V365" i="18"/>
  <c r="V380" i="18"/>
  <c r="V306" i="18"/>
  <c r="V242" i="18"/>
  <c r="V495" i="18"/>
  <c r="V366" i="18"/>
  <c r="V303" i="18"/>
  <c r="V239" i="18"/>
  <c r="V483" i="18"/>
  <c r="V354" i="18"/>
  <c r="V300" i="18"/>
  <c r="V236" i="18"/>
  <c r="V485" i="18"/>
  <c r="V337" i="18"/>
  <c r="V534" i="18"/>
  <c r="V370" i="18"/>
  <c r="V302" i="18"/>
  <c r="V325" i="18"/>
  <c r="V195" i="18"/>
  <c r="V123" i="18"/>
  <c r="V344" i="18"/>
  <c r="V225" i="18"/>
  <c r="V136" i="18"/>
  <c r="V72" i="18"/>
  <c r="V364" i="18"/>
  <c r="V232" i="18"/>
  <c r="V141" i="18"/>
  <c r="V77" i="18"/>
  <c r="V275" i="18"/>
  <c r="V183" i="18"/>
  <c r="V130" i="18"/>
  <c r="V66" i="18"/>
  <c r="V320" i="18"/>
  <c r="V206" i="18"/>
  <c r="V151" i="18"/>
  <c r="V87" i="18"/>
  <c r="V273" i="18"/>
  <c r="V296" i="18"/>
  <c r="V116" i="18"/>
  <c r="V108" i="18"/>
  <c r="V110" i="18"/>
  <c r="V148" i="18"/>
  <c r="V140" i="18"/>
  <c r="V89" i="18"/>
  <c r="V52" i="18"/>
  <c r="V750" i="18"/>
  <c r="V712" i="18"/>
  <c r="V648" i="18"/>
  <c r="V701" i="18"/>
  <c r="V714" i="18"/>
  <c r="V724" i="18"/>
  <c r="V674" i="18"/>
  <c r="V662" i="18"/>
  <c r="V618" i="18"/>
  <c r="V661" i="18"/>
  <c r="V641" i="18"/>
  <c r="V660" i="18"/>
  <c r="V638" i="18"/>
  <c r="V595" i="18"/>
  <c r="V625" i="18"/>
  <c r="V683" i="18"/>
  <c r="V565" i="18"/>
  <c r="V604" i="18"/>
  <c r="V572" i="18"/>
  <c r="V603" i="18"/>
  <c r="V525" i="18"/>
  <c r="V566" i="18"/>
  <c r="V506" i="18"/>
  <c r="V575" i="18"/>
  <c r="V503" i="18"/>
  <c r="V554" i="18"/>
  <c r="V751" i="18"/>
  <c r="V607" i="18"/>
  <c r="V466" i="18"/>
  <c r="V585" i="18"/>
  <c r="V471" i="18"/>
  <c r="V578" i="18"/>
  <c r="V468" i="18"/>
  <c r="V590" i="18"/>
  <c r="V449" i="18"/>
  <c r="V432" i="18"/>
  <c r="V363" i="18"/>
  <c r="V445" i="18"/>
  <c r="V368" i="18"/>
  <c r="V430" i="18"/>
  <c r="V357" i="18"/>
  <c r="V359" i="18"/>
  <c r="V298" i="18"/>
  <c r="V234" i="18"/>
  <c r="V467" i="18"/>
  <c r="V352" i="18"/>
  <c r="V295" i="18"/>
  <c r="V231" i="18"/>
  <c r="V469" i="18"/>
  <c r="V353" i="18"/>
  <c r="V292" i="18"/>
  <c r="V228" i="18"/>
  <c r="V459" i="18"/>
  <c r="V329" i="18"/>
  <c r="V502" i="18"/>
  <c r="V369" i="18"/>
  <c r="V294" i="18"/>
  <c r="V315" i="18"/>
  <c r="V179" i="18"/>
  <c r="V115" i="18"/>
  <c r="V317" i="18"/>
  <c r="V224" i="18"/>
  <c r="V128" i="18"/>
  <c r="V64" i="18"/>
  <c r="V336" i="18"/>
  <c r="V211" i="18"/>
  <c r="V133" i="18"/>
  <c r="V69" i="18"/>
  <c r="V262" i="18"/>
  <c r="V182" i="18"/>
  <c r="V122" i="18"/>
  <c r="V58" i="18"/>
  <c r="V293" i="18"/>
  <c r="V205" i="18"/>
  <c r="V143" i="18"/>
  <c r="V79" i="18"/>
  <c r="V257" i="18"/>
  <c r="V285" i="18"/>
  <c r="V470" i="18"/>
  <c r="V341" i="18"/>
  <c r="V100" i="18"/>
  <c r="V121" i="18"/>
  <c r="V113" i="18"/>
  <c r="V78" i="18"/>
  <c r="V243" i="18"/>
  <c r="V742" i="18"/>
  <c r="V704" i="18"/>
  <c r="V640" i="18"/>
  <c r="V693" i="18"/>
  <c r="V744" i="18"/>
  <c r="V723" i="18"/>
  <c r="V743" i="18"/>
  <c r="V657" i="18"/>
  <c r="V610" i="18"/>
  <c r="V749" i="18"/>
  <c r="V636" i="18"/>
  <c r="V736" i="18"/>
  <c r="V629" i="18"/>
  <c r="V587" i="18"/>
  <c r="V620" i="18"/>
  <c r="V655" i="18"/>
  <c r="V557" i="18"/>
  <c r="V668" i="18"/>
  <c r="V564" i="18"/>
  <c r="V580" i="18"/>
  <c r="V517" i="18"/>
  <c r="V558" i="18"/>
  <c r="V498" i="18"/>
  <c r="V574" i="18"/>
  <c r="V707" i="18"/>
  <c r="V549" i="18"/>
  <c r="V726" i="18"/>
  <c r="V591" i="18"/>
  <c r="V458" i="18"/>
  <c r="V569" i="18"/>
  <c r="V463" i="18"/>
  <c r="V553" i="18"/>
  <c r="V460" i="18"/>
  <c r="V520" i="18"/>
  <c r="V441" i="18"/>
  <c r="V422" i="18"/>
  <c r="V355" i="18"/>
  <c r="V429" i="18"/>
  <c r="V360" i="18"/>
  <c r="V416" i="18"/>
  <c r="V496" i="18"/>
  <c r="V358" i="18"/>
  <c r="V290" i="18"/>
  <c r="V226" i="18"/>
  <c r="V453" i="18"/>
  <c r="V351" i="18"/>
  <c r="V287" i="18"/>
  <c r="V223" i="18"/>
  <c r="V443" i="18"/>
  <c r="V348" i="18"/>
  <c r="V284" i="18"/>
  <c r="V220" i="18"/>
  <c r="V407" i="18"/>
  <c r="V321" i="18"/>
  <c r="V475" i="18"/>
  <c r="V350" i="18"/>
  <c r="V286" i="18"/>
  <c r="V288" i="18"/>
  <c r="V171" i="18"/>
  <c r="V107" i="18"/>
  <c r="V307" i="18"/>
  <c r="V203" i="18"/>
  <c r="V120" i="18"/>
  <c r="V56" i="18"/>
  <c r="V309" i="18"/>
  <c r="V190" i="18"/>
  <c r="V125" i="18"/>
  <c r="V61" i="18"/>
  <c r="V261" i="18"/>
  <c r="V178" i="18"/>
  <c r="V114" i="18"/>
  <c r="V586" i="18"/>
  <c r="V283" i="18"/>
  <c r="V185" i="18"/>
  <c r="V135" i="18"/>
  <c r="V71" i="18"/>
  <c r="V208" i="18"/>
  <c r="V251" i="18"/>
  <c r="V331" i="18"/>
  <c r="V272" i="18"/>
  <c r="V73" i="18"/>
  <c r="V94" i="18"/>
  <c r="V51" i="18"/>
  <c r="V54" i="18"/>
  <c r="V193" i="18"/>
  <c r="V727" i="18"/>
  <c r="V696" i="18"/>
  <c r="V733" i="18"/>
  <c r="V685" i="18"/>
  <c r="V738" i="18"/>
  <c r="V722" i="18"/>
  <c r="V699" i="18"/>
  <c r="V652" i="18"/>
  <c r="V602" i="18"/>
  <c r="V705" i="18"/>
  <c r="V628" i="18"/>
  <c r="V728" i="18"/>
  <c r="V627" i="18"/>
  <c r="V579" i="18"/>
  <c r="V615" i="18"/>
  <c r="V605" i="18"/>
  <c r="V748" i="18"/>
  <c r="V658" i="18"/>
  <c r="V562" i="18"/>
  <c r="V561" i="18"/>
  <c r="V509" i="18"/>
  <c r="V556" i="18"/>
  <c r="V746" i="18"/>
  <c r="V550" i="18"/>
  <c r="V687" i="18"/>
  <c r="V540" i="18"/>
  <c r="V631" i="18"/>
  <c r="V537" i="18"/>
  <c r="V450" i="18"/>
  <c r="V539" i="18"/>
  <c r="V455" i="18"/>
  <c r="V531" i="18"/>
  <c r="V452" i="18"/>
  <c r="V504" i="18"/>
  <c r="V433" i="18"/>
  <c r="V414" i="18"/>
  <c r="V622" i="18"/>
  <c r="V419" i="18"/>
  <c r="V596" i="18"/>
  <c r="V408" i="18"/>
  <c r="V488" i="18"/>
  <c r="V346" i="18"/>
  <c r="V282" i="18"/>
  <c r="V218" i="18"/>
  <c r="V427" i="18"/>
  <c r="V343" i="18"/>
  <c r="V279" i="18"/>
  <c r="V215" i="18"/>
  <c r="V421" i="18"/>
  <c r="V340" i="18"/>
  <c r="V276" i="18"/>
  <c r="V212" i="18"/>
  <c r="V383" i="18"/>
  <c r="V313" i="18"/>
  <c r="V438" i="18"/>
  <c r="V342" i="18"/>
  <c r="V570" i="18"/>
  <c r="V259" i="18"/>
  <c r="V163" i="18"/>
  <c r="V99" i="18"/>
  <c r="V280" i="18"/>
  <c r="V176" i="18"/>
  <c r="V112" i="18"/>
  <c r="V491" i="18"/>
  <c r="V299" i="18"/>
  <c r="V189" i="18"/>
  <c r="V117" i="18"/>
  <c r="V53" i="18"/>
  <c r="V241" i="18"/>
  <c r="V170" i="18"/>
  <c r="V106" i="18"/>
  <c r="V472" i="18"/>
  <c r="V270" i="18"/>
  <c r="V184" i="18"/>
  <c r="V127" i="18"/>
  <c r="V63" i="18"/>
  <c r="V192" i="18"/>
  <c r="V235" i="18"/>
  <c r="V229" i="18"/>
  <c r="V256" i="18"/>
  <c r="V59" i="18"/>
  <c r="V76" i="18"/>
  <c r="V48" i="18"/>
  <c r="V304" i="18"/>
  <c r="V158" i="18"/>
  <c r="V745" i="18"/>
  <c r="V688" i="18"/>
  <c r="V731" i="18"/>
  <c r="V677" i="18"/>
  <c r="V721" i="18"/>
  <c r="V710" i="18"/>
  <c r="V695" i="18"/>
  <c r="V647" i="18"/>
  <c r="V752" i="18"/>
  <c r="V691" i="18"/>
  <c r="V739" i="18"/>
  <c r="V703" i="18"/>
  <c r="V621" i="18"/>
  <c r="V571" i="18"/>
  <c r="V592" i="18"/>
  <c r="V600" i="18"/>
  <c r="V702" i="18"/>
  <c r="V645" i="18"/>
  <c r="V544" i="18"/>
  <c r="V560" i="18"/>
  <c r="V501" i="18"/>
  <c r="V546" i="18"/>
  <c r="V698" i="18"/>
  <c r="V543" i="18"/>
  <c r="V663" i="18"/>
  <c r="V532" i="18"/>
  <c r="V612" i="18"/>
  <c r="V513" i="18"/>
  <c r="V442" i="18"/>
  <c r="V529" i="18"/>
  <c r="V447" i="18"/>
  <c r="V523" i="18"/>
  <c r="V444" i="18"/>
  <c r="V489" i="18"/>
  <c r="V425" i="18"/>
  <c r="V406" i="18"/>
  <c r="V552" i="18"/>
  <c r="V411" i="18"/>
  <c r="V521" i="18"/>
  <c r="V397" i="18"/>
  <c r="V451" i="18"/>
  <c r="V338" i="18"/>
  <c r="V274" i="18"/>
  <c r="V210" i="18"/>
  <c r="V413" i="18"/>
  <c r="V335" i="18"/>
  <c r="V271" i="18"/>
  <c r="V207" i="18"/>
  <c r="V420" i="18"/>
  <c r="V332" i="18"/>
  <c r="V268" i="18"/>
  <c r="V204" i="18"/>
  <c r="V382" i="18"/>
  <c r="V305" i="18"/>
  <c r="V424" i="18"/>
  <c r="V334" i="18"/>
  <c r="V505" i="18"/>
  <c r="V238" i="18"/>
  <c r="V155" i="18"/>
  <c r="V91" i="18"/>
  <c r="V277" i="18"/>
  <c r="V168" i="18"/>
  <c r="V104" i="18"/>
  <c r="V486" i="18"/>
  <c r="V278" i="18"/>
  <c r="V173" i="18"/>
  <c r="V109" i="18"/>
  <c r="V410" i="18"/>
  <c r="V240" i="18"/>
  <c r="V162" i="18"/>
  <c r="V98" i="18"/>
  <c r="V440" i="18"/>
  <c r="V269" i="18"/>
  <c r="V181" i="18"/>
  <c r="V119" i="18"/>
  <c r="V55" i="18"/>
  <c r="V161" i="18"/>
  <c r="V201" i="18"/>
  <c r="V213" i="18"/>
  <c r="V222" i="18"/>
  <c r="V548" i="18"/>
  <c r="V542" i="18"/>
  <c r="V264" i="18"/>
  <c r="V200" i="18"/>
  <c r="V725" i="18"/>
  <c r="V692" i="18"/>
  <c r="V536" i="18"/>
  <c r="V545" i="18"/>
  <c r="V515" i="18"/>
  <c r="V266" i="18"/>
  <c r="V260" i="18"/>
  <c r="V147" i="18"/>
  <c r="V101" i="18"/>
  <c r="V111" i="18"/>
  <c r="V214" i="18"/>
  <c r="V102" i="18"/>
  <c r="V372" i="18"/>
  <c r="V356" i="18"/>
  <c r="V747" i="18"/>
  <c r="V686" i="18"/>
  <c r="V559" i="18"/>
  <c r="V497" i="18"/>
  <c r="V395" i="18"/>
  <c r="V202" i="18"/>
  <c r="V196" i="18"/>
  <c r="V83" i="18"/>
  <c r="V328" i="18"/>
  <c r="V617" i="18"/>
  <c r="V166" i="18"/>
  <c r="V142" i="18"/>
  <c r="V230" i="18"/>
  <c r="V97" i="18"/>
  <c r="V715" i="18"/>
  <c r="V616" i="18"/>
  <c r="V737" i="18"/>
  <c r="V434" i="18"/>
  <c r="V518" i="18"/>
  <c r="V412" i="18"/>
  <c r="V362" i="18"/>
  <c r="V267" i="18"/>
  <c r="V219" i="18"/>
  <c r="V134" i="18"/>
  <c r="V67" i="18"/>
  <c r="V65" i="18"/>
  <c r="V169" i="18"/>
  <c r="V92" i="18"/>
  <c r="V708" i="18"/>
  <c r="V563" i="18"/>
  <c r="V538" i="18"/>
  <c r="V526" i="18"/>
  <c r="V403" i="18"/>
  <c r="V327" i="18"/>
  <c r="V297" i="18"/>
  <c r="V160" i="18"/>
  <c r="V154" i="18"/>
  <c r="V180" i="18"/>
  <c r="V62" i="18"/>
  <c r="V49" i="18"/>
  <c r="V86" i="18"/>
  <c r="V177" i="18"/>
  <c r="V690" i="18"/>
  <c r="V584" i="18"/>
  <c r="V675" i="18"/>
  <c r="V439" i="18"/>
  <c r="V494" i="18"/>
  <c r="V263" i="18"/>
  <c r="V415" i="18"/>
  <c r="V96" i="18"/>
  <c r="V90" i="18"/>
  <c r="V172" i="18"/>
  <c r="V60" i="18"/>
  <c r="V312" i="18"/>
  <c r="V409" i="18"/>
  <c r="V50" i="18"/>
  <c r="V642" i="18"/>
  <c r="V597" i="18"/>
  <c r="V535" i="18"/>
  <c r="V507" i="18"/>
  <c r="V389" i="18"/>
  <c r="V199" i="18"/>
  <c r="V326" i="18"/>
  <c r="V454" i="18"/>
  <c r="V435" i="18"/>
  <c r="V174" i="18"/>
  <c r="V156" i="18"/>
  <c r="V265" i="18"/>
  <c r="V129" i="18"/>
  <c r="V740" i="18"/>
  <c r="V729" i="18"/>
  <c r="V624" i="18"/>
  <c r="V644" i="18"/>
  <c r="V436" i="18"/>
  <c r="V437" i="18"/>
  <c r="V396" i="18"/>
  <c r="V456" i="18"/>
  <c r="V254" i="18"/>
  <c r="V249" i="18"/>
  <c r="V402" i="18"/>
  <c r="V323" i="18"/>
  <c r="V150" i="18"/>
  <c r="V68" i="18"/>
  <c r="V680" i="18"/>
  <c r="V682" i="18"/>
  <c r="V643" i="18"/>
  <c r="V524" i="18"/>
  <c r="V481" i="18"/>
  <c r="V330" i="18"/>
  <c r="V324" i="18"/>
  <c r="V237" i="18"/>
  <c r="V165" i="18"/>
  <c r="V175" i="18"/>
  <c r="V418" i="18"/>
  <c r="V187" i="18"/>
  <c r="V70" i="18"/>
  <c r="V81" i="18"/>
  <c r="Z38" i="18"/>
  <c r="Y797" i="18"/>
  <c r="Y919" i="18"/>
  <c r="Y879" i="18"/>
  <c r="Y774" i="18"/>
  <c r="Y790" i="18"/>
  <c r="Y804" i="18"/>
  <c r="Y852" i="18"/>
  <c r="Y782" i="18"/>
  <c r="Y805" i="18"/>
  <c r="Y860" i="18"/>
  <c r="Y812" i="18"/>
  <c r="Y819" i="18"/>
  <c r="Y756" i="18"/>
  <c r="Y862" i="18"/>
  <c r="Y791" i="18"/>
  <c r="Y811" i="18"/>
  <c r="Y766" i="18"/>
  <c r="Y798" i="18"/>
  <c r="Y758" i="18"/>
  <c r="Y844" i="18"/>
  <c r="Y759" i="18"/>
  <c r="Y1090" i="18"/>
  <c r="Y1087" i="18"/>
  <c r="Y1086" i="18"/>
  <c r="Y1067" i="18"/>
  <c r="Y1024" i="18"/>
  <c r="Y1013" i="18"/>
  <c r="Y1017" i="18"/>
  <c r="Y1014" i="18"/>
  <c r="Y1081" i="18"/>
  <c r="Y1001" i="18"/>
  <c r="Y1006" i="18"/>
  <c r="Y995" i="18"/>
  <c r="Y958" i="18"/>
  <c r="Y1031" i="18"/>
  <c r="Y1004" i="18"/>
  <c r="Y897" i="18"/>
  <c r="Y975" i="18"/>
  <c r="Y962" i="18"/>
  <c r="Y944" i="18"/>
  <c r="Y880" i="18"/>
  <c r="Y922" i="18"/>
  <c r="Y978" i="18"/>
  <c r="Y871" i="18"/>
  <c r="Y1000" i="18"/>
  <c r="Y894" i="18"/>
  <c r="Y909" i="18"/>
  <c r="Y903" i="18"/>
  <c r="Y817" i="18"/>
  <c r="Y1012" i="18"/>
  <c r="Y838" i="18"/>
  <c r="Y940" i="18"/>
  <c r="Y824" i="18"/>
  <c r="Y861" i="18"/>
  <c r="Y802" i="18"/>
  <c r="Y775" i="18"/>
  <c r="Y760" i="18"/>
  <c r="Y821" i="18"/>
  <c r="Y761" i="18"/>
  <c r="Y767" i="18"/>
  <c r="Y788" i="18"/>
  <c r="Y831" i="18"/>
  <c r="Y1101" i="18"/>
  <c r="Y1082" i="18"/>
  <c r="Y1079" i="18"/>
  <c r="Y1078" i="18"/>
  <c r="Y1059" i="18"/>
  <c r="Y1016" i="18"/>
  <c r="Y1104" i="18"/>
  <c r="Y1096" i="18"/>
  <c r="Y1097" i="18"/>
  <c r="Y1053" i="18"/>
  <c r="Y993" i="18"/>
  <c r="Y998" i="18"/>
  <c r="Y987" i="18"/>
  <c r="Y1043" i="18"/>
  <c r="Y999" i="18"/>
  <c r="Y967" i="18"/>
  <c r="Y889" i="18"/>
  <c r="Y954" i="18"/>
  <c r="Y961" i="18"/>
  <c r="Y936" i="18"/>
  <c r="Y872" i="18"/>
  <c r="Y914" i="18"/>
  <c r="Y972" i="18"/>
  <c r="Y956" i="18"/>
  <c r="Y959" i="18"/>
  <c r="Y887" i="18"/>
  <c r="Y902" i="18"/>
  <c r="Y932" i="18"/>
  <c r="Y809" i="18"/>
  <c r="Y997" i="18"/>
  <c r="Y1010" i="18"/>
  <c r="Y911" i="18"/>
  <c r="Y816" i="18"/>
  <c r="Y858" i="18"/>
  <c r="Y794" i="18"/>
  <c r="Y780" i="18"/>
  <c r="Y822" i="18"/>
  <c r="Y755" i="18"/>
  <c r="Y813" i="18"/>
  <c r="Y1093" i="18"/>
  <c r="Y1074" i="18"/>
  <c r="Y1071" i="18"/>
  <c r="Y1070" i="18"/>
  <c r="Y1051" i="18"/>
  <c r="Y1105" i="18"/>
  <c r="Y1100" i="18"/>
  <c r="Y1092" i="18"/>
  <c r="Y1034" i="18"/>
  <c r="Y1088" i="18"/>
  <c r="Y985" i="18"/>
  <c r="Y990" i="18"/>
  <c r="Y979" i="18"/>
  <c r="Y1005" i="18"/>
  <c r="Y983" i="18"/>
  <c r="Y945" i="18"/>
  <c r="Y881" i="18"/>
  <c r="Y953" i="18"/>
  <c r="Y939" i="18"/>
  <c r="Y928" i="18"/>
  <c r="Y864" i="18"/>
  <c r="Y906" i="18"/>
  <c r="Y948" i="18"/>
  <c r="Y943" i="18"/>
  <c r="Y950" i="18"/>
  <c r="Y988" i="18"/>
  <c r="Y895" i="18"/>
  <c r="Y875" i="18"/>
  <c r="Y801" i="18"/>
  <c r="Y918" i="18"/>
  <c r="Y946" i="18"/>
  <c r="Y883" i="18"/>
  <c r="Y808" i="18"/>
  <c r="Y850" i="18"/>
  <c r="Y786" i="18"/>
  <c r="Y837" i="18"/>
  <c r="Y845" i="18"/>
  <c r="Y814" i="18"/>
  <c r="Y868" i="18"/>
  <c r="Y783" i="18"/>
  <c r="Y1085" i="18"/>
  <c r="Y1066" i="18"/>
  <c r="Y1063" i="18"/>
  <c r="Y1062" i="18"/>
  <c r="Y1080" i="18"/>
  <c r="Y1072" i="18"/>
  <c r="Y1073" i="18"/>
  <c r="Y1065" i="18"/>
  <c r="Y1018" i="18"/>
  <c r="Y1084" i="18"/>
  <c r="Y1064" i="18"/>
  <c r="Y982" i="18"/>
  <c r="Y1020" i="18"/>
  <c r="Y989" i="18"/>
  <c r="Y976" i="18"/>
  <c r="Y937" i="18"/>
  <c r="Y873" i="18"/>
  <c r="Y942" i="18"/>
  <c r="Y931" i="18"/>
  <c r="Y920" i="18"/>
  <c r="Y1007" i="18"/>
  <c r="Y898" i="18"/>
  <c r="Y924" i="18"/>
  <c r="Y941" i="18"/>
  <c r="Y935" i="18"/>
  <c r="Y981" i="18"/>
  <c r="Y1056" i="18"/>
  <c r="Y857" i="18"/>
  <c r="Y793" i="18"/>
  <c r="Y891" i="18"/>
  <c r="Y870" i="18"/>
  <c r="Y876" i="18"/>
  <c r="Y800" i="18"/>
  <c r="Y842" i="18"/>
  <c r="Y778" i="18"/>
  <c r="Y773" i="18"/>
  <c r="Y839" i="18"/>
  <c r="Y796" i="18"/>
  <c r="Y815" i="18"/>
  <c r="Y847" i="18"/>
  <c r="Y781" i="18"/>
  <c r="Y789" i="18"/>
  <c r="Y1077" i="18"/>
  <c r="Y1058" i="18"/>
  <c r="Y1055" i="18"/>
  <c r="Y1099" i="18"/>
  <c r="Y1076" i="18"/>
  <c r="Y1068" i="18"/>
  <c r="Y1054" i="18"/>
  <c r="Y1048" i="18"/>
  <c r="Y1002" i="18"/>
  <c r="Y1035" i="18"/>
  <c r="Y1060" i="18"/>
  <c r="Y1045" i="18"/>
  <c r="Y1008" i="18"/>
  <c r="Y971" i="18"/>
  <c r="Y968" i="18"/>
  <c r="Y929" i="18"/>
  <c r="Y865" i="18"/>
  <c r="Y934" i="18"/>
  <c r="Y923" i="18"/>
  <c r="Y912" i="18"/>
  <c r="Y965" i="18"/>
  <c r="Y890" i="18"/>
  <c r="Y899" i="18"/>
  <c r="Y907" i="18"/>
  <c r="Y933" i="18"/>
  <c r="Y977" i="18"/>
  <c r="Y1036" i="18"/>
  <c r="Y849" i="18"/>
  <c r="Y785" i="18"/>
  <c r="Y867" i="18"/>
  <c r="Y859" i="18"/>
  <c r="Y856" i="18"/>
  <c r="Y792" i="18"/>
  <c r="Y834" i="18"/>
  <c r="Y770" i="18"/>
  <c r="Y830" i="18"/>
  <c r="Y803" i="18"/>
  <c r="Y757" i="18"/>
  <c r="Y779" i="18"/>
  <c r="Y764" i="18"/>
  <c r="Y807" i="18"/>
  <c r="Y835" i="18"/>
  <c r="Y763" i="18"/>
  <c r="Y869" i="18"/>
  <c r="Y1069" i="18"/>
  <c r="Y1050" i="18"/>
  <c r="Y1047" i="18"/>
  <c r="Y1091" i="18"/>
  <c r="Y1057" i="18"/>
  <c r="Y1037" i="18"/>
  <c r="Y1041" i="18"/>
  <c r="Y1038" i="18"/>
  <c r="Y994" i="18"/>
  <c r="Y1019" i="18"/>
  <c r="Y1052" i="18"/>
  <c r="Y1039" i="18"/>
  <c r="Y992" i="18"/>
  <c r="Y963" i="18"/>
  <c r="Y960" i="18"/>
  <c r="Y921" i="18"/>
  <c r="Y1049" i="18"/>
  <c r="Y926" i="18"/>
  <c r="Y984" i="18"/>
  <c r="Y904" i="18"/>
  <c r="Y964" i="18"/>
  <c r="Y882" i="18"/>
  <c r="Y892" i="18"/>
  <c r="Y900" i="18"/>
  <c r="Y915" i="18"/>
  <c r="Y927" i="18"/>
  <c r="Y949" i="18"/>
  <c r="Y841" i="18"/>
  <c r="Y777" i="18"/>
  <c r="Y863" i="18"/>
  <c r="Y851" i="18"/>
  <c r="Y848" i="18"/>
  <c r="Y784" i="18"/>
  <c r="Y826" i="18"/>
  <c r="Y836" i="18"/>
  <c r="Y771" i="18"/>
  <c r="Y853" i="18"/>
  <c r="Y886" i="18"/>
  <c r="Y795" i="18"/>
  <c r="Y1061" i="18"/>
  <c r="Y1103" i="18"/>
  <c r="Y1102" i="18"/>
  <c r="Y1083" i="18"/>
  <c r="Y1040" i="18"/>
  <c r="Y1029" i="18"/>
  <c r="Y1033" i="18"/>
  <c r="Y1030" i="18"/>
  <c r="Y986" i="18"/>
  <c r="Y1011" i="18"/>
  <c r="Y1042" i="18"/>
  <c r="Y1023" i="18"/>
  <c r="Y974" i="18"/>
  <c r="Y955" i="18"/>
  <c r="Y952" i="18"/>
  <c r="Y913" i="18"/>
  <c r="Y1015" i="18"/>
  <c r="Y1028" i="18"/>
  <c r="Y970" i="18"/>
  <c r="Y896" i="18"/>
  <c r="Y938" i="18"/>
  <c r="Y874" i="18"/>
  <c r="Y885" i="18"/>
  <c r="Y893" i="18"/>
  <c r="Y908" i="18"/>
  <c r="Y925" i="18"/>
  <c r="Y917" i="18"/>
  <c r="Y833" i="18"/>
  <c r="Y769" i="18"/>
  <c r="Y854" i="18"/>
  <c r="Y843" i="18"/>
  <c r="Y840" i="18"/>
  <c r="Y776" i="18"/>
  <c r="Y818" i="18"/>
  <c r="Y823" i="18"/>
  <c r="Y772" i="18"/>
  <c r="Y951" i="18"/>
  <c r="Y884" i="18"/>
  <c r="Y828" i="18"/>
  <c r="Y855" i="18"/>
  <c r="Y877" i="18"/>
  <c r="Y1095" i="18"/>
  <c r="Y1009" i="18"/>
  <c r="Y996" i="18"/>
  <c r="Y916" i="18"/>
  <c r="Y810" i="18"/>
  <c r="Y1094" i="18"/>
  <c r="Y1026" i="18"/>
  <c r="Y969" i="18"/>
  <c r="Y910" i="18"/>
  <c r="Y1075" i="18"/>
  <c r="Y1003" i="18"/>
  <c r="Y888" i="18"/>
  <c r="Y825" i="18"/>
  <c r="Y762" i="18"/>
  <c r="Y829" i="18"/>
  <c r="Y820" i="18"/>
  <c r="Y957" i="18"/>
  <c r="Y1032" i="18"/>
  <c r="Y966" i="18"/>
  <c r="Y930" i="18"/>
  <c r="Y1046" i="18"/>
  <c r="Y765" i="18"/>
  <c r="Y799" i="18"/>
  <c r="Y1021" i="18"/>
  <c r="Y947" i="18"/>
  <c r="Y866" i="18"/>
  <c r="Y846" i="18"/>
  <c r="Y827" i="18"/>
  <c r="Y1025" i="18"/>
  <c r="Y1044" i="18"/>
  <c r="Y878" i="18"/>
  <c r="Y991" i="18"/>
  <c r="Y787" i="18"/>
  <c r="Y806" i="18"/>
  <c r="Y1089" i="18"/>
  <c r="Y901" i="18"/>
  <c r="Y1022" i="18"/>
  <c r="Y905" i="18"/>
  <c r="Y1027" i="18"/>
  <c r="Y832" i="18"/>
  <c r="Y973" i="18"/>
  <c r="Y1098" i="18"/>
  <c r="Y980" i="18"/>
  <c r="Y768" i="18"/>
  <c r="AM83" i="5"/>
  <c r="Z109" i="5" s="1"/>
  <c r="AN83" i="5"/>
  <c r="Z110" i="5" s="1"/>
  <c r="AO83" i="5"/>
  <c r="Z111" i="5" s="1"/>
  <c r="AJ83" i="5"/>
  <c r="Z107" i="5" s="1"/>
  <c r="Z6" i="5" s="1"/>
  <c r="AK83" i="5"/>
  <c r="Z108" i="5" s="1"/>
  <c r="AI83" i="5"/>
  <c r="Z106" i="5" s="1"/>
  <c r="AM34" i="4"/>
  <c r="AM35" i="4" s="1"/>
  <c r="AL36" i="4"/>
  <c r="AK31" i="4"/>
  <c r="AL32" i="4"/>
  <c r="AQ19" i="5" l="1"/>
  <c r="I58" i="26"/>
  <c r="I71" i="26" s="1"/>
  <c r="E146" i="26"/>
  <c r="F96" i="26"/>
  <c r="E164" i="26"/>
  <c r="E154" i="26"/>
  <c r="E145" i="26"/>
  <c r="E165" i="26"/>
  <c r="E155" i="26"/>
  <c r="E148" i="26"/>
  <c r="E147" i="26"/>
  <c r="E157" i="26"/>
  <c r="E156" i="26"/>
  <c r="E149" i="26"/>
  <c r="E159" i="26"/>
  <c r="E158" i="26"/>
  <c r="E150" i="26"/>
  <c r="E161" i="26"/>
  <c r="E160" i="26"/>
  <c r="E151" i="26"/>
  <c r="E162" i="26"/>
  <c r="E152" i="26"/>
  <c r="E163" i="26"/>
  <c r="E153" i="26"/>
  <c r="E86" i="26"/>
  <c r="L319" i="26"/>
  <c r="O235" i="26"/>
  <c r="L235" i="26"/>
  <c r="I235" i="26"/>
  <c r="K236" i="26"/>
  <c r="N236" i="26"/>
  <c r="H236" i="26"/>
  <c r="E236" i="26"/>
  <c r="F235" i="26"/>
  <c r="K320" i="26"/>
  <c r="K321" i="26" s="1"/>
  <c r="K66" i="26" s="1"/>
  <c r="K73" i="26" s="1"/>
  <c r="I101" i="26" a="1"/>
  <c r="I101" i="26" s="1"/>
  <c r="O101" i="26" a="1"/>
  <c r="O101" i="26" s="1"/>
  <c r="N141" i="26"/>
  <c r="N120" i="26" s="1"/>
  <c r="N134" i="26"/>
  <c r="N113" i="26" s="1"/>
  <c r="N127" i="26"/>
  <c r="N106" i="26" s="1"/>
  <c r="N138" i="26"/>
  <c r="N117" i="26" s="1"/>
  <c r="N131" i="26"/>
  <c r="N110" i="26" s="1"/>
  <c r="N142" i="26"/>
  <c r="N121" i="26" s="1"/>
  <c r="N135" i="26"/>
  <c r="N114" i="26" s="1"/>
  <c r="N128" i="26"/>
  <c r="N139" i="26"/>
  <c r="N118" i="26" s="1"/>
  <c r="N132" i="26"/>
  <c r="N111" i="26" s="1"/>
  <c r="N124" i="26"/>
  <c r="N103" i="26" s="1"/>
  <c r="N143" i="26"/>
  <c r="N122" i="26" s="1"/>
  <c r="N136" i="26"/>
  <c r="N115" i="26" s="1"/>
  <c r="N129" i="26"/>
  <c r="N108" i="26" s="1"/>
  <c r="N140" i="26"/>
  <c r="N119" i="26" s="1"/>
  <c r="N133" i="26"/>
  <c r="N112" i="26" s="1"/>
  <c r="N126" i="26"/>
  <c r="N144" i="26"/>
  <c r="N123" i="26" s="1"/>
  <c r="N137" i="26"/>
  <c r="N116" i="26" s="1"/>
  <c r="N130" i="26"/>
  <c r="N109" i="26" s="1"/>
  <c r="O97" i="26"/>
  <c r="O83" i="26" s="1"/>
  <c r="O25" i="26"/>
  <c r="O98" i="26" s="1"/>
  <c r="I319" i="26"/>
  <c r="L325" i="26"/>
  <c r="L67" i="26" s="1"/>
  <c r="N325" i="26"/>
  <c r="N67" i="26" s="1"/>
  <c r="L86" i="26"/>
  <c r="L28" i="26" s="1"/>
  <c r="I325" i="26"/>
  <c r="I67" i="26" s="1"/>
  <c r="H319" i="26"/>
  <c r="H86" i="26" s="1"/>
  <c r="I86" i="26" s="1"/>
  <c r="I28" i="26" s="1"/>
  <c r="N319" i="26"/>
  <c r="N86" i="26" s="1"/>
  <c r="O86" i="26" s="1"/>
  <c r="O28" i="26" s="1"/>
  <c r="O325" i="26"/>
  <c r="O67" i="26" s="1"/>
  <c r="H325" i="26"/>
  <c r="H67" i="26" s="1"/>
  <c r="AC24" i="5"/>
  <c r="AB25" i="5"/>
  <c r="AE9" i="18"/>
  <c r="AD15" i="18"/>
  <c r="AE6" i="18"/>
  <c r="AD12" i="18"/>
  <c r="AD5" i="18"/>
  <c r="AC11" i="18"/>
  <c r="AE8" i="18"/>
  <c r="AD14" i="18"/>
  <c r="AE7" i="18"/>
  <c r="AD13" i="18"/>
  <c r="Z11" i="5" a="1"/>
  <c r="Z11" i="5" s="1"/>
  <c r="X10" i="5"/>
  <c r="X32" i="5" s="1"/>
  <c r="Y9" i="5"/>
  <c r="Y10" i="5" s="1"/>
  <c r="Y32" i="5" s="1"/>
  <c r="AQ22" i="5"/>
  <c r="AR16" i="5"/>
  <c r="AR21" i="5" s="1"/>
  <c r="AQ18" i="5"/>
  <c r="W750" i="18"/>
  <c r="W733" i="18"/>
  <c r="W685" i="18"/>
  <c r="W736" i="18"/>
  <c r="W674" i="18"/>
  <c r="W722" i="18"/>
  <c r="W675" i="18"/>
  <c r="W623" i="18"/>
  <c r="W742" i="18"/>
  <c r="W655" i="18"/>
  <c r="W654" i="18"/>
  <c r="W568" i="18"/>
  <c r="W657" i="18"/>
  <c r="W573" i="18"/>
  <c r="W604" i="18"/>
  <c r="W668" i="18"/>
  <c r="W618" i="18"/>
  <c r="W559" i="18"/>
  <c r="W588" i="18"/>
  <c r="W538" i="18"/>
  <c r="W634" i="18"/>
  <c r="W543" i="18"/>
  <c r="W649" i="18"/>
  <c r="W595" i="18"/>
  <c r="W516" i="18"/>
  <c r="W590" i="18"/>
  <c r="W497" i="18"/>
  <c r="W547" i="18"/>
  <c r="W455" i="18"/>
  <c r="W523" i="18"/>
  <c r="W444" i="18"/>
  <c r="W504" i="18"/>
  <c r="W433" i="18"/>
  <c r="W494" i="18"/>
  <c r="W430" i="18"/>
  <c r="W461" i="18"/>
  <c r="W376" i="18"/>
  <c r="W426" i="18"/>
  <c r="W357" i="18"/>
  <c r="W423" i="18"/>
  <c r="W362" i="18"/>
  <c r="W367" i="18"/>
  <c r="W303" i="18"/>
  <c r="W239" i="18"/>
  <c r="W593" i="18"/>
  <c r="W375" i="18"/>
  <c r="W308" i="18"/>
  <c r="W244" i="18"/>
  <c r="W577" i="18"/>
  <c r="W382" i="18"/>
  <c r="W297" i="18"/>
  <c r="W233" i="18"/>
  <c r="W528" i="18"/>
  <c r="W369" i="18"/>
  <c r="W294" i="18"/>
  <c r="W398" i="18"/>
  <c r="W315" i="18"/>
  <c r="W290" i="18"/>
  <c r="W203" i="18"/>
  <c r="W128" i="18"/>
  <c r="W437" i="18"/>
  <c r="W274" i="18"/>
  <c r="W173" i="18"/>
  <c r="W109" i="18"/>
  <c r="W410" i="18"/>
  <c r="W240" i="18"/>
  <c r="W162" i="18"/>
  <c r="W98" i="18"/>
  <c r="W435" i="18"/>
  <c r="W248" i="18"/>
  <c r="W167" i="18"/>
  <c r="W103" i="18"/>
  <c r="W363" i="18"/>
  <c r="W214" i="18"/>
  <c r="W140" i="18"/>
  <c r="W76" i="18"/>
  <c r="W153" i="18"/>
  <c r="W118" i="18"/>
  <c r="W137" i="18"/>
  <c r="W166" i="18"/>
  <c r="W221" i="18"/>
  <c r="W179" i="18"/>
  <c r="W64" i="18"/>
  <c r="W158" i="18"/>
  <c r="W237" i="18"/>
  <c r="W451" i="18"/>
  <c r="W230" i="18"/>
  <c r="W333" i="18"/>
  <c r="W745" i="18"/>
  <c r="W731" i="18"/>
  <c r="W677" i="18"/>
  <c r="W730" i="18"/>
  <c r="W738" i="18"/>
  <c r="W712" i="18"/>
  <c r="W673" i="18"/>
  <c r="W615" i="18"/>
  <c r="W727" i="18"/>
  <c r="W650" i="18"/>
  <c r="W640" i="18"/>
  <c r="W560" i="18"/>
  <c r="W641" i="18"/>
  <c r="W565" i="18"/>
  <c r="W594" i="18"/>
  <c r="W663" i="18"/>
  <c r="W613" i="18"/>
  <c r="W551" i="18"/>
  <c r="W587" i="18"/>
  <c r="W530" i="18"/>
  <c r="W632" i="18"/>
  <c r="W535" i="18"/>
  <c r="W638" i="18"/>
  <c r="W583" i="18"/>
  <c r="W508" i="18"/>
  <c r="W569" i="18"/>
  <c r="W648" i="18"/>
  <c r="W539" i="18"/>
  <c r="W447" i="18"/>
  <c r="W507" i="18"/>
  <c r="W436" i="18"/>
  <c r="W489" i="18"/>
  <c r="W425" i="18"/>
  <c r="W486" i="18"/>
  <c r="W422" i="18"/>
  <c r="W445" i="18"/>
  <c r="W368" i="18"/>
  <c r="W416" i="18"/>
  <c r="W534" i="18"/>
  <c r="W421" i="18"/>
  <c r="W354" i="18"/>
  <c r="W366" i="18"/>
  <c r="W295" i="18"/>
  <c r="W231" i="18"/>
  <c r="W499" i="18"/>
  <c r="W374" i="18"/>
  <c r="W300" i="18"/>
  <c r="W236" i="18"/>
  <c r="W544" i="18"/>
  <c r="W361" i="18"/>
  <c r="W289" i="18"/>
  <c r="W225" i="18"/>
  <c r="W464" i="18"/>
  <c r="W350" i="18"/>
  <c r="W286" i="18"/>
  <c r="W377" i="18"/>
  <c r="W307" i="18"/>
  <c r="W280" i="18"/>
  <c r="W202" i="18"/>
  <c r="W120" i="18"/>
  <c r="W417" i="18"/>
  <c r="W254" i="18"/>
  <c r="W165" i="18"/>
  <c r="W101" i="18"/>
  <c r="W358" i="18"/>
  <c r="W219" i="18"/>
  <c r="W154" i="18"/>
  <c r="W90" i="18"/>
  <c r="W404" i="18"/>
  <c r="W227" i="18"/>
  <c r="W159" i="18"/>
  <c r="W95" i="18"/>
  <c r="W349" i="18"/>
  <c r="W213" i="18"/>
  <c r="W132" i="18"/>
  <c r="W68" i="18"/>
  <c r="W126" i="18"/>
  <c r="W488" i="18"/>
  <c r="W110" i="18"/>
  <c r="W139" i="18"/>
  <c r="W113" i="18"/>
  <c r="W105" i="18"/>
  <c r="W59" i="18"/>
  <c r="W131" i="18"/>
  <c r="W187" i="18"/>
  <c r="W142" i="18"/>
  <c r="W161" i="18"/>
  <c r="W259" i="18"/>
  <c r="W740" i="18"/>
  <c r="W725" i="18"/>
  <c r="W669" i="18"/>
  <c r="W729" i="18"/>
  <c r="W721" i="18"/>
  <c r="W710" i="18"/>
  <c r="W671" i="18"/>
  <c r="W607" i="18"/>
  <c r="W696" i="18"/>
  <c r="W633" i="18"/>
  <c r="W626" i="18"/>
  <c r="W552" i="18"/>
  <c r="W610" i="18"/>
  <c r="W702" i="18"/>
  <c r="W586" i="18"/>
  <c r="W658" i="18"/>
  <c r="W608" i="18"/>
  <c r="W541" i="18"/>
  <c r="W567" i="18"/>
  <c r="W522" i="18"/>
  <c r="W630" i="18"/>
  <c r="W527" i="18"/>
  <c r="W628" i="18"/>
  <c r="W582" i="18"/>
  <c r="W500" i="18"/>
  <c r="W545" i="18"/>
  <c r="W635" i="18"/>
  <c r="W526" i="18"/>
  <c r="W439" i="18"/>
  <c r="W492" i="18"/>
  <c r="W428" i="18"/>
  <c r="W481" i="18"/>
  <c r="W718" i="18"/>
  <c r="W478" i="18"/>
  <c r="W622" i="18"/>
  <c r="W429" i="18"/>
  <c r="W360" i="18"/>
  <c r="W408" i="18"/>
  <c r="W502" i="18"/>
  <c r="W413" i="18"/>
  <c r="W512" i="18"/>
  <c r="W351" i="18"/>
  <c r="W287" i="18"/>
  <c r="W223" i="18"/>
  <c r="W483" i="18"/>
  <c r="W353" i="18"/>
  <c r="W292" i="18"/>
  <c r="W228" i="18"/>
  <c r="W485" i="18"/>
  <c r="W345" i="18"/>
  <c r="W281" i="18"/>
  <c r="W217" i="18"/>
  <c r="W450" i="18"/>
  <c r="W342" i="18"/>
  <c r="W278" i="18"/>
  <c r="W356" i="18"/>
  <c r="W299" i="18"/>
  <c r="W277" i="18"/>
  <c r="W176" i="18"/>
  <c r="W112" i="18"/>
  <c r="W380" i="18"/>
  <c r="W253" i="18"/>
  <c r="W157" i="18"/>
  <c r="W93" i="18"/>
  <c r="W338" i="18"/>
  <c r="W218" i="18"/>
  <c r="W146" i="18"/>
  <c r="W82" i="18"/>
  <c r="W385" i="18"/>
  <c r="W226" i="18"/>
  <c r="W151" i="18"/>
  <c r="W87" i="18"/>
  <c r="W322" i="18"/>
  <c r="W192" i="18"/>
  <c r="W124" i="18"/>
  <c r="W60" i="18"/>
  <c r="W456" i="18"/>
  <c r="W341" i="18"/>
  <c r="W571" i="18"/>
  <c r="W129" i="18"/>
  <c r="W99" i="18"/>
  <c r="W89" i="18"/>
  <c r="W57" i="18"/>
  <c r="W91" i="18"/>
  <c r="W177" i="18"/>
  <c r="W49" i="18"/>
  <c r="W81" i="18"/>
  <c r="W242" i="18"/>
  <c r="W735" i="18"/>
  <c r="W720" i="18"/>
  <c r="W661" i="18"/>
  <c r="W714" i="18"/>
  <c r="W715" i="18"/>
  <c r="W708" i="18"/>
  <c r="W752" i="18"/>
  <c r="W691" i="18"/>
  <c r="W692" i="18"/>
  <c r="W751" i="18"/>
  <c r="W625" i="18"/>
  <c r="W695" i="18"/>
  <c r="W605" i="18"/>
  <c r="W642" i="18"/>
  <c r="W578" i="18"/>
  <c r="W644" i="18"/>
  <c r="W603" i="18"/>
  <c r="W533" i="18"/>
  <c r="W566" i="18"/>
  <c r="W514" i="18"/>
  <c r="W598" i="18"/>
  <c r="W519" i="18"/>
  <c r="W621" i="18"/>
  <c r="W554" i="18"/>
  <c r="W734" i="18"/>
  <c r="W537" i="18"/>
  <c r="W564" i="18"/>
  <c r="W510" i="18"/>
  <c r="W431" i="18"/>
  <c r="W484" i="18"/>
  <c r="W678" i="18"/>
  <c r="W473" i="18"/>
  <c r="W639" i="18"/>
  <c r="W470" i="18"/>
  <c r="W612" i="18"/>
  <c r="W419" i="18"/>
  <c r="W352" i="18"/>
  <c r="W397" i="18"/>
  <c r="W491" i="18"/>
  <c r="W405" i="18"/>
  <c r="W467" i="18"/>
  <c r="W343" i="18"/>
  <c r="W279" i="18"/>
  <c r="W215" i="18"/>
  <c r="W469" i="18"/>
  <c r="W348" i="18"/>
  <c r="W284" i="18"/>
  <c r="W220" i="18"/>
  <c r="W448" i="18"/>
  <c r="W337" i="18"/>
  <c r="W273" i="18"/>
  <c r="W209" i="18"/>
  <c r="W424" i="18"/>
  <c r="W334" i="18"/>
  <c r="W515" i="18"/>
  <c r="W355" i="18"/>
  <c r="W291" i="18"/>
  <c r="W267" i="18"/>
  <c r="W168" i="18"/>
  <c r="W104" i="18"/>
  <c r="W364" i="18"/>
  <c r="W232" i="18"/>
  <c r="W149" i="18"/>
  <c r="W85" i="18"/>
  <c r="W328" i="18"/>
  <c r="W198" i="18"/>
  <c r="W138" i="18"/>
  <c r="W74" i="18"/>
  <c r="W330" i="18"/>
  <c r="W206" i="18"/>
  <c r="W143" i="18"/>
  <c r="W79" i="18"/>
  <c r="W312" i="18"/>
  <c r="W180" i="18"/>
  <c r="W116" i="18"/>
  <c r="W52" i="18"/>
  <c r="W306" i="18"/>
  <c r="W272" i="18"/>
  <c r="W393" i="18"/>
  <c r="W102" i="18"/>
  <c r="W83" i="18"/>
  <c r="W78" i="18"/>
  <c r="W359" i="18"/>
  <c r="W73" i="18"/>
  <c r="W150" i="18"/>
  <c r="W617" i="18"/>
  <c r="W496" i="18"/>
  <c r="W115" i="18"/>
  <c r="W732" i="18"/>
  <c r="W717" i="18"/>
  <c r="W653" i="18"/>
  <c r="W706" i="18"/>
  <c r="W713" i="18"/>
  <c r="W748" i="18"/>
  <c r="W704" i="18"/>
  <c r="W681" i="18"/>
  <c r="W672" i="18"/>
  <c r="W737" i="18"/>
  <c r="W620" i="18"/>
  <c r="W688" i="18"/>
  <c r="W600" i="18"/>
  <c r="W624" i="18"/>
  <c r="W570" i="18"/>
  <c r="W643" i="18"/>
  <c r="W580" i="18"/>
  <c r="W699" i="18"/>
  <c r="W558" i="18"/>
  <c r="W506" i="18"/>
  <c r="W575" i="18"/>
  <c r="W511" i="18"/>
  <c r="W616" i="18"/>
  <c r="W549" i="18"/>
  <c r="W726" i="18"/>
  <c r="W529" i="18"/>
  <c r="W525" i="18"/>
  <c r="W487" i="18"/>
  <c r="W743" i="18"/>
  <c r="W476" i="18"/>
  <c r="W659" i="18"/>
  <c r="W465" i="18"/>
  <c r="W548" i="18"/>
  <c r="W462" i="18"/>
  <c r="W536" i="18"/>
  <c r="W411" i="18"/>
  <c r="W490" i="18"/>
  <c r="W389" i="18"/>
  <c r="W475" i="18"/>
  <c r="W394" i="18"/>
  <c r="W453" i="18"/>
  <c r="W335" i="18"/>
  <c r="W271" i="18"/>
  <c r="W207" i="18"/>
  <c r="W432" i="18"/>
  <c r="W340" i="18"/>
  <c r="W276" i="18"/>
  <c r="W212" i="18"/>
  <c r="W434" i="18"/>
  <c r="W329" i="18"/>
  <c r="W265" i="18"/>
  <c r="W201" i="18"/>
  <c r="W415" i="18"/>
  <c r="W326" i="18"/>
  <c r="W480" i="18"/>
  <c r="W347" i="18"/>
  <c r="W283" i="18"/>
  <c r="W266" i="18"/>
  <c r="W160" i="18"/>
  <c r="W96" i="18"/>
  <c r="W346" i="18"/>
  <c r="W211" i="18"/>
  <c r="W141" i="18"/>
  <c r="W77" i="18"/>
  <c r="W301" i="18"/>
  <c r="W197" i="18"/>
  <c r="W130" i="18"/>
  <c r="W66" i="18"/>
  <c r="W320" i="18"/>
  <c r="W205" i="18"/>
  <c r="W135" i="18"/>
  <c r="W71" i="18"/>
  <c r="W285" i="18"/>
  <c r="W172" i="18"/>
  <c r="W108" i="18"/>
  <c r="W296" i="18"/>
  <c r="W229" i="18"/>
  <c r="W238" i="18"/>
  <c r="W304" i="18"/>
  <c r="W75" i="18"/>
  <c r="W51" i="18"/>
  <c r="W54" i="18"/>
  <c r="W325" i="18"/>
  <c r="W67" i="18"/>
  <c r="W123" i="18"/>
  <c r="W121" i="18"/>
  <c r="W169" i="18"/>
  <c r="W724" i="18"/>
  <c r="W709" i="18"/>
  <c r="W645" i="18"/>
  <c r="W698" i="18"/>
  <c r="W711" i="18"/>
  <c r="W707" i="18"/>
  <c r="W700" i="18"/>
  <c r="W680" i="18"/>
  <c r="W670" i="18"/>
  <c r="W697" i="18"/>
  <c r="W592" i="18"/>
  <c r="W679" i="18"/>
  <c r="W597" i="18"/>
  <c r="W619" i="18"/>
  <c r="W562" i="18"/>
  <c r="W599" i="18"/>
  <c r="W579" i="18"/>
  <c r="W689" i="18"/>
  <c r="W557" i="18"/>
  <c r="W498" i="18"/>
  <c r="W574" i="18"/>
  <c r="W503" i="18"/>
  <c r="W611" i="18"/>
  <c r="W540" i="18"/>
  <c r="W719" i="18"/>
  <c r="W521" i="18"/>
  <c r="W509" i="18"/>
  <c r="W479" i="18"/>
  <c r="W602" i="18"/>
  <c r="W468" i="18"/>
  <c r="W629" i="18"/>
  <c r="W457" i="18"/>
  <c r="W542" i="18"/>
  <c r="W454" i="18"/>
  <c r="W518" i="18"/>
  <c r="W403" i="18"/>
  <c r="W474" i="18"/>
  <c r="W381" i="18"/>
  <c r="W459" i="18"/>
  <c r="W386" i="18"/>
  <c r="W412" i="18"/>
  <c r="W327" i="18"/>
  <c r="W263" i="18"/>
  <c r="W199" i="18"/>
  <c r="W420" i="18"/>
  <c r="W332" i="18"/>
  <c r="W268" i="18"/>
  <c r="W204" i="18"/>
  <c r="W407" i="18"/>
  <c r="W321" i="18"/>
  <c r="W257" i="18"/>
  <c r="W193" i="18"/>
  <c r="W414" i="18"/>
  <c r="W318" i="18"/>
  <c r="W466" i="18"/>
  <c r="W339" i="18"/>
  <c r="W371" i="18"/>
  <c r="W246" i="18"/>
  <c r="W152" i="18"/>
  <c r="W88" i="18"/>
  <c r="W336" i="18"/>
  <c r="W210" i="18"/>
  <c r="W133" i="18"/>
  <c r="W69" i="18"/>
  <c r="W275" i="18"/>
  <c r="W182" i="18"/>
  <c r="W122" i="18"/>
  <c r="W58" i="18"/>
  <c r="W293" i="18"/>
  <c r="W184" i="18"/>
  <c r="W127" i="18"/>
  <c r="W63" i="18"/>
  <c r="W256" i="18"/>
  <c r="W164" i="18"/>
  <c r="W100" i="18"/>
  <c r="W251" i="18"/>
  <c r="W195" i="18"/>
  <c r="W222" i="18"/>
  <c r="W250" i="18"/>
  <c r="W56" i="18"/>
  <c r="W48" i="18"/>
  <c r="W258" i="18"/>
  <c r="W314" i="18"/>
  <c r="W62" i="18"/>
  <c r="W86" i="18"/>
  <c r="W94" i="18"/>
  <c r="W482" i="18"/>
  <c r="W747" i="18"/>
  <c r="W749" i="18"/>
  <c r="W701" i="18"/>
  <c r="W637" i="18"/>
  <c r="W690" i="18"/>
  <c r="W741" i="18"/>
  <c r="W705" i="18"/>
  <c r="W666" i="18"/>
  <c r="W656" i="18"/>
  <c r="W665" i="18"/>
  <c r="W684" i="18"/>
  <c r="W584" i="18"/>
  <c r="W667" i="18"/>
  <c r="W589" i="18"/>
  <c r="W614" i="18"/>
  <c r="W687" i="18"/>
  <c r="W716" i="18"/>
  <c r="W563" i="18"/>
  <c r="W652" i="18"/>
  <c r="W556" i="18"/>
  <c r="W664" i="18"/>
  <c r="W555" i="18"/>
  <c r="W495" i="18"/>
  <c r="W606" i="18"/>
  <c r="W532" i="18"/>
  <c r="W596" i="18"/>
  <c r="W513" i="18"/>
  <c r="W646" i="18"/>
  <c r="W471" i="18"/>
  <c r="W553" i="18"/>
  <c r="W460" i="18"/>
  <c r="W572" i="18"/>
  <c r="W449" i="18"/>
  <c r="W517" i="18"/>
  <c r="W446" i="18"/>
  <c r="W493" i="18"/>
  <c r="W392" i="18"/>
  <c r="W458" i="18"/>
  <c r="W373" i="18"/>
  <c r="W443" i="18"/>
  <c r="W378" i="18"/>
  <c r="W388" i="18"/>
  <c r="W319" i="18"/>
  <c r="W255" i="18"/>
  <c r="W191" i="18"/>
  <c r="W396" i="18"/>
  <c r="W324" i="18"/>
  <c r="W260" i="18"/>
  <c r="W196" i="18"/>
  <c r="W406" i="18"/>
  <c r="W313" i="18"/>
  <c r="W249" i="18"/>
  <c r="W185" i="18"/>
  <c r="W391" i="18"/>
  <c r="W310" i="18"/>
  <c r="W440" i="18"/>
  <c r="W331" i="18"/>
  <c r="W344" i="18"/>
  <c r="W245" i="18"/>
  <c r="W144" i="18"/>
  <c r="W80" i="18"/>
  <c r="W309" i="18"/>
  <c r="W190" i="18"/>
  <c r="W125" i="18"/>
  <c r="W61" i="18"/>
  <c r="W262" i="18"/>
  <c r="W178" i="18"/>
  <c r="W114" i="18"/>
  <c r="W50" i="18"/>
  <c r="W270" i="18"/>
  <c r="W181" i="18"/>
  <c r="W119" i="18"/>
  <c r="W55" i="18"/>
  <c r="W235" i="18"/>
  <c r="W156" i="18"/>
  <c r="W92" i="18"/>
  <c r="W186" i="18"/>
  <c r="W155" i="18"/>
  <c r="W174" i="18"/>
  <c r="W216" i="18"/>
  <c r="W418" i="18"/>
  <c r="W298" i="18"/>
  <c r="W208" i="18"/>
  <c r="W243" i="18"/>
  <c r="W686" i="18"/>
  <c r="W65" i="18"/>
  <c r="W70" i="18"/>
  <c r="W107" i="18"/>
  <c r="W739" i="18"/>
  <c r="W744" i="18"/>
  <c r="W693" i="18"/>
  <c r="W746" i="18"/>
  <c r="W682" i="18"/>
  <c r="W723" i="18"/>
  <c r="W703" i="18"/>
  <c r="W631" i="18"/>
  <c r="W651" i="18"/>
  <c r="W660" i="18"/>
  <c r="W683" i="18"/>
  <c r="W576" i="18"/>
  <c r="W662" i="18"/>
  <c r="W581" i="18"/>
  <c r="W609" i="18"/>
  <c r="W676" i="18"/>
  <c r="W694" i="18"/>
  <c r="W561" i="18"/>
  <c r="W636" i="18"/>
  <c r="W546" i="18"/>
  <c r="W647" i="18"/>
  <c r="W550" i="18"/>
  <c r="W728" i="18"/>
  <c r="W601" i="18"/>
  <c r="W524" i="18"/>
  <c r="W591" i="18"/>
  <c r="W505" i="18"/>
  <c r="W585" i="18"/>
  <c r="W463" i="18"/>
  <c r="W531" i="18"/>
  <c r="W452" i="18"/>
  <c r="W520" i="18"/>
  <c r="W441" i="18"/>
  <c r="W501" i="18"/>
  <c r="W438" i="18"/>
  <c r="W477" i="18"/>
  <c r="W384" i="18"/>
  <c r="W442" i="18"/>
  <c r="W365" i="18"/>
  <c r="W427" i="18"/>
  <c r="W370" i="18"/>
  <c r="W387" i="18"/>
  <c r="W311" i="18"/>
  <c r="W247" i="18"/>
  <c r="W183" i="18"/>
  <c r="W395" i="18"/>
  <c r="W316" i="18"/>
  <c r="W252" i="18"/>
  <c r="W188" i="18"/>
  <c r="W383" i="18"/>
  <c r="W305" i="18"/>
  <c r="W241" i="18"/>
  <c r="W627" i="18"/>
  <c r="W390" i="18"/>
  <c r="W302" i="18"/>
  <c r="W402" i="18"/>
  <c r="W323" i="18"/>
  <c r="W317" i="18"/>
  <c r="W224" i="18"/>
  <c r="W136" i="18"/>
  <c r="W72" i="18"/>
  <c r="W282" i="18"/>
  <c r="W189" i="18"/>
  <c r="W117" i="18"/>
  <c r="W53" i="18"/>
  <c r="W261" i="18"/>
  <c r="W170" i="18"/>
  <c r="W106" i="18"/>
  <c r="W472" i="18"/>
  <c r="W269" i="18"/>
  <c r="W175" i="18"/>
  <c r="W111" i="18"/>
  <c r="W379" i="18"/>
  <c r="W234" i="18"/>
  <c r="W148" i="18"/>
  <c r="W84" i="18"/>
  <c r="W163" i="18"/>
  <c r="W145" i="18"/>
  <c r="W147" i="18"/>
  <c r="W200" i="18"/>
  <c r="W288" i="18"/>
  <c r="W264" i="18"/>
  <c r="W171" i="18"/>
  <c r="W194" i="18"/>
  <c r="W409" i="18"/>
  <c r="W134" i="18"/>
  <c r="W372" i="18"/>
  <c r="W97" i="18"/>
  <c r="R4" i="18"/>
  <c r="R44" i="18" s="1"/>
  <c r="Q401" i="18"/>
  <c r="Q47" i="18"/>
  <c r="Q754" i="18"/>
  <c r="AA38" i="18"/>
  <c r="Z818" i="18"/>
  <c r="Z812" i="18"/>
  <c r="Z897" i="18"/>
  <c r="Z770" i="18"/>
  <c r="Z932" i="18"/>
  <c r="Z833" i="18"/>
  <c r="Z850" i="18"/>
  <c r="Z842" i="18"/>
  <c r="Z860" i="18"/>
  <c r="Z913" i="18"/>
  <c r="Z811" i="18"/>
  <c r="Z788" i="18"/>
  <c r="Z816" i="18"/>
  <c r="Z834" i="18"/>
  <c r="Z1090" i="18"/>
  <c r="Z1079" i="18"/>
  <c r="Z1076" i="18"/>
  <c r="Z1067" i="18"/>
  <c r="Z1056" i="18"/>
  <c r="Z1013" i="18"/>
  <c r="Z1018" i="18"/>
  <c r="Z1014" i="18"/>
  <c r="Z1093" i="18"/>
  <c r="Z983" i="18"/>
  <c r="Z1016" i="18"/>
  <c r="Z1003" i="18"/>
  <c r="Z984" i="18"/>
  <c r="Z1040" i="18"/>
  <c r="Z1046" i="18"/>
  <c r="Z1011" i="18"/>
  <c r="Z918" i="18"/>
  <c r="Z1033" i="18"/>
  <c r="Z923" i="18"/>
  <c r="Z977" i="18"/>
  <c r="Z893" i="18"/>
  <c r="Z972" i="18"/>
  <c r="Z895" i="18"/>
  <c r="Z921" i="18"/>
  <c r="Z915" i="18"/>
  <c r="Z993" i="18"/>
  <c r="Z958" i="18"/>
  <c r="Z846" i="18"/>
  <c r="Z782" i="18"/>
  <c r="Z940" i="18"/>
  <c r="Z899" i="18"/>
  <c r="Z813" i="18"/>
  <c r="Z920" i="18"/>
  <c r="Z831" i="18"/>
  <c r="Z767" i="18"/>
  <c r="Z890" i="18"/>
  <c r="Z755" i="18"/>
  <c r="Z793" i="18"/>
  <c r="Z760" i="18"/>
  <c r="Z820" i="18"/>
  <c r="Z1082" i="18"/>
  <c r="Z1071" i="18"/>
  <c r="Z1068" i="18"/>
  <c r="Z1059" i="18"/>
  <c r="Z1048" i="18"/>
  <c r="Z1101" i="18"/>
  <c r="Z1010" i="18"/>
  <c r="Z1094" i="18"/>
  <c r="Z1089" i="18"/>
  <c r="Z1085" i="18"/>
  <c r="Z1006" i="18"/>
  <c r="Z995" i="18"/>
  <c r="Z1054" i="18"/>
  <c r="Z1002" i="18"/>
  <c r="Z1028" i="18"/>
  <c r="Z975" i="18"/>
  <c r="Z910" i="18"/>
  <c r="Z1024" i="18"/>
  <c r="Z1001" i="18"/>
  <c r="Z956" i="18"/>
  <c r="Z885" i="18"/>
  <c r="Z951" i="18"/>
  <c r="Z887" i="18"/>
  <c r="Z914" i="18"/>
  <c r="Z908" i="18"/>
  <c r="Z947" i="18"/>
  <c r="Z896" i="18"/>
  <c r="Z838" i="18"/>
  <c r="Z774" i="18"/>
  <c r="Z930" i="18"/>
  <c r="Z868" i="18"/>
  <c r="Z805" i="18"/>
  <c r="Z904" i="18"/>
  <c r="Z823" i="18"/>
  <c r="Z794" i="18"/>
  <c r="Z924" i="18"/>
  <c r="Z825" i="18"/>
  <c r="Z785" i="18"/>
  <c r="Z810" i="18"/>
  <c r="Z758" i="18"/>
  <c r="Z809" i="18"/>
  <c r="Z1074" i="18"/>
  <c r="Z1063" i="18"/>
  <c r="Z1060" i="18"/>
  <c r="Z1104" i="18"/>
  <c r="Z1105" i="18"/>
  <c r="Z1097" i="18"/>
  <c r="Z1102" i="18"/>
  <c r="Z1061" i="18"/>
  <c r="Z1062" i="18"/>
  <c r="Z1081" i="18"/>
  <c r="Z998" i="18"/>
  <c r="Z987" i="18"/>
  <c r="Z1017" i="18"/>
  <c r="Z986" i="18"/>
  <c r="Z996" i="18"/>
  <c r="Z974" i="18"/>
  <c r="Z902" i="18"/>
  <c r="Z994" i="18"/>
  <c r="Z970" i="18"/>
  <c r="Z941" i="18"/>
  <c r="Z877" i="18"/>
  <c r="Z943" i="18"/>
  <c r="Z879" i="18"/>
  <c r="Z907" i="18"/>
  <c r="Z988" i="18"/>
  <c r="Z929" i="18"/>
  <c r="Z997" i="18"/>
  <c r="Z830" i="18"/>
  <c r="Z946" i="18"/>
  <c r="Z883" i="18"/>
  <c r="Z864" i="18"/>
  <c r="Z797" i="18"/>
  <c r="Z898" i="18"/>
  <c r="Z815" i="18"/>
  <c r="Z786" i="18"/>
  <c r="Z759" i="18"/>
  <c r="Z1066" i="18"/>
  <c r="Z1055" i="18"/>
  <c r="Z1052" i="18"/>
  <c r="Z1096" i="18"/>
  <c r="Z1078" i="18"/>
  <c r="Z1070" i="18"/>
  <c r="Z1069" i="18"/>
  <c r="Z1049" i="18"/>
  <c r="Z1031" i="18"/>
  <c r="Z1053" i="18"/>
  <c r="Z990" i="18"/>
  <c r="Z1036" i="18"/>
  <c r="Z1005" i="18"/>
  <c r="Z979" i="18"/>
  <c r="Z980" i="18"/>
  <c r="Z954" i="18"/>
  <c r="Z894" i="18"/>
  <c r="Z985" i="18"/>
  <c r="Z969" i="18"/>
  <c r="Z933" i="18"/>
  <c r="Z869" i="18"/>
  <c r="Z935" i="18"/>
  <c r="Z871" i="18"/>
  <c r="Z900" i="18"/>
  <c r="Z937" i="18"/>
  <c r="Z888" i="18"/>
  <c r="Z948" i="18"/>
  <c r="Z822" i="18"/>
  <c r="Z912" i="18"/>
  <c r="Z876" i="18"/>
  <c r="Z853" i="18"/>
  <c r="Z789" i="18"/>
  <c r="Z892" i="18"/>
  <c r="Z807" i="18"/>
  <c r="Z762" i="18"/>
  <c r="Z787" i="18"/>
  <c r="Z852" i="18"/>
  <c r="Z778" i="18"/>
  <c r="Z803" i="18"/>
  <c r="Z824" i="18"/>
  <c r="Z875" i="18"/>
  <c r="Z967" i="18"/>
  <c r="Z827" i="18"/>
  <c r="Z776" i="18"/>
  <c r="Z832" i="18"/>
  <c r="Z802" i="18"/>
  <c r="Z841" i="18"/>
  <c r="Z882" i="18"/>
  <c r="Z874" i="18"/>
  <c r="Z1058" i="18"/>
  <c r="Z1047" i="18"/>
  <c r="Z1099" i="18"/>
  <c r="Z1088" i="18"/>
  <c r="Z1050" i="18"/>
  <c r="Z1051" i="18"/>
  <c r="Z1065" i="18"/>
  <c r="Z1043" i="18"/>
  <c r="Z1015" i="18"/>
  <c r="Z1077" i="18"/>
  <c r="Z982" i="18"/>
  <c r="Z1020" i="18"/>
  <c r="Z989" i="18"/>
  <c r="Z976" i="18"/>
  <c r="Z973" i="18"/>
  <c r="Z953" i="18"/>
  <c r="Z886" i="18"/>
  <c r="Z962" i="18"/>
  <c r="Z944" i="18"/>
  <c r="Z925" i="18"/>
  <c r="Z861" i="18"/>
  <c r="Z927" i="18"/>
  <c r="Z863" i="18"/>
  <c r="Z959" i="18"/>
  <c r="Z916" i="18"/>
  <c r="Z881" i="18"/>
  <c r="Z891" i="18"/>
  <c r="Z814" i="18"/>
  <c r="Z906" i="18"/>
  <c r="Z856" i="18"/>
  <c r="Z845" i="18"/>
  <c r="Z781" i="18"/>
  <c r="Z865" i="18"/>
  <c r="Z799" i="18"/>
  <c r="Z849" i="18"/>
  <c r="Z804" i="18"/>
  <c r="Z757" i="18"/>
  <c r="Z779" i="18"/>
  <c r="Z835" i="18"/>
  <c r="Z756" i="18"/>
  <c r="Z884" i="18"/>
  <c r="Z844" i="18"/>
  <c r="Z777" i="18"/>
  <c r="Z1103" i="18"/>
  <c r="Z1100" i="18"/>
  <c r="Z1091" i="18"/>
  <c r="Z1080" i="18"/>
  <c r="Z1037" i="18"/>
  <c r="Z1042" i="18"/>
  <c r="Z1038" i="18"/>
  <c r="Z1035" i="18"/>
  <c r="Z1007" i="18"/>
  <c r="Z1073" i="18"/>
  <c r="Z1045" i="18"/>
  <c r="Z1008" i="18"/>
  <c r="Z971" i="18"/>
  <c r="Z968" i="18"/>
  <c r="Z965" i="18"/>
  <c r="Z942" i="18"/>
  <c r="Z878" i="18"/>
  <c r="Z961" i="18"/>
  <c r="Z936" i="18"/>
  <c r="Z917" i="18"/>
  <c r="Z1041" i="18"/>
  <c r="Z919" i="18"/>
  <c r="Z1086" i="18"/>
  <c r="Z950" i="18"/>
  <c r="Z880" i="18"/>
  <c r="Z1025" i="18"/>
  <c r="Z889" i="18"/>
  <c r="Z806" i="18"/>
  <c r="Z859" i="18"/>
  <c r="Z848" i="18"/>
  <c r="Z837" i="18"/>
  <c r="Z773" i="18"/>
  <c r="Z855" i="18"/>
  <c r="Z791" i="18"/>
  <c r="Z780" i="18"/>
  <c r="Z808" i="18"/>
  <c r="Z872" i="18"/>
  <c r="Z766" i="18"/>
  <c r="Z768" i="18"/>
  <c r="Z836" i="18"/>
  <c r="Z819" i="18"/>
  <c r="Z764" i="18"/>
  <c r="Z763" i="18"/>
  <c r="Z761" i="18"/>
  <c r="Z795" i="18"/>
  <c r="Z1095" i="18"/>
  <c r="Z1092" i="18"/>
  <c r="Z1083" i="18"/>
  <c r="Z1072" i="18"/>
  <c r="Z1029" i="18"/>
  <c r="Z1034" i="18"/>
  <c r="Z1030" i="18"/>
  <c r="Z1027" i="18"/>
  <c r="Z999" i="18"/>
  <c r="Z1057" i="18"/>
  <c r="Z1039" i="18"/>
  <c r="Z1000" i="18"/>
  <c r="Z963" i="18"/>
  <c r="Z960" i="18"/>
  <c r="Z957" i="18"/>
  <c r="Z934" i="18"/>
  <c r="Z870" i="18"/>
  <c r="Z939" i="18"/>
  <c r="Z928" i="18"/>
  <c r="Z909" i="18"/>
  <c r="Z1009" i="18"/>
  <c r="Z911" i="18"/>
  <c r="Z1044" i="18"/>
  <c r="Z945" i="18"/>
  <c r="Z873" i="18"/>
  <c r="Z1012" i="18"/>
  <c r="Z867" i="18"/>
  <c r="Z798" i="18"/>
  <c r="Z851" i="18"/>
  <c r="Z840" i="18"/>
  <c r="Z829" i="18"/>
  <c r="Z1004" i="18"/>
  <c r="Z847" i="18"/>
  <c r="Z783" i="18"/>
  <c r="Z772" i="18"/>
  <c r="Z800" i="18"/>
  <c r="Z828" i="18"/>
  <c r="Z784" i="18"/>
  <c r="Z1087" i="18"/>
  <c r="Z991" i="18"/>
  <c r="Z862" i="18"/>
  <c r="Z866" i="18"/>
  <c r="Z839" i="18"/>
  <c r="Z796" i="18"/>
  <c r="Z1084" i="18"/>
  <c r="Z1032" i="18"/>
  <c r="Z931" i="18"/>
  <c r="Z964" i="18"/>
  <c r="Z775" i="18"/>
  <c r="Z765" i="18"/>
  <c r="Z792" i="18"/>
  <c r="Z1075" i="18"/>
  <c r="Z1023" i="18"/>
  <c r="Z978" i="18"/>
  <c r="Z854" i="18"/>
  <c r="Z857" i="18"/>
  <c r="Z817" i="18"/>
  <c r="Z769" i="18"/>
  <c r="Z1064" i="18"/>
  <c r="Z992" i="18"/>
  <c r="Z901" i="18"/>
  <c r="Z790" i="18"/>
  <c r="Z771" i="18"/>
  <c r="Z826" i="18"/>
  <c r="Z1021" i="18"/>
  <c r="Z955" i="18"/>
  <c r="Z981" i="18"/>
  <c r="Z843" i="18"/>
  <c r="Z1026" i="18"/>
  <c r="Z952" i="18"/>
  <c r="Z903" i="18"/>
  <c r="Z905" i="18"/>
  <c r="Z1019" i="18"/>
  <c r="Z922" i="18"/>
  <c r="Z938" i="18"/>
  <c r="Z858" i="18"/>
  <c r="Z1022" i="18"/>
  <c r="Z949" i="18"/>
  <c r="Z966" i="18"/>
  <c r="Z821" i="18"/>
  <c r="Z1098" i="18"/>
  <c r="Z926" i="18"/>
  <c r="Z801" i="18"/>
  <c r="AM32" i="4"/>
  <c r="AL31" i="4"/>
  <c r="AJ84" i="5"/>
  <c r="AA107" i="5" s="1"/>
  <c r="AA6" i="5" s="1"/>
  <c r="AK84" i="5"/>
  <c r="AA108" i="5" s="1"/>
  <c r="AI84" i="5"/>
  <c r="AA106" i="5" s="1"/>
  <c r="AO84" i="5"/>
  <c r="AA111" i="5" s="1"/>
  <c r="AN84" i="5"/>
  <c r="AA110" i="5" s="1"/>
  <c r="AM84" i="5"/>
  <c r="AA109" i="5" s="1"/>
  <c r="AM36" i="4"/>
  <c r="AN34" i="4"/>
  <c r="AN35" i="4" s="1"/>
  <c r="AR19" i="5" l="1"/>
  <c r="H260" i="26"/>
  <c r="I259" i="26"/>
  <c r="H259" i="26"/>
  <c r="I258" i="26"/>
  <c r="E101" i="26" a="1"/>
  <c r="E101" i="26" s="1"/>
  <c r="F146" i="26"/>
  <c r="F145" i="26"/>
  <c r="F149" i="26"/>
  <c r="F148" i="26"/>
  <c r="F151" i="26"/>
  <c r="F150" i="26"/>
  <c r="F153" i="26"/>
  <c r="F154" i="26"/>
  <c r="F152" i="26"/>
  <c r="F157" i="26"/>
  <c r="F161" i="26"/>
  <c r="F155" i="26"/>
  <c r="F162" i="26"/>
  <c r="F156" i="26"/>
  <c r="F159" i="26"/>
  <c r="F158" i="26"/>
  <c r="F160" i="26"/>
  <c r="F163" i="26"/>
  <c r="F164" i="26"/>
  <c r="F165" i="26"/>
  <c r="F147" i="26"/>
  <c r="F86" i="26"/>
  <c r="E28" i="26"/>
  <c r="E320" i="26" s="1"/>
  <c r="E321" i="26" s="1"/>
  <c r="E66" i="26" s="1"/>
  <c r="E73" i="26" s="1"/>
  <c r="K237" i="26"/>
  <c r="N237" i="26"/>
  <c r="O236" i="26"/>
  <c r="I236" i="26"/>
  <c r="L236" i="26"/>
  <c r="H237" i="26"/>
  <c r="E237" i="26"/>
  <c r="F236" i="26"/>
  <c r="L320" i="26"/>
  <c r="L321" i="26" s="1"/>
  <c r="L66" i="26" s="1"/>
  <c r="L73" i="26" s="1"/>
  <c r="O320" i="26"/>
  <c r="O321" i="26" s="1"/>
  <c r="O66" i="26" s="1"/>
  <c r="O73" i="26" s="1"/>
  <c r="I320" i="26"/>
  <c r="I321" i="26" s="1"/>
  <c r="I66" i="26" s="1"/>
  <c r="I73" i="26" s="1"/>
  <c r="N107" i="26"/>
  <c r="N102" i="26" s="1" a="1"/>
  <c r="N102" i="26" s="1"/>
  <c r="N100" i="26" a="1"/>
  <c r="N100" i="26" s="1"/>
  <c r="N57" i="26" s="1"/>
  <c r="N105" i="26"/>
  <c r="O99" i="26"/>
  <c r="O125" i="26" s="1"/>
  <c r="O104" i="26" s="1"/>
  <c r="H28" i="26"/>
  <c r="N28" i="26"/>
  <c r="AD24" i="5"/>
  <c r="AC25" i="5"/>
  <c r="AF8" i="18"/>
  <c r="AE14" i="18"/>
  <c r="AE5" i="18"/>
  <c r="AD11" i="18"/>
  <c r="AF6" i="18"/>
  <c r="AE12" i="18"/>
  <c r="AF7" i="18"/>
  <c r="AE13" i="18"/>
  <c r="AF9" i="18"/>
  <c r="AE15" i="18"/>
  <c r="AA11" i="5" a="1"/>
  <c r="AA11" i="5" s="1"/>
  <c r="AR22" i="5"/>
  <c r="AS16" i="5"/>
  <c r="AS21" i="5" s="1"/>
  <c r="AR18" i="5"/>
  <c r="Z9" i="5"/>
  <c r="X721" i="18"/>
  <c r="X714" i="18"/>
  <c r="X650" i="18"/>
  <c r="X711" i="18"/>
  <c r="X723" i="18"/>
  <c r="X751" i="18"/>
  <c r="X661" i="18"/>
  <c r="X612" i="18"/>
  <c r="X692" i="18"/>
  <c r="X697" i="18"/>
  <c r="X715" i="18"/>
  <c r="X657" i="18"/>
  <c r="X573" i="18"/>
  <c r="X609" i="18"/>
  <c r="X663" i="18"/>
  <c r="X559" i="18"/>
  <c r="X608" i="18"/>
  <c r="X566" i="18"/>
  <c r="X634" i="18"/>
  <c r="X527" i="18"/>
  <c r="X649" i="18"/>
  <c r="X582" i="18"/>
  <c r="X654" i="18"/>
  <c r="X521" i="18"/>
  <c r="X617" i="18"/>
  <c r="X518" i="18"/>
  <c r="X506" i="18"/>
  <c r="X523" i="18"/>
  <c r="X444" i="18"/>
  <c r="X504" i="18"/>
  <c r="X433" i="18"/>
  <c r="X494" i="18"/>
  <c r="X430" i="18"/>
  <c r="X475" i="18"/>
  <c r="X552" i="18"/>
  <c r="X397" i="18"/>
  <c r="X455" i="18"/>
  <c r="X378" i="18"/>
  <c r="X488" i="18"/>
  <c r="X391" i="18"/>
  <c r="X420" i="18"/>
  <c r="X340" i="18"/>
  <c r="X276" i="18"/>
  <c r="X212" i="18"/>
  <c r="X407" i="18"/>
  <c r="X321" i="18"/>
  <c r="X257" i="18"/>
  <c r="X193" i="18"/>
  <c r="X390" i="18"/>
  <c r="X310" i="18"/>
  <c r="X246" i="18"/>
  <c r="X182" i="18"/>
  <c r="X429" i="18"/>
  <c r="X331" i="18"/>
  <c r="X686" i="18"/>
  <c r="X364" i="18"/>
  <c r="X296" i="18"/>
  <c r="X309" i="18"/>
  <c r="X189" i="18"/>
  <c r="X117" i="18"/>
  <c r="X461" i="18"/>
  <c r="X240" i="18"/>
  <c r="X154" i="18"/>
  <c r="X90" i="18"/>
  <c r="X303" i="18"/>
  <c r="X184" i="18"/>
  <c r="X135" i="18"/>
  <c r="X71" i="18"/>
  <c r="X295" i="18"/>
  <c r="X191" i="18"/>
  <c r="X124" i="18"/>
  <c r="X60" i="18"/>
  <c r="X264" i="18"/>
  <c r="X169" i="18"/>
  <c r="X105" i="18"/>
  <c r="X371" i="18"/>
  <c r="X118" i="18"/>
  <c r="X120" i="18"/>
  <c r="X216" i="18"/>
  <c r="X325" i="18"/>
  <c r="X53" i="18"/>
  <c r="X56" i="18"/>
  <c r="X59" i="18"/>
  <c r="X67" i="18"/>
  <c r="X496" i="18"/>
  <c r="X49" i="18"/>
  <c r="X333" i="18"/>
  <c r="X107" i="18"/>
  <c r="X739" i="18"/>
  <c r="X706" i="18"/>
  <c r="X642" i="18"/>
  <c r="X703" i="18"/>
  <c r="X722" i="18"/>
  <c r="X704" i="18"/>
  <c r="X656" i="18"/>
  <c r="X604" i="18"/>
  <c r="X670" i="18"/>
  <c r="X684" i="18"/>
  <c r="X669" i="18"/>
  <c r="X615" i="18"/>
  <c r="X565" i="18"/>
  <c r="X594" i="18"/>
  <c r="X644" i="18"/>
  <c r="X726" i="18"/>
  <c r="X603" i="18"/>
  <c r="X560" i="18"/>
  <c r="X632" i="18"/>
  <c r="X519" i="18"/>
  <c r="X638" i="18"/>
  <c r="X554" i="18"/>
  <c r="X626" i="18"/>
  <c r="X513" i="18"/>
  <c r="X577" i="18"/>
  <c r="X510" i="18"/>
  <c r="X653" i="18"/>
  <c r="X507" i="18"/>
  <c r="X436" i="18"/>
  <c r="X489" i="18"/>
  <c r="X425" i="18"/>
  <c r="X486" i="18"/>
  <c r="X422" i="18"/>
  <c r="X467" i="18"/>
  <c r="X490" i="18"/>
  <c r="X389" i="18"/>
  <c r="X439" i="18"/>
  <c r="X370" i="18"/>
  <c r="X472" i="18"/>
  <c r="X383" i="18"/>
  <c r="X419" i="18"/>
  <c r="X332" i="18"/>
  <c r="X268" i="18"/>
  <c r="X204" i="18"/>
  <c r="X406" i="18"/>
  <c r="X313" i="18"/>
  <c r="X249" i="18"/>
  <c r="X185" i="18"/>
  <c r="X369" i="18"/>
  <c r="X302" i="18"/>
  <c r="X238" i="18"/>
  <c r="X648" i="18"/>
  <c r="X398" i="18"/>
  <c r="X323" i="18"/>
  <c r="X562" i="18"/>
  <c r="X363" i="18"/>
  <c r="X288" i="18"/>
  <c r="X282" i="18"/>
  <c r="X173" i="18"/>
  <c r="X109" i="18"/>
  <c r="X411" i="18"/>
  <c r="X239" i="18"/>
  <c r="X146" i="18"/>
  <c r="X82" i="18"/>
  <c r="X293" i="18"/>
  <c r="X183" i="18"/>
  <c r="X127" i="18"/>
  <c r="X63" i="18"/>
  <c r="X285" i="18"/>
  <c r="X180" i="18"/>
  <c r="X116" i="18"/>
  <c r="X52" i="18"/>
  <c r="X263" i="18"/>
  <c r="X161" i="18"/>
  <c r="X97" i="18"/>
  <c r="X317" i="18"/>
  <c r="X387" i="18"/>
  <c r="X110" i="18"/>
  <c r="X176" i="18"/>
  <c r="X259" i="18"/>
  <c r="X298" i="18"/>
  <c r="X54" i="18"/>
  <c r="X277" i="18"/>
  <c r="X62" i="18"/>
  <c r="X142" i="18"/>
  <c r="X203" i="18"/>
  <c r="X160" i="18"/>
  <c r="X734" i="18"/>
  <c r="X698" i="18"/>
  <c r="X748" i="18"/>
  <c r="X695" i="18"/>
  <c r="X712" i="18"/>
  <c r="X702" i="18"/>
  <c r="X651" i="18"/>
  <c r="X742" i="18"/>
  <c r="X665" i="18"/>
  <c r="X683" i="18"/>
  <c r="X664" i="18"/>
  <c r="X610" i="18"/>
  <c r="X557" i="18"/>
  <c r="X586" i="18"/>
  <c r="X643" i="18"/>
  <c r="X716" i="18"/>
  <c r="X596" i="18"/>
  <c r="X558" i="18"/>
  <c r="X598" i="18"/>
  <c r="X511" i="18"/>
  <c r="X621" i="18"/>
  <c r="X540" i="18"/>
  <c r="X590" i="18"/>
  <c r="X505" i="18"/>
  <c r="X576" i="18"/>
  <c r="X502" i="18"/>
  <c r="X625" i="18"/>
  <c r="X492" i="18"/>
  <c r="X428" i="18"/>
  <c r="X481" i="18"/>
  <c r="X639" i="18"/>
  <c r="X478" i="18"/>
  <c r="X593" i="18"/>
  <c r="X459" i="18"/>
  <c r="X474" i="18"/>
  <c r="X381" i="18"/>
  <c r="X423" i="18"/>
  <c r="X362" i="18"/>
  <c r="X456" i="18"/>
  <c r="X375" i="18"/>
  <c r="X396" i="18"/>
  <c r="X324" i="18"/>
  <c r="X260" i="18"/>
  <c r="X196" i="18"/>
  <c r="X382" i="18"/>
  <c r="X305" i="18"/>
  <c r="X241" i="18"/>
  <c r="X627" i="18"/>
  <c r="X368" i="18"/>
  <c r="X294" i="18"/>
  <c r="X230" i="18"/>
  <c r="X592" i="18"/>
  <c r="X377" i="18"/>
  <c r="X315" i="18"/>
  <c r="X482" i="18"/>
  <c r="X344" i="18"/>
  <c r="X280" i="18"/>
  <c r="X274" i="18"/>
  <c r="X165" i="18"/>
  <c r="X101" i="18"/>
  <c r="X392" i="18"/>
  <c r="X219" i="18"/>
  <c r="X138" i="18"/>
  <c r="X74" i="18"/>
  <c r="X269" i="18"/>
  <c r="X181" i="18"/>
  <c r="X119" i="18"/>
  <c r="X55" i="18"/>
  <c r="X256" i="18"/>
  <c r="X172" i="18"/>
  <c r="X108" i="18"/>
  <c r="X453" i="18"/>
  <c r="X243" i="18"/>
  <c r="X153" i="18"/>
  <c r="X89" i="18"/>
  <c r="X306" i="18"/>
  <c r="X327" i="18"/>
  <c r="X512" i="18"/>
  <c r="X166" i="18"/>
  <c r="X194" i="18"/>
  <c r="X215" i="18"/>
  <c r="X477" i="18"/>
  <c r="X251" i="18"/>
  <c r="X335" i="18"/>
  <c r="X115" i="18"/>
  <c r="X186" i="18"/>
  <c r="X224" i="18"/>
  <c r="X752" i="18"/>
  <c r="X746" i="18"/>
  <c r="X690" i="18"/>
  <c r="X747" i="18"/>
  <c r="X687" i="18"/>
  <c r="X710" i="18"/>
  <c r="X700" i="18"/>
  <c r="X646" i="18"/>
  <c r="X740" i="18"/>
  <c r="X660" i="18"/>
  <c r="X673" i="18"/>
  <c r="X659" i="18"/>
  <c r="X605" i="18"/>
  <c r="X549" i="18"/>
  <c r="X578" i="18"/>
  <c r="X599" i="18"/>
  <c r="X713" i="18"/>
  <c r="X699" i="18"/>
  <c r="X556" i="18"/>
  <c r="X574" i="18"/>
  <c r="X503" i="18"/>
  <c r="X616" i="18"/>
  <c r="X532" i="18"/>
  <c r="X569" i="18"/>
  <c r="X497" i="18"/>
  <c r="X553" i="18"/>
  <c r="X607" i="18"/>
  <c r="X602" i="18"/>
  <c r="X484" i="18"/>
  <c r="X629" i="18"/>
  <c r="X473" i="18"/>
  <c r="X633" i="18"/>
  <c r="X470" i="18"/>
  <c r="X544" i="18"/>
  <c r="X451" i="18"/>
  <c r="X458" i="18"/>
  <c r="X373" i="18"/>
  <c r="X421" i="18"/>
  <c r="X354" i="18"/>
  <c r="X440" i="18"/>
  <c r="X367" i="18"/>
  <c r="X395" i="18"/>
  <c r="X316" i="18"/>
  <c r="X252" i="18"/>
  <c r="X188" i="18"/>
  <c r="X361" i="18"/>
  <c r="X297" i="18"/>
  <c r="X233" i="18"/>
  <c r="X528" i="18"/>
  <c r="X350" i="18"/>
  <c r="X286" i="18"/>
  <c r="X222" i="18"/>
  <c r="X536" i="18"/>
  <c r="X376" i="18"/>
  <c r="X307" i="18"/>
  <c r="X445" i="18"/>
  <c r="X336" i="18"/>
  <c r="X437" i="18"/>
  <c r="X253" i="18"/>
  <c r="X157" i="18"/>
  <c r="X93" i="18"/>
  <c r="X358" i="18"/>
  <c r="X218" i="18"/>
  <c r="X130" i="18"/>
  <c r="X66" i="18"/>
  <c r="X248" i="18"/>
  <c r="X175" i="18"/>
  <c r="X111" i="18"/>
  <c r="X479" i="18"/>
  <c r="X255" i="18"/>
  <c r="X164" i="18"/>
  <c r="X100" i="18"/>
  <c r="X388" i="18"/>
  <c r="X242" i="18"/>
  <c r="X145" i="18"/>
  <c r="X81" i="18"/>
  <c r="X245" i="18"/>
  <c r="X272" i="18"/>
  <c r="X393" i="18"/>
  <c r="X139" i="18"/>
  <c r="X168" i="18"/>
  <c r="X179" i="18"/>
  <c r="X258" i="18"/>
  <c r="X202" i="18"/>
  <c r="X237" i="18"/>
  <c r="X75" i="18"/>
  <c r="X88" i="18"/>
  <c r="X48" i="18"/>
  <c r="X744" i="18"/>
  <c r="X745" i="18"/>
  <c r="X682" i="18"/>
  <c r="X738" i="18"/>
  <c r="X679" i="18"/>
  <c r="X731" i="18"/>
  <c r="X672" i="18"/>
  <c r="X641" i="18"/>
  <c r="X733" i="18"/>
  <c r="X655" i="18"/>
  <c r="X645" i="18"/>
  <c r="X688" i="18"/>
  <c r="X600" i="18"/>
  <c r="X708" i="18"/>
  <c r="X570" i="18"/>
  <c r="X591" i="18"/>
  <c r="X694" i="18"/>
  <c r="X689" i="18"/>
  <c r="X546" i="18"/>
  <c r="X555" i="18"/>
  <c r="X495" i="18"/>
  <c r="X611" i="18"/>
  <c r="X524" i="18"/>
  <c r="X568" i="18"/>
  <c r="X743" i="18"/>
  <c r="X548" i="18"/>
  <c r="X585" i="18"/>
  <c r="X579" i="18"/>
  <c r="X476" i="18"/>
  <c r="X572" i="18"/>
  <c r="X465" i="18"/>
  <c r="X584" i="18"/>
  <c r="X462" i="18"/>
  <c r="X514" i="18"/>
  <c r="X443" i="18"/>
  <c r="X442" i="18"/>
  <c r="X365" i="18"/>
  <c r="X413" i="18"/>
  <c r="X580" i="18"/>
  <c r="X424" i="18"/>
  <c r="X359" i="18"/>
  <c r="X374" i="18"/>
  <c r="X308" i="18"/>
  <c r="X244" i="18"/>
  <c r="X631" i="18"/>
  <c r="X360" i="18"/>
  <c r="X289" i="18"/>
  <c r="X225" i="18"/>
  <c r="X464" i="18"/>
  <c r="X342" i="18"/>
  <c r="X278" i="18"/>
  <c r="X214" i="18"/>
  <c r="X515" i="18"/>
  <c r="X356" i="18"/>
  <c r="X299" i="18"/>
  <c r="X431" i="18"/>
  <c r="X328" i="18"/>
  <c r="X417" i="18"/>
  <c r="X232" i="18"/>
  <c r="X149" i="18"/>
  <c r="X85" i="18"/>
  <c r="X338" i="18"/>
  <c r="X197" i="18"/>
  <c r="X122" i="18"/>
  <c r="X58" i="18"/>
  <c r="X247" i="18"/>
  <c r="X167" i="18"/>
  <c r="X103" i="18"/>
  <c r="X447" i="18"/>
  <c r="X235" i="18"/>
  <c r="X156" i="18"/>
  <c r="X92" i="18"/>
  <c r="X372" i="18"/>
  <c r="X221" i="18"/>
  <c r="X137" i="18"/>
  <c r="X73" i="18"/>
  <c r="X229" i="18"/>
  <c r="X223" i="18"/>
  <c r="X290" i="18"/>
  <c r="X112" i="18"/>
  <c r="X158" i="18"/>
  <c r="X152" i="18"/>
  <c r="X208" i="18"/>
  <c r="X163" i="18"/>
  <c r="X187" i="18"/>
  <c r="X463" i="18"/>
  <c r="X83" i="18"/>
  <c r="X99" i="18"/>
  <c r="X736" i="18"/>
  <c r="X735" i="18"/>
  <c r="X674" i="18"/>
  <c r="X737" i="18"/>
  <c r="X671" i="18"/>
  <c r="X709" i="18"/>
  <c r="X691" i="18"/>
  <c r="X636" i="18"/>
  <c r="X727" i="18"/>
  <c r="X725" i="18"/>
  <c r="X640" i="18"/>
  <c r="X677" i="18"/>
  <c r="X597" i="18"/>
  <c r="X624" i="18"/>
  <c r="X685" i="18"/>
  <c r="X583" i="18"/>
  <c r="X623" i="18"/>
  <c r="X652" i="18"/>
  <c r="X538" i="18"/>
  <c r="X550" i="18"/>
  <c r="X728" i="18"/>
  <c r="X606" i="18"/>
  <c r="X516" i="18"/>
  <c r="X545" i="18"/>
  <c r="X678" i="18"/>
  <c r="X542" i="18"/>
  <c r="X547" i="18"/>
  <c r="X561" i="18"/>
  <c r="X468" i="18"/>
  <c r="X551" i="18"/>
  <c r="X457" i="18"/>
  <c r="X563" i="18"/>
  <c r="X454" i="18"/>
  <c r="X498" i="18"/>
  <c r="X435" i="18"/>
  <c r="X426" i="18"/>
  <c r="X357" i="18"/>
  <c r="X405" i="18"/>
  <c r="X571" i="18"/>
  <c r="X418" i="18"/>
  <c r="X351" i="18"/>
  <c r="X353" i="18"/>
  <c r="X300" i="18"/>
  <c r="X236" i="18"/>
  <c r="X485" i="18"/>
  <c r="X345" i="18"/>
  <c r="X281" i="18"/>
  <c r="X217" i="18"/>
  <c r="X450" i="18"/>
  <c r="X334" i="18"/>
  <c r="X270" i="18"/>
  <c r="X206" i="18"/>
  <c r="X509" i="18"/>
  <c r="X355" i="18"/>
  <c r="X291" i="18"/>
  <c r="X409" i="18"/>
  <c r="X320" i="18"/>
  <c r="X380" i="18"/>
  <c r="X231" i="18"/>
  <c r="X141" i="18"/>
  <c r="X77" i="18"/>
  <c r="X311" i="18"/>
  <c r="X178" i="18"/>
  <c r="X114" i="18"/>
  <c r="X50" i="18"/>
  <c r="X227" i="18"/>
  <c r="X159" i="18"/>
  <c r="X95" i="18"/>
  <c r="X379" i="18"/>
  <c r="X234" i="18"/>
  <c r="X148" i="18"/>
  <c r="X84" i="18"/>
  <c r="X341" i="18"/>
  <c r="X200" i="18"/>
  <c r="X129" i="18"/>
  <c r="X65" i="18"/>
  <c r="X195" i="18"/>
  <c r="X207" i="18"/>
  <c r="X279" i="18"/>
  <c r="X102" i="18"/>
  <c r="X131" i="18"/>
  <c r="X96" i="18"/>
  <c r="X171" i="18"/>
  <c r="X136" i="18"/>
  <c r="X150" i="18"/>
  <c r="X134" i="18"/>
  <c r="X70" i="18"/>
  <c r="X366" i="18"/>
  <c r="X749" i="18"/>
  <c r="X732" i="18"/>
  <c r="X666" i="18"/>
  <c r="X724" i="18"/>
  <c r="X750" i="18"/>
  <c r="X707" i="18"/>
  <c r="X681" i="18"/>
  <c r="X628" i="18"/>
  <c r="X717" i="18"/>
  <c r="X720" i="18"/>
  <c r="X630" i="18"/>
  <c r="X667" i="18"/>
  <c r="X589" i="18"/>
  <c r="X619" i="18"/>
  <c r="X676" i="18"/>
  <c r="X575" i="18"/>
  <c r="X618" i="18"/>
  <c r="X588" i="18"/>
  <c r="X530" i="18"/>
  <c r="X543" i="18"/>
  <c r="X693" i="18"/>
  <c r="X601" i="18"/>
  <c r="X508" i="18"/>
  <c r="X537" i="18"/>
  <c r="X635" i="18"/>
  <c r="X534" i="18"/>
  <c r="X539" i="18"/>
  <c r="X541" i="18"/>
  <c r="X460" i="18"/>
  <c r="X533" i="18"/>
  <c r="X449" i="18"/>
  <c r="X517" i="18"/>
  <c r="X446" i="18"/>
  <c r="X491" i="18"/>
  <c r="X427" i="18"/>
  <c r="X416" i="18"/>
  <c r="X487" i="18"/>
  <c r="X394" i="18"/>
  <c r="X564" i="18"/>
  <c r="X410" i="18"/>
  <c r="X469" i="18"/>
  <c r="X352" i="18"/>
  <c r="X292" i="18"/>
  <c r="X228" i="18"/>
  <c r="X448" i="18"/>
  <c r="X337" i="18"/>
  <c r="X273" i="18"/>
  <c r="X209" i="18"/>
  <c r="X415" i="18"/>
  <c r="X326" i="18"/>
  <c r="X262" i="18"/>
  <c r="X198" i="18"/>
  <c r="X480" i="18"/>
  <c r="X347" i="18"/>
  <c r="X283" i="18"/>
  <c r="X385" i="18"/>
  <c r="X312" i="18"/>
  <c r="X346" i="18"/>
  <c r="X211" i="18"/>
  <c r="X133" i="18"/>
  <c r="X69" i="18"/>
  <c r="X301" i="18"/>
  <c r="X170" i="18"/>
  <c r="X106" i="18"/>
  <c r="X404" i="18"/>
  <c r="X226" i="18"/>
  <c r="X151" i="18"/>
  <c r="X87" i="18"/>
  <c r="X349" i="18"/>
  <c r="X213" i="18"/>
  <c r="X140" i="18"/>
  <c r="X76" i="18"/>
  <c r="X314" i="18"/>
  <c r="X199" i="18"/>
  <c r="X121" i="18"/>
  <c r="X57" i="18"/>
  <c r="X155" i="18"/>
  <c r="X174" i="18"/>
  <c r="X266" i="18"/>
  <c r="X412" i="18"/>
  <c r="X104" i="18"/>
  <c r="X78" i="18"/>
  <c r="X144" i="18"/>
  <c r="X91" i="18"/>
  <c r="X123" i="18"/>
  <c r="X271" i="18"/>
  <c r="X343" i="18"/>
  <c r="X126" i="18"/>
  <c r="X729" i="18"/>
  <c r="X730" i="18"/>
  <c r="X658" i="18"/>
  <c r="X719" i="18"/>
  <c r="X741" i="18"/>
  <c r="X705" i="18"/>
  <c r="X680" i="18"/>
  <c r="X620" i="18"/>
  <c r="X696" i="18"/>
  <c r="X701" i="18"/>
  <c r="X718" i="18"/>
  <c r="X662" i="18"/>
  <c r="X581" i="18"/>
  <c r="X614" i="18"/>
  <c r="X668" i="18"/>
  <c r="X567" i="18"/>
  <c r="X613" i="18"/>
  <c r="X587" i="18"/>
  <c r="X647" i="18"/>
  <c r="X535" i="18"/>
  <c r="X675" i="18"/>
  <c r="X595" i="18"/>
  <c r="X500" i="18"/>
  <c r="X529" i="18"/>
  <c r="X622" i="18"/>
  <c r="X526" i="18"/>
  <c r="X522" i="18"/>
  <c r="X531" i="18"/>
  <c r="X452" i="18"/>
  <c r="X520" i="18"/>
  <c r="X441" i="18"/>
  <c r="X501" i="18"/>
  <c r="X438" i="18"/>
  <c r="X483" i="18"/>
  <c r="X637" i="18"/>
  <c r="X408" i="18"/>
  <c r="X471" i="18"/>
  <c r="X386" i="18"/>
  <c r="X499" i="18"/>
  <c r="X402" i="18"/>
  <c r="X432" i="18"/>
  <c r="X348" i="18"/>
  <c r="X284" i="18"/>
  <c r="X220" i="18"/>
  <c r="X434" i="18"/>
  <c r="X329" i="18"/>
  <c r="X265" i="18"/>
  <c r="X201" i="18"/>
  <c r="X414" i="18"/>
  <c r="X318" i="18"/>
  <c r="X254" i="18"/>
  <c r="X190" i="18"/>
  <c r="X466" i="18"/>
  <c r="X339" i="18"/>
  <c r="X275" i="18"/>
  <c r="X384" i="18"/>
  <c r="X304" i="18"/>
  <c r="X319" i="18"/>
  <c r="X210" i="18"/>
  <c r="X125" i="18"/>
  <c r="X493" i="18"/>
  <c r="X261" i="18"/>
  <c r="X162" i="18"/>
  <c r="X98" i="18"/>
  <c r="X330" i="18"/>
  <c r="X205" i="18"/>
  <c r="X143" i="18"/>
  <c r="X79" i="18"/>
  <c r="X322" i="18"/>
  <c r="X192" i="18"/>
  <c r="X132" i="18"/>
  <c r="X68" i="18"/>
  <c r="X287" i="18"/>
  <c r="X177" i="18"/>
  <c r="X113" i="18"/>
  <c r="X525" i="18"/>
  <c r="X128" i="18"/>
  <c r="X147" i="18"/>
  <c r="X250" i="18"/>
  <c r="X403" i="18"/>
  <c r="X94" i="18"/>
  <c r="X61" i="18"/>
  <c r="X64" i="18"/>
  <c r="X80" i="18"/>
  <c r="X86" i="18"/>
  <c r="X72" i="18"/>
  <c r="X267" i="18"/>
  <c r="X51" i="18"/>
  <c r="S4" i="18"/>
  <c r="S44" i="18" s="1"/>
  <c r="R401" i="18"/>
  <c r="R47" i="18"/>
  <c r="R754" i="18"/>
  <c r="AB38" i="18"/>
  <c r="AA792" i="18"/>
  <c r="AA785" i="18"/>
  <c r="AA838" i="18"/>
  <c r="AA998" i="18"/>
  <c r="AA776" i="18"/>
  <c r="AA869" i="18"/>
  <c r="AA760" i="18"/>
  <c r="AA942" i="18"/>
  <c r="AA799" i="18"/>
  <c r="AA990" i="18"/>
  <c r="AA766" i="18"/>
  <c r="AA777" i="18"/>
  <c r="AA797" i="18"/>
  <c r="AA806" i="18"/>
  <c r="AA813" i="18"/>
  <c r="AA1021" i="18"/>
  <c r="AA862" i="18"/>
  <c r="AA769" i="18"/>
  <c r="AA871" i="18"/>
  <c r="AA934" i="18"/>
  <c r="AA830" i="18"/>
  <c r="AA841" i="18"/>
  <c r="AA1100" i="18"/>
  <c r="AA1105" i="18"/>
  <c r="AA1104" i="18"/>
  <c r="AA1085" i="18"/>
  <c r="AA1051" i="18"/>
  <c r="AA1062" i="18"/>
  <c r="AA1055" i="18"/>
  <c r="AA1059" i="18"/>
  <c r="AA1028" i="18"/>
  <c r="AA1013" i="18"/>
  <c r="AA1008" i="18"/>
  <c r="AA1005" i="18"/>
  <c r="AA986" i="18"/>
  <c r="AA983" i="18"/>
  <c r="AA993" i="18"/>
  <c r="AA961" i="18"/>
  <c r="AA883" i="18"/>
  <c r="AA1038" i="18"/>
  <c r="AA982" i="18"/>
  <c r="AA898" i="18"/>
  <c r="AA950" i="18"/>
  <c r="AA892" i="18"/>
  <c r="AA893" i="18"/>
  <c r="AA937" i="18"/>
  <c r="AA909" i="18"/>
  <c r="AA910" i="18"/>
  <c r="AA897" i="18"/>
  <c r="AA835" i="18"/>
  <c r="AA771" i="18"/>
  <c r="AA921" i="18"/>
  <c r="AA858" i="18"/>
  <c r="AA794" i="18"/>
  <c r="AA836" i="18"/>
  <c r="AA772" i="18"/>
  <c r="AA793" i="18"/>
  <c r="AA821" i="18"/>
  <c r="AA857" i="18"/>
  <c r="AA865" i="18"/>
  <c r="AA966" i="18"/>
  <c r="AA920" i="18"/>
  <c r="AA817" i="18"/>
  <c r="AA790" i="18"/>
  <c r="AA833" i="18"/>
  <c r="AA1092" i="18"/>
  <c r="AA1097" i="18"/>
  <c r="AA1096" i="18"/>
  <c r="AA1077" i="18"/>
  <c r="AA1042" i="18"/>
  <c r="AA1039" i="18"/>
  <c r="AA1048" i="18"/>
  <c r="AA1056" i="18"/>
  <c r="AA1012" i="18"/>
  <c r="AA1003" i="18"/>
  <c r="AA1000" i="18"/>
  <c r="AA997" i="18"/>
  <c r="AA976" i="18"/>
  <c r="AA973" i="18"/>
  <c r="AA978" i="18"/>
  <c r="AA939" i="18"/>
  <c r="AA875" i="18"/>
  <c r="AA977" i="18"/>
  <c r="AA964" i="18"/>
  <c r="AA890" i="18"/>
  <c r="AA948" i="18"/>
  <c r="AA884" i="18"/>
  <c r="AA886" i="18"/>
  <c r="AA935" i="18"/>
  <c r="AA902" i="18"/>
  <c r="AA903" i="18"/>
  <c r="AA972" i="18"/>
  <c r="AA827" i="18"/>
  <c r="AA926" i="18"/>
  <c r="AA905" i="18"/>
  <c r="AA850" i="18"/>
  <c r="AA786" i="18"/>
  <c r="AA828" i="18"/>
  <c r="AA822" i="18"/>
  <c r="AA814" i="18"/>
  <c r="AA861" i="18"/>
  <c r="AA761" i="18"/>
  <c r="AA768" i="18"/>
  <c r="AA789" i="18"/>
  <c r="AA832" i="18"/>
  <c r="AA764" i="18"/>
  <c r="AA781" i="18"/>
  <c r="AA880" i="18"/>
  <c r="AA823" i="18"/>
  <c r="AA1103" i="18"/>
  <c r="AA1084" i="18"/>
  <c r="AA1089" i="18"/>
  <c r="AA1088" i="18"/>
  <c r="AA1069" i="18"/>
  <c r="AA1034" i="18"/>
  <c r="AA1031" i="18"/>
  <c r="AA1043" i="18"/>
  <c r="AA1040" i="18"/>
  <c r="AA1004" i="18"/>
  <c r="AA995" i="18"/>
  <c r="AA992" i="18"/>
  <c r="AA989" i="18"/>
  <c r="AA968" i="18"/>
  <c r="AA965" i="18"/>
  <c r="AA970" i="18"/>
  <c r="AA931" i="18"/>
  <c r="AA867" i="18"/>
  <c r="AA956" i="18"/>
  <c r="AA963" i="18"/>
  <c r="AA882" i="18"/>
  <c r="AA940" i="18"/>
  <c r="AA876" i="18"/>
  <c r="AA879" i="18"/>
  <c r="AA901" i="18"/>
  <c r="AA895" i="18"/>
  <c r="AA896" i="18"/>
  <c r="AA912" i="18"/>
  <c r="AA819" i="18"/>
  <c r="AA887" i="18"/>
  <c r="AA885" i="18"/>
  <c r="AA842" i="18"/>
  <c r="AA778" i="18"/>
  <c r="AA820" i="18"/>
  <c r="AA847" i="18"/>
  <c r="AA783" i="18"/>
  <c r="AA1095" i="18"/>
  <c r="AA1076" i="18"/>
  <c r="AA1081" i="18"/>
  <c r="AA1080" i="18"/>
  <c r="AA1061" i="18"/>
  <c r="AA1026" i="18"/>
  <c r="AA1023" i="18"/>
  <c r="AA1035" i="18"/>
  <c r="AA1032" i="18"/>
  <c r="AA996" i="18"/>
  <c r="AA987" i="18"/>
  <c r="AA984" i="18"/>
  <c r="AA981" i="18"/>
  <c r="AA960" i="18"/>
  <c r="AA957" i="18"/>
  <c r="AA962" i="18"/>
  <c r="AA923" i="18"/>
  <c r="AA1001" i="18"/>
  <c r="AA955" i="18"/>
  <c r="AA938" i="18"/>
  <c r="AA874" i="18"/>
  <c r="AA932" i="18"/>
  <c r="AA868" i="18"/>
  <c r="AA872" i="18"/>
  <c r="AA894" i="18"/>
  <c r="AA888" i="18"/>
  <c r="AA889" i="18"/>
  <c r="AA878" i="18"/>
  <c r="AA811" i="18"/>
  <c r="AA873" i="18"/>
  <c r="AA864" i="18"/>
  <c r="AA834" i="18"/>
  <c r="AA770" i="18"/>
  <c r="AA812" i="18"/>
  <c r="AA762" i="18"/>
  <c r="AA815" i="18"/>
  <c r="AA849" i="18"/>
  <c r="AA798" i="18"/>
  <c r="AA774" i="18"/>
  <c r="AA816" i="18"/>
  <c r="AA1087" i="18"/>
  <c r="AA1068" i="18"/>
  <c r="AA1073" i="18"/>
  <c r="AA1072" i="18"/>
  <c r="AA1053" i="18"/>
  <c r="AA1018" i="18"/>
  <c r="AA1015" i="18"/>
  <c r="AA1027" i="18"/>
  <c r="AA1024" i="18"/>
  <c r="AA988" i="18"/>
  <c r="AA979" i="18"/>
  <c r="AA1083" i="18"/>
  <c r="AA1102" i="18"/>
  <c r="AA952" i="18"/>
  <c r="AA949" i="18"/>
  <c r="AA954" i="18"/>
  <c r="AA915" i="18"/>
  <c r="AA969" i="18"/>
  <c r="AA941" i="18"/>
  <c r="AA930" i="18"/>
  <c r="AA866" i="18"/>
  <c r="AA924" i="18"/>
  <c r="AA1030" i="18"/>
  <c r="AA1075" i="18"/>
  <c r="AA971" i="18"/>
  <c r="AA881" i="18"/>
  <c r="AA967" i="18"/>
  <c r="AA863" i="18"/>
  <c r="AA803" i="18"/>
  <c r="AA870" i="18"/>
  <c r="AA853" i="18"/>
  <c r="AA826" i="18"/>
  <c r="AA877" i="18"/>
  <c r="AA804" i="18"/>
  <c r="AA805" i="18"/>
  <c r="AA757" i="18"/>
  <c r="AA807" i="18"/>
  <c r="AA782" i="18"/>
  <c r="AA825" i="18"/>
  <c r="AA758" i="18"/>
  <c r="AA831" i="18"/>
  <c r="AA1079" i="18"/>
  <c r="AA1060" i="18"/>
  <c r="AA1065" i="18"/>
  <c r="AA1064" i="18"/>
  <c r="AA1045" i="18"/>
  <c r="AA1010" i="18"/>
  <c r="AA1098" i="18"/>
  <c r="AA1019" i="18"/>
  <c r="AA1016" i="18"/>
  <c r="AA980" i="18"/>
  <c r="AA1091" i="18"/>
  <c r="AA1054" i="18"/>
  <c r="AA1047" i="18"/>
  <c r="AA1082" i="18"/>
  <c r="AA1025" i="18"/>
  <c r="AA946" i="18"/>
  <c r="AA907" i="18"/>
  <c r="AA944" i="18"/>
  <c r="AA933" i="18"/>
  <c r="AA922" i="18"/>
  <c r="AA1078" i="18"/>
  <c r="AA916" i="18"/>
  <c r="AA975" i="18"/>
  <c r="AA1041" i="18"/>
  <c r="AA947" i="18"/>
  <c r="AA1006" i="18"/>
  <c r="AA918" i="18"/>
  <c r="AA859" i="18"/>
  <c r="AA795" i="18"/>
  <c r="AA856" i="18"/>
  <c r="AA845" i="18"/>
  <c r="AA818" i="18"/>
  <c r="AA860" i="18"/>
  <c r="AA796" i="18"/>
  <c r="AA808" i="18"/>
  <c r="AA1022" i="18"/>
  <c r="AA784" i="18"/>
  <c r="AA767" i="18"/>
  <c r="AA913" i="18"/>
  <c r="AA809" i="18"/>
  <c r="AA1071" i="18"/>
  <c r="AA1052" i="18"/>
  <c r="AA1057" i="18"/>
  <c r="AA1101" i="18"/>
  <c r="AA1074" i="18"/>
  <c r="AA1099" i="18"/>
  <c r="AA1094" i="18"/>
  <c r="AA1090" i="18"/>
  <c r="AA1058" i="18"/>
  <c r="AA1050" i="18"/>
  <c r="AA1036" i="18"/>
  <c r="AA1033" i="18"/>
  <c r="AA1014" i="18"/>
  <c r="AA1037" i="18"/>
  <c r="AA1011" i="18"/>
  <c r="AA994" i="18"/>
  <c r="AA899" i="18"/>
  <c r="AA936" i="18"/>
  <c r="AA925" i="18"/>
  <c r="AA914" i="18"/>
  <c r="AA959" i="18"/>
  <c r="AA908" i="18"/>
  <c r="AA945" i="18"/>
  <c r="AA1007" i="18"/>
  <c r="AA929" i="18"/>
  <c r="AA974" i="18"/>
  <c r="AA911" i="18"/>
  <c r="AA851" i="18"/>
  <c r="AA787" i="18"/>
  <c r="AA848" i="18"/>
  <c r="AA837" i="18"/>
  <c r="AA810" i="18"/>
  <c r="AA852" i="18"/>
  <c r="AA788" i="18"/>
  <c r="AA800" i="18"/>
  <c r="AA1049" i="18"/>
  <c r="AA1020" i="18"/>
  <c r="AA991" i="18"/>
  <c r="AA904" i="18"/>
  <c r="AA829" i="18"/>
  <c r="AA755" i="18"/>
  <c r="AA756" i="18"/>
  <c r="AA824" i="18"/>
  <c r="AA1093" i="18"/>
  <c r="AA1017" i="18"/>
  <c r="AA906" i="18"/>
  <c r="AA843" i="18"/>
  <c r="AA763" i="18"/>
  <c r="AA791" i="18"/>
  <c r="AA759" i="18"/>
  <c r="AA1070" i="18"/>
  <c r="AA1002" i="18"/>
  <c r="AA958" i="18"/>
  <c r="AA779" i="18"/>
  <c r="AA846" i="18"/>
  <c r="AA765" i="18"/>
  <c r="AA839" i="18"/>
  <c r="AA919" i="18"/>
  <c r="AA1066" i="18"/>
  <c r="AA999" i="18"/>
  <c r="AA900" i="18"/>
  <c r="AA840" i="18"/>
  <c r="AA855" i="18"/>
  <c r="AA773" i="18"/>
  <c r="AA1067" i="18"/>
  <c r="AA1009" i="18"/>
  <c r="AA943" i="18"/>
  <c r="AA951" i="18"/>
  <c r="AA1086" i="18"/>
  <c r="AA985" i="18"/>
  <c r="AA953" i="18"/>
  <c r="AA802" i="18"/>
  <c r="AA801" i="18"/>
  <c r="AA1044" i="18"/>
  <c r="AA928" i="18"/>
  <c r="AA780" i="18"/>
  <c r="AA854" i="18"/>
  <c r="AA1063" i="18"/>
  <c r="AA1046" i="18"/>
  <c r="AA891" i="18"/>
  <c r="AA927" i="18"/>
  <c r="AA844" i="18"/>
  <c r="AA775" i="18"/>
  <c r="AA1029" i="18"/>
  <c r="AA917" i="18"/>
  <c r="AI85" i="5"/>
  <c r="AB106" i="5" s="1"/>
  <c r="AK85" i="5"/>
  <c r="AB108" i="5" s="1"/>
  <c r="AJ85" i="5"/>
  <c r="AB107" i="5" s="1"/>
  <c r="AB6" i="5" s="1"/>
  <c r="AO34" i="4"/>
  <c r="AO35" i="4" s="1"/>
  <c r="AN36" i="4"/>
  <c r="AM31" i="4"/>
  <c r="AN32" i="4"/>
  <c r="AO85" i="5"/>
  <c r="AB111" i="5" s="1"/>
  <c r="AM85" i="5"/>
  <c r="AB109" i="5" s="1"/>
  <c r="AN85" i="5"/>
  <c r="AB110" i="5" s="1"/>
  <c r="AS19" i="5" l="1"/>
  <c r="F101" i="26" a="1"/>
  <c r="F101" i="26" s="1"/>
  <c r="H238" i="26"/>
  <c r="K238" i="26"/>
  <c r="N238" i="26"/>
  <c r="I237" i="26"/>
  <c r="L237" i="26"/>
  <c r="O237" i="26"/>
  <c r="E238" i="26"/>
  <c r="F237" i="26"/>
  <c r="N320" i="26"/>
  <c r="N321" i="26" s="1"/>
  <c r="N66" i="26" s="1"/>
  <c r="N73" i="26" s="1"/>
  <c r="H320" i="26"/>
  <c r="H321" i="26" s="1"/>
  <c r="H66" i="26" s="1"/>
  <c r="H73" i="26" s="1"/>
  <c r="O140" i="26"/>
  <c r="O119" i="26" s="1"/>
  <c r="O129" i="26"/>
  <c r="O108" i="26" s="1"/>
  <c r="O136" i="26"/>
  <c r="O115" i="26" s="1"/>
  <c r="O143" i="26"/>
  <c r="O122" i="26" s="1"/>
  <c r="O124" i="26"/>
  <c r="O103" i="26" s="1"/>
  <c r="O132" i="26"/>
  <c r="O111" i="26" s="1"/>
  <c r="O139" i="26"/>
  <c r="O118" i="26" s="1"/>
  <c r="O128" i="26"/>
  <c r="O135" i="26"/>
  <c r="O114" i="26" s="1"/>
  <c r="O142" i="26"/>
  <c r="O121" i="26" s="1"/>
  <c r="O131" i="26"/>
  <c r="O110" i="26" s="1"/>
  <c r="O138" i="26"/>
  <c r="O117" i="26" s="1"/>
  <c r="O127" i="26"/>
  <c r="O106" i="26" s="1"/>
  <c r="O134" i="26"/>
  <c r="O113" i="26" s="1"/>
  <c r="O141" i="26"/>
  <c r="O120" i="26" s="1"/>
  <c r="O130" i="26"/>
  <c r="O109" i="26" s="1"/>
  <c r="O137" i="26"/>
  <c r="O116" i="26" s="1"/>
  <c r="O144" i="26"/>
  <c r="O123" i="26" s="1"/>
  <c r="O126" i="26"/>
  <c r="O133" i="26"/>
  <c r="O112" i="26" s="1"/>
  <c r="N64" i="26"/>
  <c r="N43" i="26"/>
  <c r="N41" i="26" s="1"/>
  <c r="N68" i="26" s="1"/>
  <c r="AE24" i="5"/>
  <c r="AD25" i="5"/>
  <c r="AG7" i="18"/>
  <c r="AF13" i="18"/>
  <c r="AG6" i="18"/>
  <c r="AF12" i="18"/>
  <c r="AF5" i="18"/>
  <c r="AE11" i="18"/>
  <c r="AG9" i="18"/>
  <c r="AF15" i="18"/>
  <c r="AG8" i="18"/>
  <c r="AF14" i="18"/>
  <c r="AB11" i="5" a="1"/>
  <c r="AB11" i="5" s="1"/>
  <c r="AA9" i="5"/>
  <c r="AA10" i="5" s="1"/>
  <c r="AA32" i="5" s="1"/>
  <c r="Z10" i="5"/>
  <c r="Z32" i="5" s="1"/>
  <c r="AS22" i="5"/>
  <c r="AT16" i="5"/>
  <c r="AT21" i="5" s="1"/>
  <c r="AS18" i="5"/>
  <c r="T4" i="18"/>
  <c r="T44" i="18" s="1"/>
  <c r="S401" i="18"/>
  <c r="S47" i="18"/>
  <c r="S754" i="18"/>
  <c r="Y743" i="18"/>
  <c r="Y719" i="18"/>
  <c r="Y655" i="18"/>
  <c r="Y692" i="18"/>
  <c r="Y702" i="18"/>
  <c r="Y727" i="18"/>
  <c r="Y633" i="18"/>
  <c r="Y682" i="18"/>
  <c r="Y664" i="18"/>
  <c r="Y686" i="18"/>
  <c r="Y614" i="18"/>
  <c r="Y745" i="18"/>
  <c r="Y583" i="18"/>
  <c r="Y623" i="18"/>
  <c r="Y572" i="18"/>
  <c r="Y645" i="18"/>
  <c r="Y557" i="18"/>
  <c r="Y630" i="18"/>
  <c r="Y540" i="18"/>
  <c r="Y628" i="18"/>
  <c r="Y537" i="18"/>
  <c r="Y667" i="18"/>
  <c r="Y534" i="18"/>
  <c r="Y602" i="18"/>
  <c r="Y499" i="18"/>
  <c r="Y551" i="18"/>
  <c r="Y457" i="18"/>
  <c r="Y563" i="18"/>
  <c r="Y462" i="18"/>
  <c r="Y544" i="18"/>
  <c r="Y451" i="18"/>
  <c r="Y571" i="18"/>
  <c r="Y480" i="18"/>
  <c r="Y677" i="18"/>
  <c r="Y423" i="18"/>
  <c r="Y362" i="18"/>
  <c r="Y436" i="18"/>
  <c r="Y359" i="18"/>
  <c r="Y437" i="18"/>
  <c r="Y356" i="18"/>
  <c r="Y381" i="18"/>
  <c r="Y305" i="18"/>
  <c r="Y241" i="18"/>
  <c r="Y656" i="18"/>
  <c r="Y389" i="18"/>
  <c r="Y310" i="18"/>
  <c r="Y246" i="18"/>
  <c r="Y592" i="18"/>
  <c r="Y376" i="18"/>
  <c r="Y299" i="18"/>
  <c r="Y235" i="18"/>
  <c r="Y482" i="18"/>
  <c r="Y344" i="18"/>
  <c r="Y280" i="18"/>
  <c r="Y392" i="18"/>
  <c r="Y301" i="18"/>
  <c r="Y348" i="18"/>
  <c r="Y218" i="18"/>
  <c r="Y138" i="18"/>
  <c r="Y74" i="18"/>
  <c r="Y268" i="18"/>
  <c r="Y182" i="18"/>
  <c r="Y127" i="18"/>
  <c r="Y63" i="18"/>
  <c r="Y295" i="18"/>
  <c r="Y180" i="18"/>
  <c r="Y116" i="18"/>
  <c r="Y52" i="18"/>
  <c r="Y242" i="18"/>
  <c r="Y153" i="18"/>
  <c r="Y89" i="18"/>
  <c r="Y428" i="18"/>
  <c r="Y279" i="18"/>
  <c r="Y186" i="18"/>
  <c r="Y118" i="18"/>
  <c r="Y54" i="18"/>
  <c r="Y147" i="18"/>
  <c r="Y149" i="18"/>
  <c r="Y168" i="18"/>
  <c r="Y237" i="18"/>
  <c r="Y50" i="18"/>
  <c r="Y64" i="18"/>
  <c r="Y109" i="18"/>
  <c r="Y231" i="18"/>
  <c r="Y88" i="18"/>
  <c r="Y83" i="18"/>
  <c r="Y282" i="18"/>
  <c r="Y749" i="18"/>
  <c r="Y738" i="18"/>
  <c r="Y711" i="18"/>
  <c r="Y647" i="18"/>
  <c r="Y684" i="18"/>
  <c r="Y742" i="18"/>
  <c r="Y722" i="18"/>
  <c r="Y625" i="18"/>
  <c r="Y673" i="18"/>
  <c r="Y659" i="18"/>
  <c r="Y685" i="18"/>
  <c r="Y594" i="18"/>
  <c r="Y690" i="18"/>
  <c r="Y575" i="18"/>
  <c r="Y618" i="18"/>
  <c r="Y564" i="18"/>
  <c r="Y622" i="18"/>
  <c r="Y555" i="18"/>
  <c r="Y621" i="18"/>
  <c r="Y532" i="18"/>
  <c r="Y626" i="18"/>
  <c r="Y529" i="18"/>
  <c r="Y657" i="18"/>
  <c r="Y526" i="18"/>
  <c r="Y585" i="18"/>
  <c r="Y653" i="18"/>
  <c r="Y533" i="18"/>
  <c r="Y449" i="18"/>
  <c r="Y558" i="18"/>
  <c r="Y454" i="18"/>
  <c r="Y514" i="18"/>
  <c r="Y443" i="18"/>
  <c r="Y560" i="18"/>
  <c r="Y472" i="18"/>
  <c r="Y600" i="18"/>
  <c r="Y421" i="18"/>
  <c r="Y354" i="18"/>
  <c r="Y418" i="18"/>
  <c r="Y648" i="18"/>
  <c r="Y415" i="18"/>
  <c r="Y631" i="18"/>
  <c r="Y361" i="18"/>
  <c r="Y297" i="18"/>
  <c r="Y233" i="18"/>
  <c r="Y547" i="18"/>
  <c r="Y369" i="18"/>
  <c r="Y302" i="18"/>
  <c r="Y238" i="18"/>
  <c r="Y509" i="18"/>
  <c r="Y355" i="18"/>
  <c r="Y291" i="18"/>
  <c r="Y227" i="18"/>
  <c r="Y445" i="18"/>
  <c r="Y336" i="18"/>
  <c r="Y752" i="18"/>
  <c r="Y371" i="18"/>
  <c r="Y293" i="18"/>
  <c r="Y338" i="18"/>
  <c r="Y197" i="18"/>
  <c r="Y130" i="18"/>
  <c r="Y420" i="18"/>
  <c r="Y248" i="18"/>
  <c r="Y181" i="18"/>
  <c r="Y119" i="18"/>
  <c r="Y55" i="18"/>
  <c r="Y256" i="18"/>
  <c r="Y172" i="18"/>
  <c r="Y108" i="18"/>
  <c r="Y373" i="18"/>
  <c r="Y221" i="18"/>
  <c r="Y145" i="18"/>
  <c r="Y81" i="18"/>
  <c r="Y419" i="18"/>
  <c r="Y272" i="18"/>
  <c r="Y174" i="18"/>
  <c r="Y110" i="18"/>
  <c r="Y458" i="18"/>
  <c r="Y120" i="18"/>
  <c r="Y139" i="18"/>
  <c r="Y141" i="18"/>
  <c r="Y188" i="18"/>
  <c r="Y319" i="18"/>
  <c r="Y59" i="18"/>
  <c r="Y91" i="18"/>
  <c r="Y115" i="18"/>
  <c r="Y49" i="18"/>
  <c r="Y77" i="18"/>
  <c r="Y215" i="18"/>
  <c r="Y741" i="18"/>
  <c r="Y731" i="18"/>
  <c r="Y703" i="18"/>
  <c r="Y639" i="18"/>
  <c r="Y676" i="18"/>
  <c r="Y725" i="18"/>
  <c r="Y717" i="18"/>
  <c r="Y617" i="18"/>
  <c r="Y672" i="18"/>
  <c r="Y654" i="18"/>
  <c r="Y675" i="18"/>
  <c r="Y586" i="18"/>
  <c r="Y681" i="18"/>
  <c r="Y567" i="18"/>
  <c r="Y613" i="18"/>
  <c r="Y556" i="18"/>
  <c r="Y636" i="18"/>
  <c r="Y550" i="18"/>
  <c r="Y616" i="18"/>
  <c r="Y524" i="18"/>
  <c r="Y590" i="18"/>
  <c r="Y521" i="18"/>
  <c r="Y640" i="18"/>
  <c r="Y518" i="18"/>
  <c r="Y584" i="18"/>
  <c r="Y579" i="18"/>
  <c r="Y520" i="18"/>
  <c r="Y441" i="18"/>
  <c r="Y517" i="18"/>
  <c r="Y446" i="18"/>
  <c r="Y498" i="18"/>
  <c r="Y435" i="18"/>
  <c r="Y546" i="18"/>
  <c r="Y464" i="18"/>
  <c r="Y565" i="18"/>
  <c r="Y413" i="18"/>
  <c r="Y530" i="18"/>
  <c r="Y410" i="18"/>
  <c r="Y525" i="18"/>
  <c r="Y407" i="18"/>
  <c r="Y538" i="18"/>
  <c r="Y360" i="18"/>
  <c r="Y289" i="18"/>
  <c r="Y225" i="18"/>
  <c r="Y528" i="18"/>
  <c r="Y368" i="18"/>
  <c r="Y294" i="18"/>
  <c r="Y230" i="18"/>
  <c r="Y492" i="18"/>
  <c r="Y347" i="18"/>
  <c r="Y283" i="18"/>
  <c r="Y219" i="18"/>
  <c r="Y431" i="18"/>
  <c r="Y328" i="18"/>
  <c r="Y552" i="18"/>
  <c r="Y349" i="18"/>
  <c r="Y285" i="18"/>
  <c r="Y311" i="18"/>
  <c r="Y196" i="18"/>
  <c r="Y122" i="18"/>
  <c r="Y404" i="18"/>
  <c r="Y247" i="18"/>
  <c r="Y175" i="18"/>
  <c r="Y111" i="18"/>
  <c r="Y479" i="18"/>
  <c r="Y255" i="18"/>
  <c r="Y164" i="18"/>
  <c r="Y100" i="18"/>
  <c r="Y357" i="18"/>
  <c r="Y220" i="18"/>
  <c r="Y137" i="18"/>
  <c r="Y73" i="18"/>
  <c r="Y403" i="18"/>
  <c r="Y271" i="18"/>
  <c r="Y166" i="18"/>
  <c r="Y102" i="18"/>
  <c r="Y387" i="18"/>
  <c r="Y353" i="18"/>
  <c r="Y112" i="18"/>
  <c r="Y131" i="18"/>
  <c r="Y160" i="18"/>
  <c r="Y308" i="18"/>
  <c r="Y365" i="18"/>
  <c r="Y80" i="18"/>
  <c r="Y93" i="18"/>
  <c r="Y298" i="18"/>
  <c r="Y53" i="18"/>
  <c r="Y99" i="18"/>
  <c r="Y744" i="18"/>
  <c r="Y747" i="18"/>
  <c r="Y695" i="18"/>
  <c r="Y728" i="18"/>
  <c r="Y709" i="18"/>
  <c r="Y701" i="18"/>
  <c r="Y714" i="18"/>
  <c r="Y609" i="18"/>
  <c r="Y650" i="18"/>
  <c r="Y649" i="18"/>
  <c r="Y674" i="18"/>
  <c r="Y578" i="18"/>
  <c r="Y643" i="18"/>
  <c r="Y713" i="18"/>
  <c r="Y608" i="18"/>
  <c r="Y730" i="18"/>
  <c r="Y634" i="18"/>
  <c r="Y543" i="18"/>
  <c r="Y611" i="18"/>
  <c r="Y516" i="18"/>
  <c r="Y589" i="18"/>
  <c r="Y513" i="18"/>
  <c r="Y577" i="18"/>
  <c r="Y510" i="18"/>
  <c r="Y539" i="18"/>
  <c r="Y561" i="18"/>
  <c r="Y504" i="18"/>
  <c r="Y433" i="18"/>
  <c r="Y501" i="18"/>
  <c r="Y438" i="18"/>
  <c r="Y491" i="18"/>
  <c r="Y427" i="18"/>
  <c r="Y536" i="18"/>
  <c r="Y456" i="18"/>
  <c r="Y559" i="18"/>
  <c r="Y405" i="18"/>
  <c r="Y522" i="18"/>
  <c r="Y402" i="18"/>
  <c r="Y506" i="18"/>
  <c r="Y396" i="18"/>
  <c r="Y474" i="18"/>
  <c r="Y345" i="18"/>
  <c r="Y281" i="18"/>
  <c r="Y217" i="18"/>
  <c r="Y490" i="18"/>
  <c r="Y350" i="18"/>
  <c r="Y286" i="18"/>
  <c r="Y222" i="18"/>
  <c r="Y466" i="18"/>
  <c r="Y339" i="18"/>
  <c r="Y275" i="18"/>
  <c r="Y211" i="18"/>
  <c r="Y409" i="18"/>
  <c r="Y320" i="18"/>
  <c r="Y461" i="18"/>
  <c r="Y341" i="18"/>
  <c r="Y493" i="18"/>
  <c r="Y284" i="18"/>
  <c r="Y178" i="18"/>
  <c r="Y114" i="18"/>
  <c r="Y352" i="18"/>
  <c r="Y226" i="18"/>
  <c r="Y167" i="18"/>
  <c r="Y103" i="18"/>
  <c r="Y442" i="18"/>
  <c r="Y234" i="18"/>
  <c r="Y156" i="18"/>
  <c r="Y92" i="18"/>
  <c r="Y324" i="18"/>
  <c r="Y200" i="18"/>
  <c r="Y129" i="18"/>
  <c r="Y65" i="18"/>
  <c r="Y366" i="18"/>
  <c r="Y250" i="18"/>
  <c r="Y158" i="18"/>
  <c r="Y94" i="18"/>
  <c r="Y327" i="18"/>
  <c r="Y290" i="18"/>
  <c r="Y412" i="18"/>
  <c r="Y104" i="18"/>
  <c r="Y133" i="18"/>
  <c r="Y258" i="18"/>
  <c r="Y277" i="18"/>
  <c r="Y67" i="18"/>
  <c r="Y75" i="18"/>
  <c r="Y125" i="18"/>
  <c r="Y292" i="18"/>
  <c r="Y56" i="18"/>
  <c r="Y739" i="18"/>
  <c r="Y737" i="18"/>
  <c r="Y687" i="18"/>
  <c r="Y723" i="18"/>
  <c r="Y751" i="18"/>
  <c r="Y699" i="18"/>
  <c r="Y696" i="18"/>
  <c r="Y601" i="18"/>
  <c r="Y718" i="18"/>
  <c r="Y644" i="18"/>
  <c r="Y668" i="18"/>
  <c r="Y570" i="18"/>
  <c r="Y642" i="18"/>
  <c r="Y710" i="18"/>
  <c r="Y603" i="18"/>
  <c r="Y707" i="18"/>
  <c r="Y632" i="18"/>
  <c r="Y535" i="18"/>
  <c r="Y606" i="18"/>
  <c r="Y508" i="18"/>
  <c r="Y569" i="18"/>
  <c r="Y505" i="18"/>
  <c r="Y576" i="18"/>
  <c r="Y502" i="18"/>
  <c r="Y531" i="18"/>
  <c r="Y541" i="18"/>
  <c r="Y489" i="18"/>
  <c r="Y425" i="18"/>
  <c r="Y494" i="18"/>
  <c r="Y430" i="18"/>
  <c r="Y483" i="18"/>
  <c r="Y666" i="18"/>
  <c r="Y527" i="18"/>
  <c r="Y448" i="18"/>
  <c r="Y487" i="18"/>
  <c r="Y394" i="18"/>
  <c r="Y503" i="18"/>
  <c r="Y391" i="18"/>
  <c r="Y496" i="18"/>
  <c r="Y388" i="18"/>
  <c r="Y460" i="18"/>
  <c r="Y337" i="18"/>
  <c r="Y273" i="18"/>
  <c r="Y209" i="18"/>
  <c r="Y476" i="18"/>
  <c r="Y342" i="18"/>
  <c r="Y278" i="18"/>
  <c r="Y214" i="18"/>
  <c r="Y429" i="18"/>
  <c r="Y331" i="18"/>
  <c r="Y267" i="18"/>
  <c r="Y203" i="18"/>
  <c r="Y408" i="18"/>
  <c r="Y312" i="18"/>
  <c r="Y447" i="18"/>
  <c r="Y333" i="18"/>
  <c r="Y444" i="18"/>
  <c r="Y261" i="18"/>
  <c r="Y170" i="18"/>
  <c r="Y106" i="18"/>
  <c r="Y340" i="18"/>
  <c r="Y205" i="18"/>
  <c r="Y159" i="18"/>
  <c r="Y95" i="18"/>
  <c r="Y395" i="18"/>
  <c r="Y213" i="18"/>
  <c r="Y148" i="18"/>
  <c r="Y84" i="18"/>
  <c r="Y314" i="18"/>
  <c r="Y199" i="18"/>
  <c r="Y121" i="18"/>
  <c r="Y57" i="18"/>
  <c r="Y351" i="18"/>
  <c r="Y229" i="18"/>
  <c r="Y150" i="18"/>
  <c r="Y86" i="18"/>
  <c r="Y276" i="18"/>
  <c r="Y266" i="18"/>
  <c r="Y300" i="18"/>
  <c r="Y732" i="18"/>
  <c r="Y123" i="18"/>
  <c r="Y171" i="18"/>
  <c r="Y252" i="18"/>
  <c r="Y245" i="18"/>
  <c r="Y463" i="18"/>
  <c r="Y72" i="18"/>
  <c r="Y173" i="18"/>
  <c r="Y51" i="18"/>
  <c r="Y734" i="18"/>
  <c r="Y736" i="18"/>
  <c r="Y679" i="18"/>
  <c r="Y716" i="18"/>
  <c r="Y735" i="18"/>
  <c r="Y697" i="18"/>
  <c r="Y670" i="18"/>
  <c r="Y720" i="18"/>
  <c r="Y715" i="18"/>
  <c r="Y635" i="18"/>
  <c r="Y641" i="18"/>
  <c r="Y562" i="18"/>
  <c r="Y604" i="18"/>
  <c r="Y694" i="18"/>
  <c r="Y596" i="18"/>
  <c r="Y689" i="18"/>
  <c r="Y598" i="18"/>
  <c r="Y680" i="18"/>
  <c r="Y595" i="18"/>
  <c r="Y500" i="18"/>
  <c r="Y568" i="18"/>
  <c r="Y497" i="18"/>
  <c r="Y553" i="18"/>
  <c r="Y646" i="18"/>
  <c r="Y523" i="18"/>
  <c r="Y519" i="18"/>
  <c r="Y481" i="18"/>
  <c r="Y691" i="18"/>
  <c r="Y486" i="18"/>
  <c r="Y422" i="18"/>
  <c r="Y475" i="18"/>
  <c r="Y610" i="18"/>
  <c r="Y511" i="18"/>
  <c r="Y440" i="18"/>
  <c r="Y471" i="18"/>
  <c r="Y386" i="18"/>
  <c r="Y484" i="18"/>
  <c r="Y383" i="18"/>
  <c r="Y485" i="18"/>
  <c r="Y380" i="18"/>
  <c r="Y434" i="18"/>
  <c r="Y329" i="18"/>
  <c r="Y265" i="18"/>
  <c r="Y201" i="18"/>
  <c r="Y450" i="18"/>
  <c r="Y334" i="18"/>
  <c r="Y270" i="18"/>
  <c r="Y206" i="18"/>
  <c r="Y398" i="18"/>
  <c r="Y323" i="18"/>
  <c r="Y259" i="18"/>
  <c r="Y195" i="18"/>
  <c r="Y385" i="18"/>
  <c r="Y304" i="18"/>
  <c r="Y417" i="18"/>
  <c r="Y325" i="18"/>
  <c r="Y411" i="18"/>
  <c r="Y260" i="18"/>
  <c r="Y162" i="18"/>
  <c r="Y98" i="18"/>
  <c r="Y330" i="18"/>
  <c r="Y204" i="18"/>
  <c r="Y151" i="18"/>
  <c r="Y87" i="18"/>
  <c r="Y379" i="18"/>
  <c r="Y212" i="18"/>
  <c r="Y140" i="18"/>
  <c r="Y76" i="18"/>
  <c r="Y287" i="18"/>
  <c r="Y177" i="18"/>
  <c r="Y113" i="18"/>
  <c r="Y637" i="18"/>
  <c r="Y343" i="18"/>
  <c r="Y228" i="18"/>
  <c r="Y142" i="18"/>
  <c r="Y78" i="18"/>
  <c r="Y223" i="18"/>
  <c r="Y232" i="18"/>
  <c r="Y244" i="18"/>
  <c r="Y346" i="18"/>
  <c r="Y96" i="18"/>
  <c r="Y144" i="18"/>
  <c r="Y202" i="18"/>
  <c r="Y155" i="18"/>
  <c r="Y274" i="18"/>
  <c r="Y58" i="18"/>
  <c r="Y152" i="18"/>
  <c r="Y48" i="18"/>
  <c r="Y724" i="18"/>
  <c r="Y545" i="18"/>
  <c r="Y465" i="18"/>
  <c r="Y459" i="18"/>
  <c r="Y424" i="18"/>
  <c r="Y452" i="18"/>
  <c r="Y453" i="18"/>
  <c r="Y382" i="18"/>
  <c r="Y249" i="18"/>
  <c r="Y390" i="18"/>
  <c r="Y254" i="18"/>
  <c r="Y377" i="18"/>
  <c r="Y243" i="18"/>
  <c r="Y363" i="18"/>
  <c r="Y393" i="18"/>
  <c r="Y358" i="18"/>
  <c r="Y239" i="18"/>
  <c r="Y82" i="18"/>
  <c r="Y183" i="18"/>
  <c r="Y71" i="18"/>
  <c r="Y191" i="18"/>
  <c r="Y60" i="18"/>
  <c r="Y263" i="18"/>
  <c r="Y97" i="18"/>
  <c r="Y306" i="18"/>
  <c r="Y126" i="18"/>
  <c r="Y157" i="18"/>
  <c r="Y194" i="18"/>
  <c r="Y66" i="18"/>
  <c r="Y136" i="18"/>
  <c r="Y165" i="18"/>
  <c r="Y726" i="18"/>
  <c r="Y729" i="18"/>
  <c r="Y671" i="18"/>
  <c r="Y708" i="18"/>
  <c r="Y706" i="18"/>
  <c r="Y740" i="18"/>
  <c r="Y665" i="18"/>
  <c r="Y705" i="18"/>
  <c r="Y712" i="18"/>
  <c r="Y627" i="18"/>
  <c r="Y624" i="18"/>
  <c r="Y554" i="18"/>
  <c r="Y599" i="18"/>
  <c r="Y658" i="18"/>
  <c r="Y588" i="18"/>
  <c r="Y678" i="18"/>
  <c r="Y574" i="18"/>
  <c r="Y661" i="18"/>
  <c r="Y582" i="18"/>
  <c r="Y746" i="18"/>
  <c r="Y549" i="18"/>
  <c r="Y721" i="18"/>
  <c r="Y548" i="18"/>
  <c r="Y612" i="18"/>
  <c r="Y515" i="18"/>
  <c r="Y662" i="18"/>
  <c r="Y473" i="18"/>
  <c r="Y620" i="18"/>
  <c r="Y478" i="18"/>
  <c r="Y615" i="18"/>
  <c r="Y467" i="18"/>
  <c r="Y597" i="18"/>
  <c r="Y495" i="18"/>
  <c r="Y432" i="18"/>
  <c r="Y455" i="18"/>
  <c r="Y378" i="18"/>
  <c r="Y468" i="18"/>
  <c r="Y375" i="18"/>
  <c r="Y469" i="18"/>
  <c r="Y372" i="18"/>
  <c r="Y406" i="18"/>
  <c r="Y321" i="18"/>
  <c r="Y257" i="18"/>
  <c r="Y193" i="18"/>
  <c r="Y414" i="18"/>
  <c r="Y326" i="18"/>
  <c r="Y262" i="18"/>
  <c r="Y198" i="18"/>
  <c r="Y397" i="18"/>
  <c r="Y315" i="18"/>
  <c r="Y251" i="18"/>
  <c r="Y187" i="18"/>
  <c r="Y384" i="18"/>
  <c r="Y296" i="18"/>
  <c r="Y416" i="18"/>
  <c r="Y317" i="18"/>
  <c r="Y374" i="18"/>
  <c r="Y240" i="18"/>
  <c r="Y154" i="18"/>
  <c r="Y90" i="18"/>
  <c r="Y303" i="18"/>
  <c r="Y184" i="18"/>
  <c r="Y143" i="18"/>
  <c r="Y79" i="18"/>
  <c r="Y332" i="18"/>
  <c r="Y192" i="18"/>
  <c r="Y132" i="18"/>
  <c r="Y68" i="18"/>
  <c r="Y264" i="18"/>
  <c r="Y169" i="18"/>
  <c r="Y105" i="18"/>
  <c r="Y512" i="18"/>
  <c r="Y316" i="18"/>
  <c r="Y208" i="18"/>
  <c r="Y134" i="18"/>
  <c r="Y70" i="18"/>
  <c r="Y189" i="18"/>
  <c r="Y216" i="18"/>
  <c r="Y210" i="18"/>
  <c r="Y335" i="18"/>
  <c r="Y69" i="18"/>
  <c r="Y117" i="18"/>
  <c r="Y163" i="18"/>
  <c r="Y128" i="18"/>
  <c r="Y224" i="18"/>
  <c r="Y236" i="18"/>
  <c r="Y61" i="18"/>
  <c r="Y179" i="18"/>
  <c r="Y748" i="18"/>
  <c r="Y663" i="18"/>
  <c r="Y700" i="18"/>
  <c r="Y704" i="18"/>
  <c r="Y733" i="18"/>
  <c r="Y660" i="18"/>
  <c r="Y683" i="18"/>
  <c r="Y669" i="18"/>
  <c r="Y693" i="18"/>
  <c r="Y619" i="18"/>
  <c r="Y750" i="18"/>
  <c r="Y591" i="18"/>
  <c r="Y651" i="18"/>
  <c r="Y580" i="18"/>
  <c r="Y652" i="18"/>
  <c r="Y573" i="18"/>
  <c r="Y638" i="18"/>
  <c r="Y581" i="18"/>
  <c r="Y698" i="18"/>
  <c r="Y688" i="18"/>
  <c r="Y542" i="18"/>
  <c r="Y607" i="18"/>
  <c r="Y507" i="18"/>
  <c r="Y629" i="18"/>
  <c r="Y566" i="18"/>
  <c r="Y470" i="18"/>
  <c r="Y593" i="18"/>
  <c r="Y587" i="18"/>
  <c r="Y488" i="18"/>
  <c r="Y439" i="18"/>
  <c r="Y370" i="18"/>
  <c r="Y367" i="18"/>
  <c r="Y364" i="18"/>
  <c r="Y313" i="18"/>
  <c r="Y185" i="18"/>
  <c r="Y318" i="18"/>
  <c r="Y190" i="18"/>
  <c r="Y307" i="18"/>
  <c r="Y605" i="18"/>
  <c r="Y288" i="18"/>
  <c r="Y309" i="18"/>
  <c r="Y146" i="18"/>
  <c r="Y269" i="18"/>
  <c r="Y135" i="18"/>
  <c r="Y322" i="18"/>
  <c r="Y124" i="18"/>
  <c r="Y161" i="18"/>
  <c r="Y477" i="18"/>
  <c r="Y207" i="18"/>
  <c r="Y62" i="18"/>
  <c r="Y176" i="18"/>
  <c r="Y253" i="18"/>
  <c r="Y85" i="18"/>
  <c r="Y101" i="18"/>
  <c r="Y107" i="18"/>
  <c r="Y426" i="18"/>
  <c r="AC38" i="18"/>
  <c r="AB771" i="18"/>
  <c r="AB835" i="18"/>
  <c r="AB907" i="18"/>
  <c r="AB778" i="18"/>
  <c r="AB811" i="18"/>
  <c r="AB770" i="18"/>
  <c r="AB765" i="18"/>
  <c r="AB757" i="18"/>
  <c r="AB813" i="18"/>
  <c r="AB892" i="18"/>
  <c r="AB806" i="18"/>
  <c r="AB827" i="18"/>
  <c r="AB814" i="18"/>
  <c r="AB960" i="18"/>
  <c r="AB877" i="18"/>
  <c r="AB828" i="18"/>
  <c r="AB866" i="18"/>
  <c r="AB834" i="18"/>
  <c r="AB838" i="18"/>
  <c r="AB821" i="18"/>
  <c r="AB878" i="18"/>
  <c r="AB766" i="18"/>
  <c r="AB797" i="18"/>
  <c r="AB818" i="18"/>
  <c r="AB774" i="18"/>
  <c r="AB802" i="18"/>
  <c r="AB830" i="18"/>
  <c r="AB819" i="18"/>
  <c r="AB1100" i="18"/>
  <c r="AB1089" i="18"/>
  <c r="AB1086" i="18"/>
  <c r="AB1085" i="18"/>
  <c r="AB1066" i="18"/>
  <c r="AB1023" i="18"/>
  <c r="AB1028" i="18"/>
  <c r="AB1032" i="18"/>
  <c r="AB1053" i="18"/>
  <c r="AB985" i="18"/>
  <c r="AB992" i="18"/>
  <c r="AB989" i="18"/>
  <c r="AB994" i="18"/>
  <c r="AB965" i="18"/>
  <c r="AB954" i="18"/>
  <c r="AB951" i="18"/>
  <c r="AB920" i="18"/>
  <c r="AB1038" i="18"/>
  <c r="AB933" i="18"/>
  <c r="AB1048" i="18"/>
  <c r="AB943" i="18"/>
  <c r="AB879" i="18"/>
  <c r="AB937" i="18"/>
  <c r="AB873" i="18"/>
  <c r="AB894" i="18"/>
  <c r="AB917" i="18"/>
  <c r="AB882" i="18"/>
  <c r="AB870" i="18"/>
  <c r="AB800" i="18"/>
  <c r="AB853" i="18"/>
  <c r="AB842" i="18"/>
  <c r="AB831" i="18"/>
  <c r="AB767" i="18"/>
  <c r="AB833" i="18"/>
  <c r="AB769" i="18"/>
  <c r="AB789" i="18"/>
  <c r="AB875" i="18"/>
  <c r="AB843" i="18"/>
  <c r="AB794" i="18"/>
  <c r="AB1092" i="18"/>
  <c r="AB1081" i="18"/>
  <c r="AB1078" i="18"/>
  <c r="AB1077" i="18"/>
  <c r="AB1058" i="18"/>
  <c r="AB1015" i="18"/>
  <c r="AB1020" i="18"/>
  <c r="AB1024" i="18"/>
  <c r="AB1044" i="18"/>
  <c r="AB1104" i="18"/>
  <c r="AB984" i="18"/>
  <c r="AB981" i="18"/>
  <c r="AB986" i="18"/>
  <c r="AB957" i="18"/>
  <c r="AB946" i="18"/>
  <c r="AB1071" i="18"/>
  <c r="AB912" i="18"/>
  <c r="AB1019" i="18"/>
  <c r="AB925" i="18"/>
  <c r="AB1027" i="18"/>
  <c r="AB935" i="18"/>
  <c r="AB871" i="18"/>
  <c r="AB929" i="18"/>
  <c r="AB865" i="18"/>
  <c r="AB995" i="18"/>
  <c r="AB910" i="18"/>
  <c r="AB961" i="18"/>
  <c r="AB856" i="18"/>
  <c r="AB792" i="18"/>
  <c r="AB845" i="18"/>
  <c r="AB934" i="18"/>
  <c r="AB823" i="18"/>
  <c r="AB886" i="18"/>
  <c r="AB825" i="18"/>
  <c r="AB822" i="18"/>
  <c r="AB859" i="18"/>
  <c r="AB1035" i="18"/>
  <c r="AB1084" i="18"/>
  <c r="AB1070" i="18"/>
  <c r="AB1050" i="18"/>
  <c r="AB1095" i="18"/>
  <c r="AB1016" i="18"/>
  <c r="AB1055" i="18"/>
  <c r="AB1087" i="18"/>
  <c r="AB1067" i="18"/>
  <c r="AB1022" i="18"/>
  <c r="AB904" i="18"/>
  <c r="AB1003" i="18"/>
  <c r="AB1018" i="18"/>
  <c r="AB863" i="18"/>
  <c r="AB921" i="18"/>
  <c r="AB939" i="18"/>
  <c r="AB942" i="18"/>
  <c r="AB848" i="18"/>
  <c r="AB837" i="18"/>
  <c r="AB815" i="18"/>
  <c r="AB817" i="18"/>
  <c r="AB786" i="18"/>
  <c r="AB932" i="18"/>
  <c r="AB795" i="18"/>
  <c r="AB1073" i="18"/>
  <c r="AB1069" i="18"/>
  <c r="AB1012" i="18"/>
  <c r="AB1041" i="18"/>
  <c r="AB1079" i="18"/>
  <c r="AB1034" i="18"/>
  <c r="AB987" i="18"/>
  <c r="AB991" i="18"/>
  <c r="AB927" i="18"/>
  <c r="AB953" i="18"/>
  <c r="AB874" i="18"/>
  <c r="AB784" i="18"/>
  <c r="AB924" i="18"/>
  <c r="AB884" i="18"/>
  <c r="AB790" i="18"/>
  <c r="AB948" i="18"/>
  <c r="AB826" i="18"/>
  <c r="AB782" i="18"/>
  <c r="AB810" i="18"/>
  <c r="AB1004" i="18"/>
  <c r="AB756" i="18"/>
  <c r="AB914" i="18"/>
  <c r="AB798" i="18"/>
  <c r="AB787" i="18"/>
  <c r="AB846" i="18"/>
  <c r="AB1076" i="18"/>
  <c r="AB1065" i="18"/>
  <c r="AB1062" i="18"/>
  <c r="AB1061" i="18"/>
  <c r="AB1103" i="18"/>
  <c r="AB1091" i="18"/>
  <c r="AB1096" i="18"/>
  <c r="AB1088" i="18"/>
  <c r="AB1025" i="18"/>
  <c r="AB1080" i="18"/>
  <c r="AB1083" i="18"/>
  <c r="AB1075" i="18"/>
  <c r="AB1043" i="18"/>
  <c r="AB996" i="18"/>
  <c r="AB1006" i="18"/>
  <c r="AB969" i="18"/>
  <c r="AB896" i="18"/>
  <c r="AB977" i="18"/>
  <c r="AB982" i="18"/>
  <c r="AB1010" i="18"/>
  <c r="AB919" i="18"/>
  <c r="AB988" i="18"/>
  <c r="AB913" i="18"/>
  <c r="AB950" i="18"/>
  <c r="AB916" i="18"/>
  <c r="AB867" i="18"/>
  <c r="AB940" i="18"/>
  <c r="AB840" i="18"/>
  <c r="AB776" i="18"/>
  <c r="AB899" i="18"/>
  <c r="AB890" i="18"/>
  <c r="AB807" i="18"/>
  <c r="AB869" i="18"/>
  <c r="AB809" i="18"/>
  <c r="AB762" i="18"/>
  <c r="AB755" i="18"/>
  <c r="AB788" i="18"/>
  <c r="AB851" i="18"/>
  <c r="AB1068" i="18"/>
  <c r="AB1057" i="18"/>
  <c r="AB1054" i="18"/>
  <c r="AB1098" i="18"/>
  <c r="AB1099" i="18"/>
  <c r="AB1064" i="18"/>
  <c r="AB1063" i="18"/>
  <c r="AB1037" i="18"/>
  <c r="AB1011" i="18"/>
  <c r="AB1042" i="18"/>
  <c r="AB1033" i="18"/>
  <c r="AB1047" i="18"/>
  <c r="AB999" i="18"/>
  <c r="AB980" i="18"/>
  <c r="AB990" i="18"/>
  <c r="AB968" i="18"/>
  <c r="AB888" i="18"/>
  <c r="AB976" i="18"/>
  <c r="AB964" i="18"/>
  <c r="AB1007" i="18"/>
  <c r="AB911" i="18"/>
  <c r="AB966" i="18"/>
  <c r="AB905" i="18"/>
  <c r="AB922" i="18"/>
  <c r="AB909" i="18"/>
  <c r="AB958" i="18"/>
  <c r="AB1051" i="18"/>
  <c r="AB832" i="18"/>
  <c r="AB768" i="18"/>
  <c r="AB893" i="18"/>
  <c r="AB861" i="18"/>
  <c r="AB799" i="18"/>
  <c r="AB862" i="18"/>
  <c r="AB801" i="18"/>
  <c r="AB779" i="18"/>
  <c r="AB804" i="18"/>
  <c r="AB852" i="18"/>
  <c r="AB803" i="18"/>
  <c r="AB860" i="18"/>
  <c r="AB780" i="18"/>
  <c r="AB820" i="18"/>
  <c r="AB854" i="18"/>
  <c r="AB844" i="18"/>
  <c r="AB761" i="18"/>
  <c r="AB763" i="18"/>
  <c r="AB764" i="18"/>
  <c r="AB781" i="18"/>
  <c r="AB891" i="18"/>
  <c r="AB805" i="18"/>
  <c r="AB1105" i="18"/>
  <c r="AB1102" i="18"/>
  <c r="AB1101" i="18"/>
  <c r="AB1082" i="18"/>
  <c r="AB1039" i="18"/>
  <c r="AB1045" i="18"/>
  <c r="AB1056" i="18"/>
  <c r="AB1021" i="18"/>
  <c r="AB1001" i="18"/>
  <c r="AB1008" i="18"/>
  <c r="AB1005" i="18"/>
  <c r="AB1014" i="18"/>
  <c r="AB979" i="18"/>
  <c r="AB970" i="18"/>
  <c r="AB967" i="18"/>
  <c r="AB936" i="18"/>
  <c r="AB872" i="18"/>
  <c r="AB955" i="18"/>
  <c r="AB938" i="18"/>
  <c r="AB972" i="18"/>
  <c r="AB895" i="18"/>
  <c r="AB947" i="18"/>
  <c r="AB889" i="18"/>
  <c r="AB908" i="18"/>
  <c r="AB974" i="18"/>
  <c r="AB923" i="18"/>
  <c r="AB906" i="18"/>
  <c r="AB816" i="18"/>
  <c r="AB883" i="18"/>
  <c r="AB858" i="18"/>
  <c r="AB847" i="18"/>
  <c r="AB783" i="18"/>
  <c r="AB849" i="18"/>
  <c r="AB785" i="18"/>
  <c r="AB772" i="18"/>
  <c r="AB759" i="18"/>
  <c r="AB1093" i="18"/>
  <c r="AB1040" i="18"/>
  <c r="AB997" i="18"/>
  <c r="AB959" i="18"/>
  <c r="AB930" i="18"/>
  <c r="AB881" i="18"/>
  <c r="AB900" i="18"/>
  <c r="AB839" i="18"/>
  <c r="AB1090" i="18"/>
  <c r="AB1029" i="18"/>
  <c r="AB1030" i="18"/>
  <c r="AB944" i="18"/>
  <c r="AB998" i="18"/>
  <c r="AB915" i="18"/>
  <c r="AB824" i="18"/>
  <c r="AB791" i="18"/>
  <c r="AB773" i="18"/>
  <c r="AB1074" i="18"/>
  <c r="AB1013" i="18"/>
  <c r="AB1002" i="18"/>
  <c r="AB928" i="18"/>
  <c r="AB971" i="18"/>
  <c r="AB901" i="18"/>
  <c r="AB808" i="18"/>
  <c r="AB775" i="18"/>
  <c r="AB898" i="18"/>
  <c r="AB1060" i="18"/>
  <c r="AB1072" i="18"/>
  <c r="AB1009" i="18"/>
  <c r="AB983" i="18"/>
  <c r="AB880" i="18"/>
  <c r="AB903" i="18"/>
  <c r="AB902" i="18"/>
  <c r="AB885" i="18"/>
  <c r="AB857" i="18"/>
  <c r="AB812" i="18"/>
  <c r="AB1097" i="18"/>
  <c r="AB1031" i="18"/>
  <c r="AB993" i="18"/>
  <c r="AB973" i="18"/>
  <c r="AB864" i="18"/>
  <c r="AB887" i="18"/>
  <c r="AB931" i="18"/>
  <c r="AB876" i="18"/>
  <c r="AB841" i="18"/>
  <c r="AB758" i="18"/>
  <c r="AB1049" i="18"/>
  <c r="AB1052" i="18"/>
  <c r="AB1026" i="18"/>
  <c r="AB978" i="18"/>
  <c r="AB956" i="18"/>
  <c r="AB949" i="18"/>
  <c r="AB952" i="18"/>
  <c r="AB868" i="18"/>
  <c r="AB793" i="18"/>
  <c r="AB829" i="18"/>
  <c r="AB1094" i="18"/>
  <c r="AB1000" i="18"/>
  <c r="AB962" i="18"/>
  <c r="AB945" i="18"/>
  <c r="AB850" i="18"/>
  <c r="AB777" i="18"/>
  <c r="AB1059" i="18"/>
  <c r="AB975" i="18"/>
  <c r="AB963" i="18"/>
  <c r="AB926" i="18"/>
  <c r="AB836" i="18"/>
  <c r="AB760" i="18"/>
  <c r="AB796" i="18"/>
  <c r="AB1036" i="18"/>
  <c r="AB941" i="18"/>
  <c r="AB918" i="18"/>
  <c r="AB1046" i="18"/>
  <c r="AB1017" i="18"/>
  <c r="AB897" i="18"/>
  <c r="AB855" i="18"/>
  <c r="AO36" i="4"/>
  <c r="AP34" i="4"/>
  <c r="AP35" i="4" s="1"/>
  <c r="AJ86" i="5"/>
  <c r="AC107" i="5" s="1"/>
  <c r="AC6" i="5" s="1"/>
  <c r="AI86" i="5"/>
  <c r="AC106" i="5" s="1"/>
  <c r="AK86" i="5"/>
  <c r="AC108" i="5" s="1"/>
  <c r="AO32" i="4"/>
  <c r="AN31" i="4"/>
  <c r="AO86" i="5"/>
  <c r="AC111" i="5" s="1"/>
  <c r="AM86" i="5"/>
  <c r="AC109" i="5" s="1"/>
  <c r="AN86" i="5"/>
  <c r="AC110" i="5" s="1"/>
  <c r="AT19" i="5" l="1"/>
  <c r="H261" i="26"/>
  <c r="I260" i="26"/>
  <c r="H262" i="26"/>
  <c r="I261" i="26"/>
  <c r="H239" i="26"/>
  <c r="N239" i="26"/>
  <c r="K239" i="26"/>
  <c r="O238" i="26"/>
  <c r="L238" i="26"/>
  <c r="I238" i="26"/>
  <c r="E239" i="26"/>
  <c r="F238" i="26"/>
  <c r="O107" i="26"/>
  <c r="O100" i="26" a="1"/>
  <c r="O100" i="26" s="1"/>
  <c r="O57" i="26" s="1"/>
  <c r="O105" i="26"/>
  <c r="N70" i="26"/>
  <c r="AF24" i="5"/>
  <c r="AE25" i="5"/>
  <c r="AG5" i="18"/>
  <c r="AF11" i="18"/>
  <c r="AH6" i="18"/>
  <c r="AG12" i="18"/>
  <c r="AH8" i="18"/>
  <c r="AG14" i="18"/>
  <c r="AH9" i="18"/>
  <c r="AG15" i="18"/>
  <c r="AH7" i="18"/>
  <c r="AG13" i="18"/>
  <c r="AC11" i="5" a="1"/>
  <c r="AC11" i="5" s="1"/>
  <c r="AB9" i="5"/>
  <c r="AB10" i="5" s="1"/>
  <c r="AT22" i="5"/>
  <c r="AU16" i="5"/>
  <c r="AU21" i="5" s="1"/>
  <c r="AT18" i="5"/>
  <c r="Z731" i="18"/>
  <c r="Z676" i="18"/>
  <c r="Z697" i="18"/>
  <c r="Z725" i="18"/>
  <c r="Z727" i="18"/>
  <c r="Z682" i="18"/>
  <c r="Z622" i="18"/>
  <c r="Z709" i="18"/>
  <c r="Z685" i="18"/>
  <c r="Z663" i="18"/>
  <c r="Z609" i="18"/>
  <c r="Z551" i="18"/>
  <c r="Z623" i="18"/>
  <c r="Z572" i="18"/>
  <c r="Z569" i="18"/>
  <c r="Z612" i="18"/>
  <c r="Z621" i="18"/>
  <c r="Z722" i="18"/>
  <c r="Z568" i="18"/>
  <c r="Z505" i="18"/>
  <c r="Z548" i="18"/>
  <c r="Z736" i="18"/>
  <c r="Z507" i="18"/>
  <c r="Z637" i="18"/>
  <c r="Z547" i="18"/>
  <c r="Z662" i="18"/>
  <c r="Z620" i="18"/>
  <c r="Z478" i="18"/>
  <c r="Z594" i="18"/>
  <c r="Z459" i="18"/>
  <c r="Z560" i="18"/>
  <c r="Z472" i="18"/>
  <c r="Z677" i="18"/>
  <c r="Z485" i="18"/>
  <c r="Z541" i="18"/>
  <c r="Z418" i="18"/>
  <c r="Z351" i="18"/>
  <c r="Z449" i="18"/>
  <c r="Z364" i="18"/>
  <c r="Z420" i="18"/>
  <c r="Z353" i="18"/>
  <c r="Z389" i="18"/>
  <c r="Z302" i="18"/>
  <c r="Z238" i="18"/>
  <c r="Z579" i="18"/>
  <c r="Z355" i="18"/>
  <c r="Z299" i="18"/>
  <c r="Z235" i="18"/>
  <c r="Z457" i="18"/>
  <c r="Z336" i="18"/>
  <c r="Z272" i="18"/>
  <c r="Z208" i="18"/>
  <c r="Z417" i="18"/>
  <c r="Z325" i="18"/>
  <c r="Z463" i="18"/>
  <c r="Z346" i="18"/>
  <c r="Z282" i="18"/>
  <c r="Z268" i="18"/>
  <c r="Z175" i="18"/>
  <c r="Z111" i="18"/>
  <c r="Z474" i="18"/>
  <c r="Z233" i="18"/>
  <c r="Z148" i="18"/>
  <c r="Z84" i="18"/>
  <c r="Z297" i="18"/>
  <c r="Z177" i="18"/>
  <c r="Z113" i="18"/>
  <c r="Z586" i="18"/>
  <c r="Z316" i="18"/>
  <c r="Z207" i="18"/>
  <c r="Z134" i="18"/>
  <c r="Z70" i="18"/>
  <c r="Z308" i="18"/>
  <c r="Z194" i="18"/>
  <c r="Z131" i="18"/>
  <c r="Z67" i="18"/>
  <c r="Z201" i="18"/>
  <c r="Z244" i="18"/>
  <c r="Z321" i="18"/>
  <c r="Z284" i="18"/>
  <c r="Z88" i="18"/>
  <c r="Z109" i="18"/>
  <c r="Z444" i="18"/>
  <c r="Z274" i="18"/>
  <c r="Z50" i="18"/>
  <c r="Z387" i="18"/>
  <c r="Z72" i="18"/>
  <c r="Z138" i="18"/>
  <c r="Z723" i="18"/>
  <c r="Z668" i="18"/>
  <c r="Z689" i="18"/>
  <c r="Z724" i="18"/>
  <c r="Z726" i="18"/>
  <c r="Z672" i="18"/>
  <c r="Z614" i="18"/>
  <c r="Z669" i="18"/>
  <c r="Z675" i="18"/>
  <c r="Z658" i="18"/>
  <c r="Z604" i="18"/>
  <c r="Z740" i="18"/>
  <c r="Z618" i="18"/>
  <c r="Z730" i="18"/>
  <c r="Z561" i="18"/>
  <c r="Z607" i="18"/>
  <c r="Z616" i="18"/>
  <c r="Z704" i="18"/>
  <c r="Z554" i="18"/>
  <c r="Z497" i="18"/>
  <c r="Z542" i="18"/>
  <c r="Z624" i="18"/>
  <c r="Z499" i="18"/>
  <c r="Z633" i="18"/>
  <c r="Z544" i="18"/>
  <c r="Z625" i="18"/>
  <c r="Z566" i="18"/>
  <c r="Z470" i="18"/>
  <c r="Z578" i="18"/>
  <c r="Z451" i="18"/>
  <c r="Z555" i="18"/>
  <c r="Z464" i="18"/>
  <c r="Z627" i="18"/>
  <c r="Z477" i="18"/>
  <c r="Z530" i="18"/>
  <c r="Z410" i="18"/>
  <c r="Z564" i="18"/>
  <c r="Z433" i="18"/>
  <c r="Z356" i="18"/>
  <c r="Z412" i="18"/>
  <c r="Z490" i="18"/>
  <c r="Z368" i="18"/>
  <c r="Z294" i="18"/>
  <c r="Z230" i="18"/>
  <c r="Z492" i="18"/>
  <c r="Z354" i="18"/>
  <c r="Z291" i="18"/>
  <c r="Z227" i="18"/>
  <c r="Z431" i="18"/>
  <c r="Z328" i="18"/>
  <c r="Z264" i="18"/>
  <c r="Z200" i="18"/>
  <c r="Z416" i="18"/>
  <c r="Z317" i="18"/>
  <c r="Z426" i="18"/>
  <c r="Z338" i="18"/>
  <c r="Z405" i="18"/>
  <c r="Z247" i="18"/>
  <c r="Z167" i="18"/>
  <c r="Z103" i="18"/>
  <c r="Z442" i="18"/>
  <c r="Z213" i="18"/>
  <c r="Z140" i="18"/>
  <c r="Z76" i="18"/>
  <c r="Z287" i="18"/>
  <c r="Z169" i="18"/>
  <c r="Z105" i="18"/>
  <c r="Z460" i="18"/>
  <c r="Z289" i="18"/>
  <c r="Z186" i="18"/>
  <c r="Z126" i="18"/>
  <c r="Z62" i="18"/>
  <c r="Z281" i="18"/>
  <c r="Z193" i="18"/>
  <c r="Z123" i="18"/>
  <c r="Z59" i="18"/>
  <c r="Z176" i="18"/>
  <c r="Z210" i="18"/>
  <c r="Z253" i="18"/>
  <c r="Z265" i="18"/>
  <c r="Z63" i="18"/>
  <c r="Z80" i="18"/>
  <c r="Z327" i="18"/>
  <c r="Z154" i="18"/>
  <c r="Z273" i="18"/>
  <c r="Z319" i="18"/>
  <c r="Z58" i="18"/>
  <c r="Z90" i="18"/>
  <c r="Z728" i="18"/>
  <c r="Z660" i="18"/>
  <c r="Z681" i="18"/>
  <c r="Z703" i="18"/>
  <c r="Z698" i="18"/>
  <c r="Z671" i="18"/>
  <c r="Z606" i="18"/>
  <c r="Z664" i="18"/>
  <c r="Z674" i="18"/>
  <c r="Z750" i="18"/>
  <c r="Z599" i="18"/>
  <c r="Z717" i="18"/>
  <c r="Z613" i="18"/>
  <c r="Z707" i="18"/>
  <c r="Z734" i="18"/>
  <c r="Z602" i="18"/>
  <c r="Z611" i="18"/>
  <c r="Z649" i="18"/>
  <c r="Z549" i="18"/>
  <c r="Z721" i="18"/>
  <c r="Z534" i="18"/>
  <c r="Z619" i="18"/>
  <c r="Z752" i="18"/>
  <c r="Z631" i="18"/>
  <c r="Z536" i="18"/>
  <c r="Z573" i="18"/>
  <c r="Z563" i="18"/>
  <c r="Z462" i="18"/>
  <c r="Z514" i="18"/>
  <c r="Z443" i="18"/>
  <c r="Z546" i="18"/>
  <c r="Z456" i="18"/>
  <c r="Z605" i="18"/>
  <c r="Z469" i="18"/>
  <c r="Z522" i="18"/>
  <c r="Z402" i="18"/>
  <c r="Z557" i="18"/>
  <c r="Z415" i="18"/>
  <c r="Z550" i="18"/>
  <c r="Z404" i="18"/>
  <c r="Z476" i="18"/>
  <c r="Z350" i="18"/>
  <c r="Z286" i="18"/>
  <c r="Z222" i="18"/>
  <c r="Z455" i="18"/>
  <c r="Z347" i="18"/>
  <c r="Z283" i="18"/>
  <c r="Z219" i="18"/>
  <c r="Z409" i="18"/>
  <c r="Z320" i="18"/>
  <c r="Z256" i="18"/>
  <c r="Z192" i="18"/>
  <c r="Z392" i="18"/>
  <c r="Z309" i="18"/>
  <c r="Z422" i="18"/>
  <c r="Z330" i="18"/>
  <c r="Z386" i="18"/>
  <c r="Z226" i="18"/>
  <c r="Z159" i="18"/>
  <c r="Z95" i="18"/>
  <c r="Z395" i="18"/>
  <c r="Z212" i="18"/>
  <c r="Z132" i="18"/>
  <c r="Z68" i="18"/>
  <c r="Z263" i="18"/>
  <c r="Z161" i="18"/>
  <c r="Z97" i="18"/>
  <c r="Z428" i="18"/>
  <c r="Z279" i="18"/>
  <c r="Z185" i="18"/>
  <c r="Z118" i="18"/>
  <c r="Z54" i="18"/>
  <c r="Z276" i="18"/>
  <c r="Z179" i="18"/>
  <c r="Z115" i="18"/>
  <c r="Z51" i="18"/>
  <c r="Z149" i="18"/>
  <c r="Z178" i="18"/>
  <c r="Z188" i="18"/>
  <c r="Z231" i="18"/>
  <c r="Z49" i="18"/>
  <c r="Z381" i="18"/>
  <c r="Z239" i="18"/>
  <c r="Z374" i="18"/>
  <c r="Z223" i="18"/>
  <c r="Z66" i="18"/>
  <c r="Z85" i="18"/>
  <c r="Z716" i="18"/>
  <c r="Z652" i="18"/>
  <c r="Z673" i="18"/>
  <c r="Z701" i="18"/>
  <c r="Z696" i="18"/>
  <c r="Z655" i="18"/>
  <c r="Z749" i="18"/>
  <c r="Z659" i="18"/>
  <c r="Z639" i="18"/>
  <c r="Z695" i="18"/>
  <c r="Z591" i="18"/>
  <c r="Z714" i="18"/>
  <c r="Z608" i="18"/>
  <c r="Z687" i="18"/>
  <c r="Z719" i="18"/>
  <c r="Z598" i="18"/>
  <c r="Z595" i="18"/>
  <c r="Z628" i="18"/>
  <c r="Z545" i="18"/>
  <c r="Z688" i="18"/>
  <c r="Z526" i="18"/>
  <c r="Z584" i="18"/>
  <c r="Z691" i="18"/>
  <c r="Z629" i="18"/>
  <c r="Z528" i="18"/>
  <c r="Z556" i="18"/>
  <c r="Z558" i="18"/>
  <c r="Z454" i="18"/>
  <c r="Z498" i="18"/>
  <c r="Z435" i="18"/>
  <c r="Z527" i="18"/>
  <c r="Z448" i="18"/>
  <c r="Z565" i="18"/>
  <c r="Z461" i="18"/>
  <c r="Z503" i="18"/>
  <c r="Z391" i="18"/>
  <c r="Z525" i="18"/>
  <c r="Z407" i="18"/>
  <c r="Z509" i="18"/>
  <c r="Z393" i="18"/>
  <c r="Z439" i="18"/>
  <c r="Z342" i="18"/>
  <c r="Z278" i="18"/>
  <c r="Z214" i="18"/>
  <c r="Z441" i="18"/>
  <c r="Z339" i="18"/>
  <c r="Z275" i="18"/>
  <c r="Z211" i="18"/>
  <c r="Z408" i="18"/>
  <c r="Z312" i="18"/>
  <c r="Z248" i="18"/>
  <c r="Z184" i="18"/>
  <c r="Z371" i="18"/>
  <c r="Z301" i="18"/>
  <c r="Z403" i="18"/>
  <c r="Z322" i="18"/>
  <c r="Z352" i="18"/>
  <c r="Z225" i="18"/>
  <c r="Z151" i="18"/>
  <c r="Z87" i="18"/>
  <c r="Z332" i="18"/>
  <c r="Z191" i="18"/>
  <c r="Z124" i="18"/>
  <c r="Z60" i="18"/>
  <c r="Z242" i="18"/>
  <c r="Z153" i="18"/>
  <c r="Z89" i="18"/>
  <c r="Z423" i="18"/>
  <c r="Z271" i="18"/>
  <c r="Z174" i="18"/>
  <c r="Z110" i="18"/>
  <c r="Z733" i="18"/>
  <c r="Z258" i="18"/>
  <c r="Z171" i="18"/>
  <c r="Z107" i="18"/>
  <c r="Z406" i="18"/>
  <c r="Z122" i="18"/>
  <c r="Z168" i="18"/>
  <c r="Z170" i="18"/>
  <c r="Z197" i="18"/>
  <c r="Z365" i="18"/>
  <c r="Z245" i="18"/>
  <c r="Z189" i="18"/>
  <c r="Z218" i="18"/>
  <c r="Z165" i="18"/>
  <c r="Z61" i="18"/>
  <c r="Z209" i="18"/>
  <c r="Z746" i="18"/>
  <c r="Z708" i="18"/>
  <c r="Z644" i="18"/>
  <c r="Z751" i="18"/>
  <c r="Z699" i="18"/>
  <c r="Z694" i="18"/>
  <c r="Z650" i="18"/>
  <c r="Z747" i="18"/>
  <c r="Z654" i="18"/>
  <c r="Z632" i="18"/>
  <c r="Z690" i="18"/>
  <c r="Z583" i="18"/>
  <c r="Z711" i="18"/>
  <c r="Z603" i="18"/>
  <c r="Z678" i="18"/>
  <c r="Z646" i="18"/>
  <c r="Z680" i="18"/>
  <c r="Z582" i="18"/>
  <c r="Z626" i="18"/>
  <c r="Z537" i="18"/>
  <c r="Z667" i="18"/>
  <c r="Z518" i="18"/>
  <c r="Z539" i="18"/>
  <c r="Z666" i="18"/>
  <c r="Z592" i="18"/>
  <c r="Z520" i="18"/>
  <c r="Z543" i="18"/>
  <c r="Z535" i="18"/>
  <c r="Z446" i="18"/>
  <c r="Z491" i="18"/>
  <c r="Z427" i="18"/>
  <c r="Z511" i="18"/>
  <c r="Z440" i="18"/>
  <c r="Z538" i="18"/>
  <c r="Z453" i="18"/>
  <c r="Z484" i="18"/>
  <c r="Z383" i="18"/>
  <c r="Z506" i="18"/>
  <c r="Z396" i="18"/>
  <c r="Z482" i="18"/>
  <c r="Z385" i="18"/>
  <c r="Z425" i="18"/>
  <c r="Z334" i="18"/>
  <c r="Z270" i="18"/>
  <c r="Z206" i="18"/>
  <c r="Z421" i="18"/>
  <c r="Z331" i="18"/>
  <c r="Z267" i="18"/>
  <c r="Z203" i="18"/>
  <c r="Z384" i="18"/>
  <c r="Z304" i="18"/>
  <c r="Z240" i="18"/>
  <c r="Z562" i="18"/>
  <c r="Z370" i="18"/>
  <c r="Z293" i="18"/>
  <c r="Z379" i="18"/>
  <c r="Z314" i="18"/>
  <c r="Z340" i="18"/>
  <c r="Z205" i="18"/>
  <c r="Z143" i="18"/>
  <c r="Z79" i="18"/>
  <c r="Z305" i="18"/>
  <c r="Z180" i="18"/>
  <c r="Z116" i="18"/>
  <c r="Z52" i="18"/>
  <c r="Z241" i="18"/>
  <c r="Z145" i="18"/>
  <c r="Z81" i="18"/>
  <c r="Z419" i="18"/>
  <c r="Z250" i="18"/>
  <c r="Z166" i="18"/>
  <c r="Z102" i="18"/>
  <c r="Z394" i="18"/>
  <c r="Z257" i="18"/>
  <c r="Z163" i="18"/>
  <c r="Z99" i="18"/>
  <c r="Z348" i="18"/>
  <c r="Z112" i="18"/>
  <c r="Z141" i="18"/>
  <c r="Z160" i="18"/>
  <c r="Z162" i="18"/>
  <c r="Z329" i="18"/>
  <c r="Z196" i="18"/>
  <c r="Z120" i="18"/>
  <c r="Z173" i="18"/>
  <c r="Z53" i="18"/>
  <c r="Z56" i="18"/>
  <c r="Z157" i="18"/>
  <c r="Z738" i="18"/>
  <c r="Z700" i="18"/>
  <c r="Z636" i="18"/>
  <c r="Z744" i="18"/>
  <c r="Z745" i="18"/>
  <c r="Z729" i="18"/>
  <c r="Z645" i="18"/>
  <c r="Z718" i="18"/>
  <c r="Z737" i="18"/>
  <c r="Z710" i="18"/>
  <c r="Z679" i="18"/>
  <c r="Z575" i="18"/>
  <c r="Z670" i="18"/>
  <c r="Z596" i="18"/>
  <c r="Z593" i="18"/>
  <c r="Z635" i="18"/>
  <c r="Z661" i="18"/>
  <c r="Z581" i="18"/>
  <c r="Z601" i="18"/>
  <c r="Z529" i="18"/>
  <c r="Z657" i="18"/>
  <c r="Z510" i="18"/>
  <c r="Z531" i="18"/>
  <c r="Z656" i="18"/>
  <c r="Z571" i="18"/>
  <c r="Z512" i="18"/>
  <c r="Z533" i="18"/>
  <c r="Z517" i="18"/>
  <c r="Z438" i="18"/>
  <c r="Z483" i="18"/>
  <c r="Z610" i="18"/>
  <c r="Z495" i="18"/>
  <c r="Z432" i="18"/>
  <c r="Z524" i="18"/>
  <c r="Z445" i="18"/>
  <c r="Z468" i="18"/>
  <c r="Z375" i="18"/>
  <c r="Z500" i="18"/>
  <c r="Z388" i="18"/>
  <c r="Z466" i="18"/>
  <c r="Z377" i="18"/>
  <c r="Z414" i="18"/>
  <c r="Z326" i="18"/>
  <c r="Z262" i="18"/>
  <c r="Z198" i="18"/>
  <c r="Z398" i="18"/>
  <c r="Z323" i="18"/>
  <c r="Z259" i="18"/>
  <c r="Z195" i="18"/>
  <c r="Z363" i="18"/>
  <c r="Z296" i="18"/>
  <c r="Z232" i="18"/>
  <c r="Z487" i="18"/>
  <c r="Z349" i="18"/>
  <c r="Z285" i="18"/>
  <c r="Z378" i="18"/>
  <c r="Z306" i="18"/>
  <c r="Z313" i="18"/>
  <c r="Z204" i="18"/>
  <c r="Z135" i="18"/>
  <c r="Z71" i="18"/>
  <c r="Z295" i="18"/>
  <c r="Z172" i="18"/>
  <c r="Z108" i="18"/>
  <c r="Z519" i="18"/>
  <c r="Z221" i="18"/>
  <c r="Z137" i="18"/>
  <c r="Z73" i="18"/>
  <c r="Z382" i="18"/>
  <c r="Z249" i="18"/>
  <c r="Z158" i="18"/>
  <c r="Z94" i="18"/>
  <c r="Z360" i="18"/>
  <c r="Z237" i="18"/>
  <c r="Z155" i="18"/>
  <c r="Z91" i="18"/>
  <c r="Z337" i="18"/>
  <c r="Z311" i="18"/>
  <c r="Z114" i="18"/>
  <c r="Z133" i="18"/>
  <c r="Z152" i="18"/>
  <c r="Z252" i="18"/>
  <c r="Z128" i="18"/>
  <c r="Z93" i="18"/>
  <c r="Z146" i="18"/>
  <c r="Z458" i="18"/>
  <c r="Z130" i="18"/>
  <c r="Z64" i="18"/>
  <c r="Z748" i="18"/>
  <c r="Z692" i="18"/>
  <c r="Z713" i="18"/>
  <c r="Z735" i="18"/>
  <c r="Z739" i="18"/>
  <c r="Z720" i="18"/>
  <c r="Z640" i="18"/>
  <c r="Z715" i="18"/>
  <c r="Z693" i="18"/>
  <c r="Z706" i="18"/>
  <c r="Z643" i="18"/>
  <c r="Z567" i="18"/>
  <c r="Z665" i="18"/>
  <c r="Z588" i="18"/>
  <c r="Z585" i="18"/>
  <c r="Z634" i="18"/>
  <c r="Z647" i="18"/>
  <c r="Z540" i="18"/>
  <c r="Z590" i="18"/>
  <c r="Z521" i="18"/>
  <c r="Z576" i="18"/>
  <c r="Z502" i="18"/>
  <c r="Z523" i="18"/>
  <c r="Z653" i="18"/>
  <c r="Z570" i="18"/>
  <c r="Z504" i="18"/>
  <c r="Z516" i="18"/>
  <c r="Z501" i="18"/>
  <c r="Z430" i="18"/>
  <c r="Z475" i="18"/>
  <c r="Z597" i="18"/>
  <c r="Z488" i="18"/>
  <c r="Z424" i="18"/>
  <c r="Z508" i="18"/>
  <c r="Z437" i="18"/>
  <c r="Z452" i="18"/>
  <c r="Z367" i="18"/>
  <c r="Z481" i="18"/>
  <c r="Z380" i="18"/>
  <c r="Z450" i="18"/>
  <c r="Z369" i="18"/>
  <c r="Z413" i="18"/>
  <c r="Z318" i="18"/>
  <c r="Z254" i="18"/>
  <c r="Z190" i="18"/>
  <c r="Z397" i="18"/>
  <c r="Z315" i="18"/>
  <c r="Z251" i="18"/>
  <c r="Z187" i="18"/>
  <c r="Z362" i="18"/>
  <c r="Z288" i="18"/>
  <c r="Z224" i="18"/>
  <c r="Z473" i="18"/>
  <c r="Z341" i="18"/>
  <c r="Z277" i="18"/>
  <c r="Z358" i="18"/>
  <c r="Z298" i="18"/>
  <c r="Z303" i="18"/>
  <c r="Z183" i="18"/>
  <c r="Z127" i="18"/>
  <c r="Z600" i="18"/>
  <c r="Z255" i="18"/>
  <c r="Z164" i="18"/>
  <c r="Z100" i="18"/>
  <c r="Z373" i="18"/>
  <c r="Z220" i="18"/>
  <c r="Z129" i="18"/>
  <c r="Z65" i="18"/>
  <c r="Z366" i="18"/>
  <c r="Z229" i="18"/>
  <c r="Z150" i="18"/>
  <c r="Z86" i="18"/>
  <c r="Z345" i="18"/>
  <c r="Z236" i="18"/>
  <c r="Z147" i="18"/>
  <c r="Z83" i="18"/>
  <c r="Z266" i="18"/>
  <c r="Z300" i="18"/>
  <c r="Z104" i="18"/>
  <c r="Z106" i="18"/>
  <c r="Z125" i="18"/>
  <c r="Z202" i="18"/>
  <c r="Z101" i="18"/>
  <c r="Z82" i="18"/>
  <c r="Z77" i="18"/>
  <c r="Z292" i="18"/>
  <c r="Z48" i="18"/>
  <c r="Z117" i="18"/>
  <c r="Z743" i="18"/>
  <c r="Z684" i="18"/>
  <c r="Z705" i="18"/>
  <c r="Z742" i="18"/>
  <c r="Z732" i="18"/>
  <c r="Z683" i="18"/>
  <c r="Z630" i="18"/>
  <c r="Z712" i="18"/>
  <c r="Z686" i="18"/>
  <c r="Z702" i="18"/>
  <c r="Z642" i="18"/>
  <c r="Z559" i="18"/>
  <c r="Z651" i="18"/>
  <c r="Z580" i="18"/>
  <c r="Z577" i="18"/>
  <c r="Z617" i="18"/>
  <c r="Z638" i="18"/>
  <c r="Z532" i="18"/>
  <c r="Z589" i="18"/>
  <c r="Z513" i="18"/>
  <c r="Z553" i="18"/>
  <c r="Z494" i="18"/>
  <c r="Z515" i="18"/>
  <c r="Z648" i="18"/>
  <c r="Z552" i="18"/>
  <c r="Z496" i="18"/>
  <c r="Z641" i="18"/>
  <c r="Z486" i="18"/>
  <c r="Z615" i="18"/>
  <c r="Z467" i="18"/>
  <c r="Z587" i="18"/>
  <c r="Z480" i="18"/>
  <c r="Z741" i="18"/>
  <c r="Z493" i="18"/>
  <c r="Z429" i="18"/>
  <c r="Z436" i="18"/>
  <c r="Z359" i="18"/>
  <c r="Z465" i="18"/>
  <c r="Z372" i="18"/>
  <c r="Z434" i="18"/>
  <c r="Z361" i="18"/>
  <c r="Z390" i="18"/>
  <c r="Z310" i="18"/>
  <c r="Z246" i="18"/>
  <c r="Z182" i="18"/>
  <c r="Z376" i="18"/>
  <c r="Z307" i="18"/>
  <c r="Z243" i="18"/>
  <c r="Z471" i="18"/>
  <c r="Z344" i="18"/>
  <c r="Z280" i="18"/>
  <c r="Z216" i="18"/>
  <c r="Z447" i="18"/>
  <c r="Z333" i="18"/>
  <c r="Z489" i="18"/>
  <c r="Z357" i="18"/>
  <c r="Z290" i="18"/>
  <c r="Z269" i="18"/>
  <c r="Z181" i="18"/>
  <c r="Z119" i="18"/>
  <c r="Z479" i="18"/>
  <c r="Z234" i="18"/>
  <c r="Z156" i="18"/>
  <c r="Z92" i="18"/>
  <c r="Z324" i="18"/>
  <c r="Z199" i="18"/>
  <c r="Z121" i="18"/>
  <c r="Z57" i="18"/>
  <c r="Z343" i="18"/>
  <c r="Z228" i="18"/>
  <c r="Z142" i="18"/>
  <c r="Z78" i="18"/>
  <c r="Z335" i="18"/>
  <c r="Z215" i="18"/>
  <c r="Z139" i="18"/>
  <c r="Z75" i="18"/>
  <c r="Z217" i="18"/>
  <c r="Z260" i="18"/>
  <c r="Z574" i="18"/>
  <c r="Z96" i="18"/>
  <c r="Z98" i="18"/>
  <c r="Z136" i="18"/>
  <c r="Z69" i="18"/>
  <c r="Z411" i="18"/>
  <c r="Z55" i="18"/>
  <c r="Z144" i="18"/>
  <c r="Z261" i="18"/>
  <c r="Z74" i="18"/>
  <c r="U4" i="18"/>
  <c r="U44" i="18" s="1"/>
  <c r="T754" i="18"/>
  <c r="T401" i="18"/>
  <c r="T47" i="18"/>
  <c r="AD38" i="18"/>
  <c r="AC985" i="18"/>
  <c r="AC792" i="18"/>
  <c r="AC783" i="18"/>
  <c r="AC856" i="18"/>
  <c r="AC799" i="18"/>
  <c r="AC762" i="18"/>
  <c r="AC791" i="18"/>
  <c r="AC872" i="18"/>
  <c r="AC800" i="18"/>
  <c r="AC785" i="18"/>
  <c r="AC776" i="18"/>
  <c r="AC786" i="18"/>
  <c r="AC825" i="18"/>
  <c r="AC778" i="18"/>
  <c r="AC840" i="18"/>
  <c r="AC784" i="18"/>
  <c r="AC827" i="18"/>
  <c r="AC802" i="18"/>
  <c r="AC843" i="18"/>
  <c r="AC1057" i="18"/>
  <c r="AC1046" i="18"/>
  <c r="AC1098" i="18"/>
  <c r="AC1087" i="18"/>
  <c r="AC1064" i="18"/>
  <c r="AC1060" i="18"/>
  <c r="AC1092" i="18"/>
  <c r="AC1084" i="18"/>
  <c r="AC1038" i="18"/>
  <c r="AC1077" i="18"/>
  <c r="AC1005" i="18"/>
  <c r="AC986" i="18"/>
  <c r="AC996" i="18"/>
  <c r="AC993" i="18"/>
  <c r="AC972" i="18"/>
  <c r="AC977" i="18"/>
  <c r="AC901" i="18"/>
  <c r="AC938" i="18"/>
  <c r="AC1000" i="18"/>
  <c r="AC908" i="18"/>
  <c r="AC995" i="18"/>
  <c r="AC934" i="18"/>
  <c r="AC870" i="18"/>
  <c r="AC988" i="18"/>
  <c r="AC903" i="18"/>
  <c r="AC904" i="18"/>
  <c r="AC898" i="18"/>
  <c r="AC805" i="18"/>
  <c r="AC864" i="18"/>
  <c r="AC1035" i="18"/>
  <c r="AC871" i="18"/>
  <c r="AC812" i="18"/>
  <c r="AC928" i="18"/>
  <c r="AC822" i="18"/>
  <c r="AC765" i="18"/>
  <c r="AC819" i="18"/>
  <c r="AC863" i="18"/>
  <c r="AC757" i="18"/>
  <c r="AC834" i="18"/>
  <c r="AC803" i="18"/>
  <c r="AC831" i="18"/>
  <c r="AC793" i="18"/>
  <c r="AC1102" i="18"/>
  <c r="AC1099" i="18"/>
  <c r="AC1090" i="18"/>
  <c r="AC1079" i="18"/>
  <c r="AC1052" i="18"/>
  <c r="AC1053" i="18"/>
  <c r="AC1088" i="18"/>
  <c r="AC1080" i="18"/>
  <c r="AC1022" i="18"/>
  <c r="AC1100" i="18"/>
  <c r="AC997" i="18"/>
  <c r="AC1043" i="18"/>
  <c r="AC980" i="18"/>
  <c r="AC975" i="18"/>
  <c r="AC964" i="18"/>
  <c r="AC976" i="18"/>
  <c r="AC893" i="18"/>
  <c r="AC930" i="18"/>
  <c r="AC958" i="18"/>
  <c r="AC900" i="18"/>
  <c r="AC979" i="18"/>
  <c r="AC926" i="18"/>
  <c r="AC862" i="18"/>
  <c r="AC965" i="18"/>
  <c r="AC896" i="18"/>
  <c r="AC897" i="18"/>
  <c r="AC936" i="18"/>
  <c r="AC797" i="18"/>
  <c r="AC858" i="18"/>
  <c r="AC969" i="18"/>
  <c r="AC865" i="18"/>
  <c r="AC804" i="18"/>
  <c r="AC913" i="18"/>
  <c r="AC814" i="18"/>
  <c r="AC794" i="18"/>
  <c r="AC891" i="18"/>
  <c r="AC777" i="18"/>
  <c r="AC758" i="18"/>
  <c r="AC818" i="18"/>
  <c r="AC807" i="18"/>
  <c r="AC857" i="18"/>
  <c r="AC848" i="18"/>
  <c r="AC761" i="18"/>
  <c r="AC767" i="18"/>
  <c r="AC906" i="18"/>
  <c r="AC795" i="18"/>
  <c r="AC823" i="18"/>
  <c r="AC1105" i="18"/>
  <c r="AC1094" i="18"/>
  <c r="AC1091" i="18"/>
  <c r="AC1082" i="18"/>
  <c r="AC1071" i="18"/>
  <c r="AC1045" i="18"/>
  <c r="AC1044" i="18"/>
  <c r="AC1061" i="18"/>
  <c r="AC1050" i="18"/>
  <c r="AC1010" i="18"/>
  <c r="AC1096" i="18"/>
  <c r="AC989" i="18"/>
  <c r="AC1027" i="18"/>
  <c r="AC978" i="18"/>
  <c r="AC967" i="18"/>
  <c r="AC956" i="18"/>
  <c r="AC955" i="18"/>
  <c r="AC885" i="18"/>
  <c r="AC1048" i="18"/>
  <c r="AC957" i="18"/>
  <c r="AC892" i="18"/>
  <c r="AC974" i="18"/>
  <c r="AC918" i="18"/>
  <c r="AC939" i="18"/>
  <c r="AC947" i="18"/>
  <c r="AC889" i="18"/>
  <c r="AC890" i="18"/>
  <c r="AC853" i="18"/>
  <c r="AC789" i="18"/>
  <c r="AC850" i="18"/>
  <c r="AC960" i="18"/>
  <c r="AC860" i="18"/>
  <c r="AC796" i="18"/>
  <c r="AC907" i="18"/>
  <c r="AC806" i="18"/>
  <c r="AC769" i="18"/>
  <c r="AC833" i="18"/>
  <c r="AC859" i="18"/>
  <c r="AC824" i="18"/>
  <c r="AC760" i="18"/>
  <c r="AC756" i="18"/>
  <c r="AC1097" i="18"/>
  <c r="AC1086" i="18"/>
  <c r="AC1083" i="18"/>
  <c r="AC1074" i="18"/>
  <c r="AC1063" i="18"/>
  <c r="AC1036" i="18"/>
  <c r="AC1041" i="18"/>
  <c r="AC1049" i="18"/>
  <c r="AC1042" i="18"/>
  <c r="AC1006" i="18"/>
  <c r="AC1069" i="18"/>
  <c r="AC981" i="18"/>
  <c r="AC1007" i="18"/>
  <c r="AC970" i="18"/>
  <c r="AC959" i="18"/>
  <c r="AC948" i="18"/>
  <c r="AC941" i="18"/>
  <c r="AC877" i="18"/>
  <c r="AC984" i="18"/>
  <c r="AC950" i="18"/>
  <c r="AC884" i="18"/>
  <c r="AC973" i="18"/>
  <c r="AC910" i="18"/>
  <c r="AC937" i="18"/>
  <c r="AC931" i="18"/>
  <c r="AC882" i="18"/>
  <c r="AC883" i="18"/>
  <c r="AC845" i="18"/>
  <c r="AC781" i="18"/>
  <c r="AC842" i="18"/>
  <c r="AC945" i="18"/>
  <c r="AC852" i="18"/>
  <c r="AC788" i="18"/>
  <c r="AC866" i="18"/>
  <c r="AC798" i="18"/>
  <c r="AC755" i="18"/>
  <c r="AC811" i="18"/>
  <c r="AC816" i="18"/>
  <c r="AC1089" i="18"/>
  <c r="AC1078" i="18"/>
  <c r="AC1075" i="18"/>
  <c r="AC1066" i="18"/>
  <c r="AC1055" i="18"/>
  <c r="AC1028" i="18"/>
  <c r="AC1033" i="18"/>
  <c r="AC1037" i="18"/>
  <c r="AC1034" i="18"/>
  <c r="AC998" i="18"/>
  <c r="AC1076" i="18"/>
  <c r="AC1030" i="18"/>
  <c r="AC999" i="18"/>
  <c r="AC962" i="18"/>
  <c r="AC951" i="18"/>
  <c r="AC1024" i="18"/>
  <c r="AC933" i="18"/>
  <c r="AC869" i="18"/>
  <c r="AC971" i="18"/>
  <c r="AC940" i="18"/>
  <c r="AC876" i="18"/>
  <c r="AC953" i="18"/>
  <c r="AC902" i="18"/>
  <c r="AC887" i="18"/>
  <c r="AC929" i="18"/>
  <c r="AC875" i="18"/>
  <c r="AC944" i="18"/>
  <c r="AC837" i="18"/>
  <c r="AC773" i="18"/>
  <c r="AC881" i="18"/>
  <c r="AC920" i="18"/>
  <c r="AC844" i="18"/>
  <c r="AC780" i="18"/>
  <c r="AC854" i="18"/>
  <c r="AC790" i="18"/>
  <c r="AC849" i="18"/>
  <c r="AC763" i="18"/>
  <c r="AC766" i="18"/>
  <c r="AC775" i="18"/>
  <c r="AC888" i="18"/>
  <c r="AC817" i="18"/>
  <c r="AC835" i="18"/>
  <c r="AC1081" i="18"/>
  <c r="AC1070" i="18"/>
  <c r="AC1067" i="18"/>
  <c r="AC1058" i="18"/>
  <c r="AC1047" i="18"/>
  <c r="AC1020" i="18"/>
  <c r="AC1025" i="18"/>
  <c r="AC1029" i="18"/>
  <c r="AC1026" i="18"/>
  <c r="AC990" i="18"/>
  <c r="AC1072" i="18"/>
  <c r="AC1014" i="18"/>
  <c r="AC991" i="18"/>
  <c r="AC954" i="18"/>
  <c r="AC1019" i="18"/>
  <c r="AC1015" i="18"/>
  <c r="AC925" i="18"/>
  <c r="AC861" i="18"/>
  <c r="AC943" i="18"/>
  <c r="AC932" i="18"/>
  <c r="AC868" i="18"/>
  <c r="AC952" i="18"/>
  <c r="AC894" i="18"/>
  <c r="AC880" i="18"/>
  <c r="AC895" i="18"/>
  <c r="AC961" i="18"/>
  <c r="AC919" i="18"/>
  <c r="AC829" i="18"/>
  <c r="AC921" i="18"/>
  <c r="AC855" i="18"/>
  <c r="AC914" i="18"/>
  <c r="AC836" i="18"/>
  <c r="AC772" i="18"/>
  <c r="AC846" i="18"/>
  <c r="AC782" i="18"/>
  <c r="AC770" i="18"/>
  <c r="AC826" i="18"/>
  <c r="AC832" i="18"/>
  <c r="AC779" i="18"/>
  <c r="AC771" i="18"/>
  <c r="AC764" i="18"/>
  <c r="AC809" i="18"/>
  <c r="AC1073" i="18"/>
  <c r="AC1062" i="18"/>
  <c r="AC1059" i="18"/>
  <c r="AC1103" i="18"/>
  <c r="AC1101" i="18"/>
  <c r="AC1012" i="18"/>
  <c r="AC1017" i="18"/>
  <c r="AC1021" i="18"/>
  <c r="AC1018" i="18"/>
  <c r="AC982" i="18"/>
  <c r="AC1039" i="18"/>
  <c r="AC1002" i="18"/>
  <c r="AC983" i="18"/>
  <c r="AC1031" i="18"/>
  <c r="AC1003" i="18"/>
  <c r="AC1001" i="18"/>
  <c r="AC917" i="18"/>
  <c r="AC1008" i="18"/>
  <c r="AC935" i="18"/>
  <c r="AC924" i="18"/>
  <c r="AC1056" i="18"/>
  <c r="AC946" i="18"/>
  <c r="AC886" i="18"/>
  <c r="AC873" i="18"/>
  <c r="AC968" i="18"/>
  <c r="AC949" i="18"/>
  <c r="AC912" i="18"/>
  <c r="AC821" i="18"/>
  <c r="AC915" i="18"/>
  <c r="AC847" i="18"/>
  <c r="AC879" i="18"/>
  <c r="AC828" i="18"/>
  <c r="AC1032" i="18"/>
  <c r="AC838" i="18"/>
  <c r="AC774" i="18"/>
  <c r="AC810" i="18"/>
  <c r="AC1054" i="18"/>
  <c r="AC1104" i="18"/>
  <c r="AC963" i="18"/>
  <c r="AC911" i="18"/>
  <c r="AC830" i="18"/>
  <c r="AC759" i="18"/>
  <c r="AC815" i="18"/>
  <c r="AC841" i="18"/>
  <c r="AC1051" i="18"/>
  <c r="AC1023" i="18"/>
  <c r="AC927" i="18"/>
  <c r="AC905" i="18"/>
  <c r="AC1095" i="18"/>
  <c r="AC994" i="18"/>
  <c r="AC916" i="18"/>
  <c r="AC813" i="18"/>
  <c r="AC851" i="18"/>
  <c r="AC768" i="18"/>
  <c r="AC1068" i="18"/>
  <c r="AC1040" i="18"/>
  <c r="AC1004" i="18"/>
  <c r="AC899" i="18"/>
  <c r="AC867" i="18"/>
  <c r="AC1093" i="18"/>
  <c r="AC1011" i="18"/>
  <c r="AC942" i="18"/>
  <c r="AC839" i="18"/>
  <c r="AC801" i="18"/>
  <c r="AC922" i="18"/>
  <c r="AC1009" i="18"/>
  <c r="AC987" i="18"/>
  <c r="AC878" i="18"/>
  <c r="AC874" i="18"/>
  <c r="AC992" i="18"/>
  <c r="AC808" i="18"/>
  <c r="AC1085" i="18"/>
  <c r="AC923" i="18"/>
  <c r="AC966" i="18"/>
  <c r="AC1013" i="18"/>
  <c r="AC1016" i="18"/>
  <c r="AC820" i="18"/>
  <c r="AC1065" i="18"/>
  <c r="AC909" i="18"/>
  <c r="AC787" i="18"/>
  <c r="AM87" i="5"/>
  <c r="AD109" i="5" s="1"/>
  <c r="AN87" i="5"/>
  <c r="AD110" i="5" s="1"/>
  <c r="AO87" i="5"/>
  <c r="AD111" i="5" s="1"/>
  <c r="AP36" i="4"/>
  <c r="AQ34" i="4"/>
  <c r="AQ35" i="4" s="1"/>
  <c r="AJ87" i="5"/>
  <c r="AD107" i="5" s="1"/>
  <c r="AD6" i="5" s="1"/>
  <c r="AI87" i="5"/>
  <c r="AD106" i="5" s="1"/>
  <c r="AK87" i="5"/>
  <c r="AD108" i="5" s="1"/>
  <c r="AO31" i="4"/>
  <c r="AP32" i="4"/>
  <c r="O102" i="26" l="1" a="1"/>
  <c r="O102" i="26" s="1"/>
  <c r="O43" i="26" s="1"/>
  <c r="O41" i="26" s="1"/>
  <c r="O68" i="26" s="1"/>
  <c r="AU19" i="5"/>
  <c r="L239" i="26"/>
  <c r="I239" i="26"/>
  <c r="K240" i="26"/>
  <c r="N240" i="26"/>
  <c r="H240" i="26"/>
  <c r="O239" i="26"/>
  <c r="E240" i="26"/>
  <c r="F239" i="26"/>
  <c r="O64" i="26"/>
  <c r="AG24" i="5"/>
  <c r="AF25" i="5"/>
  <c r="AI9" i="18"/>
  <c r="AH15" i="18"/>
  <c r="AI8" i="18"/>
  <c r="AH14" i="18"/>
  <c r="AI6" i="18"/>
  <c r="AH12" i="18"/>
  <c r="AI7" i="18"/>
  <c r="AH13" i="18"/>
  <c r="AH5" i="18"/>
  <c r="AG11" i="18"/>
  <c r="AD11" i="5" a="1"/>
  <c r="AD11" i="5" s="1"/>
  <c r="AC9" i="5"/>
  <c r="AC10" i="5" s="1"/>
  <c r="AC32" i="5" s="1"/>
  <c r="AU22" i="5"/>
  <c r="AV16" i="5"/>
  <c r="AV21" i="5" s="1"/>
  <c r="AU18" i="5"/>
  <c r="AB32" i="5"/>
  <c r="V4" i="18"/>
  <c r="V44" i="18" s="1"/>
  <c r="U401" i="18"/>
  <c r="U754" i="18"/>
  <c r="U47" i="18"/>
  <c r="AA720" i="18"/>
  <c r="AA713" i="18"/>
  <c r="AA649" i="18"/>
  <c r="AA718" i="18"/>
  <c r="AA724" i="18"/>
  <c r="AA695" i="18"/>
  <c r="AA664" i="18"/>
  <c r="AA701" i="18"/>
  <c r="AA658" i="18"/>
  <c r="AA730" i="18"/>
  <c r="AA662" i="18"/>
  <c r="AA618" i="18"/>
  <c r="AA556" i="18"/>
  <c r="AA585" i="18"/>
  <c r="AA645" i="18"/>
  <c r="AA590" i="18"/>
  <c r="AA661" i="18"/>
  <c r="AA621" i="18"/>
  <c r="AA601" i="18"/>
  <c r="AA529" i="18"/>
  <c r="AA526" i="18"/>
  <c r="AA583" i="18"/>
  <c r="AA679" i="18"/>
  <c r="AA571" i="18"/>
  <c r="AA512" i="18"/>
  <c r="AA525" i="18"/>
  <c r="AA513" i="18"/>
  <c r="AA467" i="18"/>
  <c r="AA597" i="18"/>
  <c r="AA488" i="18"/>
  <c r="AA424" i="18"/>
  <c r="AA493" i="18"/>
  <c r="AA429" i="18"/>
  <c r="AA521" i="18"/>
  <c r="AA442" i="18"/>
  <c r="AA433" i="18"/>
  <c r="AA356" i="18"/>
  <c r="AA420" i="18"/>
  <c r="AA353" i="18"/>
  <c r="AA390" i="18"/>
  <c r="AA421" i="18"/>
  <c r="AA331" i="18"/>
  <c r="AA267" i="18"/>
  <c r="AA203" i="18"/>
  <c r="AA363" i="18"/>
  <c r="AA296" i="18"/>
  <c r="AA232" i="18"/>
  <c r="AA516" i="18"/>
  <c r="AA370" i="18"/>
  <c r="AA293" i="18"/>
  <c r="AA229" i="18"/>
  <c r="AA489" i="18"/>
  <c r="AA357" i="18"/>
  <c r="AA290" i="18"/>
  <c r="AA428" i="18"/>
  <c r="AA327" i="18"/>
  <c r="AA414" i="18"/>
  <c r="AA233" i="18"/>
  <c r="AA156" i="18"/>
  <c r="AA92" i="18"/>
  <c r="AA334" i="18"/>
  <c r="AA220" i="18"/>
  <c r="AA137" i="18"/>
  <c r="AA73" i="18"/>
  <c r="AA316" i="18"/>
  <c r="AA206" i="18"/>
  <c r="AA134" i="18"/>
  <c r="AA70" i="18"/>
  <c r="AA360" i="18"/>
  <c r="AA257" i="18"/>
  <c r="AA163" i="18"/>
  <c r="AA99" i="18"/>
  <c r="AA337" i="18"/>
  <c r="AA202" i="18"/>
  <c r="AA128" i="18"/>
  <c r="AA64" i="18"/>
  <c r="AA141" i="18"/>
  <c r="AA170" i="18"/>
  <c r="AA231" i="18"/>
  <c r="AA225" i="18"/>
  <c r="AA350" i="18"/>
  <c r="AA239" i="18"/>
  <c r="AA71" i="18"/>
  <c r="AA77" i="18"/>
  <c r="AA111" i="18"/>
  <c r="AA122" i="18"/>
  <c r="AA302" i="18"/>
  <c r="AA74" i="18"/>
  <c r="AA752" i="18"/>
  <c r="AA705" i="18"/>
  <c r="AA641" i="18"/>
  <c r="AA710" i="18"/>
  <c r="AA745" i="18"/>
  <c r="AA693" i="18"/>
  <c r="AA659" i="18"/>
  <c r="AA685" i="18"/>
  <c r="AA653" i="18"/>
  <c r="AA721" i="18"/>
  <c r="AA717" i="18"/>
  <c r="AA613" i="18"/>
  <c r="AA548" i="18"/>
  <c r="AA577" i="18"/>
  <c r="AA634" i="18"/>
  <c r="AA582" i="18"/>
  <c r="AA656" i="18"/>
  <c r="AA616" i="18"/>
  <c r="AA589" i="18"/>
  <c r="AA729" i="18"/>
  <c r="AA518" i="18"/>
  <c r="AA539" i="18"/>
  <c r="AA642" i="18"/>
  <c r="AA570" i="18"/>
  <c r="AA504" i="18"/>
  <c r="AA517" i="18"/>
  <c r="AA615" i="18"/>
  <c r="AA459" i="18"/>
  <c r="AA587" i="18"/>
  <c r="AA480" i="18"/>
  <c r="AA741" i="18"/>
  <c r="AA485" i="18"/>
  <c r="AA690" i="18"/>
  <c r="AA505" i="18"/>
  <c r="AA434" i="18"/>
  <c r="AA415" i="18"/>
  <c r="AA650" i="18"/>
  <c r="AA412" i="18"/>
  <c r="AA479" i="18"/>
  <c r="AA382" i="18"/>
  <c r="AA397" i="18"/>
  <c r="AA323" i="18"/>
  <c r="AA259" i="18"/>
  <c r="AA195" i="18"/>
  <c r="AA362" i="18"/>
  <c r="AA288" i="18"/>
  <c r="AA224" i="18"/>
  <c r="AA487" i="18"/>
  <c r="AA349" i="18"/>
  <c r="AA285" i="18"/>
  <c r="AA221" i="18"/>
  <c r="AA452" i="18"/>
  <c r="AA346" i="18"/>
  <c r="AA282" i="18"/>
  <c r="AA411" i="18"/>
  <c r="AA319" i="18"/>
  <c r="AA395" i="18"/>
  <c r="AA212" i="18"/>
  <c r="AA148" i="18"/>
  <c r="AA84" i="18"/>
  <c r="AA324" i="18"/>
  <c r="AA199" i="18"/>
  <c r="AA129" i="18"/>
  <c r="AA65" i="18"/>
  <c r="AA289" i="18"/>
  <c r="AA186" i="18"/>
  <c r="AA126" i="18"/>
  <c r="AA62" i="18"/>
  <c r="AA351" i="18"/>
  <c r="AA236" i="18"/>
  <c r="AA155" i="18"/>
  <c r="AA91" i="18"/>
  <c r="AA310" i="18"/>
  <c r="AA201" i="18"/>
  <c r="AA120" i="18"/>
  <c r="AA56" i="18"/>
  <c r="AA114" i="18"/>
  <c r="AA143" i="18"/>
  <c r="AA162" i="18"/>
  <c r="AA209" i="18"/>
  <c r="AA246" i="18"/>
  <c r="AA167" i="18"/>
  <c r="AA52" i="18"/>
  <c r="AA55" i="18"/>
  <c r="AA58" i="18"/>
  <c r="AA313" i="18"/>
  <c r="AA85" i="18"/>
  <c r="AA747" i="18"/>
  <c r="AA697" i="18"/>
  <c r="AA750" i="18"/>
  <c r="AA702" i="18"/>
  <c r="AA732" i="18"/>
  <c r="AA691" i="18"/>
  <c r="AA654" i="18"/>
  <c r="AA684" i="18"/>
  <c r="AA648" i="18"/>
  <c r="AA707" i="18"/>
  <c r="AA714" i="18"/>
  <c r="AA608" i="18"/>
  <c r="AA683" i="18"/>
  <c r="AA569" i="18"/>
  <c r="AA622" i="18"/>
  <c r="AA574" i="18"/>
  <c r="AA647" i="18"/>
  <c r="AA595" i="18"/>
  <c r="AA568" i="18"/>
  <c r="AA671" i="18"/>
  <c r="AA510" i="18"/>
  <c r="AA531" i="18"/>
  <c r="AA614" i="18"/>
  <c r="AA552" i="18"/>
  <c r="AA496" i="18"/>
  <c r="AA509" i="18"/>
  <c r="AA594" i="18"/>
  <c r="AA451" i="18"/>
  <c r="AA560" i="18"/>
  <c r="AA472" i="18"/>
  <c r="AA605" i="18"/>
  <c r="AA477" i="18"/>
  <c r="AA600" i="18"/>
  <c r="AA490" i="18"/>
  <c r="AA426" i="18"/>
  <c r="AA407" i="18"/>
  <c r="AA573" i="18"/>
  <c r="AA404" i="18"/>
  <c r="AA463" i="18"/>
  <c r="AA374" i="18"/>
  <c r="AA376" i="18"/>
  <c r="AA315" i="18"/>
  <c r="AA251" i="18"/>
  <c r="AA187" i="18"/>
  <c r="AA344" i="18"/>
  <c r="AA280" i="18"/>
  <c r="AA216" i="18"/>
  <c r="AA473" i="18"/>
  <c r="AA341" i="18"/>
  <c r="AA277" i="18"/>
  <c r="AA213" i="18"/>
  <c r="AA438" i="18"/>
  <c r="AA338" i="18"/>
  <c r="AA274" i="18"/>
  <c r="AA410" i="18"/>
  <c r="AA311" i="18"/>
  <c r="AA342" i="18"/>
  <c r="AA191" i="18"/>
  <c r="AA140" i="18"/>
  <c r="AA76" i="18"/>
  <c r="AA297" i="18"/>
  <c r="AA198" i="18"/>
  <c r="AA121" i="18"/>
  <c r="AA57" i="18"/>
  <c r="AA271" i="18"/>
  <c r="AA185" i="18"/>
  <c r="AA118" i="18"/>
  <c r="AA54" i="18"/>
  <c r="AA345" i="18"/>
  <c r="AA215" i="18"/>
  <c r="AA147" i="18"/>
  <c r="AA83" i="18"/>
  <c r="AA300" i="18"/>
  <c r="AA176" i="18"/>
  <c r="AA112" i="18"/>
  <c r="AA286" i="18"/>
  <c r="AA470" i="18"/>
  <c r="AA133" i="18"/>
  <c r="AA135" i="18"/>
  <c r="AA154" i="18"/>
  <c r="AA196" i="18"/>
  <c r="AA93" i="18"/>
  <c r="AA268" i="18"/>
  <c r="AA50" i="18"/>
  <c r="AA53" i="18"/>
  <c r="AA217" i="18"/>
  <c r="AA68" i="18"/>
  <c r="AA751" i="18"/>
  <c r="AA742" i="18"/>
  <c r="AA689" i="18"/>
  <c r="AA749" i="18"/>
  <c r="AA694" i="18"/>
  <c r="AA726" i="18"/>
  <c r="AA715" i="18"/>
  <c r="AA635" i="18"/>
  <c r="AA675" i="18"/>
  <c r="AA643" i="18"/>
  <c r="AA688" i="18"/>
  <c r="AA711" i="18"/>
  <c r="AA596" i="18"/>
  <c r="AA672" i="18"/>
  <c r="AA734" i="18"/>
  <c r="AA617" i="18"/>
  <c r="AA566" i="18"/>
  <c r="AA637" i="18"/>
  <c r="AA704" i="18"/>
  <c r="AA567" i="18"/>
  <c r="AA576" i="18"/>
  <c r="AA502" i="18"/>
  <c r="AA523" i="18"/>
  <c r="AA609" i="18"/>
  <c r="AA547" i="18"/>
  <c r="AA579" i="18"/>
  <c r="AA501" i="18"/>
  <c r="AA514" i="18"/>
  <c r="AA443" i="18"/>
  <c r="AA555" i="18"/>
  <c r="AA464" i="18"/>
  <c r="AA581" i="18"/>
  <c r="AA469" i="18"/>
  <c r="AA562" i="18"/>
  <c r="AA482" i="18"/>
  <c r="AA506" i="18"/>
  <c r="AA396" i="18"/>
  <c r="AA497" i="18"/>
  <c r="AA393" i="18"/>
  <c r="AA447" i="18"/>
  <c r="AA366" i="18"/>
  <c r="AA375" i="18"/>
  <c r="AA307" i="18"/>
  <c r="AA243" i="18"/>
  <c r="AA471" i="18"/>
  <c r="AA336" i="18"/>
  <c r="AA272" i="18"/>
  <c r="AA208" i="18"/>
  <c r="AA436" i="18"/>
  <c r="AA333" i="18"/>
  <c r="AA269" i="18"/>
  <c r="AA205" i="18"/>
  <c r="AA422" i="18"/>
  <c r="AA330" i="18"/>
  <c r="AA625" i="18"/>
  <c r="AA387" i="18"/>
  <c r="AA303" i="18"/>
  <c r="AA332" i="18"/>
  <c r="AA190" i="18"/>
  <c r="AA132" i="18"/>
  <c r="AA561" i="18"/>
  <c r="AA278" i="18"/>
  <c r="AA177" i="18"/>
  <c r="AA113" i="18"/>
  <c r="AA460" i="18"/>
  <c r="AA270" i="18"/>
  <c r="AA174" i="18"/>
  <c r="AA110" i="18"/>
  <c r="AA559" i="18"/>
  <c r="AA318" i="18"/>
  <c r="AA214" i="18"/>
  <c r="AA139" i="18"/>
  <c r="AA75" i="18"/>
  <c r="AA266" i="18"/>
  <c r="AA168" i="18"/>
  <c r="AA104" i="18"/>
  <c r="AA260" i="18"/>
  <c r="AA439" i="18"/>
  <c r="AA106" i="18"/>
  <c r="AA125" i="18"/>
  <c r="AA127" i="18"/>
  <c r="AA175" i="18"/>
  <c r="AA82" i="18"/>
  <c r="AA218" i="18"/>
  <c r="AA49" i="18"/>
  <c r="AA48" i="18"/>
  <c r="AA130" i="18"/>
  <c r="AA157" i="18"/>
  <c r="AA743" i="18"/>
  <c r="AA737" i="18"/>
  <c r="AA681" i="18"/>
  <c r="AA740" i="18"/>
  <c r="AA686" i="18"/>
  <c r="AA700" i="18"/>
  <c r="AA712" i="18"/>
  <c r="AA627" i="18"/>
  <c r="AA674" i="18"/>
  <c r="AA638" i="18"/>
  <c r="AA687" i="18"/>
  <c r="AA708" i="18"/>
  <c r="AA588" i="18"/>
  <c r="AA660" i="18"/>
  <c r="AA719" i="18"/>
  <c r="AA612" i="18"/>
  <c r="AA558" i="18"/>
  <c r="AA636" i="18"/>
  <c r="AA630" i="18"/>
  <c r="AA554" i="18"/>
  <c r="AA575" i="18"/>
  <c r="AA494" i="18"/>
  <c r="AA515" i="18"/>
  <c r="AA604" i="18"/>
  <c r="AA544" i="18"/>
  <c r="AA578" i="18"/>
  <c r="AA682" i="18"/>
  <c r="AA498" i="18"/>
  <c r="AA435" i="18"/>
  <c r="AA546" i="18"/>
  <c r="AA456" i="18"/>
  <c r="AA565" i="18"/>
  <c r="AA461" i="18"/>
  <c r="AA557" i="18"/>
  <c r="AA474" i="18"/>
  <c r="AA500" i="18"/>
  <c r="AA388" i="18"/>
  <c r="AA478" i="18"/>
  <c r="AA385" i="18"/>
  <c r="AA431" i="18"/>
  <c r="AA358" i="18"/>
  <c r="AA355" i="18"/>
  <c r="AA299" i="18"/>
  <c r="AA235" i="18"/>
  <c r="AA457" i="18"/>
  <c r="AA328" i="18"/>
  <c r="AA264" i="18"/>
  <c r="AA200" i="18"/>
  <c r="AA416" i="18"/>
  <c r="AA325" i="18"/>
  <c r="AA261" i="18"/>
  <c r="AA197" i="18"/>
  <c r="AA403" i="18"/>
  <c r="AA322" i="18"/>
  <c r="AA586" i="18"/>
  <c r="AA386" i="18"/>
  <c r="AA295" i="18"/>
  <c r="AA305" i="18"/>
  <c r="AA182" i="18"/>
  <c r="AA124" i="18"/>
  <c r="AA519" i="18"/>
  <c r="AA263" i="18"/>
  <c r="AA169" i="18"/>
  <c r="AA105" i="18"/>
  <c r="AA423" i="18"/>
  <c r="AA250" i="18"/>
  <c r="AA166" i="18"/>
  <c r="AA102" i="18"/>
  <c r="AA532" i="18"/>
  <c r="AA308" i="18"/>
  <c r="AA194" i="18"/>
  <c r="AA131" i="18"/>
  <c r="AA67" i="18"/>
  <c r="AA265" i="18"/>
  <c r="AA160" i="18"/>
  <c r="AA96" i="18"/>
  <c r="AA226" i="18"/>
  <c r="AA321" i="18"/>
  <c r="AA405" i="18"/>
  <c r="AA98" i="18"/>
  <c r="AA117" i="18"/>
  <c r="AA101" i="18"/>
  <c r="AA476" i="18"/>
  <c r="AA173" i="18"/>
  <c r="AA292" i="18"/>
  <c r="AA103" i="18"/>
  <c r="AA340" i="18"/>
  <c r="AA273" i="18"/>
  <c r="AA735" i="18"/>
  <c r="AA733" i="18"/>
  <c r="AA673" i="18"/>
  <c r="AA739" i="18"/>
  <c r="AA678" i="18"/>
  <c r="AA698" i="18"/>
  <c r="AA709" i="18"/>
  <c r="AA619" i="18"/>
  <c r="AA706" i="18"/>
  <c r="AA629" i="18"/>
  <c r="AA677" i="18"/>
  <c r="AA670" i="18"/>
  <c r="AA580" i="18"/>
  <c r="AA655" i="18"/>
  <c r="AA716" i="18"/>
  <c r="AA607" i="18"/>
  <c r="AA699" i="18"/>
  <c r="AA633" i="18"/>
  <c r="AA628" i="18"/>
  <c r="AA549" i="18"/>
  <c r="AA553" i="18"/>
  <c r="AA640" i="18"/>
  <c r="AA507" i="18"/>
  <c r="AA599" i="18"/>
  <c r="AA536" i="18"/>
  <c r="AA563" i="18"/>
  <c r="AA620" i="18"/>
  <c r="AA491" i="18"/>
  <c r="AA427" i="18"/>
  <c r="AA527" i="18"/>
  <c r="AA448" i="18"/>
  <c r="AA538" i="18"/>
  <c r="AA453" i="18"/>
  <c r="AA550" i="18"/>
  <c r="AA466" i="18"/>
  <c r="AA481" i="18"/>
  <c r="AA380" i="18"/>
  <c r="AA462" i="18"/>
  <c r="AA377" i="18"/>
  <c r="AA417" i="18"/>
  <c r="AA492" i="18"/>
  <c r="AA354" i="18"/>
  <c r="AA291" i="18"/>
  <c r="AA227" i="18"/>
  <c r="AA408" i="18"/>
  <c r="AA320" i="18"/>
  <c r="AA256" i="18"/>
  <c r="AA192" i="18"/>
  <c r="AA392" i="18"/>
  <c r="AA317" i="18"/>
  <c r="AA253" i="18"/>
  <c r="AA189" i="18"/>
  <c r="AA402" i="18"/>
  <c r="AA314" i="18"/>
  <c r="AA543" i="18"/>
  <c r="AA365" i="18"/>
  <c r="AA287" i="18"/>
  <c r="AA255" i="18"/>
  <c r="AA180" i="18"/>
  <c r="AA116" i="18"/>
  <c r="AA486" i="18"/>
  <c r="AA262" i="18"/>
  <c r="AA161" i="18"/>
  <c r="AA97" i="18"/>
  <c r="AA419" i="18"/>
  <c r="AA249" i="18"/>
  <c r="AA158" i="18"/>
  <c r="AA94" i="18"/>
  <c r="AA484" i="18"/>
  <c r="AA281" i="18"/>
  <c r="AA193" i="18"/>
  <c r="AA123" i="18"/>
  <c r="AA59" i="18"/>
  <c r="AA244" i="18"/>
  <c r="AA152" i="18"/>
  <c r="AA88" i="18"/>
  <c r="AA210" i="18"/>
  <c r="AA238" i="18"/>
  <c r="AA352" i="18"/>
  <c r="AA368" i="18"/>
  <c r="AA90" i="18"/>
  <c r="AA87" i="18"/>
  <c r="AA348" i="18"/>
  <c r="AA146" i="18"/>
  <c r="AA230" i="18"/>
  <c r="AA66" i="18"/>
  <c r="AA109" i="18"/>
  <c r="AA79" i="18"/>
  <c r="AA738" i="18"/>
  <c r="AA748" i="18"/>
  <c r="AA665" i="18"/>
  <c r="AA727" i="18"/>
  <c r="AA731" i="18"/>
  <c r="AA696" i="18"/>
  <c r="AA692" i="18"/>
  <c r="AA611" i="18"/>
  <c r="AA668" i="18"/>
  <c r="AA746" i="18"/>
  <c r="AA676" i="18"/>
  <c r="AA651" i="18"/>
  <c r="AA572" i="18"/>
  <c r="AA644" i="18"/>
  <c r="AA652" i="18"/>
  <c r="AA602" i="18"/>
  <c r="AA680" i="18"/>
  <c r="AA632" i="18"/>
  <c r="AA626" i="18"/>
  <c r="AA545" i="18"/>
  <c r="AA542" i="18"/>
  <c r="AA624" i="18"/>
  <c r="AA499" i="18"/>
  <c r="AA592" i="18"/>
  <c r="AA528" i="18"/>
  <c r="AA541" i="18"/>
  <c r="AA551" i="18"/>
  <c r="AA483" i="18"/>
  <c r="AA639" i="18"/>
  <c r="AA511" i="18"/>
  <c r="AA440" i="18"/>
  <c r="AA524" i="18"/>
  <c r="AA445" i="18"/>
  <c r="AA540" i="18"/>
  <c r="AA458" i="18"/>
  <c r="AA465" i="18"/>
  <c r="AA372" i="18"/>
  <c r="AA446" i="18"/>
  <c r="AA369" i="18"/>
  <c r="AA409" i="18"/>
  <c r="AA455" i="18"/>
  <c r="AA347" i="18"/>
  <c r="AA283" i="18"/>
  <c r="AA219" i="18"/>
  <c r="AA384" i="18"/>
  <c r="AA312" i="18"/>
  <c r="AA248" i="18"/>
  <c r="AA184" i="18"/>
  <c r="AA391" i="18"/>
  <c r="AA309" i="18"/>
  <c r="AA245" i="18"/>
  <c r="AA181" i="18"/>
  <c r="AA379" i="18"/>
  <c r="AA306" i="18"/>
  <c r="AA468" i="18"/>
  <c r="AA343" i="18"/>
  <c r="AA279" i="18"/>
  <c r="AA254" i="18"/>
  <c r="AA172" i="18"/>
  <c r="AA108" i="18"/>
  <c r="AA389" i="18"/>
  <c r="AA242" i="18"/>
  <c r="AA153" i="18"/>
  <c r="AA89" i="18"/>
  <c r="AA367" i="18"/>
  <c r="AA228" i="18"/>
  <c r="AA150" i="18"/>
  <c r="AA86" i="18"/>
  <c r="AA413" i="18"/>
  <c r="AA276" i="18"/>
  <c r="AA179" i="18"/>
  <c r="AA115" i="18"/>
  <c r="AA51" i="18"/>
  <c r="AA223" i="18"/>
  <c r="AA144" i="18"/>
  <c r="AA80" i="18"/>
  <c r="AA178" i="18"/>
  <c r="AA204" i="18"/>
  <c r="AA284" i="18"/>
  <c r="AA359" i="18"/>
  <c r="AA60" i="18"/>
  <c r="AA69" i="18"/>
  <c r="AA183" i="18"/>
  <c r="AA119" i="18"/>
  <c r="AA165" i="18"/>
  <c r="AA61" i="18"/>
  <c r="AA418" i="18"/>
  <c r="AA63" i="18"/>
  <c r="AA728" i="18"/>
  <c r="AA723" i="18"/>
  <c r="AA657" i="18"/>
  <c r="AA722" i="18"/>
  <c r="AA725" i="18"/>
  <c r="AA736" i="18"/>
  <c r="AA669" i="18"/>
  <c r="AA603" i="18"/>
  <c r="AA663" i="18"/>
  <c r="AA744" i="18"/>
  <c r="AA667" i="18"/>
  <c r="AA623" i="18"/>
  <c r="AA564" i="18"/>
  <c r="AA593" i="18"/>
  <c r="AA646" i="18"/>
  <c r="AA598" i="18"/>
  <c r="AA666" i="18"/>
  <c r="AA631" i="18"/>
  <c r="AA606" i="18"/>
  <c r="AA537" i="18"/>
  <c r="AA534" i="18"/>
  <c r="AA584" i="18"/>
  <c r="AA703" i="18"/>
  <c r="AA591" i="18"/>
  <c r="AA520" i="18"/>
  <c r="AA533" i="18"/>
  <c r="AA535" i="18"/>
  <c r="AA475" i="18"/>
  <c r="AA610" i="18"/>
  <c r="AA495" i="18"/>
  <c r="AA432" i="18"/>
  <c r="AA508" i="18"/>
  <c r="AA437" i="18"/>
  <c r="AA530" i="18"/>
  <c r="AA450" i="18"/>
  <c r="AA449" i="18"/>
  <c r="AA364" i="18"/>
  <c r="AA430" i="18"/>
  <c r="AA361" i="18"/>
  <c r="AA398" i="18"/>
  <c r="AA441" i="18"/>
  <c r="AA339" i="18"/>
  <c r="AA275" i="18"/>
  <c r="AA211" i="18"/>
  <c r="AA383" i="18"/>
  <c r="AA304" i="18"/>
  <c r="AA240" i="18"/>
  <c r="AA522" i="18"/>
  <c r="AA371" i="18"/>
  <c r="AA301" i="18"/>
  <c r="AA237" i="18"/>
  <c r="AA503" i="18"/>
  <c r="AA378" i="18"/>
  <c r="AA298" i="18"/>
  <c r="AA454" i="18"/>
  <c r="AA335" i="18"/>
  <c r="AA425" i="18"/>
  <c r="AA234" i="18"/>
  <c r="AA164" i="18"/>
  <c r="AA100" i="18"/>
  <c r="AA373" i="18"/>
  <c r="AA241" i="18"/>
  <c r="AA145" i="18"/>
  <c r="AA81" i="18"/>
  <c r="AA326" i="18"/>
  <c r="AA207" i="18"/>
  <c r="AA142" i="18"/>
  <c r="AA78" i="18"/>
  <c r="AA394" i="18"/>
  <c r="AA258" i="18"/>
  <c r="AA171" i="18"/>
  <c r="AA107" i="18"/>
  <c r="AA406" i="18"/>
  <c r="AA222" i="18"/>
  <c r="AA136" i="18"/>
  <c r="AA72" i="18"/>
  <c r="AA151" i="18"/>
  <c r="AA188" i="18"/>
  <c r="AA247" i="18"/>
  <c r="AA294" i="18"/>
  <c r="AA381" i="18"/>
  <c r="AA444" i="18"/>
  <c r="AA159" i="18"/>
  <c r="AA95" i="18"/>
  <c r="AA138" i="18"/>
  <c r="AA252" i="18"/>
  <c r="AA149" i="18"/>
  <c r="AA329" i="18"/>
  <c r="AE38" i="18"/>
  <c r="AD820" i="18"/>
  <c r="AD768" i="18"/>
  <c r="AD811" i="18"/>
  <c r="AD875" i="18"/>
  <c r="AD767" i="18"/>
  <c r="AD776" i="18"/>
  <c r="AD825" i="18"/>
  <c r="AD786" i="18"/>
  <c r="AD899" i="18"/>
  <c r="AD843" i="18"/>
  <c r="AD891" i="18"/>
  <c r="AD859" i="18"/>
  <c r="AD934" i="18"/>
  <c r="AD910" i="18"/>
  <c r="AD903" i="18"/>
  <c r="AD968" i="18"/>
  <c r="AD950" i="18"/>
  <c r="AD858" i="18"/>
  <c r="AD924" i="18"/>
  <c r="AD853" i="18"/>
  <c r="AD956" i="18"/>
  <c r="AD931" i="18"/>
  <c r="AD846" i="18"/>
  <c r="AD999" i="18"/>
  <c r="AD1058" i="18"/>
  <c r="AD958" i="18"/>
  <c r="AD1057" i="18"/>
  <c r="AD856" i="18"/>
  <c r="AD975" i="18"/>
  <c r="AD1035" i="18"/>
  <c r="AD966" i="18"/>
  <c r="AD1034" i="18"/>
  <c r="AD995" i="18"/>
  <c r="AD1062" i="18"/>
  <c r="AD945" i="18"/>
  <c r="AD1043" i="18"/>
  <c r="AD1099" i="18"/>
  <c r="AD1050" i="18"/>
  <c r="AD1001" i="18"/>
  <c r="AD1041" i="18"/>
  <c r="AD1100" i="18"/>
  <c r="AD759" i="18"/>
  <c r="AD827" i="18"/>
  <c r="AD774" i="18"/>
  <c r="AD815" i="18"/>
  <c r="AD765" i="18"/>
  <c r="AD792" i="18"/>
  <c r="AD782" i="18"/>
  <c r="AD829" i="18"/>
  <c r="AD789" i="18"/>
  <c r="AD906" i="18"/>
  <c r="AD848" i="18"/>
  <c r="AD898" i="18"/>
  <c r="AD882" i="18"/>
  <c r="AD809" i="18"/>
  <c r="AD925" i="18"/>
  <c r="AD905" i="18"/>
  <c r="AD980" i="18"/>
  <c r="AD959" i="18"/>
  <c r="AD873" i="18"/>
  <c r="AD940" i="18"/>
  <c r="AD904" i="18"/>
  <c r="AD964" i="18"/>
  <c r="AD939" i="18"/>
  <c r="AD855" i="18"/>
  <c r="AD1008" i="18"/>
  <c r="AD1068" i="18"/>
  <c r="AD981" i="18"/>
  <c r="AD1067" i="18"/>
  <c r="AD865" i="18"/>
  <c r="AD993" i="18"/>
  <c r="AD1036" i="18"/>
  <c r="AD970" i="18"/>
  <c r="AD1045" i="18"/>
  <c r="AD1003" i="18"/>
  <c r="AD1063" i="18"/>
  <c r="AD974" i="18"/>
  <c r="AD1053" i="18"/>
  <c r="AD1101" i="18"/>
  <c r="AD832" i="18"/>
  <c r="AD1079" i="18"/>
  <c r="AD1096" i="18"/>
  <c r="AD1055" i="18"/>
  <c r="AD772" i="18"/>
  <c r="AD833" i="18"/>
  <c r="AD781" i="18"/>
  <c r="AD823" i="18"/>
  <c r="AD771" i="18"/>
  <c r="AD800" i="18"/>
  <c r="AD788" i="18"/>
  <c r="AD842" i="18"/>
  <c r="AD803" i="18"/>
  <c r="AD915" i="18"/>
  <c r="AD860" i="18"/>
  <c r="AD766" i="18"/>
  <c r="AD888" i="18"/>
  <c r="AD819" i="18"/>
  <c r="AD933" i="18"/>
  <c r="AD920" i="18"/>
  <c r="AD988" i="18"/>
  <c r="AD967" i="18"/>
  <c r="AD880" i="18"/>
  <c r="AD948" i="18"/>
  <c r="AD909" i="18"/>
  <c r="AD784" i="18"/>
  <c r="AD946" i="18"/>
  <c r="AD886" i="18"/>
  <c r="AD1018" i="18"/>
  <c r="AD1077" i="18"/>
  <c r="AD998" i="18"/>
  <c r="AD1076" i="18"/>
  <c r="AD890" i="18"/>
  <c r="AD997" i="18"/>
  <c r="AD1037" i="18"/>
  <c r="AD972" i="18"/>
  <c r="AD817" i="18"/>
  <c r="AD1004" i="18"/>
  <c r="AD1073" i="18"/>
  <c r="AD982" i="18"/>
  <c r="AD1061" i="18"/>
  <c r="AD976" i="18"/>
  <c r="AD1042" i="18"/>
  <c r="AD1097" i="18"/>
  <c r="AD1029" i="18"/>
  <c r="AD1084" i="18"/>
  <c r="AD779" i="18"/>
  <c r="AD834" i="18"/>
  <c r="AD757" i="18"/>
  <c r="AD836" i="18"/>
  <c r="AD777" i="18"/>
  <c r="AD804" i="18"/>
  <c r="AD761" i="18"/>
  <c r="AD851" i="18"/>
  <c r="AD813" i="18"/>
  <c r="AD922" i="18"/>
  <c r="AD866" i="18"/>
  <c r="AD769" i="18"/>
  <c r="AD895" i="18"/>
  <c r="AD824" i="18"/>
  <c r="AD812" i="18"/>
  <c r="AD935" i="18"/>
  <c r="AD790" i="18"/>
  <c r="AD977" i="18"/>
  <c r="AD896" i="18"/>
  <c r="AD957" i="18"/>
  <c r="AD919" i="18"/>
  <c r="AD796" i="18"/>
  <c r="AD954" i="18"/>
  <c r="AD889" i="18"/>
  <c r="AD1026" i="18"/>
  <c r="AD1087" i="18"/>
  <c r="AD1007" i="18"/>
  <c r="AD1086" i="18"/>
  <c r="AD893" i="18"/>
  <c r="AD1006" i="18"/>
  <c r="AD1046" i="18"/>
  <c r="AD990" i="18"/>
  <c r="AD826" i="18"/>
  <c r="AD1012" i="18"/>
  <c r="AD1083" i="18"/>
  <c r="AD992" i="18"/>
  <c r="AD1071" i="18"/>
  <c r="AD1060" i="18"/>
  <c r="AD908" i="18"/>
  <c r="AD1103" i="18"/>
  <c r="AD1104" i="18"/>
  <c r="AD1075" i="18"/>
  <c r="AD1085" i="18"/>
  <c r="AD1051" i="18"/>
  <c r="AD1019" i="18"/>
  <c r="AD756" i="18"/>
  <c r="AD1102" i="18"/>
  <c r="AD785" i="18"/>
  <c r="AD841" i="18"/>
  <c r="AD760" i="18"/>
  <c r="AD840" i="18"/>
  <c r="AD780" i="18"/>
  <c r="AD758" i="18"/>
  <c r="AD795" i="18"/>
  <c r="AD857" i="18"/>
  <c r="AD838" i="18"/>
  <c r="AD930" i="18"/>
  <c r="AD869" i="18"/>
  <c r="AD802" i="18"/>
  <c r="AD902" i="18"/>
  <c r="AD831" i="18"/>
  <c r="AD852" i="18"/>
  <c r="AD937" i="18"/>
  <c r="AD828" i="18"/>
  <c r="AD978" i="18"/>
  <c r="AD900" i="18"/>
  <c r="AD965" i="18"/>
  <c r="AD921" i="18"/>
  <c r="AD822" i="18"/>
  <c r="AD963" i="18"/>
  <c r="AD941" i="18"/>
  <c r="AD1027" i="18"/>
  <c r="AD1095" i="18"/>
  <c r="AD1017" i="18"/>
  <c r="AD1094" i="18"/>
  <c r="AD916" i="18"/>
  <c r="AD1014" i="18"/>
  <c r="AD897" i="18"/>
  <c r="AD996" i="18"/>
  <c r="AD835" i="18"/>
  <c r="AD1022" i="18"/>
  <c r="AD1091" i="18"/>
  <c r="AD1002" i="18"/>
  <c r="AD1072" i="18"/>
  <c r="AD1070" i="18"/>
  <c r="AD1092" i="18"/>
  <c r="AD1020" i="18"/>
  <c r="AD1088" i="18"/>
  <c r="AD1081" i="18"/>
  <c r="AD1065" i="18"/>
  <c r="AD1049" i="18"/>
  <c r="AD791" i="18"/>
  <c r="AD847" i="18"/>
  <c r="AD763" i="18"/>
  <c r="AD844" i="18"/>
  <c r="AD783" i="18"/>
  <c r="AD764" i="18"/>
  <c r="AD799" i="18"/>
  <c r="AD864" i="18"/>
  <c r="AD863" i="18"/>
  <c r="AD808" i="18"/>
  <c r="AD872" i="18"/>
  <c r="AD814" i="18"/>
  <c r="AD911" i="18"/>
  <c r="AD881" i="18"/>
  <c r="AD867" i="18"/>
  <c r="AD943" i="18"/>
  <c r="AD862" i="18"/>
  <c r="AD979" i="18"/>
  <c r="AD907" i="18"/>
  <c r="AD775" i="18"/>
  <c r="AD936" i="18"/>
  <c r="AD861" i="18"/>
  <c r="AD973" i="18"/>
  <c r="AD969" i="18"/>
  <c r="AD1039" i="18"/>
  <c r="AD794" i="18"/>
  <c r="AD1025" i="18"/>
  <c r="AD1105" i="18"/>
  <c r="AD927" i="18"/>
  <c r="AD1015" i="18"/>
  <c r="AD913" i="18"/>
  <c r="AD1005" i="18"/>
  <c r="AD928" i="18"/>
  <c r="AD1033" i="18"/>
  <c r="AD849" i="18"/>
  <c r="AD1011" i="18"/>
  <c r="AD1080" i="18"/>
  <c r="AD1056" i="18"/>
  <c r="AD1078" i="18"/>
  <c r="AD1093" i="18"/>
  <c r="AD1009" i="18"/>
  <c r="AD798" i="18"/>
  <c r="AD755" i="18"/>
  <c r="AD797" i="18"/>
  <c r="AD854" i="18"/>
  <c r="AD793" i="18"/>
  <c r="AD770" i="18"/>
  <c r="AD807" i="18"/>
  <c r="AD870" i="18"/>
  <c r="AD885" i="18"/>
  <c r="AD818" i="18"/>
  <c r="AD878" i="18"/>
  <c r="AD837" i="18"/>
  <c r="AD918" i="18"/>
  <c r="AD887" i="18"/>
  <c r="AD879" i="18"/>
  <c r="AD951" i="18"/>
  <c r="AD932" i="18"/>
  <c r="AD987" i="18"/>
  <c r="AD912" i="18"/>
  <c r="AD787" i="18"/>
  <c r="AD947" i="18"/>
  <c r="AD871" i="18"/>
  <c r="AD983" i="18"/>
  <c r="AD971" i="18"/>
  <c r="AD1040" i="18"/>
  <c r="AD806" i="18"/>
  <c r="AD1038" i="18"/>
  <c r="AD778" i="18"/>
  <c r="AD944" i="18"/>
  <c r="AD1016" i="18"/>
  <c r="AD923" i="18"/>
  <c r="AD1013" i="18"/>
  <c r="AD952" i="18"/>
  <c r="AD1044" i="18"/>
  <c r="AD901" i="18"/>
  <c r="AD1021" i="18"/>
  <c r="AD1082" i="18"/>
  <c r="AD1066" i="18"/>
  <c r="AD938" i="18"/>
  <c r="AD962" i="18"/>
  <c r="AD1010" i="18"/>
  <c r="AD1089" i="18"/>
  <c r="AD1069" i="18"/>
  <c r="AD868" i="18"/>
  <c r="AD839" i="18"/>
  <c r="AD845" i="18"/>
  <c r="AD816" i="18"/>
  <c r="AD1032" i="18"/>
  <c r="AD1052" i="18"/>
  <c r="AD1064" i="18"/>
  <c r="AD801" i="18"/>
  <c r="AD926" i="18"/>
  <c r="AD955" i="18"/>
  <c r="AD949" i="18"/>
  <c r="AD1090" i="18"/>
  <c r="AD1030" i="18"/>
  <c r="AD773" i="18"/>
  <c r="AD894" i="18"/>
  <c r="AD876" i="18"/>
  <c r="AD1024" i="18"/>
  <c r="AD821" i="18"/>
  <c r="AD883" i="18"/>
  <c r="AD991" i="18"/>
  <c r="AD961" i="18"/>
  <c r="AD877" i="18"/>
  <c r="AD960" i="18"/>
  <c r="AD986" i="18"/>
  <c r="AD1023" i="18"/>
  <c r="AD994" i="18"/>
  <c r="AD1059" i="18"/>
  <c r="AD1074" i="18"/>
  <c r="AD805" i="18"/>
  <c r="AD892" i="18"/>
  <c r="AD942" i="18"/>
  <c r="AD1048" i="18"/>
  <c r="AD985" i="18"/>
  <c r="AD953" i="18"/>
  <c r="AD762" i="18"/>
  <c r="AD830" i="18"/>
  <c r="AD850" i="18"/>
  <c r="AD874" i="18"/>
  <c r="AD1054" i="18"/>
  <c r="AD1000" i="18"/>
  <c r="AD914" i="18"/>
  <c r="AD1047" i="18"/>
  <c r="AD917" i="18"/>
  <c r="AD810" i="18"/>
  <c r="AD884" i="18"/>
  <c r="AD984" i="18"/>
  <c r="AD1028" i="18"/>
  <c r="AD989" i="18"/>
  <c r="AD1098" i="18"/>
  <c r="AD1031" i="18"/>
  <c r="AD929" i="18"/>
  <c r="AJ88" i="5"/>
  <c r="AE107" i="5" s="1"/>
  <c r="AE6" i="5" s="1"/>
  <c r="AK88" i="5"/>
  <c r="AE108" i="5" s="1"/>
  <c r="AI88" i="5"/>
  <c r="AE106" i="5" s="1"/>
  <c r="AQ32" i="4"/>
  <c r="AP31" i="4"/>
  <c r="AN88" i="5"/>
  <c r="AE110" i="5" s="1"/>
  <c r="AM88" i="5"/>
  <c r="AE109" i="5" s="1"/>
  <c r="AO88" i="5"/>
  <c r="AE111" i="5" s="1"/>
  <c r="AQ36" i="4"/>
  <c r="AR34" i="4"/>
  <c r="AR35" i="4" s="1"/>
  <c r="O70" i="26" l="1"/>
  <c r="AV19" i="5"/>
  <c r="H264" i="26"/>
  <c r="I263" i="26"/>
  <c r="H263" i="26"/>
  <c r="I262" i="26"/>
  <c r="K241" i="26"/>
  <c r="N241" i="26"/>
  <c r="H241" i="26"/>
  <c r="L240" i="26"/>
  <c r="I240" i="26"/>
  <c r="O240" i="26"/>
  <c r="E241" i="26"/>
  <c r="F240" i="26"/>
  <c r="AH24" i="5"/>
  <c r="AG25" i="5"/>
  <c r="AJ7" i="18"/>
  <c r="AI13" i="18"/>
  <c r="AJ6" i="18"/>
  <c r="AI12" i="18"/>
  <c r="AJ8" i="18"/>
  <c r="AI14" i="18"/>
  <c r="AI5" i="18"/>
  <c r="AH11" i="18"/>
  <c r="AJ9" i="18"/>
  <c r="AI15" i="18"/>
  <c r="AE11" i="5" a="1"/>
  <c r="AE11" i="5" s="1"/>
  <c r="AD9" i="5"/>
  <c r="AD10" i="5" s="1"/>
  <c r="AD32" i="5" s="1"/>
  <c r="AV22" i="5"/>
  <c r="AW16" i="5"/>
  <c r="AW21" i="5" s="1"/>
  <c r="AV18" i="5"/>
  <c r="AB733" i="18"/>
  <c r="AB722" i="18"/>
  <c r="AB662" i="18"/>
  <c r="AB699" i="18"/>
  <c r="AB697" i="18"/>
  <c r="AB701" i="18"/>
  <c r="AB632" i="18"/>
  <c r="AB663" i="18"/>
  <c r="AB676" i="18"/>
  <c r="AB716" i="18"/>
  <c r="AB660" i="18"/>
  <c r="AB553" i="18"/>
  <c r="AB607" i="18"/>
  <c r="AB680" i="18"/>
  <c r="AB633" i="18"/>
  <c r="AB555" i="18"/>
  <c r="AB606" i="18"/>
  <c r="AB709" i="18"/>
  <c r="AB523" i="18"/>
  <c r="AB614" i="18"/>
  <c r="AB547" i="18"/>
  <c r="AB714" i="18"/>
  <c r="AB517" i="18"/>
  <c r="AB610" i="18"/>
  <c r="AB551" i="18"/>
  <c r="AB711" i="18"/>
  <c r="AB669" i="18"/>
  <c r="AB488" i="18"/>
  <c r="AB424" i="18"/>
  <c r="AB469" i="18"/>
  <c r="AB540" i="18"/>
  <c r="AB450" i="18"/>
  <c r="AB518" i="18"/>
  <c r="AB439" i="18"/>
  <c r="AB446" i="18"/>
  <c r="AB369" i="18"/>
  <c r="AB459" i="18"/>
  <c r="AB374" i="18"/>
  <c r="AB428" i="18"/>
  <c r="AB355" i="18"/>
  <c r="AB384" i="18"/>
  <c r="AB304" i="18"/>
  <c r="AB240" i="18"/>
  <c r="AB613" i="18"/>
  <c r="AB370" i="18"/>
  <c r="AB293" i="18"/>
  <c r="AB229" i="18"/>
  <c r="AB554" i="18"/>
  <c r="AB378" i="18"/>
  <c r="AB306" i="18"/>
  <c r="AB242" i="18"/>
  <c r="AB543" i="18"/>
  <c r="AB343" i="18"/>
  <c r="AB279" i="18"/>
  <c r="AB372" i="18"/>
  <c r="AB300" i="18"/>
  <c r="AB334" i="18"/>
  <c r="AB219" i="18"/>
  <c r="AB137" i="18"/>
  <c r="AB73" i="18"/>
  <c r="AB249" i="18"/>
  <c r="AB158" i="18"/>
  <c r="AB94" i="18"/>
  <c r="AB467" i="18"/>
  <c r="AB291" i="18"/>
  <c r="AB193" i="18"/>
  <c r="AB123" i="18"/>
  <c r="AB59" i="18"/>
  <c r="AB310" i="18"/>
  <c r="AB176" i="18"/>
  <c r="AB112" i="18"/>
  <c r="AB465" i="18"/>
  <c r="AB251" i="18"/>
  <c r="AB157" i="18"/>
  <c r="AB93" i="18"/>
  <c r="AB321" i="18"/>
  <c r="AB106" i="18"/>
  <c r="AB108" i="18"/>
  <c r="AB191" i="18"/>
  <c r="AB315" i="18"/>
  <c r="AB57" i="18"/>
  <c r="AB132" i="18"/>
  <c r="AB151" i="18"/>
  <c r="AB138" i="18"/>
  <c r="AB181" i="18"/>
  <c r="AB114" i="18"/>
  <c r="AB76" i="18"/>
  <c r="AB725" i="18"/>
  <c r="AB718" i="18"/>
  <c r="AB654" i="18"/>
  <c r="AB691" i="18"/>
  <c r="AB695" i="18"/>
  <c r="AB685" i="18"/>
  <c r="AB624" i="18"/>
  <c r="AB658" i="18"/>
  <c r="AB667" i="18"/>
  <c r="AB713" i="18"/>
  <c r="AB655" i="18"/>
  <c r="AB720" i="18"/>
  <c r="AB602" i="18"/>
  <c r="AB666" i="18"/>
  <c r="AB631" i="18"/>
  <c r="AB743" i="18"/>
  <c r="AB601" i="18"/>
  <c r="AB664" i="18"/>
  <c r="AB515" i="18"/>
  <c r="AB609" i="18"/>
  <c r="AB544" i="18"/>
  <c r="AB708" i="18"/>
  <c r="AB509" i="18"/>
  <c r="AB605" i="18"/>
  <c r="AB546" i="18"/>
  <c r="AB641" i="18"/>
  <c r="AB588" i="18"/>
  <c r="AB480" i="18"/>
  <c r="AB659" i="18"/>
  <c r="AB461" i="18"/>
  <c r="AB521" i="18"/>
  <c r="AB442" i="18"/>
  <c r="AB502" i="18"/>
  <c r="AB431" i="18"/>
  <c r="AB430" i="18"/>
  <c r="AB361" i="18"/>
  <c r="AB443" i="18"/>
  <c r="AB366" i="18"/>
  <c r="AB414" i="18"/>
  <c r="AB717" i="18"/>
  <c r="AB383" i="18"/>
  <c r="AB296" i="18"/>
  <c r="AB232" i="18"/>
  <c r="AB516" i="18"/>
  <c r="AB349" i="18"/>
  <c r="AB285" i="18"/>
  <c r="AB221" i="18"/>
  <c r="AB503" i="18"/>
  <c r="AB357" i="18"/>
  <c r="AB298" i="18"/>
  <c r="AB234" i="18"/>
  <c r="AB468" i="18"/>
  <c r="AB335" i="18"/>
  <c r="AB484" i="18"/>
  <c r="AB352" i="18"/>
  <c r="AB292" i="18"/>
  <c r="AB307" i="18"/>
  <c r="AB199" i="18"/>
  <c r="AB129" i="18"/>
  <c r="AB367" i="18"/>
  <c r="AB228" i="18"/>
  <c r="AB150" i="18"/>
  <c r="AB86" i="18"/>
  <c r="AB435" i="18"/>
  <c r="AB281" i="18"/>
  <c r="AB179" i="18"/>
  <c r="AB115" i="18"/>
  <c r="AB51" i="18"/>
  <c r="AB283" i="18"/>
  <c r="AB168" i="18"/>
  <c r="AB104" i="18"/>
  <c r="AB397" i="18"/>
  <c r="AB231" i="18"/>
  <c r="AB149" i="18"/>
  <c r="AB85" i="18"/>
  <c r="AB254" i="18"/>
  <c r="AB405" i="18"/>
  <c r="AB421" i="18"/>
  <c r="AB182" i="18"/>
  <c r="AB268" i="18"/>
  <c r="AB239" i="18"/>
  <c r="AB98" i="18"/>
  <c r="AB124" i="18"/>
  <c r="AB111" i="18"/>
  <c r="AB130" i="18"/>
  <c r="AB66" i="18"/>
  <c r="AB87" i="18"/>
  <c r="AB748" i="18"/>
  <c r="AB730" i="18"/>
  <c r="AB710" i="18"/>
  <c r="AB646" i="18"/>
  <c r="AB683" i="18"/>
  <c r="AB693" i="18"/>
  <c r="AB684" i="18"/>
  <c r="AB616" i="18"/>
  <c r="AB653" i="18"/>
  <c r="AB634" i="18"/>
  <c r="AB698" i="18"/>
  <c r="AB603" i="18"/>
  <c r="AB700" i="18"/>
  <c r="AB598" i="18"/>
  <c r="AB661" i="18"/>
  <c r="AB621" i="18"/>
  <c r="AB704" i="18"/>
  <c r="AB729" i="18"/>
  <c r="AB640" i="18"/>
  <c r="AB507" i="18"/>
  <c r="AB604" i="18"/>
  <c r="AB536" i="18"/>
  <c r="AB651" i="18"/>
  <c r="AB501" i="18"/>
  <c r="AB597" i="18"/>
  <c r="AB538" i="18"/>
  <c r="AB594" i="18"/>
  <c r="AB572" i="18"/>
  <c r="AB472" i="18"/>
  <c r="AB581" i="18"/>
  <c r="AB453" i="18"/>
  <c r="AB505" i="18"/>
  <c r="AB434" i="18"/>
  <c r="AB487" i="18"/>
  <c r="AB423" i="18"/>
  <c r="AB420" i="18"/>
  <c r="AB353" i="18"/>
  <c r="AB427" i="18"/>
  <c r="AB358" i="18"/>
  <c r="AB406" i="18"/>
  <c r="AB556" i="18"/>
  <c r="AB362" i="18"/>
  <c r="AB288" i="18"/>
  <c r="AB224" i="18"/>
  <c r="AB473" i="18"/>
  <c r="AB341" i="18"/>
  <c r="AB277" i="18"/>
  <c r="AB213" i="18"/>
  <c r="AB489" i="18"/>
  <c r="AB356" i="18"/>
  <c r="AB290" i="18"/>
  <c r="AB226" i="18"/>
  <c r="AB454" i="18"/>
  <c r="AB327" i="18"/>
  <c r="AB470" i="18"/>
  <c r="AB348" i="18"/>
  <c r="AB284" i="18"/>
  <c r="AB297" i="18"/>
  <c r="AB198" i="18"/>
  <c r="AB121" i="18"/>
  <c r="AB326" i="18"/>
  <c r="AB227" i="18"/>
  <c r="AB142" i="18"/>
  <c r="AB78" i="18"/>
  <c r="AB413" i="18"/>
  <c r="AB276" i="18"/>
  <c r="AB171" i="18"/>
  <c r="AB107" i="18"/>
  <c r="AB513" i="18"/>
  <c r="AB265" i="18"/>
  <c r="AB160" i="18"/>
  <c r="AB96" i="18"/>
  <c r="AB381" i="18"/>
  <c r="AB230" i="18"/>
  <c r="AB141" i="18"/>
  <c r="AB77" i="18"/>
  <c r="AB238" i="18"/>
  <c r="AB342" i="18"/>
  <c r="AB368" i="18"/>
  <c r="AB164" i="18"/>
  <c r="AB203" i="18"/>
  <c r="AB190" i="18"/>
  <c r="AB71" i="18"/>
  <c r="AB95" i="18"/>
  <c r="AB65" i="18"/>
  <c r="AB103" i="18"/>
  <c r="AB350" i="18"/>
  <c r="AB74" i="18"/>
  <c r="AB740" i="18"/>
  <c r="AB750" i="18"/>
  <c r="AB702" i="18"/>
  <c r="AB638" i="18"/>
  <c r="AB675" i="18"/>
  <c r="AB692" i="18"/>
  <c r="AB674" i="18"/>
  <c r="AB608" i="18"/>
  <c r="AB746" i="18"/>
  <c r="AB626" i="18"/>
  <c r="AB657" i="18"/>
  <c r="AB593" i="18"/>
  <c r="AB652" i="18"/>
  <c r="AB590" i="18"/>
  <c r="AB656" i="18"/>
  <c r="AB595" i="18"/>
  <c r="AB648" i="18"/>
  <c r="AB671" i="18"/>
  <c r="AB584" i="18"/>
  <c r="AB499" i="18"/>
  <c r="AB599" i="18"/>
  <c r="AB528" i="18"/>
  <c r="AB596" i="18"/>
  <c r="AB682" i="18"/>
  <c r="AB586" i="18"/>
  <c r="AB530" i="18"/>
  <c r="AB558" i="18"/>
  <c r="AB529" i="18"/>
  <c r="AB464" i="18"/>
  <c r="AB524" i="18"/>
  <c r="AB445" i="18"/>
  <c r="AB490" i="18"/>
  <c r="AB426" i="18"/>
  <c r="AB479" i="18"/>
  <c r="AB712" i="18"/>
  <c r="AB412" i="18"/>
  <c r="AB589" i="18"/>
  <c r="AB417" i="18"/>
  <c r="AB545" i="18"/>
  <c r="AB395" i="18"/>
  <c r="AB500" i="18"/>
  <c r="AB344" i="18"/>
  <c r="AB280" i="18"/>
  <c r="AB216" i="18"/>
  <c r="AB436" i="18"/>
  <c r="AB333" i="18"/>
  <c r="AB269" i="18"/>
  <c r="AB205" i="18"/>
  <c r="AB452" i="18"/>
  <c r="AB346" i="18"/>
  <c r="AB282" i="18"/>
  <c r="AB218" i="18"/>
  <c r="AB411" i="18"/>
  <c r="AB319" i="18"/>
  <c r="AB433" i="18"/>
  <c r="AB340" i="18"/>
  <c r="AB519" i="18"/>
  <c r="AB278" i="18"/>
  <c r="AB177" i="18"/>
  <c r="AB113" i="18"/>
  <c r="AB299" i="18"/>
  <c r="AB207" i="18"/>
  <c r="AB134" i="18"/>
  <c r="AB70" i="18"/>
  <c r="AB376" i="18"/>
  <c r="AB257" i="18"/>
  <c r="AB163" i="18"/>
  <c r="AB99" i="18"/>
  <c r="AB441" i="18"/>
  <c r="AB244" i="18"/>
  <c r="AB152" i="18"/>
  <c r="AB88" i="18"/>
  <c r="AB339" i="18"/>
  <c r="AB209" i="18"/>
  <c r="AB133" i="18"/>
  <c r="AB69" i="18"/>
  <c r="AB204" i="18"/>
  <c r="AB331" i="18"/>
  <c r="AB359" i="18"/>
  <c r="AB154" i="18"/>
  <c r="AB156" i="18"/>
  <c r="AB167" i="18"/>
  <c r="AB52" i="18"/>
  <c r="AB84" i="18"/>
  <c r="AB60" i="18"/>
  <c r="AB90" i="18"/>
  <c r="AB175" i="18"/>
  <c r="AB246" i="18"/>
  <c r="AB752" i="18"/>
  <c r="AB749" i="18"/>
  <c r="AB694" i="18"/>
  <c r="AB751" i="18"/>
  <c r="AB745" i="18"/>
  <c r="AB690" i="18"/>
  <c r="AB673" i="18"/>
  <c r="AB600" i="18"/>
  <c r="AB744" i="18"/>
  <c r="AB734" i="18"/>
  <c r="AB724" i="18"/>
  <c r="AB585" i="18"/>
  <c r="AB645" i="18"/>
  <c r="AB582" i="18"/>
  <c r="AB647" i="18"/>
  <c r="AB587" i="18"/>
  <c r="AB630" i="18"/>
  <c r="AB576" i="18"/>
  <c r="AB583" i="18"/>
  <c r="AB703" i="18"/>
  <c r="AB592" i="18"/>
  <c r="AB520" i="18"/>
  <c r="AB578" i="18"/>
  <c r="AB627" i="18"/>
  <c r="AB565" i="18"/>
  <c r="AB522" i="18"/>
  <c r="AB549" i="18"/>
  <c r="AB527" i="18"/>
  <c r="AB456" i="18"/>
  <c r="AB508" i="18"/>
  <c r="AB437" i="18"/>
  <c r="AB482" i="18"/>
  <c r="AB650" i="18"/>
  <c r="AB471" i="18"/>
  <c r="AB573" i="18"/>
  <c r="AB404" i="18"/>
  <c r="AB580" i="18"/>
  <c r="AB409" i="18"/>
  <c r="AB492" i="18"/>
  <c r="AB387" i="18"/>
  <c r="AB483" i="18"/>
  <c r="AB336" i="18"/>
  <c r="AB272" i="18"/>
  <c r="AB208" i="18"/>
  <c r="AB416" i="18"/>
  <c r="AB325" i="18"/>
  <c r="AB261" i="18"/>
  <c r="AB197" i="18"/>
  <c r="AB438" i="18"/>
  <c r="AB338" i="18"/>
  <c r="AB274" i="18"/>
  <c r="AB210" i="18"/>
  <c r="AB410" i="18"/>
  <c r="AB311" i="18"/>
  <c r="AB419" i="18"/>
  <c r="AB332" i="18"/>
  <c r="AB486" i="18"/>
  <c r="AB263" i="18"/>
  <c r="AB169" i="18"/>
  <c r="AB105" i="18"/>
  <c r="AB289" i="18"/>
  <c r="AB206" i="18"/>
  <c r="AB126" i="18"/>
  <c r="AB62" i="18"/>
  <c r="AB360" i="18"/>
  <c r="AB236" i="18"/>
  <c r="AB155" i="18"/>
  <c r="AB91" i="18"/>
  <c r="AB388" i="18"/>
  <c r="AB243" i="18"/>
  <c r="AB144" i="18"/>
  <c r="AB80" i="18"/>
  <c r="AB329" i="18"/>
  <c r="AB188" i="18"/>
  <c r="AB125" i="18"/>
  <c r="AB61" i="18"/>
  <c r="AB180" i="18"/>
  <c r="AB247" i="18"/>
  <c r="AB305" i="18"/>
  <c r="AB127" i="18"/>
  <c r="AB146" i="18"/>
  <c r="AB140" i="18"/>
  <c r="AB380" i="18"/>
  <c r="AB55" i="18"/>
  <c r="AB58" i="18"/>
  <c r="AB79" i="18"/>
  <c r="AB122" i="18"/>
  <c r="AB196" i="18"/>
  <c r="AB747" i="18"/>
  <c r="AB739" i="18"/>
  <c r="AB686" i="18"/>
  <c r="AB741" i="18"/>
  <c r="AB732" i="18"/>
  <c r="AB688" i="18"/>
  <c r="AB649" i="18"/>
  <c r="AB735" i="18"/>
  <c r="AB721" i="18"/>
  <c r="AB728" i="18"/>
  <c r="AB681" i="18"/>
  <c r="AB577" i="18"/>
  <c r="AB622" i="18"/>
  <c r="AB574" i="18"/>
  <c r="AB637" i="18"/>
  <c r="AB579" i="18"/>
  <c r="AB629" i="18"/>
  <c r="AB575" i="18"/>
  <c r="AB548" i="18"/>
  <c r="AB679" i="18"/>
  <c r="AB591" i="18"/>
  <c r="AB512" i="18"/>
  <c r="AB541" i="18"/>
  <c r="AB625" i="18"/>
  <c r="AB564" i="18"/>
  <c r="AB514" i="18"/>
  <c r="AB537" i="18"/>
  <c r="AB511" i="18"/>
  <c r="AB448" i="18"/>
  <c r="AB493" i="18"/>
  <c r="AB429" i="18"/>
  <c r="AB474" i="18"/>
  <c r="AB623" i="18"/>
  <c r="AB463" i="18"/>
  <c r="AB497" i="18"/>
  <c r="AB393" i="18"/>
  <c r="AB535" i="18"/>
  <c r="AB398" i="18"/>
  <c r="AB476" i="18"/>
  <c r="AB379" i="18"/>
  <c r="AB457" i="18"/>
  <c r="AB328" i="18"/>
  <c r="AB264" i="18"/>
  <c r="AB200" i="18"/>
  <c r="AB415" i="18"/>
  <c r="AB317" i="18"/>
  <c r="AB253" i="18"/>
  <c r="AB189" i="18"/>
  <c r="AB422" i="18"/>
  <c r="AB330" i="18"/>
  <c r="AB266" i="18"/>
  <c r="AB202" i="18"/>
  <c r="AB386" i="18"/>
  <c r="AB303" i="18"/>
  <c r="AB418" i="18"/>
  <c r="AB324" i="18"/>
  <c r="AB481" i="18"/>
  <c r="AB262" i="18"/>
  <c r="AB161" i="18"/>
  <c r="AB97" i="18"/>
  <c r="AB275" i="18"/>
  <c r="AB185" i="18"/>
  <c r="AB118" i="18"/>
  <c r="AB54" i="18"/>
  <c r="AB351" i="18"/>
  <c r="AB235" i="18"/>
  <c r="AB147" i="18"/>
  <c r="AB83" i="18"/>
  <c r="AB354" i="18"/>
  <c r="AB223" i="18"/>
  <c r="AB136" i="18"/>
  <c r="AB72" i="18"/>
  <c r="AB302" i="18"/>
  <c r="AB187" i="18"/>
  <c r="AB117" i="18"/>
  <c r="AB53" i="18"/>
  <c r="AB170" i="18"/>
  <c r="AB172" i="18"/>
  <c r="AB294" i="18"/>
  <c r="AB100" i="18"/>
  <c r="AB119" i="18"/>
  <c r="AB233" i="18"/>
  <c r="AB286" i="18"/>
  <c r="AB50" i="18"/>
  <c r="AB48" i="18"/>
  <c r="AB68" i="18"/>
  <c r="AB618" i="18"/>
  <c r="AB211" i="18"/>
  <c r="AB742" i="18"/>
  <c r="AB738" i="18"/>
  <c r="AB678" i="18"/>
  <c r="AB715" i="18"/>
  <c r="AB726" i="18"/>
  <c r="AB731" i="18"/>
  <c r="AB644" i="18"/>
  <c r="AB706" i="18"/>
  <c r="AB687" i="18"/>
  <c r="AB723" i="18"/>
  <c r="AB672" i="18"/>
  <c r="AB569" i="18"/>
  <c r="AB617" i="18"/>
  <c r="AB566" i="18"/>
  <c r="AB636" i="18"/>
  <c r="AB571" i="18"/>
  <c r="AB628" i="18"/>
  <c r="AB542" i="18"/>
  <c r="AB539" i="18"/>
  <c r="AB642" i="18"/>
  <c r="AB570" i="18"/>
  <c r="AB504" i="18"/>
  <c r="AB533" i="18"/>
  <c r="AB620" i="18"/>
  <c r="AB562" i="18"/>
  <c r="AB506" i="18"/>
  <c r="AB526" i="18"/>
  <c r="AB495" i="18"/>
  <c r="AB440" i="18"/>
  <c r="AB485" i="18"/>
  <c r="AB557" i="18"/>
  <c r="AB466" i="18"/>
  <c r="AB568" i="18"/>
  <c r="AB455" i="18"/>
  <c r="AB478" i="18"/>
  <c r="AB385" i="18"/>
  <c r="AB491" i="18"/>
  <c r="AB390" i="18"/>
  <c r="AB460" i="18"/>
  <c r="AB371" i="18"/>
  <c r="AB408" i="18"/>
  <c r="AB320" i="18"/>
  <c r="AB256" i="18"/>
  <c r="AB192" i="18"/>
  <c r="AB392" i="18"/>
  <c r="AB309" i="18"/>
  <c r="AB245" i="18"/>
  <c r="AB696" i="18"/>
  <c r="AB403" i="18"/>
  <c r="AB322" i="18"/>
  <c r="AB258" i="18"/>
  <c r="AB194" i="18"/>
  <c r="AB365" i="18"/>
  <c r="AB295" i="18"/>
  <c r="AB394" i="18"/>
  <c r="AB316" i="18"/>
  <c r="AB449" i="18"/>
  <c r="AB241" i="18"/>
  <c r="AB153" i="18"/>
  <c r="AB89" i="18"/>
  <c r="AB271" i="18"/>
  <c r="AB174" i="18"/>
  <c r="AB110" i="18"/>
  <c r="AB643" i="18"/>
  <c r="AB345" i="18"/>
  <c r="AB215" i="18"/>
  <c r="AB139" i="18"/>
  <c r="AB75" i="18"/>
  <c r="AB347" i="18"/>
  <c r="AB222" i="18"/>
  <c r="AB128" i="18"/>
  <c r="AB64" i="18"/>
  <c r="AB273" i="18"/>
  <c r="AB173" i="18"/>
  <c r="AB109" i="18"/>
  <c r="AB425" i="18"/>
  <c r="AB143" i="18"/>
  <c r="AB162" i="18"/>
  <c r="AB259" i="18"/>
  <c r="AB451" i="18"/>
  <c r="AB92" i="18"/>
  <c r="AB183" i="18"/>
  <c r="AB195" i="18"/>
  <c r="AB49" i="18"/>
  <c r="AB313" i="18"/>
  <c r="AB63" i="18"/>
  <c r="AB267" i="18"/>
  <c r="AB260" i="18"/>
  <c r="AB737" i="18"/>
  <c r="AB727" i="18"/>
  <c r="AB670" i="18"/>
  <c r="AB707" i="18"/>
  <c r="AB736" i="18"/>
  <c r="AB705" i="18"/>
  <c r="AB639" i="18"/>
  <c r="AB668" i="18"/>
  <c r="AB677" i="18"/>
  <c r="AB719" i="18"/>
  <c r="AB665" i="18"/>
  <c r="AB561" i="18"/>
  <c r="AB612" i="18"/>
  <c r="AB689" i="18"/>
  <c r="AB635" i="18"/>
  <c r="AB563" i="18"/>
  <c r="AB611" i="18"/>
  <c r="AB534" i="18"/>
  <c r="AB531" i="18"/>
  <c r="AB619" i="18"/>
  <c r="AB552" i="18"/>
  <c r="AB496" i="18"/>
  <c r="AB525" i="18"/>
  <c r="AB615" i="18"/>
  <c r="AB560" i="18"/>
  <c r="AB498" i="18"/>
  <c r="AB510" i="18"/>
  <c r="AB494" i="18"/>
  <c r="AB432" i="18"/>
  <c r="AB477" i="18"/>
  <c r="AB550" i="18"/>
  <c r="AB458" i="18"/>
  <c r="AB532" i="18"/>
  <c r="AB447" i="18"/>
  <c r="AB462" i="18"/>
  <c r="AB377" i="18"/>
  <c r="AB475" i="18"/>
  <c r="AB382" i="18"/>
  <c r="AB444" i="18"/>
  <c r="AB363" i="18"/>
  <c r="AB407" i="18"/>
  <c r="AB312" i="18"/>
  <c r="AB248" i="18"/>
  <c r="AB184" i="18"/>
  <c r="AB391" i="18"/>
  <c r="AB301" i="18"/>
  <c r="AB237" i="18"/>
  <c r="AB567" i="18"/>
  <c r="AB402" i="18"/>
  <c r="AB314" i="18"/>
  <c r="AB250" i="18"/>
  <c r="AB186" i="18"/>
  <c r="AB364" i="18"/>
  <c r="AB287" i="18"/>
  <c r="AB373" i="18"/>
  <c r="AB308" i="18"/>
  <c r="AB389" i="18"/>
  <c r="AB220" i="18"/>
  <c r="AB145" i="18"/>
  <c r="AB81" i="18"/>
  <c r="AB270" i="18"/>
  <c r="AB166" i="18"/>
  <c r="AB102" i="18"/>
  <c r="AB559" i="18"/>
  <c r="AB318" i="18"/>
  <c r="AB214" i="18"/>
  <c r="AB131" i="18"/>
  <c r="AB67" i="18"/>
  <c r="AB337" i="18"/>
  <c r="AB201" i="18"/>
  <c r="AB120" i="18"/>
  <c r="AB56" i="18"/>
  <c r="AB252" i="18"/>
  <c r="AB165" i="18"/>
  <c r="AB101" i="18"/>
  <c r="AB396" i="18"/>
  <c r="AB116" i="18"/>
  <c r="AB135" i="18"/>
  <c r="AB225" i="18"/>
  <c r="AB375" i="18"/>
  <c r="AB82" i="18"/>
  <c r="AB159" i="18"/>
  <c r="AB178" i="18"/>
  <c r="AB212" i="18"/>
  <c r="AB255" i="18"/>
  <c r="AB323" i="18"/>
  <c r="AB217" i="18"/>
  <c r="AB148" i="18"/>
  <c r="W4" i="18"/>
  <c r="W44" i="18" s="1"/>
  <c r="V401" i="18"/>
  <c r="V754" i="18"/>
  <c r="V47" i="18"/>
  <c r="AF38" i="18"/>
  <c r="AE1029" i="18"/>
  <c r="AE1062" i="18"/>
  <c r="AE778" i="18"/>
  <c r="AE937" i="18"/>
  <c r="AE920" i="18"/>
  <c r="AE889" i="18"/>
  <c r="AE995" i="18"/>
  <c r="AE1067" i="18"/>
  <c r="AE958" i="18"/>
  <c r="AE992" i="18"/>
  <c r="AE880" i="18"/>
  <c r="AE898" i="18"/>
  <c r="AE838" i="18"/>
  <c r="AE789" i="18"/>
  <c r="AE935" i="18"/>
  <c r="AE826" i="18"/>
  <c r="AE1033" i="18"/>
  <c r="AE825" i="18"/>
  <c r="AE1045" i="18"/>
  <c r="AE1047" i="18"/>
  <c r="AE1095" i="18"/>
  <c r="AE965" i="18"/>
  <c r="AE875" i="18"/>
  <c r="AE996" i="18"/>
  <c r="AE976" i="18"/>
  <c r="AE799" i="18"/>
  <c r="AE979" i="18"/>
  <c r="AE761" i="18"/>
  <c r="AE857" i="18"/>
  <c r="AE1063" i="18"/>
  <c r="AE994" i="18"/>
  <c r="AE812" i="18"/>
  <c r="AE1058" i="18"/>
  <c r="AE998" i="18"/>
  <c r="AE973" i="18"/>
  <c r="AE969" i="18"/>
  <c r="AE947" i="18"/>
  <c r="AE835" i="18"/>
  <c r="AE999" i="18"/>
  <c r="AE910" i="18"/>
  <c r="AE925" i="18"/>
  <c r="AE1007" i="18"/>
  <c r="AE954" i="18"/>
  <c r="AE1090" i="18"/>
  <c r="AE991" i="18"/>
  <c r="AE863" i="18"/>
  <c r="AE850" i="18"/>
  <c r="AE972" i="18"/>
  <c r="AE982" i="18"/>
  <c r="AE1016" i="18"/>
  <c r="AE782" i="18"/>
  <c r="AE794" i="18"/>
  <c r="AE839" i="18"/>
  <c r="AE1001" i="18"/>
  <c r="AE798" i="18"/>
  <c r="AE984" i="18"/>
  <c r="AE957" i="18"/>
  <c r="AE959" i="18"/>
  <c r="AE775" i="18"/>
  <c r="AE951" i="18"/>
  <c r="AE971" i="18"/>
  <c r="AE943" i="18"/>
  <c r="AE777" i="18"/>
  <c r="AE902" i="18"/>
  <c r="AE885" i="18"/>
  <c r="AE1006" i="18"/>
  <c r="AE1023" i="18"/>
  <c r="AE990" i="18"/>
  <c r="AE946" i="18"/>
  <c r="AE1044" i="18"/>
  <c r="AE1041" i="18"/>
  <c r="AE780" i="18"/>
  <c r="AE855" i="18"/>
  <c r="AE917" i="18"/>
  <c r="AE1017" i="18"/>
  <c r="AE923" i="18"/>
  <c r="AE896" i="18"/>
  <c r="AE997" i="18"/>
  <c r="AE829" i="18"/>
  <c r="AE967" i="18"/>
  <c r="AE888" i="18"/>
  <c r="AE851" i="18"/>
  <c r="AE757" i="18"/>
  <c r="AE873" i="18"/>
  <c r="AE1070" i="18"/>
  <c r="AE1084" i="18"/>
  <c r="AE766" i="18"/>
  <c r="AE786" i="18"/>
  <c r="AE929" i="18"/>
  <c r="AE1081" i="18"/>
  <c r="AE773" i="18"/>
  <c r="AE1077" i="18"/>
  <c r="AE871" i="18"/>
  <c r="AE897" i="18"/>
  <c r="AE843" i="18"/>
  <c r="AE760" i="18"/>
  <c r="AE1056" i="18"/>
  <c r="AE913" i="18"/>
  <c r="AE1049" i="18"/>
  <c r="AE986" i="18"/>
  <c r="AE856" i="18"/>
  <c r="AE1026" i="18"/>
  <c r="AE1100" i="18"/>
  <c r="AE790" i="18"/>
  <c r="AE862" i="18"/>
  <c r="AE1048" i="18"/>
  <c r="AE1015" i="18"/>
  <c r="AE1038" i="18"/>
  <c r="AE927" i="18"/>
  <c r="AE806" i="18"/>
  <c r="AE770" i="18"/>
  <c r="AE977" i="18"/>
  <c r="AE1034" i="18"/>
  <c r="AE796" i="18"/>
  <c r="AE960" i="18"/>
  <c r="AE767" i="18"/>
  <c r="AE1018" i="18"/>
  <c r="AE1025" i="18"/>
  <c r="AE783" i="18"/>
  <c r="AE1082" i="18"/>
  <c r="AE956" i="18"/>
  <c r="AE868" i="18"/>
  <c r="AE1037" i="18"/>
  <c r="AE791" i="18"/>
  <c r="AE909" i="18"/>
  <c r="AE779" i="18"/>
  <c r="AE949" i="18"/>
  <c r="AE1092" i="18"/>
  <c r="AE904" i="18"/>
  <c r="AE1052" i="18"/>
  <c r="AE1096" i="18"/>
  <c r="AE1011" i="18"/>
  <c r="AE837" i="18"/>
  <c r="AE978" i="18"/>
  <c r="AE895" i="18"/>
  <c r="AE817" i="18"/>
  <c r="AE894" i="18"/>
  <c r="AE942" i="18"/>
  <c r="AE849" i="18"/>
  <c r="AE842" i="18"/>
  <c r="AE853" i="18"/>
  <c r="AE768" i="18"/>
  <c r="AE983" i="18"/>
  <c r="AE844" i="18"/>
  <c r="AE877" i="18"/>
  <c r="AE940" i="18"/>
  <c r="AE809" i="18"/>
  <c r="AE1031" i="18"/>
  <c r="AE804" i="18"/>
  <c r="AE915" i="18"/>
  <c r="AE1074" i="18"/>
  <c r="AE810" i="18"/>
  <c r="AE859" i="18"/>
  <c r="AE854" i="18"/>
  <c r="AE756" i="18"/>
  <c r="AE963" i="18"/>
  <c r="AE1085" i="18"/>
  <c r="AE811" i="18"/>
  <c r="AE1020" i="18"/>
  <c r="AE870" i="18"/>
  <c r="AE1012" i="18"/>
  <c r="AE1089" i="18"/>
  <c r="AE816" i="18"/>
  <c r="AE874" i="18"/>
  <c r="AE1040" i="18"/>
  <c r="AE784" i="18"/>
  <c r="AE905" i="18"/>
  <c r="AE830" i="18"/>
  <c r="AE883" i="18"/>
  <c r="AE823" i="18"/>
  <c r="AE1057" i="18"/>
  <c r="AE893" i="18"/>
  <c r="AE1055" i="18"/>
  <c r="AE1091" i="18"/>
  <c r="AE846" i="18"/>
  <c r="AE866" i="18"/>
  <c r="AE1053" i="18"/>
  <c r="AE962" i="18"/>
  <c r="AE1000" i="18"/>
  <c r="AE815" i="18"/>
  <c r="AE1072" i="18"/>
  <c r="AE1013" i="18"/>
  <c r="AE916" i="18"/>
  <c r="AE1061" i="18"/>
  <c r="AE1102" i="18"/>
  <c r="AE1079" i="18"/>
  <c r="AE836" i="18"/>
  <c r="AE1066" i="18"/>
  <c r="AE1002" i="18"/>
  <c r="AE980" i="18"/>
  <c r="AE944" i="18"/>
  <c r="AE933" i="18"/>
  <c r="AE934" i="18"/>
  <c r="AE802" i="18"/>
  <c r="AE932" i="18"/>
  <c r="AE989" i="18"/>
  <c r="AE860" i="18"/>
  <c r="AE787" i="18"/>
  <c r="AE1039" i="18"/>
  <c r="AE865" i="18"/>
  <c r="AE818" i="18"/>
  <c r="AE891" i="18"/>
  <c r="AE1050" i="18"/>
  <c r="AE941" i="18"/>
  <c r="AE820" i="18"/>
  <c r="AE759" i="18"/>
  <c r="AE847" i="18"/>
  <c r="AE966" i="18"/>
  <c r="AE881" i="18"/>
  <c r="AE828" i="18"/>
  <c r="AE903" i="18"/>
  <c r="AE1098" i="18"/>
  <c r="AE840" i="18"/>
  <c r="AE1104" i="18"/>
  <c r="AE763" i="18"/>
  <c r="AE864" i="18"/>
  <c r="AE1036" i="18"/>
  <c r="AE813" i="18"/>
  <c r="AE930" i="18"/>
  <c r="AE800" i="18"/>
  <c r="AE852" i="18"/>
  <c r="AE776" i="18"/>
  <c r="AE945" i="18"/>
  <c r="AE1071" i="18"/>
  <c r="AE788" i="18"/>
  <c r="AE1030" i="18"/>
  <c r="AE950" i="18"/>
  <c r="AE1005" i="18"/>
  <c r="AE931" i="18"/>
  <c r="AE819" i="18"/>
  <c r="AE919" i="18"/>
  <c r="AE1076" i="18"/>
  <c r="AE1008" i="18"/>
  <c r="AE831" i="18"/>
  <c r="AE769" i="18"/>
  <c r="AE948" i="18"/>
  <c r="AE765" i="18"/>
  <c r="AE921" i="18"/>
  <c r="AE1073" i="18"/>
  <c r="AE1103" i="18"/>
  <c r="AE1024" i="18"/>
  <c r="AE887" i="18"/>
  <c r="AE1097" i="18"/>
  <c r="AE988" i="18"/>
  <c r="AE901" i="18"/>
  <c r="AE861" i="18"/>
  <c r="AE774" i="18"/>
  <c r="AE1060" i="18"/>
  <c r="AE814" i="18"/>
  <c r="AE827" i="18"/>
  <c r="AE981" i="18"/>
  <c r="AE755" i="18"/>
  <c r="AE908" i="18"/>
  <c r="AE762" i="18"/>
  <c r="AE884" i="18"/>
  <c r="AE882" i="18"/>
  <c r="AE803" i="18"/>
  <c r="AE858" i="18"/>
  <c r="AE890" i="18"/>
  <c r="AE892" i="18"/>
  <c r="AE964" i="18"/>
  <c r="AE764" i="18"/>
  <c r="AE1010" i="18"/>
  <c r="AE822" i="18"/>
  <c r="AE834" i="18"/>
  <c r="AE961" i="18"/>
  <c r="AE914" i="18"/>
  <c r="AE968" i="18"/>
  <c r="AE1046" i="18"/>
  <c r="AE1059" i="18"/>
  <c r="AE793" i="18"/>
  <c r="AE1021" i="18"/>
  <c r="AE1004" i="18"/>
  <c r="AE1075" i="18"/>
  <c r="AE876" i="18"/>
  <c r="AE841" i="18"/>
  <c r="AE1068" i="18"/>
  <c r="AE1054" i="18"/>
  <c r="AE792" i="18"/>
  <c r="AE899" i="18"/>
  <c r="AE807" i="18"/>
  <c r="AE987" i="18"/>
  <c r="AE939" i="18"/>
  <c r="AE832" i="18"/>
  <c r="AE993" i="18"/>
  <c r="AE1032" i="18"/>
  <c r="AE845" i="18"/>
  <c r="AE985" i="18"/>
  <c r="AE926" i="18"/>
  <c r="AE872" i="18"/>
  <c r="AE955" i="18"/>
  <c r="AE1083" i="18"/>
  <c r="AE924" i="18"/>
  <c r="AE848" i="18"/>
  <c r="AE1099" i="18"/>
  <c r="AE1086" i="18"/>
  <c r="AE928" i="18"/>
  <c r="AE1028" i="18"/>
  <c r="AE900" i="18"/>
  <c r="AE886" i="18"/>
  <c r="AE879" i="18"/>
  <c r="AE970" i="18"/>
  <c r="AE1080" i="18"/>
  <c r="AE1022" i="18"/>
  <c r="AE797" i="18"/>
  <c r="AE1009" i="18"/>
  <c r="AE867" i="18"/>
  <c r="AE785" i="18"/>
  <c r="AE1088" i="18"/>
  <c r="AE805" i="18"/>
  <c r="AE1093" i="18"/>
  <c r="AE869" i="18"/>
  <c r="AE1042" i="18"/>
  <c r="AE772" i="18"/>
  <c r="AE1003" i="18"/>
  <c r="AE911" i="18"/>
  <c r="AE906" i="18"/>
  <c r="AE907" i="18"/>
  <c r="AE1051" i="18"/>
  <c r="AE1087" i="18"/>
  <c r="AE1027" i="18"/>
  <c r="AE1043" i="18"/>
  <c r="AE1065" i="18"/>
  <c r="AE952" i="18"/>
  <c r="AE821" i="18"/>
  <c r="AE953" i="18"/>
  <c r="AE1064" i="18"/>
  <c r="AE878" i="18"/>
  <c r="AE912" i="18"/>
  <c r="AE975" i="18"/>
  <c r="AE808" i="18"/>
  <c r="AE758" i="18"/>
  <c r="AE795" i="18"/>
  <c r="AE922" i="18"/>
  <c r="AE1078" i="18"/>
  <c r="AE771" i="18"/>
  <c r="AE936" i="18"/>
  <c r="AE1069" i="18"/>
  <c r="AE1105" i="18"/>
  <c r="AE1094" i="18"/>
  <c r="AE974" i="18"/>
  <c r="AE938" i="18"/>
  <c r="AE918" i="18"/>
  <c r="AE1019" i="18"/>
  <c r="AE824" i="18"/>
  <c r="AE833" i="18"/>
  <c r="AE1014" i="18"/>
  <c r="AE1035" i="18"/>
  <c r="AE1101" i="18"/>
  <c r="AE781" i="18"/>
  <c r="AE801" i="18"/>
  <c r="AO89" i="5"/>
  <c r="AF111" i="5" s="1"/>
  <c r="AN89" i="5"/>
  <c r="AF110" i="5" s="1"/>
  <c r="AM89" i="5"/>
  <c r="AF109" i="5" s="1"/>
  <c r="AQ31" i="4"/>
  <c r="AR32" i="4"/>
  <c r="AI89" i="5"/>
  <c r="AF106" i="5" s="1"/>
  <c r="AK89" i="5"/>
  <c r="AF108" i="5" s="1"/>
  <c r="AJ89" i="5"/>
  <c r="AF107" i="5" s="1"/>
  <c r="AF6" i="5" s="1"/>
  <c r="AS34" i="4"/>
  <c r="AS35" i="4" s="1"/>
  <c r="AR36" i="4"/>
  <c r="AW19" i="5" l="1"/>
  <c r="H265" i="26"/>
  <c r="I264" i="26"/>
  <c r="N242" i="26"/>
  <c r="H242" i="26"/>
  <c r="O241" i="26"/>
  <c r="I241" i="26"/>
  <c r="L241" i="26"/>
  <c r="K242" i="26"/>
  <c r="E242" i="26"/>
  <c r="F241" i="26"/>
  <c r="AI24" i="5"/>
  <c r="AH25" i="5"/>
  <c r="AJ5" i="18"/>
  <c r="AI11" i="18"/>
  <c r="AK8" i="18"/>
  <c r="AJ14" i="18"/>
  <c r="AK6" i="18"/>
  <c r="AJ12" i="18"/>
  <c r="AK9" i="18"/>
  <c r="AJ15" i="18"/>
  <c r="AK7" i="18"/>
  <c r="AJ13" i="18"/>
  <c r="AF11" i="5" a="1"/>
  <c r="AF11" i="5" s="1"/>
  <c r="AE9" i="5"/>
  <c r="AE10" i="5" s="1"/>
  <c r="AE32" i="5" s="1"/>
  <c r="AW22" i="5"/>
  <c r="AX16" i="5"/>
  <c r="AX21" i="5" s="1"/>
  <c r="AW18" i="5"/>
  <c r="X4" i="18"/>
  <c r="X44" i="18" s="1"/>
  <c r="W401" i="18"/>
  <c r="W754" i="18"/>
  <c r="W47" i="18"/>
  <c r="AC722" i="18"/>
  <c r="AC699" i="18"/>
  <c r="AC726" i="18"/>
  <c r="AC742" i="18"/>
  <c r="AC729" i="18"/>
  <c r="AC747" i="18"/>
  <c r="AC648" i="18"/>
  <c r="AC693" i="18"/>
  <c r="AC710" i="18"/>
  <c r="AC637" i="18"/>
  <c r="AC656" i="18"/>
  <c r="AC607" i="18"/>
  <c r="AC550" i="18"/>
  <c r="AC633" i="18"/>
  <c r="AC628" i="18"/>
  <c r="AC568" i="18"/>
  <c r="AC620" i="18"/>
  <c r="AC583" i="18"/>
  <c r="AC619" i="18"/>
  <c r="AC552" i="18"/>
  <c r="AC496" i="18"/>
  <c r="AC533" i="18"/>
  <c r="AC585" i="18"/>
  <c r="AC530" i="18"/>
  <c r="AC594" i="18"/>
  <c r="AC535" i="18"/>
  <c r="AC529" i="18"/>
  <c r="AC508" i="18"/>
  <c r="AC437" i="18"/>
  <c r="AC490" i="18"/>
  <c r="AC426" i="18"/>
  <c r="AC487" i="18"/>
  <c r="AC423" i="18"/>
  <c r="AC484" i="18"/>
  <c r="AC655" i="18"/>
  <c r="AC417" i="18"/>
  <c r="AC711" i="18"/>
  <c r="AC440" i="18"/>
  <c r="AC363" i="18"/>
  <c r="AC425" i="18"/>
  <c r="AC360" i="18"/>
  <c r="AC370" i="18"/>
  <c r="AC301" i="18"/>
  <c r="AC237" i="18"/>
  <c r="AC567" i="18"/>
  <c r="AC377" i="18"/>
  <c r="AC306" i="18"/>
  <c r="AC242" i="18"/>
  <c r="AC608" i="18"/>
  <c r="AC364" i="18"/>
  <c r="AC287" i="18"/>
  <c r="AC223" i="18"/>
  <c r="AC418" i="18"/>
  <c r="AC324" i="18"/>
  <c r="AC449" i="18"/>
  <c r="AC345" i="18"/>
  <c r="AC281" i="18"/>
  <c r="AC270" i="18"/>
  <c r="AC174" i="18"/>
  <c r="AC110" i="18"/>
  <c r="AC430" i="18"/>
  <c r="AC236" i="18"/>
  <c r="AC155" i="18"/>
  <c r="AC91" i="18"/>
  <c r="AC354" i="18"/>
  <c r="AC243" i="18"/>
  <c r="AC144" i="18"/>
  <c r="AC80" i="18"/>
  <c r="AC339" i="18"/>
  <c r="AC209" i="18"/>
  <c r="AC141" i="18"/>
  <c r="AC77" i="18"/>
  <c r="AC304" i="18"/>
  <c r="AC195" i="18"/>
  <c r="AC122" i="18"/>
  <c r="AC58" i="18"/>
  <c r="AC145" i="18"/>
  <c r="AC164" i="18"/>
  <c r="AC156" i="18"/>
  <c r="AC175" i="18"/>
  <c r="AC446" i="18"/>
  <c r="AC286" i="18"/>
  <c r="AC396" i="18"/>
  <c r="AC60" i="18"/>
  <c r="AC432" i="18"/>
  <c r="AC389" i="18"/>
  <c r="AC161" i="18"/>
  <c r="AC167" i="18"/>
  <c r="AC751" i="18"/>
  <c r="AC691" i="18"/>
  <c r="AC721" i="18"/>
  <c r="AC748" i="18"/>
  <c r="AC728" i="18"/>
  <c r="AC735" i="18"/>
  <c r="AC629" i="18"/>
  <c r="AC686" i="18"/>
  <c r="AC702" i="18"/>
  <c r="AC631" i="18"/>
  <c r="AC720" i="18"/>
  <c r="AC602" i="18"/>
  <c r="AC731" i="18"/>
  <c r="AC595" i="18"/>
  <c r="AC616" i="18"/>
  <c r="AC560" i="18"/>
  <c r="AC615" i="18"/>
  <c r="AC553" i="18"/>
  <c r="AC614" i="18"/>
  <c r="AC547" i="18"/>
  <c r="AC714" i="18"/>
  <c r="AC525" i="18"/>
  <c r="AC565" i="18"/>
  <c r="AC522" i="18"/>
  <c r="AC593" i="18"/>
  <c r="AC527" i="18"/>
  <c r="AC523" i="18"/>
  <c r="AC493" i="18"/>
  <c r="AC429" i="18"/>
  <c r="AC482" i="18"/>
  <c r="AC690" i="18"/>
  <c r="AC479" i="18"/>
  <c r="AC701" i="18"/>
  <c r="AC476" i="18"/>
  <c r="AC589" i="18"/>
  <c r="AC409" i="18"/>
  <c r="AC673" i="18"/>
  <c r="AC424" i="18"/>
  <c r="AC355" i="18"/>
  <c r="AC419" i="18"/>
  <c r="AC352" i="18"/>
  <c r="AC369" i="18"/>
  <c r="AC293" i="18"/>
  <c r="AC229" i="18"/>
  <c r="AC554" i="18"/>
  <c r="AC357" i="18"/>
  <c r="AC298" i="18"/>
  <c r="AC234" i="18"/>
  <c r="AC537" i="18"/>
  <c r="AC343" i="18"/>
  <c r="AC279" i="18"/>
  <c r="AC215" i="18"/>
  <c r="AC394" i="18"/>
  <c r="AC316" i="18"/>
  <c r="AC435" i="18"/>
  <c r="AC337" i="18"/>
  <c r="AC420" i="18"/>
  <c r="AC249" i="18"/>
  <c r="AC166" i="18"/>
  <c r="AC102" i="18"/>
  <c r="AC413" i="18"/>
  <c r="AC235" i="18"/>
  <c r="AC147" i="18"/>
  <c r="AC83" i="18"/>
  <c r="AC347" i="18"/>
  <c r="AC222" i="18"/>
  <c r="AC136" i="18"/>
  <c r="AC72" i="18"/>
  <c r="AC312" i="18"/>
  <c r="AC208" i="18"/>
  <c r="AC133" i="18"/>
  <c r="AC69" i="18"/>
  <c r="AC294" i="18"/>
  <c r="AC178" i="18"/>
  <c r="AC114" i="18"/>
  <c r="AC50" i="18"/>
  <c r="AC135" i="18"/>
  <c r="AC137" i="18"/>
  <c r="AC129" i="18"/>
  <c r="AC148" i="18"/>
  <c r="AC233" i="18"/>
  <c r="AC151" i="18"/>
  <c r="AC307" i="18"/>
  <c r="AC224" i="18"/>
  <c r="AC334" i="18"/>
  <c r="AC254" i="18"/>
  <c r="AC87" i="18"/>
  <c r="AC408" i="18"/>
  <c r="AC61" i="18"/>
  <c r="AC746" i="18"/>
  <c r="AC683" i="18"/>
  <c r="AC712" i="18"/>
  <c r="AC739" i="18"/>
  <c r="AC719" i="18"/>
  <c r="AC718" i="18"/>
  <c r="AC621" i="18"/>
  <c r="AC677" i="18"/>
  <c r="AC698" i="18"/>
  <c r="AC732" i="18"/>
  <c r="AC700" i="18"/>
  <c r="AC598" i="18"/>
  <c r="AC705" i="18"/>
  <c r="AC587" i="18"/>
  <c r="AC611" i="18"/>
  <c r="AC682" i="18"/>
  <c r="AC610" i="18"/>
  <c r="AC548" i="18"/>
  <c r="AC609" i="18"/>
  <c r="AC544" i="18"/>
  <c r="AC708" i="18"/>
  <c r="AC517" i="18"/>
  <c r="AC564" i="18"/>
  <c r="AC514" i="18"/>
  <c r="AC573" i="18"/>
  <c r="AC519" i="18"/>
  <c r="AC507" i="18"/>
  <c r="AC485" i="18"/>
  <c r="AC724" i="18"/>
  <c r="AC474" i="18"/>
  <c r="AC650" i="18"/>
  <c r="AC471" i="18"/>
  <c r="AC618" i="18"/>
  <c r="AC468" i="18"/>
  <c r="AC526" i="18"/>
  <c r="AC398" i="18"/>
  <c r="AC545" i="18"/>
  <c r="AC414" i="18"/>
  <c r="AC556" i="18"/>
  <c r="AC411" i="18"/>
  <c r="AC516" i="18"/>
  <c r="AC349" i="18"/>
  <c r="AC285" i="18"/>
  <c r="AC221" i="18"/>
  <c r="AC478" i="18"/>
  <c r="AC356" i="18"/>
  <c r="AC290" i="18"/>
  <c r="AC226" i="18"/>
  <c r="AC480" i="18"/>
  <c r="AC335" i="18"/>
  <c r="AC271" i="18"/>
  <c r="AC207" i="18"/>
  <c r="AC393" i="18"/>
  <c r="AC308" i="18"/>
  <c r="AC405" i="18"/>
  <c r="AC329" i="18"/>
  <c r="AC383" i="18"/>
  <c r="AC248" i="18"/>
  <c r="AC158" i="18"/>
  <c r="AC94" i="18"/>
  <c r="AC361" i="18"/>
  <c r="AC214" i="18"/>
  <c r="AC139" i="18"/>
  <c r="AC75" i="18"/>
  <c r="AC320" i="18"/>
  <c r="AC201" i="18"/>
  <c r="AC128" i="18"/>
  <c r="AC64" i="18"/>
  <c r="AC302" i="18"/>
  <c r="AC188" i="18"/>
  <c r="AC125" i="18"/>
  <c r="AC260" i="18"/>
  <c r="AC170" i="18"/>
  <c r="AC106" i="18"/>
  <c r="AC362" i="18"/>
  <c r="AC108" i="18"/>
  <c r="AC127" i="18"/>
  <c r="AC119" i="18"/>
  <c r="AC121" i="18"/>
  <c r="AC159" i="18"/>
  <c r="AC124" i="18"/>
  <c r="AC296" i="18"/>
  <c r="AC177" i="18"/>
  <c r="AC323" i="18"/>
  <c r="AC204" i="18"/>
  <c r="AC81" i="18"/>
  <c r="AC278" i="18"/>
  <c r="AC741" i="18"/>
  <c r="AC675" i="18"/>
  <c r="AC704" i="18"/>
  <c r="AC727" i="18"/>
  <c r="AC717" i="18"/>
  <c r="AC706" i="18"/>
  <c r="AC613" i="18"/>
  <c r="AC676" i="18"/>
  <c r="AC662" i="18"/>
  <c r="AC703" i="18"/>
  <c r="AC645" i="18"/>
  <c r="AC590" i="18"/>
  <c r="AC674" i="18"/>
  <c r="AC579" i="18"/>
  <c r="AC606" i="18"/>
  <c r="AC671" i="18"/>
  <c r="AC597" i="18"/>
  <c r="AC539" i="18"/>
  <c r="AC604" i="18"/>
  <c r="AC536" i="18"/>
  <c r="AC654" i="18"/>
  <c r="AC509" i="18"/>
  <c r="AC563" i="18"/>
  <c r="AC506" i="18"/>
  <c r="AC572" i="18"/>
  <c r="AC511" i="18"/>
  <c r="AC750" i="18"/>
  <c r="AC477" i="18"/>
  <c r="AC681" i="18"/>
  <c r="AC466" i="18"/>
  <c r="AC623" i="18"/>
  <c r="AC463" i="18"/>
  <c r="AC580" i="18"/>
  <c r="AC460" i="18"/>
  <c r="AC491" i="18"/>
  <c r="AC390" i="18"/>
  <c r="AC510" i="18"/>
  <c r="AC406" i="18"/>
  <c r="AC513" i="18"/>
  <c r="AC403" i="18"/>
  <c r="AC462" i="18"/>
  <c r="AC341" i="18"/>
  <c r="AC277" i="18"/>
  <c r="AC213" i="18"/>
  <c r="AC464" i="18"/>
  <c r="AC346" i="18"/>
  <c r="AC282" i="18"/>
  <c r="AC218" i="18"/>
  <c r="AC454" i="18"/>
  <c r="AC327" i="18"/>
  <c r="AC263" i="18"/>
  <c r="AC199" i="18"/>
  <c r="AC373" i="18"/>
  <c r="AC300" i="18"/>
  <c r="AC404" i="18"/>
  <c r="AC321" i="18"/>
  <c r="AC367" i="18"/>
  <c r="AC228" i="18"/>
  <c r="AC150" i="18"/>
  <c r="AC86" i="18"/>
  <c r="AC328" i="18"/>
  <c r="AC193" i="18"/>
  <c r="AC131" i="18"/>
  <c r="AC67" i="18"/>
  <c r="AC310" i="18"/>
  <c r="AC200" i="18"/>
  <c r="AC120" i="18"/>
  <c r="AC56" i="18"/>
  <c r="AC273" i="18"/>
  <c r="AC187" i="18"/>
  <c r="AC117" i="18"/>
  <c r="AC53" i="18"/>
  <c r="AC259" i="18"/>
  <c r="AC162" i="18"/>
  <c r="AC98" i="18"/>
  <c r="AC353" i="18"/>
  <c r="AC421" i="18"/>
  <c r="AC451" i="18"/>
  <c r="AC483" i="18"/>
  <c r="AC111" i="18"/>
  <c r="AC132" i="18"/>
  <c r="AC95" i="18"/>
  <c r="AC220" i="18"/>
  <c r="AC103" i="18"/>
  <c r="AC267" i="18"/>
  <c r="AC113" i="18"/>
  <c r="AC549" i="18"/>
  <c r="AC736" i="18"/>
  <c r="AC667" i="18"/>
  <c r="AC696" i="18"/>
  <c r="AC694" i="18"/>
  <c r="AC689" i="18"/>
  <c r="AC668" i="18"/>
  <c r="AC605" i="18"/>
  <c r="AC734" i="18"/>
  <c r="AC657" i="18"/>
  <c r="AC679" i="18"/>
  <c r="AC644" i="18"/>
  <c r="AC582" i="18"/>
  <c r="AC646" i="18"/>
  <c r="AC571" i="18"/>
  <c r="AC601" i="18"/>
  <c r="AC638" i="18"/>
  <c r="AC709" i="18"/>
  <c r="AC531" i="18"/>
  <c r="AC599" i="18"/>
  <c r="AC528" i="18"/>
  <c r="AC596" i="18"/>
  <c r="AC501" i="18"/>
  <c r="AC562" i="18"/>
  <c r="AC498" i="18"/>
  <c r="AC561" i="18"/>
  <c r="AC503" i="18"/>
  <c r="AC695" i="18"/>
  <c r="AC469" i="18"/>
  <c r="AC575" i="18"/>
  <c r="AC458" i="18"/>
  <c r="AC542" i="18"/>
  <c r="AC455" i="18"/>
  <c r="AC534" i="18"/>
  <c r="AC452" i="18"/>
  <c r="AC475" i="18"/>
  <c r="AC382" i="18"/>
  <c r="AC494" i="18"/>
  <c r="AC395" i="18"/>
  <c r="AC489" i="18"/>
  <c r="AC392" i="18"/>
  <c r="AC448" i="18"/>
  <c r="AC333" i="18"/>
  <c r="AC269" i="18"/>
  <c r="AC205" i="18"/>
  <c r="AC438" i="18"/>
  <c r="AC338" i="18"/>
  <c r="AC274" i="18"/>
  <c r="AC210" i="18"/>
  <c r="AC410" i="18"/>
  <c r="AC319" i="18"/>
  <c r="AC255" i="18"/>
  <c r="AC191" i="18"/>
  <c r="AC372" i="18"/>
  <c r="AC292" i="18"/>
  <c r="AC381" i="18"/>
  <c r="AC313" i="18"/>
  <c r="AC336" i="18"/>
  <c r="AC227" i="18"/>
  <c r="AC142" i="18"/>
  <c r="AC78" i="18"/>
  <c r="AC318" i="18"/>
  <c r="AC192" i="18"/>
  <c r="AC123" i="18"/>
  <c r="AC59" i="18"/>
  <c r="AC283" i="18"/>
  <c r="AC176" i="18"/>
  <c r="AC112" i="18"/>
  <c r="AC641" i="18"/>
  <c r="AC272" i="18"/>
  <c r="AC173" i="18"/>
  <c r="AC109" i="18"/>
  <c r="AC497" i="18"/>
  <c r="AC238" i="18"/>
  <c r="AC154" i="18"/>
  <c r="AC90" i="18"/>
  <c r="AC342" i="18"/>
  <c r="AC280" i="18"/>
  <c r="AC315" i="18"/>
  <c r="AC350" i="18"/>
  <c r="AC84" i="18"/>
  <c r="AC105" i="18"/>
  <c r="AC62" i="18"/>
  <c r="AC143" i="18"/>
  <c r="AC100" i="18"/>
  <c r="AC169" i="18"/>
  <c r="AC344" i="18"/>
  <c r="AC140" i="18"/>
  <c r="AC745" i="18"/>
  <c r="AC740" i="18"/>
  <c r="AC659" i="18"/>
  <c r="AC688" i="18"/>
  <c r="AC692" i="18"/>
  <c r="AC687" i="18"/>
  <c r="AC663" i="18"/>
  <c r="AC744" i="18"/>
  <c r="AC723" i="18"/>
  <c r="AC652" i="18"/>
  <c r="AC678" i="18"/>
  <c r="AC622" i="18"/>
  <c r="AC574" i="18"/>
  <c r="AC636" i="18"/>
  <c r="AC743" i="18"/>
  <c r="AC592" i="18"/>
  <c r="AC627" i="18"/>
  <c r="AC664" i="18"/>
  <c r="AC738" i="18"/>
  <c r="AC591" i="18"/>
  <c r="AC520" i="18"/>
  <c r="AC578" i="18"/>
  <c r="AC670" i="18"/>
  <c r="AC551" i="18"/>
  <c r="AC669" i="18"/>
  <c r="AC559" i="18"/>
  <c r="AC495" i="18"/>
  <c r="AC581" i="18"/>
  <c r="AC461" i="18"/>
  <c r="AC540" i="18"/>
  <c r="AC450" i="18"/>
  <c r="AC532" i="18"/>
  <c r="AC447" i="18"/>
  <c r="AC515" i="18"/>
  <c r="AC444" i="18"/>
  <c r="AC459" i="18"/>
  <c r="AC374" i="18"/>
  <c r="AC488" i="18"/>
  <c r="AC387" i="18"/>
  <c r="AC473" i="18"/>
  <c r="AC384" i="18"/>
  <c r="AC416" i="18"/>
  <c r="AC325" i="18"/>
  <c r="AC261" i="18"/>
  <c r="AC197" i="18"/>
  <c r="AC422" i="18"/>
  <c r="AC330" i="18"/>
  <c r="AC266" i="18"/>
  <c r="AC202" i="18"/>
  <c r="AC386" i="18"/>
  <c r="AC311" i="18"/>
  <c r="AC247" i="18"/>
  <c r="AC183" i="18"/>
  <c r="AC348" i="18"/>
  <c r="AC284" i="18"/>
  <c r="AC380" i="18"/>
  <c r="AC305" i="18"/>
  <c r="AC326" i="18"/>
  <c r="AC206" i="18"/>
  <c r="AC134" i="18"/>
  <c r="AC70" i="18"/>
  <c r="AC291" i="18"/>
  <c r="AC179" i="18"/>
  <c r="AC115" i="18"/>
  <c r="AC51" i="18"/>
  <c r="AC265" i="18"/>
  <c r="AC168" i="18"/>
  <c r="AC104" i="18"/>
  <c r="AC500" i="18"/>
  <c r="AC252" i="18"/>
  <c r="AC165" i="18"/>
  <c r="AC101" i="18"/>
  <c r="AC412" i="18"/>
  <c r="AC217" i="18"/>
  <c r="AC146" i="18"/>
  <c r="AC82" i="18"/>
  <c r="AC232" i="18"/>
  <c r="AC241" i="18"/>
  <c r="AC268" i="18"/>
  <c r="AC262" i="18"/>
  <c r="AC54" i="18"/>
  <c r="AC89" i="18"/>
  <c r="AC57" i="18"/>
  <c r="AC116" i="18"/>
  <c r="AC79" i="18"/>
  <c r="AC97" i="18"/>
  <c r="AC153" i="18"/>
  <c r="AC92" i="18"/>
  <c r="AC737" i="18"/>
  <c r="AC715" i="18"/>
  <c r="AC651" i="18"/>
  <c r="AC680" i="18"/>
  <c r="AC752" i="18"/>
  <c r="AC685" i="18"/>
  <c r="AC658" i="18"/>
  <c r="AC725" i="18"/>
  <c r="AC716" i="18"/>
  <c r="AC647" i="18"/>
  <c r="AC666" i="18"/>
  <c r="AC617" i="18"/>
  <c r="AC566" i="18"/>
  <c r="AC635" i="18"/>
  <c r="AC632" i="18"/>
  <c r="AC584" i="18"/>
  <c r="AC626" i="18"/>
  <c r="AC649" i="18"/>
  <c r="AC684" i="18"/>
  <c r="AC570" i="18"/>
  <c r="AC512" i="18"/>
  <c r="AC577" i="18"/>
  <c r="AC660" i="18"/>
  <c r="AC546" i="18"/>
  <c r="AC639" i="18"/>
  <c r="AC557" i="18"/>
  <c r="AC603" i="18"/>
  <c r="AC555" i="18"/>
  <c r="AC453" i="18"/>
  <c r="AC521" i="18"/>
  <c r="AC442" i="18"/>
  <c r="AC518" i="18"/>
  <c r="AC439" i="18"/>
  <c r="AC499" i="18"/>
  <c r="AC436" i="18"/>
  <c r="AC443" i="18"/>
  <c r="AC366" i="18"/>
  <c r="AC472" i="18"/>
  <c r="AC379" i="18"/>
  <c r="AC457" i="18"/>
  <c r="AC376" i="18"/>
  <c r="AC415" i="18"/>
  <c r="AC317" i="18"/>
  <c r="AC253" i="18"/>
  <c r="AC189" i="18"/>
  <c r="AC402" i="18"/>
  <c r="AC322" i="18"/>
  <c r="AC258" i="18"/>
  <c r="AC194" i="18"/>
  <c r="AC385" i="18"/>
  <c r="AC303" i="18"/>
  <c r="AC239" i="18"/>
  <c r="AC470" i="18"/>
  <c r="AC340" i="18"/>
  <c r="AC276" i="18"/>
  <c r="AC359" i="18"/>
  <c r="AC297" i="18"/>
  <c r="AC299" i="18"/>
  <c r="AC185" i="18"/>
  <c r="AC126" i="18"/>
  <c r="AC665" i="18"/>
  <c r="AC257" i="18"/>
  <c r="AC171" i="18"/>
  <c r="AC107" i="18"/>
  <c r="AC407" i="18"/>
  <c r="AC264" i="18"/>
  <c r="AC160" i="18"/>
  <c r="AC96" i="18"/>
  <c r="AC465" i="18"/>
  <c r="AC251" i="18"/>
  <c r="AC157" i="18"/>
  <c r="AC93" i="18"/>
  <c r="AC375" i="18"/>
  <c r="AC216" i="18"/>
  <c r="AC138" i="18"/>
  <c r="AC74" i="18"/>
  <c r="AC198" i="18"/>
  <c r="AC225" i="18"/>
  <c r="AC219" i="18"/>
  <c r="AC246" i="18"/>
  <c r="AC48" i="18"/>
  <c r="AC71" i="18"/>
  <c r="AC55" i="18"/>
  <c r="AC73" i="18"/>
  <c r="AC68" i="18"/>
  <c r="AC240" i="18"/>
  <c r="AC76" i="18"/>
  <c r="AC211" i="18"/>
  <c r="AC730" i="18"/>
  <c r="AC707" i="18"/>
  <c r="AC643" i="18"/>
  <c r="AC672" i="18"/>
  <c r="AC733" i="18"/>
  <c r="AC749" i="18"/>
  <c r="AC653" i="18"/>
  <c r="AC697" i="18"/>
  <c r="AC713" i="18"/>
  <c r="AC642" i="18"/>
  <c r="AC661" i="18"/>
  <c r="AC612" i="18"/>
  <c r="AC558" i="18"/>
  <c r="AC634" i="18"/>
  <c r="AC630" i="18"/>
  <c r="AC576" i="18"/>
  <c r="AC625" i="18"/>
  <c r="AC640" i="18"/>
  <c r="AC624" i="18"/>
  <c r="AC569" i="18"/>
  <c r="AC504" i="18"/>
  <c r="AC541" i="18"/>
  <c r="AC586" i="18"/>
  <c r="AC538" i="18"/>
  <c r="AC600" i="18"/>
  <c r="AC543" i="18"/>
  <c r="AC588" i="18"/>
  <c r="AC524" i="18"/>
  <c r="AC445" i="18"/>
  <c r="AC505" i="18"/>
  <c r="AC434" i="18"/>
  <c r="AC502" i="18"/>
  <c r="AC431" i="18"/>
  <c r="AC492" i="18"/>
  <c r="AC428" i="18"/>
  <c r="AC427" i="18"/>
  <c r="AC358" i="18"/>
  <c r="AC456" i="18"/>
  <c r="AC371" i="18"/>
  <c r="AC441" i="18"/>
  <c r="AC368" i="18"/>
  <c r="AC391" i="18"/>
  <c r="AC309" i="18"/>
  <c r="AC245" i="18"/>
  <c r="AC181" i="18"/>
  <c r="AC378" i="18"/>
  <c r="AC314" i="18"/>
  <c r="AC250" i="18"/>
  <c r="AC186" i="18"/>
  <c r="AC365" i="18"/>
  <c r="AC295" i="18"/>
  <c r="AC231" i="18"/>
  <c r="AC433" i="18"/>
  <c r="AC332" i="18"/>
  <c r="AC486" i="18"/>
  <c r="AC351" i="18"/>
  <c r="AC289" i="18"/>
  <c r="AC275" i="18"/>
  <c r="AC184" i="18"/>
  <c r="AC118" i="18"/>
  <c r="AC467" i="18"/>
  <c r="AC256" i="18"/>
  <c r="AC163" i="18"/>
  <c r="AC99" i="18"/>
  <c r="AC388" i="18"/>
  <c r="AC244" i="18"/>
  <c r="AC152" i="18"/>
  <c r="AC88" i="18"/>
  <c r="AC397" i="18"/>
  <c r="AC230" i="18"/>
  <c r="AC149" i="18"/>
  <c r="AC85" i="18"/>
  <c r="AC331" i="18"/>
  <c r="AC196" i="18"/>
  <c r="AC130" i="18"/>
  <c r="AC66" i="18"/>
  <c r="AC172" i="18"/>
  <c r="AC182" i="18"/>
  <c r="AC203" i="18"/>
  <c r="AC212" i="18"/>
  <c r="AC481" i="18"/>
  <c r="AC52" i="18"/>
  <c r="AC49" i="18"/>
  <c r="AC65" i="18"/>
  <c r="AC63" i="18"/>
  <c r="AC190" i="18"/>
  <c r="AC288" i="18"/>
  <c r="AC180" i="18"/>
  <c r="AG38" i="18"/>
  <c r="AF1021" i="18"/>
  <c r="AF787" i="18"/>
  <c r="AF863" i="18"/>
  <c r="AF960" i="18"/>
  <c r="AF860" i="18"/>
  <c r="AF1084" i="18"/>
  <c r="AF1042" i="18"/>
  <c r="AF794" i="18"/>
  <c r="AF885" i="18"/>
  <c r="AF968" i="18"/>
  <c r="AF906" i="18"/>
  <c r="AF1092" i="18"/>
  <c r="AF1075" i="18"/>
  <c r="AF776" i="18"/>
  <c r="AF882" i="18"/>
  <c r="AF765" i="18"/>
  <c r="AF1025" i="18"/>
  <c r="AF1072" i="18"/>
  <c r="AF869" i="18"/>
  <c r="AF868" i="18"/>
  <c r="AF929" i="18"/>
  <c r="AF1048" i="18"/>
  <c r="AF987" i="18"/>
  <c r="AF763" i="18"/>
  <c r="AF838" i="18"/>
  <c r="AF920" i="18"/>
  <c r="AF1088" i="18"/>
  <c r="AF1045" i="18"/>
  <c r="AF1080" i="18"/>
  <c r="AF879" i="18"/>
  <c r="AF961" i="18"/>
  <c r="AF973" i="18"/>
  <c r="AF1035" i="18"/>
  <c r="AF1066" i="18"/>
  <c r="AF893" i="18"/>
  <c r="AF969" i="18"/>
  <c r="AF991" i="18"/>
  <c r="AF1036" i="18"/>
  <c r="AF913" i="18"/>
  <c r="AF1081" i="18"/>
  <c r="AF857" i="18"/>
  <c r="AF891" i="18"/>
  <c r="AF807" i="18"/>
  <c r="AF870" i="18"/>
  <c r="AF901" i="18"/>
  <c r="AF1062" i="18"/>
  <c r="AF849" i="18"/>
  <c r="AF850" i="18"/>
  <c r="AF886" i="18"/>
  <c r="AF1027" i="18"/>
  <c r="AF928" i="18"/>
  <c r="AF979" i="18"/>
  <c r="AF855" i="18"/>
  <c r="AF853" i="18"/>
  <c r="AF890" i="18"/>
  <c r="AF1039" i="18"/>
  <c r="AF950" i="18"/>
  <c r="AF994" i="18"/>
  <c r="AF846" i="18"/>
  <c r="AF781" i="18"/>
  <c r="AF956" i="18"/>
  <c r="AF875" i="18"/>
  <c r="AF1099" i="18"/>
  <c r="AF789" i="18"/>
  <c r="AF919" i="18"/>
  <c r="AF880" i="18"/>
  <c r="AF933" i="18"/>
  <c r="AF1054" i="18"/>
  <c r="AF824" i="18"/>
  <c r="AF778" i="18"/>
  <c r="AF808" i="18"/>
  <c r="AF986" i="18"/>
  <c r="AF831" i="18"/>
  <c r="AF799" i="18"/>
  <c r="AF931" i="18"/>
  <c r="AF839" i="18"/>
  <c r="AF1041" i="18"/>
  <c r="AF972" i="18"/>
  <c r="AF814" i="18"/>
  <c r="AF755" i="18"/>
  <c r="AF852" i="18"/>
  <c r="AF1049" i="18"/>
  <c r="AF990" i="18"/>
  <c r="AF771" i="18"/>
  <c r="AF821" i="18"/>
  <c r="AF951" i="18"/>
  <c r="AF797" i="18"/>
  <c r="AF948" i="18"/>
  <c r="AF1051" i="18"/>
  <c r="AF788" i="18"/>
  <c r="AF945" i="18"/>
  <c r="AF864" i="18"/>
  <c r="AF811" i="18"/>
  <c r="AF896" i="18"/>
  <c r="AF840" i="18"/>
  <c r="AF1095" i="18"/>
  <c r="AF1022" i="18"/>
  <c r="AF1105" i="18"/>
  <c r="AF759" i="18"/>
  <c r="AF903" i="18"/>
  <c r="AF873" i="18"/>
  <c r="AF825" i="18"/>
  <c r="AF1033" i="18"/>
  <c r="AF1085" i="18"/>
  <c r="AF795" i="18"/>
  <c r="AF938" i="18"/>
  <c r="AF932" i="18"/>
  <c r="AF1015" i="18"/>
  <c r="AF1056" i="18"/>
  <c r="AF779" i="18"/>
  <c r="AF888" i="18"/>
  <c r="AF805" i="18"/>
  <c r="AF1026" i="18"/>
  <c r="AF1043" i="18"/>
  <c r="AF757" i="18"/>
  <c r="AF874" i="18"/>
  <c r="AF941" i="18"/>
  <c r="AF1058" i="18"/>
  <c r="AF995" i="18"/>
  <c r="AF769" i="18"/>
  <c r="AF851" i="18"/>
  <c r="AF937" i="18"/>
  <c r="AF1096" i="18"/>
  <c r="AF1055" i="18"/>
  <c r="AF775" i="18"/>
  <c r="AF854" i="18"/>
  <c r="AF943" i="18"/>
  <c r="AF1097" i="18"/>
  <c r="AF1064" i="18"/>
  <c r="AF997" i="18"/>
  <c r="AF777" i="18"/>
  <c r="AF820" i="18"/>
  <c r="AF889" i="18"/>
  <c r="AF998" i="18"/>
  <c r="AF1060" i="18"/>
  <c r="AF1061" i="18"/>
  <c r="AF1079" i="18"/>
  <c r="AF764" i="18"/>
  <c r="AF837" i="18"/>
  <c r="AF957" i="18"/>
  <c r="AF1007" i="18"/>
  <c r="AF1102" i="18"/>
  <c r="AF1010" i="18"/>
  <c r="AF770" i="18"/>
  <c r="AF847" i="18"/>
  <c r="AF965" i="18"/>
  <c r="AF1017" i="18"/>
  <c r="AF1098" i="18"/>
  <c r="AF773" i="18"/>
  <c r="AF909" i="18"/>
  <c r="AF989" i="18"/>
  <c r="AF1028" i="18"/>
  <c r="AF897" i="18"/>
  <c r="AF967" i="18"/>
  <c r="AF858" i="18"/>
  <c r="AF793" i="18"/>
  <c r="AF964" i="18"/>
  <c r="AF942" i="18"/>
  <c r="AF1067" i="18"/>
  <c r="AF796" i="18"/>
  <c r="AF927" i="18"/>
  <c r="AF914" i="18"/>
  <c r="AF939" i="18"/>
  <c r="AF1063" i="18"/>
  <c r="AF828" i="18"/>
  <c r="AF804" i="18"/>
  <c r="AF816" i="18"/>
  <c r="AF999" i="18"/>
  <c r="AF876" i="18"/>
  <c r="AF832" i="18"/>
  <c r="AF812" i="18"/>
  <c r="AF826" i="18"/>
  <c r="AF1008" i="18"/>
  <c r="AF881" i="18"/>
  <c r="AF1020" i="18"/>
  <c r="AF867" i="18"/>
  <c r="AF1074" i="18"/>
  <c r="AF819" i="18"/>
  <c r="AF1091" i="18"/>
  <c r="AF842" i="18"/>
  <c r="AF1053" i="18"/>
  <c r="AF1065" i="18"/>
  <c r="AF817" i="18"/>
  <c r="AF926" i="18"/>
  <c r="AF947" i="18"/>
  <c r="AF843" i="18"/>
  <c r="AF1031" i="18"/>
  <c r="AF1103" i="18"/>
  <c r="AF834" i="18"/>
  <c r="AF934" i="18"/>
  <c r="AF955" i="18"/>
  <c r="AF861" i="18"/>
  <c r="AF1071" i="18"/>
  <c r="AF848" i="18"/>
  <c r="AF803" i="18"/>
  <c r="AF910" i="18"/>
  <c r="AF1069" i="18"/>
  <c r="AF1023" i="18"/>
  <c r="AF1032" i="18"/>
  <c r="AF823" i="18"/>
  <c r="AF944" i="18"/>
  <c r="AF946" i="18"/>
  <c r="AF1016" i="18"/>
  <c r="AF1086" i="18"/>
  <c r="AF782" i="18"/>
  <c r="AF895" i="18"/>
  <c r="AF866" i="18"/>
  <c r="AF1038" i="18"/>
  <c r="AF1100" i="18"/>
  <c r="AF768" i="18"/>
  <c r="AF877" i="18"/>
  <c r="AF949" i="18"/>
  <c r="AF1068" i="18"/>
  <c r="AF1003" i="18"/>
  <c r="AF774" i="18"/>
  <c r="AF883" i="18"/>
  <c r="AF958" i="18"/>
  <c r="AF1077" i="18"/>
  <c r="AF1004" i="18"/>
  <c r="AF900" i="18"/>
  <c r="AF1050" i="18"/>
  <c r="AF845" i="18"/>
  <c r="AF1087" i="18"/>
  <c r="AF813" i="18"/>
  <c r="AF1005" i="18"/>
  <c r="AF1104" i="18"/>
  <c r="AF982" i="18"/>
  <c r="AF780" i="18"/>
  <c r="AF925" i="18"/>
  <c r="AF815" i="18"/>
  <c r="AF1006" i="18"/>
  <c r="AF1076" i="18"/>
  <c r="AF1093" i="18"/>
  <c r="AF783" i="18"/>
  <c r="AF930" i="18"/>
  <c r="AF922" i="18"/>
  <c r="AF1014" i="18"/>
  <c r="AF1090" i="18"/>
  <c r="AF802" i="18"/>
  <c r="AF892" i="18"/>
  <c r="AF980" i="18"/>
  <c r="AF963" i="18"/>
  <c r="AF809" i="18"/>
  <c r="AF786" i="18"/>
  <c r="AF916" i="18"/>
  <c r="AF810" i="18"/>
  <c r="AF1029" i="18"/>
  <c r="AF959" i="18"/>
  <c r="AF1070" i="18"/>
  <c r="AF859" i="18"/>
  <c r="AF841" i="18"/>
  <c r="AF974" i="18"/>
  <c r="AF975" i="18"/>
  <c r="AF1002" i="18"/>
  <c r="AF767" i="18"/>
  <c r="AF935" i="18"/>
  <c r="AF924" i="18"/>
  <c r="AF954" i="18"/>
  <c r="AF1073" i="18"/>
  <c r="AF800" i="18"/>
  <c r="AF772" i="18"/>
  <c r="AF940" i="18"/>
  <c r="AF983" i="18"/>
  <c r="AF1083" i="18"/>
  <c r="AF970" i="18"/>
  <c r="AF996" i="18"/>
  <c r="AF829" i="18"/>
  <c r="AF1012" i="18"/>
  <c r="AF918" i="18"/>
  <c r="AF835" i="18"/>
  <c r="AF801" i="18"/>
  <c r="AF905" i="18"/>
  <c r="AF1013" i="18"/>
  <c r="AF762" i="18"/>
  <c r="AF878" i="18"/>
  <c r="AF1044" i="18"/>
  <c r="AF899" i="18"/>
  <c r="AF978" i="18"/>
  <c r="AF792" i="18"/>
  <c r="AF818" i="18"/>
  <c r="AF1030" i="18"/>
  <c r="AF1052" i="18"/>
  <c r="AF844" i="18"/>
  <c r="AF977" i="18"/>
  <c r="AF871" i="18"/>
  <c r="AF992" i="18"/>
  <c r="AF761" i="18"/>
  <c r="AF758" i="18"/>
  <c r="AF1057" i="18"/>
  <c r="AF760" i="18"/>
  <c r="AF907" i="18"/>
  <c r="AF971" i="18"/>
  <c r="AF1009" i="18"/>
  <c r="AF1046" i="18"/>
  <c r="AF976" i="18"/>
  <c r="AF766" i="18"/>
  <c r="AF908" i="18"/>
  <c r="AF981" i="18"/>
  <c r="AF1019" i="18"/>
  <c r="AF894" i="18"/>
  <c r="AF1011" i="18"/>
  <c r="AF862" i="18"/>
  <c r="AF856" i="18"/>
  <c r="AF917" i="18"/>
  <c r="AF1040" i="18"/>
  <c r="AF985" i="18"/>
  <c r="AF756" i="18"/>
  <c r="AF833" i="18"/>
  <c r="AF915" i="18"/>
  <c r="AF1078" i="18"/>
  <c r="AF1034" i="18"/>
  <c r="AF962" i="18"/>
  <c r="AF836" i="18"/>
  <c r="AF952" i="18"/>
  <c r="AF953" i="18"/>
  <c r="AF1024" i="18"/>
  <c r="AF898" i="18"/>
  <c r="AF785" i="18"/>
  <c r="AF902" i="18"/>
  <c r="AF904" i="18"/>
  <c r="AF784" i="18"/>
  <c r="AF1047" i="18"/>
  <c r="AF791" i="18"/>
  <c r="AF911" i="18"/>
  <c r="AF921" i="18"/>
  <c r="AF790" i="18"/>
  <c r="AF1089" i="18"/>
  <c r="AF1000" i="18"/>
  <c r="AF1101" i="18"/>
  <c r="AF884" i="18"/>
  <c r="AF827" i="18"/>
  <c r="AF936" i="18"/>
  <c r="AF798" i="18"/>
  <c r="AF1059" i="18"/>
  <c r="AF1001" i="18"/>
  <c r="AF912" i="18"/>
  <c r="AF887" i="18"/>
  <c r="AF806" i="18"/>
  <c r="AF988" i="18"/>
  <c r="AF822" i="18"/>
  <c r="AF923" i="18"/>
  <c r="AF966" i="18"/>
  <c r="AF865" i="18"/>
  <c r="AF984" i="18"/>
  <c r="AF1082" i="18"/>
  <c r="AF872" i="18"/>
  <c r="AF993" i="18"/>
  <c r="AF1037" i="18"/>
  <c r="AF1018" i="18"/>
  <c r="AF830" i="18"/>
  <c r="AF1094" i="18"/>
  <c r="AS36" i="4"/>
  <c r="AT34" i="4"/>
  <c r="AJ90" i="5"/>
  <c r="AG107" i="5" s="1"/>
  <c r="AG6" i="5" s="1"/>
  <c r="AK90" i="5"/>
  <c r="AG108" i="5" s="1"/>
  <c r="AI90" i="5"/>
  <c r="AG106" i="5" s="1"/>
  <c r="AO90" i="5"/>
  <c r="AG111" i="5" s="1"/>
  <c r="AM90" i="5"/>
  <c r="AG109" i="5" s="1"/>
  <c r="AN90" i="5"/>
  <c r="AG110" i="5" s="1"/>
  <c r="AC92" i="5"/>
  <c r="AF92" i="5" s="1"/>
  <c r="AS32" i="4"/>
  <c r="AR31" i="4"/>
  <c r="AD92" i="5"/>
  <c r="AG92" i="5" s="1"/>
  <c r="AX19" i="5" l="1"/>
  <c r="H266" i="26"/>
  <c r="I265" i="26"/>
  <c r="N243" i="26"/>
  <c r="H243" i="26"/>
  <c r="K243" i="26"/>
  <c r="L242" i="26"/>
  <c r="I242" i="26"/>
  <c r="O242" i="26"/>
  <c r="E243" i="26"/>
  <c r="F242" i="26"/>
  <c r="AT36" i="4"/>
  <c r="AT35" i="4"/>
  <c r="AJ24" i="5"/>
  <c r="AI25" i="5"/>
  <c r="AL9" i="18"/>
  <c r="AK15" i="18"/>
  <c r="AL6" i="18"/>
  <c r="AK12" i="18"/>
  <c r="AL8" i="18"/>
  <c r="AK14" i="18"/>
  <c r="AL7" i="18"/>
  <c r="AK13" i="18"/>
  <c r="AK5" i="18"/>
  <c r="AJ11" i="18"/>
  <c r="AG11" i="5" a="1"/>
  <c r="AG11" i="5" s="1"/>
  <c r="AF9" i="5"/>
  <c r="AF10" i="5" s="1"/>
  <c r="AF32" i="5" s="1"/>
  <c r="AX22" i="5"/>
  <c r="AY16" i="5"/>
  <c r="AY21" i="5" s="1"/>
  <c r="AX18" i="5"/>
  <c r="AD63" i="18"/>
  <c r="AD127" i="18"/>
  <c r="AD191" i="18"/>
  <c r="AD232" i="18"/>
  <c r="AD264" i="18"/>
  <c r="AD86" i="18"/>
  <c r="AD150" i="18"/>
  <c r="AD67" i="18"/>
  <c r="AD131" i="18"/>
  <c r="AD195" i="18"/>
  <c r="AD90" i="18"/>
  <c r="AD140" i="18"/>
  <c r="AD227" i="18"/>
  <c r="AD296" i="18"/>
  <c r="AD328" i="18"/>
  <c r="AD360" i="18"/>
  <c r="AD392" i="18"/>
  <c r="AD124" i="18"/>
  <c r="AD231" i="18"/>
  <c r="AD114" i="18"/>
  <c r="AD221" i="18"/>
  <c r="AD285" i="18"/>
  <c r="AD317" i="18"/>
  <c r="AD108" i="18"/>
  <c r="AD186" i="18"/>
  <c r="AD276" i="18"/>
  <c r="AD145" i="18"/>
  <c r="AD261" i="18"/>
  <c r="AD298" i="18"/>
  <c r="AD211" i="18"/>
  <c r="AD342" i="18"/>
  <c r="AD414" i="18"/>
  <c r="AD446" i="18"/>
  <c r="AD478" i="18"/>
  <c r="AD510" i="18"/>
  <c r="AD61" i="18"/>
  <c r="AD337" i="18"/>
  <c r="AD153" i="18"/>
  <c r="AD323" i="18"/>
  <c r="AD407" i="18"/>
  <c r="AD439" i="18"/>
  <c r="AD471" i="18"/>
  <c r="AD503" i="18"/>
  <c r="AD535" i="18"/>
  <c r="AD233" i="18"/>
  <c r="AD386" i="18"/>
  <c r="AD322" i="18"/>
  <c r="AD408" i="18"/>
  <c r="AD440" i="18"/>
  <c r="AD472" i="18"/>
  <c r="AD504" i="18"/>
  <c r="AD536" i="18"/>
  <c r="AD362" i="18"/>
  <c r="AD481" i="18"/>
  <c r="AD339" i="18"/>
  <c r="AD370" i="18"/>
  <c r="AD469" i="18"/>
  <c r="AD319" i="18"/>
  <c r="AD571" i="18"/>
  <c r="AD606" i="18"/>
  <c r="AD638" i="18"/>
  <c r="AD670" i="18"/>
  <c r="AD702" i="18"/>
  <c r="AD734" i="18"/>
  <c r="AD389" i="18"/>
  <c r="AD94" i="18"/>
  <c r="AD550" i="18"/>
  <c r="AD595" i="18"/>
  <c r="AD627" i="18"/>
  <c r="AD659" i="18"/>
  <c r="AD299" i="18"/>
  <c r="AD335" i="18"/>
  <c r="AD584" i="18"/>
  <c r="AD616" i="18"/>
  <c r="AD648" i="18"/>
  <c r="AD680" i="18"/>
  <c r="AD712" i="18"/>
  <c r="AD744" i="18"/>
  <c r="AD525" i="18"/>
  <c r="AD733" i="18"/>
  <c r="AD649" i="18"/>
  <c r="AD568" i="18"/>
  <c r="AD605" i="18"/>
  <c r="AD745" i="18"/>
  <c r="AD558" i="18"/>
  <c r="AD689" i="18"/>
  <c r="AD707" i="18"/>
  <c r="AD729" i="18"/>
  <c r="AD73" i="18"/>
  <c r="AD137" i="18"/>
  <c r="AD201" i="18"/>
  <c r="AD236" i="18"/>
  <c r="AD268" i="18"/>
  <c r="AD96" i="18"/>
  <c r="AD160" i="18"/>
  <c r="AD77" i="18"/>
  <c r="AD141" i="18"/>
  <c r="AD205" i="18"/>
  <c r="AD100" i="18"/>
  <c r="AD143" i="18"/>
  <c r="AD245" i="18"/>
  <c r="AD300" i="18"/>
  <c r="AD332" i="18"/>
  <c r="AD364" i="18"/>
  <c r="AD396" i="18"/>
  <c r="AD130" i="18"/>
  <c r="AD249" i="18"/>
  <c r="AD133" i="18"/>
  <c r="AD230" i="18"/>
  <c r="AD289" i="18"/>
  <c r="AD321" i="18"/>
  <c r="AD123" i="18"/>
  <c r="AD199" i="18"/>
  <c r="AD48" i="18"/>
  <c r="AD151" i="18"/>
  <c r="AD270" i="18"/>
  <c r="AD302" i="18"/>
  <c r="AD242" i="18"/>
  <c r="AD347" i="18"/>
  <c r="AD418" i="18"/>
  <c r="AD450" i="18"/>
  <c r="AD482" i="18"/>
  <c r="AD514" i="18"/>
  <c r="AD81" i="18"/>
  <c r="AD346" i="18"/>
  <c r="AD157" i="18"/>
  <c r="AD331" i="18"/>
  <c r="AD411" i="18"/>
  <c r="AD443" i="18"/>
  <c r="AD475" i="18"/>
  <c r="AD507" i="18"/>
  <c r="AD72" i="18"/>
  <c r="AD274" i="18"/>
  <c r="AD391" i="18"/>
  <c r="AD330" i="18"/>
  <c r="AD412" i="18"/>
  <c r="AD444" i="18"/>
  <c r="AD476" i="18"/>
  <c r="AD508" i="18"/>
  <c r="AD83" i="18"/>
  <c r="AD367" i="18"/>
  <c r="AD513" i="18"/>
  <c r="AD417" i="18"/>
  <c r="AD375" i="18"/>
  <c r="AD517" i="18"/>
  <c r="AD338" i="18"/>
  <c r="AD572" i="18"/>
  <c r="AD610" i="18"/>
  <c r="AD642" i="18"/>
  <c r="AD674" i="18"/>
  <c r="AD706" i="18"/>
  <c r="AD738" i="18"/>
  <c r="AD398" i="18"/>
  <c r="AD147" i="18"/>
  <c r="AD551" i="18"/>
  <c r="AD599" i="18"/>
  <c r="AD631" i="18"/>
  <c r="AD663" i="18"/>
  <c r="AD409" i="18"/>
  <c r="AD437" i="18"/>
  <c r="AD588" i="18"/>
  <c r="AD620" i="18"/>
  <c r="AD652" i="18"/>
  <c r="AD684" i="18"/>
  <c r="AD716" i="18"/>
  <c r="AD748" i="18"/>
  <c r="AD421" i="18"/>
  <c r="AD747" i="18"/>
  <c r="AD673" i="18"/>
  <c r="AD669" i="18"/>
  <c r="AD621" i="18"/>
  <c r="AD661" i="18"/>
  <c r="AD569" i="18"/>
  <c r="AD703" i="18"/>
  <c r="AD725" i="18"/>
  <c r="AD645" i="18"/>
  <c r="AD248" i="18"/>
  <c r="AD99" i="18"/>
  <c r="AD91" i="18"/>
  <c r="AD280" i="18"/>
  <c r="AD376" i="18"/>
  <c r="AD187" i="18"/>
  <c r="AD190" i="18"/>
  <c r="AD262" i="18"/>
  <c r="AD161" i="18"/>
  <c r="AD239" i="18"/>
  <c r="AD282" i="18"/>
  <c r="AD291" i="18"/>
  <c r="AD379" i="18"/>
  <c r="AD494" i="18"/>
  <c r="AD526" i="18"/>
  <c r="AD246" i="18"/>
  <c r="AD355" i="18"/>
  <c r="AD423" i="18"/>
  <c r="AD519" i="18"/>
  <c r="AD134" i="18"/>
  <c r="AD345" i="18"/>
  <c r="AD424" i="18"/>
  <c r="AD488" i="18"/>
  <c r="AD402" i="18"/>
  <c r="AD493" i="18"/>
  <c r="AD559" i="18"/>
  <c r="AD590" i="18"/>
  <c r="AD654" i="18"/>
  <c r="AD750" i="18"/>
  <c r="AD366" i="18"/>
  <c r="AD611" i="18"/>
  <c r="AD675" i="18"/>
  <c r="AD546" i="18"/>
  <c r="AD632" i="18"/>
  <c r="AD696" i="18"/>
  <c r="AD251" i="18"/>
  <c r="AD585" i="18"/>
  <c r="AD719" i="18"/>
  <c r="AD681" i="18"/>
  <c r="AD609" i="18"/>
  <c r="AD50" i="18"/>
  <c r="AD743" i="18"/>
  <c r="AD74" i="18"/>
  <c r="AD138" i="18"/>
  <c r="AD202" i="18"/>
  <c r="AD240" i="18"/>
  <c r="AD272" i="18"/>
  <c r="AD107" i="18"/>
  <c r="AD171" i="18"/>
  <c r="AD78" i="18"/>
  <c r="AD142" i="18"/>
  <c r="AD206" i="18"/>
  <c r="AD69" i="18"/>
  <c r="AD156" i="18"/>
  <c r="AD254" i="18"/>
  <c r="AD304" i="18"/>
  <c r="AD336" i="18"/>
  <c r="AD368" i="18"/>
  <c r="AD403" i="18"/>
  <c r="AD146" i="18"/>
  <c r="AD258" i="18"/>
  <c r="AD155" i="18"/>
  <c r="AD235" i="18"/>
  <c r="AD293" i="18"/>
  <c r="AD325" i="18"/>
  <c r="AD136" i="18"/>
  <c r="AD225" i="18"/>
  <c r="AD59" i="18"/>
  <c r="AD154" i="18"/>
  <c r="AD275" i="18"/>
  <c r="AD306" i="18"/>
  <c r="AD255" i="18"/>
  <c r="AD365" i="18"/>
  <c r="AD422" i="18"/>
  <c r="AD454" i="18"/>
  <c r="AD486" i="18"/>
  <c r="AD518" i="18"/>
  <c r="AD122" i="18"/>
  <c r="AD351" i="18"/>
  <c r="AD188" i="18"/>
  <c r="AD341" i="18"/>
  <c r="AD415" i="18"/>
  <c r="AD447" i="18"/>
  <c r="AD479" i="18"/>
  <c r="AD511" i="18"/>
  <c r="AD92" i="18"/>
  <c r="AD279" i="18"/>
  <c r="AD87" i="18"/>
  <c r="AD349" i="18"/>
  <c r="AD416" i="18"/>
  <c r="AD448" i="18"/>
  <c r="AD480" i="18"/>
  <c r="AD512" i="18"/>
  <c r="AD103" i="18"/>
  <c r="AD385" i="18"/>
  <c r="AD541" i="18"/>
  <c r="AD429" i="18"/>
  <c r="AD425" i="18"/>
  <c r="AD540" i="18"/>
  <c r="AD473" i="18"/>
  <c r="AD582" i="18"/>
  <c r="AD614" i="18"/>
  <c r="AD646" i="18"/>
  <c r="AD678" i="18"/>
  <c r="AD710" i="18"/>
  <c r="AD742" i="18"/>
  <c r="AD453" i="18"/>
  <c r="AD265" i="18"/>
  <c r="AD563" i="18"/>
  <c r="AD603" i="18"/>
  <c r="AD635" i="18"/>
  <c r="AD667" i="18"/>
  <c r="AD433" i="18"/>
  <c r="AD485" i="18"/>
  <c r="AD592" i="18"/>
  <c r="AD624" i="18"/>
  <c r="AD656" i="18"/>
  <c r="AD688" i="18"/>
  <c r="AD720" i="18"/>
  <c r="AD752" i="18"/>
  <c r="AD567" i="18"/>
  <c r="AD112" i="18"/>
  <c r="AD687" i="18"/>
  <c r="AD691" i="18"/>
  <c r="AD637" i="18"/>
  <c r="AD685" i="18"/>
  <c r="AD580" i="18"/>
  <c r="AD721" i="18"/>
  <c r="AD739" i="18"/>
  <c r="AD711" i="18"/>
  <c r="AD95" i="18"/>
  <c r="AD216" i="18"/>
  <c r="AD54" i="18"/>
  <c r="AD182" i="18"/>
  <c r="AD163" i="18"/>
  <c r="AD178" i="18"/>
  <c r="AD344" i="18"/>
  <c r="AD51" i="18"/>
  <c r="AD333" i="18"/>
  <c r="AD101" i="18"/>
  <c r="AD314" i="18"/>
  <c r="AD462" i="18"/>
  <c r="AD378" i="18"/>
  <c r="AD487" i="18"/>
  <c r="AD363" i="18"/>
  <c r="AD520" i="18"/>
  <c r="AD549" i="18"/>
  <c r="AD539" i="18"/>
  <c r="AD686" i="18"/>
  <c r="AD497" i="18"/>
  <c r="AD643" i="18"/>
  <c r="AD600" i="18"/>
  <c r="AD728" i="18"/>
  <c r="AD723" i="18"/>
  <c r="AD542" i="18"/>
  <c r="AD84" i="18"/>
  <c r="AD148" i="18"/>
  <c r="AD212" i="18"/>
  <c r="AD244" i="18"/>
  <c r="AD53" i="18"/>
  <c r="AD117" i="18"/>
  <c r="AD181" i="18"/>
  <c r="AD88" i="18"/>
  <c r="AD152" i="18"/>
  <c r="AD57" i="18"/>
  <c r="AD80" i="18"/>
  <c r="AD162" i="18"/>
  <c r="AD259" i="18"/>
  <c r="AD308" i="18"/>
  <c r="AD340" i="18"/>
  <c r="AD372" i="18"/>
  <c r="AD49" i="18"/>
  <c r="AD165" i="18"/>
  <c r="AD263" i="18"/>
  <c r="AD168" i="18"/>
  <c r="AD253" i="18"/>
  <c r="AD297" i="18"/>
  <c r="AD329" i="18"/>
  <c r="AD158" i="18"/>
  <c r="AD234" i="18"/>
  <c r="AD70" i="18"/>
  <c r="AD167" i="18"/>
  <c r="AD278" i="18"/>
  <c r="AD310" i="18"/>
  <c r="AD269" i="18"/>
  <c r="AD374" i="18"/>
  <c r="AD426" i="18"/>
  <c r="AD458" i="18"/>
  <c r="AD490" i="18"/>
  <c r="AD522" i="18"/>
  <c r="AD125" i="18"/>
  <c r="AD369" i="18"/>
  <c r="AD204" i="18"/>
  <c r="AD350" i="18"/>
  <c r="AD419" i="18"/>
  <c r="AD451" i="18"/>
  <c r="AD483" i="18"/>
  <c r="AD515" i="18"/>
  <c r="AD119" i="18"/>
  <c r="AD311" i="18"/>
  <c r="AD135" i="18"/>
  <c r="AD358" i="18"/>
  <c r="AD420" i="18"/>
  <c r="AD452" i="18"/>
  <c r="AD484" i="18"/>
  <c r="AD516" i="18"/>
  <c r="AD198" i="18"/>
  <c r="AD394" i="18"/>
  <c r="AD545" i="18"/>
  <c r="AD461" i="18"/>
  <c r="AD457" i="18"/>
  <c r="AD556" i="18"/>
  <c r="AD529" i="18"/>
  <c r="AD586" i="18"/>
  <c r="AD618" i="18"/>
  <c r="AD650" i="18"/>
  <c r="AD682" i="18"/>
  <c r="AD714" i="18"/>
  <c r="AD746" i="18"/>
  <c r="AD477" i="18"/>
  <c r="AD295" i="18"/>
  <c r="AD564" i="18"/>
  <c r="AD607" i="18"/>
  <c r="AD639" i="18"/>
  <c r="AD671" i="18"/>
  <c r="AD505" i="18"/>
  <c r="AD509" i="18"/>
  <c r="AD596" i="18"/>
  <c r="AD628" i="18"/>
  <c r="AD660" i="18"/>
  <c r="AD692" i="18"/>
  <c r="AD724" i="18"/>
  <c r="AD179" i="18"/>
  <c r="AD578" i="18"/>
  <c r="AD543" i="18"/>
  <c r="AD705" i="18"/>
  <c r="AD709" i="18"/>
  <c r="AD665" i="18"/>
  <c r="AD699" i="18"/>
  <c r="AD593" i="18"/>
  <c r="AD735" i="18"/>
  <c r="AD445" i="18"/>
  <c r="AD597" i="18"/>
  <c r="AD159" i="18"/>
  <c r="AD118" i="18"/>
  <c r="AD58" i="18"/>
  <c r="AD312" i="18"/>
  <c r="AD60" i="18"/>
  <c r="AD301" i="18"/>
  <c r="AD208" i="18"/>
  <c r="AD430" i="18"/>
  <c r="AD172" i="18"/>
  <c r="AD455" i="18"/>
  <c r="AD166" i="18"/>
  <c r="AD223" i="18"/>
  <c r="AD489" i="18"/>
  <c r="AD622" i="18"/>
  <c r="AD718" i="18"/>
  <c r="AD574" i="18"/>
  <c r="AD548" i="18"/>
  <c r="AD664" i="18"/>
  <c r="AD677" i="18"/>
  <c r="AD717" i="18"/>
  <c r="AD456" i="18"/>
  <c r="AD105" i="18"/>
  <c r="AD169" i="18"/>
  <c r="AD220" i="18"/>
  <c r="AD252" i="18"/>
  <c r="AD64" i="18"/>
  <c r="AD128" i="18"/>
  <c r="AD192" i="18"/>
  <c r="AD109" i="18"/>
  <c r="AD173" i="18"/>
  <c r="AD68" i="18"/>
  <c r="AD102" i="18"/>
  <c r="AD197" i="18"/>
  <c r="AD284" i="18"/>
  <c r="AD316" i="18"/>
  <c r="AD348" i="18"/>
  <c r="AD380" i="18"/>
  <c r="AD71" i="18"/>
  <c r="AD200" i="18"/>
  <c r="AD62" i="18"/>
  <c r="AD193" i="18"/>
  <c r="AD267" i="18"/>
  <c r="AD305" i="18"/>
  <c r="AD55" i="18"/>
  <c r="AD164" i="18"/>
  <c r="AD257" i="18"/>
  <c r="AD126" i="18"/>
  <c r="AD229" i="18"/>
  <c r="AD286" i="18"/>
  <c r="AD65" i="18"/>
  <c r="AD318" i="18"/>
  <c r="AD397" i="18"/>
  <c r="AD434" i="18"/>
  <c r="AD466" i="18"/>
  <c r="AD498" i="18"/>
  <c r="AD530" i="18"/>
  <c r="AD215" i="18"/>
  <c r="AD383" i="18"/>
  <c r="AD273" i="18"/>
  <c r="AD373" i="18"/>
  <c r="AD427" i="18"/>
  <c r="AD459" i="18"/>
  <c r="AD491" i="18"/>
  <c r="AD523" i="18"/>
  <c r="AD185" i="18"/>
  <c r="AD354" i="18"/>
  <c r="AD247" i="18"/>
  <c r="AD381" i="18"/>
  <c r="AD428" i="18"/>
  <c r="AD460" i="18"/>
  <c r="AD492" i="18"/>
  <c r="AD524" i="18"/>
  <c r="AD237" i="18"/>
  <c r="AD361" i="18"/>
  <c r="AD553" i="18"/>
  <c r="AD533" i="18"/>
  <c r="AD113" i="18"/>
  <c r="AD560" i="18"/>
  <c r="AD554" i="18"/>
  <c r="AD594" i="18"/>
  <c r="AD626" i="18"/>
  <c r="AD658" i="18"/>
  <c r="AD690" i="18"/>
  <c r="AD722" i="18"/>
  <c r="AD144" i="18"/>
  <c r="AD552" i="18"/>
  <c r="AD413" i="18"/>
  <c r="AD583" i="18"/>
  <c r="AD615" i="18"/>
  <c r="AD647" i="18"/>
  <c r="AD679" i="18"/>
  <c r="AD565" i="18"/>
  <c r="AD547" i="18"/>
  <c r="AD604" i="18"/>
  <c r="AD636" i="18"/>
  <c r="AD668" i="18"/>
  <c r="AD700" i="18"/>
  <c r="AD732" i="18"/>
  <c r="AD343" i="18"/>
  <c r="AD683" i="18"/>
  <c r="AD601" i="18"/>
  <c r="AD737" i="18"/>
  <c r="AD741" i="18"/>
  <c r="AD695" i="18"/>
  <c r="AD731" i="18"/>
  <c r="AD625" i="18"/>
  <c r="AD537" i="18"/>
  <c r="AD629" i="18"/>
  <c r="AD106" i="18"/>
  <c r="AD170" i="18"/>
  <c r="AD224" i="18"/>
  <c r="AD256" i="18"/>
  <c r="AD75" i="18"/>
  <c r="AD139" i="18"/>
  <c r="AD203" i="18"/>
  <c r="AD110" i="18"/>
  <c r="AD174" i="18"/>
  <c r="AD79" i="18"/>
  <c r="AD115" i="18"/>
  <c r="AD213" i="18"/>
  <c r="AD288" i="18"/>
  <c r="AD320" i="18"/>
  <c r="AD352" i="18"/>
  <c r="AD384" i="18"/>
  <c r="AD82" i="18"/>
  <c r="AD217" i="18"/>
  <c r="AD93" i="18"/>
  <c r="AD196" i="18"/>
  <c r="AD277" i="18"/>
  <c r="AD309" i="18"/>
  <c r="AD66" i="18"/>
  <c r="AD177" i="18"/>
  <c r="AD266" i="18"/>
  <c r="AD129" i="18"/>
  <c r="AD238" i="18"/>
  <c r="AD290" i="18"/>
  <c r="AD176" i="18"/>
  <c r="AD326" i="18"/>
  <c r="AD406" i="18"/>
  <c r="AD438" i="18"/>
  <c r="AD470" i="18"/>
  <c r="AD502" i="18"/>
  <c r="AD534" i="18"/>
  <c r="AD218" i="18"/>
  <c r="AD404" i="18"/>
  <c r="AD283" i="18"/>
  <c r="AD382" i="18"/>
  <c r="AD431" i="18"/>
  <c r="AD463" i="18"/>
  <c r="AD495" i="18"/>
  <c r="AD527" i="18"/>
  <c r="AD189" i="18"/>
  <c r="AD359" i="18"/>
  <c r="AD250" i="18"/>
  <c r="AD390" i="18"/>
  <c r="AD432" i="18"/>
  <c r="AD464" i="18"/>
  <c r="AD496" i="18"/>
  <c r="AD528" i="18"/>
  <c r="AD303" i="18"/>
  <c r="AD405" i="18"/>
  <c r="AD557" i="18"/>
  <c r="AD214" i="18"/>
  <c r="AD210" i="18"/>
  <c r="AD570" i="18"/>
  <c r="AD555" i="18"/>
  <c r="AD598" i="18"/>
  <c r="AD630" i="18"/>
  <c r="AD662" i="18"/>
  <c r="AD694" i="18"/>
  <c r="AD726" i="18"/>
  <c r="AD194" i="18"/>
  <c r="AD562" i="18"/>
  <c r="AD501" i="18"/>
  <c r="AD587" i="18"/>
  <c r="AD619" i="18"/>
  <c r="AD651" i="18"/>
  <c r="AD98" i="18"/>
  <c r="AD575" i="18"/>
  <c r="AD566" i="18"/>
  <c r="AD608" i="18"/>
  <c r="AD640" i="18"/>
  <c r="AD672" i="18"/>
  <c r="AD704" i="18"/>
  <c r="AD736" i="18"/>
  <c r="AD393" i="18"/>
  <c r="AD701" i="18"/>
  <c r="AD617" i="18"/>
  <c r="AD751" i="18"/>
  <c r="AD579" i="18"/>
  <c r="AD713" i="18"/>
  <c r="AD749" i="18"/>
  <c r="AD641" i="18"/>
  <c r="AD653" i="18"/>
  <c r="AD697" i="18"/>
  <c r="AD52" i="18"/>
  <c r="AD116" i="18"/>
  <c r="AD180" i="18"/>
  <c r="AD228" i="18"/>
  <c r="AD260" i="18"/>
  <c r="AD85" i="18"/>
  <c r="AD149" i="18"/>
  <c r="AD56" i="18"/>
  <c r="AD120" i="18"/>
  <c r="AD184" i="18"/>
  <c r="AD89" i="18"/>
  <c r="AD121" i="18"/>
  <c r="AD222" i="18"/>
  <c r="AD292" i="18"/>
  <c r="AD324" i="18"/>
  <c r="AD356" i="18"/>
  <c r="AD388" i="18"/>
  <c r="AD111" i="18"/>
  <c r="AD226" i="18"/>
  <c r="AD104" i="18"/>
  <c r="AD209" i="18"/>
  <c r="AD281" i="18"/>
  <c r="AD313" i="18"/>
  <c r="AD97" i="18"/>
  <c r="AD183" i="18"/>
  <c r="AD271" i="18"/>
  <c r="AD132" i="18"/>
  <c r="AD243" i="18"/>
  <c r="AD294" i="18"/>
  <c r="AD207" i="18"/>
  <c r="AD334" i="18"/>
  <c r="AD410" i="18"/>
  <c r="AD442" i="18"/>
  <c r="AD474" i="18"/>
  <c r="AD506" i="18"/>
  <c r="AD538" i="18"/>
  <c r="AD287" i="18"/>
  <c r="AD76" i="18"/>
  <c r="AD315" i="18"/>
  <c r="AD387" i="18"/>
  <c r="AD435" i="18"/>
  <c r="AD467" i="18"/>
  <c r="AD499" i="18"/>
  <c r="AD531" i="18"/>
  <c r="AD219" i="18"/>
  <c r="AD377" i="18"/>
  <c r="AD307" i="18"/>
  <c r="AD395" i="18"/>
  <c r="AD436" i="18"/>
  <c r="AD468" i="18"/>
  <c r="AD500" i="18"/>
  <c r="AD532" i="18"/>
  <c r="AD353" i="18"/>
  <c r="AD449" i="18"/>
  <c r="AD327" i="18"/>
  <c r="AD241" i="18"/>
  <c r="AD371" i="18"/>
  <c r="AD581" i="18"/>
  <c r="AD561" i="18"/>
  <c r="AD602" i="18"/>
  <c r="AD634" i="18"/>
  <c r="AD666" i="18"/>
  <c r="AD698" i="18"/>
  <c r="AD730" i="18"/>
  <c r="AD357" i="18"/>
  <c r="AD573" i="18"/>
  <c r="AD521" i="18"/>
  <c r="AD591" i="18"/>
  <c r="AD623" i="18"/>
  <c r="AD655" i="18"/>
  <c r="AD175" i="18"/>
  <c r="AD576" i="18"/>
  <c r="AD577" i="18"/>
  <c r="AD612" i="18"/>
  <c r="AD644" i="18"/>
  <c r="AD676" i="18"/>
  <c r="AD708" i="18"/>
  <c r="AD740" i="18"/>
  <c r="AD441" i="18"/>
  <c r="AD715" i="18"/>
  <c r="AD633" i="18"/>
  <c r="AD544" i="18"/>
  <c r="AD589" i="18"/>
  <c r="AD727" i="18"/>
  <c r="AD465" i="18"/>
  <c r="AD657" i="18"/>
  <c r="AD693" i="18"/>
  <c r="AD613" i="18"/>
  <c r="Y4" i="18"/>
  <c r="Y44" i="18" s="1"/>
  <c r="X401" i="18"/>
  <c r="X47" i="18"/>
  <c r="X754" i="18"/>
  <c r="AH38" i="18"/>
  <c r="AG921" i="18"/>
  <c r="AG1094" i="18"/>
  <c r="AG787" i="18"/>
  <c r="AG880" i="18"/>
  <c r="AG844" i="18"/>
  <c r="AG994" i="18"/>
  <c r="AG1038" i="18"/>
  <c r="AG776" i="18"/>
  <c r="AG823" i="18"/>
  <c r="AG969" i="18"/>
  <c r="AG1079" i="18"/>
  <c r="AG1014" i="18"/>
  <c r="AG782" i="18"/>
  <c r="AG836" i="18"/>
  <c r="AG970" i="18"/>
  <c r="AG1080" i="18"/>
  <c r="AG1015" i="18"/>
  <c r="AG806" i="18"/>
  <c r="AG917" i="18"/>
  <c r="AG925" i="18"/>
  <c r="AG1020" i="18"/>
  <c r="AG937" i="18"/>
  <c r="AG815" i="18"/>
  <c r="AG924" i="18"/>
  <c r="AG930" i="18"/>
  <c r="AG1031" i="18"/>
  <c r="AG947" i="18"/>
  <c r="AG1101" i="18"/>
  <c r="AG783" i="18"/>
  <c r="AG814" i="18"/>
  <c r="AG929" i="18"/>
  <c r="AG847" i="18"/>
  <c r="AG1084" i="18"/>
  <c r="AG1099" i="18"/>
  <c r="AG788" i="18"/>
  <c r="AG903" i="18"/>
  <c r="AG940" i="18"/>
  <c r="AG1027" i="18"/>
  <c r="AG1087" i="18"/>
  <c r="AG1039" i="18"/>
  <c r="AG807" i="18"/>
  <c r="AG997" i="18"/>
  <c r="AG837" i="18"/>
  <c r="AG1059" i="18"/>
  <c r="AG869" i="18"/>
  <c r="AG908" i="18"/>
  <c r="AG998" i="18"/>
  <c r="AG760" i="18"/>
  <c r="AG829" i="18"/>
  <c r="AG1037" i="18"/>
  <c r="AG1076" i="18"/>
  <c r="AG1090" i="18"/>
  <c r="AG770" i="18"/>
  <c r="AG813" i="18"/>
  <c r="AG961" i="18"/>
  <c r="AG1070" i="18"/>
  <c r="AG1006" i="18"/>
  <c r="AG798" i="18"/>
  <c r="AG827" i="18"/>
  <c r="AG855" i="18"/>
  <c r="AG946" i="18"/>
  <c r="AG1056" i="18"/>
  <c r="AG803" i="18"/>
  <c r="AG832" i="18"/>
  <c r="AG860" i="18"/>
  <c r="AG951" i="18"/>
  <c r="AG1065" i="18"/>
  <c r="AG789" i="18"/>
  <c r="AG879" i="18"/>
  <c r="AG971" i="18"/>
  <c r="AG1081" i="18"/>
  <c r="AG1016" i="18"/>
  <c r="AG772" i="18"/>
  <c r="AG893" i="18"/>
  <c r="AG981" i="18"/>
  <c r="AG1089" i="18"/>
  <c r="AG1024" i="18"/>
  <c r="AG1012" i="18"/>
  <c r="AG773" i="18"/>
  <c r="AG896" i="18"/>
  <c r="AG926" i="18"/>
  <c r="AG1018" i="18"/>
  <c r="AG1004" i="18"/>
  <c r="AG1033" i="18"/>
  <c r="AG866" i="18"/>
  <c r="AG881" i="18"/>
  <c r="AG810" i="18"/>
  <c r="AG939" i="18"/>
  <c r="AG1047" i="18"/>
  <c r="AG872" i="18"/>
  <c r="AG984" i="18"/>
  <c r="AG995" i="18"/>
  <c r="AG865" i="18"/>
  <c r="AG1023" i="18"/>
  <c r="AG878" i="18"/>
  <c r="AG1001" i="18"/>
  <c r="AG955" i="18"/>
  <c r="AG972" i="18"/>
  <c r="AG1050" i="18"/>
  <c r="AG870" i="18"/>
  <c r="AG1082" i="18"/>
  <c r="AG905" i="18"/>
  <c r="AG790" i="18"/>
  <c r="AG822" i="18"/>
  <c r="AG834" i="18"/>
  <c r="AG909" i="18"/>
  <c r="AG1046" i="18"/>
  <c r="AG850" i="18"/>
  <c r="AG890" i="18"/>
  <c r="AG922" i="18"/>
  <c r="AG1029" i="18"/>
  <c r="AG931" i="18"/>
  <c r="AG856" i="18"/>
  <c r="AG891" i="18"/>
  <c r="AG934" i="18"/>
  <c r="AG1030" i="18"/>
  <c r="AG964" i="18"/>
  <c r="AG812" i="18"/>
  <c r="AG835" i="18"/>
  <c r="AG875" i="18"/>
  <c r="AG973" i="18"/>
  <c r="AG1066" i="18"/>
  <c r="AG816" i="18"/>
  <c r="AG842" i="18"/>
  <c r="AG888" i="18"/>
  <c r="AG991" i="18"/>
  <c r="AG1075" i="18"/>
  <c r="AG1068" i="18"/>
  <c r="AG852" i="18"/>
  <c r="AG859" i="18"/>
  <c r="AG799" i="18"/>
  <c r="AG933" i="18"/>
  <c r="AG943" i="18"/>
  <c r="AG767" i="18"/>
  <c r="AG867" i="18"/>
  <c r="AG990" i="18"/>
  <c r="AG979" i="18"/>
  <c r="AG1025" i="18"/>
  <c r="AG1104" i="18"/>
  <c r="AG885" i="18"/>
  <c r="AG1026" i="18"/>
  <c r="AG1044" i="18"/>
  <c r="AG898" i="18"/>
  <c r="AG801" i="18"/>
  <c r="AG992" i="18"/>
  <c r="AG857" i="18"/>
  <c r="AG839" i="18"/>
  <c r="AG846" i="18"/>
  <c r="AG1005" i="18"/>
  <c r="AG948" i="18"/>
  <c r="AG1102" i="18"/>
  <c r="AG1002" i="18"/>
  <c r="AG841" i="18"/>
  <c r="AG871" i="18"/>
  <c r="AG902" i="18"/>
  <c r="AG1028" i="18"/>
  <c r="AG911" i="18"/>
  <c r="AG756" i="18"/>
  <c r="AG766" i="18"/>
  <c r="AG858" i="18"/>
  <c r="AG1078" i="18"/>
  <c r="AG1045" i="18"/>
  <c r="AG765" i="18"/>
  <c r="AG769" i="18"/>
  <c r="AG882" i="18"/>
  <c r="AG1088" i="18"/>
  <c r="AG1055" i="18"/>
  <c r="AG863" i="18"/>
  <c r="AG897" i="18"/>
  <c r="AG942" i="18"/>
  <c r="AG1041" i="18"/>
  <c r="AG980" i="18"/>
  <c r="AG876" i="18"/>
  <c r="AG904" i="18"/>
  <c r="AG950" i="18"/>
  <c r="AG1049" i="18"/>
  <c r="AG996" i="18"/>
  <c r="AG761" i="18"/>
  <c r="AG861" i="18"/>
  <c r="AG982" i="18"/>
  <c r="AG976" i="18"/>
  <c r="AG1017" i="18"/>
  <c r="AG1091" i="18"/>
  <c r="AG843" i="18"/>
  <c r="AG774" i="18"/>
  <c r="AG944" i="18"/>
  <c r="AG1052" i="18"/>
  <c r="AG977" i="18"/>
  <c r="AG1061" i="18"/>
  <c r="AG864" i="18"/>
  <c r="AG1067" i="18"/>
  <c r="AG784" i="18"/>
  <c r="AG1019" i="18"/>
  <c r="AG853" i="18"/>
  <c r="AG1072" i="18"/>
  <c r="AG886" i="18"/>
  <c r="AG1010" i="18"/>
  <c r="AG755" i="18"/>
  <c r="AG959" i="18"/>
  <c r="AG1092" i="18"/>
  <c r="AG1021" i="18"/>
  <c r="AG1043" i="18"/>
  <c r="AG802" i="18"/>
  <c r="AG936" i="18"/>
  <c r="AG848" i="18"/>
  <c r="AG1069" i="18"/>
  <c r="AG1034" i="18"/>
  <c r="AG759" i="18"/>
  <c r="AG874" i="18"/>
  <c r="AG966" i="18"/>
  <c r="AG978" i="18"/>
  <c r="AG1077" i="18"/>
  <c r="AG762" i="18"/>
  <c r="AG877" i="18"/>
  <c r="AG819" i="18"/>
  <c r="AG986" i="18"/>
  <c r="AG1058" i="18"/>
  <c r="AG771" i="18"/>
  <c r="AG785" i="18"/>
  <c r="AG884" i="18"/>
  <c r="AG1096" i="18"/>
  <c r="AG1064" i="18"/>
  <c r="AG777" i="18"/>
  <c r="AG791" i="18"/>
  <c r="AG907" i="18"/>
  <c r="AG1097" i="18"/>
  <c r="AG1074" i="18"/>
  <c r="AG828" i="18"/>
  <c r="AG932" i="18"/>
  <c r="AG938" i="18"/>
  <c r="AG1042" i="18"/>
  <c r="AG968" i="18"/>
  <c r="AG1100" i="18"/>
  <c r="AG781" i="18"/>
  <c r="AG775" i="18"/>
  <c r="AG821" i="18"/>
  <c r="AG851" i="18"/>
  <c r="AG1036" i="18"/>
  <c r="AG1003" i="18"/>
  <c r="AG954" i="18"/>
  <c r="AG757" i="18"/>
  <c r="AG817" i="18"/>
  <c r="AG797" i="18"/>
  <c r="AG949" i="18"/>
  <c r="AG793" i="18"/>
  <c r="AG800" i="18"/>
  <c r="AG962" i="18"/>
  <c r="AG1007" i="18"/>
  <c r="AG1095" i="18"/>
  <c r="AG873" i="18"/>
  <c r="AG854" i="18"/>
  <c r="AG1086" i="18"/>
  <c r="AG805" i="18"/>
  <c r="AG868" i="18"/>
  <c r="AG958" i="18"/>
  <c r="AG963" i="18"/>
  <c r="AG1105" i="18"/>
  <c r="AG818" i="18"/>
  <c r="AG927" i="18"/>
  <c r="AG965" i="18"/>
  <c r="AG1048" i="18"/>
  <c r="AG1063" i="18"/>
  <c r="AG826" i="18"/>
  <c r="AG935" i="18"/>
  <c r="AG975" i="18"/>
  <c r="AG887" i="18"/>
  <c r="AG1053" i="18"/>
  <c r="AG792" i="18"/>
  <c r="AG883" i="18"/>
  <c r="AG840" i="18"/>
  <c r="AG999" i="18"/>
  <c r="AG1073" i="18"/>
  <c r="AG796" i="18"/>
  <c r="AG889" i="18"/>
  <c r="AG914" i="18"/>
  <c r="AG1008" i="18"/>
  <c r="AG1054" i="18"/>
  <c r="AG778" i="18"/>
  <c r="AG900" i="18"/>
  <c r="AG989" i="18"/>
  <c r="AG1098" i="18"/>
  <c r="AG1035" i="18"/>
  <c r="AG1071" i="18"/>
  <c r="AG833" i="18"/>
  <c r="AG862" i="18"/>
  <c r="AG894" i="18"/>
  <c r="AG1009" i="18"/>
  <c r="AG1093" i="18"/>
  <c r="AG804" i="18"/>
  <c r="AG1083" i="18"/>
  <c r="AG795" i="18"/>
  <c r="AG831" i="18"/>
  <c r="AG794" i="18"/>
  <c r="AG906" i="18"/>
  <c r="AG923" i="18"/>
  <c r="AG768" i="18"/>
  <c r="AG960" i="18"/>
  <c r="AG987" i="18"/>
  <c r="AG786" i="18"/>
  <c r="AG1060" i="18"/>
  <c r="AG1011" i="18"/>
  <c r="AG1062" i="18"/>
  <c r="AG808" i="18"/>
  <c r="AG919" i="18"/>
  <c r="AG957" i="18"/>
  <c r="AG1040" i="18"/>
  <c r="AG1057" i="18"/>
  <c r="AG758" i="18"/>
  <c r="AG945" i="18"/>
  <c r="AG915" i="18"/>
  <c r="AG983" i="18"/>
  <c r="AG974" i="18"/>
  <c r="AG764" i="18"/>
  <c r="AG953" i="18"/>
  <c r="AG918" i="18"/>
  <c r="AG988" i="18"/>
  <c r="AG1022" i="18"/>
  <c r="AG830" i="18"/>
  <c r="AG825" i="18"/>
  <c r="AG985" i="18"/>
  <c r="AG910" i="18"/>
  <c r="AG895" i="18"/>
  <c r="AG838" i="18"/>
  <c r="AG849" i="18"/>
  <c r="AG993" i="18"/>
  <c r="AG916" i="18"/>
  <c r="AG1032" i="18"/>
  <c r="AG820" i="18"/>
  <c r="AG845" i="18"/>
  <c r="AG892" i="18"/>
  <c r="AG1000" i="18"/>
  <c r="AG1085" i="18"/>
  <c r="AG809" i="18"/>
  <c r="AG763" i="18"/>
  <c r="AG920" i="18"/>
  <c r="AG779" i="18"/>
  <c r="AG1051" i="18"/>
  <c r="AG1013" i="18"/>
  <c r="AG912" i="18"/>
  <c r="AG780" i="18"/>
  <c r="AG952" i="18"/>
  <c r="AG899" i="18"/>
  <c r="AG928" i="18"/>
  <c r="AG1103" i="18"/>
  <c r="AG956" i="18"/>
  <c r="AG901" i="18"/>
  <c r="AG811" i="18"/>
  <c r="AG967" i="18"/>
  <c r="AG913" i="18"/>
  <c r="AG941" i="18"/>
  <c r="AG824" i="18"/>
  <c r="AJ91" i="5"/>
  <c r="AH107" i="5" s="1"/>
  <c r="AH6" i="5" s="1"/>
  <c r="AK91" i="5"/>
  <c r="AH108" i="5" s="1"/>
  <c r="AI91" i="5"/>
  <c r="AH106" i="5" s="1"/>
  <c r="AC93" i="5"/>
  <c r="AF93" i="5" s="1"/>
  <c r="AS31" i="4"/>
  <c r="AT32" i="4"/>
  <c r="AT31" i="4" s="1"/>
  <c r="AM91" i="5"/>
  <c r="AH109" i="5" s="1"/>
  <c r="AN91" i="5"/>
  <c r="AH110" i="5" s="1"/>
  <c r="AO91" i="5"/>
  <c r="AH111" i="5" s="1"/>
  <c r="AD93" i="5"/>
  <c r="AG93" i="5" s="1"/>
  <c r="AY19" i="5" l="1"/>
  <c r="H267" i="26"/>
  <c r="I266" i="26"/>
  <c r="L243" i="26"/>
  <c r="H244" i="26"/>
  <c r="K244" i="26"/>
  <c r="N244" i="26"/>
  <c r="O243" i="26"/>
  <c r="I243" i="26"/>
  <c r="E244" i="26"/>
  <c r="F243" i="26"/>
  <c r="AK24" i="5"/>
  <c r="AJ25" i="5"/>
  <c r="AM7" i="18"/>
  <c r="AM13" i="18" s="1"/>
  <c r="AL13" i="18"/>
  <c r="AM8" i="18"/>
  <c r="AM14" i="18" s="1"/>
  <c r="AL14" i="18"/>
  <c r="AM6" i="18"/>
  <c r="AM12" i="18" s="1"/>
  <c r="AL12" i="18"/>
  <c r="AL5" i="18"/>
  <c r="AK11" i="18"/>
  <c r="AM9" i="18"/>
  <c r="AM15" i="18" s="1"/>
  <c r="AL15" i="18"/>
  <c r="AH11" i="5" a="1"/>
  <c r="AH11" i="5" s="1"/>
  <c r="AG9" i="5"/>
  <c r="AG10" i="5" s="1"/>
  <c r="AG32" i="5" s="1"/>
  <c r="AY22" i="5"/>
  <c r="AZ16" i="5"/>
  <c r="AZ21" i="5" s="1"/>
  <c r="AY18" i="5"/>
  <c r="Z4" i="18"/>
  <c r="Z44" i="18" s="1"/>
  <c r="Y754" i="18"/>
  <c r="Y401" i="18"/>
  <c r="Y47" i="18"/>
  <c r="AE65" i="18"/>
  <c r="AE97" i="18"/>
  <c r="AE129" i="18"/>
  <c r="AE161" i="18"/>
  <c r="AE193" i="18"/>
  <c r="AE83" i="18"/>
  <c r="AE168" i="18"/>
  <c r="AE84" i="18"/>
  <c r="AE170" i="18"/>
  <c r="AE228" i="18"/>
  <c r="AE260" i="18"/>
  <c r="AE87" i="18"/>
  <c r="AE172" i="18"/>
  <c r="AE229" i="18"/>
  <c r="AE261" i="18"/>
  <c r="AE99" i="18"/>
  <c r="AE210" i="18"/>
  <c r="AE143" i="18"/>
  <c r="AE254" i="18"/>
  <c r="AE304" i="18"/>
  <c r="AE336" i="18"/>
  <c r="AE368" i="18"/>
  <c r="AE403" i="18"/>
  <c r="AE171" i="18"/>
  <c r="AE75" i="18"/>
  <c r="AE230" i="18"/>
  <c r="AE293" i="18"/>
  <c r="AE325" i="18"/>
  <c r="AE357" i="18"/>
  <c r="AE389" i="18"/>
  <c r="AE123" i="18"/>
  <c r="AE144" i="18"/>
  <c r="AE375" i="18"/>
  <c r="AE318" i="18"/>
  <c r="AE410" i="18"/>
  <c r="AE442" i="18"/>
  <c r="AE474" i="18"/>
  <c r="AE506" i="18"/>
  <c r="AE351" i="18"/>
  <c r="AE283" i="18"/>
  <c r="AE387" i="18"/>
  <c r="AE435" i="18"/>
  <c r="AE467" i="18"/>
  <c r="AE499" i="18"/>
  <c r="AE290" i="18"/>
  <c r="AE131" i="18"/>
  <c r="AE330" i="18"/>
  <c r="AE420" i="18"/>
  <c r="AE432" i="18"/>
  <c r="AE103" i="18"/>
  <c r="AE497" i="18"/>
  <c r="AE547" i="18"/>
  <c r="AE579" i="18"/>
  <c r="AE493" i="18"/>
  <c r="AE522" i="18"/>
  <c r="AE589" i="18"/>
  <c r="AE621" i="18"/>
  <c r="AE278" i="18"/>
  <c r="AE540" i="18"/>
  <c r="AE436" i="18"/>
  <c r="AE561" i="18"/>
  <c r="AE606" i="18"/>
  <c r="AE638" i="18"/>
  <c r="AE670" i="18"/>
  <c r="AE514" i="18"/>
  <c r="AE457" i="18"/>
  <c r="AE549" i="18"/>
  <c r="AE599" i="18"/>
  <c r="AE631" i="18"/>
  <c r="AE663" i="18"/>
  <c r="AE695" i="18"/>
  <c r="AE727" i="18"/>
  <c r="AE409" i="18"/>
  <c r="AE565" i="18"/>
  <c r="AE362" i="18"/>
  <c r="AE692" i="18"/>
  <c r="AE656" i="18"/>
  <c r="AE303" i="18"/>
  <c r="AE682" i="18"/>
  <c r="AE544" i="18"/>
  <c r="AE741" i="18"/>
  <c r="AE644" i="18"/>
  <c r="AE740" i="18"/>
  <c r="AE717" i="18"/>
  <c r="AE566" i="18"/>
  <c r="AE668" i="18"/>
  <c r="AE251" i="18"/>
  <c r="AE693" i="18"/>
  <c r="AE69" i="18"/>
  <c r="AE101" i="18"/>
  <c r="AE133" i="18"/>
  <c r="AE165" i="18"/>
  <c r="AE197" i="18"/>
  <c r="AE94" i="18"/>
  <c r="AE179" i="18"/>
  <c r="AE95" i="18"/>
  <c r="AE180" i="18"/>
  <c r="AE232" i="18"/>
  <c r="AE264" i="18"/>
  <c r="AE98" i="18"/>
  <c r="AE183" i="18"/>
  <c r="AE233" i="18"/>
  <c r="AE265" i="18"/>
  <c r="AE58" i="18"/>
  <c r="AE218" i="18"/>
  <c r="AE156" i="18"/>
  <c r="AE259" i="18"/>
  <c r="AE308" i="18"/>
  <c r="AE340" i="18"/>
  <c r="AE372" i="18"/>
  <c r="AE60" i="18"/>
  <c r="AE174" i="18"/>
  <c r="AE86" i="18"/>
  <c r="AE235" i="18"/>
  <c r="AE297" i="18"/>
  <c r="AE329" i="18"/>
  <c r="AE361" i="18"/>
  <c r="AE393" i="18"/>
  <c r="AE164" i="18"/>
  <c r="AE160" i="18"/>
  <c r="AE405" i="18"/>
  <c r="AE326" i="18"/>
  <c r="AE414" i="18"/>
  <c r="AE446" i="18"/>
  <c r="AE478" i="18"/>
  <c r="AE122" i="18"/>
  <c r="AE378" i="18"/>
  <c r="AE294" i="18"/>
  <c r="AE407" i="18"/>
  <c r="AE439" i="18"/>
  <c r="AE471" i="18"/>
  <c r="AE503" i="18"/>
  <c r="AE311" i="18"/>
  <c r="AE135" i="18"/>
  <c r="AE358" i="18"/>
  <c r="AE50" i="18"/>
  <c r="AE453" i="18"/>
  <c r="AE167" i="18"/>
  <c r="AE508" i="18"/>
  <c r="AE551" i="18"/>
  <c r="AE327" i="18"/>
  <c r="AE504" i="18"/>
  <c r="AE541" i="18"/>
  <c r="AE593" i="18"/>
  <c r="AE625" i="18"/>
  <c r="AE425" i="18"/>
  <c r="AE556" i="18"/>
  <c r="AE460" i="18"/>
  <c r="AE572" i="18"/>
  <c r="AE610" i="18"/>
  <c r="AE642" i="18"/>
  <c r="AE674" i="18"/>
  <c r="AE526" i="18"/>
  <c r="AE481" i="18"/>
  <c r="AE550" i="18"/>
  <c r="AE603" i="18"/>
  <c r="AE635" i="18"/>
  <c r="AE667" i="18"/>
  <c r="AE699" i="18"/>
  <c r="AE731" i="18"/>
  <c r="AE468" i="18"/>
  <c r="AE576" i="18"/>
  <c r="AE448" i="18"/>
  <c r="AE697" i="18"/>
  <c r="AE677" i="18"/>
  <c r="AE428" i="18"/>
  <c r="AE700" i="18"/>
  <c r="AE568" i="18"/>
  <c r="AE750" i="18"/>
  <c r="AE665" i="18"/>
  <c r="AE745" i="18"/>
  <c r="AE726" i="18"/>
  <c r="AE577" i="18"/>
  <c r="AE684" i="18"/>
  <c r="AE653" i="18"/>
  <c r="AE734" i="18"/>
  <c r="AE73" i="18"/>
  <c r="AE105" i="18"/>
  <c r="AE137" i="18"/>
  <c r="AE169" i="18"/>
  <c r="AE201" i="18"/>
  <c r="AE104" i="18"/>
  <c r="AE190" i="18"/>
  <c r="AE106" i="18"/>
  <c r="AE191" i="18"/>
  <c r="AE236" i="18"/>
  <c r="AE268" i="18"/>
  <c r="AE108" i="18"/>
  <c r="AE194" i="18"/>
  <c r="AE237" i="18"/>
  <c r="AE269" i="18"/>
  <c r="AE100" i="18"/>
  <c r="AE223" i="18"/>
  <c r="AE178" i="18"/>
  <c r="AE280" i="18"/>
  <c r="AE312" i="18"/>
  <c r="AE344" i="18"/>
  <c r="AE376" i="18"/>
  <c r="AE71" i="18"/>
  <c r="AE187" i="18"/>
  <c r="AE114" i="18"/>
  <c r="AE262" i="18"/>
  <c r="AE301" i="18"/>
  <c r="AE333" i="18"/>
  <c r="AE365" i="18"/>
  <c r="AE397" i="18"/>
  <c r="AE186" i="18"/>
  <c r="AE214" i="18"/>
  <c r="AE176" i="18"/>
  <c r="AE334" i="18"/>
  <c r="AE418" i="18"/>
  <c r="AE450" i="18"/>
  <c r="AE482" i="18"/>
  <c r="AE208" i="18"/>
  <c r="AE383" i="18"/>
  <c r="AE315" i="18"/>
  <c r="AE411" i="18"/>
  <c r="AE443" i="18"/>
  <c r="AE475" i="18"/>
  <c r="AE507" i="18"/>
  <c r="AE354" i="18"/>
  <c r="AE166" i="18"/>
  <c r="AE363" i="18"/>
  <c r="AE70" i="18"/>
  <c r="AE464" i="18"/>
  <c r="AE198" i="18"/>
  <c r="AE515" i="18"/>
  <c r="AE555" i="18"/>
  <c r="AE339" i="18"/>
  <c r="AE510" i="18"/>
  <c r="AE542" i="18"/>
  <c r="AE597" i="18"/>
  <c r="AE629" i="18"/>
  <c r="AE449" i="18"/>
  <c r="AE560" i="18"/>
  <c r="AE473" i="18"/>
  <c r="AE582" i="18"/>
  <c r="AE614" i="18"/>
  <c r="AE646" i="18"/>
  <c r="AE678" i="18"/>
  <c r="AE552" i="18"/>
  <c r="AE488" i="18"/>
  <c r="AE564" i="18"/>
  <c r="AE607" i="18"/>
  <c r="AE639" i="18"/>
  <c r="AE671" i="18"/>
  <c r="AE703" i="18"/>
  <c r="AE735" i="18"/>
  <c r="AE492" i="18"/>
  <c r="AE132" i="18"/>
  <c r="AE520" i="18"/>
  <c r="AE706" i="18"/>
  <c r="AE696" i="18"/>
  <c r="AE592" i="18"/>
  <c r="AE705" i="18"/>
  <c r="AE669" i="18"/>
  <c r="AE394" i="18"/>
  <c r="AE676" i="18"/>
  <c r="AE661" i="18"/>
  <c r="AE744" i="18"/>
  <c r="AE584" i="18"/>
  <c r="AE689" i="18"/>
  <c r="AE725" i="18"/>
  <c r="AE77" i="18"/>
  <c r="AE109" i="18"/>
  <c r="AE141" i="18"/>
  <c r="AE173" i="18"/>
  <c r="AE205" i="18"/>
  <c r="AE115" i="18"/>
  <c r="AE200" i="18"/>
  <c r="AE116" i="18"/>
  <c r="AE202" i="18"/>
  <c r="AE240" i="18"/>
  <c r="AE272" i="18"/>
  <c r="AE119" i="18"/>
  <c r="AE204" i="18"/>
  <c r="AE241" i="18"/>
  <c r="AE273" i="18"/>
  <c r="AE112" i="18"/>
  <c r="AE250" i="18"/>
  <c r="AE184" i="18"/>
  <c r="AE284" i="18"/>
  <c r="AE316" i="18"/>
  <c r="AE348" i="18"/>
  <c r="AE380" i="18"/>
  <c r="AE82" i="18"/>
  <c r="AE226" i="18"/>
  <c r="AE120" i="18"/>
  <c r="AE267" i="18"/>
  <c r="AE305" i="18"/>
  <c r="AE337" i="18"/>
  <c r="AE369" i="18"/>
  <c r="AE404" i="18"/>
  <c r="AE199" i="18"/>
  <c r="AE295" i="18"/>
  <c r="AE192" i="18"/>
  <c r="AE342" i="18"/>
  <c r="AE422" i="18"/>
  <c r="AE454" i="18"/>
  <c r="AE486" i="18"/>
  <c r="AE215" i="18"/>
  <c r="AE48" i="18"/>
  <c r="AE323" i="18"/>
  <c r="AE415" i="18"/>
  <c r="AE447" i="18"/>
  <c r="AE479" i="18"/>
  <c r="AE92" i="18"/>
  <c r="AE359" i="18"/>
  <c r="AE182" i="18"/>
  <c r="AE390" i="18"/>
  <c r="AE299" i="18"/>
  <c r="AE485" i="18"/>
  <c r="AE314" i="18"/>
  <c r="AE524" i="18"/>
  <c r="AE559" i="18"/>
  <c r="AE417" i="18"/>
  <c r="AE54" i="18"/>
  <c r="AE557" i="18"/>
  <c r="AE601" i="18"/>
  <c r="AE633" i="18"/>
  <c r="AE456" i="18"/>
  <c r="AE570" i="18"/>
  <c r="AE480" i="18"/>
  <c r="AE586" i="18"/>
  <c r="AE618" i="18"/>
  <c r="AE650" i="18"/>
  <c r="AE195" i="18"/>
  <c r="AE562" i="18"/>
  <c r="AE501" i="18"/>
  <c r="AE574" i="18"/>
  <c r="AE611" i="18"/>
  <c r="AE643" i="18"/>
  <c r="AE675" i="18"/>
  <c r="AE707" i="18"/>
  <c r="AE739" i="18"/>
  <c r="AE505" i="18"/>
  <c r="AE275" i="18"/>
  <c r="AE588" i="18"/>
  <c r="AE724" i="18"/>
  <c r="AE701" i="18"/>
  <c r="AE608" i="18"/>
  <c r="AE714" i="18"/>
  <c r="AE686" i="18"/>
  <c r="AE489" i="18"/>
  <c r="AE681" i="18"/>
  <c r="AE672" i="18"/>
  <c r="AE749" i="18"/>
  <c r="AE600" i="18"/>
  <c r="AE698" i="18"/>
  <c r="AE688" i="18"/>
  <c r="AE49" i="18"/>
  <c r="AE81" i="18"/>
  <c r="AE113" i="18"/>
  <c r="AE145" i="18"/>
  <c r="AE177" i="18"/>
  <c r="AE209" i="18"/>
  <c r="AE126" i="18"/>
  <c r="AE211" i="18"/>
  <c r="AE127" i="18"/>
  <c r="AE212" i="18"/>
  <c r="AE244" i="18"/>
  <c r="AE276" i="18"/>
  <c r="AE130" i="18"/>
  <c r="AE213" i="18"/>
  <c r="AE245" i="18"/>
  <c r="AE56" i="18"/>
  <c r="AE118" i="18"/>
  <c r="AE255" i="18"/>
  <c r="AE203" i="18"/>
  <c r="AE288" i="18"/>
  <c r="AE320" i="18"/>
  <c r="AE352" i="18"/>
  <c r="AE384" i="18"/>
  <c r="AE111" i="18"/>
  <c r="AE231" i="18"/>
  <c r="AE139" i="18"/>
  <c r="AE277" i="18"/>
  <c r="AE309" i="18"/>
  <c r="AE341" i="18"/>
  <c r="AE373" i="18"/>
  <c r="AE68" i="18"/>
  <c r="AE234" i="18"/>
  <c r="AE306" i="18"/>
  <c r="AE207" i="18"/>
  <c r="AE347" i="18"/>
  <c r="AE426" i="18"/>
  <c r="AE458" i="18"/>
  <c r="AE490" i="18"/>
  <c r="AE270" i="18"/>
  <c r="AE96" i="18"/>
  <c r="AE331" i="18"/>
  <c r="AE419" i="18"/>
  <c r="AE451" i="18"/>
  <c r="AE483" i="18"/>
  <c r="AE150" i="18"/>
  <c r="AE386" i="18"/>
  <c r="AE247" i="18"/>
  <c r="AE395" i="18"/>
  <c r="AE335" i="18"/>
  <c r="AE496" i="18"/>
  <c r="AE433" i="18"/>
  <c r="AE529" i="18"/>
  <c r="AE563" i="18"/>
  <c r="AE429" i="18"/>
  <c r="AE163" i="18"/>
  <c r="AE558" i="18"/>
  <c r="AE605" i="18"/>
  <c r="AE637" i="18"/>
  <c r="AE469" i="18"/>
  <c r="AE581" i="18"/>
  <c r="AE519" i="18"/>
  <c r="AE590" i="18"/>
  <c r="AE622" i="18"/>
  <c r="AE654" i="18"/>
  <c r="AE310" i="18"/>
  <c r="AE573" i="18"/>
  <c r="AE516" i="18"/>
  <c r="AE583" i="18"/>
  <c r="AE615" i="18"/>
  <c r="AE647" i="18"/>
  <c r="AE679" i="18"/>
  <c r="AE711" i="18"/>
  <c r="AE743" i="18"/>
  <c r="AE511" i="18"/>
  <c r="AE424" i="18"/>
  <c r="AE604" i="18"/>
  <c r="AE729" i="18"/>
  <c r="AE710" i="18"/>
  <c r="AE624" i="18"/>
  <c r="AE732" i="18"/>
  <c r="AE704" i="18"/>
  <c r="AE545" i="18"/>
  <c r="AE690" i="18"/>
  <c r="AE680" i="18"/>
  <c r="AE537" i="18"/>
  <c r="AE616" i="18"/>
  <c r="AE716" i="18"/>
  <c r="AE720" i="18"/>
  <c r="AE53" i="18"/>
  <c r="AE85" i="18"/>
  <c r="AE117" i="18"/>
  <c r="AE149" i="18"/>
  <c r="AE181" i="18"/>
  <c r="AE51" i="18"/>
  <c r="AE136" i="18"/>
  <c r="AE52" i="18"/>
  <c r="AE138" i="18"/>
  <c r="AE216" i="18"/>
  <c r="AE248" i="18"/>
  <c r="AE55" i="18"/>
  <c r="AE140" i="18"/>
  <c r="AE217" i="18"/>
  <c r="AE249" i="18"/>
  <c r="AE67" i="18"/>
  <c r="AE134" i="18"/>
  <c r="AE80" i="18"/>
  <c r="AE206" i="18"/>
  <c r="AE292" i="18"/>
  <c r="AE324" i="18"/>
  <c r="AE356" i="18"/>
  <c r="AE388" i="18"/>
  <c r="AE124" i="18"/>
  <c r="AE258" i="18"/>
  <c r="AE142" i="18"/>
  <c r="AE281" i="18"/>
  <c r="AE313" i="18"/>
  <c r="AE345" i="18"/>
  <c r="AE377" i="18"/>
  <c r="AE79" i="18"/>
  <c r="AE239" i="18"/>
  <c r="AE338" i="18"/>
  <c r="AE242" i="18"/>
  <c r="AE374" i="18"/>
  <c r="AE430" i="18"/>
  <c r="AE462" i="18"/>
  <c r="AE494" i="18"/>
  <c r="AE287" i="18"/>
  <c r="AE154" i="18"/>
  <c r="AE350" i="18"/>
  <c r="AE423" i="18"/>
  <c r="AE455" i="18"/>
  <c r="AE487" i="18"/>
  <c r="AE219" i="18"/>
  <c r="AE391" i="18"/>
  <c r="AE286" i="18"/>
  <c r="AE408" i="18"/>
  <c r="AE366" i="18"/>
  <c r="AE518" i="18"/>
  <c r="AE444" i="18"/>
  <c r="AE538" i="18"/>
  <c r="AE567" i="18"/>
  <c r="AE440" i="18"/>
  <c r="AE445" i="18"/>
  <c r="AE569" i="18"/>
  <c r="AE609" i="18"/>
  <c r="AE641" i="18"/>
  <c r="AE512" i="18"/>
  <c r="AE238" i="18"/>
  <c r="AE531" i="18"/>
  <c r="AE594" i="18"/>
  <c r="AE626" i="18"/>
  <c r="AE658" i="18"/>
  <c r="AE398" i="18"/>
  <c r="AE367" i="18"/>
  <c r="AE521" i="18"/>
  <c r="AE587" i="18"/>
  <c r="AE619" i="18"/>
  <c r="AE651" i="18"/>
  <c r="AE683" i="18"/>
  <c r="AE715" i="18"/>
  <c r="AE747" i="18"/>
  <c r="AE523" i="18"/>
  <c r="AE437" i="18"/>
  <c r="AE620" i="18"/>
  <c r="AE738" i="18"/>
  <c r="AE728" i="18"/>
  <c r="AE640" i="18"/>
  <c r="AE737" i="18"/>
  <c r="AE709" i="18"/>
  <c r="AE596" i="18"/>
  <c r="AE708" i="18"/>
  <c r="AE685" i="18"/>
  <c r="AE441" i="18"/>
  <c r="AE632" i="18"/>
  <c r="AE721" i="18"/>
  <c r="AE664" i="18"/>
  <c r="AE57" i="18"/>
  <c r="AE89" i="18"/>
  <c r="AE121" i="18"/>
  <c r="AE153" i="18"/>
  <c r="AE185" i="18"/>
  <c r="AE62" i="18"/>
  <c r="AE147" i="18"/>
  <c r="AE63" i="18"/>
  <c r="AE148" i="18"/>
  <c r="AE220" i="18"/>
  <c r="AE252" i="18"/>
  <c r="AE66" i="18"/>
  <c r="AE151" i="18"/>
  <c r="AE221" i="18"/>
  <c r="AE253" i="18"/>
  <c r="AE78" i="18"/>
  <c r="AE175" i="18"/>
  <c r="AE91" i="18"/>
  <c r="AE222" i="18"/>
  <c r="AE296" i="18"/>
  <c r="AE328" i="18"/>
  <c r="AE360" i="18"/>
  <c r="AE392" i="18"/>
  <c r="AE146" i="18"/>
  <c r="AE263" i="18"/>
  <c r="AE155" i="18"/>
  <c r="AE285" i="18"/>
  <c r="AE317" i="18"/>
  <c r="AE349" i="18"/>
  <c r="AE381" i="18"/>
  <c r="AE90" i="18"/>
  <c r="AE266" i="18"/>
  <c r="AE343" i="18"/>
  <c r="AE291" i="18"/>
  <c r="AE379" i="18"/>
  <c r="AE434" i="18"/>
  <c r="AE466" i="18"/>
  <c r="AE498" i="18"/>
  <c r="AE298" i="18"/>
  <c r="AE243" i="18"/>
  <c r="AE355" i="18"/>
  <c r="AE427" i="18"/>
  <c r="AE459" i="18"/>
  <c r="AE491" i="18"/>
  <c r="AE274" i="18"/>
  <c r="AE59" i="18"/>
  <c r="AE307" i="18"/>
  <c r="AE412" i="18"/>
  <c r="AE371" i="18"/>
  <c r="AE527" i="18"/>
  <c r="AE465" i="18"/>
  <c r="AE539" i="18"/>
  <c r="AE571" i="18"/>
  <c r="AE461" i="18"/>
  <c r="AE452" i="18"/>
  <c r="AE580" i="18"/>
  <c r="AE613" i="18"/>
  <c r="AE645" i="18"/>
  <c r="AE517" i="18"/>
  <c r="AE282" i="18"/>
  <c r="AE553" i="18"/>
  <c r="AE598" i="18"/>
  <c r="AE630" i="18"/>
  <c r="AE662" i="18"/>
  <c r="AE477" i="18"/>
  <c r="AE402" i="18"/>
  <c r="AE528" i="18"/>
  <c r="AE591" i="18"/>
  <c r="AE623" i="18"/>
  <c r="AE655" i="18"/>
  <c r="AE687" i="18"/>
  <c r="AE719" i="18"/>
  <c r="AE751" i="18"/>
  <c r="AE535" i="18"/>
  <c r="AE509" i="18"/>
  <c r="AE636" i="18"/>
  <c r="AE532" i="18"/>
  <c r="AE733" i="18"/>
  <c r="AE652" i="18"/>
  <c r="AE746" i="18"/>
  <c r="AE718" i="18"/>
  <c r="AE612" i="18"/>
  <c r="AE713" i="18"/>
  <c r="AE694" i="18"/>
  <c r="AE530" i="18"/>
  <c r="AE648" i="18"/>
  <c r="AE730" i="18"/>
  <c r="AE752" i="18"/>
  <c r="AE61" i="18"/>
  <c r="AE93" i="18"/>
  <c r="AE125" i="18"/>
  <c r="AE157" i="18"/>
  <c r="AE189" i="18"/>
  <c r="AE72" i="18"/>
  <c r="AE158" i="18"/>
  <c r="AE74" i="18"/>
  <c r="AE159" i="18"/>
  <c r="AE224" i="18"/>
  <c r="AE256" i="18"/>
  <c r="AE76" i="18"/>
  <c r="AE162" i="18"/>
  <c r="AE225" i="18"/>
  <c r="AE257" i="18"/>
  <c r="AE88" i="18"/>
  <c r="AE188" i="18"/>
  <c r="AE102" i="18"/>
  <c r="AE227" i="18"/>
  <c r="AE300" i="18"/>
  <c r="AE332" i="18"/>
  <c r="AE364" i="18"/>
  <c r="AE396" i="18"/>
  <c r="AE152" i="18"/>
  <c r="AE64" i="18"/>
  <c r="AE196" i="18"/>
  <c r="AE289" i="18"/>
  <c r="AE321" i="18"/>
  <c r="AE353" i="18"/>
  <c r="AE385" i="18"/>
  <c r="AE110" i="18"/>
  <c r="AE271" i="18"/>
  <c r="AE370" i="18"/>
  <c r="AE302" i="18"/>
  <c r="AE406" i="18"/>
  <c r="AE438" i="18"/>
  <c r="AE470" i="18"/>
  <c r="AE502" i="18"/>
  <c r="AE346" i="18"/>
  <c r="AE246" i="18"/>
  <c r="AE382" i="18"/>
  <c r="AE431" i="18"/>
  <c r="AE463" i="18"/>
  <c r="AE495" i="18"/>
  <c r="AE279" i="18"/>
  <c r="AE107" i="18"/>
  <c r="AE322" i="18"/>
  <c r="AE416" i="18"/>
  <c r="AE421" i="18"/>
  <c r="AE536" i="18"/>
  <c r="AE476" i="18"/>
  <c r="AE543" i="18"/>
  <c r="AE575" i="18"/>
  <c r="AE472" i="18"/>
  <c r="AE500" i="18"/>
  <c r="AE585" i="18"/>
  <c r="AE617" i="18"/>
  <c r="AE649" i="18"/>
  <c r="AE534" i="18"/>
  <c r="AE319" i="18"/>
  <c r="AE554" i="18"/>
  <c r="AE602" i="18"/>
  <c r="AE634" i="18"/>
  <c r="AE666" i="18"/>
  <c r="AE484" i="18"/>
  <c r="AE413" i="18"/>
  <c r="AE533" i="18"/>
  <c r="AE595" i="18"/>
  <c r="AE627" i="18"/>
  <c r="AE659" i="18"/>
  <c r="AE691" i="18"/>
  <c r="AE723" i="18"/>
  <c r="AE128" i="18"/>
  <c r="AE548" i="18"/>
  <c r="AE513" i="18"/>
  <c r="AE660" i="18"/>
  <c r="AE578" i="18"/>
  <c r="AE742" i="18"/>
  <c r="AE673" i="18"/>
  <c r="AE525" i="18"/>
  <c r="AE736" i="18"/>
  <c r="AE628" i="18"/>
  <c r="AE722" i="18"/>
  <c r="AE712" i="18"/>
  <c r="AE546" i="18"/>
  <c r="AE657" i="18"/>
  <c r="AE748" i="18"/>
  <c r="AE702" i="18"/>
  <c r="AI38" i="18"/>
  <c r="AH1005" i="18"/>
  <c r="AH1064" i="18"/>
  <c r="AH844" i="18"/>
  <c r="AH872" i="18"/>
  <c r="AH1062" i="18"/>
  <c r="AH968" i="18"/>
  <c r="AH769" i="18"/>
  <c r="AH856" i="18"/>
  <c r="AH967" i="18"/>
  <c r="AH1030" i="18"/>
  <c r="AH974" i="18"/>
  <c r="AH852" i="18"/>
  <c r="AH903" i="18"/>
  <c r="AH1072" i="18"/>
  <c r="AH977" i="18"/>
  <c r="AH825" i="18"/>
  <c r="AH865" i="18"/>
  <c r="AH814" i="18"/>
  <c r="AH930" i="18"/>
  <c r="AH1055" i="18"/>
  <c r="AH806" i="18"/>
  <c r="AH785" i="18"/>
  <c r="AH941" i="18"/>
  <c r="AH866" i="18"/>
  <c r="AH1069" i="18"/>
  <c r="AH780" i="18"/>
  <c r="AH815" i="18"/>
  <c r="AH949" i="18"/>
  <c r="AH956" i="18"/>
  <c r="AH1049" i="18"/>
  <c r="AH881" i="18"/>
  <c r="AH953" i="18"/>
  <c r="AH1100" i="18"/>
  <c r="AH1015" i="18"/>
  <c r="AH756" i="18"/>
  <c r="AH883" i="18"/>
  <c r="AH952" i="18"/>
  <c r="AH943" i="18"/>
  <c r="AH783" i="18"/>
  <c r="AH773" i="18"/>
  <c r="AH811" i="18"/>
  <c r="AH781" i="18"/>
  <c r="AH853" i="18"/>
  <c r="AH835" i="18"/>
  <c r="AH1078" i="18"/>
  <c r="AH929" i="18"/>
  <c r="AH1067" i="18"/>
  <c r="AH1095" i="18"/>
  <c r="AH864" i="18"/>
  <c r="AH991" i="18"/>
  <c r="AH1034" i="18"/>
  <c r="AH1102" i="18"/>
  <c r="AH776" i="18"/>
  <c r="AH894" i="18"/>
  <c r="AH972" i="18"/>
  <c r="AH965" i="18"/>
  <c r="AH1024" i="18"/>
  <c r="AH784" i="18"/>
  <c r="AH920" i="18"/>
  <c r="AH907" i="18"/>
  <c r="AH1027" i="18"/>
  <c r="AH1054" i="18"/>
  <c r="AH925" i="18"/>
  <c r="AH990" i="18"/>
  <c r="AH971" i="18"/>
  <c r="AH1036" i="18"/>
  <c r="AH798" i="18"/>
  <c r="AH936" i="18"/>
  <c r="AH924" i="18"/>
  <c r="AH1040" i="18"/>
  <c r="AH911" i="18"/>
  <c r="AH796" i="18"/>
  <c r="AH899" i="18"/>
  <c r="AH788" i="18"/>
  <c r="AH1017" i="18"/>
  <c r="AH1051" i="18"/>
  <c r="AH800" i="18"/>
  <c r="AH906" i="18"/>
  <c r="AH926" i="18"/>
  <c r="AH1025" i="18"/>
  <c r="AH1012" i="18"/>
  <c r="AH846" i="18"/>
  <c r="AH937" i="18"/>
  <c r="AH1010" i="18"/>
  <c r="AH1065" i="18"/>
  <c r="AH830" i="18"/>
  <c r="AH819" i="18"/>
  <c r="AH957" i="18"/>
  <c r="AH1020" i="18"/>
  <c r="AH842" i="18"/>
  <c r="AH891" i="18"/>
  <c r="AH837" i="18"/>
  <c r="AH1008" i="18"/>
  <c r="AH851" i="18"/>
  <c r="AH869" i="18"/>
  <c r="AH1047" i="18"/>
  <c r="AH1098" i="18"/>
  <c r="AH822" i="18"/>
  <c r="AH871" i="18"/>
  <c r="AH848" i="18"/>
  <c r="AH947" i="18"/>
  <c r="AH904" i="18"/>
  <c r="AH940" i="18"/>
  <c r="AH1045" i="18"/>
  <c r="AH886" i="18"/>
  <c r="AH951" i="18"/>
  <c r="AH1031" i="18"/>
  <c r="AH1075" i="18"/>
  <c r="AH759" i="18"/>
  <c r="AH874" i="18"/>
  <c r="AH986" i="18"/>
  <c r="AH993" i="18"/>
  <c r="AH1068" i="18"/>
  <c r="AH810" i="18"/>
  <c r="AH791" i="18"/>
  <c r="AH1052" i="18"/>
  <c r="AH1093" i="18"/>
  <c r="AH792" i="18"/>
  <c r="AH895" i="18"/>
  <c r="AH782" i="18"/>
  <c r="AH1007" i="18"/>
  <c r="AH1048" i="18"/>
  <c r="AH826" i="18"/>
  <c r="AH973" i="18"/>
  <c r="AH1032" i="18"/>
  <c r="AH1086" i="18"/>
  <c r="AH1022" i="18"/>
  <c r="AH828" i="18"/>
  <c r="AH983" i="18"/>
  <c r="AH1043" i="18"/>
  <c r="AH1094" i="18"/>
  <c r="AH774" i="18"/>
  <c r="AH905" i="18"/>
  <c r="AH888" i="18"/>
  <c r="AH1080" i="18"/>
  <c r="AH1033" i="18"/>
  <c r="AH966" i="18"/>
  <c r="AH755" i="18"/>
  <c r="AH995" i="18"/>
  <c r="AH1066" i="18"/>
  <c r="AH950" i="18"/>
  <c r="AH909" i="18"/>
  <c r="AH803" i="18"/>
  <c r="AH867" i="18"/>
  <c r="AH779" i="18"/>
  <c r="AH847" i="18"/>
  <c r="AH954" i="18"/>
  <c r="AH981" i="18"/>
  <c r="AH944" i="18"/>
  <c r="AH1063" i="18"/>
  <c r="AH1038" i="18"/>
  <c r="AH813" i="18"/>
  <c r="AH908" i="18"/>
  <c r="AH996" i="18"/>
  <c r="AH801" i="18"/>
  <c r="AH921" i="18"/>
  <c r="AH896" i="18"/>
  <c r="AH1089" i="18"/>
  <c r="AH1013" i="18"/>
  <c r="AH860" i="18"/>
  <c r="AH946" i="18"/>
  <c r="AH1002" i="18"/>
  <c r="AH1057" i="18"/>
  <c r="AH816" i="18"/>
  <c r="AH802" i="18"/>
  <c r="AH902" i="18"/>
  <c r="AH838" i="18"/>
  <c r="AH1059" i="18"/>
  <c r="AH770" i="18"/>
  <c r="AH963" i="18"/>
  <c r="AH1021" i="18"/>
  <c r="AH1076" i="18"/>
  <c r="AH1004" i="18"/>
  <c r="AH858" i="18"/>
  <c r="AH935" i="18"/>
  <c r="AH1090" i="18"/>
  <c r="AH1006" i="18"/>
  <c r="AH823" i="18"/>
  <c r="AH876" i="18"/>
  <c r="AH945" i="18"/>
  <c r="AH1099" i="18"/>
  <c r="AH1014" i="18"/>
  <c r="AH777" i="18"/>
  <c r="AH832" i="18"/>
  <c r="AH942" i="18"/>
  <c r="AH1019" i="18"/>
  <c r="AH1077" i="18"/>
  <c r="AH975" i="18"/>
  <c r="AH861" i="18"/>
  <c r="AH887" i="18"/>
  <c r="AH794" i="18"/>
  <c r="AH1028" i="18"/>
  <c r="AH765" i="18"/>
  <c r="AH795" i="18"/>
  <c r="AH1073" i="18"/>
  <c r="AH877" i="18"/>
  <c r="AH939" i="18"/>
  <c r="AH873" i="18"/>
  <c r="AH912" i="18"/>
  <c r="AH980" i="18"/>
  <c r="AH831" i="18"/>
  <c r="AH1061" i="18"/>
  <c r="AH789" i="18"/>
  <c r="AH1092" i="18"/>
  <c r="AH1074" i="18"/>
  <c r="AH766" i="18"/>
  <c r="AH850" i="18"/>
  <c r="AH959" i="18"/>
  <c r="AH1029" i="18"/>
  <c r="AH931" i="18"/>
  <c r="AH849" i="18"/>
  <c r="AH879" i="18"/>
  <c r="AH1071" i="18"/>
  <c r="AH970" i="18"/>
  <c r="AH775" i="18"/>
  <c r="AH862" i="18"/>
  <c r="AH760" i="18"/>
  <c r="AH1041" i="18"/>
  <c r="AH1105" i="18"/>
  <c r="AH855" i="18"/>
  <c r="AH923" i="18"/>
  <c r="AH1082" i="18"/>
  <c r="AH997" i="18"/>
  <c r="AH1097" i="18"/>
  <c r="AH758" i="18"/>
  <c r="AH927" i="18"/>
  <c r="AH984" i="18"/>
  <c r="AH1046" i="18"/>
  <c r="AH992" i="18"/>
  <c r="AH761" i="18"/>
  <c r="AH932" i="18"/>
  <c r="AH1001" i="18"/>
  <c r="AH1056" i="18"/>
  <c r="AH870" i="18"/>
  <c r="AH897" i="18"/>
  <c r="AH868" i="18"/>
  <c r="AH999" i="18"/>
  <c r="AH1023" i="18"/>
  <c r="AH839" i="18"/>
  <c r="AH797" i="18"/>
  <c r="AH962" i="18"/>
  <c r="AH914" i="18"/>
  <c r="AH772" i="18"/>
  <c r="AH875" i="18"/>
  <c r="AH763" i="18"/>
  <c r="AH859" i="18"/>
  <c r="AH805" i="18"/>
  <c r="AH989" i="18"/>
  <c r="AH1044" i="18"/>
  <c r="AH804" i="18"/>
  <c r="AH824" i="18"/>
  <c r="AH978" i="18"/>
  <c r="AH1003" i="18"/>
  <c r="AH893" i="18"/>
  <c r="AH964" i="18"/>
  <c r="AH1096" i="18"/>
  <c r="AH778" i="18"/>
  <c r="AH913" i="18"/>
  <c r="AH882" i="18"/>
  <c r="AH1018" i="18"/>
  <c r="AH1058" i="18"/>
  <c r="AH910" i="18"/>
  <c r="AH982" i="18"/>
  <c r="AH969" i="18"/>
  <c r="AH1035" i="18"/>
  <c r="AH790" i="18"/>
  <c r="AH928" i="18"/>
  <c r="AH919" i="18"/>
  <c r="AH1039" i="18"/>
  <c r="AH1050" i="18"/>
  <c r="AH933" i="18"/>
  <c r="AH915" i="18"/>
  <c r="AH979" i="18"/>
  <c r="AH1037" i="18"/>
  <c r="AH762" i="18"/>
  <c r="AH884" i="18"/>
  <c r="AH834" i="18"/>
  <c r="AH1070" i="18"/>
  <c r="AH1087" i="18"/>
  <c r="AH768" i="18"/>
  <c r="AH898" i="18"/>
  <c r="AH863" i="18"/>
  <c r="AH1079" i="18"/>
  <c r="AH1083" i="18"/>
  <c r="AH793" i="18"/>
  <c r="AH820" i="18"/>
  <c r="AH958" i="18"/>
  <c r="AH961" i="18"/>
  <c r="AH955" i="18"/>
  <c r="AH918" i="18"/>
  <c r="AH841" i="18"/>
  <c r="AH1101" i="18"/>
  <c r="AH892" i="18"/>
  <c r="AH827" i="18"/>
  <c r="AH829" i="18"/>
  <c r="AH878" i="18"/>
  <c r="AH787" i="18"/>
  <c r="AH843" i="18"/>
  <c r="AH1088" i="18"/>
  <c r="AH900" i="18"/>
  <c r="AH1011" i="18"/>
  <c r="AH857" i="18"/>
  <c r="AH890" i="18"/>
  <c r="AH1053" i="18"/>
  <c r="AH845" i="18"/>
  <c r="AH985" i="18"/>
  <c r="AH1084" i="18"/>
  <c r="AH786" i="18"/>
  <c r="AH854" i="18"/>
  <c r="AH976" i="18"/>
  <c r="AH988" i="18"/>
  <c r="AH1103" i="18"/>
  <c r="AH799" i="18"/>
  <c r="AH960" i="18"/>
  <c r="AH1042" i="18"/>
  <c r="AH1085" i="18"/>
  <c r="AH767" i="18"/>
  <c r="AH889" i="18"/>
  <c r="AH994" i="18"/>
  <c r="AH998" i="18"/>
  <c r="AH757" i="18"/>
  <c r="AH840" i="18"/>
  <c r="AH808" i="18"/>
  <c r="AH1060" i="18"/>
  <c r="AH1104" i="18"/>
  <c r="AH836" i="18"/>
  <c r="AH812" i="18"/>
  <c r="AH922" i="18"/>
  <c r="AH1000" i="18"/>
  <c r="AH987" i="18"/>
  <c r="AH764" i="18"/>
  <c r="AH817" i="18"/>
  <c r="AH934" i="18"/>
  <c r="AH1009" i="18"/>
  <c r="AH818" i="18"/>
  <c r="AH809" i="18"/>
  <c r="AH916" i="18"/>
  <c r="AH938" i="18"/>
  <c r="AH1026" i="18"/>
  <c r="AH1091" i="18"/>
  <c r="AH948" i="18"/>
  <c r="AH833" i="18"/>
  <c r="AH1016" i="18"/>
  <c r="AH1081" i="18"/>
  <c r="AH917" i="18"/>
  <c r="AH821" i="18"/>
  <c r="AH901" i="18"/>
  <c r="AH885" i="18"/>
  <c r="AH771" i="18"/>
  <c r="AH807" i="18"/>
  <c r="AH880" i="18"/>
  <c r="AJ92" i="5"/>
  <c r="AI107" i="5" s="1"/>
  <c r="AI6" i="5" s="1"/>
  <c r="AK92" i="5"/>
  <c r="AI108" i="5" s="1"/>
  <c r="AI92" i="5"/>
  <c r="AI106" i="5" s="1"/>
  <c r="AC94" i="5"/>
  <c r="AF94" i="5" s="1"/>
  <c r="AD94" i="5"/>
  <c r="AG94" i="5" s="1"/>
  <c r="AN92" i="5"/>
  <c r="AI110" i="5" s="1"/>
  <c r="AO92" i="5"/>
  <c r="AI111" i="5" s="1"/>
  <c r="AM92" i="5"/>
  <c r="AI109" i="5" s="1"/>
  <c r="AZ19" i="5" l="1"/>
  <c r="H268" i="26"/>
  <c r="I267" i="26"/>
  <c r="I244" i="26"/>
  <c r="O244" i="26"/>
  <c r="L244" i="26"/>
  <c r="H245" i="26"/>
  <c r="N245" i="26"/>
  <c r="K245" i="26"/>
  <c r="E245" i="26"/>
  <c r="F244" i="26"/>
  <c r="AL24" i="5"/>
  <c r="AK25" i="5"/>
  <c r="AM5" i="18"/>
  <c r="AM11" i="18" s="1"/>
  <c r="AL11" i="18"/>
  <c r="AI11" i="5" a="1"/>
  <c r="AI11" i="5" s="1"/>
  <c r="AH9" i="5"/>
  <c r="AH10" i="5" s="1"/>
  <c r="AH32" i="5" s="1"/>
  <c r="AZ22" i="5"/>
  <c r="BA16" i="5"/>
  <c r="BA21" i="5" s="1"/>
  <c r="AZ18" i="5"/>
  <c r="AF157" i="18"/>
  <c r="AF190" i="18"/>
  <c r="AF303" i="18"/>
  <c r="AF296" i="18"/>
  <c r="AF70" i="18"/>
  <c r="AF405" i="18"/>
  <c r="AF479" i="18"/>
  <c r="AF741" i="18"/>
  <c r="AF620" i="18"/>
  <c r="AF103" i="18"/>
  <c r="AF167" i="18"/>
  <c r="AF223" i="18"/>
  <c r="AF255" i="18"/>
  <c r="AF72" i="18"/>
  <c r="AF136" i="18"/>
  <c r="AF200" i="18"/>
  <c r="AF96" i="18"/>
  <c r="AF160" i="18"/>
  <c r="AF66" i="18"/>
  <c r="AF67" i="18"/>
  <c r="AF191" i="18"/>
  <c r="AF273" i="18"/>
  <c r="AF307" i="18"/>
  <c r="AF339" i="18"/>
  <c r="AF371" i="18"/>
  <c r="AF58" i="18"/>
  <c r="AF162" i="18"/>
  <c r="AF250" i="18"/>
  <c r="AF143" i="18"/>
  <c r="AF249" i="18"/>
  <c r="AF300" i="18"/>
  <c r="AF332" i="18"/>
  <c r="AF152" i="18"/>
  <c r="AF253" i="18"/>
  <c r="AF177" i="18"/>
  <c r="AF230" i="18"/>
  <c r="AF289" i="18"/>
  <c r="AF90" i="18"/>
  <c r="AF321" i="18"/>
  <c r="AF409" i="18"/>
  <c r="AF441" i="18"/>
  <c r="AF473" i="18"/>
  <c r="AF505" i="18"/>
  <c r="AF537" i="18"/>
  <c r="AF306" i="18"/>
  <c r="AF81" i="18"/>
  <c r="AF318" i="18"/>
  <c r="AF392" i="18"/>
  <c r="AF430" i="18"/>
  <c r="AF462" i="18"/>
  <c r="AF494" i="18"/>
  <c r="AF526" i="18"/>
  <c r="AF208" i="18"/>
  <c r="AF396" i="18"/>
  <c r="AF233" i="18"/>
  <c r="AF350" i="18"/>
  <c r="AF419" i="18"/>
  <c r="AF451" i="18"/>
  <c r="AF483" i="18"/>
  <c r="AF515" i="18"/>
  <c r="AF186" i="18"/>
  <c r="AF372" i="18"/>
  <c r="AF540" i="18"/>
  <c r="AF420" i="18"/>
  <c r="AF476" i="18"/>
  <c r="AF578" i="18"/>
  <c r="AF452" i="18"/>
  <c r="AF585" i="18"/>
  <c r="AF617" i="18"/>
  <c r="AF649" i="18"/>
  <c r="AF681" i="18"/>
  <c r="AF713" i="18"/>
  <c r="AF745" i="18"/>
  <c r="AF539" i="18"/>
  <c r="AF357" i="18"/>
  <c r="AF582" i="18"/>
  <c r="AF614" i="18"/>
  <c r="AF646" i="18"/>
  <c r="AF678" i="18"/>
  <c r="AF562" i="18"/>
  <c r="AF528" i="18"/>
  <c r="AF591" i="18"/>
  <c r="AF623" i="18"/>
  <c r="AF655" i="18"/>
  <c r="AF687" i="18"/>
  <c r="AF719" i="18"/>
  <c r="AF751" i="18"/>
  <c r="AF720" i="18"/>
  <c r="AF636" i="18"/>
  <c r="AF696" i="18"/>
  <c r="AF652" i="18"/>
  <c r="AF686" i="18"/>
  <c r="AF628" i="18"/>
  <c r="AF472" i="18"/>
  <c r="AF726" i="18"/>
  <c r="AF748" i="18"/>
  <c r="AF50" i="18"/>
  <c r="AF114" i="18"/>
  <c r="AF178" i="18"/>
  <c r="AF227" i="18"/>
  <c r="AF259" i="18"/>
  <c r="AF73" i="18"/>
  <c r="AF137" i="18"/>
  <c r="AF201" i="18"/>
  <c r="AF97" i="18"/>
  <c r="AF161" i="18"/>
  <c r="AF76" i="18"/>
  <c r="AF78" i="18"/>
  <c r="AF194" i="18"/>
  <c r="AF279" i="18"/>
  <c r="AF311" i="18"/>
  <c r="AF343" i="18"/>
  <c r="AF375" i="18"/>
  <c r="AF69" i="18"/>
  <c r="AF175" i="18"/>
  <c r="AF268" i="18"/>
  <c r="AF149" i="18"/>
  <c r="AF254" i="18"/>
  <c r="AF304" i="18"/>
  <c r="AF53" i="18"/>
  <c r="AF174" i="18"/>
  <c r="AF258" i="18"/>
  <c r="AF180" i="18"/>
  <c r="AF248" i="18"/>
  <c r="AF293" i="18"/>
  <c r="AF113" i="18"/>
  <c r="AF329" i="18"/>
  <c r="AF413" i="18"/>
  <c r="AF445" i="18"/>
  <c r="AF477" i="18"/>
  <c r="AF509" i="18"/>
  <c r="AF85" i="18"/>
  <c r="AF338" i="18"/>
  <c r="AF101" i="18"/>
  <c r="AF326" i="18"/>
  <c r="AF404" i="18"/>
  <c r="AF434" i="18"/>
  <c r="AF466" i="18"/>
  <c r="AF498" i="18"/>
  <c r="AF530" i="18"/>
  <c r="AF270" i="18"/>
  <c r="AF48" i="18"/>
  <c r="AF260" i="18"/>
  <c r="AF368" i="18"/>
  <c r="AF423" i="18"/>
  <c r="AF455" i="18"/>
  <c r="AF487" i="18"/>
  <c r="AF519" i="18"/>
  <c r="AF220" i="18"/>
  <c r="AF381" i="18"/>
  <c r="AF544" i="18"/>
  <c r="AF448" i="18"/>
  <c r="AF508" i="18"/>
  <c r="AF579" i="18"/>
  <c r="AF541" i="18"/>
  <c r="AF589" i="18"/>
  <c r="AF621" i="18"/>
  <c r="AF653" i="18"/>
  <c r="AF685" i="18"/>
  <c r="AF717" i="18"/>
  <c r="AF749" i="18"/>
  <c r="AF555" i="18"/>
  <c r="AF389" i="18"/>
  <c r="AF586" i="18"/>
  <c r="AF618" i="18"/>
  <c r="AF650" i="18"/>
  <c r="AF148" i="18"/>
  <c r="AF563" i="18"/>
  <c r="AF549" i="18"/>
  <c r="AF595" i="18"/>
  <c r="AF627" i="18"/>
  <c r="AF659" i="18"/>
  <c r="AF691" i="18"/>
  <c r="AF723" i="18"/>
  <c r="AF74" i="18"/>
  <c r="AF734" i="18"/>
  <c r="AF660" i="18"/>
  <c r="AF710" i="18"/>
  <c r="AF682" i="18"/>
  <c r="AF704" i="18"/>
  <c r="AF644" i="18"/>
  <c r="AF546" i="18"/>
  <c r="AF744" i="18"/>
  <c r="AF698" i="18"/>
  <c r="AF189" i="18"/>
  <c r="AF267" i="18"/>
  <c r="AF158" i="18"/>
  <c r="AF182" i="18"/>
  <c r="AF87" i="18"/>
  <c r="AF131" i="18"/>
  <c r="AF319" i="18"/>
  <c r="AF351" i="18"/>
  <c r="AF112" i="18"/>
  <c r="AF80" i="18"/>
  <c r="AF280" i="18"/>
  <c r="AF312" i="18"/>
  <c r="AF209" i="18"/>
  <c r="AF196" i="18"/>
  <c r="AF195" i="18"/>
  <c r="AF421" i="18"/>
  <c r="AF485" i="18"/>
  <c r="AF141" i="18"/>
  <c r="AF337" i="18"/>
  <c r="AF442" i="18"/>
  <c r="AF506" i="18"/>
  <c r="AF341" i="18"/>
  <c r="AF317" i="18"/>
  <c r="AF431" i="18"/>
  <c r="AF527" i="18"/>
  <c r="AF282" i="18"/>
  <c r="AF520" i="18"/>
  <c r="AF163" i="18"/>
  <c r="AF597" i="18"/>
  <c r="AF693" i="18"/>
  <c r="AF570" i="18"/>
  <c r="AF594" i="18"/>
  <c r="AF658" i="18"/>
  <c r="AF224" i="18"/>
  <c r="AF603" i="18"/>
  <c r="AF699" i="18"/>
  <c r="AF79" i="18"/>
  <c r="AF742" i="18"/>
  <c r="AF736" i="18"/>
  <c r="AF496" i="18"/>
  <c r="AF730" i="18"/>
  <c r="AF60" i="18"/>
  <c r="AF124" i="18"/>
  <c r="AF188" i="18"/>
  <c r="AF231" i="18"/>
  <c r="AF263" i="18"/>
  <c r="AF83" i="18"/>
  <c r="AF147" i="18"/>
  <c r="AF211" i="18"/>
  <c r="AF107" i="18"/>
  <c r="AF171" i="18"/>
  <c r="AF77" i="18"/>
  <c r="AF89" i="18"/>
  <c r="AF207" i="18"/>
  <c r="AF283" i="18"/>
  <c r="AF315" i="18"/>
  <c r="AF347" i="18"/>
  <c r="AF379" i="18"/>
  <c r="AF100" i="18"/>
  <c r="AF181" i="18"/>
  <c r="AF49" i="18"/>
  <c r="AF165" i="18"/>
  <c r="AF272" i="18"/>
  <c r="AF308" i="18"/>
  <c r="AF84" i="18"/>
  <c r="AF187" i="18"/>
  <c r="AF57" i="18"/>
  <c r="AF183" i="18"/>
  <c r="AF257" i="18"/>
  <c r="AF297" i="18"/>
  <c r="AF164" i="18"/>
  <c r="AF352" i="18"/>
  <c r="AF417" i="18"/>
  <c r="AF449" i="18"/>
  <c r="AF481" i="18"/>
  <c r="AF513" i="18"/>
  <c r="AF110" i="18"/>
  <c r="AF356" i="18"/>
  <c r="AF173" i="18"/>
  <c r="AF334" i="18"/>
  <c r="AF406" i="18"/>
  <c r="AF438" i="18"/>
  <c r="AF470" i="18"/>
  <c r="AF502" i="18"/>
  <c r="AF534" i="18"/>
  <c r="AF298" i="18"/>
  <c r="AF68" i="18"/>
  <c r="AF294" i="18"/>
  <c r="AF377" i="18"/>
  <c r="AF427" i="18"/>
  <c r="AF459" i="18"/>
  <c r="AF491" i="18"/>
  <c r="AF523" i="18"/>
  <c r="AF261" i="18"/>
  <c r="AF386" i="18"/>
  <c r="AF548" i="18"/>
  <c r="AF480" i="18"/>
  <c r="AF362" i="18"/>
  <c r="AF116" i="18"/>
  <c r="AF542" i="18"/>
  <c r="AF593" i="18"/>
  <c r="AF625" i="18"/>
  <c r="AF657" i="18"/>
  <c r="AF689" i="18"/>
  <c r="AF721" i="18"/>
  <c r="AF59" i="18"/>
  <c r="AF560" i="18"/>
  <c r="AF408" i="18"/>
  <c r="AF590" i="18"/>
  <c r="AF622" i="18"/>
  <c r="AF654" i="18"/>
  <c r="AF265" i="18"/>
  <c r="AF573" i="18"/>
  <c r="AF550" i="18"/>
  <c r="AF599" i="18"/>
  <c r="AF631" i="18"/>
  <c r="AF663" i="18"/>
  <c r="AF695" i="18"/>
  <c r="AF727" i="18"/>
  <c r="AF492" i="18"/>
  <c r="AF752" i="18"/>
  <c r="AF692" i="18"/>
  <c r="AF728" i="18"/>
  <c r="AF700" i="18"/>
  <c r="AF718" i="18"/>
  <c r="AF676" i="18"/>
  <c r="AF234" i="18"/>
  <c r="AF600" i="18"/>
  <c r="AF616" i="18"/>
  <c r="AF54" i="18"/>
  <c r="AF287" i="18"/>
  <c r="AF383" i="18"/>
  <c r="AF184" i="18"/>
  <c r="AF95" i="18"/>
  <c r="AF88" i="18"/>
  <c r="AF301" i="18"/>
  <c r="AF361" i="18"/>
  <c r="AF453" i="18"/>
  <c r="AF517" i="18"/>
  <c r="AF365" i="18"/>
  <c r="AF410" i="18"/>
  <c r="AF474" i="18"/>
  <c r="AF538" i="18"/>
  <c r="AF119" i="18"/>
  <c r="AF382" i="18"/>
  <c r="AF463" i="18"/>
  <c r="AF274" i="18"/>
  <c r="AF552" i="18"/>
  <c r="AF394" i="18"/>
  <c r="AF557" i="18"/>
  <c r="AF629" i="18"/>
  <c r="AF661" i="18"/>
  <c r="AF725" i="18"/>
  <c r="AF460" i="18"/>
  <c r="AF626" i="18"/>
  <c r="AF358" i="18"/>
  <c r="AF564" i="18"/>
  <c r="AF635" i="18"/>
  <c r="AF667" i="18"/>
  <c r="AF731" i="18"/>
  <c r="AF706" i="18"/>
  <c r="AF714" i="18"/>
  <c r="AF690" i="18"/>
  <c r="AF577" i="18"/>
  <c r="AF61" i="18"/>
  <c r="AF125" i="18"/>
  <c r="AF235" i="18"/>
  <c r="AF94" i="18"/>
  <c r="AF118" i="18"/>
  <c r="AF214" i="18"/>
  <c r="AF197" i="18"/>
  <c r="AF262" i="18"/>
  <c r="AF176" i="18"/>
  <c r="AF495" i="18"/>
  <c r="AF456" i="18"/>
  <c r="AF424" i="18"/>
  <c r="AF71" i="18"/>
  <c r="AF135" i="18"/>
  <c r="AF199" i="18"/>
  <c r="AF239" i="18"/>
  <c r="AF271" i="18"/>
  <c r="AF104" i="18"/>
  <c r="AF168" i="18"/>
  <c r="AF64" i="18"/>
  <c r="AF128" i="18"/>
  <c r="AF192" i="18"/>
  <c r="AF98" i="18"/>
  <c r="AF144" i="18"/>
  <c r="AF232" i="18"/>
  <c r="AF291" i="18"/>
  <c r="AF323" i="18"/>
  <c r="AF355" i="18"/>
  <c r="AF387" i="18"/>
  <c r="AF121" i="18"/>
  <c r="AF213" i="18"/>
  <c r="AF91" i="18"/>
  <c r="AF206" i="18"/>
  <c r="AF284" i="18"/>
  <c r="AF316" i="18"/>
  <c r="AF106" i="18"/>
  <c r="AF212" i="18"/>
  <c r="AF99" i="18"/>
  <c r="AF202" i="18"/>
  <c r="AF276" i="18"/>
  <c r="AF305" i="18"/>
  <c r="AF238" i="18"/>
  <c r="AF366" i="18"/>
  <c r="AF425" i="18"/>
  <c r="AF457" i="18"/>
  <c r="AF489" i="18"/>
  <c r="AF521" i="18"/>
  <c r="AF145" i="18"/>
  <c r="AF370" i="18"/>
  <c r="AF229" i="18"/>
  <c r="AF342" i="18"/>
  <c r="AF414" i="18"/>
  <c r="AF446" i="18"/>
  <c r="AF478" i="18"/>
  <c r="AF510" i="18"/>
  <c r="AF52" i="18"/>
  <c r="AF346" i="18"/>
  <c r="AF123" i="18"/>
  <c r="AF325" i="18"/>
  <c r="AF403" i="18"/>
  <c r="AF435" i="18"/>
  <c r="AF467" i="18"/>
  <c r="AF499" i="18"/>
  <c r="AF531" i="18"/>
  <c r="AF290" i="18"/>
  <c r="AF436" i="18"/>
  <c r="AF556" i="18"/>
  <c r="AF198" i="18"/>
  <c r="AF416" i="18"/>
  <c r="AF237" i="18"/>
  <c r="AF558" i="18"/>
  <c r="AF601" i="18"/>
  <c r="AF633" i="18"/>
  <c r="AF665" i="18"/>
  <c r="AF697" i="18"/>
  <c r="AF729" i="18"/>
  <c r="AF504" i="18"/>
  <c r="AF571" i="18"/>
  <c r="AF553" i="18"/>
  <c r="AF598" i="18"/>
  <c r="AF630" i="18"/>
  <c r="AF662" i="18"/>
  <c r="AF440" i="18"/>
  <c r="AF286" i="18"/>
  <c r="AF574" i="18"/>
  <c r="AF607" i="18"/>
  <c r="AF639" i="18"/>
  <c r="AF671" i="18"/>
  <c r="AF703" i="18"/>
  <c r="AF735" i="18"/>
  <c r="AF547" i="18"/>
  <c r="AF567" i="18"/>
  <c r="AF724" i="18"/>
  <c r="AF592" i="18"/>
  <c r="AF732" i="18"/>
  <c r="AF750" i="18"/>
  <c r="AF708" i="18"/>
  <c r="AF672" i="18"/>
  <c r="AF684" i="18"/>
  <c r="AF566" i="18"/>
  <c r="AF55" i="18"/>
  <c r="AF130" i="18"/>
  <c r="AF225" i="18"/>
  <c r="AF437" i="18"/>
  <c r="AF501" i="18"/>
  <c r="AF302" i="18"/>
  <c r="AF490" i="18"/>
  <c r="AF378" i="18"/>
  <c r="AF447" i="18"/>
  <c r="AF354" i="18"/>
  <c r="AF390" i="18"/>
  <c r="AF432" i="18"/>
  <c r="AF613" i="18"/>
  <c r="AF709" i="18"/>
  <c r="AF348" i="18"/>
  <c r="AF642" i="18"/>
  <c r="AF551" i="18"/>
  <c r="AF619" i="18"/>
  <c r="AF683" i="18"/>
  <c r="AF702" i="18"/>
  <c r="AF640" i="18"/>
  <c r="AF353" i="18"/>
  <c r="AF82" i="18"/>
  <c r="AF146" i="18"/>
  <c r="AF210" i="18"/>
  <c r="AF243" i="18"/>
  <c r="AF275" i="18"/>
  <c r="AF105" i="18"/>
  <c r="AF169" i="18"/>
  <c r="AF65" i="18"/>
  <c r="AF129" i="18"/>
  <c r="AF193" i="18"/>
  <c r="AF108" i="18"/>
  <c r="AF153" i="18"/>
  <c r="AF241" i="18"/>
  <c r="AF295" i="18"/>
  <c r="AF327" i="18"/>
  <c r="AF359" i="18"/>
  <c r="AF391" i="18"/>
  <c r="AF134" i="18"/>
  <c r="AF218" i="18"/>
  <c r="AF102" i="18"/>
  <c r="AF217" i="18"/>
  <c r="AF288" i="18"/>
  <c r="AF320" i="18"/>
  <c r="AF111" i="18"/>
  <c r="AF221" i="18"/>
  <c r="AF120" i="18"/>
  <c r="AF205" i="18"/>
  <c r="AF277" i="18"/>
  <c r="AF309" i="18"/>
  <c r="AF252" i="18"/>
  <c r="AF384" i="18"/>
  <c r="AF429" i="18"/>
  <c r="AF461" i="18"/>
  <c r="AF493" i="18"/>
  <c r="AF525" i="18"/>
  <c r="AF228" i="18"/>
  <c r="AF388" i="18"/>
  <c r="AF242" i="18"/>
  <c r="AF360" i="18"/>
  <c r="AF418" i="18"/>
  <c r="AF450" i="18"/>
  <c r="AF482" i="18"/>
  <c r="AF514" i="18"/>
  <c r="AF122" i="18"/>
  <c r="AF364" i="18"/>
  <c r="AF154" i="18"/>
  <c r="AF333" i="18"/>
  <c r="AF407" i="18"/>
  <c r="AF439" i="18"/>
  <c r="AF471" i="18"/>
  <c r="AF503" i="18"/>
  <c r="AF535" i="18"/>
  <c r="AF340" i="18"/>
  <c r="AF468" i="18"/>
  <c r="AF344" i="18"/>
  <c r="AF314" i="18"/>
  <c r="AF428" i="18"/>
  <c r="AF330" i="18"/>
  <c r="AF559" i="18"/>
  <c r="AF605" i="18"/>
  <c r="AF637" i="18"/>
  <c r="AF669" i="18"/>
  <c r="AF701" i="18"/>
  <c r="AF733" i="18"/>
  <c r="AF512" i="18"/>
  <c r="AF581" i="18"/>
  <c r="AF554" i="18"/>
  <c r="AF602" i="18"/>
  <c r="AF634" i="18"/>
  <c r="AF666" i="18"/>
  <c r="AF464" i="18"/>
  <c r="AF376" i="18"/>
  <c r="AF575" i="18"/>
  <c r="AF611" i="18"/>
  <c r="AF643" i="18"/>
  <c r="AF675" i="18"/>
  <c r="AF707" i="18"/>
  <c r="AF739" i="18"/>
  <c r="AF664" i="18"/>
  <c r="AF588" i="18"/>
  <c r="AF738" i="18"/>
  <c r="AF608" i="18"/>
  <c r="AF746" i="18"/>
  <c r="AF545" i="18"/>
  <c r="AF722" i="18"/>
  <c r="AF680" i="18"/>
  <c r="AF632" i="18"/>
  <c r="AF648" i="18"/>
  <c r="AF172" i="18"/>
  <c r="AF240" i="18"/>
  <c r="AF155" i="18"/>
  <c r="AF398" i="18"/>
  <c r="AF533" i="18"/>
  <c r="AF426" i="18"/>
  <c r="AF522" i="18"/>
  <c r="AF185" i="18"/>
  <c r="AF415" i="18"/>
  <c r="AF511" i="18"/>
  <c r="AF532" i="18"/>
  <c r="AF444" i="18"/>
  <c r="AF580" i="18"/>
  <c r="AF645" i="18"/>
  <c r="AF536" i="18"/>
  <c r="AF610" i="18"/>
  <c r="AF674" i="18"/>
  <c r="AF587" i="18"/>
  <c r="AF651" i="18"/>
  <c r="AF747" i="18"/>
  <c r="AF656" i="18"/>
  <c r="AF612" i="18"/>
  <c r="AF712" i="18"/>
  <c r="AF92" i="18"/>
  <c r="AF156" i="18"/>
  <c r="AF215" i="18"/>
  <c r="AF247" i="18"/>
  <c r="AF51" i="18"/>
  <c r="AF115" i="18"/>
  <c r="AF179" i="18"/>
  <c r="AF75" i="18"/>
  <c r="AF139" i="18"/>
  <c r="AF203" i="18"/>
  <c r="AF109" i="18"/>
  <c r="AF166" i="18"/>
  <c r="AF246" i="18"/>
  <c r="AF299" i="18"/>
  <c r="AF331" i="18"/>
  <c r="AF363" i="18"/>
  <c r="AF395" i="18"/>
  <c r="AF140" i="18"/>
  <c r="AF236" i="18"/>
  <c r="AF127" i="18"/>
  <c r="AF222" i="18"/>
  <c r="AF292" i="18"/>
  <c r="AF324" i="18"/>
  <c r="AF117" i="18"/>
  <c r="AF226" i="18"/>
  <c r="AF142" i="18"/>
  <c r="AF216" i="18"/>
  <c r="AF281" i="18"/>
  <c r="AF313" i="18"/>
  <c r="AF278" i="18"/>
  <c r="AF393" i="18"/>
  <c r="AF433" i="18"/>
  <c r="AF465" i="18"/>
  <c r="AF497" i="18"/>
  <c r="AF529" i="18"/>
  <c r="AF266" i="18"/>
  <c r="AF397" i="18"/>
  <c r="AF256" i="18"/>
  <c r="AF369" i="18"/>
  <c r="AF422" i="18"/>
  <c r="AF454" i="18"/>
  <c r="AF486" i="18"/>
  <c r="AF518" i="18"/>
  <c r="AF138" i="18"/>
  <c r="AF373" i="18"/>
  <c r="AF170" i="18"/>
  <c r="AF336" i="18"/>
  <c r="AF411" i="18"/>
  <c r="AF443" i="18"/>
  <c r="AF475" i="18"/>
  <c r="AF507" i="18"/>
  <c r="AF63" i="18"/>
  <c r="AF349" i="18"/>
  <c r="AF500" i="18"/>
  <c r="AF385" i="18"/>
  <c r="AF380" i="18"/>
  <c r="AF543" i="18"/>
  <c r="AF412" i="18"/>
  <c r="AF569" i="18"/>
  <c r="AF609" i="18"/>
  <c r="AF641" i="18"/>
  <c r="AF673" i="18"/>
  <c r="AF705" i="18"/>
  <c r="AF737" i="18"/>
  <c r="AF524" i="18"/>
  <c r="AF322" i="18"/>
  <c r="AF561" i="18"/>
  <c r="AF606" i="18"/>
  <c r="AF638" i="18"/>
  <c r="AF670" i="18"/>
  <c r="AF484" i="18"/>
  <c r="AF488" i="18"/>
  <c r="AF583" i="18"/>
  <c r="AF615" i="18"/>
  <c r="AF647" i="18"/>
  <c r="AF679" i="18"/>
  <c r="AF711" i="18"/>
  <c r="AF743" i="18"/>
  <c r="AF688" i="18"/>
  <c r="AF604" i="18"/>
  <c r="AF132" i="18"/>
  <c r="AF624" i="18"/>
  <c r="AF565" i="18"/>
  <c r="AF596" i="18"/>
  <c r="AF740" i="18"/>
  <c r="AF694" i="18"/>
  <c r="AF716" i="18"/>
  <c r="AF668" i="18"/>
  <c r="AF93" i="18"/>
  <c r="AF219" i="18"/>
  <c r="AF251" i="18"/>
  <c r="AF62" i="18"/>
  <c r="AF126" i="18"/>
  <c r="AF86" i="18"/>
  <c r="AF150" i="18"/>
  <c r="AF56" i="18"/>
  <c r="AF264" i="18"/>
  <c r="AF335" i="18"/>
  <c r="AF367" i="18"/>
  <c r="AF402" i="18"/>
  <c r="AF159" i="18"/>
  <c r="AF245" i="18"/>
  <c r="AF328" i="18"/>
  <c r="AF133" i="18"/>
  <c r="AF244" i="18"/>
  <c r="AF285" i="18"/>
  <c r="AF310" i="18"/>
  <c r="AF469" i="18"/>
  <c r="AF269" i="18"/>
  <c r="AF374" i="18"/>
  <c r="AF458" i="18"/>
  <c r="AF204" i="18"/>
  <c r="AF345" i="18"/>
  <c r="AF151" i="18"/>
  <c r="AF568" i="18"/>
  <c r="AF677" i="18"/>
  <c r="AF572" i="18"/>
  <c r="AF516" i="18"/>
  <c r="AF715" i="18"/>
  <c r="AF576" i="18"/>
  <c r="AF584" i="18"/>
  <c r="AA4" i="18"/>
  <c r="AA44" i="18" s="1"/>
  <c r="Z401" i="18"/>
  <c r="Z47" i="18"/>
  <c r="Z754" i="18"/>
  <c r="AJ38" i="18"/>
  <c r="AI757" i="18"/>
  <c r="AI809" i="18"/>
  <c r="AI759" i="18"/>
  <c r="AI834" i="18"/>
  <c r="AI900" i="18"/>
  <c r="AI956" i="18"/>
  <c r="AI1020" i="18"/>
  <c r="AI1075" i="18"/>
  <c r="AI944" i="18"/>
  <c r="AI1033" i="18"/>
  <c r="AI762" i="18"/>
  <c r="AI835" i="18"/>
  <c r="AI915" i="18"/>
  <c r="AI772" i="18"/>
  <c r="AI844" i="18"/>
  <c r="AI908" i="18"/>
  <c r="AI971" i="18"/>
  <c r="AI1046" i="18"/>
  <c r="AI782" i="18"/>
  <c r="AI862" i="18"/>
  <c r="AI925" i="18"/>
  <c r="AI979" i="18"/>
  <c r="AI1052" i="18"/>
  <c r="AI802" i="18"/>
  <c r="AI873" i="18"/>
  <c r="AI933" i="18"/>
  <c r="AI1000" i="18"/>
  <c r="AI803" i="18"/>
  <c r="AI874" i="18"/>
  <c r="AI947" i="18"/>
  <c r="AI1001" i="18"/>
  <c r="AI1057" i="18"/>
  <c r="AI1103" i="18"/>
  <c r="AI822" i="18"/>
  <c r="AI890" i="18"/>
  <c r="AI961" i="18"/>
  <c r="AI1058" i="18"/>
  <c r="AI787" i="18"/>
  <c r="AI1063" i="18"/>
  <c r="AI989" i="18"/>
  <c r="AI1072" i="18"/>
  <c r="AI1074" i="18"/>
  <c r="AI768" i="18"/>
  <c r="AI1061" i="18"/>
  <c r="AI950" i="18"/>
  <c r="AI1027" i="18"/>
  <c r="AI901" i="18"/>
  <c r="AI964" i="18"/>
  <c r="AI917" i="18"/>
  <c r="AI864" i="18"/>
  <c r="AI940" i="18"/>
  <c r="AI1099" i="18"/>
  <c r="AI1053" i="18"/>
  <c r="AI1029" i="18"/>
  <c r="AI1017" i="18"/>
  <c r="AI760" i="18"/>
  <c r="AI817" i="18"/>
  <c r="AI770" i="18"/>
  <c r="AI842" i="18"/>
  <c r="AI906" i="18"/>
  <c r="AI963" i="18"/>
  <c r="AI1026" i="18"/>
  <c r="AI1081" i="18"/>
  <c r="AI970" i="18"/>
  <c r="AI1045" i="18"/>
  <c r="AI771" i="18"/>
  <c r="AI843" i="18"/>
  <c r="AI937" i="18"/>
  <c r="AI781" i="18"/>
  <c r="AI853" i="18"/>
  <c r="AI916" i="18"/>
  <c r="AI985" i="18"/>
  <c r="AI1051" i="18"/>
  <c r="AI791" i="18"/>
  <c r="AI872" i="18"/>
  <c r="AI932" i="18"/>
  <c r="AI986" i="18"/>
  <c r="AI1077" i="18"/>
  <c r="AI811" i="18"/>
  <c r="AI881" i="18"/>
  <c r="AI946" i="18"/>
  <c r="AI1005" i="18"/>
  <c r="AI812" i="18"/>
  <c r="AI889" i="18"/>
  <c r="AI954" i="18"/>
  <c r="AI1006" i="18"/>
  <c r="AI1062" i="18"/>
  <c r="AI756" i="18"/>
  <c r="AI831" i="18"/>
  <c r="AI898" i="18"/>
  <c r="AI968" i="18"/>
  <c r="AI1069" i="18"/>
  <c r="AI976" i="18"/>
  <c r="AI1091" i="18"/>
  <c r="AI1025" i="18"/>
  <c r="AI1094" i="18"/>
  <c r="AI1096" i="18"/>
  <c r="AI905" i="18"/>
  <c r="AI1102" i="18"/>
  <c r="AI892" i="18"/>
  <c r="AI1093" i="18"/>
  <c r="AI902" i="18"/>
  <c r="AI972" i="18"/>
  <c r="AI994" i="18"/>
  <c r="AI1048" i="18"/>
  <c r="AI1041" i="18"/>
  <c r="AI1098" i="18"/>
  <c r="AI761" i="18"/>
  <c r="AI825" i="18"/>
  <c r="AI779" i="18"/>
  <c r="AI851" i="18"/>
  <c r="AI914" i="18"/>
  <c r="AI969" i="18"/>
  <c r="AI1032" i="18"/>
  <c r="AI1086" i="18"/>
  <c r="AI978" i="18"/>
  <c r="AI1060" i="18"/>
  <c r="AI780" i="18"/>
  <c r="AI852" i="18"/>
  <c r="AI957" i="18"/>
  <c r="AI790" i="18"/>
  <c r="AI861" i="18"/>
  <c r="AI924" i="18"/>
  <c r="AI992" i="18"/>
  <c r="AI1056" i="18"/>
  <c r="AI800" i="18"/>
  <c r="AI880" i="18"/>
  <c r="AI939" i="18"/>
  <c r="AI993" i="18"/>
  <c r="AI1083" i="18"/>
  <c r="AI820" i="18"/>
  <c r="AI888" i="18"/>
  <c r="AI953" i="18"/>
  <c r="AI1011" i="18"/>
  <c r="AI821" i="18"/>
  <c r="AI897" i="18"/>
  <c r="AI960" i="18"/>
  <c r="AI1012" i="18"/>
  <c r="AI1068" i="18"/>
  <c r="AI767" i="18"/>
  <c r="AI840" i="18"/>
  <c r="AI912" i="18"/>
  <c r="AI975" i="18"/>
  <c r="AI1079" i="18"/>
  <c r="AI1019" i="18"/>
  <c r="AI796" i="18"/>
  <c r="AI1049" i="18"/>
  <c r="AI823" i="18"/>
  <c r="AI758" i="18"/>
  <c r="AI962" i="18"/>
  <c r="AI921" i="18"/>
  <c r="AI824" i="18"/>
  <c r="AI930" i="18"/>
  <c r="AI763" i="18"/>
  <c r="AI773" i="18"/>
  <c r="AI792" i="18"/>
  <c r="AI865" i="18"/>
  <c r="AI882" i="18"/>
  <c r="AI935" i="18"/>
  <c r="AI769" i="18"/>
  <c r="AI833" i="18"/>
  <c r="AI788" i="18"/>
  <c r="AI859" i="18"/>
  <c r="AI922" i="18"/>
  <c r="AI977" i="18"/>
  <c r="AI1038" i="18"/>
  <c r="AI1105" i="18"/>
  <c r="AI991" i="18"/>
  <c r="AI1065" i="18"/>
  <c r="AI789" i="18"/>
  <c r="AI860" i="18"/>
  <c r="AI1039" i="18"/>
  <c r="AI799" i="18"/>
  <c r="AI870" i="18"/>
  <c r="AI931" i="18"/>
  <c r="AI999" i="18"/>
  <c r="AI1066" i="18"/>
  <c r="AI810" i="18"/>
  <c r="AI887" i="18"/>
  <c r="AI945" i="18"/>
  <c r="AI1016" i="18"/>
  <c r="AI1088" i="18"/>
  <c r="AI829" i="18"/>
  <c r="AI896" i="18"/>
  <c r="AI966" i="18"/>
  <c r="AI755" i="18"/>
  <c r="AI830" i="18"/>
  <c r="AI911" i="18"/>
  <c r="AI967" i="18"/>
  <c r="AI1018" i="18"/>
  <c r="AI1073" i="18"/>
  <c r="AI776" i="18"/>
  <c r="AI849" i="18"/>
  <c r="AI920" i="18"/>
  <c r="AI982" i="18"/>
  <c r="AI1085" i="18"/>
  <c r="AI1047" i="18"/>
  <c r="AI867" i="18"/>
  <c r="AI814" i="18"/>
  <c r="AI891" i="18"/>
  <c r="AI832" i="18"/>
  <c r="AI1014" i="18"/>
  <c r="AI1043" i="18"/>
  <c r="AI871" i="18"/>
  <c r="AI1064" i="18"/>
  <c r="AI836" i="18"/>
  <c r="AI845" i="18"/>
  <c r="AI926" i="18"/>
  <c r="AI995" i="18"/>
  <c r="AI955" i="18"/>
  <c r="AI1054" i="18"/>
  <c r="AI777" i="18"/>
  <c r="AI848" i="18"/>
  <c r="AI797" i="18"/>
  <c r="AI868" i="18"/>
  <c r="AI929" i="18"/>
  <c r="AI984" i="18"/>
  <c r="AI1044" i="18"/>
  <c r="AI885" i="18"/>
  <c r="AI998" i="18"/>
  <c r="AI1087" i="18"/>
  <c r="AI798" i="18"/>
  <c r="AI869" i="18"/>
  <c r="AI1055" i="18"/>
  <c r="AI808" i="18"/>
  <c r="AI879" i="18"/>
  <c r="AI938" i="18"/>
  <c r="AI1004" i="18"/>
  <c r="AI1076" i="18"/>
  <c r="AI819" i="18"/>
  <c r="AI895" i="18"/>
  <c r="AI952" i="18"/>
  <c r="AI1022" i="18"/>
  <c r="AI765" i="18"/>
  <c r="AI838" i="18"/>
  <c r="AI904" i="18"/>
  <c r="AI973" i="18"/>
  <c r="AI766" i="18"/>
  <c r="AI839" i="18"/>
  <c r="AI919" i="18"/>
  <c r="AI974" i="18"/>
  <c r="AI1024" i="18"/>
  <c r="AI1078" i="18"/>
  <c r="AI786" i="18"/>
  <c r="AI857" i="18"/>
  <c r="AI928" i="18"/>
  <c r="AI1007" i="18"/>
  <c r="AI1090" i="18"/>
  <c r="AI913" i="18"/>
  <c r="AI1067" i="18"/>
  <c r="AI883" i="18"/>
  <c r="AI949" i="18"/>
  <c r="AI899" i="18"/>
  <c r="AI1080" i="18"/>
  <c r="AI1104" i="18"/>
  <c r="AI801" i="18"/>
  <c r="AI1003" i="18"/>
  <c r="AI826" i="18"/>
  <c r="AI1034" i="18"/>
  <c r="AI1040" i="18"/>
  <c r="AI794" i="18"/>
  <c r="AI813" i="18"/>
  <c r="AI858" i="18"/>
  <c r="AI785" i="18"/>
  <c r="AI855" i="18"/>
  <c r="AI806" i="18"/>
  <c r="AI877" i="18"/>
  <c r="AI936" i="18"/>
  <c r="AI990" i="18"/>
  <c r="AI1050" i="18"/>
  <c r="AI907" i="18"/>
  <c r="AI1009" i="18"/>
  <c r="AI1097" i="18"/>
  <c r="AI807" i="18"/>
  <c r="AI878" i="18"/>
  <c r="AI1071" i="18"/>
  <c r="AI818" i="18"/>
  <c r="AI886" i="18"/>
  <c r="AI951" i="18"/>
  <c r="AI1010" i="18"/>
  <c r="AI1082" i="18"/>
  <c r="AI828" i="18"/>
  <c r="AI903" i="18"/>
  <c r="AI959" i="18"/>
  <c r="AI1028" i="18"/>
  <c r="AI774" i="18"/>
  <c r="AI846" i="18"/>
  <c r="AI910" i="18"/>
  <c r="AI980" i="18"/>
  <c r="AI775" i="18"/>
  <c r="AI847" i="18"/>
  <c r="AI927" i="18"/>
  <c r="AI981" i="18"/>
  <c r="AI1030" i="18"/>
  <c r="AI1084" i="18"/>
  <c r="AI795" i="18"/>
  <c r="AI866" i="18"/>
  <c r="AI941" i="18"/>
  <c r="AI1013" i="18"/>
  <c r="AI841" i="18"/>
  <c r="AI983" i="18"/>
  <c r="AI805" i="18"/>
  <c r="AI942" i="18"/>
  <c r="AI1002" i="18"/>
  <c r="AI1008" i="18"/>
  <c r="AI1100" i="18"/>
  <c r="AI1023" i="18"/>
  <c r="AI793" i="18"/>
  <c r="AI863" i="18"/>
  <c r="AI815" i="18"/>
  <c r="AI884" i="18"/>
  <c r="AI943" i="18"/>
  <c r="AI997" i="18"/>
  <c r="AI1059" i="18"/>
  <c r="AI923" i="18"/>
  <c r="AI1015" i="18"/>
  <c r="AI1101" i="18"/>
  <c r="AI816" i="18"/>
  <c r="AI893" i="18"/>
  <c r="AI1092" i="18"/>
  <c r="AI827" i="18"/>
  <c r="AI894" i="18"/>
  <c r="AI958" i="18"/>
  <c r="AI1021" i="18"/>
  <c r="AI764" i="18"/>
  <c r="AI837" i="18"/>
  <c r="AI909" i="18"/>
  <c r="AI965" i="18"/>
  <c r="AI1035" i="18"/>
  <c r="AI783" i="18"/>
  <c r="AI854" i="18"/>
  <c r="AI918" i="18"/>
  <c r="AI987" i="18"/>
  <c r="AI784" i="18"/>
  <c r="AI856" i="18"/>
  <c r="AI934" i="18"/>
  <c r="AI988" i="18"/>
  <c r="AI1042" i="18"/>
  <c r="AI1095" i="18"/>
  <c r="AI804" i="18"/>
  <c r="AI875" i="18"/>
  <c r="AI948" i="18"/>
  <c r="AI1037" i="18"/>
  <c r="AI850" i="18"/>
  <c r="AI1089" i="18"/>
  <c r="AI876" i="18"/>
  <c r="AI996" i="18"/>
  <c r="AI1031" i="18"/>
  <c r="AI1036" i="18"/>
  <c r="AI778" i="18"/>
  <c r="AI1070" i="18"/>
  <c r="AO93" i="5"/>
  <c r="AJ111" i="5" s="1"/>
  <c r="AM93" i="5"/>
  <c r="AJ109" i="5" s="1"/>
  <c r="AN93" i="5"/>
  <c r="AJ110" i="5" s="1"/>
  <c r="AD95" i="5"/>
  <c r="AG95" i="5" s="1"/>
  <c r="AK93" i="5"/>
  <c r="AJ108" i="5" s="1"/>
  <c r="AI93" i="5"/>
  <c r="AJ106" i="5" s="1"/>
  <c r="AJ93" i="5"/>
  <c r="AJ107" i="5" s="1"/>
  <c r="AJ6" i="5" s="1"/>
  <c r="AC95" i="5"/>
  <c r="AF95" i="5" s="1"/>
  <c r="BA19" i="5" l="1"/>
  <c r="H269" i="26"/>
  <c r="I268" i="26"/>
  <c r="N246" i="26"/>
  <c r="K246" i="26"/>
  <c r="L245" i="26"/>
  <c r="O245" i="26"/>
  <c r="I245" i="26"/>
  <c r="H246" i="26"/>
  <c r="E246" i="26"/>
  <c r="F245" i="26"/>
  <c r="AM24" i="5"/>
  <c r="AL25" i="5"/>
  <c r="AJ11" i="5" a="1"/>
  <c r="AJ11" i="5" s="1"/>
  <c r="AI9" i="5"/>
  <c r="AI10" i="5" s="1"/>
  <c r="AI32" i="5" s="1"/>
  <c r="BA22" i="5"/>
  <c r="BB16" i="5"/>
  <c r="BB21" i="5" s="1"/>
  <c r="BA18" i="5"/>
  <c r="AB4" i="18"/>
  <c r="AB44" i="18" s="1"/>
  <c r="AA401" i="18"/>
  <c r="AA47" i="18"/>
  <c r="AA754" i="18"/>
  <c r="AG48" i="18"/>
  <c r="AG80" i="18"/>
  <c r="AG112" i="18"/>
  <c r="AG144" i="18"/>
  <c r="AG176" i="18"/>
  <c r="AG208" i="18"/>
  <c r="AG123" i="18"/>
  <c r="AG209" i="18"/>
  <c r="AG125" i="18"/>
  <c r="AG210" i="18"/>
  <c r="AG243" i="18"/>
  <c r="AG275" i="18"/>
  <c r="AG127" i="18"/>
  <c r="AG212" i="18"/>
  <c r="AG244" i="18"/>
  <c r="AG276" i="18"/>
  <c r="AG98" i="18"/>
  <c r="AG237" i="18"/>
  <c r="AG118" i="18"/>
  <c r="AG246" i="18"/>
  <c r="AG303" i="18"/>
  <c r="AG335" i="18"/>
  <c r="AG367" i="18"/>
  <c r="AG402" i="18"/>
  <c r="AG213" i="18"/>
  <c r="AG143" i="18"/>
  <c r="AG249" i="18"/>
  <c r="AG304" i="18"/>
  <c r="AG336" i="18"/>
  <c r="AG368" i="18"/>
  <c r="AG403" i="18"/>
  <c r="AG161" i="18"/>
  <c r="AG179" i="18"/>
  <c r="AG389" i="18"/>
  <c r="AG289" i="18"/>
  <c r="AG409" i="18"/>
  <c r="AG441" i="18"/>
  <c r="AG473" i="18"/>
  <c r="AG505" i="18"/>
  <c r="AG285" i="18"/>
  <c r="AG142" i="18"/>
  <c r="AG334" i="18"/>
  <c r="AG414" i="18"/>
  <c r="AG446" i="18"/>
  <c r="AG478" i="18"/>
  <c r="AG205" i="18"/>
  <c r="AG373" i="18"/>
  <c r="AG305" i="18"/>
  <c r="AG407" i="18"/>
  <c r="AG472" i="18"/>
  <c r="AG151" i="18"/>
  <c r="AG495" i="18"/>
  <c r="AG554" i="18"/>
  <c r="AG297" i="18"/>
  <c r="AG491" i="18"/>
  <c r="AG520" i="18"/>
  <c r="AG588" i="18"/>
  <c r="AG620" i="18"/>
  <c r="AG261" i="18"/>
  <c r="AG522" i="18"/>
  <c r="AG439" i="18"/>
  <c r="AG559" i="18"/>
  <c r="AG605" i="18"/>
  <c r="AG637" i="18"/>
  <c r="AG669" i="18"/>
  <c r="AG524" i="18"/>
  <c r="AG423" i="18"/>
  <c r="AG553" i="18"/>
  <c r="AG602" i="18"/>
  <c r="AG634" i="18"/>
  <c r="AG666" i="18"/>
  <c r="AG698" i="18"/>
  <c r="AG730" i="18"/>
  <c r="AG358" i="18"/>
  <c r="AG286" i="18"/>
  <c r="AG623" i="18"/>
  <c r="AG725" i="18"/>
  <c r="AG683" i="18"/>
  <c r="AG455" i="18"/>
  <c r="AG660" i="18"/>
  <c r="AG751" i="18"/>
  <c r="AG728" i="18"/>
  <c r="AG615" i="18"/>
  <c r="AG727" i="18"/>
  <c r="AG699" i="18"/>
  <c r="AG619" i="18"/>
  <c r="AG735" i="18"/>
  <c r="AG739" i="18"/>
  <c r="AG52" i="18"/>
  <c r="AG84" i="18"/>
  <c r="AG116" i="18"/>
  <c r="AG148" i="18"/>
  <c r="AG180" i="18"/>
  <c r="AG49" i="18"/>
  <c r="AG134" i="18"/>
  <c r="AG50" i="18"/>
  <c r="AG135" i="18"/>
  <c r="AG215" i="18"/>
  <c r="AG247" i="18"/>
  <c r="AG53" i="18"/>
  <c r="AG138" i="18"/>
  <c r="AG216" i="18"/>
  <c r="AG248" i="18"/>
  <c r="AG54" i="18"/>
  <c r="AG109" i="18"/>
  <c r="AG242" i="18"/>
  <c r="AG131" i="18"/>
  <c r="AG273" i="18"/>
  <c r="AG307" i="18"/>
  <c r="AG339" i="18"/>
  <c r="AG371" i="18"/>
  <c r="AG58" i="18"/>
  <c r="AG218" i="18"/>
  <c r="AG165" i="18"/>
  <c r="AG254" i="18"/>
  <c r="AG308" i="18"/>
  <c r="AG340" i="18"/>
  <c r="AG372" i="18"/>
  <c r="AG55" i="18"/>
  <c r="AG174" i="18"/>
  <c r="AG262" i="18"/>
  <c r="AG394" i="18"/>
  <c r="AG310" i="18"/>
  <c r="AG413" i="18"/>
  <c r="AG445" i="18"/>
  <c r="AG477" i="18"/>
  <c r="AG509" i="18"/>
  <c r="AG306" i="18"/>
  <c r="AG173" i="18"/>
  <c r="AG337" i="18"/>
  <c r="AG418" i="18"/>
  <c r="AG450" i="18"/>
  <c r="AG482" i="18"/>
  <c r="AG257" i="18"/>
  <c r="AG378" i="18"/>
  <c r="AG317" i="18"/>
  <c r="AG411" i="18"/>
  <c r="AG483" i="18"/>
  <c r="AG182" i="18"/>
  <c r="AG511" i="18"/>
  <c r="AG558" i="18"/>
  <c r="AG385" i="18"/>
  <c r="AG79" i="18"/>
  <c r="AG527" i="18"/>
  <c r="AG592" i="18"/>
  <c r="AG624" i="18"/>
  <c r="AG416" i="18"/>
  <c r="AG543" i="18"/>
  <c r="AG487" i="18"/>
  <c r="AG569" i="18"/>
  <c r="AG609" i="18"/>
  <c r="AG641" i="18"/>
  <c r="AG673" i="18"/>
  <c r="AG531" i="18"/>
  <c r="AG447" i="18"/>
  <c r="AG561" i="18"/>
  <c r="AG606" i="18"/>
  <c r="AG638" i="18"/>
  <c r="AG670" i="18"/>
  <c r="AG702" i="18"/>
  <c r="AG734" i="18"/>
  <c r="AG464" i="18"/>
  <c r="AG444" i="18"/>
  <c r="AG639" i="18"/>
  <c r="AG743" i="18"/>
  <c r="AG688" i="18"/>
  <c r="AG548" i="18"/>
  <c r="AG671" i="18"/>
  <c r="AG386" i="18"/>
  <c r="AG737" i="18"/>
  <c r="AG631" i="18"/>
  <c r="AG732" i="18"/>
  <c r="AG704" i="18"/>
  <c r="AG635" i="18"/>
  <c r="AG740" i="18"/>
  <c r="AG689" i="18"/>
  <c r="AG56" i="18"/>
  <c r="AG88" i="18"/>
  <c r="AG120" i="18"/>
  <c r="AG152" i="18"/>
  <c r="AG184" i="18"/>
  <c r="AG59" i="18"/>
  <c r="AG145" i="18"/>
  <c r="AG61" i="18"/>
  <c r="AG146" i="18"/>
  <c r="AG219" i="18"/>
  <c r="AG251" i="18"/>
  <c r="AG63" i="18"/>
  <c r="AG149" i="18"/>
  <c r="AG220" i="18"/>
  <c r="AG252" i="18"/>
  <c r="AG65" i="18"/>
  <c r="AG122" i="18"/>
  <c r="AG269" i="18"/>
  <c r="AG137" i="18"/>
  <c r="AG279" i="18"/>
  <c r="AG311" i="18"/>
  <c r="AG343" i="18"/>
  <c r="AG375" i="18"/>
  <c r="AG69" i="18"/>
  <c r="AG245" i="18"/>
  <c r="AG171" i="18"/>
  <c r="AG280" i="18"/>
  <c r="AG312" i="18"/>
  <c r="AG344" i="18"/>
  <c r="AG376" i="18"/>
  <c r="AG66" i="18"/>
  <c r="AG221" i="18"/>
  <c r="AG265" i="18"/>
  <c r="AG90" i="18"/>
  <c r="AG321" i="18"/>
  <c r="AG417" i="18"/>
  <c r="AG449" i="18"/>
  <c r="AG481" i="18"/>
  <c r="AG57" i="18"/>
  <c r="AG338" i="18"/>
  <c r="AG229" i="18"/>
  <c r="AG342" i="18"/>
  <c r="AG422" i="18"/>
  <c r="AG454" i="18"/>
  <c r="AG486" i="18"/>
  <c r="AG270" i="18"/>
  <c r="AG119" i="18"/>
  <c r="AG325" i="18"/>
  <c r="AG415" i="18"/>
  <c r="AG504" i="18"/>
  <c r="AG349" i="18"/>
  <c r="AG516" i="18"/>
  <c r="AG562" i="18"/>
  <c r="AG390" i="18"/>
  <c r="AG234" i="18"/>
  <c r="AG532" i="18"/>
  <c r="AG596" i="18"/>
  <c r="AG628" i="18"/>
  <c r="AG428" i="18"/>
  <c r="AG568" i="18"/>
  <c r="AG517" i="18"/>
  <c r="AG580" i="18"/>
  <c r="AG613" i="18"/>
  <c r="AG645" i="18"/>
  <c r="AG677" i="18"/>
  <c r="AG536" i="18"/>
  <c r="AG460" i="18"/>
  <c r="AG572" i="18"/>
  <c r="AG610" i="18"/>
  <c r="AG642" i="18"/>
  <c r="AG674" i="18"/>
  <c r="AG706" i="18"/>
  <c r="AG738" i="18"/>
  <c r="AG471" i="18"/>
  <c r="AG468" i="18"/>
  <c r="AG668" i="18"/>
  <c r="AG748" i="18"/>
  <c r="AG697" i="18"/>
  <c r="AG564" i="18"/>
  <c r="AG687" i="18"/>
  <c r="AG656" i="18"/>
  <c r="AG186" i="18"/>
  <c r="AG647" i="18"/>
  <c r="AG741" i="18"/>
  <c r="AG713" i="18"/>
  <c r="AG655" i="18"/>
  <c r="AG749" i="18"/>
  <c r="AG680" i="18"/>
  <c r="AG60" i="18"/>
  <c r="AG92" i="18"/>
  <c r="AG124" i="18"/>
  <c r="AG156" i="18"/>
  <c r="AG188" i="18"/>
  <c r="AG70" i="18"/>
  <c r="AG155" i="18"/>
  <c r="AG71" i="18"/>
  <c r="AG157" i="18"/>
  <c r="AG223" i="18"/>
  <c r="AG255" i="18"/>
  <c r="AG74" i="18"/>
  <c r="AG159" i="18"/>
  <c r="AG224" i="18"/>
  <c r="AG256" i="18"/>
  <c r="AG75" i="18"/>
  <c r="AG147" i="18"/>
  <c r="AG274" i="18"/>
  <c r="AG153" i="18"/>
  <c r="AG283" i="18"/>
  <c r="AG315" i="18"/>
  <c r="AG347" i="18"/>
  <c r="AG379" i="18"/>
  <c r="AG121" i="18"/>
  <c r="AG250" i="18"/>
  <c r="AG190" i="18"/>
  <c r="AG284" i="18"/>
  <c r="AG316" i="18"/>
  <c r="AG348" i="18"/>
  <c r="AG380" i="18"/>
  <c r="AG77" i="18"/>
  <c r="AG226" i="18"/>
  <c r="AG282" i="18"/>
  <c r="AG195" i="18"/>
  <c r="AG329" i="18"/>
  <c r="AG421" i="18"/>
  <c r="AG453" i="18"/>
  <c r="AG485" i="18"/>
  <c r="AG105" i="18"/>
  <c r="AG365" i="18"/>
  <c r="AG281" i="18"/>
  <c r="AG369" i="18"/>
  <c r="AG426" i="18"/>
  <c r="AG458" i="18"/>
  <c r="AG490" i="18"/>
  <c r="AG277" i="18"/>
  <c r="AG154" i="18"/>
  <c r="AG333" i="18"/>
  <c r="AG419" i="18"/>
  <c r="AG514" i="18"/>
  <c r="AG354" i="18"/>
  <c r="AG525" i="18"/>
  <c r="AG566" i="18"/>
  <c r="AG420" i="18"/>
  <c r="AG353" i="18"/>
  <c r="AG544" i="18"/>
  <c r="AG600" i="18"/>
  <c r="AG632" i="18"/>
  <c r="AG435" i="18"/>
  <c r="AG579" i="18"/>
  <c r="AG529" i="18"/>
  <c r="AG585" i="18"/>
  <c r="AG617" i="18"/>
  <c r="AG649" i="18"/>
  <c r="AG436" i="18"/>
  <c r="AG539" i="18"/>
  <c r="AG467" i="18"/>
  <c r="AG582" i="18"/>
  <c r="AG614" i="18"/>
  <c r="AG646" i="18"/>
  <c r="AG678" i="18"/>
  <c r="AG710" i="18"/>
  <c r="AG742" i="18"/>
  <c r="AG521" i="18"/>
  <c r="AG475" i="18"/>
  <c r="AG679" i="18"/>
  <c r="AG290" i="18"/>
  <c r="AG715" i="18"/>
  <c r="AG575" i="18"/>
  <c r="AG692" i="18"/>
  <c r="AG667" i="18"/>
  <c r="AG513" i="18"/>
  <c r="AG652" i="18"/>
  <c r="AG492" i="18"/>
  <c r="AG731" i="18"/>
  <c r="AG676" i="18"/>
  <c r="AG499" i="18"/>
  <c r="AG721" i="18"/>
  <c r="AG64" i="18"/>
  <c r="AG96" i="18"/>
  <c r="AG128" i="18"/>
  <c r="AG160" i="18"/>
  <c r="AG192" i="18"/>
  <c r="AG81" i="18"/>
  <c r="AG166" i="18"/>
  <c r="AG82" i="18"/>
  <c r="AG167" i="18"/>
  <c r="AG227" i="18"/>
  <c r="AG259" i="18"/>
  <c r="AG85" i="18"/>
  <c r="AG170" i="18"/>
  <c r="AG228" i="18"/>
  <c r="AG260" i="18"/>
  <c r="AG86" i="18"/>
  <c r="AG150" i="18"/>
  <c r="AG67" i="18"/>
  <c r="AG194" i="18"/>
  <c r="AG287" i="18"/>
  <c r="AG319" i="18"/>
  <c r="AG351" i="18"/>
  <c r="AG383" i="18"/>
  <c r="AG162" i="18"/>
  <c r="AG51" i="18"/>
  <c r="AG193" i="18"/>
  <c r="AG288" i="18"/>
  <c r="AG320" i="18"/>
  <c r="AG352" i="18"/>
  <c r="AG384" i="18"/>
  <c r="AG111" i="18"/>
  <c r="AG253" i="18"/>
  <c r="AG293" i="18"/>
  <c r="AG211" i="18"/>
  <c r="AG361" i="18"/>
  <c r="AG425" i="18"/>
  <c r="AG457" i="18"/>
  <c r="AG489" i="18"/>
  <c r="AG110" i="18"/>
  <c r="AG370" i="18"/>
  <c r="AG302" i="18"/>
  <c r="AG374" i="18"/>
  <c r="AG430" i="18"/>
  <c r="AG462" i="18"/>
  <c r="AG494" i="18"/>
  <c r="AG298" i="18"/>
  <c r="AG201" i="18"/>
  <c r="AG345" i="18"/>
  <c r="AG322" i="18"/>
  <c r="AG523" i="18"/>
  <c r="AG431" i="18"/>
  <c r="AG534" i="18"/>
  <c r="AG570" i="18"/>
  <c r="AG427" i="18"/>
  <c r="AG424" i="18"/>
  <c r="AG545" i="18"/>
  <c r="AG604" i="18"/>
  <c r="AG636" i="18"/>
  <c r="AG476" i="18"/>
  <c r="AG330" i="18"/>
  <c r="AG540" i="18"/>
  <c r="AG589" i="18"/>
  <c r="AG621" i="18"/>
  <c r="AG653" i="18"/>
  <c r="AG443" i="18"/>
  <c r="AG555" i="18"/>
  <c r="AG508" i="18"/>
  <c r="AG586" i="18"/>
  <c r="AG618" i="18"/>
  <c r="AG650" i="18"/>
  <c r="AG682" i="18"/>
  <c r="AG714" i="18"/>
  <c r="AG746" i="18"/>
  <c r="AG533" i="18"/>
  <c r="AG488" i="18"/>
  <c r="AG684" i="18"/>
  <c r="AG479" i="18"/>
  <c r="AG720" i="18"/>
  <c r="AG595" i="18"/>
  <c r="AG701" i="18"/>
  <c r="AG691" i="18"/>
  <c r="AG535" i="18"/>
  <c r="AG663" i="18"/>
  <c r="AG565" i="18"/>
  <c r="AG736" i="18"/>
  <c r="AG685" i="18"/>
  <c r="AG530" i="18"/>
  <c r="AG712" i="18"/>
  <c r="AG68" i="18"/>
  <c r="AG100" i="18"/>
  <c r="AG132" i="18"/>
  <c r="AG164" i="18"/>
  <c r="AG196" i="18"/>
  <c r="AG91" i="18"/>
  <c r="AG177" i="18"/>
  <c r="AG93" i="18"/>
  <c r="AG178" i="18"/>
  <c r="AG231" i="18"/>
  <c r="AG263" i="18"/>
  <c r="AG95" i="18"/>
  <c r="AG181" i="18"/>
  <c r="AG232" i="18"/>
  <c r="AG264" i="18"/>
  <c r="AG97" i="18"/>
  <c r="AG163" i="18"/>
  <c r="AG78" i="18"/>
  <c r="AG207" i="18"/>
  <c r="AG291" i="18"/>
  <c r="AG323" i="18"/>
  <c r="AG355" i="18"/>
  <c r="AG387" i="18"/>
  <c r="AG175" i="18"/>
  <c r="AG62" i="18"/>
  <c r="AG206" i="18"/>
  <c r="AG292" i="18"/>
  <c r="AG324" i="18"/>
  <c r="AG356" i="18"/>
  <c r="AG388" i="18"/>
  <c r="AG133" i="18"/>
  <c r="AG258" i="18"/>
  <c r="AG314" i="18"/>
  <c r="AG225" i="18"/>
  <c r="AG366" i="18"/>
  <c r="AG429" i="18"/>
  <c r="AG461" i="18"/>
  <c r="AG493" i="18"/>
  <c r="AG126" i="18"/>
  <c r="AG397" i="18"/>
  <c r="AG313" i="18"/>
  <c r="AG404" i="18"/>
  <c r="AG434" i="18"/>
  <c r="AG466" i="18"/>
  <c r="AG498" i="18"/>
  <c r="AG309" i="18"/>
  <c r="AG230" i="18"/>
  <c r="AG350" i="18"/>
  <c r="AG408" i="18"/>
  <c r="AG528" i="18"/>
  <c r="AG452" i="18"/>
  <c r="AG542" i="18"/>
  <c r="AG574" i="18"/>
  <c r="AG448" i="18"/>
  <c r="AG496" i="18"/>
  <c r="AG567" i="18"/>
  <c r="AG608" i="18"/>
  <c r="AG640" i="18"/>
  <c r="AG500" i="18"/>
  <c r="AG381" i="18"/>
  <c r="AG541" i="18"/>
  <c r="AG593" i="18"/>
  <c r="AG625" i="18"/>
  <c r="AG657" i="18"/>
  <c r="AG456" i="18"/>
  <c r="AG560" i="18"/>
  <c r="AG526" i="18"/>
  <c r="AG590" i="18"/>
  <c r="AG622" i="18"/>
  <c r="AG654" i="18"/>
  <c r="AG686" i="18"/>
  <c r="AG718" i="18"/>
  <c r="AG750" i="18"/>
  <c r="AG551" i="18"/>
  <c r="AG518" i="18"/>
  <c r="AG693" i="18"/>
  <c r="AG547" i="18"/>
  <c r="AG729" i="18"/>
  <c r="AG611" i="18"/>
  <c r="AG719" i="18"/>
  <c r="AG696" i="18"/>
  <c r="AG549" i="18"/>
  <c r="AG695" i="18"/>
  <c r="AG576" i="18"/>
  <c r="AG745" i="18"/>
  <c r="AG703" i="18"/>
  <c r="AG651" i="18"/>
  <c r="AG744" i="18"/>
  <c r="AG72" i="18"/>
  <c r="AG104" i="18"/>
  <c r="AG136" i="18"/>
  <c r="AG168" i="18"/>
  <c r="AG200" i="18"/>
  <c r="AG102" i="18"/>
  <c r="AG187" i="18"/>
  <c r="AG103" i="18"/>
  <c r="AG189" i="18"/>
  <c r="AG235" i="18"/>
  <c r="AG267" i="18"/>
  <c r="AG106" i="18"/>
  <c r="AG191" i="18"/>
  <c r="AG236" i="18"/>
  <c r="AG268" i="18"/>
  <c r="AG107" i="18"/>
  <c r="AG169" i="18"/>
  <c r="AG89" i="18"/>
  <c r="AG214" i="18"/>
  <c r="AG295" i="18"/>
  <c r="AG327" i="18"/>
  <c r="AG359" i="18"/>
  <c r="AG391" i="18"/>
  <c r="AG197" i="18"/>
  <c r="AG73" i="18"/>
  <c r="AG217" i="18"/>
  <c r="AG296" i="18"/>
  <c r="AG328" i="18"/>
  <c r="AG360" i="18"/>
  <c r="AG392" i="18"/>
  <c r="AG139" i="18"/>
  <c r="AG94" i="18"/>
  <c r="AG357" i="18"/>
  <c r="AG238" i="18"/>
  <c r="AG393" i="18"/>
  <c r="AG433" i="18"/>
  <c r="AG465" i="18"/>
  <c r="AG497" i="18"/>
  <c r="AG141" i="18"/>
  <c r="AG405" i="18"/>
  <c r="AG318" i="18"/>
  <c r="AG406" i="18"/>
  <c r="AG438" i="18"/>
  <c r="AG470" i="18"/>
  <c r="AG502" i="18"/>
  <c r="AG341" i="18"/>
  <c r="AG233" i="18"/>
  <c r="AG377" i="18"/>
  <c r="AG440" i="18"/>
  <c r="AG537" i="18"/>
  <c r="AG463" i="18"/>
  <c r="AG546" i="18"/>
  <c r="AG578" i="18"/>
  <c r="AG459" i="18"/>
  <c r="AG503" i="18"/>
  <c r="AG577" i="18"/>
  <c r="AG612" i="18"/>
  <c r="AG644" i="18"/>
  <c r="AG507" i="18"/>
  <c r="AG412" i="18"/>
  <c r="AG556" i="18"/>
  <c r="AG597" i="18"/>
  <c r="AG629" i="18"/>
  <c r="AG661" i="18"/>
  <c r="AG512" i="18"/>
  <c r="AG571" i="18"/>
  <c r="AG538" i="18"/>
  <c r="AG594" i="18"/>
  <c r="AG626" i="18"/>
  <c r="AG658" i="18"/>
  <c r="AG690" i="18"/>
  <c r="AG722" i="18"/>
  <c r="AG99" i="18"/>
  <c r="AG563" i="18"/>
  <c r="AG591" i="18"/>
  <c r="AG711" i="18"/>
  <c r="AG664" i="18"/>
  <c r="AG747" i="18"/>
  <c r="AG627" i="18"/>
  <c r="AG724" i="18"/>
  <c r="AG705" i="18"/>
  <c r="AG583" i="18"/>
  <c r="AG700" i="18"/>
  <c r="AG659" i="18"/>
  <c r="AG587" i="18"/>
  <c r="AG708" i="18"/>
  <c r="AG672" i="18"/>
  <c r="AG76" i="18"/>
  <c r="AG108" i="18"/>
  <c r="AG140" i="18"/>
  <c r="AG172" i="18"/>
  <c r="AG204" i="18"/>
  <c r="AG113" i="18"/>
  <c r="AG198" i="18"/>
  <c r="AG114" i="18"/>
  <c r="AG199" i="18"/>
  <c r="AG239" i="18"/>
  <c r="AG271" i="18"/>
  <c r="AG117" i="18"/>
  <c r="AG202" i="18"/>
  <c r="AG240" i="18"/>
  <c r="AG272" i="18"/>
  <c r="AG87" i="18"/>
  <c r="AG185" i="18"/>
  <c r="AG115" i="18"/>
  <c r="AG241" i="18"/>
  <c r="AG299" i="18"/>
  <c r="AG331" i="18"/>
  <c r="AG363" i="18"/>
  <c r="AG395" i="18"/>
  <c r="AG203" i="18"/>
  <c r="AG130" i="18"/>
  <c r="AG222" i="18"/>
  <c r="AG300" i="18"/>
  <c r="AG332" i="18"/>
  <c r="AG364" i="18"/>
  <c r="AG396" i="18"/>
  <c r="AG158" i="18"/>
  <c r="AG129" i="18"/>
  <c r="AG362" i="18"/>
  <c r="AG278" i="18"/>
  <c r="AG398" i="18"/>
  <c r="AG437" i="18"/>
  <c r="AG469" i="18"/>
  <c r="AG501" i="18"/>
  <c r="AG266" i="18"/>
  <c r="AG101" i="18"/>
  <c r="AG326" i="18"/>
  <c r="AG410" i="18"/>
  <c r="AG442" i="18"/>
  <c r="AG474" i="18"/>
  <c r="AG506" i="18"/>
  <c r="AG346" i="18"/>
  <c r="AG294" i="18"/>
  <c r="AG382" i="18"/>
  <c r="AG451" i="18"/>
  <c r="AG83" i="18"/>
  <c r="AG484" i="18"/>
  <c r="AG550" i="18"/>
  <c r="AG183" i="18"/>
  <c r="AG480" i="18"/>
  <c r="AG515" i="18"/>
  <c r="AG584" i="18"/>
  <c r="AG616" i="18"/>
  <c r="AG648" i="18"/>
  <c r="AG510" i="18"/>
  <c r="AG432" i="18"/>
  <c r="AG557" i="18"/>
  <c r="AG601" i="18"/>
  <c r="AG633" i="18"/>
  <c r="AG665" i="18"/>
  <c r="AG519" i="18"/>
  <c r="AG581" i="18"/>
  <c r="AG552" i="18"/>
  <c r="AG598" i="18"/>
  <c r="AG630" i="18"/>
  <c r="AG662" i="18"/>
  <c r="AG694" i="18"/>
  <c r="AG726" i="18"/>
  <c r="AG301" i="18"/>
  <c r="AG573" i="18"/>
  <c r="AG607" i="18"/>
  <c r="AG716" i="18"/>
  <c r="AG675" i="18"/>
  <c r="AG752" i="18"/>
  <c r="AG643" i="18"/>
  <c r="AG733" i="18"/>
  <c r="AG723" i="18"/>
  <c r="AG599" i="18"/>
  <c r="AG709" i="18"/>
  <c r="AG681" i="18"/>
  <c r="AG603" i="18"/>
  <c r="AG717" i="18"/>
  <c r="AG707" i="18"/>
  <c r="AK38" i="18"/>
  <c r="AJ1071" i="18"/>
  <c r="AJ773" i="18"/>
  <c r="AJ872" i="18"/>
  <c r="AJ858" i="18"/>
  <c r="AJ1038" i="18"/>
  <c r="AJ1069" i="18"/>
  <c r="AJ823" i="18"/>
  <c r="AJ811" i="18"/>
  <c r="AJ1059" i="18"/>
  <c r="AJ983" i="18"/>
  <c r="AJ846" i="18"/>
  <c r="AJ931" i="18"/>
  <c r="AJ980" i="18"/>
  <c r="AJ1047" i="18"/>
  <c r="AJ1101" i="18"/>
  <c r="AJ918" i="18"/>
  <c r="AJ892" i="18"/>
  <c r="AJ885" i="18"/>
  <c r="AJ948" i="18"/>
  <c r="AJ1053" i="18"/>
  <c r="AJ1079" i="18"/>
  <c r="AJ882" i="18"/>
  <c r="AJ945" i="18"/>
  <c r="AJ1094" i="18"/>
  <c r="AJ1014" i="18"/>
  <c r="AJ891" i="18"/>
  <c r="AJ830" i="18"/>
  <c r="AJ871" i="18"/>
  <c r="AJ790" i="18"/>
  <c r="AJ970" i="18"/>
  <c r="AJ861" i="18"/>
  <c r="AJ1026" i="18"/>
  <c r="AJ825" i="18"/>
  <c r="AJ932" i="18"/>
  <c r="AJ1061" i="18"/>
  <c r="AJ791" i="18"/>
  <c r="AJ1016" i="18"/>
  <c r="AJ1091" i="18"/>
  <c r="AJ1033" i="18"/>
  <c r="AJ1088" i="18"/>
  <c r="AJ883" i="18"/>
  <c r="AJ982" i="18"/>
  <c r="AJ797" i="18"/>
  <c r="AJ841" i="18"/>
  <c r="AJ1036" i="18"/>
  <c r="AJ837" i="18"/>
  <c r="AJ908" i="18"/>
  <c r="AJ992" i="18"/>
  <c r="AJ946" i="18"/>
  <c r="AJ764" i="18"/>
  <c r="AJ887" i="18"/>
  <c r="AJ843" i="18"/>
  <c r="AJ806" i="18"/>
  <c r="AJ1040" i="18"/>
  <c r="AJ997" i="18"/>
  <c r="AJ831" i="18"/>
  <c r="AJ868" i="18"/>
  <c r="AJ990" i="18"/>
  <c r="AJ1011" i="18"/>
  <c r="AJ943" i="18"/>
  <c r="AJ796" i="18"/>
  <c r="AJ961" i="18"/>
  <c r="AJ804" i="18"/>
  <c r="AJ756" i="18"/>
  <c r="AJ1027" i="18"/>
  <c r="AJ1054" i="18"/>
  <c r="AJ760" i="18"/>
  <c r="AJ996" i="18"/>
  <c r="AJ1063" i="18"/>
  <c r="AJ788" i="18"/>
  <c r="AJ1006" i="18"/>
  <c r="AJ829" i="18"/>
  <c r="AJ989" i="18"/>
  <c r="AJ1077" i="18"/>
  <c r="AJ1001" i="18"/>
  <c r="AJ833" i="18"/>
  <c r="AJ766" i="18"/>
  <c r="AJ899" i="18"/>
  <c r="AJ881" i="18"/>
  <c r="AJ919" i="18"/>
  <c r="AJ838" i="18"/>
  <c r="AJ1034" i="18"/>
  <c r="AJ803" i="18"/>
  <c r="AJ928" i="18"/>
  <c r="AJ947" i="18"/>
  <c r="AJ765" i="18"/>
  <c r="AJ755" i="18"/>
  <c r="AJ1096" i="18"/>
  <c r="AJ955" i="18"/>
  <c r="AJ905" i="18"/>
  <c r="AJ964" i="18"/>
  <c r="AJ1062" i="18"/>
  <c r="AJ1097" i="18"/>
  <c r="AJ915" i="18"/>
  <c r="AJ781" i="18"/>
  <c r="AJ875" i="18"/>
  <c r="AJ870" i="18"/>
  <c r="AJ1073" i="18"/>
  <c r="AJ1076" i="18"/>
  <c r="AJ789" i="18"/>
  <c r="AJ995" i="18"/>
  <c r="AJ916" i="18"/>
  <c r="AJ889" i="18"/>
  <c r="AJ1067" i="18"/>
  <c r="AJ1083" i="18"/>
  <c r="AJ1025" i="18"/>
  <c r="AJ917" i="18"/>
  <c r="AJ758" i="18"/>
  <c r="AJ914" i="18"/>
  <c r="AJ952" i="18"/>
  <c r="AJ824" i="18"/>
  <c r="AJ1012" i="18"/>
  <c r="AJ1074" i="18"/>
  <c r="AJ965" i="18"/>
  <c r="AJ1018" i="18"/>
  <c r="AJ969" i="18"/>
  <c r="AJ769" i="18"/>
  <c r="AJ1080" i="18"/>
  <c r="AJ787" i="18"/>
  <c r="AJ897" i="18"/>
  <c r="AJ783" i="18"/>
  <c r="AJ1013" i="18"/>
  <c r="AJ1085" i="18"/>
  <c r="AJ877" i="18"/>
  <c r="AJ1044" i="18"/>
  <c r="AJ860" i="18"/>
  <c r="AJ956" i="18"/>
  <c r="AJ798" i="18"/>
  <c r="AJ886" i="18"/>
  <c r="AJ867" i="18"/>
  <c r="AJ761" i="18"/>
  <c r="AJ840" i="18"/>
  <c r="AJ794" i="18"/>
  <c r="AJ759" i="18"/>
  <c r="AJ857" i="18"/>
  <c r="AJ880" i="18"/>
  <c r="AJ848" i="18"/>
  <c r="AJ896" i="18"/>
  <c r="AJ971" i="18"/>
  <c r="AJ862" i="18"/>
  <c r="AJ814" i="18"/>
  <c r="AJ903" i="18"/>
  <c r="AJ856" i="18"/>
  <c r="AJ1051" i="18"/>
  <c r="AJ893" i="18"/>
  <c r="AJ1104" i="18"/>
  <c r="AJ1003" i="18"/>
  <c r="AJ812" i="18"/>
  <c r="AJ977" i="18"/>
  <c r="AJ836" i="18"/>
  <c r="AJ785" i="18"/>
  <c r="AJ809" i="18"/>
  <c r="AJ1089" i="18"/>
  <c r="AJ845" i="18"/>
  <c r="AJ912" i="18"/>
  <c r="AJ998" i="18"/>
  <c r="AJ957" i="18"/>
  <c r="AJ780" i="18"/>
  <c r="AJ853" i="18"/>
  <c r="AJ810" i="18"/>
  <c r="AJ974" i="18"/>
  <c r="AJ767" i="18"/>
  <c r="AJ1007" i="18"/>
  <c r="AJ1060" i="18"/>
  <c r="AJ768" i="18"/>
  <c r="AJ968" i="18"/>
  <c r="AJ786" i="18"/>
  <c r="AJ1021" i="18"/>
  <c r="AJ1090" i="18"/>
  <c r="AJ888" i="18"/>
  <c r="AJ793" i="18"/>
  <c r="AJ855" i="18"/>
  <c r="AJ774" i="18"/>
  <c r="AJ941" i="18"/>
  <c r="AJ771" i="18"/>
  <c r="AJ802" i="18"/>
  <c r="AJ1023" i="18"/>
  <c r="AJ851" i="18"/>
  <c r="AJ1052" i="18"/>
  <c r="AJ911" i="18"/>
  <c r="AJ826" i="18"/>
  <c r="AJ1029" i="18"/>
  <c r="AJ1017" i="18"/>
  <c r="AJ865" i="18"/>
  <c r="AJ930" i="18"/>
  <c r="AJ922" i="18"/>
  <c r="AJ894" i="18"/>
  <c r="AJ987" i="18"/>
  <c r="AJ854" i="18"/>
  <c r="AJ1075" i="18"/>
  <c r="AJ1039" i="18"/>
  <c r="AJ1032" i="18"/>
  <c r="AJ986" i="18"/>
  <c r="AJ960" i="18"/>
  <c r="AJ963" i="18"/>
  <c r="AJ821" i="18"/>
  <c r="AJ907" i="18"/>
  <c r="AJ890" i="18"/>
  <c r="AJ1020" i="18"/>
  <c r="AJ1037" i="18"/>
  <c r="AJ1010" i="18"/>
  <c r="AJ909" i="18"/>
  <c r="AJ819" i="18"/>
  <c r="AJ991" i="18"/>
  <c r="AJ1105" i="18"/>
  <c r="AJ999" i="18"/>
  <c r="AJ1041" i="18"/>
  <c r="AJ933" i="18"/>
  <c r="AJ906" i="18"/>
  <c r="AJ935" i="18"/>
  <c r="AJ988" i="18"/>
  <c r="AJ921" i="18"/>
  <c r="AJ972" i="18"/>
  <c r="AJ1070" i="18"/>
  <c r="AJ782" i="18"/>
  <c r="AJ925" i="18"/>
  <c r="AJ993" i="18"/>
  <c r="AJ874" i="18"/>
  <c r="AJ1072" i="18"/>
  <c r="AJ895" i="18"/>
  <c r="AJ817" i="18"/>
  <c r="AJ799" i="18"/>
  <c r="AJ800" i="18"/>
  <c r="AJ1022" i="18"/>
  <c r="AJ939" i="18"/>
  <c r="AJ1100" i="18"/>
  <c r="AJ878" i="18"/>
  <c r="AJ772" i="18"/>
  <c r="AJ1002" i="18"/>
  <c r="AJ813" i="18"/>
  <c r="AJ926" i="18"/>
  <c r="AJ942" i="18"/>
  <c r="AJ835" i="18"/>
  <c r="AJ1028" i="18"/>
  <c r="AJ1081" i="18"/>
  <c r="AJ924" i="18"/>
  <c r="AJ1000" i="18"/>
  <c r="AJ869" i="18"/>
  <c r="AJ1035" i="18"/>
  <c r="AJ834" i="18"/>
  <c r="AJ795" i="18"/>
  <c r="AJ927" i="18"/>
  <c r="AJ944" i="18"/>
  <c r="AJ1031" i="18"/>
  <c r="AJ959" i="18"/>
  <c r="AJ1008" i="18"/>
  <c r="AJ1030" i="18"/>
  <c r="AJ1086" i="18"/>
  <c r="AJ879" i="18"/>
  <c r="AJ976" i="18"/>
  <c r="AJ779" i="18"/>
  <c r="AJ1048" i="18"/>
  <c r="AJ866" i="18"/>
  <c r="AJ844" i="18"/>
  <c r="AJ958" i="18"/>
  <c r="AJ805" i="18"/>
  <c r="AJ827" i="18"/>
  <c r="AJ975" i="18"/>
  <c r="AJ822" i="18"/>
  <c r="AJ1064" i="18"/>
  <c r="AJ898" i="18"/>
  <c r="AJ950" i="18"/>
  <c r="AJ1087" i="18"/>
  <c r="AJ978" i="18"/>
  <c r="AJ850" i="18"/>
  <c r="AJ776" i="18"/>
  <c r="AJ979" i="18"/>
  <c r="AJ828" i="18"/>
  <c r="AJ1045" i="18"/>
  <c r="AJ1099" i="18"/>
  <c r="AJ985" i="18"/>
  <c r="AJ852" i="18"/>
  <c r="AJ801" i="18"/>
  <c r="AJ818" i="18"/>
  <c r="AJ1098" i="18"/>
  <c r="AJ784" i="18"/>
  <c r="AJ1078" i="18"/>
  <c r="AJ1005" i="18"/>
  <c r="AJ929" i="18"/>
  <c r="AJ994" i="18"/>
  <c r="AJ863" i="18"/>
  <c r="AJ832" i="18"/>
  <c r="AJ778" i="18"/>
  <c r="AJ1024" i="18"/>
  <c r="AJ951" i="18"/>
  <c r="AJ913" i="18"/>
  <c r="AJ954" i="18"/>
  <c r="AJ984" i="18"/>
  <c r="AJ953" i="18"/>
  <c r="AJ1102" i="18"/>
  <c r="AJ1042" i="18"/>
  <c r="AJ902" i="18"/>
  <c r="AJ923" i="18"/>
  <c r="AJ1093" i="18"/>
  <c r="AJ884" i="18"/>
  <c r="AJ873" i="18"/>
  <c r="AJ1009" i="18"/>
  <c r="AJ849" i="18"/>
  <c r="AJ904" i="18"/>
  <c r="AJ859" i="18"/>
  <c r="AJ1084" i="18"/>
  <c r="AJ938" i="18"/>
  <c r="AJ1056" i="18"/>
  <c r="AJ839" i="18"/>
  <c r="AJ949" i="18"/>
  <c r="AJ1065" i="18"/>
  <c r="AJ777" i="18"/>
  <c r="AJ1015" i="18"/>
  <c r="AJ815" i="18"/>
  <c r="AJ808" i="18"/>
  <c r="AJ1050" i="18"/>
  <c r="AJ973" i="18"/>
  <c r="AJ1019" i="18"/>
  <c r="AJ967" i="18"/>
  <c r="AJ1049" i="18"/>
  <c r="AJ936" i="18"/>
  <c r="AJ934" i="18"/>
  <c r="AJ962" i="18"/>
  <c r="AJ1046" i="18"/>
  <c r="AJ816" i="18"/>
  <c r="AJ966" i="18"/>
  <c r="AJ1095" i="18"/>
  <c r="AJ1057" i="18"/>
  <c r="AJ1092" i="18"/>
  <c r="AJ757" i="18"/>
  <c r="AJ864" i="18"/>
  <c r="AJ842" i="18"/>
  <c r="AJ1103" i="18"/>
  <c r="AJ1058" i="18"/>
  <c r="AJ847" i="18"/>
  <c r="AJ762" i="18"/>
  <c r="AJ910" i="18"/>
  <c r="AJ763" i="18"/>
  <c r="AJ770" i="18"/>
  <c r="AJ1055" i="18"/>
  <c r="AJ820" i="18"/>
  <c r="AJ1066" i="18"/>
  <c r="AJ775" i="18"/>
  <c r="AJ1004" i="18"/>
  <c r="AJ1082" i="18"/>
  <c r="AJ792" i="18"/>
  <c r="AJ920" i="18"/>
  <c r="AJ1043" i="18"/>
  <c r="AJ940" i="18"/>
  <c r="AJ1068" i="18"/>
  <c r="AJ807" i="18"/>
  <c r="AJ901" i="18"/>
  <c r="AJ937" i="18"/>
  <c r="AJ900" i="18"/>
  <c r="AJ876" i="18"/>
  <c r="AJ981" i="18"/>
  <c r="AI94" i="5"/>
  <c r="AK106" i="5" s="1"/>
  <c r="AK94" i="5"/>
  <c r="AK108" i="5" s="1"/>
  <c r="AJ94" i="5"/>
  <c r="AK107" i="5" s="1"/>
  <c r="AK6" i="5" s="1"/>
  <c r="AO94" i="5"/>
  <c r="AK111" i="5" s="1"/>
  <c r="AM94" i="5"/>
  <c r="AK109" i="5" s="1"/>
  <c r="AN94" i="5"/>
  <c r="AK110" i="5" s="1"/>
  <c r="AC96" i="5"/>
  <c r="AF96" i="5" s="1"/>
  <c r="AD96" i="5"/>
  <c r="AG96" i="5" s="1"/>
  <c r="BB19" i="5" l="1"/>
  <c r="H270" i="26"/>
  <c r="I269" i="26"/>
  <c r="K247" i="26"/>
  <c r="L246" i="26"/>
  <c r="I246" i="26"/>
  <c r="O246" i="26"/>
  <c r="H247" i="26"/>
  <c r="N247" i="26"/>
  <c r="E247" i="26"/>
  <c r="F246" i="26"/>
  <c r="AN24" i="5"/>
  <c r="AM25" i="5"/>
  <c r="AK11" i="5" a="1"/>
  <c r="AK11" i="5" s="1"/>
  <c r="AJ9" i="5"/>
  <c r="AJ10" i="5" s="1"/>
  <c r="AJ32" i="5" s="1"/>
  <c r="BB22" i="5"/>
  <c r="BB18" i="5"/>
  <c r="AH48" i="18"/>
  <c r="AH112" i="18"/>
  <c r="AH176" i="18"/>
  <c r="AH226" i="18"/>
  <c r="AH258" i="18"/>
  <c r="AH70" i="18"/>
  <c r="AH134" i="18"/>
  <c r="AH198" i="18"/>
  <c r="AH94" i="18"/>
  <c r="AH158" i="18"/>
  <c r="AH63" i="18"/>
  <c r="AH65" i="18"/>
  <c r="AH195" i="18"/>
  <c r="AH278" i="18"/>
  <c r="AH310" i="18"/>
  <c r="AH342" i="18"/>
  <c r="AH374" i="18"/>
  <c r="AH56" i="18"/>
  <c r="AH191" i="18"/>
  <c r="AH67" i="18"/>
  <c r="AH159" i="18"/>
  <c r="AH259" i="18"/>
  <c r="AH299" i="18"/>
  <c r="AH331" i="18"/>
  <c r="AH146" i="18"/>
  <c r="AH240" i="18"/>
  <c r="AH114" i="18"/>
  <c r="AH212" i="18"/>
  <c r="AH288" i="18"/>
  <c r="AH99" i="18"/>
  <c r="AH324" i="18"/>
  <c r="AH408" i="18"/>
  <c r="AH440" i="18"/>
  <c r="AH472" i="18"/>
  <c r="AH504" i="18"/>
  <c r="AH536" i="18"/>
  <c r="AH343" i="18"/>
  <c r="AH192" i="18"/>
  <c r="AH356" i="18"/>
  <c r="AH421" i="18"/>
  <c r="AH453" i="18"/>
  <c r="AH485" i="18"/>
  <c r="AH517" i="18"/>
  <c r="AH110" i="18"/>
  <c r="AH365" i="18"/>
  <c r="AH189" i="18"/>
  <c r="AH337" i="18"/>
  <c r="AH410" i="18"/>
  <c r="AH442" i="18"/>
  <c r="AH474" i="18"/>
  <c r="AH506" i="18"/>
  <c r="AH538" i="18"/>
  <c r="AH271" i="18"/>
  <c r="AH391" i="18"/>
  <c r="AH539" i="18"/>
  <c r="AH333" i="18"/>
  <c r="AH167" i="18"/>
  <c r="AH546" i="18"/>
  <c r="AH483" i="18"/>
  <c r="AH578" i="18"/>
  <c r="AH612" i="18"/>
  <c r="AH644" i="18"/>
  <c r="AH676" i="18"/>
  <c r="AH708" i="18"/>
  <c r="AH740" i="18"/>
  <c r="AH542" i="18"/>
  <c r="AH557" i="18"/>
  <c r="AH597" i="18"/>
  <c r="AH629" i="18"/>
  <c r="AH661" i="18"/>
  <c r="AH491" i="18"/>
  <c r="AH402" i="18"/>
  <c r="AH582" i="18"/>
  <c r="AH614" i="18"/>
  <c r="AH646" i="18"/>
  <c r="AH678" i="18"/>
  <c r="AH710" i="18"/>
  <c r="AH742" i="18"/>
  <c r="AH451" i="18"/>
  <c r="AH651" i="18"/>
  <c r="AH639" i="18"/>
  <c r="AH697" i="18"/>
  <c r="AH595" i="18"/>
  <c r="AH733" i="18"/>
  <c r="AH549" i="18"/>
  <c r="AH709" i="18"/>
  <c r="AH699" i="18"/>
  <c r="AH717" i="18"/>
  <c r="AH395" i="18"/>
  <c r="AH665" i="18"/>
  <c r="AH682" i="18"/>
  <c r="AH471" i="18"/>
  <c r="AH679" i="18"/>
  <c r="AH715" i="18"/>
  <c r="AH751" i="18"/>
  <c r="AH583" i="18"/>
  <c r="AH713" i="18"/>
  <c r="AH587" i="18"/>
  <c r="AH58" i="18"/>
  <c r="AH122" i="18"/>
  <c r="AH186" i="18"/>
  <c r="AH230" i="18"/>
  <c r="AH262" i="18"/>
  <c r="AH81" i="18"/>
  <c r="AH145" i="18"/>
  <c r="AH209" i="18"/>
  <c r="AH105" i="18"/>
  <c r="AH169" i="18"/>
  <c r="AH64" i="18"/>
  <c r="AH76" i="18"/>
  <c r="AH204" i="18"/>
  <c r="AH282" i="18"/>
  <c r="AH314" i="18"/>
  <c r="AH346" i="18"/>
  <c r="AH378" i="18"/>
  <c r="AH87" i="18"/>
  <c r="AH210" i="18"/>
  <c r="AH78" i="18"/>
  <c r="AH178" i="18"/>
  <c r="AH268" i="18"/>
  <c r="AH303" i="18"/>
  <c r="AH335" i="18"/>
  <c r="AH149" i="18"/>
  <c r="AH245" i="18"/>
  <c r="AH117" i="18"/>
  <c r="AH217" i="18"/>
  <c r="AH292" i="18"/>
  <c r="AH132" i="18"/>
  <c r="AH332" i="18"/>
  <c r="AH412" i="18"/>
  <c r="AH444" i="18"/>
  <c r="AH476" i="18"/>
  <c r="AH508" i="18"/>
  <c r="AH66" i="18"/>
  <c r="AH352" i="18"/>
  <c r="AH196" i="18"/>
  <c r="AH361" i="18"/>
  <c r="AH425" i="18"/>
  <c r="AH457" i="18"/>
  <c r="AH489" i="18"/>
  <c r="AH521" i="18"/>
  <c r="AH157" i="18"/>
  <c r="AH383" i="18"/>
  <c r="AH216" i="18"/>
  <c r="AH355" i="18"/>
  <c r="AH414" i="18"/>
  <c r="AH446" i="18"/>
  <c r="AH478" i="18"/>
  <c r="AH510" i="18"/>
  <c r="AH68" i="18"/>
  <c r="AH277" i="18"/>
  <c r="AH403" i="18"/>
  <c r="AH543" i="18"/>
  <c r="AH344" i="18"/>
  <c r="AH565" i="18"/>
  <c r="AH503" i="18"/>
  <c r="AH584" i="18"/>
  <c r="AH616" i="18"/>
  <c r="AH648" i="18"/>
  <c r="AH680" i="18"/>
  <c r="AH712" i="18"/>
  <c r="AH744" i="18"/>
  <c r="AH558" i="18"/>
  <c r="AH559" i="18"/>
  <c r="AH601" i="18"/>
  <c r="AH633" i="18"/>
  <c r="AH531" i="18"/>
  <c r="AH419" i="18"/>
  <c r="AH586" i="18"/>
  <c r="AH618" i="18"/>
  <c r="AH650" i="18"/>
  <c r="AH714" i="18"/>
  <c r="AH746" i="18"/>
  <c r="AH689" i="18"/>
  <c r="AH611" i="18"/>
  <c r="AH727" i="18"/>
  <c r="AH102" i="18"/>
  <c r="AH95" i="18"/>
  <c r="AH358" i="18"/>
  <c r="AH118" i="18"/>
  <c r="AH184" i="18"/>
  <c r="AH304" i="18"/>
  <c r="AH456" i="18"/>
  <c r="AH384" i="18"/>
  <c r="AH469" i="18"/>
  <c r="AH72" i="18"/>
  <c r="AH458" i="18"/>
  <c r="AH341" i="18"/>
  <c r="AH463" i="18"/>
  <c r="AH628" i="18"/>
  <c r="AH220" i="18"/>
  <c r="AH677" i="18"/>
  <c r="AH630" i="18"/>
  <c r="AH325" i="18"/>
  <c r="AH317" i="18"/>
  <c r="AH550" i="18"/>
  <c r="AH703" i="18"/>
  <c r="AH69" i="18"/>
  <c r="AH133" i="18"/>
  <c r="AH197" i="18"/>
  <c r="AH234" i="18"/>
  <c r="AH266" i="18"/>
  <c r="AH91" i="18"/>
  <c r="AH155" i="18"/>
  <c r="AH51" i="18"/>
  <c r="AH115" i="18"/>
  <c r="AH179" i="18"/>
  <c r="AH74" i="18"/>
  <c r="AH107" i="18"/>
  <c r="AH219" i="18"/>
  <c r="AH286" i="18"/>
  <c r="AH318" i="18"/>
  <c r="AH350" i="18"/>
  <c r="AH382" i="18"/>
  <c r="AH98" i="18"/>
  <c r="AH223" i="18"/>
  <c r="AH89" i="18"/>
  <c r="AH181" i="18"/>
  <c r="AH273" i="18"/>
  <c r="AH307" i="18"/>
  <c r="AH71" i="18"/>
  <c r="AH162" i="18"/>
  <c r="AH263" i="18"/>
  <c r="AH130" i="18"/>
  <c r="AH235" i="18"/>
  <c r="AH296" i="18"/>
  <c r="AH183" i="18"/>
  <c r="AH339" i="18"/>
  <c r="AH416" i="18"/>
  <c r="AH448" i="18"/>
  <c r="AH480" i="18"/>
  <c r="AH512" i="18"/>
  <c r="AH129" i="18"/>
  <c r="AH357" i="18"/>
  <c r="AH225" i="18"/>
  <c r="AH379" i="18"/>
  <c r="AH429" i="18"/>
  <c r="AH461" i="18"/>
  <c r="AH493" i="18"/>
  <c r="AH525" i="18"/>
  <c r="AH215" i="18"/>
  <c r="AH392" i="18"/>
  <c r="AH229" i="18"/>
  <c r="AH364" i="18"/>
  <c r="AH418" i="18"/>
  <c r="AH450" i="18"/>
  <c r="AH482" i="18"/>
  <c r="AH514" i="18"/>
  <c r="AH88" i="18"/>
  <c r="AH309" i="18"/>
  <c r="AH376" i="18"/>
  <c r="AH547" i="18"/>
  <c r="AH407" i="18"/>
  <c r="AH349" i="18"/>
  <c r="AH566" i="18"/>
  <c r="AH515" i="18"/>
  <c r="AH588" i="18"/>
  <c r="AH620" i="18"/>
  <c r="AH652" i="18"/>
  <c r="AH684" i="18"/>
  <c r="AH716" i="18"/>
  <c r="AH748" i="18"/>
  <c r="AH568" i="18"/>
  <c r="AH569" i="18"/>
  <c r="AH605" i="18"/>
  <c r="AH637" i="18"/>
  <c r="AH669" i="18"/>
  <c r="AH554" i="18"/>
  <c r="AH447" i="18"/>
  <c r="AH590" i="18"/>
  <c r="AH622" i="18"/>
  <c r="AH654" i="18"/>
  <c r="AH686" i="18"/>
  <c r="AH718" i="18"/>
  <c r="AH750" i="18"/>
  <c r="AH511" i="18"/>
  <c r="AH707" i="18"/>
  <c r="AH693" i="18"/>
  <c r="AH729" i="18"/>
  <c r="AH627" i="18"/>
  <c r="AH667" i="18"/>
  <c r="AH599" i="18"/>
  <c r="AH741" i="18"/>
  <c r="AH731" i="18"/>
  <c r="AH749" i="18"/>
  <c r="AH144" i="18"/>
  <c r="AH294" i="18"/>
  <c r="AH283" i="18"/>
  <c r="AH353" i="18"/>
  <c r="AH393" i="18"/>
  <c r="AH387" i="18"/>
  <c r="AH555" i="18"/>
  <c r="AH724" i="18"/>
  <c r="AH598" i="18"/>
  <c r="AH725" i="18"/>
  <c r="AH79" i="18"/>
  <c r="AH143" i="18"/>
  <c r="AH207" i="18"/>
  <c r="AH238" i="18"/>
  <c r="AH270" i="18"/>
  <c r="AH92" i="18"/>
  <c r="AH156" i="18"/>
  <c r="AH52" i="18"/>
  <c r="AH116" i="18"/>
  <c r="AH180" i="18"/>
  <c r="AH85" i="18"/>
  <c r="AH119" i="18"/>
  <c r="AH228" i="18"/>
  <c r="AH290" i="18"/>
  <c r="AH322" i="18"/>
  <c r="AH354" i="18"/>
  <c r="AH386" i="18"/>
  <c r="AH109" i="18"/>
  <c r="AH232" i="18"/>
  <c r="AH100" i="18"/>
  <c r="AH194" i="18"/>
  <c r="AH279" i="18"/>
  <c r="AH311" i="18"/>
  <c r="AH82" i="18"/>
  <c r="AH168" i="18"/>
  <c r="AH272" i="18"/>
  <c r="AH136" i="18"/>
  <c r="AH244" i="18"/>
  <c r="AH300" i="18"/>
  <c r="AH199" i="18"/>
  <c r="AH348" i="18"/>
  <c r="AH420" i="18"/>
  <c r="AH452" i="18"/>
  <c r="AH484" i="18"/>
  <c r="AH516" i="18"/>
  <c r="AH160" i="18"/>
  <c r="AH375" i="18"/>
  <c r="AH239" i="18"/>
  <c r="AH388" i="18"/>
  <c r="AH433" i="18"/>
  <c r="AH465" i="18"/>
  <c r="AH497" i="18"/>
  <c r="AH529" i="18"/>
  <c r="AH253" i="18"/>
  <c r="AH397" i="18"/>
  <c r="AH243" i="18"/>
  <c r="AH369" i="18"/>
  <c r="AH422" i="18"/>
  <c r="AH454" i="18"/>
  <c r="AH486" i="18"/>
  <c r="AH518" i="18"/>
  <c r="AH139" i="18"/>
  <c r="AH336" i="18"/>
  <c r="AH381" i="18"/>
  <c r="AH551" i="18"/>
  <c r="AH435" i="18"/>
  <c r="AH431" i="18"/>
  <c r="AH576" i="18"/>
  <c r="AH527" i="18"/>
  <c r="AH592" i="18"/>
  <c r="AH624" i="18"/>
  <c r="AH656" i="18"/>
  <c r="AH688" i="18"/>
  <c r="AH720" i="18"/>
  <c r="AH752" i="18"/>
  <c r="AH579" i="18"/>
  <c r="AH570" i="18"/>
  <c r="AH609" i="18"/>
  <c r="AH641" i="18"/>
  <c r="AH673" i="18"/>
  <c r="AH560" i="18"/>
  <c r="AH552" i="18"/>
  <c r="AH594" i="18"/>
  <c r="AH626" i="18"/>
  <c r="AH658" i="18"/>
  <c r="AH690" i="18"/>
  <c r="AH722" i="18"/>
  <c r="AH301" i="18"/>
  <c r="AH523" i="18"/>
  <c r="AH721" i="18"/>
  <c r="AH711" i="18"/>
  <c r="AH747" i="18"/>
  <c r="AH643" i="18"/>
  <c r="AH691" i="18"/>
  <c r="AH615" i="18"/>
  <c r="AH345" i="18"/>
  <c r="AH745" i="18"/>
  <c r="AH619" i="18"/>
  <c r="AH62" i="18"/>
  <c r="AH390" i="18"/>
  <c r="AH75" i="18"/>
  <c r="AH488" i="18"/>
  <c r="AH533" i="18"/>
  <c r="AH490" i="18"/>
  <c r="AH55" i="18"/>
  <c r="AH439" i="18"/>
  <c r="AH662" i="18"/>
  <c r="AH705" i="18"/>
  <c r="AH80" i="18"/>
  <c r="AH242" i="18"/>
  <c r="AH166" i="18"/>
  <c r="AH125" i="18"/>
  <c r="AH315" i="18"/>
  <c r="AH437" i="18"/>
  <c r="AH580" i="18"/>
  <c r="AH90" i="18"/>
  <c r="AH154" i="18"/>
  <c r="AH214" i="18"/>
  <c r="AH246" i="18"/>
  <c r="AH49" i="18"/>
  <c r="AH113" i="18"/>
  <c r="AH177" i="18"/>
  <c r="AH73" i="18"/>
  <c r="AH137" i="18"/>
  <c r="AH201" i="18"/>
  <c r="AH96" i="18"/>
  <c r="AH128" i="18"/>
  <c r="AH251" i="18"/>
  <c r="AH298" i="18"/>
  <c r="AH330" i="18"/>
  <c r="AH362" i="18"/>
  <c r="AH394" i="18"/>
  <c r="AH163" i="18"/>
  <c r="AH255" i="18"/>
  <c r="AH131" i="18"/>
  <c r="AH227" i="18"/>
  <c r="AH287" i="18"/>
  <c r="AH319" i="18"/>
  <c r="AH104" i="18"/>
  <c r="AH203" i="18"/>
  <c r="AH86" i="18"/>
  <c r="AH171" i="18"/>
  <c r="AH267" i="18"/>
  <c r="AH308" i="18"/>
  <c r="AH224" i="18"/>
  <c r="AH371" i="18"/>
  <c r="AH428" i="18"/>
  <c r="AH460" i="18"/>
  <c r="AH492" i="18"/>
  <c r="AH524" i="18"/>
  <c r="AH252" i="18"/>
  <c r="AH389" i="18"/>
  <c r="AH321" i="18"/>
  <c r="AH409" i="18"/>
  <c r="AH441" i="18"/>
  <c r="AH473" i="18"/>
  <c r="AH505" i="18"/>
  <c r="AH537" i="18"/>
  <c r="AH285" i="18"/>
  <c r="AH138" i="18"/>
  <c r="AH313" i="18"/>
  <c r="AH396" i="18"/>
  <c r="AH430" i="18"/>
  <c r="AH462" i="18"/>
  <c r="AH494" i="18"/>
  <c r="AH526" i="18"/>
  <c r="AH174" i="18"/>
  <c r="AH359" i="18"/>
  <c r="AH455" i="18"/>
  <c r="AH120" i="18"/>
  <c r="AH499" i="18"/>
  <c r="AH495" i="18"/>
  <c r="AH363" i="18"/>
  <c r="AH545" i="18"/>
  <c r="AH600" i="18"/>
  <c r="AH632" i="18"/>
  <c r="AH664" i="18"/>
  <c r="AH696" i="18"/>
  <c r="AH728" i="18"/>
  <c r="AH261" i="18"/>
  <c r="AH540" i="18"/>
  <c r="AH585" i="18"/>
  <c r="AH617" i="18"/>
  <c r="AH649" i="18"/>
  <c r="AH202" i="18"/>
  <c r="AH581" i="18"/>
  <c r="AH561" i="18"/>
  <c r="AH602" i="18"/>
  <c r="AH634" i="18"/>
  <c r="AH666" i="18"/>
  <c r="AH698" i="18"/>
  <c r="AH730" i="18"/>
  <c r="AH377" i="18"/>
  <c r="AH475" i="18"/>
  <c r="AH591" i="18"/>
  <c r="AH743" i="18"/>
  <c r="AH548" i="18"/>
  <c r="AH687" i="18"/>
  <c r="AH723" i="18"/>
  <c r="AH647" i="18"/>
  <c r="AH573" i="18"/>
  <c r="AH655" i="18"/>
  <c r="AH603" i="18"/>
  <c r="AH274" i="18"/>
  <c r="AH190" i="18"/>
  <c r="AH326" i="18"/>
  <c r="AH237" i="18"/>
  <c r="AH93" i="18"/>
  <c r="AH249" i="18"/>
  <c r="AH424" i="18"/>
  <c r="AH164" i="18"/>
  <c r="AH501" i="18"/>
  <c r="AH426" i="18"/>
  <c r="AH522" i="18"/>
  <c r="AH467" i="18"/>
  <c r="AH544" i="18"/>
  <c r="AH692" i="18"/>
  <c r="AH613" i="18"/>
  <c r="AH553" i="18"/>
  <c r="AH694" i="18"/>
  <c r="AH275" i="18"/>
  <c r="AH671" i="18"/>
  <c r="AH735" i="18"/>
  <c r="AH101" i="18"/>
  <c r="AH165" i="18"/>
  <c r="AH218" i="18"/>
  <c r="AH250" i="18"/>
  <c r="AH59" i="18"/>
  <c r="AH123" i="18"/>
  <c r="AH187" i="18"/>
  <c r="AH83" i="18"/>
  <c r="AH147" i="18"/>
  <c r="AH211" i="18"/>
  <c r="AH106" i="18"/>
  <c r="AH141" i="18"/>
  <c r="AH260" i="18"/>
  <c r="AH302" i="18"/>
  <c r="AH334" i="18"/>
  <c r="AH366" i="18"/>
  <c r="AH398" i="18"/>
  <c r="AH172" i="18"/>
  <c r="AH264" i="18"/>
  <c r="AH140" i="18"/>
  <c r="AH236" i="18"/>
  <c r="AH291" i="18"/>
  <c r="AH323" i="18"/>
  <c r="AH121" i="18"/>
  <c r="AH213" i="18"/>
  <c r="AH97" i="18"/>
  <c r="AH193" i="18"/>
  <c r="AH280" i="18"/>
  <c r="AH312" i="18"/>
  <c r="AH297" i="18"/>
  <c r="AH380" i="18"/>
  <c r="AH432" i="18"/>
  <c r="AH464" i="18"/>
  <c r="AH496" i="18"/>
  <c r="AH528" i="18"/>
  <c r="AH276" i="18"/>
  <c r="AH61" i="18"/>
  <c r="AH329" i="18"/>
  <c r="AH413" i="18"/>
  <c r="AH445" i="18"/>
  <c r="AH477" i="18"/>
  <c r="AH509" i="18"/>
  <c r="AH57" i="18"/>
  <c r="AH351" i="18"/>
  <c r="AH142" i="18"/>
  <c r="AH320" i="18"/>
  <c r="AH404" i="18"/>
  <c r="AH434" i="18"/>
  <c r="AH466" i="18"/>
  <c r="AH498" i="18"/>
  <c r="AH530" i="18"/>
  <c r="AH205" i="18"/>
  <c r="AH368" i="18"/>
  <c r="AH487" i="18"/>
  <c r="AH135" i="18"/>
  <c r="AH103" i="18"/>
  <c r="AH411" i="18"/>
  <c r="AH372" i="18"/>
  <c r="AH567" i="18"/>
  <c r="AH604" i="18"/>
  <c r="AH636" i="18"/>
  <c r="AH668" i="18"/>
  <c r="AH700" i="18"/>
  <c r="AH732" i="18"/>
  <c r="AH340" i="18"/>
  <c r="AH541" i="18"/>
  <c r="AH589" i="18"/>
  <c r="AH621" i="18"/>
  <c r="AH653" i="18"/>
  <c r="AH247" i="18"/>
  <c r="AH248" i="18"/>
  <c r="AH562" i="18"/>
  <c r="AH606" i="18"/>
  <c r="AH638" i="18"/>
  <c r="AH670" i="18"/>
  <c r="AH702" i="18"/>
  <c r="AH734" i="18"/>
  <c r="AH415" i="18"/>
  <c r="AH563" i="18"/>
  <c r="AH607" i="18"/>
  <c r="AH675" i="18"/>
  <c r="AH564" i="18"/>
  <c r="AH701" i="18"/>
  <c r="AH737" i="18"/>
  <c r="AH663" i="18"/>
  <c r="AH659" i="18"/>
  <c r="AH685" i="18"/>
  <c r="AH208" i="18"/>
  <c r="AH233" i="18"/>
  <c r="AH200" i="18"/>
  <c r="AH221" i="18"/>
  <c r="AH289" i="18"/>
  <c r="AH281" i="18"/>
  <c r="AH423" i="18"/>
  <c r="AH660" i="18"/>
  <c r="AH571" i="18"/>
  <c r="AH739" i="18"/>
  <c r="AH111" i="18"/>
  <c r="AH175" i="18"/>
  <c r="AH222" i="18"/>
  <c r="AH254" i="18"/>
  <c r="AH60" i="18"/>
  <c r="AH124" i="18"/>
  <c r="AH188" i="18"/>
  <c r="AH84" i="18"/>
  <c r="AH148" i="18"/>
  <c r="AH53" i="18"/>
  <c r="AH54" i="18"/>
  <c r="AH182" i="18"/>
  <c r="AH265" i="18"/>
  <c r="AH306" i="18"/>
  <c r="AH338" i="18"/>
  <c r="AH370" i="18"/>
  <c r="AH405" i="18"/>
  <c r="AH185" i="18"/>
  <c r="AH269" i="18"/>
  <c r="AH153" i="18"/>
  <c r="AH241" i="18"/>
  <c r="AH295" i="18"/>
  <c r="AH327" i="18"/>
  <c r="AH127" i="18"/>
  <c r="AH231" i="18"/>
  <c r="AH108" i="18"/>
  <c r="AH206" i="18"/>
  <c r="AH284" i="18"/>
  <c r="AH50" i="18"/>
  <c r="AH316" i="18"/>
  <c r="AH385" i="18"/>
  <c r="AH436" i="18"/>
  <c r="AH468" i="18"/>
  <c r="AH500" i="18"/>
  <c r="AH532" i="18"/>
  <c r="AH293" i="18"/>
  <c r="AH161" i="18"/>
  <c r="AH347" i="18"/>
  <c r="AH417" i="18"/>
  <c r="AH449" i="18"/>
  <c r="AH481" i="18"/>
  <c r="AH513" i="18"/>
  <c r="AH77" i="18"/>
  <c r="AH360" i="18"/>
  <c r="AH173" i="18"/>
  <c r="AH328" i="18"/>
  <c r="AH406" i="18"/>
  <c r="AH438" i="18"/>
  <c r="AH470" i="18"/>
  <c r="AH502" i="18"/>
  <c r="AH534" i="18"/>
  <c r="AH257" i="18"/>
  <c r="AH373" i="18"/>
  <c r="AH519" i="18"/>
  <c r="AH305" i="18"/>
  <c r="AH151" i="18"/>
  <c r="AH479" i="18"/>
  <c r="AH459" i="18"/>
  <c r="AH577" i="18"/>
  <c r="AH608" i="18"/>
  <c r="AH640" i="18"/>
  <c r="AH672" i="18"/>
  <c r="AH704" i="18"/>
  <c r="AH736" i="18"/>
  <c r="AH507" i="18"/>
  <c r="AH556" i="18"/>
  <c r="AH593" i="18"/>
  <c r="AH625" i="18"/>
  <c r="AH657" i="18"/>
  <c r="AH443" i="18"/>
  <c r="AH367" i="18"/>
  <c r="AH572" i="18"/>
  <c r="AH610" i="18"/>
  <c r="AH642" i="18"/>
  <c r="AH674" i="18"/>
  <c r="AH706" i="18"/>
  <c r="AH738" i="18"/>
  <c r="AH427" i="18"/>
  <c r="AH574" i="18"/>
  <c r="AH623" i="18"/>
  <c r="AH683" i="18"/>
  <c r="AH575" i="18"/>
  <c r="AH719" i="18"/>
  <c r="AH535" i="18"/>
  <c r="AH695" i="18"/>
  <c r="AH681" i="18"/>
  <c r="AH635" i="18"/>
  <c r="AH126" i="18"/>
  <c r="AH150" i="18"/>
  <c r="AH152" i="18"/>
  <c r="AH520" i="18"/>
  <c r="AH256" i="18"/>
  <c r="AH170" i="18"/>
  <c r="AH596" i="18"/>
  <c r="AH645" i="18"/>
  <c r="AH726" i="18"/>
  <c r="AH631" i="18"/>
  <c r="AC4" i="18"/>
  <c r="AC44" i="18" s="1"/>
  <c r="AB754" i="18"/>
  <c r="AB401" i="18"/>
  <c r="AB47" i="18"/>
  <c r="AL38" i="18"/>
  <c r="AK1014" i="18"/>
  <c r="AK959" i="18"/>
  <c r="AK1037" i="18"/>
  <c r="AK774" i="18"/>
  <c r="AK878" i="18"/>
  <c r="AK842" i="18"/>
  <c r="AK936" i="18"/>
  <c r="AK1098" i="18"/>
  <c r="AK765" i="18"/>
  <c r="AK834" i="18"/>
  <c r="AK928" i="18"/>
  <c r="AK929" i="18"/>
  <c r="AK884" i="18"/>
  <c r="AK1075" i="18"/>
  <c r="AK819" i="18"/>
  <c r="AK822" i="18"/>
  <c r="AK943" i="18"/>
  <c r="AK1042" i="18"/>
  <c r="AK1071" i="18"/>
  <c r="AK777" i="18"/>
  <c r="AK906" i="18"/>
  <c r="AK886" i="18"/>
  <c r="AK973" i="18"/>
  <c r="AK1090" i="18"/>
  <c r="AK780" i="18"/>
  <c r="AK915" i="18"/>
  <c r="AK890" i="18"/>
  <c r="AK979" i="18"/>
  <c r="AK1039" i="18"/>
  <c r="AK799" i="18"/>
  <c r="AK931" i="18"/>
  <c r="AK865" i="18"/>
  <c r="AK976" i="18"/>
  <c r="AK1016" i="18"/>
  <c r="AK779" i="18"/>
  <c r="AK888" i="18"/>
  <c r="AK974" i="18"/>
  <c r="AK1022" i="18"/>
  <c r="AK983" i="18"/>
  <c r="AK920" i="18"/>
  <c r="AK768" i="18"/>
  <c r="AK1057" i="18"/>
  <c r="AK776" i="18"/>
  <c r="AK1103" i="18"/>
  <c r="AK1070" i="18"/>
  <c r="AK881" i="18"/>
  <c r="AK1081" i="18"/>
  <c r="AK801" i="18"/>
  <c r="AK766" i="18"/>
  <c r="AK932" i="18"/>
  <c r="AK1020" i="18"/>
  <c r="AK1072" i="18"/>
  <c r="AK808" i="18"/>
  <c r="AK843" i="18"/>
  <c r="AK786" i="18"/>
  <c r="AK1054" i="18"/>
  <c r="AK1018" i="18"/>
  <c r="AK775" i="18"/>
  <c r="AK868" i="18"/>
  <c r="AK948" i="18"/>
  <c r="AK996" i="18"/>
  <c r="AK1019" i="18"/>
  <c r="AK1017" i="18"/>
  <c r="AK823" i="18"/>
  <c r="AK832" i="18"/>
  <c r="AK951" i="18"/>
  <c r="AK880" i="18"/>
  <c r="AK914" i="18"/>
  <c r="AK827" i="18"/>
  <c r="AK856" i="18"/>
  <c r="AK960" i="18"/>
  <c r="AK949" i="18"/>
  <c r="AK1093" i="18"/>
  <c r="AK806" i="18"/>
  <c r="AK825" i="18"/>
  <c r="AK971" i="18"/>
  <c r="AK1043" i="18"/>
  <c r="AK1105" i="18"/>
  <c r="AK852" i="18"/>
  <c r="AK879" i="18"/>
  <c r="AK877" i="18"/>
  <c r="AK1102" i="18"/>
  <c r="AK1068" i="18"/>
  <c r="AK829" i="18"/>
  <c r="AK875" i="18"/>
  <c r="AK1076" i="18"/>
  <c r="AK874" i="18"/>
  <c r="AK853" i="18"/>
  <c r="AK781" i="18"/>
  <c r="AK795" i="18"/>
  <c r="AK1051" i="18"/>
  <c r="AK855" i="18"/>
  <c r="AK969" i="18"/>
  <c r="AK970" i="18"/>
  <c r="AK869" i="18"/>
  <c r="AK935" i="18"/>
  <c r="AK885" i="18"/>
  <c r="AK901" i="18"/>
  <c r="AK950" i="18"/>
  <c r="AK904" i="18"/>
  <c r="AK1067" i="18"/>
  <c r="AK854" i="18"/>
  <c r="AK926" i="18"/>
  <c r="AK873" i="18"/>
  <c r="AK1000" i="18"/>
  <c r="AK977" i="18"/>
  <c r="AK872" i="18"/>
  <c r="AK907" i="18"/>
  <c r="AK945" i="18"/>
  <c r="AK918" i="18"/>
  <c r="AK1095" i="18"/>
  <c r="AK809" i="18"/>
  <c r="AK903" i="18"/>
  <c r="AK846" i="18"/>
  <c r="AK1055" i="18"/>
  <c r="AK1059" i="18"/>
  <c r="AK1035" i="18"/>
  <c r="AK773" i="18"/>
  <c r="AK957" i="18"/>
  <c r="AK1005" i="18"/>
  <c r="AK1028" i="18"/>
  <c r="AK1007" i="18"/>
  <c r="AK800" i="18"/>
  <c r="AK965" i="18"/>
  <c r="AK1013" i="18"/>
  <c r="AK1029" i="18"/>
  <c r="AK1026" i="18"/>
  <c r="AK783" i="18"/>
  <c r="AK922" i="18"/>
  <c r="AK894" i="18"/>
  <c r="AK991" i="18"/>
  <c r="AK1082" i="18"/>
  <c r="AK807" i="18"/>
  <c r="AK756" i="18"/>
  <c r="AK905" i="18"/>
  <c r="AK989" i="18"/>
  <c r="AK1061" i="18"/>
  <c r="AK1077" i="18"/>
  <c r="AK831" i="18"/>
  <c r="AK845" i="18"/>
  <c r="AK993" i="18"/>
  <c r="AK1033" i="18"/>
  <c r="AK1052" i="18"/>
  <c r="AK896" i="18"/>
  <c r="AK972" i="18"/>
  <c r="AK958" i="18"/>
  <c r="AK1021" i="18"/>
  <c r="AK820" i="18"/>
  <c r="AK838" i="18"/>
  <c r="AK1058" i="18"/>
  <c r="AK812" i="18"/>
  <c r="AK1010" i="18"/>
  <c r="AK1060" i="18"/>
  <c r="AK934" i="18"/>
  <c r="AK782" i="18"/>
  <c r="AK889" i="18"/>
  <c r="AK802" i="18"/>
  <c r="AK1036" i="18"/>
  <c r="AK1050" i="18"/>
  <c r="AK966" i="18"/>
  <c r="AK784" i="18"/>
  <c r="AK787" i="18"/>
  <c r="AK952" i="18"/>
  <c r="AK1003" i="18"/>
  <c r="AK997" i="18"/>
  <c r="AK772" i="18"/>
  <c r="AK839" i="18"/>
  <c r="AK933" i="18"/>
  <c r="AK987" i="18"/>
  <c r="AK913" i="18"/>
  <c r="AK810" i="18"/>
  <c r="AK912" i="18"/>
  <c r="AK887" i="18"/>
  <c r="AK1064" i="18"/>
  <c r="AK1069" i="18"/>
  <c r="AK818" i="18"/>
  <c r="AK919" i="18"/>
  <c r="AK891" i="18"/>
  <c r="AK1074" i="18"/>
  <c r="AK1078" i="18"/>
  <c r="AK978" i="18"/>
  <c r="AK840" i="18"/>
  <c r="AK876" i="18"/>
  <c r="AK968" i="18"/>
  <c r="AK963" i="18"/>
  <c r="AK858" i="18"/>
  <c r="AK760" i="18"/>
  <c r="AK860" i="18"/>
  <c r="AK769" i="18"/>
  <c r="AK811" i="18"/>
  <c r="AK1080" i="18"/>
  <c r="AK1104" i="18"/>
  <c r="AK883" i="18"/>
  <c r="AK848" i="18"/>
  <c r="AK1034" i="18"/>
  <c r="AK999" i="18"/>
  <c r="AK1097" i="18"/>
  <c r="AK1024" i="18"/>
  <c r="AK759" i="18"/>
  <c r="AK816" i="18"/>
  <c r="AK911" i="18"/>
  <c r="AK841" i="18"/>
  <c r="AK871" i="18"/>
  <c r="AK1079" i="18"/>
  <c r="AK797" i="18"/>
  <c r="AK892" i="18"/>
  <c r="AK850" i="18"/>
  <c r="AK946" i="18"/>
  <c r="AK924" i="18"/>
  <c r="AK813" i="18"/>
  <c r="AK851" i="18"/>
  <c r="AK803" i="18"/>
  <c r="AK1063" i="18"/>
  <c r="AK1027" i="18"/>
  <c r="AK785" i="18"/>
  <c r="AK864" i="18"/>
  <c r="AK947" i="18"/>
  <c r="AK995" i="18"/>
  <c r="AK939" i="18"/>
  <c r="AK755" i="18"/>
  <c r="AK870" i="18"/>
  <c r="AK956" i="18"/>
  <c r="AK1004" i="18"/>
  <c r="AK942" i="18"/>
  <c r="AK763" i="18"/>
  <c r="AK814" i="18"/>
  <c r="AK975" i="18"/>
  <c r="AK1015" i="18"/>
  <c r="AK1030" i="18"/>
  <c r="AK1089" i="18"/>
  <c r="AK789" i="18"/>
  <c r="AK930" i="18"/>
  <c r="AK898" i="18"/>
  <c r="AK1001" i="18"/>
  <c r="AK792" i="18"/>
  <c r="AK757" i="18"/>
  <c r="AK793" i="18"/>
  <c r="AK921" i="18"/>
  <c r="AK1049" i="18"/>
  <c r="AK788" i="18"/>
  <c r="AK1046" i="18"/>
  <c r="AK1062" i="18"/>
  <c r="AK804" i="18"/>
  <c r="AK833" i="18"/>
  <c r="AK992" i="18"/>
  <c r="AK1044" i="18"/>
  <c r="AK1008" i="18"/>
  <c r="AK1065" i="18"/>
  <c r="AK805" i="18"/>
  <c r="AK817" i="18"/>
  <c r="AK937" i="18"/>
  <c r="AK1031" i="18"/>
  <c r="AK1038" i="18"/>
  <c r="AK758" i="18"/>
  <c r="AK908" i="18"/>
  <c r="AK953" i="18"/>
  <c r="AK941" i="18"/>
  <c r="AK1096" i="18"/>
  <c r="AK821" i="18"/>
  <c r="AK857" i="18"/>
  <c r="AK828" i="18"/>
  <c r="AK1073" i="18"/>
  <c r="AK1040" i="18"/>
  <c r="AK826" i="18"/>
  <c r="AK863" i="18"/>
  <c r="AK862" i="18"/>
  <c r="AK1083" i="18"/>
  <c r="AK1048" i="18"/>
  <c r="AK824" i="18"/>
  <c r="AK927" i="18"/>
  <c r="AK893" i="18"/>
  <c r="AK1084" i="18"/>
  <c r="AK1088" i="18"/>
  <c r="AK998" i="18"/>
  <c r="AK844" i="18"/>
  <c r="AK909" i="18"/>
  <c r="AK980" i="18"/>
  <c r="AK981" i="18"/>
  <c r="AK1085" i="18"/>
  <c r="AK762" i="18"/>
  <c r="AK938" i="18"/>
  <c r="AK988" i="18"/>
  <c r="AK837" i="18"/>
  <c r="AK984" i="18"/>
  <c r="AK778" i="18"/>
  <c r="AK1002" i="18"/>
  <c r="AK835" i="18"/>
  <c r="AK899" i="18"/>
  <c r="AK794" i="18"/>
  <c r="AK798" i="18"/>
  <c r="AK1100" i="18"/>
  <c r="AK1091" i="18"/>
  <c r="AK1092" i="18"/>
  <c r="AK1006" i="18"/>
  <c r="AK1056" i="18"/>
  <c r="AK1099" i="18"/>
  <c r="AK866" i="18"/>
  <c r="AK900" i="18"/>
  <c r="AK925" i="18"/>
  <c r="AK902" i="18"/>
  <c r="AK1087" i="18"/>
  <c r="AK1047" i="18"/>
  <c r="AK861" i="18"/>
  <c r="AK940" i="18"/>
  <c r="AK982" i="18"/>
  <c r="AK1009" i="18"/>
  <c r="AK1025" i="18"/>
  <c r="AK790" i="18"/>
  <c r="AK796" i="18"/>
  <c r="AK961" i="18"/>
  <c r="AK1011" i="18"/>
  <c r="AK849" i="18"/>
  <c r="AK761" i="18"/>
  <c r="AK916" i="18"/>
  <c r="AK962" i="18"/>
  <c r="AK955" i="18"/>
  <c r="AK990" i="18"/>
  <c r="AK791" i="18"/>
  <c r="AK923" i="18"/>
  <c r="AK836" i="18"/>
  <c r="AK967" i="18"/>
  <c r="AK1086" i="18"/>
  <c r="AK764" i="18"/>
  <c r="AK882" i="18"/>
  <c r="AK964" i="18"/>
  <c r="AK1012" i="18"/>
  <c r="AK954" i="18"/>
  <c r="AK770" i="18"/>
  <c r="AK847" i="18"/>
  <c r="AK985" i="18"/>
  <c r="AK1023" i="18"/>
  <c r="AK1041" i="18"/>
  <c r="AK859" i="18"/>
  <c r="AK910" i="18"/>
  <c r="AK917" i="18"/>
  <c r="AK986" i="18"/>
  <c r="AK767" i="18"/>
  <c r="AK895" i="18"/>
  <c r="AK1066" i="18"/>
  <c r="AK944" i="18"/>
  <c r="AK1053" i="18"/>
  <c r="AK1045" i="18"/>
  <c r="AK771" i="18"/>
  <c r="AK1094" i="18"/>
  <c r="AK815" i="18"/>
  <c r="AK1101" i="18"/>
  <c r="AK1032" i="18"/>
  <c r="AK867" i="18"/>
  <c r="AK830" i="18"/>
  <c r="AK897" i="18"/>
  <c r="AK994" i="18"/>
  <c r="AM95" i="5"/>
  <c r="AL109" i="5" s="1"/>
  <c r="AN95" i="5"/>
  <c r="AL110" i="5" s="1"/>
  <c r="AO95" i="5"/>
  <c r="AL111" i="5" s="1"/>
  <c r="AD97" i="5"/>
  <c r="AG97" i="5" s="1"/>
  <c r="AJ95" i="5"/>
  <c r="AL107" i="5" s="1"/>
  <c r="AL6" i="5" s="1"/>
  <c r="AK95" i="5"/>
  <c r="AL108" i="5" s="1"/>
  <c r="AI95" i="5"/>
  <c r="AL106" i="5" s="1"/>
  <c r="AC97" i="5"/>
  <c r="AF97" i="5" s="1"/>
  <c r="H271" i="26" l="1"/>
  <c r="I270" i="26"/>
  <c r="N248" i="26"/>
  <c r="H248" i="26"/>
  <c r="K248" i="26"/>
  <c r="I247" i="26"/>
  <c r="O247" i="26"/>
  <c r="L247" i="26"/>
  <c r="E248" i="26"/>
  <c r="F247" i="26"/>
  <c r="AO24" i="5"/>
  <c r="AN25" i="5"/>
  <c r="AL11" i="5" a="1"/>
  <c r="AL11" i="5" s="1"/>
  <c r="AK9" i="5"/>
  <c r="AK10" i="5" s="1"/>
  <c r="AK32" i="5" s="1"/>
  <c r="AD4" i="18"/>
  <c r="AD44" i="18" s="1"/>
  <c r="AC401" i="18"/>
  <c r="AC754" i="18"/>
  <c r="AC47" i="18"/>
  <c r="AI51" i="18"/>
  <c r="AI83" i="18"/>
  <c r="AI115" i="18"/>
  <c r="AI147" i="18"/>
  <c r="AI179" i="18"/>
  <c r="AI211" i="18"/>
  <c r="AI132" i="18"/>
  <c r="AI48" i="18"/>
  <c r="AI133" i="18"/>
  <c r="AI214" i="18"/>
  <c r="AI246" i="18"/>
  <c r="AI50" i="18"/>
  <c r="AI136" i="18"/>
  <c r="AI215" i="18"/>
  <c r="AI247" i="18"/>
  <c r="AI52" i="18"/>
  <c r="AI96" i="18"/>
  <c r="AI256" i="18"/>
  <c r="AI169" i="18"/>
  <c r="AI278" i="18"/>
  <c r="AI310" i="18"/>
  <c r="AI342" i="18"/>
  <c r="AI374" i="18"/>
  <c r="AI98" i="18"/>
  <c r="AI237" i="18"/>
  <c r="AI140" i="18"/>
  <c r="AI283" i="18"/>
  <c r="AI315" i="18"/>
  <c r="AI347" i="18"/>
  <c r="AI379" i="18"/>
  <c r="AI106" i="18"/>
  <c r="AI245" i="18"/>
  <c r="AI312" i="18"/>
  <c r="AI221" i="18"/>
  <c r="AI380" i="18"/>
  <c r="AI432" i="18"/>
  <c r="AI464" i="18"/>
  <c r="AI496" i="18"/>
  <c r="AI249" i="18"/>
  <c r="AI389" i="18"/>
  <c r="AI225" i="18"/>
  <c r="AI393" i="18"/>
  <c r="AI433" i="18"/>
  <c r="AI465" i="18"/>
  <c r="AI497" i="18"/>
  <c r="AI253" i="18"/>
  <c r="AI216" i="18"/>
  <c r="AI369" i="18"/>
  <c r="AI217" i="18"/>
  <c r="AI491" i="18"/>
  <c r="AI439" i="18"/>
  <c r="AI535" i="18"/>
  <c r="AI569" i="18"/>
  <c r="AI435" i="18"/>
  <c r="AI431" i="18"/>
  <c r="AI548" i="18"/>
  <c r="AI603" i="18"/>
  <c r="AI635" i="18"/>
  <c r="AI486" i="18"/>
  <c r="AI309" i="18"/>
  <c r="AI544" i="18"/>
  <c r="AI604" i="18"/>
  <c r="AI636" i="18"/>
  <c r="AI668" i="18"/>
  <c r="AI463" i="18"/>
  <c r="AI568" i="18"/>
  <c r="AI536" i="18"/>
  <c r="AI585" i="18"/>
  <c r="AI617" i="18"/>
  <c r="AI649" i="18"/>
  <c r="AI681" i="18"/>
  <c r="AI713" i="18"/>
  <c r="AI745" i="18"/>
  <c r="AI538" i="18"/>
  <c r="AI434" i="18"/>
  <c r="AI610" i="18"/>
  <c r="AI712" i="18"/>
  <c r="AI651" i="18"/>
  <c r="AI748" i="18"/>
  <c r="AI646" i="18"/>
  <c r="AI743" i="18"/>
  <c r="AI710" i="18"/>
  <c r="AI602" i="18"/>
  <c r="AI714" i="18"/>
  <c r="AI691" i="18"/>
  <c r="AI562" i="18"/>
  <c r="AI695" i="18"/>
  <c r="AI726" i="18"/>
  <c r="AI55" i="18"/>
  <c r="AI87" i="18"/>
  <c r="AI119" i="18"/>
  <c r="AI151" i="18"/>
  <c r="AI183" i="18"/>
  <c r="AI57" i="18"/>
  <c r="AI142" i="18"/>
  <c r="AI58" i="18"/>
  <c r="AI144" i="18"/>
  <c r="AI218" i="18"/>
  <c r="AI250" i="18"/>
  <c r="AI61" i="18"/>
  <c r="AI146" i="18"/>
  <c r="AI219" i="18"/>
  <c r="AI251" i="18"/>
  <c r="AI62" i="18"/>
  <c r="AI138" i="18"/>
  <c r="AI261" i="18"/>
  <c r="AI182" i="18"/>
  <c r="AI282" i="18"/>
  <c r="AI314" i="18"/>
  <c r="AI346" i="18"/>
  <c r="AI378" i="18"/>
  <c r="AI109" i="18"/>
  <c r="AI264" i="18"/>
  <c r="AI181" i="18"/>
  <c r="AI287" i="18"/>
  <c r="AI319" i="18"/>
  <c r="AI351" i="18"/>
  <c r="AI383" i="18"/>
  <c r="AI149" i="18"/>
  <c r="AI272" i="18"/>
  <c r="AI344" i="18"/>
  <c r="AI297" i="18"/>
  <c r="AI385" i="18"/>
  <c r="AI436" i="18"/>
  <c r="AI468" i="18"/>
  <c r="AI500" i="18"/>
  <c r="AI252" i="18"/>
  <c r="AI81" i="18"/>
  <c r="AI289" i="18"/>
  <c r="AI405" i="18"/>
  <c r="AI437" i="18"/>
  <c r="AI469" i="18"/>
  <c r="AI501" i="18"/>
  <c r="AI285" i="18"/>
  <c r="AI281" i="18"/>
  <c r="AI396" i="18"/>
  <c r="AI340" i="18"/>
  <c r="AI502" i="18"/>
  <c r="AI450" i="18"/>
  <c r="AI541" i="18"/>
  <c r="AI573" i="18"/>
  <c r="AI446" i="18"/>
  <c r="AI455" i="18"/>
  <c r="AI564" i="18"/>
  <c r="AI607" i="18"/>
  <c r="AI639" i="18"/>
  <c r="AI520" i="18"/>
  <c r="AI372" i="18"/>
  <c r="AI567" i="18"/>
  <c r="AI608" i="18"/>
  <c r="AI640" i="18"/>
  <c r="AI672" i="18"/>
  <c r="AI487" i="18"/>
  <c r="AI579" i="18"/>
  <c r="AI539" i="18"/>
  <c r="AI589" i="18"/>
  <c r="AI621" i="18"/>
  <c r="AI653" i="18"/>
  <c r="AI685" i="18"/>
  <c r="AI717" i="18"/>
  <c r="AI749" i="18"/>
  <c r="AI554" i="18"/>
  <c r="AI447" i="18"/>
  <c r="AI626" i="18"/>
  <c r="AI730" i="18"/>
  <c r="AI662" i="18"/>
  <c r="AI377" i="18"/>
  <c r="AI658" i="18"/>
  <c r="AI752" i="18"/>
  <c r="AI715" i="18"/>
  <c r="AI618" i="18"/>
  <c r="AI719" i="18"/>
  <c r="AI700" i="18"/>
  <c r="AI590" i="18"/>
  <c r="AI704" i="18"/>
  <c r="AI659" i="18"/>
  <c r="AI59" i="18"/>
  <c r="AI91" i="18"/>
  <c r="AI123" i="18"/>
  <c r="AI155" i="18"/>
  <c r="AI187" i="18"/>
  <c r="AI68" i="18"/>
  <c r="AI153" i="18"/>
  <c r="AI69" i="18"/>
  <c r="AI154" i="18"/>
  <c r="AI222" i="18"/>
  <c r="AI254" i="18"/>
  <c r="AI72" i="18"/>
  <c r="AI157" i="18"/>
  <c r="AI223" i="18"/>
  <c r="AI255" i="18"/>
  <c r="AI73" i="18"/>
  <c r="AI160" i="18"/>
  <c r="AI54" i="18"/>
  <c r="AI188" i="18"/>
  <c r="AI286" i="18"/>
  <c r="AI318" i="18"/>
  <c r="AI350" i="18"/>
  <c r="AI382" i="18"/>
  <c r="AI134" i="18"/>
  <c r="AI269" i="18"/>
  <c r="AI194" i="18"/>
  <c r="AI291" i="18"/>
  <c r="AI323" i="18"/>
  <c r="AI355" i="18"/>
  <c r="AI387" i="18"/>
  <c r="AI162" i="18"/>
  <c r="AI117" i="18"/>
  <c r="AI349" i="18"/>
  <c r="AI308" i="18"/>
  <c r="AI408" i="18"/>
  <c r="AI440" i="18"/>
  <c r="AI472" i="18"/>
  <c r="AI504" i="18"/>
  <c r="AI276" i="18"/>
  <c r="AI126" i="18"/>
  <c r="AI300" i="18"/>
  <c r="AI409" i="18"/>
  <c r="AI441" i="18"/>
  <c r="AI473" i="18"/>
  <c r="AI505" i="18"/>
  <c r="AI296" i="18"/>
  <c r="AI292" i="18"/>
  <c r="AI404" i="18"/>
  <c r="AI345" i="18"/>
  <c r="AI510" i="18"/>
  <c r="AI471" i="18"/>
  <c r="AI545" i="18"/>
  <c r="AI577" i="18"/>
  <c r="AI467" i="18"/>
  <c r="AI462" i="18"/>
  <c r="AI575" i="18"/>
  <c r="AI611" i="18"/>
  <c r="AI643" i="18"/>
  <c r="AI532" i="18"/>
  <c r="AI483" i="18"/>
  <c r="AI578" i="18"/>
  <c r="AI612" i="18"/>
  <c r="AI644" i="18"/>
  <c r="AI676" i="18"/>
  <c r="AI494" i="18"/>
  <c r="AI284" i="18"/>
  <c r="AI540" i="18"/>
  <c r="AI593" i="18"/>
  <c r="AI625" i="18"/>
  <c r="AI657" i="18"/>
  <c r="AI689" i="18"/>
  <c r="AI721" i="18"/>
  <c r="AI205" i="18"/>
  <c r="AI560" i="18"/>
  <c r="AI454" i="18"/>
  <c r="AI642" i="18"/>
  <c r="AI735" i="18"/>
  <c r="AI684" i="18"/>
  <c r="AI523" i="18"/>
  <c r="AI679" i="18"/>
  <c r="AI458" i="18"/>
  <c r="AI724" i="18"/>
  <c r="AI634" i="18"/>
  <c r="AI728" i="18"/>
  <c r="AI718" i="18"/>
  <c r="AI606" i="18"/>
  <c r="AI722" i="18"/>
  <c r="AI708" i="18"/>
  <c r="AI63" i="18"/>
  <c r="AI95" i="18"/>
  <c r="AI127" i="18"/>
  <c r="AI159" i="18"/>
  <c r="AI191" i="18"/>
  <c r="AI78" i="18"/>
  <c r="AI164" i="18"/>
  <c r="AI80" i="18"/>
  <c r="AI165" i="18"/>
  <c r="AI226" i="18"/>
  <c r="AI258" i="18"/>
  <c r="AI82" i="18"/>
  <c r="AI168" i="18"/>
  <c r="AI227" i="18"/>
  <c r="AI259" i="18"/>
  <c r="AI84" i="18"/>
  <c r="AI173" i="18"/>
  <c r="AI65" i="18"/>
  <c r="AI204" i="18"/>
  <c r="AI290" i="18"/>
  <c r="AI322" i="18"/>
  <c r="AI354" i="18"/>
  <c r="AI386" i="18"/>
  <c r="AI137" i="18"/>
  <c r="AI49" i="18"/>
  <c r="AI236" i="18"/>
  <c r="AI295" i="18"/>
  <c r="AI327" i="18"/>
  <c r="AI359" i="18"/>
  <c r="AI391" i="18"/>
  <c r="AI184" i="18"/>
  <c r="AI148" i="18"/>
  <c r="AI376" i="18"/>
  <c r="AI316" i="18"/>
  <c r="AI412" i="18"/>
  <c r="AI444" i="18"/>
  <c r="AI476" i="18"/>
  <c r="AI508" i="18"/>
  <c r="AI293" i="18"/>
  <c r="AI130" i="18"/>
  <c r="AI321" i="18"/>
  <c r="AI413" i="18"/>
  <c r="AI445" i="18"/>
  <c r="AI477" i="18"/>
  <c r="AI509" i="18"/>
  <c r="AI360" i="18"/>
  <c r="AI313" i="18"/>
  <c r="AI406" i="18"/>
  <c r="AI411" i="18"/>
  <c r="AI515" i="18"/>
  <c r="AI482" i="18"/>
  <c r="AI549" i="18"/>
  <c r="AI581" i="18"/>
  <c r="AI478" i="18"/>
  <c r="AI475" i="18"/>
  <c r="AI583" i="18"/>
  <c r="AI615" i="18"/>
  <c r="AI647" i="18"/>
  <c r="AI546" i="18"/>
  <c r="AI490" i="18"/>
  <c r="AI584" i="18"/>
  <c r="AI616" i="18"/>
  <c r="AI648" i="18"/>
  <c r="AI220" i="18"/>
  <c r="AI507" i="18"/>
  <c r="AI426" i="18"/>
  <c r="AI555" i="18"/>
  <c r="AI597" i="18"/>
  <c r="AI629" i="18"/>
  <c r="AI661" i="18"/>
  <c r="AI693" i="18"/>
  <c r="AI725" i="18"/>
  <c r="AI423" i="18"/>
  <c r="AI571" i="18"/>
  <c r="AI495" i="18"/>
  <c r="AI655" i="18"/>
  <c r="AI744" i="18"/>
  <c r="AI702" i="18"/>
  <c r="AI552" i="18"/>
  <c r="AI688" i="18"/>
  <c r="AI511" i="18"/>
  <c r="AI742" i="18"/>
  <c r="AI650" i="18"/>
  <c r="AI746" i="18"/>
  <c r="AI723" i="18"/>
  <c r="AI622" i="18"/>
  <c r="AI727" i="18"/>
  <c r="AI699" i="18"/>
  <c r="AI67" i="18"/>
  <c r="AI99" i="18"/>
  <c r="AI131" i="18"/>
  <c r="AI163" i="18"/>
  <c r="AI195" i="18"/>
  <c r="AI89" i="18"/>
  <c r="AI174" i="18"/>
  <c r="AI90" i="18"/>
  <c r="AI176" i="18"/>
  <c r="AI230" i="18"/>
  <c r="AI262" i="18"/>
  <c r="AI93" i="18"/>
  <c r="AI178" i="18"/>
  <c r="AI231" i="18"/>
  <c r="AI263" i="18"/>
  <c r="AI94" i="18"/>
  <c r="AI198" i="18"/>
  <c r="AI76" i="18"/>
  <c r="AI228" i="18"/>
  <c r="AI294" i="18"/>
  <c r="AI326" i="18"/>
  <c r="AI358" i="18"/>
  <c r="AI390" i="18"/>
  <c r="AI150" i="18"/>
  <c r="AI60" i="18"/>
  <c r="AI241" i="18"/>
  <c r="AI299" i="18"/>
  <c r="AI331" i="18"/>
  <c r="AI363" i="18"/>
  <c r="AI395" i="18"/>
  <c r="AI190" i="18"/>
  <c r="AI152" i="18"/>
  <c r="AI381" i="18"/>
  <c r="AI324" i="18"/>
  <c r="AI416" i="18"/>
  <c r="AI448" i="18"/>
  <c r="AI480" i="18"/>
  <c r="AI66" i="18"/>
  <c r="AI304" i="18"/>
  <c r="AI161" i="18"/>
  <c r="AI329" i="18"/>
  <c r="AI417" i="18"/>
  <c r="AI449" i="18"/>
  <c r="AI481" i="18"/>
  <c r="AI77" i="18"/>
  <c r="AI365" i="18"/>
  <c r="AI320" i="18"/>
  <c r="AI410" i="18"/>
  <c r="AI427" i="18"/>
  <c r="AI524" i="18"/>
  <c r="AI503" i="18"/>
  <c r="AI553" i="18"/>
  <c r="AI120" i="18"/>
  <c r="AI499" i="18"/>
  <c r="AI513" i="18"/>
  <c r="AI587" i="18"/>
  <c r="AI619" i="18"/>
  <c r="AI88" i="18"/>
  <c r="AI566" i="18"/>
  <c r="AI522" i="18"/>
  <c r="AI588" i="18"/>
  <c r="AI620" i="18"/>
  <c r="AI652" i="18"/>
  <c r="AI244" i="18"/>
  <c r="AI517" i="18"/>
  <c r="AI474" i="18"/>
  <c r="AI556" i="18"/>
  <c r="AI601" i="18"/>
  <c r="AI633" i="18"/>
  <c r="AI665" i="18"/>
  <c r="AI697" i="18"/>
  <c r="AI729" i="18"/>
  <c r="AI430" i="18"/>
  <c r="AI108" i="18"/>
  <c r="AI516" i="18"/>
  <c r="AI666" i="18"/>
  <c r="AI451" i="18"/>
  <c r="AI707" i="18"/>
  <c r="AI582" i="18"/>
  <c r="AI706" i="18"/>
  <c r="AI654" i="18"/>
  <c r="AI747" i="18"/>
  <c r="AI671" i="18"/>
  <c r="AI751" i="18"/>
  <c r="AI732" i="18"/>
  <c r="AI638" i="18"/>
  <c r="AI736" i="18"/>
  <c r="AI740" i="18"/>
  <c r="AI71" i="18"/>
  <c r="AI103" i="18"/>
  <c r="AI135" i="18"/>
  <c r="AI167" i="18"/>
  <c r="AI199" i="18"/>
  <c r="AI100" i="18"/>
  <c r="AI185" i="18"/>
  <c r="AI101" i="18"/>
  <c r="AI186" i="18"/>
  <c r="AI234" i="18"/>
  <c r="AI266" i="18"/>
  <c r="AI104" i="18"/>
  <c r="AI189" i="18"/>
  <c r="AI235" i="18"/>
  <c r="AI267" i="18"/>
  <c r="AI105" i="18"/>
  <c r="AI201" i="18"/>
  <c r="AI128" i="18"/>
  <c r="AI233" i="18"/>
  <c r="AI298" i="18"/>
  <c r="AI330" i="18"/>
  <c r="AI362" i="18"/>
  <c r="AI394" i="18"/>
  <c r="AI156" i="18"/>
  <c r="AI102" i="18"/>
  <c r="AI268" i="18"/>
  <c r="AI303" i="18"/>
  <c r="AI335" i="18"/>
  <c r="AI367" i="18"/>
  <c r="AI402" i="18"/>
  <c r="AI209" i="18"/>
  <c r="AI248" i="18"/>
  <c r="AI70" i="18"/>
  <c r="AI332" i="18"/>
  <c r="AI420" i="18"/>
  <c r="AI452" i="18"/>
  <c r="AI484" i="18"/>
  <c r="AI86" i="18"/>
  <c r="AI352" i="18"/>
  <c r="AI177" i="18"/>
  <c r="AI356" i="18"/>
  <c r="AI421" i="18"/>
  <c r="AI453" i="18"/>
  <c r="AI485" i="18"/>
  <c r="AI97" i="18"/>
  <c r="AI392" i="18"/>
  <c r="AI328" i="18"/>
  <c r="AI414" i="18"/>
  <c r="AI438" i="18"/>
  <c r="AI533" i="18"/>
  <c r="AI512" i="18"/>
  <c r="AI557" i="18"/>
  <c r="AI305" i="18"/>
  <c r="AI257" i="18"/>
  <c r="AI525" i="18"/>
  <c r="AI591" i="18"/>
  <c r="AI623" i="18"/>
  <c r="AI442" i="18"/>
  <c r="AI576" i="18"/>
  <c r="AI527" i="18"/>
  <c r="AI592" i="18"/>
  <c r="AI624" i="18"/>
  <c r="AI656" i="18"/>
  <c r="AI341" i="18"/>
  <c r="AI529" i="18"/>
  <c r="AI498" i="18"/>
  <c r="AI559" i="18"/>
  <c r="AI605" i="18"/>
  <c r="AI637" i="18"/>
  <c r="AI669" i="18"/>
  <c r="AI701" i="18"/>
  <c r="AI733" i="18"/>
  <c r="AI443" i="18"/>
  <c r="AI336" i="18"/>
  <c r="AI528" i="18"/>
  <c r="AI680" i="18"/>
  <c r="AI506" i="18"/>
  <c r="AI716" i="18"/>
  <c r="AI598" i="18"/>
  <c r="AI711" i="18"/>
  <c r="AI675" i="18"/>
  <c r="AI325" i="18"/>
  <c r="AI682" i="18"/>
  <c r="AI667" i="18"/>
  <c r="AI750" i="18"/>
  <c r="AI663" i="18"/>
  <c r="AI550" i="18"/>
  <c r="AI731" i="18"/>
  <c r="AI75" i="18"/>
  <c r="AI107" i="18"/>
  <c r="AI139" i="18"/>
  <c r="AI171" i="18"/>
  <c r="AI203" i="18"/>
  <c r="AI110" i="18"/>
  <c r="AI196" i="18"/>
  <c r="AI112" i="18"/>
  <c r="AI197" i="18"/>
  <c r="AI238" i="18"/>
  <c r="AI270" i="18"/>
  <c r="AI114" i="18"/>
  <c r="AI200" i="18"/>
  <c r="AI239" i="18"/>
  <c r="AI271" i="18"/>
  <c r="AI74" i="18"/>
  <c r="AI224" i="18"/>
  <c r="AI141" i="18"/>
  <c r="AI260" i="18"/>
  <c r="AI302" i="18"/>
  <c r="AI334" i="18"/>
  <c r="AI366" i="18"/>
  <c r="AI398" i="18"/>
  <c r="AI172" i="18"/>
  <c r="AI118" i="18"/>
  <c r="AI273" i="18"/>
  <c r="AI307" i="18"/>
  <c r="AI339" i="18"/>
  <c r="AI371" i="18"/>
  <c r="AI53" i="18"/>
  <c r="AI213" i="18"/>
  <c r="AI280" i="18"/>
  <c r="AI113" i="18"/>
  <c r="AI348" i="18"/>
  <c r="AI424" i="18"/>
  <c r="AI456" i="18"/>
  <c r="AI488" i="18"/>
  <c r="AI129" i="18"/>
  <c r="AI357" i="18"/>
  <c r="AI192" i="18"/>
  <c r="AI361" i="18"/>
  <c r="AI425" i="18"/>
  <c r="AI457" i="18"/>
  <c r="AI489" i="18"/>
  <c r="AI158" i="18"/>
  <c r="AI397" i="18"/>
  <c r="AI337" i="18"/>
  <c r="AI418" i="18"/>
  <c r="AI459" i="18"/>
  <c r="AI288" i="18"/>
  <c r="AI521" i="18"/>
  <c r="AI561" i="18"/>
  <c r="AI333" i="18"/>
  <c r="AI277" i="18"/>
  <c r="AI537" i="18"/>
  <c r="AI595" i="18"/>
  <c r="AI627" i="18"/>
  <c r="AI466" i="18"/>
  <c r="AI116" i="18"/>
  <c r="AI534" i="18"/>
  <c r="AI596" i="18"/>
  <c r="AI628" i="18"/>
  <c r="AI660" i="18"/>
  <c r="AI373" i="18"/>
  <c r="AI542" i="18"/>
  <c r="AI514" i="18"/>
  <c r="AI570" i="18"/>
  <c r="AI609" i="18"/>
  <c r="AI641" i="18"/>
  <c r="AI673" i="18"/>
  <c r="AI705" i="18"/>
  <c r="AI737" i="18"/>
  <c r="AI526" i="18"/>
  <c r="AI368" i="18"/>
  <c r="AI551" i="18"/>
  <c r="AI698" i="18"/>
  <c r="AI563" i="18"/>
  <c r="AI734" i="18"/>
  <c r="AI614" i="18"/>
  <c r="AI720" i="18"/>
  <c r="AI683" i="18"/>
  <c r="AI572" i="18"/>
  <c r="AI687" i="18"/>
  <c r="AI678" i="18"/>
  <c r="AI415" i="18"/>
  <c r="AI674" i="18"/>
  <c r="AI694" i="18"/>
  <c r="AI79" i="18"/>
  <c r="AI111" i="18"/>
  <c r="AI143" i="18"/>
  <c r="AI175" i="18"/>
  <c r="AI207" i="18"/>
  <c r="AI121" i="18"/>
  <c r="AI206" i="18"/>
  <c r="AI122" i="18"/>
  <c r="AI208" i="18"/>
  <c r="AI242" i="18"/>
  <c r="AI274" i="18"/>
  <c r="AI125" i="18"/>
  <c r="AI210" i="18"/>
  <c r="AI243" i="18"/>
  <c r="AI275" i="18"/>
  <c r="AI85" i="18"/>
  <c r="AI229" i="18"/>
  <c r="AI166" i="18"/>
  <c r="AI265" i="18"/>
  <c r="AI306" i="18"/>
  <c r="AI338" i="18"/>
  <c r="AI370" i="18"/>
  <c r="AI56" i="18"/>
  <c r="AI232" i="18"/>
  <c r="AI124" i="18"/>
  <c r="AI279" i="18"/>
  <c r="AI311" i="18"/>
  <c r="AI343" i="18"/>
  <c r="AI375" i="18"/>
  <c r="AI64" i="18"/>
  <c r="AI240" i="18"/>
  <c r="AI301" i="18"/>
  <c r="AI180" i="18"/>
  <c r="AI353" i="18"/>
  <c r="AI428" i="18"/>
  <c r="AI460" i="18"/>
  <c r="AI492" i="18"/>
  <c r="AI145" i="18"/>
  <c r="AI384" i="18"/>
  <c r="AI212" i="18"/>
  <c r="AI388" i="18"/>
  <c r="AI429" i="18"/>
  <c r="AI461" i="18"/>
  <c r="AI493" i="18"/>
  <c r="AI193" i="18"/>
  <c r="AI92" i="18"/>
  <c r="AI364" i="18"/>
  <c r="AI202" i="18"/>
  <c r="AI470" i="18"/>
  <c r="AI403" i="18"/>
  <c r="AI530" i="18"/>
  <c r="AI565" i="18"/>
  <c r="AI407" i="18"/>
  <c r="AI317" i="18"/>
  <c r="AI547" i="18"/>
  <c r="AI599" i="18"/>
  <c r="AI631" i="18"/>
  <c r="AI479" i="18"/>
  <c r="AI170" i="18"/>
  <c r="AI543" i="18"/>
  <c r="AI600" i="18"/>
  <c r="AI632" i="18"/>
  <c r="AI664" i="18"/>
  <c r="AI422" i="18"/>
  <c r="AI558" i="18"/>
  <c r="AI519" i="18"/>
  <c r="AI580" i="18"/>
  <c r="AI613" i="18"/>
  <c r="AI645" i="18"/>
  <c r="AI677" i="18"/>
  <c r="AI709" i="18"/>
  <c r="AI741" i="18"/>
  <c r="AI531" i="18"/>
  <c r="AI419" i="18"/>
  <c r="AI594" i="18"/>
  <c r="AI703" i="18"/>
  <c r="AI574" i="18"/>
  <c r="AI739" i="18"/>
  <c r="AI630" i="18"/>
  <c r="AI738" i="18"/>
  <c r="AI692" i="18"/>
  <c r="AI586" i="18"/>
  <c r="AI696" i="18"/>
  <c r="AI686" i="18"/>
  <c r="AI518" i="18"/>
  <c r="AI690" i="18"/>
  <c r="AI670" i="18"/>
  <c r="AM38" i="18"/>
  <c r="AL830" i="18"/>
  <c r="AL806" i="18"/>
  <c r="AL955" i="18"/>
  <c r="AL1015" i="18"/>
  <c r="AL1049" i="18"/>
  <c r="AL770" i="18"/>
  <c r="AL819" i="18"/>
  <c r="AL852" i="18"/>
  <c r="AL943" i="18"/>
  <c r="AL1000" i="18"/>
  <c r="AL1061" i="18"/>
  <c r="AL860" i="18"/>
  <c r="AL846" i="18"/>
  <c r="AL799" i="18"/>
  <c r="AL1034" i="18"/>
  <c r="AL1051" i="18"/>
  <c r="AL990" i="18"/>
  <c r="AL769" i="18"/>
  <c r="AL833" i="18"/>
  <c r="AL945" i="18"/>
  <c r="AL912" i="18"/>
  <c r="AL1057" i="18"/>
  <c r="AL772" i="18"/>
  <c r="AL843" i="18"/>
  <c r="AL953" i="18"/>
  <c r="AL922" i="18"/>
  <c r="AL894" i="18"/>
  <c r="AL765" i="18"/>
  <c r="AL879" i="18"/>
  <c r="AL952" i="18"/>
  <c r="AL1044" i="18"/>
  <c r="AL1062" i="18"/>
  <c r="AL779" i="18"/>
  <c r="AL805" i="18"/>
  <c r="AL758" i="18"/>
  <c r="AL882" i="18"/>
  <c r="AL1089" i="18"/>
  <c r="AL1041" i="18"/>
  <c r="AL1047" i="18"/>
  <c r="AL834" i="18"/>
  <c r="AL853" i="18"/>
  <c r="AL1052" i="18"/>
  <c r="AL1008" i="18"/>
  <c r="AL895" i="18"/>
  <c r="AL1070" i="18"/>
  <c r="AL1009" i="18"/>
  <c r="AL1036" i="18"/>
  <c r="AL1045" i="18"/>
  <c r="AL762" i="18"/>
  <c r="AL1013" i="18"/>
  <c r="AL840" i="18"/>
  <c r="AL1077" i="18"/>
  <c r="AL804" i="18"/>
  <c r="AL932" i="18"/>
  <c r="AL925" i="18"/>
  <c r="AL1084" i="18"/>
  <c r="AL1099" i="18"/>
  <c r="AL847" i="18"/>
  <c r="AL823" i="18"/>
  <c r="AL963" i="18"/>
  <c r="AL1023" i="18"/>
  <c r="AL1050" i="18"/>
  <c r="AL937" i="18"/>
  <c r="AL763" i="18"/>
  <c r="AL793" i="18"/>
  <c r="AL938" i="18"/>
  <c r="AL1103" i="18"/>
  <c r="AL1090" i="18"/>
  <c r="AL1100" i="18"/>
  <c r="AL794" i="18"/>
  <c r="AL869" i="18"/>
  <c r="AL927" i="18"/>
  <c r="AL1022" i="18"/>
  <c r="AL884" i="18"/>
  <c r="AL798" i="18"/>
  <c r="AL872" i="18"/>
  <c r="AL944" i="18"/>
  <c r="AL1033" i="18"/>
  <c r="AL1083" i="18"/>
  <c r="AL849" i="18"/>
  <c r="AL939" i="18"/>
  <c r="AL901" i="18"/>
  <c r="AL994" i="18"/>
  <c r="AL888" i="18"/>
  <c r="AL800" i="18"/>
  <c r="AL896" i="18"/>
  <c r="AL946" i="18"/>
  <c r="AL1005" i="18"/>
  <c r="AL1030" i="18"/>
  <c r="AL1063" i="18"/>
  <c r="AL787" i="18"/>
  <c r="AL891" i="18"/>
  <c r="AL976" i="18"/>
  <c r="AL786" i="18"/>
  <c r="AL1054" i="18"/>
  <c r="AL844" i="18"/>
  <c r="AL1098" i="18"/>
  <c r="AL873" i="18"/>
  <c r="AL813" i="18"/>
  <c r="AL812" i="18"/>
  <c r="AL969" i="18"/>
  <c r="AL983" i="18"/>
  <c r="AL778" i="18"/>
  <c r="AL857" i="18"/>
  <c r="AL905" i="18"/>
  <c r="AL995" i="18"/>
  <c r="AL1027" i="18"/>
  <c r="AL808" i="18"/>
  <c r="AL759" i="18"/>
  <c r="AL930" i="18"/>
  <c r="AL1092" i="18"/>
  <c r="AL1094" i="18"/>
  <c r="AL1038" i="18"/>
  <c r="AL790" i="18"/>
  <c r="AL866" i="18"/>
  <c r="AL915" i="18"/>
  <c r="AL1012" i="18"/>
  <c r="AL1068" i="18"/>
  <c r="AL1102" i="18"/>
  <c r="AL832" i="18"/>
  <c r="AL923" i="18"/>
  <c r="AL989" i="18"/>
  <c r="AL967" i="18"/>
  <c r="AL1096" i="18"/>
  <c r="AL836" i="18"/>
  <c r="AL931" i="18"/>
  <c r="AL898" i="18"/>
  <c r="AL984" i="18"/>
  <c r="AL1067" i="18"/>
  <c r="AL842" i="18"/>
  <c r="AL958" i="18"/>
  <c r="AL1006" i="18"/>
  <c r="AL906" i="18"/>
  <c r="AL998" i="18"/>
  <c r="AL788" i="18"/>
  <c r="AL909" i="18"/>
  <c r="AL867" i="18"/>
  <c r="AL1064" i="18"/>
  <c r="AL1088" i="18"/>
  <c r="AL1086" i="18"/>
  <c r="AL854" i="18"/>
  <c r="AL862" i="18"/>
  <c r="AL1016" i="18"/>
  <c r="AL809" i="18"/>
  <c r="AL999" i="18"/>
  <c r="AL838" i="18"/>
  <c r="AL821" i="18"/>
  <c r="AL880" i="18"/>
  <c r="AL1069" i="18"/>
  <c r="AL883" i="18"/>
  <c r="AL764" i="18"/>
  <c r="AL947" i="18"/>
  <c r="AL797" i="18"/>
  <c r="AL907" i="18"/>
  <c r="AL970" i="18"/>
  <c r="AL899" i="18"/>
  <c r="AL1091" i="18"/>
  <c r="AL784" i="18"/>
  <c r="AL863" i="18"/>
  <c r="AL910" i="18"/>
  <c r="AL1004" i="18"/>
  <c r="AL988" i="18"/>
  <c r="AL1076" i="18"/>
  <c r="AL815" i="18"/>
  <c r="AL916" i="18"/>
  <c r="AL981" i="18"/>
  <c r="AL951" i="18"/>
  <c r="AL959" i="18"/>
  <c r="AL1025" i="18"/>
  <c r="AL817" i="18"/>
  <c r="AL941" i="18"/>
  <c r="AL980" i="18"/>
  <c r="AL1043" i="18"/>
  <c r="AL1072" i="18"/>
  <c r="AL829" i="18"/>
  <c r="AL949" i="18"/>
  <c r="AL997" i="18"/>
  <c r="AL801" i="18"/>
  <c r="AL811" i="18"/>
  <c r="AL877" i="18"/>
  <c r="AL921" i="18"/>
  <c r="AL1065" i="18"/>
  <c r="AL1031" i="18"/>
  <c r="AL1053" i="18"/>
  <c r="AL781" i="18"/>
  <c r="AL851" i="18"/>
  <c r="AL816" i="18"/>
  <c r="AL960" i="18"/>
  <c r="AL1040" i="18"/>
  <c r="AL795" i="18"/>
  <c r="AL826" i="18"/>
  <c r="AL761" i="18"/>
  <c r="AL973" i="18"/>
  <c r="AL1095" i="18"/>
  <c r="AL1018" i="18"/>
  <c r="AL814" i="18"/>
  <c r="AL1093" i="18"/>
  <c r="AL1039" i="18"/>
  <c r="AL886" i="18"/>
  <c r="AL929" i="18"/>
  <c r="AL1097" i="18"/>
  <c r="AL1082" i="18"/>
  <c r="AL875" i="18"/>
  <c r="AL827" i="18"/>
  <c r="AL950" i="18"/>
  <c r="AL1011" i="18"/>
  <c r="AL1017" i="18"/>
  <c r="AL802" i="18"/>
  <c r="AL908" i="18"/>
  <c r="AL971" i="18"/>
  <c r="AL902" i="18"/>
  <c r="AL1073" i="18"/>
  <c r="AL917" i="18"/>
  <c r="AL807" i="18"/>
  <c r="AL914" i="18"/>
  <c r="AL977" i="18"/>
  <c r="AL1032" i="18"/>
  <c r="AL858" i="18"/>
  <c r="AL796" i="18"/>
  <c r="AL868" i="18"/>
  <c r="AL864" i="18"/>
  <c r="AL1046" i="18"/>
  <c r="AL1010" i="18"/>
  <c r="AL803" i="18"/>
  <c r="AL871" i="18"/>
  <c r="AL876" i="18"/>
  <c r="AL1056" i="18"/>
  <c r="AL1020" i="18"/>
  <c r="AL766" i="18"/>
  <c r="AL936" i="18"/>
  <c r="AL993" i="18"/>
  <c r="AL878" i="18"/>
  <c r="AL1081" i="18"/>
  <c r="AL780" i="18"/>
  <c r="AL768" i="18"/>
  <c r="AL885" i="18"/>
  <c r="AL961" i="18"/>
  <c r="AL820" i="18"/>
  <c r="AL818" i="18"/>
  <c r="AL924" i="18"/>
  <c r="AL987" i="18"/>
  <c r="AL934" i="18"/>
  <c r="AL825" i="18"/>
  <c r="AL841" i="18"/>
  <c r="AL835" i="18"/>
  <c r="AL933" i="18"/>
  <c r="AL773" i="18"/>
  <c r="AL810" i="18"/>
  <c r="AL775" i="18"/>
  <c r="AL926" i="18"/>
  <c r="AL1075" i="18"/>
  <c r="AL777" i="18"/>
  <c r="AL856" i="18"/>
  <c r="AL978" i="18"/>
  <c r="AL1024" i="18"/>
  <c r="AL979" i="18"/>
  <c r="AL942" i="18"/>
  <c r="AL791" i="18"/>
  <c r="AL861" i="18"/>
  <c r="AL964" i="18"/>
  <c r="AL1021" i="18"/>
  <c r="AL1101" i="18"/>
  <c r="AL789" i="18"/>
  <c r="AL865" i="18"/>
  <c r="AL822" i="18"/>
  <c r="AL1037" i="18"/>
  <c r="AL1001" i="18"/>
  <c r="AL1087" i="18"/>
  <c r="AL845" i="18"/>
  <c r="AL920" i="18"/>
  <c r="AL975" i="18"/>
  <c r="AL1105" i="18"/>
  <c r="AL1079" i="18"/>
  <c r="AL760" i="18"/>
  <c r="AL928" i="18"/>
  <c r="AL985" i="18"/>
  <c r="AL837" i="18"/>
  <c r="AL1080" i="18"/>
  <c r="AL792" i="18"/>
  <c r="AL889" i="18"/>
  <c r="AL935" i="18"/>
  <c r="AL996" i="18"/>
  <c r="AL1029" i="18"/>
  <c r="AL956" i="18"/>
  <c r="AL855" i="18"/>
  <c r="AL756" i="18"/>
  <c r="AL911" i="18"/>
  <c r="AL1002" i="18"/>
  <c r="AL771" i="18"/>
  <c r="AL870" i="18"/>
  <c r="AL774" i="18"/>
  <c r="AL1003" i="18"/>
  <c r="AL890" i="18"/>
  <c r="AL892" i="18"/>
  <c r="AL1048" i="18"/>
  <c r="AL904" i="18"/>
  <c r="AL881" i="18"/>
  <c r="AL1059" i="18"/>
  <c r="AL848" i="18"/>
  <c r="AL1066" i="18"/>
  <c r="AL968" i="18"/>
  <c r="AL831" i="18"/>
  <c r="AL897" i="18"/>
  <c r="AL948" i="18"/>
  <c r="AL1085" i="18"/>
  <c r="AL1060" i="18"/>
  <c r="AL783" i="18"/>
  <c r="AL859" i="18"/>
  <c r="AL986" i="18"/>
  <c r="AL1035" i="18"/>
  <c r="AL991" i="18"/>
  <c r="AL1026" i="18"/>
  <c r="AL839" i="18"/>
  <c r="AL913" i="18"/>
  <c r="AL965" i="18"/>
  <c r="AL1104" i="18"/>
  <c r="AL1071" i="18"/>
  <c r="AL1007" i="18"/>
  <c r="AL776" i="18"/>
  <c r="AL824" i="18"/>
  <c r="AL903" i="18"/>
  <c r="AL982" i="18"/>
  <c r="AL1019" i="18"/>
  <c r="AL782" i="18"/>
  <c r="AL874" i="18"/>
  <c r="AL918" i="18"/>
  <c r="AL992" i="18"/>
  <c r="AL1028" i="18"/>
  <c r="AL785" i="18"/>
  <c r="AL893" i="18"/>
  <c r="AL828" i="18"/>
  <c r="AL1055" i="18"/>
  <c r="AL1078" i="18"/>
  <c r="AL757" i="18"/>
  <c r="AL850" i="18"/>
  <c r="AL966" i="18"/>
  <c r="AL1014" i="18"/>
  <c r="AL919" i="18"/>
  <c r="AL954" i="18"/>
  <c r="AL1074" i="18"/>
  <c r="AL900" i="18"/>
  <c r="AL972" i="18"/>
  <c r="AL940" i="18"/>
  <c r="AL887" i="18"/>
  <c r="AL1058" i="18"/>
  <c r="AL767" i="18"/>
  <c r="AL957" i="18"/>
  <c r="AL974" i="18"/>
  <c r="AL755" i="18"/>
  <c r="AL962" i="18"/>
  <c r="AL1042" i="18"/>
  <c r="AC98" i="5"/>
  <c r="AF98" i="5" s="1"/>
  <c r="AD98" i="5"/>
  <c r="AG98" i="5" s="1"/>
  <c r="AJ96" i="5"/>
  <c r="AM107" i="5" s="1"/>
  <c r="AM6" i="5" s="1"/>
  <c r="AK96" i="5"/>
  <c r="AM108" i="5" s="1"/>
  <c r="AI96" i="5"/>
  <c r="AM106" i="5" s="1"/>
  <c r="AN96" i="5"/>
  <c r="AM110" i="5" s="1"/>
  <c r="AM96" i="5"/>
  <c r="AM109" i="5" s="1"/>
  <c r="AO96" i="5"/>
  <c r="AM111" i="5" s="1"/>
  <c r="H272" i="26" l="1"/>
  <c r="I271" i="26"/>
  <c r="N249" i="26"/>
  <c r="O248" i="26"/>
  <c r="L248" i="26"/>
  <c r="I248" i="26"/>
  <c r="H249" i="26"/>
  <c r="K249" i="26"/>
  <c r="E249" i="26"/>
  <c r="F248" i="26"/>
  <c r="AP24" i="5"/>
  <c r="AO25" i="5"/>
  <c r="AM11" i="5" a="1"/>
  <c r="AM11" i="5" s="1"/>
  <c r="AL9" i="5"/>
  <c r="AL10" i="5" s="1"/>
  <c r="AL32" i="5" s="1"/>
  <c r="AJ98" i="18"/>
  <c r="AJ162" i="18"/>
  <c r="AJ217" i="18"/>
  <c r="AJ249" i="18"/>
  <c r="AJ68" i="18"/>
  <c r="AJ132" i="18"/>
  <c r="AJ196" i="18"/>
  <c r="AJ92" i="18"/>
  <c r="AJ156" i="18"/>
  <c r="AJ50" i="18"/>
  <c r="AJ52" i="18"/>
  <c r="AJ157" i="18"/>
  <c r="AJ247" i="18"/>
  <c r="AJ297" i="18"/>
  <c r="AJ329" i="18"/>
  <c r="AJ361" i="18"/>
  <c r="AJ393" i="18"/>
  <c r="AJ122" i="18"/>
  <c r="AJ224" i="18"/>
  <c r="AJ87" i="18"/>
  <c r="AJ210" i="18"/>
  <c r="AJ282" i="18"/>
  <c r="AJ314" i="18"/>
  <c r="AJ80" i="18"/>
  <c r="AJ200" i="18"/>
  <c r="AJ73" i="18"/>
  <c r="AJ168" i="18"/>
  <c r="AJ263" i="18"/>
  <c r="AJ303" i="18"/>
  <c r="AJ275" i="18"/>
  <c r="AJ372" i="18"/>
  <c r="AJ427" i="18"/>
  <c r="AJ459" i="18"/>
  <c r="AJ491" i="18"/>
  <c r="AJ523" i="18"/>
  <c r="AJ235" i="18"/>
  <c r="AJ371" i="18"/>
  <c r="AJ308" i="18"/>
  <c r="AJ380" i="18"/>
  <c r="AJ432" i="18"/>
  <c r="AJ464" i="18"/>
  <c r="AJ496" i="18"/>
  <c r="AJ528" i="18"/>
  <c r="AJ304" i="18"/>
  <c r="AJ101" i="18"/>
  <c r="AJ315" i="18"/>
  <c r="AJ388" i="18"/>
  <c r="AJ433" i="18"/>
  <c r="AJ465" i="18"/>
  <c r="AJ497" i="18"/>
  <c r="AJ529" i="18"/>
  <c r="AJ193" i="18"/>
  <c r="AJ387" i="18"/>
  <c r="AJ442" i="18"/>
  <c r="AJ64" i="18"/>
  <c r="AJ526" i="18"/>
  <c r="AJ139" i="18"/>
  <c r="AJ549" i="18"/>
  <c r="AJ548" i="18"/>
  <c r="AJ599" i="18"/>
  <c r="AJ631" i="18"/>
  <c r="AJ663" i="18"/>
  <c r="AJ695" i="18"/>
  <c r="AJ727" i="18"/>
  <c r="AJ466" i="18"/>
  <c r="AJ418" i="18"/>
  <c r="AJ567" i="18"/>
  <c r="AJ608" i="18"/>
  <c r="AJ640" i="18"/>
  <c r="AJ672" i="18"/>
  <c r="AJ568" i="18"/>
  <c r="AJ514" i="18"/>
  <c r="AJ581" i="18"/>
  <c r="AJ613" i="18"/>
  <c r="AJ645" i="18"/>
  <c r="AJ677" i="18"/>
  <c r="AJ709" i="18"/>
  <c r="AJ741" i="18"/>
  <c r="AJ694" i="18"/>
  <c r="AJ626" i="18"/>
  <c r="AJ560" i="18"/>
  <c r="AJ552" i="18"/>
  <c r="AJ706" i="18"/>
  <c r="AJ692" i="18"/>
  <c r="AJ618" i="18"/>
  <c r="AJ562" i="18"/>
  <c r="AJ704" i="18"/>
  <c r="AJ722" i="18"/>
  <c r="AJ325" i="18"/>
  <c r="AJ254" i="18"/>
  <c r="AJ183" i="18"/>
  <c r="AJ276" i="18"/>
  <c r="AJ378" i="18"/>
  <c r="AJ627" i="18"/>
  <c r="AJ636" i="18"/>
  <c r="AJ705" i="18"/>
  <c r="AJ602" i="18"/>
  <c r="AJ99" i="18"/>
  <c r="AJ163" i="18"/>
  <c r="AJ221" i="18"/>
  <c r="AJ253" i="18"/>
  <c r="AJ78" i="18"/>
  <c r="AJ142" i="18"/>
  <c r="AJ206" i="18"/>
  <c r="AJ102" i="18"/>
  <c r="AJ166" i="18"/>
  <c r="AJ51" i="18"/>
  <c r="AJ63" i="18"/>
  <c r="AJ170" i="18"/>
  <c r="AJ252" i="18"/>
  <c r="AJ301" i="18"/>
  <c r="AJ333" i="18"/>
  <c r="AJ365" i="18"/>
  <c r="AJ397" i="18"/>
  <c r="AJ125" i="18"/>
  <c r="AJ242" i="18"/>
  <c r="AJ112" i="18"/>
  <c r="AJ214" i="18"/>
  <c r="AJ286" i="18"/>
  <c r="AJ318" i="18"/>
  <c r="AJ91" i="18"/>
  <c r="AJ218" i="18"/>
  <c r="AJ84" i="18"/>
  <c r="AJ181" i="18"/>
  <c r="AJ268" i="18"/>
  <c r="AJ307" i="18"/>
  <c r="AJ284" i="18"/>
  <c r="AJ390" i="18"/>
  <c r="AJ431" i="18"/>
  <c r="AJ463" i="18"/>
  <c r="AJ495" i="18"/>
  <c r="AJ527" i="18"/>
  <c r="AJ248" i="18"/>
  <c r="AJ376" i="18"/>
  <c r="AJ316" i="18"/>
  <c r="AJ398" i="18"/>
  <c r="AJ436" i="18"/>
  <c r="AJ468" i="18"/>
  <c r="AJ500" i="18"/>
  <c r="AJ532" i="18"/>
  <c r="AJ338" i="18"/>
  <c r="AJ126" i="18"/>
  <c r="AJ323" i="18"/>
  <c r="AJ405" i="18"/>
  <c r="AJ437" i="18"/>
  <c r="AJ469" i="18"/>
  <c r="AJ501" i="18"/>
  <c r="AJ533" i="18"/>
  <c r="AJ240" i="18"/>
  <c r="AJ392" i="18"/>
  <c r="AJ474" i="18"/>
  <c r="AJ320" i="18"/>
  <c r="AJ136" i="18"/>
  <c r="AJ190" i="18"/>
  <c r="AJ563" i="18"/>
  <c r="AJ564" i="18"/>
  <c r="AJ603" i="18"/>
  <c r="AJ635" i="18"/>
  <c r="AJ667" i="18"/>
  <c r="AJ699" i="18"/>
  <c r="AJ731" i="18"/>
  <c r="AJ510" i="18"/>
  <c r="AJ446" i="18"/>
  <c r="AJ578" i="18"/>
  <c r="AJ612" i="18"/>
  <c r="AJ644" i="18"/>
  <c r="AJ676" i="18"/>
  <c r="AJ569" i="18"/>
  <c r="AJ539" i="18"/>
  <c r="AJ585" i="18"/>
  <c r="AJ617" i="18"/>
  <c r="AJ649" i="18"/>
  <c r="AJ681" i="18"/>
  <c r="AJ713" i="18"/>
  <c r="AJ745" i="18"/>
  <c r="AJ708" i="18"/>
  <c r="AJ642" i="18"/>
  <c r="AJ571" i="18"/>
  <c r="AJ582" i="18"/>
  <c r="AJ720" i="18"/>
  <c r="AJ710" i="18"/>
  <c r="AJ634" i="18"/>
  <c r="AJ678" i="18"/>
  <c r="AJ606" i="18"/>
  <c r="AJ109" i="18"/>
  <c r="AJ173" i="18"/>
  <c r="AJ225" i="18"/>
  <c r="AJ257" i="18"/>
  <c r="AJ79" i="18"/>
  <c r="AJ143" i="18"/>
  <c r="AJ207" i="18"/>
  <c r="AJ103" i="18"/>
  <c r="AJ167" i="18"/>
  <c r="AJ61" i="18"/>
  <c r="AJ94" i="18"/>
  <c r="AJ176" i="18"/>
  <c r="AJ270" i="18"/>
  <c r="AJ305" i="18"/>
  <c r="AJ337" i="18"/>
  <c r="AJ369" i="18"/>
  <c r="AJ404" i="18"/>
  <c r="AJ138" i="18"/>
  <c r="AJ251" i="18"/>
  <c r="AJ115" i="18"/>
  <c r="AJ223" i="18"/>
  <c r="AJ290" i="18"/>
  <c r="AJ322" i="18"/>
  <c r="AJ137" i="18"/>
  <c r="AJ227" i="18"/>
  <c r="AJ95" i="18"/>
  <c r="AJ187" i="18"/>
  <c r="AJ279" i="18"/>
  <c r="AJ311" i="18"/>
  <c r="AJ319" i="18"/>
  <c r="AJ402" i="18"/>
  <c r="AJ435" i="18"/>
  <c r="AJ467" i="18"/>
  <c r="AJ499" i="18"/>
  <c r="AJ531" i="18"/>
  <c r="AJ262" i="18"/>
  <c r="AJ394" i="18"/>
  <c r="AJ324" i="18"/>
  <c r="AJ408" i="18"/>
  <c r="AJ440" i="18"/>
  <c r="AJ472" i="18"/>
  <c r="AJ504" i="18"/>
  <c r="AJ536" i="18"/>
  <c r="AJ347" i="18"/>
  <c r="AJ161" i="18"/>
  <c r="AJ331" i="18"/>
  <c r="AJ409" i="18"/>
  <c r="AJ441" i="18"/>
  <c r="AJ473" i="18"/>
  <c r="AJ505" i="18"/>
  <c r="AJ537" i="18"/>
  <c r="AJ243" i="18"/>
  <c r="AJ108" i="18"/>
  <c r="AJ506" i="18"/>
  <c r="AJ359" i="18"/>
  <c r="AJ288" i="18"/>
  <c r="AJ292" i="18"/>
  <c r="AJ574" i="18"/>
  <c r="AJ565" i="18"/>
  <c r="AJ607" i="18"/>
  <c r="AJ639" i="18"/>
  <c r="AJ671" i="18"/>
  <c r="AJ703" i="18"/>
  <c r="AJ735" i="18"/>
  <c r="AJ545" i="18"/>
  <c r="AJ470" i="18"/>
  <c r="AJ584" i="18"/>
  <c r="AJ616" i="18"/>
  <c r="AJ648" i="18"/>
  <c r="AJ350" i="18"/>
  <c r="AJ579" i="18"/>
  <c r="AJ540" i="18"/>
  <c r="AJ589" i="18"/>
  <c r="AJ621" i="18"/>
  <c r="AJ653" i="18"/>
  <c r="AJ685" i="18"/>
  <c r="AJ717" i="18"/>
  <c r="AJ749" i="18"/>
  <c r="AJ726" i="18"/>
  <c r="AJ666" i="18"/>
  <c r="AJ662" i="18"/>
  <c r="AJ598" i="18"/>
  <c r="AJ738" i="18"/>
  <c r="AJ724" i="18"/>
  <c r="AJ650" i="18"/>
  <c r="AJ686" i="18"/>
  <c r="AJ736" i="18"/>
  <c r="AJ238" i="18"/>
  <c r="AJ204" i="18"/>
  <c r="AJ62" i="18"/>
  <c r="AJ367" i="18"/>
  <c r="AJ487" i="18"/>
  <c r="AJ362" i="18"/>
  <c r="AJ428" i="18"/>
  <c r="AJ492" i="18"/>
  <c r="AJ383" i="18"/>
  <c r="AJ493" i="18"/>
  <c r="AJ189" i="18"/>
  <c r="AJ554" i="18"/>
  <c r="AJ530" i="18"/>
  <c r="AJ595" i="18"/>
  <c r="AJ691" i="18"/>
  <c r="AJ382" i="18"/>
  <c r="AJ604" i="18"/>
  <c r="AJ558" i="18"/>
  <c r="AJ609" i="18"/>
  <c r="AJ673" i="18"/>
  <c r="AJ610" i="18"/>
  <c r="AJ688" i="18"/>
  <c r="AJ746" i="18"/>
  <c r="AJ622" i="18"/>
  <c r="AJ56" i="18"/>
  <c r="AJ120" i="18"/>
  <c r="AJ184" i="18"/>
  <c r="AJ229" i="18"/>
  <c r="AJ261" i="18"/>
  <c r="AJ89" i="18"/>
  <c r="AJ153" i="18"/>
  <c r="AJ49" i="18"/>
  <c r="AJ113" i="18"/>
  <c r="AJ177" i="18"/>
  <c r="AJ72" i="18"/>
  <c r="AJ105" i="18"/>
  <c r="AJ179" i="18"/>
  <c r="AJ277" i="18"/>
  <c r="AJ309" i="18"/>
  <c r="AJ341" i="18"/>
  <c r="AJ373" i="18"/>
  <c r="AJ74" i="18"/>
  <c r="AJ144" i="18"/>
  <c r="AJ256" i="18"/>
  <c r="AJ128" i="18"/>
  <c r="AJ228" i="18"/>
  <c r="AJ294" i="18"/>
  <c r="AJ326" i="18"/>
  <c r="AJ150" i="18"/>
  <c r="AJ232" i="18"/>
  <c r="AJ118" i="18"/>
  <c r="AJ203" i="18"/>
  <c r="AJ283" i="18"/>
  <c r="AJ55" i="18"/>
  <c r="AJ327" i="18"/>
  <c r="AJ407" i="18"/>
  <c r="AJ439" i="18"/>
  <c r="AJ471" i="18"/>
  <c r="AJ503" i="18"/>
  <c r="AJ535" i="18"/>
  <c r="AJ280" i="18"/>
  <c r="AJ90" i="18"/>
  <c r="AJ332" i="18"/>
  <c r="AJ412" i="18"/>
  <c r="AJ444" i="18"/>
  <c r="AJ476" i="18"/>
  <c r="AJ508" i="18"/>
  <c r="AJ86" i="18"/>
  <c r="AJ352" i="18"/>
  <c r="AJ208" i="18"/>
  <c r="AJ342" i="18"/>
  <c r="AJ413" i="18"/>
  <c r="AJ445" i="18"/>
  <c r="AJ477" i="18"/>
  <c r="AJ509" i="18"/>
  <c r="AJ48" i="18"/>
  <c r="AJ296" i="18"/>
  <c r="AJ171" i="18"/>
  <c r="AJ538" i="18"/>
  <c r="AJ364" i="18"/>
  <c r="AJ354" i="18"/>
  <c r="AJ328" i="18"/>
  <c r="AJ216" i="18"/>
  <c r="AJ575" i="18"/>
  <c r="AJ611" i="18"/>
  <c r="AJ643" i="18"/>
  <c r="AJ675" i="18"/>
  <c r="AJ707" i="18"/>
  <c r="AJ739" i="18"/>
  <c r="AJ566" i="18"/>
  <c r="AJ490" i="18"/>
  <c r="AJ588" i="18"/>
  <c r="AJ620" i="18"/>
  <c r="AJ652" i="18"/>
  <c r="AJ391" i="18"/>
  <c r="AJ155" i="18"/>
  <c r="AJ555" i="18"/>
  <c r="AJ593" i="18"/>
  <c r="AJ625" i="18"/>
  <c r="AJ657" i="18"/>
  <c r="AJ689" i="18"/>
  <c r="AJ721" i="18"/>
  <c r="AJ230" i="18"/>
  <c r="AJ740" i="18"/>
  <c r="AJ680" i="18"/>
  <c r="AJ684" i="18"/>
  <c r="AJ614" i="18"/>
  <c r="AJ752" i="18"/>
  <c r="AJ742" i="18"/>
  <c r="AJ682" i="18"/>
  <c r="AJ700" i="18"/>
  <c r="AJ674" i="18"/>
  <c r="AJ104" i="18"/>
  <c r="AJ76" i="18"/>
  <c r="AJ197" i="18"/>
  <c r="AJ299" i="18"/>
  <c r="AJ423" i="18"/>
  <c r="AJ519" i="18"/>
  <c r="AJ375" i="18"/>
  <c r="AJ460" i="18"/>
  <c r="AJ53" i="18"/>
  <c r="AJ429" i="18"/>
  <c r="AJ525" i="18"/>
  <c r="AJ386" i="18"/>
  <c r="AJ482" i="18"/>
  <c r="AJ547" i="18"/>
  <c r="AJ659" i="18"/>
  <c r="AJ723" i="18"/>
  <c r="AJ544" i="18"/>
  <c r="AJ668" i="18"/>
  <c r="AJ498" i="18"/>
  <c r="AJ641" i="18"/>
  <c r="AJ670" i="18"/>
  <c r="AJ748" i="18"/>
  <c r="AJ654" i="18"/>
  <c r="AJ573" i="18"/>
  <c r="AJ66" i="18"/>
  <c r="AJ130" i="18"/>
  <c r="AJ194" i="18"/>
  <c r="AJ233" i="18"/>
  <c r="AJ265" i="18"/>
  <c r="AJ100" i="18"/>
  <c r="AJ164" i="18"/>
  <c r="AJ60" i="18"/>
  <c r="AJ124" i="18"/>
  <c r="AJ188" i="18"/>
  <c r="AJ82" i="18"/>
  <c r="AJ116" i="18"/>
  <c r="AJ192" i="18"/>
  <c r="AJ281" i="18"/>
  <c r="AJ313" i="18"/>
  <c r="AJ345" i="18"/>
  <c r="AJ377" i="18"/>
  <c r="AJ85" i="18"/>
  <c r="AJ147" i="18"/>
  <c r="AJ274" i="18"/>
  <c r="AJ169" i="18"/>
  <c r="AJ246" i="18"/>
  <c r="AJ298" i="18"/>
  <c r="AJ330" i="18"/>
  <c r="AJ159" i="18"/>
  <c r="AJ250" i="18"/>
  <c r="AJ127" i="18"/>
  <c r="AJ222" i="18"/>
  <c r="AJ287" i="18"/>
  <c r="AJ75" i="18"/>
  <c r="AJ335" i="18"/>
  <c r="AJ411" i="18"/>
  <c r="AJ443" i="18"/>
  <c r="AJ475" i="18"/>
  <c r="AJ507" i="18"/>
  <c r="AJ117" i="18"/>
  <c r="AJ312" i="18"/>
  <c r="AJ114" i="18"/>
  <c r="AJ343" i="18"/>
  <c r="AJ416" i="18"/>
  <c r="AJ448" i="18"/>
  <c r="AJ480" i="18"/>
  <c r="AJ512" i="18"/>
  <c r="AJ106" i="18"/>
  <c r="AJ370" i="18"/>
  <c r="AJ212" i="18"/>
  <c r="AJ351" i="18"/>
  <c r="AJ417" i="18"/>
  <c r="AJ449" i="18"/>
  <c r="AJ481" i="18"/>
  <c r="AJ513" i="18"/>
  <c r="AJ97" i="18"/>
  <c r="AJ346" i="18"/>
  <c r="AJ186" i="18"/>
  <c r="AJ542" i="18"/>
  <c r="AJ410" i="18"/>
  <c r="AJ395" i="18"/>
  <c r="AJ438" i="18"/>
  <c r="AJ396" i="18"/>
  <c r="AJ583" i="18"/>
  <c r="AJ615" i="18"/>
  <c r="AJ647" i="18"/>
  <c r="AJ679" i="18"/>
  <c r="AJ711" i="18"/>
  <c r="AJ743" i="18"/>
  <c r="AJ576" i="18"/>
  <c r="AJ522" i="18"/>
  <c r="AJ592" i="18"/>
  <c r="AJ624" i="18"/>
  <c r="AJ656" i="18"/>
  <c r="AJ494" i="18"/>
  <c r="AJ271" i="18"/>
  <c r="AJ556" i="18"/>
  <c r="AJ597" i="18"/>
  <c r="AJ629" i="18"/>
  <c r="AJ661" i="18"/>
  <c r="AJ693" i="18"/>
  <c r="AJ725" i="18"/>
  <c r="AJ430" i="18"/>
  <c r="AJ368" i="18"/>
  <c r="AJ698" i="18"/>
  <c r="AJ702" i="18"/>
  <c r="AJ630" i="18"/>
  <c r="AJ434" i="18"/>
  <c r="AJ336" i="18"/>
  <c r="AJ696" i="18"/>
  <c r="AJ718" i="18"/>
  <c r="AJ638" i="18"/>
  <c r="AJ67" i="18"/>
  <c r="AJ131" i="18"/>
  <c r="AJ195" i="18"/>
  <c r="AJ237" i="18"/>
  <c r="AJ269" i="18"/>
  <c r="AJ110" i="18"/>
  <c r="AJ174" i="18"/>
  <c r="AJ70" i="18"/>
  <c r="AJ134" i="18"/>
  <c r="AJ198" i="18"/>
  <c r="AJ83" i="18"/>
  <c r="AJ129" i="18"/>
  <c r="AJ215" i="18"/>
  <c r="AJ285" i="18"/>
  <c r="AJ317" i="18"/>
  <c r="AJ349" i="18"/>
  <c r="AJ381" i="18"/>
  <c r="AJ96" i="18"/>
  <c r="AJ160" i="18"/>
  <c r="AJ54" i="18"/>
  <c r="AJ182" i="18"/>
  <c r="AJ255" i="18"/>
  <c r="AJ302" i="18"/>
  <c r="AJ334" i="18"/>
  <c r="AJ172" i="18"/>
  <c r="AJ259" i="18"/>
  <c r="AJ140" i="18"/>
  <c r="AJ231" i="18"/>
  <c r="AJ291" i="18"/>
  <c r="AJ202" i="18"/>
  <c r="AJ340" i="18"/>
  <c r="AJ415" i="18"/>
  <c r="AJ447" i="18"/>
  <c r="AJ479" i="18"/>
  <c r="AJ511" i="18"/>
  <c r="AJ133" i="18"/>
  <c r="AJ339" i="18"/>
  <c r="AJ149" i="18"/>
  <c r="AJ348" i="18"/>
  <c r="AJ420" i="18"/>
  <c r="AJ452" i="18"/>
  <c r="AJ484" i="18"/>
  <c r="AJ516" i="18"/>
  <c r="AJ239" i="18"/>
  <c r="AJ379" i="18"/>
  <c r="AJ226" i="18"/>
  <c r="AJ356" i="18"/>
  <c r="AJ421" i="18"/>
  <c r="AJ453" i="18"/>
  <c r="AJ485" i="18"/>
  <c r="AJ517" i="18"/>
  <c r="AJ123" i="18"/>
  <c r="AJ355" i="18"/>
  <c r="AJ244" i="18"/>
  <c r="AJ546" i="18"/>
  <c r="AJ422" i="18"/>
  <c r="AJ403" i="18"/>
  <c r="AJ458" i="18"/>
  <c r="AJ406" i="18"/>
  <c r="AJ587" i="18"/>
  <c r="AJ619" i="18"/>
  <c r="AJ651" i="18"/>
  <c r="AJ683" i="18"/>
  <c r="AJ715" i="18"/>
  <c r="AJ747" i="18"/>
  <c r="AJ577" i="18"/>
  <c r="AJ534" i="18"/>
  <c r="AJ596" i="18"/>
  <c r="AJ628" i="18"/>
  <c r="AJ660" i="18"/>
  <c r="AJ541" i="18"/>
  <c r="AJ414" i="18"/>
  <c r="AJ559" i="18"/>
  <c r="AJ601" i="18"/>
  <c r="AJ633" i="18"/>
  <c r="AJ665" i="18"/>
  <c r="AJ697" i="18"/>
  <c r="AJ729" i="18"/>
  <c r="AJ478" i="18"/>
  <c r="AJ551" i="18"/>
  <c r="AJ712" i="18"/>
  <c r="AJ716" i="18"/>
  <c r="AJ646" i="18"/>
  <c r="AJ553" i="18"/>
  <c r="AJ572" i="18"/>
  <c r="AJ714" i="18"/>
  <c r="AJ732" i="18"/>
  <c r="AJ590" i="18"/>
  <c r="AJ461" i="18"/>
  <c r="AJ744" i="18"/>
  <c r="AJ77" i="18"/>
  <c r="AJ141" i="18"/>
  <c r="AJ205" i="18"/>
  <c r="AJ241" i="18"/>
  <c r="AJ273" i="18"/>
  <c r="AJ111" i="18"/>
  <c r="AJ175" i="18"/>
  <c r="AJ71" i="18"/>
  <c r="AJ135" i="18"/>
  <c r="AJ199" i="18"/>
  <c r="AJ93" i="18"/>
  <c r="AJ151" i="18"/>
  <c r="AJ220" i="18"/>
  <c r="AJ289" i="18"/>
  <c r="AJ321" i="18"/>
  <c r="AJ353" i="18"/>
  <c r="AJ385" i="18"/>
  <c r="AJ107" i="18"/>
  <c r="AJ201" i="18"/>
  <c r="AJ65" i="18"/>
  <c r="AJ191" i="18"/>
  <c r="AJ260" i="18"/>
  <c r="AJ306" i="18"/>
  <c r="AJ58" i="18"/>
  <c r="AJ178" i="18"/>
  <c r="AJ264" i="18"/>
  <c r="AJ146" i="18"/>
  <c r="AJ236" i="18"/>
  <c r="AJ295" i="18"/>
  <c r="AJ234" i="18"/>
  <c r="AJ358" i="18"/>
  <c r="AJ419" i="18"/>
  <c r="AJ451" i="18"/>
  <c r="AJ483" i="18"/>
  <c r="AJ515" i="18"/>
  <c r="AJ148" i="18"/>
  <c r="AJ344" i="18"/>
  <c r="AJ180" i="18"/>
  <c r="AJ366" i="18"/>
  <c r="AJ424" i="18"/>
  <c r="AJ456" i="18"/>
  <c r="AJ488" i="18"/>
  <c r="AJ520" i="18"/>
  <c r="AJ266" i="18"/>
  <c r="AJ384" i="18"/>
  <c r="AJ267" i="18"/>
  <c r="AJ374" i="18"/>
  <c r="AJ425" i="18"/>
  <c r="AJ457" i="18"/>
  <c r="AJ489" i="18"/>
  <c r="AJ521" i="18"/>
  <c r="AJ158" i="18"/>
  <c r="AJ360" i="18"/>
  <c r="AJ258" i="18"/>
  <c r="AJ550" i="18"/>
  <c r="AJ454" i="18"/>
  <c r="AJ450" i="18"/>
  <c r="AJ518" i="18"/>
  <c r="AJ462" i="18"/>
  <c r="AJ591" i="18"/>
  <c r="AJ623" i="18"/>
  <c r="AJ655" i="18"/>
  <c r="AJ687" i="18"/>
  <c r="AJ719" i="18"/>
  <c r="AJ751" i="18"/>
  <c r="AJ59" i="18"/>
  <c r="AJ543" i="18"/>
  <c r="AJ600" i="18"/>
  <c r="AJ632" i="18"/>
  <c r="AJ664" i="18"/>
  <c r="AJ557" i="18"/>
  <c r="AJ426" i="18"/>
  <c r="AJ570" i="18"/>
  <c r="AJ605" i="18"/>
  <c r="AJ637" i="18"/>
  <c r="AJ669" i="18"/>
  <c r="AJ701" i="18"/>
  <c r="AJ733" i="18"/>
  <c r="AJ502" i="18"/>
  <c r="AJ594" i="18"/>
  <c r="AJ730" i="18"/>
  <c r="AJ734" i="18"/>
  <c r="AJ658" i="18"/>
  <c r="AJ561" i="18"/>
  <c r="AJ586" i="18"/>
  <c r="AJ728" i="18"/>
  <c r="AJ750" i="18"/>
  <c r="AJ690" i="18"/>
  <c r="AJ88" i="18"/>
  <c r="AJ152" i="18"/>
  <c r="AJ213" i="18"/>
  <c r="AJ245" i="18"/>
  <c r="AJ57" i="18"/>
  <c r="AJ121" i="18"/>
  <c r="AJ185" i="18"/>
  <c r="AJ81" i="18"/>
  <c r="AJ145" i="18"/>
  <c r="AJ154" i="18"/>
  <c r="AJ293" i="18"/>
  <c r="AJ357" i="18"/>
  <c r="AJ389" i="18"/>
  <c r="AJ119" i="18"/>
  <c r="AJ219" i="18"/>
  <c r="AJ278" i="18"/>
  <c r="AJ69" i="18"/>
  <c r="AJ165" i="18"/>
  <c r="AJ272" i="18"/>
  <c r="AJ455" i="18"/>
  <c r="AJ211" i="18"/>
  <c r="AJ300" i="18"/>
  <c r="AJ486" i="18"/>
  <c r="AJ363" i="18"/>
  <c r="AJ737" i="18"/>
  <c r="AJ209" i="18"/>
  <c r="AJ310" i="18"/>
  <c r="AJ524" i="18"/>
  <c r="AJ580" i="18"/>
  <c r="AE4" i="18"/>
  <c r="AE44" i="18" s="1"/>
  <c r="AD47" i="18"/>
  <c r="AD401" i="18"/>
  <c r="AD754" i="18"/>
  <c r="AM810" i="18"/>
  <c r="AM805" i="18"/>
  <c r="AM756" i="18"/>
  <c r="AM1098" i="18"/>
  <c r="AM958" i="18"/>
  <c r="AM789" i="18"/>
  <c r="AM864" i="18"/>
  <c r="AM1032" i="18"/>
  <c r="AM1078" i="18"/>
  <c r="AM764" i="18"/>
  <c r="AM962" i="18"/>
  <c r="AM852" i="18"/>
  <c r="AM763" i="18"/>
  <c r="AM856" i="18"/>
  <c r="AM984" i="18"/>
  <c r="AM1053" i="18"/>
  <c r="AM909" i="18"/>
  <c r="AM901" i="18"/>
  <c r="AM787" i="18"/>
  <c r="AM1065" i="18"/>
  <c r="AM1070" i="18"/>
  <c r="AM899" i="18"/>
  <c r="AM895" i="18"/>
  <c r="AM775" i="18"/>
  <c r="AM843" i="18"/>
  <c r="AM1074" i="18"/>
  <c r="AM986" i="18"/>
  <c r="AM920" i="18"/>
  <c r="AM931" i="18"/>
  <c r="AM1063" i="18"/>
  <c r="AM760" i="18"/>
  <c r="AM757" i="18"/>
  <c r="AM963" i="18"/>
  <c r="AM1104" i="18"/>
  <c r="AM772" i="18"/>
  <c r="AM782" i="18"/>
  <c r="AM819" i="18"/>
  <c r="AM911" i="18"/>
  <c r="AM830" i="18"/>
  <c r="AM1071" i="18"/>
  <c r="AM770" i="18"/>
  <c r="AM1010" i="18"/>
  <c r="AM979" i="18"/>
  <c r="AM771" i="18"/>
  <c r="AM836" i="18"/>
  <c r="AM1105" i="18"/>
  <c r="AM955" i="18"/>
  <c r="AM1066" i="18"/>
  <c r="AM765" i="18"/>
  <c r="AM1091" i="18"/>
  <c r="AM906" i="18"/>
  <c r="AM857" i="18"/>
  <c r="AM1072" i="18"/>
  <c r="AM1069" i="18"/>
  <c r="AM812" i="18"/>
  <c r="AM870" i="18"/>
  <c r="AM960" i="18"/>
  <c r="AM1001" i="18"/>
  <c r="AM975" i="18"/>
  <c r="AM796" i="18"/>
  <c r="AM833" i="18"/>
  <c r="AM1035" i="18"/>
  <c r="AM877" i="18"/>
  <c r="AM936" i="18"/>
  <c r="AM876" i="18"/>
  <c r="AM1088" i="18"/>
  <c r="AM1087" i="18"/>
  <c r="AM841" i="18"/>
  <c r="AM766" i="18"/>
  <c r="AM995" i="18"/>
  <c r="AM929" i="18"/>
  <c r="AM905" i="18"/>
  <c r="AM1034" i="18"/>
  <c r="AM950" i="18"/>
  <c r="AM755" i="18"/>
  <c r="AM1005" i="18"/>
  <c r="AM993" i="18"/>
  <c r="AM802" i="18"/>
  <c r="AM971" i="18"/>
  <c r="AM897" i="18"/>
  <c r="AM797" i="18"/>
  <c r="AM1015" i="18"/>
  <c r="AM798" i="18"/>
  <c r="AM849" i="18"/>
  <c r="AM1031" i="18"/>
  <c r="AM835" i="18"/>
  <c r="AM924" i="18"/>
  <c r="AM1060" i="18"/>
  <c r="AM850" i="18"/>
  <c r="AM891" i="18"/>
  <c r="AM1061" i="18"/>
  <c r="AM1081" i="18"/>
  <c r="AM985" i="18"/>
  <c r="AM1084" i="18"/>
  <c r="AM1057" i="18"/>
  <c r="AM1083" i="18"/>
  <c r="AM868" i="18"/>
  <c r="AM795" i="18"/>
  <c r="AM773" i="18"/>
  <c r="AM1050" i="18"/>
  <c r="AM1030" i="18"/>
  <c r="AM794" i="18"/>
  <c r="AM914" i="18"/>
  <c r="AM1101" i="18"/>
  <c r="AM767" i="18"/>
  <c r="AM1016" i="18"/>
  <c r="AM778" i="18"/>
  <c r="AM1003" i="18"/>
  <c r="AM837" i="18"/>
  <c r="AM804" i="18"/>
  <c r="AM941" i="18"/>
  <c r="AM966" i="18"/>
  <c r="AM923" i="18"/>
  <c r="AM1090" i="18"/>
  <c r="AM831" i="18"/>
  <c r="AM1097" i="18"/>
  <c r="AM1039" i="18"/>
  <c r="AM822" i="18"/>
  <c r="AM1055" i="18"/>
  <c r="AM903" i="18"/>
  <c r="AM774" i="18"/>
  <c r="AM1067" i="18"/>
  <c r="AM1007" i="18"/>
  <c r="AM915" i="18"/>
  <c r="AM878" i="18"/>
  <c r="AM827" i="18"/>
  <c r="AM823" i="18"/>
  <c r="AM947" i="18"/>
  <c r="AM965" i="18"/>
  <c r="AM1028" i="18"/>
  <c r="AM862" i="18"/>
  <c r="AM956" i="18"/>
  <c r="AM866" i="18"/>
  <c r="AM942" i="18"/>
  <c r="AM927" i="18"/>
  <c r="AM946" i="18"/>
  <c r="AM928" i="18"/>
  <c r="AM990" i="18"/>
  <c r="AM1042" i="18"/>
  <c r="AM937" i="18"/>
  <c r="AM949" i="18"/>
  <c r="AM769" i="18"/>
  <c r="AM1058" i="18"/>
  <c r="AM829" i="18"/>
  <c r="AM800" i="18"/>
  <c r="AM904" i="18"/>
  <c r="AM989" i="18"/>
  <c r="AM806" i="18"/>
  <c r="AM961" i="18"/>
  <c r="AM1085" i="18"/>
  <c r="AM900" i="18"/>
  <c r="AM1075" i="18"/>
  <c r="AM832" i="18"/>
  <c r="AM838" i="18"/>
  <c r="AM1062" i="18"/>
  <c r="AM970" i="18"/>
  <c r="AM943" i="18"/>
  <c r="AM884" i="18"/>
  <c r="AM918" i="18"/>
  <c r="AM1026" i="18"/>
  <c r="AM785" i="18"/>
  <c r="AM777" i="18"/>
  <c r="AM1054" i="18"/>
  <c r="AM917" i="18"/>
  <c r="AM1033" i="18"/>
  <c r="AM768" i="18"/>
  <c r="AM1049" i="18"/>
  <c r="AM817" i="18"/>
  <c r="AM816" i="18"/>
  <c r="AM1018" i="18"/>
  <c r="AM1046" i="18"/>
  <c r="AM879" i="18"/>
  <c r="AM981" i="18"/>
  <c r="AM847" i="18"/>
  <c r="AM881" i="18"/>
  <c r="AM792" i="18"/>
  <c r="AM863" i="18"/>
  <c r="AM998" i="18"/>
  <c r="AM780" i="18"/>
  <c r="AM1059" i="18"/>
  <c r="AM907" i="18"/>
  <c r="AM1064" i="18"/>
  <c r="AM889" i="18"/>
  <c r="AM938" i="18"/>
  <c r="AM871" i="18"/>
  <c r="AM821" i="18"/>
  <c r="AM988" i="18"/>
  <c r="AM786" i="18"/>
  <c r="AM1029" i="18"/>
  <c r="AM803" i="18"/>
  <c r="AM1068" i="18"/>
  <c r="AM922" i="18"/>
  <c r="AM853" i="18"/>
  <c r="AM1019" i="18"/>
  <c r="AM1000" i="18"/>
  <c r="AM925" i="18"/>
  <c r="AM926" i="18"/>
  <c r="AM886" i="18"/>
  <c r="AM980" i="18"/>
  <c r="AM1096" i="18"/>
  <c r="AM793" i="18"/>
  <c r="AM779" i="18"/>
  <c r="AM908" i="18"/>
  <c r="AM854" i="18"/>
  <c r="AM1100" i="18"/>
  <c r="AM953" i="18"/>
  <c r="AM1093" i="18"/>
  <c r="AM1013" i="18"/>
  <c r="AM957" i="18"/>
  <c r="AM944" i="18"/>
  <c r="AM952" i="18"/>
  <c r="AM1044" i="18"/>
  <c r="AM921" i="18"/>
  <c r="AM1052" i="18"/>
  <c r="AM846" i="18"/>
  <c r="AM912" i="18"/>
  <c r="AM826" i="18"/>
  <c r="AM855" i="18"/>
  <c r="AM999" i="18"/>
  <c r="AM1008" i="18"/>
  <c r="AM1037" i="18"/>
  <c r="AM872" i="18"/>
  <c r="AM758" i="18"/>
  <c r="AM945" i="18"/>
  <c r="AM939" i="18"/>
  <c r="AM951" i="18"/>
  <c r="AM1082" i="18"/>
  <c r="AM811" i="18"/>
  <c r="AM935" i="18"/>
  <c r="AM874" i="18"/>
  <c r="AM898" i="18"/>
  <c r="AM1092" i="18"/>
  <c r="AM1012" i="18"/>
  <c r="AM1011" i="18"/>
  <c r="AM1099" i="18"/>
  <c r="AM1006" i="18"/>
  <c r="AM788" i="18"/>
  <c r="AM1038" i="18"/>
  <c r="AM861" i="18"/>
  <c r="AM1102" i="18"/>
  <c r="AM893" i="18"/>
  <c r="AM1020" i="18"/>
  <c r="AM1076" i="18"/>
  <c r="AM882" i="18"/>
  <c r="AM828" i="18"/>
  <c r="AM809" i="18"/>
  <c r="AM1041" i="18"/>
  <c r="AM845" i="18"/>
  <c r="AM916" i="18"/>
  <c r="AM972" i="18"/>
  <c r="AM1017" i="18"/>
  <c r="AM976" i="18"/>
  <c r="AM1051" i="18"/>
  <c r="AM1002" i="18"/>
  <c r="AM858" i="18"/>
  <c r="AM982" i="18"/>
  <c r="AM910" i="18"/>
  <c r="AM940" i="18"/>
  <c r="AM978" i="18"/>
  <c r="AM1014" i="18"/>
  <c r="AM869" i="18"/>
  <c r="AM820" i="18"/>
  <c r="AM790" i="18"/>
  <c r="AM983" i="18"/>
  <c r="AM959" i="18"/>
  <c r="AM1021" i="18"/>
  <c r="AM859" i="18"/>
  <c r="AM848" i="18"/>
  <c r="AM1103" i="18"/>
  <c r="AM967" i="18"/>
  <c r="AM799" i="18"/>
  <c r="AM762" i="18"/>
  <c r="AM1025" i="18"/>
  <c r="AM948" i="18"/>
  <c r="AM813" i="18"/>
  <c r="AM1056" i="18"/>
  <c r="AM865" i="18"/>
  <c r="AM783" i="18"/>
  <c r="AM1079" i="18"/>
  <c r="AM919" i="18"/>
  <c r="AM1040" i="18"/>
  <c r="AM1095" i="18"/>
  <c r="AM814" i="18"/>
  <c r="AM1073" i="18"/>
  <c r="AM759" i="18"/>
  <c r="AM815" i="18"/>
  <c r="AM902" i="18"/>
  <c r="AM808" i="18"/>
  <c r="AM968" i="18"/>
  <c r="AM974" i="18"/>
  <c r="AM801" i="18"/>
  <c r="AM964" i="18"/>
  <c r="AM934" i="18"/>
  <c r="AM932" i="18"/>
  <c r="AM860" i="18"/>
  <c r="AM977" i="18"/>
  <c r="AM873" i="18"/>
  <c r="AM997" i="18"/>
  <c r="AM1094" i="18"/>
  <c r="AM784" i="18"/>
  <c r="AM1036" i="18"/>
  <c r="AM1024" i="18"/>
  <c r="AM1022" i="18"/>
  <c r="AM992" i="18"/>
  <c r="AM894" i="18"/>
  <c r="AM776" i="18"/>
  <c r="AM885" i="18"/>
  <c r="AM824" i="18"/>
  <c r="AM844" i="18"/>
  <c r="AM973" i="18"/>
  <c r="AM1043" i="18"/>
  <c r="AM996" i="18"/>
  <c r="AM1009" i="18"/>
  <c r="AM761" i="18"/>
  <c r="AM913" i="18"/>
  <c r="AM818" i="18"/>
  <c r="AM883" i="18"/>
  <c r="AM1089" i="18"/>
  <c r="AM987" i="18"/>
  <c r="AM933" i="18"/>
  <c r="AM791" i="18"/>
  <c r="AM842" i="18"/>
  <c r="AM892" i="18"/>
  <c r="AM1004" i="18"/>
  <c r="AM888" i="18"/>
  <c r="AM991" i="18"/>
  <c r="AM1023" i="18"/>
  <c r="AM807" i="18"/>
  <c r="AM1045" i="18"/>
  <c r="AM930" i="18"/>
  <c r="AM1080" i="18"/>
  <c r="AM851" i="18"/>
  <c r="AM840" i="18"/>
  <c r="AM781" i="18"/>
  <c r="AM896" i="18"/>
  <c r="AM834" i="18"/>
  <c r="AM839" i="18"/>
  <c r="AM969" i="18"/>
  <c r="AM825" i="18"/>
  <c r="AM1027" i="18"/>
  <c r="AM1048" i="18"/>
  <c r="AM867" i="18"/>
  <c r="AM887" i="18"/>
  <c r="AM890" i="18"/>
  <c r="AM1047" i="18"/>
  <c r="AM954" i="18"/>
  <c r="AM1086" i="18"/>
  <c r="AM880" i="18"/>
  <c r="AM994" i="18"/>
  <c r="AM1077" i="18"/>
  <c r="AM875" i="18"/>
  <c r="AD99" i="5"/>
  <c r="AG99" i="5" s="1"/>
  <c r="AK97" i="5"/>
  <c r="AN108" i="5" s="1"/>
  <c r="AI97" i="5"/>
  <c r="AN106" i="5" s="1"/>
  <c r="AJ97" i="5"/>
  <c r="AN107" i="5" s="1"/>
  <c r="AN6" i="5" s="1"/>
  <c r="AC99" i="5"/>
  <c r="AF99" i="5" s="1"/>
  <c r="AO97" i="5"/>
  <c r="AN111" i="5" s="1"/>
  <c r="AN97" i="5"/>
  <c r="AN110" i="5" s="1"/>
  <c r="AM97" i="5"/>
  <c r="AN109" i="5" s="1"/>
  <c r="H273" i="26" l="1"/>
  <c r="I272" i="26"/>
  <c r="I249" i="26"/>
  <c r="L249" i="26"/>
  <c r="O249" i="26"/>
  <c r="H250" i="26"/>
  <c r="K250" i="26"/>
  <c r="N250" i="26"/>
  <c r="E250" i="26"/>
  <c r="F249" i="26"/>
  <c r="AQ24" i="5"/>
  <c r="AP25" i="5"/>
  <c r="AN11" i="5" a="1"/>
  <c r="AN11" i="5" s="1"/>
  <c r="AM9" i="5"/>
  <c r="AM10" i="5" s="1"/>
  <c r="AM32" i="5" s="1"/>
  <c r="AF4" i="18"/>
  <c r="AF44" i="18" s="1"/>
  <c r="AE401" i="18"/>
  <c r="AE754" i="18"/>
  <c r="AE47" i="18"/>
  <c r="AK58" i="18"/>
  <c r="AK90" i="18"/>
  <c r="AK122" i="18"/>
  <c r="AK154" i="18"/>
  <c r="AK186" i="18"/>
  <c r="AK65" i="18"/>
  <c r="AK151" i="18"/>
  <c r="AK77" i="18"/>
  <c r="AK163" i="18"/>
  <c r="AK225" i="18"/>
  <c r="AK257" i="18"/>
  <c r="AK80" i="18"/>
  <c r="AK165" i="18"/>
  <c r="AK226" i="18"/>
  <c r="AK258" i="18"/>
  <c r="AK81" i="18"/>
  <c r="AK135" i="18"/>
  <c r="AK276" i="18"/>
  <c r="AK215" i="18"/>
  <c r="AK293" i="18"/>
  <c r="AK325" i="18"/>
  <c r="AK357" i="18"/>
  <c r="AK389" i="18"/>
  <c r="AK147" i="18"/>
  <c r="AK251" i="18"/>
  <c r="AK169" i="18"/>
  <c r="AK282" i="18"/>
  <c r="AK314" i="18"/>
  <c r="AK346" i="18"/>
  <c r="AK378" i="18"/>
  <c r="AK104" i="18"/>
  <c r="AK232" i="18"/>
  <c r="AK244" i="18"/>
  <c r="AK75" i="18"/>
  <c r="AK319" i="18"/>
  <c r="AK411" i="18"/>
  <c r="AK443" i="18"/>
  <c r="AK475" i="18"/>
  <c r="AK507" i="18"/>
  <c r="AK344" i="18"/>
  <c r="AK287" i="18"/>
  <c r="AK380" i="18"/>
  <c r="AK436" i="18"/>
  <c r="AK468" i="18"/>
  <c r="AK500" i="18"/>
  <c r="AK239" i="18"/>
  <c r="AK73" i="18"/>
  <c r="AK315" i="18"/>
  <c r="AK409" i="18"/>
  <c r="AK414" i="18"/>
  <c r="AK529" i="18"/>
  <c r="AK490" i="18"/>
  <c r="AK552" i="18"/>
  <c r="AK64" i="18"/>
  <c r="AK433" i="18"/>
  <c r="AK434" i="18"/>
  <c r="AK562" i="18"/>
  <c r="AK606" i="18"/>
  <c r="AK638" i="18"/>
  <c r="AK493" i="18"/>
  <c r="AK574" i="18"/>
  <c r="AK547" i="18"/>
  <c r="AK603" i="18"/>
  <c r="AK635" i="18"/>
  <c r="AK667" i="18"/>
  <c r="AK527" i="18"/>
  <c r="AK512" i="18"/>
  <c r="AK592" i="18"/>
  <c r="AK624" i="18"/>
  <c r="AK656" i="18"/>
  <c r="AK688" i="18"/>
  <c r="AK720" i="18"/>
  <c r="AK752" i="18"/>
  <c r="AK541" i="18"/>
  <c r="AK498" i="18"/>
  <c r="AK559" i="18"/>
  <c r="AK674" i="18"/>
  <c r="AK670" i="18"/>
  <c r="AK533" i="18"/>
  <c r="AK677" i="18"/>
  <c r="AK571" i="18"/>
  <c r="AK734" i="18"/>
  <c r="AK683" i="18"/>
  <c r="AK553" i="18"/>
  <c r="AK737" i="18"/>
  <c r="AK641" i="18"/>
  <c r="AK741" i="18"/>
  <c r="AK718" i="18"/>
  <c r="AK62" i="18"/>
  <c r="AK94" i="18"/>
  <c r="AK126" i="18"/>
  <c r="AK158" i="18"/>
  <c r="AK190" i="18"/>
  <c r="AK76" i="18"/>
  <c r="AK161" i="18"/>
  <c r="AK88" i="18"/>
  <c r="AK173" i="18"/>
  <c r="AK229" i="18"/>
  <c r="AK261" i="18"/>
  <c r="AK91" i="18"/>
  <c r="AK176" i="18"/>
  <c r="AK230" i="18"/>
  <c r="AK262" i="18"/>
  <c r="AK92" i="18"/>
  <c r="AK148" i="18"/>
  <c r="AK52" i="18"/>
  <c r="AK220" i="18"/>
  <c r="AK297" i="18"/>
  <c r="AK329" i="18"/>
  <c r="AK361" i="18"/>
  <c r="AK393" i="18"/>
  <c r="AK160" i="18"/>
  <c r="AK256" i="18"/>
  <c r="AK175" i="18"/>
  <c r="AK286" i="18"/>
  <c r="AK318" i="18"/>
  <c r="AK350" i="18"/>
  <c r="AK382" i="18"/>
  <c r="AK121" i="18"/>
  <c r="AK259" i="18"/>
  <c r="AK288" i="18"/>
  <c r="AK95" i="18"/>
  <c r="AK327" i="18"/>
  <c r="AK415" i="18"/>
  <c r="AK447" i="18"/>
  <c r="AK479" i="18"/>
  <c r="AK117" i="18"/>
  <c r="AK371" i="18"/>
  <c r="AK308" i="18"/>
  <c r="AK408" i="18"/>
  <c r="AK440" i="18"/>
  <c r="AK472" i="18"/>
  <c r="AK504" i="18"/>
  <c r="AK283" i="18"/>
  <c r="AK127" i="18"/>
  <c r="AK323" i="18"/>
  <c r="AK413" i="18"/>
  <c r="AK425" i="18"/>
  <c r="AK534" i="18"/>
  <c r="AK501" i="18"/>
  <c r="AK556" i="18"/>
  <c r="AK84" i="18"/>
  <c r="AK454" i="18"/>
  <c r="AK441" i="18"/>
  <c r="AK573" i="18"/>
  <c r="AK610" i="18"/>
  <c r="AK642" i="18"/>
  <c r="AK513" i="18"/>
  <c r="AK406" i="18"/>
  <c r="AK565" i="18"/>
  <c r="AK607" i="18"/>
  <c r="AK639" i="18"/>
  <c r="AK671" i="18"/>
  <c r="AK545" i="18"/>
  <c r="AK524" i="18"/>
  <c r="AK596" i="18"/>
  <c r="AK628" i="18"/>
  <c r="AK660" i="18"/>
  <c r="AK692" i="18"/>
  <c r="AK724" i="18"/>
  <c r="AK392" i="18"/>
  <c r="AK557" i="18"/>
  <c r="AK505" i="18"/>
  <c r="AK570" i="18"/>
  <c r="AK685" i="18"/>
  <c r="AK689" i="18"/>
  <c r="AK539" i="18"/>
  <c r="AK693" i="18"/>
  <c r="AK662" i="18"/>
  <c r="AK743" i="18"/>
  <c r="AK701" i="18"/>
  <c r="AK561" i="18"/>
  <c r="AK742" i="18"/>
  <c r="AK650" i="18"/>
  <c r="AK746" i="18"/>
  <c r="AK678" i="18"/>
  <c r="AK66" i="18"/>
  <c r="AK98" i="18"/>
  <c r="AK130" i="18"/>
  <c r="AK162" i="18"/>
  <c r="AK194" i="18"/>
  <c r="AK87" i="18"/>
  <c r="AK172" i="18"/>
  <c r="AK99" i="18"/>
  <c r="AK184" i="18"/>
  <c r="AK233" i="18"/>
  <c r="AK265" i="18"/>
  <c r="AK101" i="18"/>
  <c r="AK187" i="18"/>
  <c r="AK234" i="18"/>
  <c r="AK266" i="18"/>
  <c r="AK103" i="18"/>
  <c r="AK189" i="18"/>
  <c r="AK63" i="18"/>
  <c r="AK247" i="18"/>
  <c r="AK301" i="18"/>
  <c r="AK333" i="18"/>
  <c r="AK365" i="18"/>
  <c r="AK397" i="18"/>
  <c r="AK185" i="18"/>
  <c r="AK89" i="18"/>
  <c r="AK191" i="18"/>
  <c r="AK290" i="18"/>
  <c r="AK322" i="18"/>
  <c r="AK354" i="18"/>
  <c r="AK386" i="18"/>
  <c r="AK124" i="18"/>
  <c r="AK264" i="18"/>
  <c r="AK299" i="18"/>
  <c r="AK168" i="18"/>
  <c r="AK335" i="18"/>
  <c r="AK419" i="18"/>
  <c r="AK451" i="18"/>
  <c r="AK483" i="18"/>
  <c r="AK164" i="18"/>
  <c r="AK376" i="18"/>
  <c r="AK316" i="18"/>
  <c r="AK412" i="18"/>
  <c r="AK444" i="18"/>
  <c r="AK476" i="18"/>
  <c r="AK508" i="18"/>
  <c r="AK304" i="18"/>
  <c r="AK209" i="18"/>
  <c r="AK331" i="18"/>
  <c r="AK417" i="18"/>
  <c r="AK446" i="18"/>
  <c r="AK240" i="18"/>
  <c r="AK517" i="18"/>
  <c r="AK560" i="18"/>
  <c r="AK268" i="18"/>
  <c r="AK465" i="18"/>
  <c r="AK482" i="18"/>
  <c r="AK582" i="18"/>
  <c r="AK614" i="18"/>
  <c r="AK646" i="18"/>
  <c r="AK518" i="18"/>
  <c r="AK442" i="18"/>
  <c r="AK575" i="18"/>
  <c r="AK611" i="18"/>
  <c r="AK643" i="18"/>
  <c r="AK675" i="18"/>
  <c r="AK566" i="18"/>
  <c r="AK542" i="18"/>
  <c r="AK600" i="18"/>
  <c r="AK632" i="18"/>
  <c r="AK664" i="18"/>
  <c r="AK696" i="18"/>
  <c r="AK728" i="18"/>
  <c r="AK450" i="18"/>
  <c r="AK558" i="18"/>
  <c r="AK514" i="18"/>
  <c r="AK581" i="18"/>
  <c r="AK690" i="18"/>
  <c r="AK694" i="18"/>
  <c r="AK585" i="18"/>
  <c r="AK698" i="18"/>
  <c r="AK673" i="18"/>
  <c r="AK589" i="18"/>
  <c r="AK706" i="18"/>
  <c r="AK654" i="18"/>
  <c r="AK751" i="18"/>
  <c r="AK661" i="18"/>
  <c r="AK713" i="18"/>
  <c r="AK750" i="18"/>
  <c r="AK78" i="18"/>
  <c r="AK174" i="18"/>
  <c r="AK119" i="18"/>
  <c r="AK131" i="18"/>
  <c r="AK48" i="18"/>
  <c r="AK214" i="18"/>
  <c r="AK83" i="18"/>
  <c r="AK157" i="18"/>
  <c r="AK345" i="18"/>
  <c r="AK207" i="18"/>
  <c r="AK255" i="18"/>
  <c r="AK366" i="18"/>
  <c r="AK159" i="18"/>
  <c r="AK368" i="18"/>
  <c r="AK431" i="18"/>
  <c r="AK291" i="18"/>
  <c r="AK424" i="18"/>
  <c r="AK177" i="18"/>
  <c r="AK279" i="18"/>
  <c r="AK328" i="18"/>
  <c r="AK437" i="18"/>
  <c r="AK364" i="18"/>
  <c r="AK594" i="18"/>
  <c r="AK355" i="18"/>
  <c r="AK591" i="18"/>
  <c r="AK655" i="18"/>
  <c r="AK578" i="18"/>
  <c r="AK676" i="18"/>
  <c r="AK494" i="18"/>
  <c r="AK502" i="18"/>
  <c r="AK726" i="18"/>
  <c r="AK702" i="18"/>
  <c r="AK705" i="18"/>
  <c r="AK657" i="18"/>
  <c r="AK70" i="18"/>
  <c r="AK102" i="18"/>
  <c r="AK134" i="18"/>
  <c r="AK166" i="18"/>
  <c r="AK198" i="18"/>
  <c r="AK97" i="18"/>
  <c r="AK183" i="18"/>
  <c r="AK109" i="18"/>
  <c r="AK195" i="18"/>
  <c r="AK237" i="18"/>
  <c r="AK269" i="18"/>
  <c r="AK112" i="18"/>
  <c r="AK197" i="18"/>
  <c r="AK238" i="18"/>
  <c r="AK270" i="18"/>
  <c r="AK61" i="18"/>
  <c r="AK211" i="18"/>
  <c r="AK105" i="18"/>
  <c r="AK252" i="18"/>
  <c r="AK305" i="18"/>
  <c r="AK337" i="18"/>
  <c r="AK369" i="18"/>
  <c r="AK404" i="18"/>
  <c r="AK188" i="18"/>
  <c r="AK100" i="18"/>
  <c r="AK223" i="18"/>
  <c r="AK294" i="18"/>
  <c r="AK326" i="18"/>
  <c r="AK358" i="18"/>
  <c r="AK390" i="18"/>
  <c r="AK137" i="18"/>
  <c r="AK79" i="18"/>
  <c r="AK336" i="18"/>
  <c r="AK199" i="18"/>
  <c r="AK340" i="18"/>
  <c r="AK423" i="18"/>
  <c r="AK455" i="18"/>
  <c r="AK487" i="18"/>
  <c r="AK235" i="18"/>
  <c r="AK145" i="18"/>
  <c r="AK324" i="18"/>
  <c r="AK416" i="18"/>
  <c r="AK448" i="18"/>
  <c r="AK480" i="18"/>
  <c r="AK57" i="18"/>
  <c r="AK347" i="18"/>
  <c r="AK212" i="18"/>
  <c r="AK351" i="18"/>
  <c r="AK139" i="18"/>
  <c r="AK457" i="18"/>
  <c r="AK296" i="18"/>
  <c r="AK522" i="18"/>
  <c r="AK564" i="18"/>
  <c r="AK320" i="18"/>
  <c r="AK486" i="18"/>
  <c r="AK506" i="18"/>
  <c r="AK586" i="18"/>
  <c r="AK618" i="18"/>
  <c r="AK292" i="18"/>
  <c r="AK525" i="18"/>
  <c r="AK449" i="18"/>
  <c r="AK583" i="18"/>
  <c r="AK615" i="18"/>
  <c r="AK647" i="18"/>
  <c r="AK429" i="18"/>
  <c r="AK577" i="18"/>
  <c r="AK543" i="18"/>
  <c r="AK604" i="18"/>
  <c r="AK636" i="18"/>
  <c r="AK668" i="18"/>
  <c r="AK700" i="18"/>
  <c r="AK732" i="18"/>
  <c r="AK474" i="18"/>
  <c r="AK569" i="18"/>
  <c r="AK521" i="18"/>
  <c r="AK597" i="18"/>
  <c r="AK699" i="18"/>
  <c r="AK703" i="18"/>
  <c r="AK601" i="18"/>
  <c r="AK707" i="18"/>
  <c r="AK679" i="18"/>
  <c r="AK605" i="18"/>
  <c r="AK715" i="18"/>
  <c r="AK665" i="18"/>
  <c r="AK516" i="18"/>
  <c r="AK682" i="18"/>
  <c r="AK745" i="18"/>
  <c r="AK681" i="18"/>
  <c r="AK142" i="18"/>
  <c r="AK213" i="18"/>
  <c r="AK246" i="18"/>
  <c r="AK281" i="18"/>
  <c r="AK377" i="18"/>
  <c r="AK302" i="18"/>
  <c r="AK398" i="18"/>
  <c r="AK272" i="18"/>
  <c r="AK463" i="18"/>
  <c r="AK180" i="18"/>
  <c r="AK488" i="18"/>
  <c r="AK383" i="18"/>
  <c r="AK540" i="18"/>
  <c r="AK303" i="18"/>
  <c r="AK537" i="18"/>
  <c r="AK466" i="18"/>
  <c r="AK612" i="18"/>
  <c r="AK740" i="18"/>
  <c r="AK629" i="18"/>
  <c r="AK633" i="18"/>
  <c r="AK637" i="18"/>
  <c r="AK593" i="18"/>
  <c r="AK54" i="18"/>
  <c r="AK182" i="18"/>
  <c r="AK152" i="18"/>
  <c r="AK69" i="18"/>
  <c r="AK71" i="18"/>
  <c r="AK192" i="18"/>
  <c r="AK385" i="18"/>
  <c r="AK310" i="18"/>
  <c r="AK231" i="18"/>
  <c r="AK471" i="18"/>
  <c r="AK432" i="18"/>
  <c r="AK53" i="18"/>
  <c r="AK520" i="18"/>
  <c r="AK580" i="18"/>
  <c r="AK551" i="18"/>
  <c r="AK445" i="18"/>
  <c r="AK631" i="18"/>
  <c r="AK588" i="18"/>
  <c r="AK716" i="18"/>
  <c r="AK485" i="18"/>
  <c r="AK749" i="18"/>
  <c r="AK729" i="18"/>
  <c r="AK719" i="18"/>
  <c r="AK723" i="18"/>
  <c r="AK727" i="18"/>
  <c r="AK74" i="18"/>
  <c r="AK106" i="18"/>
  <c r="AK138" i="18"/>
  <c r="AK170" i="18"/>
  <c r="AK202" i="18"/>
  <c r="AK108" i="18"/>
  <c r="AK193" i="18"/>
  <c r="AK120" i="18"/>
  <c r="AK205" i="18"/>
  <c r="AK241" i="18"/>
  <c r="AK273" i="18"/>
  <c r="AK123" i="18"/>
  <c r="AK208" i="18"/>
  <c r="AK242" i="18"/>
  <c r="AK274" i="18"/>
  <c r="AK72" i="18"/>
  <c r="AK216" i="18"/>
  <c r="AK116" i="18"/>
  <c r="AK277" i="18"/>
  <c r="AK309" i="18"/>
  <c r="AK341" i="18"/>
  <c r="AK373" i="18"/>
  <c r="AK85" i="18"/>
  <c r="AK201" i="18"/>
  <c r="AK115" i="18"/>
  <c r="AK228" i="18"/>
  <c r="AK298" i="18"/>
  <c r="AK330" i="18"/>
  <c r="AK362" i="18"/>
  <c r="AK394" i="18"/>
  <c r="AK143" i="18"/>
  <c r="AK136" i="18"/>
  <c r="AK363" i="18"/>
  <c r="AK203" i="18"/>
  <c r="AK367" i="18"/>
  <c r="AK427" i="18"/>
  <c r="AK459" i="18"/>
  <c r="AK491" i="18"/>
  <c r="AK280" i="18"/>
  <c r="AK149" i="18"/>
  <c r="AK332" i="18"/>
  <c r="AK420" i="18"/>
  <c r="AK452" i="18"/>
  <c r="AK484" i="18"/>
  <c r="AK111" i="18"/>
  <c r="AK352" i="18"/>
  <c r="AK267" i="18"/>
  <c r="AK356" i="18"/>
  <c r="AK271" i="18"/>
  <c r="AK478" i="18"/>
  <c r="AK426" i="18"/>
  <c r="AK531" i="18"/>
  <c r="AK568" i="18"/>
  <c r="AK359" i="18"/>
  <c r="AK497" i="18"/>
  <c r="AK523" i="18"/>
  <c r="AK590" i="18"/>
  <c r="AK622" i="18"/>
  <c r="AK307" i="18"/>
  <c r="AK530" i="18"/>
  <c r="AK462" i="18"/>
  <c r="AK587" i="18"/>
  <c r="AK619" i="18"/>
  <c r="AK651" i="18"/>
  <c r="AK453" i="18"/>
  <c r="AK68" i="18"/>
  <c r="AK567" i="18"/>
  <c r="AK608" i="18"/>
  <c r="AK640" i="18"/>
  <c r="AK672" i="18"/>
  <c r="AK704" i="18"/>
  <c r="AK736" i="18"/>
  <c r="AK481" i="18"/>
  <c r="AK579" i="18"/>
  <c r="AK526" i="18"/>
  <c r="AK613" i="18"/>
  <c r="AK717" i="18"/>
  <c r="AK721" i="18"/>
  <c r="AK617" i="18"/>
  <c r="AK725" i="18"/>
  <c r="AK697" i="18"/>
  <c r="AK621" i="18"/>
  <c r="AK733" i="18"/>
  <c r="AK687" i="18"/>
  <c r="AK554" i="18"/>
  <c r="AK691" i="18"/>
  <c r="AK695" i="18"/>
  <c r="AK110" i="18"/>
  <c r="AK206" i="18"/>
  <c r="AK204" i="18"/>
  <c r="AK245" i="18"/>
  <c r="AK133" i="18"/>
  <c r="AK49" i="18"/>
  <c r="AK243" i="18"/>
  <c r="AK313" i="18"/>
  <c r="AK96" i="18"/>
  <c r="AK128" i="18"/>
  <c r="AK334" i="18"/>
  <c r="AK167" i="18"/>
  <c r="AK372" i="18"/>
  <c r="AK495" i="18"/>
  <c r="AK343" i="18"/>
  <c r="AK456" i="18"/>
  <c r="AK379" i="18"/>
  <c r="AK489" i="18"/>
  <c r="AK572" i="18"/>
  <c r="AK535" i="18"/>
  <c r="AK626" i="18"/>
  <c r="AK515" i="18"/>
  <c r="AK623" i="18"/>
  <c r="AK418" i="18"/>
  <c r="AK644" i="18"/>
  <c r="AK708" i="18"/>
  <c r="AK360" i="18"/>
  <c r="AK722" i="18"/>
  <c r="AK730" i="18"/>
  <c r="AK738" i="18"/>
  <c r="AK709" i="18"/>
  <c r="AK86" i="18"/>
  <c r="AK118" i="18"/>
  <c r="AK150" i="18"/>
  <c r="AK140" i="18"/>
  <c r="AK67" i="18"/>
  <c r="AK221" i="18"/>
  <c r="AK253" i="18"/>
  <c r="AK155" i="18"/>
  <c r="AK254" i="18"/>
  <c r="AK132" i="18"/>
  <c r="AK275" i="18"/>
  <c r="AK321" i="18"/>
  <c r="AK353" i="18"/>
  <c r="AK125" i="18"/>
  <c r="AK224" i="18"/>
  <c r="AK278" i="18"/>
  <c r="AK342" i="18"/>
  <c r="AK374" i="18"/>
  <c r="AK227" i="18"/>
  <c r="AK403" i="18"/>
  <c r="AK295" i="18"/>
  <c r="AK439" i="18"/>
  <c r="AK503" i="18"/>
  <c r="AK339" i="18"/>
  <c r="AK375" i="18"/>
  <c r="AK464" i="18"/>
  <c r="AK236" i="18"/>
  <c r="AK311" i="18"/>
  <c r="AK396" i="18"/>
  <c r="AK469" i="18"/>
  <c r="AK422" i="18"/>
  <c r="AK421" i="18"/>
  <c r="AK634" i="18"/>
  <c r="AK563" i="18"/>
  <c r="AK599" i="18"/>
  <c r="AK663" i="18"/>
  <c r="AK477" i="18"/>
  <c r="AK620" i="18"/>
  <c r="AK652" i="18"/>
  <c r="AK748" i="18"/>
  <c r="AK536" i="18"/>
  <c r="AK653" i="18"/>
  <c r="AK509" i="18"/>
  <c r="AK430" i="18"/>
  <c r="AK669" i="18"/>
  <c r="AK50" i="18"/>
  <c r="AK82" i="18"/>
  <c r="AK114" i="18"/>
  <c r="AK146" i="18"/>
  <c r="AK178" i="18"/>
  <c r="AK210" i="18"/>
  <c r="AK129" i="18"/>
  <c r="AK56" i="18"/>
  <c r="AK141" i="18"/>
  <c r="AK217" i="18"/>
  <c r="AK249" i="18"/>
  <c r="AK59" i="18"/>
  <c r="AK144" i="18"/>
  <c r="AK218" i="18"/>
  <c r="AK250" i="18"/>
  <c r="AK60" i="18"/>
  <c r="AK113" i="18"/>
  <c r="AK248" i="18"/>
  <c r="AK179" i="18"/>
  <c r="AK285" i="18"/>
  <c r="AK317" i="18"/>
  <c r="AK349" i="18"/>
  <c r="AK381" i="18"/>
  <c r="AK107" i="18"/>
  <c r="AK219" i="18"/>
  <c r="AK153" i="18"/>
  <c r="AK260" i="18"/>
  <c r="AK306" i="18"/>
  <c r="AK338" i="18"/>
  <c r="AK370" i="18"/>
  <c r="AK51" i="18"/>
  <c r="AK200" i="18"/>
  <c r="AK171" i="18"/>
  <c r="AK395" i="18"/>
  <c r="AK284" i="18"/>
  <c r="AK402" i="18"/>
  <c r="AK435" i="18"/>
  <c r="AK467" i="18"/>
  <c r="AK499" i="18"/>
  <c r="AK312" i="18"/>
  <c r="AK196" i="18"/>
  <c r="AK348" i="18"/>
  <c r="AK428" i="18"/>
  <c r="AK460" i="18"/>
  <c r="AK492" i="18"/>
  <c r="AK181" i="18"/>
  <c r="AK384" i="18"/>
  <c r="AK300" i="18"/>
  <c r="AK388" i="18"/>
  <c r="AK391" i="18"/>
  <c r="AK511" i="18"/>
  <c r="AK458" i="18"/>
  <c r="AK544" i="18"/>
  <c r="AK576" i="18"/>
  <c r="AK410" i="18"/>
  <c r="AK387" i="18"/>
  <c r="AK550" i="18"/>
  <c r="AK598" i="18"/>
  <c r="AK630" i="18"/>
  <c r="AK438" i="18"/>
  <c r="AK549" i="18"/>
  <c r="AK532" i="18"/>
  <c r="AK595" i="18"/>
  <c r="AK627" i="18"/>
  <c r="AK659" i="18"/>
  <c r="AK473" i="18"/>
  <c r="AK470" i="18"/>
  <c r="AK584" i="18"/>
  <c r="AK616" i="18"/>
  <c r="AK648" i="18"/>
  <c r="AK680" i="18"/>
  <c r="AK712" i="18"/>
  <c r="AK744" i="18"/>
  <c r="AK519" i="18"/>
  <c r="AK461" i="18"/>
  <c r="AK538" i="18"/>
  <c r="AK645" i="18"/>
  <c r="AK731" i="18"/>
  <c r="AK735" i="18"/>
  <c r="AK649" i="18"/>
  <c r="AK739" i="18"/>
  <c r="AK711" i="18"/>
  <c r="AK658" i="18"/>
  <c r="AK747" i="18"/>
  <c r="AK710" i="18"/>
  <c r="AK609" i="18"/>
  <c r="AK714" i="18"/>
  <c r="AK686" i="18"/>
  <c r="AK55" i="18"/>
  <c r="AK222" i="18"/>
  <c r="AK289" i="18"/>
  <c r="AK156" i="18"/>
  <c r="AK93" i="18"/>
  <c r="AK407" i="18"/>
  <c r="AK263" i="18"/>
  <c r="AK496" i="18"/>
  <c r="AK405" i="18"/>
  <c r="AK548" i="18"/>
  <c r="AK602" i="18"/>
  <c r="AK546" i="18"/>
  <c r="AK510" i="18"/>
  <c r="AK684" i="18"/>
  <c r="AK555" i="18"/>
  <c r="AK666" i="18"/>
  <c r="AK528" i="18"/>
  <c r="AK625" i="18"/>
  <c r="AI98" i="5"/>
  <c r="AO106" i="5" s="1"/>
  <c r="AK98" i="5"/>
  <c r="AO108" i="5" s="1"/>
  <c r="AJ98" i="5"/>
  <c r="AO107" i="5" s="1"/>
  <c r="AO6" i="5" s="1"/>
  <c r="AC100" i="5"/>
  <c r="AF100" i="5" s="1"/>
  <c r="AO98" i="5"/>
  <c r="AO111" i="5" s="1"/>
  <c r="AM98" i="5"/>
  <c r="AO109" i="5" s="1"/>
  <c r="AN98" i="5"/>
  <c r="AO110" i="5" s="1"/>
  <c r="AD100" i="5"/>
  <c r="AG100" i="5" s="1"/>
  <c r="I273" i="26" l="1"/>
  <c r="K251" i="26"/>
  <c r="H251" i="26"/>
  <c r="O250" i="26"/>
  <c r="L250" i="26"/>
  <c r="I250" i="26"/>
  <c r="N251" i="26"/>
  <c r="E251" i="26"/>
  <c r="F250" i="26"/>
  <c r="AR24" i="5"/>
  <c r="AQ25" i="5"/>
  <c r="AO11" i="5" a="1"/>
  <c r="AO11" i="5" s="1"/>
  <c r="AN9" i="5"/>
  <c r="AN10" i="5" s="1"/>
  <c r="AN32" i="5" s="1"/>
  <c r="AL96" i="18"/>
  <c r="AL160" i="18"/>
  <c r="AL220" i="18"/>
  <c r="AL252" i="18"/>
  <c r="AL66" i="18"/>
  <c r="AL130" i="18"/>
  <c r="AL194" i="18"/>
  <c r="AL100" i="18"/>
  <c r="AL164" i="18"/>
  <c r="AL69" i="18"/>
  <c r="AL92" i="18"/>
  <c r="AL205" i="18"/>
  <c r="AL280" i="18"/>
  <c r="AL312" i="18"/>
  <c r="AL344" i="18"/>
  <c r="AL376" i="18"/>
  <c r="AL72" i="18"/>
  <c r="AL176" i="18"/>
  <c r="AL261" i="18"/>
  <c r="AL116" i="18"/>
  <c r="AL215" i="18"/>
  <c r="AL285" i="18"/>
  <c r="AL317" i="18"/>
  <c r="AL109" i="18"/>
  <c r="AL210" i="18"/>
  <c r="AL60" i="18"/>
  <c r="AL197" i="18"/>
  <c r="AL282" i="18"/>
  <c r="AL314" i="18"/>
  <c r="AL322" i="18"/>
  <c r="AL406" i="18"/>
  <c r="AL438" i="18"/>
  <c r="AL470" i="18"/>
  <c r="AL502" i="18"/>
  <c r="AL534" i="18"/>
  <c r="AL349" i="18"/>
  <c r="AL137" i="18"/>
  <c r="AL319" i="18"/>
  <c r="AL402" i="18"/>
  <c r="AL435" i="18"/>
  <c r="AL467" i="18"/>
  <c r="AL499" i="18"/>
  <c r="AL531" i="18"/>
  <c r="AL249" i="18"/>
  <c r="AL106" i="18"/>
  <c r="AL343" i="18"/>
  <c r="AL420" i="18"/>
  <c r="AL452" i="18"/>
  <c r="AL484" i="18"/>
  <c r="AL516" i="18"/>
  <c r="AL177" i="18"/>
  <c r="AL379" i="18"/>
  <c r="AL355" i="18"/>
  <c r="AL553" i="18"/>
  <c r="AL441" i="18"/>
  <c r="AL337" i="18"/>
  <c r="AL571" i="18"/>
  <c r="AL573" i="18"/>
  <c r="AL610" i="18"/>
  <c r="AL642" i="18"/>
  <c r="AL674" i="18"/>
  <c r="AL706" i="18"/>
  <c r="AL738" i="18"/>
  <c r="AL537" i="18"/>
  <c r="AL449" i="18"/>
  <c r="AL587" i="18"/>
  <c r="AL619" i="18"/>
  <c r="AL651" i="18"/>
  <c r="AL311" i="18"/>
  <c r="AL544" i="18"/>
  <c r="AL477" i="18"/>
  <c r="AL592" i="18"/>
  <c r="AL624" i="18"/>
  <c r="AL656" i="18"/>
  <c r="AL688" i="18"/>
  <c r="AL720" i="18"/>
  <c r="AL752" i="18"/>
  <c r="AL681" i="18"/>
  <c r="AL559" i="18"/>
  <c r="AL685" i="18"/>
  <c r="AL721" i="18"/>
  <c r="AL601" i="18"/>
  <c r="AL739" i="18"/>
  <c r="AL743" i="18"/>
  <c r="AL683" i="18"/>
  <c r="AL580" i="18"/>
  <c r="AL609" i="18"/>
  <c r="AL107" i="18"/>
  <c r="AL171" i="18"/>
  <c r="AL224" i="18"/>
  <c r="AL256" i="18"/>
  <c r="AL76" i="18"/>
  <c r="AL140" i="18"/>
  <c r="AL204" i="18"/>
  <c r="AL111" i="18"/>
  <c r="AL175" i="18"/>
  <c r="AL70" i="18"/>
  <c r="AL103" i="18"/>
  <c r="AL208" i="18"/>
  <c r="AL284" i="18"/>
  <c r="AL316" i="18"/>
  <c r="AL348" i="18"/>
  <c r="AL380" i="18"/>
  <c r="AL83" i="18"/>
  <c r="AL189" i="18"/>
  <c r="AL270" i="18"/>
  <c r="AL138" i="18"/>
  <c r="AL233" i="18"/>
  <c r="AL289" i="18"/>
  <c r="AL321" i="18"/>
  <c r="AL112" i="18"/>
  <c r="AL214" i="18"/>
  <c r="AL71" i="18"/>
  <c r="AL218" i="18"/>
  <c r="AL286" i="18"/>
  <c r="AL84" i="18"/>
  <c r="AL330" i="18"/>
  <c r="AL410" i="18"/>
  <c r="AL442" i="18"/>
  <c r="AL474" i="18"/>
  <c r="AL506" i="18"/>
  <c r="AL51" i="18"/>
  <c r="AL358" i="18"/>
  <c r="AL168" i="18"/>
  <c r="AL327" i="18"/>
  <c r="AL407" i="18"/>
  <c r="AL439" i="18"/>
  <c r="AL471" i="18"/>
  <c r="AL503" i="18"/>
  <c r="AL535" i="18"/>
  <c r="AL291" i="18"/>
  <c r="AL146" i="18"/>
  <c r="AL361" i="18"/>
  <c r="AL424" i="18"/>
  <c r="AL456" i="18"/>
  <c r="AL488" i="18"/>
  <c r="AL520" i="18"/>
  <c r="AL226" i="18"/>
  <c r="AL397" i="18"/>
  <c r="AL429" i="18"/>
  <c r="AL557" i="18"/>
  <c r="AL473" i="18"/>
  <c r="AL346" i="18"/>
  <c r="AL572" i="18"/>
  <c r="AL582" i="18"/>
  <c r="AL614" i="18"/>
  <c r="AL646" i="18"/>
  <c r="AL678" i="18"/>
  <c r="AL710" i="18"/>
  <c r="AL742" i="18"/>
  <c r="AL548" i="18"/>
  <c r="AL497" i="18"/>
  <c r="AL591" i="18"/>
  <c r="AL623" i="18"/>
  <c r="AL655" i="18"/>
  <c r="AL323" i="18"/>
  <c r="AL566" i="18"/>
  <c r="AL542" i="18"/>
  <c r="AL596" i="18"/>
  <c r="AL628" i="18"/>
  <c r="AL660" i="18"/>
  <c r="AL692" i="18"/>
  <c r="AL724" i="18"/>
  <c r="AL158" i="18"/>
  <c r="AL695" i="18"/>
  <c r="AL570" i="18"/>
  <c r="AL699" i="18"/>
  <c r="AL735" i="18"/>
  <c r="AL617" i="18"/>
  <c r="AL540" i="18"/>
  <c r="AL209" i="18"/>
  <c r="AL701" i="18"/>
  <c r="AL665" i="18"/>
  <c r="AL641" i="18"/>
  <c r="AL53" i="18"/>
  <c r="AL117" i="18"/>
  <c r="AL181" i="18"/>
  <c r="AL228" i="18"/>
  <c r="AL260" i="18"/>
  <c r="AL87" i="18"/>
  <c r="AL151" i="18"/>
  <c r="AL57" i="18"/>
  <c r="AL121" i="18"/>
  <c r="AL185" i="18"/>
  <c r="AL80" i="18"/>
  <c r="AL110" i="18"/>
  <c r="AL225" i="18"/>
  <c r="AL288" i="18"/>
  <c r="AL320" i="18"/>
  <c r="AL352" i="18"/>
  <c r="AL384" i="18"/>
  <c r="AL94" i="18"/>
  <c r="AL195" i="18"/>
  <c r="AL275" i="18"/>
  <c r="AL141" i="18"/>
  <c r="AL242" i="18"/>
  <c r="AL293" i="18"/>
  <c r="AL325" i="18"/>
  <c r="AL125" i="18"/>
  <c r="AL219" i="18"/>
  <c r="AL82" i="18"/>
  <c r="AL223" i="18"/>
  <c r="AL290" i="18"/>
  <c r="AL104" i="18"/>
  <c r="AL345" i="18"/>
  <c r="AL414" i="18"/>
  <c r="AL446" i="18"/>
  <c r="AL478" i="18"/>
  <c r="AL510" i="18"/>
  <c r="AL99" i="18"/>
  <c r="AL363" i="18"/>
  <c r="AL184" i="18"/>
  <c r="AL335" i="18"/>
  <c r="AL411" i="18"/>
  <c r="AL443" i="18"/>
  <c r="AL475" i="18"/>
  <c r="AL507" i="18"/>
  <c r="AL62" i="18"/>
  <c r="AL339" i="18"/>
  <c r="AL263" i="18"/>
  <c r="AL370" i="18"/>
  <c r="AL428" i="18"/>
  <c r="AL460" i="18"/>
  <c r="AL492" i="18"/>
  <c r="AL524" i="18"/>
  <c r="AL253" i="18"/>
  <c r="AL88" i="18"/>
  <c r="AL461" i="18"/>
  <c r="AL213" i="18"/>
  <c r="AL505" i="18"/>
  <c r="AL378" i="18"/>
  <c r="AL190" i="18"/>
  <c r="AL586" i="18"/>
  <c r="AL618" i="18"/>
  <c r="AL650" i="18"/>
  <c r="AL682" i="18"/>
  <c r="AL714" i="18"/>
  <c r="AL746" i="18"/>
  <c r="AL563" i="18"/>
  <c r="AL546" i="18"/>
  <c r="AL595" i="18"/>
  <c r="AL627" i="18"/>
  <c r="AL659" i="18"/>
  <c r="AL341" i="18"/>
  <c r="AL577" i="18"/>
  <c r="AL543" i="18"/>
  <c r="AL600" i="18"/>
  <c r="AL632" i="18"/>
  <c r="AL664" i="18"/>
  <c r="AL696" i="18"/>
  <c r="AL728" i="18"/>
  <c r="AL206" i="18"/>
  <c r="AL713" i="18"/>
  <c r="AL581" i="18"/>
  <c r="AL717" i="18"/>
  <c r="AL159" i="18"/>
  <c r="AL633" i="18"/>
  <c r="AL579" i="18"/>
  <c r="AL405" i="18"/>
  <c r="AL715" i="18"/>
  <c r="AL687" i="18"/>
  <c r="AL661" i="18"/>
  <c r="AL54" i="18"/>
  <c r="AL118" i="18"/>
  <c r="AL182" i="18"/>
  <c r="AL232" i="18"/>
  <c r="AL264" i="18"/>
  <c r="AL97" i="18"/>
  <c r="AL161" i="18"/>
  <c r="AL58" i="18"/>
  <c r="AL122" i="18"/>
  <c r="AL186" i="18"/>
  <c r="AL91" i="18"/>
  <c r="AL126" i="18"/>
  <c r="AL234" i="18"/>
  <c r="AL292" i="18"/>
  <c r="AL324" i="18"/>
  <c r="AL356" i="18"/>
  <c r="AL388" i="18"/>
  <c r="AL113" i="18"/>
  <c r="AL198" i="18"/>
  <c r="AL276" i="18"/>
  <c r="AL144" i="18"/>
  <c r="AL247" i="18"/>
  <c r="AL297" i="18"/>
  <c r="AL329" i="18"/>
  <c r="AL131" i="18"/>
  <c r="AL237" i="18"/>
  <c r="AL115" i="18"/>
  <c r="AL241" i="18"/>
  <c r="AL294" i="18"/>
  <c r="AL120" i="18"/>
  <c r="AL354" i="18"/>
  <c r="AL418" i="18"/>
  <c r="AL450" i="18"/>
  <c r="AL482" i="18"/>
  <c r="AL514" i="18"/>
  <c r="AL136" i="18"/>
  <c r="AL381" i="18"/>
  <c r="AL199" i="18"/>
  <c r="AL353" i="18"/>
  <c r="AL415" i="18"/>
  <c r="AL447" i="18"/>
  <c r="AL479" i="18"/>
  <c r="AL511" i="18"/>
  <c r="AL114" i="18"/>
  <c r="AL357" i="18"/>
  <c r="AL287" i="18"/>
  <c r="AL375" i="18"/>
  <c r="AL432" i="18"/>
  <c r="AL464" i="18"/>
  <c r="AL496" i="18"/>
  <c r="AL528" i="18"/>
  <c r="AL283" i="18"/>
  <c r="AL124" i="18"/>
  <c r="AL493" i="18"/>
  <c r="AL254" i="18"/>
  <c r="AL513" i="18"/>
  <c r="AL465" i="18"/>
  <c r="AL387" i="18"/>
  <c r="AL590" i="18"/>
  <c r="AL622" i="18"/>
  <c r="AL654" i="18"/>
  <c r="AL686" i="18"/>
  <c r="AL718" i="18"/>
  <c r="AL750" i="18"/>
  <c r="AL564" i="18"/>
  <c r="AL547" i="18"/>
  <c r="AL599" i="18"/>
  <c r="AL631" i="18"/>
  <c r="AL663" i="18"/>
  <c r="AL373" i="18"/>
  <c r="AL73" i="18"/>
  <c r="AL567" i="18"/>
  <c r="AL604" i="18"/>
  <c r="AL636" i="18"/>
  <c r="AL668" i="18"/>
  <c r="AL700" i="18"/>
  <c r="AL732" i="18"/>
  <c r="AL315" i="18"/>
  <c r="AL727" i="18"/>
  <c r="AL597" i="18"/>
  <c r="AL731" i="18"/>
  <c r="AL485" i="18"/>
  <c r="AL649" i="18"/>
  <c r="AL673" i="18"/>
  <c r="AL589" i="18"/>
  <c r="AL733" i="18"/>
  <c r="AL705" i="18"/>
  <c r="AL709" i="18"/>
  <c r="AL64" i="18"/>
  <c r="AL128" i="18"/>
  <c r="AL192" i="18"/>
  <c r="AL236" i="18"/>
  <c r="AL268" i="18"/>
  <c r="AL98" i="18"/>
  <c r="AL162" i="18"/>
  <c r="AL68" i="18"/>
  <c r="AL132" i="18"/>
  <c r="AL196" i="18"/>
  <c r="AL101" i="18"/>
  <c r="AL145" i="18"/>
  <c r="AL239" i="18"/>
  <c r="AL296" i="18"/>
  <c r="AL328" i="18"/>
  <c r="AL360" i="18"/>
  <c r="AL392" i="18"/>
  <c r="AL135" i="18"/>
  <c r="AL211" i="18"/>
  <c r="AL52" i="18"/>
  <c r="AL157" i="18"/>
  <c r="AL265" i="18"/>
  <c r="AL301" i="18"/>
  <c r="AL333" i="18"/>
  <c r="AL134" i="18"/>
  <c r="AL246" i="18"/>
  <c r="AL156" i="18"/>
  <c r="AL250" i="18"/>
  <c r="AL298" i="18"/>
  <c r="AL187" i="18"/>
  <c r="AL359" i="18"/>
  <c r="AL422" i="18"/>
  <c r="AL454" i="18"/>
  <c r="AL486" i="18"/>
  <c r="AL518" i="18"/>
  <c r="AL152" i="18"/>
  <c r="AL390" i="18"/>
  <c r="AL221" i="18"/>
  <c r="AL362" i="18"/>
  <c r="AL419" i="18"/>
  <c r="AL451" i="18"/>
  <c r="AL483" i="18"/>
  <c r="AL515" i="18"/>
  <c r="AL165" i="18"/>
  <c r="AL366" i="18"/>
  <c r="AL318" i="18"/>
  <c r="AL393" i="18"/>
  <c r="AL436" i="18"/>
  <c r="AL468" i="18"/>
  <c r="AL500" i="18"/>
  <c r="AL532" i="18"/>
  <c r="AL342" i="18"/>
  <c r="AL155" i="18"/>
  <c r="AL525" i="18"/>
  <c r="AL267" i="18"/>
  <c r="AL227" i="18"/>
  <c r="AL489" i="18"/>
  <c r="AL421" i="18"/>
  <c r="AL594" i="18"/>
  <c r="AL626" i="18"/>
  <c r="AL658" i="18"/>
  <c r="AL690" i="18"/>
  <c r="AL722" i="18"/>
  <c r="AL93" i="18"/>
  <c r="AL574" i="18"/>
  <c r="AL565" i="18"/>
  <c r="AL603" i="18"/>
  <c r="AL635" i="18"/>
  <c r="AL667" i="18"/>
  <c r="AL382" i="18"/>
  <c r="AL351" i="18"/>
  <c r="AL568" i="18"/>
  <c r="AL608" i="18"/>
  <c r="AL640" i="18"/>
  <c r="AL672" i="18"/>
  <c r="AL704" i="18"/>
  <c r="AL736" i="18"/>
  <c r="AL404" i="18"/>
  <c r="AL745" i="18"/>
  <c r="AL613" i="18"/>
  <c r="AL749" i="18"/>
  <c r="AL533" i="18"/>
  <c r="AL677" i="18"/>
  <c r="AL679" i="18"/>
  <c r="AL605" i="18"/>
  <c r="AL747" i="18"/>
  <c r="AL719" i="18"/>
  <c r="AL593" i="18"/>
  <c r="AL75" i="18"/>
  <c r="AL139" i="18"/>
  <c r="AL203" i="18"/>
  <c r="AL240" i="18"/>
  <c r="AL272" i="18"/>
  <c r="AL108" i="18"/>
  <c r="AL172" i="18"/>
  <c r="AL79" i="18"/>
  <c r="AL143" i="18"/>
  <c r="AL207" i="18"/>
  <c r="AL102" i="18"/>
  <c r="AL167" i="18"/>
  <c r="AL257" i="18"/>
  <c r="AL300" i="18"/>
  <c r="AL332" i="18"/>
  <c r="AL364" i="18"/>
  <c r="AL396" i="18"/>
  <c r="AL148" i="18"/>
  <c r="AL229" i="18"/>
  <c r="AL63" i="18"/>
  <c r="AL163" i="18"/>
  <c r="AL274" i="18"/>
  <c r="AL305" i="18"/>
  <c r="AL56" i="18"/>
  <c r="AL147" i="18"/>
  <c r="AL251" i="18"/>
  <c r="AL169" i="18"/>
  <c r="AL255" i="18"/>
  <c r="AL302" i="18"/>
  <c r="AL217" i="18"/>
  <c r="AL377" i="18"/>
  <c r="AL426" i="18"/>
  <c r="AL458" i="18"/>
  <c r="AL490" i="18"/>
  <c r="AL522" i="18"/>
  <c r="AL231" i="18"/>
  <c r="AL395" i="18"/>
  <c r="AL259" i="18"/>
  <c r="AL367" i="18"/>
  <c r="AL423" i="18"/>
  <c r="AL455" i="18"/>
  <c r="AL487" i="18"/>
  <c r="AL519" i="18"/>
  <c r="AL200" i="18"/>
  <c r="AL371" i="18"/>
  <c r="AL326" i="18"/>
  <c r="AL408" i="18"/>
  <c r="AL440" i="18"/>
  <c r="AL472" i="18"/>
  <c r="AL504" i="18"/>
  <c r="AL536" i="18"/>
  <c r="AL347" i="18"/>
  <c r="AL230" i="18"/>
  <c r="AL541" i="18"/>
  <c r="AL279" i="18"/>
  <c r="AL437" i="18"/>
  <c r="AL509" i="18"/>
  <c r="AL550" i="18"/>
  <c r="AL598" i="18"/>
  <c r="AL630" i="18"/>
  <c r="AL662" i="18"/>
  <c r="AL694" i="18"/>
  <c r="AL726" i="18"/>
  <c r="AL417" i="18"/>
  <c r="AL123" i="18"/>
  <c r="AL575" i="18"/>
  <c r="AL607" i="18"/>
  <c r="AL639" i="18"/>
  <c r="AL671" i="18"/>
  <c r="AL453" i="18"/>
  <c r="AL383" i="18"/>
  <c r="AL578" i="18"/>
  <c r="AL612" i="18"/>
  <c r="AL644" i="18"/>
  <c r="AL676" i="18"/>
  <c r="AL708" i="18"/>
  <c r="AL740" i="18"/>
  <c r="AL409" i="18"/>
  <c r="AL521" i="18"/>
  <c r="AL629" i="18"/>
  <c r="AL556" i="18"/>
  <c r="AL539" i="18"/>
  <c r="AL693" i="18"/>
  <c r="AL697" i="18"/>
  <c r="AL621" i="18"/>
  <c r="AL554" i="18"/>
  <c r="AL737" i="18"/>
  <c r="AL741" i="18"/>
  <c r="AL85" i="18"/>
  <c r="AL149" i="18"/>
  <c r="AL212" i="18"/>
  <c r="AL244" i="18"/>
  <c r="AL55" i="18"/>
  <c r="AL119" i="18"/>
  <c r="AL183" i="18"/>
  <c r="AL89" i="18"/>
  <c r="AL153" i="18"/>
  <c r="AL48" i="18"/>
  <c r="AL50" i="18"/>
  <c r="AL180" i="18"/>
  <c r="AL266" i="18"/>
  <c r="AL304" i="18"/>
  <c r="AL336" i="18"/>
  <c r="AL368" i="18"/>
  <c r="AL403" i="18"/>
  <c r="AL170" i="18"/>
  <c r="AL238" i="18"/>
  <c r="AL74" i="18"/>
  <c r="AL166" i="18"/>
  <c r="AL277" i="18"/>
  <c r="AL309" i="18"/>
  <c r="AL67" i="18"/>
  <c r="AL188" i="18"/>
  <c r="AL269" i="18"/>
  <c r="AL178" i="18"/>
  <c r="AL273" i="18"/>
  <c r="AL306" i="18"/>
  <c r="AL258" i="18"/>
  <c r="AL386" i="18"/>
  <c r="AL430" i="18"/>
  <c r="AL462" i="18"/>
  <c r="AL494" i="18"/>
  <c r="AL526" i="18"/>
  <c r="AL245" i="18"/>
  <c r="AL95" i="18"/>
  <c r="AL262" i="18"/>
  <c r="AL385" i="18"/>
  <c r="AL427" i="18"/>
  <c r="AL459" i="18"/>
  <c r="AL491" i="18"/>
  <c r="AL523" i="18"/>
  <c r="AL222" i="18"/>
  <c r="AL389" i="18"/>
  <c r="AL334" i="18"/>
  <c r="AL412" i="18"/>
  <c r="AL444" i="18"/>
  <c r="AL476" i="18"/>
  <c r="AL508" i="18"/>
  <c r="AL77" i="18"/>
  <c r="AL365" i="18"/>
  <c r="AL307" i="18"/>
  <c r="AL545" i="18"/>
  <c r="AL369" i="18"/>
  <c r="AL469" i="18"/>
  <c r="AL552" i="18"/>
  <c r="AL551" i="18"/>
  <c r="AL602" i="18"/>
  <c r="AL634" i="18"/>
  <c r="AL666" i="18"/>
  <c r="AL698" i="18"/>
  <c r="AL730" i="18"/>
  <c r="AL425" i="18"/>
  <c r="AL174" i="18"/>
  <c r="AL576" i="18"/>
  <c r="AL611" i="18"/>
  <c r="AL643" i="18"/>
  <c r="AL675" i="18"/>
  <c r="AL517" i="18"/>
  <c r="AL433" i="18"/>
  <c r="AL584" i="18"/>
  <c r="AL616" i="18"/>
  <c r="AL648" i="18"/>
  <c r="AL680" i="18"/>
  <c r="AL712" i="18"/>
  <c r="AL744" i="18"/>
  <c r="AL481" i="18"/>
  <c r="AL538" i="18"/>
  <c r="AL645" i="18"/>
  <c r="AL689" i="18"/>
  <c r="AL560" i="18"/>
  <c r="AL707" i="18"/>
  <c r="AL711" i="18"/>
  <c r="AL637" i="18"/>
  <c r="AL558" i="18"/>
  <c r="AL751" i="18"/>
  <c r="AL691" i="18"/>
  <c r="AL86" i="18"/>
  <c r="AL216" i="18"/>
  <c r="AL65" i="18"/>
  <c r="AL129" i="18"/>
  <c r="AL90" i="18"/>
  <c r="AL154" i="18"/>
  <c r="AL81" i="18"/>
  <c r="AL202" i="18"/>
  <c r="AL271" i="18"/>
  <c r="AL340" i="18"/>
  <c r="AL372" i="18"/>
  <c r="AL173" i="18"/>
  <c r="AL243" i="18"/>
  <c r="AL179" i="18"/>
  <c r="AL313" i="18"/>
  <c r="AL78" i="18"/>
  <c r="AL49" i="18"/>
  <c r="AL191" i="18"/>
  <c r="AL310" i="18"/>
  <c r="AL303" i="18"/>
  <c r="AL391" i="18"/>
  <c r="AL466" i="18"/>
  <c r="AL498" i="18"/>
  <c r="AL299" i="18"/>
  <c r="AL133" i="18"/>
  <c r="AL295" i="18"/>
  <c r="AL431" i="18"/>
  <c r="AL463" i="18"/>
  <c r="AL495" i="18"/>
  <c r="AL235" i="18"/>
  <c r="AL398" i="18"/>
  <c r="AL338" i="18"/>
  <c r="AL448" i="18"/>
  <c r="AL480" i="18"/>
  <c r="AL142" i="18"/>
  <c r="AL374" i="18"/>
  <c r="AL350" i="18"/>
  <c r="AL413" i="18"/>
  <c r="AL501" i="18"/>
  <c r="AL562" i="18"/>
  <c r="AL606" i="18"/>
  <c r="AL670" i="18"/>
  <c r="AL702" i="18"/>
  <c r="AL445" i="18"/>
  <c r="AL331" i="18"/>
  <c r="AL583" i="18"/>
  <c r="AL647" i="18"/>
  <c r="AL127" i="18"/>
  <c r="AL529" i="18"/>
  <c r="AL588" i="18"/>
  <c r="AL620" i="18"/>
  <c r="AL684" i="18"/>
  <c r="AL716" i="18"/>
  <c r="AL657" i="18"/>
  <c r="AL555" i="18"/>
  <c r="AL703" i="18"/>
  <c r="AL585" i="18"/>
  <c r="AL729" i="18"/>
  <c r="AL669" i="18"/>
  <c r="AL625" i="18"/>
  <c r="AL723" i="18"/>
  <c r="AL150" i="18"/>
  <c r="AL248" i="18"/>
  <c r="AL193" i="18"/>
  <c r="AL59" i="18"/>
  <c r="AL308" i="18"/>
  <c r="AL61" i="18"/>
  <c r="AL105" i="18"/>
  <c r="AL281" i="18"/>
  <c r="AL201" i="18"/>
  <c r="AL278" i="18"/>
  <c r="AL434" i="18"/>
  <c r="AL530" i="18"/>
  <c r="AL394" i="18"/>
  <c r="AL527" i="18"/>
  <c r="AL416" i="18"/>
  <c r="AL512" i="18"/>
  <c r="AL549" i="18"/>
  <c r="AL561" i="18"/>
  <c r="AL638" i="18"/>
  <c r="AL734" i="18"/>
  <c r="AL615" i="18"/>
  <c r="AL457" i="18"/>
  <c r="AL652" i="18"/>
  <c r="AL748" i="18"/>
  <c r="AL653" i="18"/>
  <c r="AL725" i="18"/>
  <c r="AL569" i="18"/>
  <c r="AG4" i="18"/>
  <c r="AG44" i="18" s="1"/>
  <c r="AF401" i="18"/>
  <c r="AF47" i="18"/>
  <c r="AF754" i="18"/>
  <c r="AD101" i="5"/>
  <c r="AG101" i="5" s="1"/>
  <c r="AJ99" i="5"/>
  <c r="AP107" i="5" s="1"/>
  <c r="AP6" i="5" s="1"/>
  <c r="AK99" i="5"/>
  <c r="AP108" i="5" s="1"/>
  <c r="AI99" i="5"/>
  <c r="AP106" i="5" s="1"/>
  <c r="AM99" i="5"/>
  <c r="AP109" i="5" s="1"/>
  <c r="AN99" i="5"/>
  <c r="AP110" i="5" s="1"/>
  <c r="AO99" i="5"/>
  <c r="AP111" i="5" s="1"/>
  <c r="AC101" i="5"/>
  <c r="AF101" i="5" s="1"/>
  <c r="K252" i="26" l="1"/>
  <c r="N252" i="26"/>
  <c r="H252" i="26"/>
  <c r="L251" i="26"/>
  <c r="O251" i="26"/>
  <c r="I251" i="26"/>
  <c r="E252" i="26"/>
  <c r="F251" i="26"/>
  <c r="AS24" i="5"/>
  <c r="AR25" i="5"/>
  <c r="AP11" i="5" a="1"/>
  <c r="AP11" i="5" s="1"/>
  <c r="AO9" i="5"/>
  <c r="AO10" i="5" s="1"/>
  <c r="AO32" i="5" s="1"/>
  <c r="AH4" i="18"/>
  <c r="AH44" i="18" s="1"/>
  <c r="AG401" i="18"/>
  <c r="AG47" i="18"/>
  <c r="AG754" i="18"/>
  <c r="AM57" i="18"/>
  <c r="AM89" i="18"/>
  <c r="AM121" i="18"/>
  <c r="AM153" i="18"/>
  <c r="AM185" i="18"/>
  <c r="AM63" i="18"/>
  <c r="AM148" i="18"/>
  <c r="AM75" i="18"/>
  <c r="AM160" i="18"/>
  <c r="AM224" i="18"/>
  <c r="AM256" i="18"/>
  <c r="AM78" i="18"/>
  <c r="AM163" i="18"/>
  <c r="AM225" i="18"/>
  <c r="AM257" i="18"/>
  <c r="AM90" i="18"/>
  <c r="AM164" i="18"/>
  <c r="AM50" i="18"/>
  <c r="AM208" i="18"/>
  <c r="AM292" i="18"/>
  <c r="AM324" i="18"/>
  <c r="AM356" i="18"/>
  <c r="AM388" i="18"/>
  <c r="AM122" i="18"/>
  <c r="AM275" i="18"/>
  <c r="AM207" i="18"/>
  <c r="AM289" i="18"/>
  <c r="AM321" i="18"/>
  <c r="AM353" i="18"/>
  <c r="AM385" i="18"/>
  <c r="AM112" i="18"/>
  <c r="AM214" i="18"/>
  <c r="AM155" i="18"/>
  <c r="AM387" i="18"/>
  <c r="AM303" i="18"/>
  <c r="AM406" i="18"/>
  <c r="AM438" i="18"/>
  <c r="AM470" i="18"/>
  <c r="AM502" i="18"/>
  <c r="AM310" i="18"/>
  <c r="AM295" i="18"/>
  <c r="AM402" i="18"/>
  <c r="AM435" i="18"/>
  <c r="AM467" i="18"/>
  <c r="AM499" i="18"/>
  <c r="AM200" i="18"/>
  <c r="AM111" i="18"/>
  <c r="AM318" i="18"/>
  <c r="AM412" i="18"/>
  <c r="AM465" i="18"/>
  <c r="AM374" i="18"/>
  <c r="AM518" i="18"/>
  <c r="AM559" i="18"/>
  <c r="AM413" i="18"/>
  <c r="AM472" i="18"/>
  <c r="AM554" i="18"/>
  <c r="AM601" i="18"/>
  <c r="AM633" i="18"/>
  <c r="AM489" i="18"/>
  <c r="AM347" i="18"/>
  <c r="AM525" i="18"/>
  <c r="AM594" i="18"/>
  <c r="AM626" i="18"/>
  <c r="AM658" i="18"/>
  <c r="AM432" i="18"/>
  <c r="AM574" i="18"/>
  <c r="AM534" i="18"/>
  <c r="AM595" i="18"/>
  <c r="AM627" i="18"/>
  <c r="AM659" i="18"/>
  <c r="AM691" i="18"/>
  <c r="AM723" i="18"/>
  <c r="AM178" i="18"/>
  <c r="AM512" i="18"/>
  <c r="AM383" i="18"/>
  <c r="AM616" i="18"/>
  <c r="AM718" i="18"/>
  <c r="AM708" i="18"/>
  <c r="AM604" i="18"/>
  <c r="AM712" i="18"/>
  <c r="AM689" i="18"/>
  <c r="AM557" i="18"/>
  <c r="AM688" i="18"/>
  <c r="AM514" i="18"/>
  <c r="AM729" i="18"/>
  <c r="AM644" i="18"/>
  <c r="AM558" i="18"/>
  <c r="AM569" i="18"/>
  <c r="AM228" i="18"/>
  <c r="AM92" i="18"/>
  <c r="AM392" i="18"/>
  <c r="AM293" i="18"/>
  <c r="AM134" i="18"/>
  <c r="AM314" i="18"/>
  <c r="AM474" i="18"/>
  <c r="AM306" i="18"/>
  <c r="AM503" i="18"/>
  <c r="AM326" i="18"/>
  <c r="AM379" i="18"/>
  <c r="AM441" i="18"/>
  <c r="AM605" i="18"/>
  <c r="AM549" i="18"/>
  <c r="AM662" i="18"/>
  <c r="AM599" i="18"/>
  <c r="AM727" i="18"/>
  <c r="AM632" i="18"/>
  <c r="AM620" i="18"/>
  <c r="AM568" i="18"/>
  <c r="AM669" i="18"/>
  <c r="AM665" i="18"/>
  <c r="AM184" i="18"/>
  <c r="AM361" i="18"/>
  <c r="AM319" i="18"/>
  <c r="AM420" i="18"/>
  <c r="AM570" i="18"/>
  <c r="AM602" i="18"/>
  <c r="AM603" i="18"/>
  <c r="AM524" i="18"/>
  <c r="AM592" i="18"/>
  <c r="AM732" i="18"/>
  <c r="AM161" i="18"/>
  <c r="AM232" i="18"/>
  <c r="AM186" i="18"/>
  <c r="AM332" i="18"/>
  <c r="AM176" i="18"/>
  <c r="AM297" i="18"/>
  <c r="AM227" i="18"/>
  <c r="AM414" i="18"/>
  <c r="AM363" i="18"/>
  <c r="AM507" i="18"/>
  <c r="AM497" i="18"/>
  <c r="AM452" i="18"/>
  <c r="AM428" i="18"/>
  <c r="AM331" i="18"/>
  <c r="AM699" i="18"/>
  <c r="AM648" i="18"/>
  <c r="AM716" i="18"/>
  <c r="AM696" i="18"/>
  <c r="AM69" i="18"/>
  <c r="AM101" i="18"/>
  <c r="AM133" i="18"/>
  <c r="AM165" i="18"/>
  <c r="AM197" i="18"/>
  <c r="AM95" i="18"/>
  <c r="AM180" i="18"/>
  <c r="AM107" i="18"/>
  <c r="AM192" i="18"/>
  <c r="AM236" i="18"/>
  <c r="AM268" i="18"/>
  <c r="AM110" i="18"/>
  <c r="AM195" i="18"/>
  <c r="AM237" i="18"/>
  <c r="AM269" i="18"/>
  <c r="AM59" i="18"/>
  <c r="AM199" i="18"/>
  <c r="AM126" i="18"/>
  <c r="AM266" i="18"/>
  <c r="AM304" i="18"/>
  <c r="AM336" i="18"/>
  <c r="AM368" i="18"/>
  <c r="AM403" i="18"/>
  <c r="AM198" i="18"/>
  <c r="AM98" i="18"/>
  <c r="AM247" i="18"/>
  <c r="AM301" i="18"/>
  <c r="AM333" i="18"/>
  <c r="AM365" i="18"/>
  <c r="AM397" i="18"/>
  <c r="AM172" i="18"/>
  <c r="AM251" i="18"/>
  <c r="AM286" i="18"/>
  <c r="AM156" i="18"/>
  <c r="AM330" i="18"/>
  <c r="AM418" i="18"/>
  <c r="AM450" i="18"/>
  <c r="AM482" i="18"/>
  <c r="AM71" i="18"/>
  <c r="AM390" i="18"/>
  <c r="AM327" i="18"/>
  <c r="AM415" i="18"/>
  <c r="AM447" i="18"/>
  <c r="AM479" i="18"/>
  <c r="AM62" i="18"/>
  <c r="AM302" i="18"/>
  <c r="AM162" i="18"/>
  <c r="AM338" i="18"/>
  <c r="AM290" i="18"/>
  <c r="AM508" i="18"/>
  <c r="AM445" i="18"/>
  <c r="AM539" i="18"/>
  <c r="AM571" i="18"/>
  <c r="AM473" i="18"/>
  <c r="AM511" i="18"/>
  <c r="AM581" i="18"/>
  <c r="AM613" i="18"/>
  <c r="AM645" i="18"/>
  <c r="AM535" i="18"/>
  <c r="AM469" i="18"/>
  <c r="AM562" i="18"/>
  <c r="AM606" i="18"/>
  <c r="AM638" i="18"/>
  <c r="AM670" i="18"/>
  <c r="AM515" i="18"/>
  <c r="AM429" i="18"/>
  <c r="AM565" i="18"/>
  <c r="AM607" i="18"/>
  <c r="AM639" i="18"/>
  <c r="AM671" i="18"/>
  <c r="AM703" i="18"/>
  <c r="AM735" i="18"/>
  <c r="AM342" i="18"/>
  <c r="AM529" i="18"/>
  <c r="AM519" i="18"/>
  <c r="AM661" i="18"/>
  <c r="AM750" i="18"/>
  <c r="AM740" i="18"/>
  <c r="AM653" i="18"/>
  <c r="AM744" i="18"/>
  <c r="AM721" i="18"/>
  <c r="AM608" i="18"/>
  <c r="AM720" i="18"/>
  <c r="AM673" i="18"/>
  <c r="AM468" i="18"/>
  <c r="AM701" i="18"/>
  <c r="AM705" i="18"/>
  <c r="AM714" i="18"/>
  <c r="AM73" i="18"/>
  <c r="AM105" i="18"/>
  <c r="AM137" i="18"/>
  <c r="AM169" i="18"/>
  <c r="AM201" i="18"/>
  <c r="AM106" i="18"/>
  <c r="AM191" i="18"/>
  <c r="AM118" i="18"/>
  <c r="AM203" i="18"/>
  <c r="AM240" i="18"/>
  <c r="AM272" i="18"/>
  <c r="AM120" i="18"/>
  <c r="AM206" i="18"/>
  <c r="AM241" i="18"/>
  <c r="AM273" i="18"/>
  <c r="AM70" i="18"/>
  <c r="AM230" i="18"/>
  <c r="AM132" i="18"/>
  <c r="AM271" i="18"/>
  <c r="AM308" i="18"/>
  <c r="AM340" i="18"/>
  <c r="AM372" i="18"/>
  <c r="AM72" i="18"/>
  <c r="AM211" i="18"/>
  <c r="AM144" i="18"/>
  <c r="AM274" i="18"/>
  <c r="AM305" i="18"/>
  <c r="AM337" i="18"/>
  <c r="AM369" i="18"/>
  <c r="AM404" i="18"/>
  <c r="AM175" i="18"/>
  <c r="AM60" i="18"/>
  <c r="AM307" i="18"/>
  <c r="AM187" i="18"/>
  <c r="AM354" i="18"/>
  <c r="AM422" i="18"/>
  <c r="AM454" i="18"/>
  <c r="AM486" i="18"/>
  <c r="AM218" i="18"/>
  <c r="AM395" i="18"/>
  <c r="AM335" i="18"/>
  <c r="AM419" i="18"/>
  <c r="AM451" i="18"/>
  <c r="AM483" i="18"/>
  <c r="AM82" i="18"/>
  <c r="AM339" i="18"/>
  <c r="AM250" i="18"/>
  <c r="AM343" i="18"/>
  <c r="AM315" i="18"/>
  <c r="AM516" i="18"/>
  <c r="AM456" i="18"/>
  <c r="AM543" i="18"/>
  <c r="AM575" i="18"/>
  <c r="AM484" i="18"/>
  <c r="AM528" i="18"/>
  <c r="AM585" i="18"/>
  <c r="AM617" i="18"/>
  <c r="AM649" i="18"/>
  <c r="AM552" i="18"/>
  <c r="AM493" i="18"/>
  <c r="AM573" i="18"/>
  <c r="AM610" i="18"/>
  <c r="AM642" i="18"/>
  <c r="AM674" i="18"/>
  <c r="AM532" i="18"/>
  <c r="AM436" i="18"/>
  <c r="AM576" i="18"/>
  <c r="AM611" i="18"/>
  <c r="AM643" i="18"/>
  <c r="AM675" i="18"/>
  <c r="AM707" i="18"/>
  <c r="AM739" i="18"/>
  <c r="AM440" i="18"/>
  <c r="AM544" i="18"/>
  <c r="AM531" i="18"/>
  <c r="AM672" i="18"/>
  <c r="AM657" i="18"/>
  <c r="AM745" i="18"/>
  <c r="AM664" i="18"/>
  <c r="AM749" i="18"/>
  <c r="AM730" i="18"/>
  <c r="AM624" i="18"/>
  <c r="AM725" i="18"/>
  <c r="AM692" i="18"/>
  <c r="AM541" i="18"/>
  <c r="AM710" i="18"/>
  <c r="AM746" i="18"/>
  <c r="AM65" i="18"/>
  <c r="AM129" i="18"/>
  <c r="AM193" i="18"/>
  <c r="AM170" i="18"/>
  <c r="AM182" i="18"/>
  <c r="AM99" i="18"/>
  <c r="AM103" i="18"/>
  <c r="AM300" i="18"/>
  <c r="AM396" i="18"/>
  <c r="AM242" i="18"/>
  <c r="AM147" i="18"/>
  <c r="AM322" i="18"/>
  <c r="AM51" i="18"/>
  <c r="AM475" i="18"/>
  <c r="AM334" i="18"/>
  <c r="AM567" i="18"/>
  <c r="AM641" i="18"/>
  <c r="AM550" i="18"/>
  <c r="AM546" i="18"/>
  <c r="AM667" i="18"/>
  <c r="AM464" i="18"/>
  <c r="AM726" i="18"/>
  <c r="AM652" i="18"/>
  <c r="AM77" i="18"/>
  <c r="AM109" i="18"/>
  <c r="AM141" i="18"/>
  <c r="AM173" i="18"/>
  <c r="AM205" i="18"/>
  <c r="AM116" i="18"/>
  <c r="AM202" i="18"/>
  <c r="AM128" i="18"/>
  <c r="AM212" i="18"/>
  <c r="AM244" i="18"/>
  <c r="AM276" i="18"/>
  <c r="AM131" i="18"/>
  <c r="AM213" i="18"/>
  <c r="AM245" i="18"/>
  <c r="AM58" i="18"/>
  <c r="AM123" i="18"/>
  <c r="AM235" i="18"/>
  <c r="AM151" i="18"/>
  <c r="AM280" i="18"/>
  <c r="AM312" i="18"/>
  <c r="AM344" i="18"/>
  <c r="AM376" i="18"/>
  <c r="AM83" i="18"/>
  <c r="AM238" i="18"/>
  <c r="AM166" i="18"/>
  <c r="AM277" i="18"/>
  <c r="AM309" i="18"/>
  <c r="AM341" i="18"/>
  <c r="AM373" i="18"/>
  <c r="AM80" i="18"/>
  <c r="AM188" i="18"/>
  <c r="AM108" i="18"/>
  <c r="AM350" i="18"/>
  <c r="AM255" i="18"/>
  <c r="AM359" i="18"/>
  <c r="AM426" i="18"/>
  <c r="AM458" i="18"/>
  <c r="AM490" i="18"/>
  <c r="AM231" i="18"/>
  <c r="AM66" i="18"/>
  <c r="AM362" i="18"/>
  <c r="AM423" i="18"/>
  <c r="AM455" i="18"/>
  <c r="AM487" i="18"/>
  <c r="AM114" i="18"/>
  <c r="AM366" i="18"/>
  <c r="AM263" i="18"/>
  <c r="AM370" i="18"/>
  <c r="AM417" i="18"/>
  <c r="AM521" i="18"/>
  <c r="AM477" i="18"/>
  <c r="AM547" i="18"/>
  <c r="AM579" i="18"/>
  <c r="AM505" i="18"/>
  <c r="AM533" i="18"/>
  <c r="AM589" i="18"/>
  <c r="AM621" i="18"/>
  <c r="AM143" i="18"/>
  <c r="AM561" i="18"/>
  <c r="AM500" i="18"/>
  <c r="AM582" i="18"/>
  <c r="AM614" i="18"/>
  <c r="AM646" i="18"/>
  <c r="AM678" i="18"/>
  <c r="AM537" i="18"/>
  <c r="AM449" i="18"/>
  <c r="AM583" i="18"/>
  <c r="AM615" i="18"/>
  <c r="AM647" i="18"/>
  <c r="AM679" i="18"/>
  <c r="AM711" i="18"/>
  <c r="AM743" i="18"/>
  <c r="AM453" i="18"/>
  <c r="AM566" i="18"/>
  <c r="AM542" i="18"/>
  <c r="AM686" i="18"/>
  <c r="AM668" i="18"/>
  <c r="AM481" i="18"/>
  <c r="AM680" i="18"/>
  <c r="AM556" i="18"/>
  <c r="AM748" i="18"/>
  <c r="AM640" i="18"/>
  <c r="AM734" i="18"/>
  <c r="AM697" i="18"/>
  <c r="AM596" i="18"/>
  <c r="AM728" i="18"/>
  <c r="AM737" i="18"/>
  <c r="AM265" i="18"/>
  <c r="AM329" i="18"/>
  <c r="AM478" i="18"/>
  <c r="AM146" i="18"/>
  <c r="AM492" i="18"/>
  <c r="AM634" i="18"/>
  <c r="AM731" i="18"/>
  <c r="AM722" i="18"/>
  <c r="AM409" i="18"/>
  <c r="AM49" i="18"/>
  <c r="AM81" i="18"/>
  <c r="AM113" i="18"/>
  <c r="AM145" i="18"/>
  <c r="AM177" i="18"/>
  <c r="AM209" i="18"/>
  <c r="AM127" i="18"/>
  <c r="AM54" i="18"/>
  <c r="AM139" i="18"/>
  <c r="AM216" i="18"/>
  <c r="AM248" i="18"/>
  <c r="AM56" i="18"/>
  <c r="AM142" i="18"/>
  <c r="AM217" i="18"/>
  <c r="AM249" i="18"/>
  <c r="AM68" i="18"/>
  <c r="AM136" i="18"/>
  <c r="AM262" i="18"/>
  <c r="AM154" i="18"/>
  <c r="AM284" i="18"/>
  <c r="AM316" i="18"/>
  <c r="AM348" i="18"/>
  <c r="AM380" i="18"/>
  <c r="AM94" i="18"/>
  <c r="AM243" i="18"/>
  <c r="AM179" i="18"/>
  <c r="AM281" i="18"/>
  <c r="AM313" i="18"/>
  <c r="AM345" i="18"/>
  <c r="AM377" i="18"/>
  <c r="AM91" i="18"/>
  <c r="AM194" i="18"/>
  <c r="AM124" i="18"/>
  <c r="AM355" i="18"/>
  <c r="AM258" i="18"/>
  <c r="AM386" i="18"/>
  <c r="AM430" i="18"/>
  <c r="AM462" i="18"/>
  <c r="AM494" i="18"/>
  <c r="AM278" i="18"/>
  <c r="AM168" i="18"/>
  <c r="AM367" i="18"/>
  <c r="AM427" i="18"/>
  <c r="AM459" i="18"/>
  <c r="AM491" i="18"/>
  <c r="AM130" i="18"/>
  <c r="AM371" i="18"/>
  <c r="AM287" i="18"/>
  <c r="AM375" i="18"/>
  <c r="AM433" i="18"/>
  <c r="AM530" i="18"/>
  <c r="AM488" i="18"/>
  <c r="AM551" i="18"/>
  <c r="AM254" i="18"/>
  <c r="AM405" i="18"/>
  <c r="AM538" i="18"/>
  <c r="AM593" i="18"/>
  <c r="AM625" i="18"/>
  <c r="AM346" i="18"/>
  <c r="AM572" i="18"/>
  <c r="AM513" i="18"/>
  <c r="AM586" i="18"/>
  <c r="AM618" i="18"/>
  <c r="AM650" i="18"/>
  <c r="AM283" i="18"/>
  <c r="AM548" i="18"/>
  <c r="AM510" i="18"/>
  <c r="AM587" i="18"/>
  <c r="AM619" i="18"/>
  <c r="AM651" i="18"/>
  <c r="AM683" i="18"/>
  <c r="AM715" i="18"/>
  <c r="AM747" i="18"/>
  <c r="AM460" i="18"/>
  <c r="AM577" i="18"/>
  <c r="AM584" i="18"/>
  <c r="AM704" i="18"/>
  <c r="AM681" i="18"/>
  <c r="AM578" i="18"/>
  <c r="AM685" i="18"/>
  <c r="AM660" i="18"/>
  <c r="AM461" i="18"/>
  <c r="AM656" i="18"/>
  <c r="AM752" i="18"/>
  <c r="AM706" i="18"/>
  <c r="AM612" i="18"/>
  <c r="AM733" i="18"/>
  <c r="AM676" i="18"/>
  <c r="AM88" i="18"/>
  <c r="AM296" i="18"/>
  <c r="AM76" i="18"/>
  <c r="AM357" i="18"/>
  <c r="AM190" i="18"/>
  <c r="AM410" i="18"/>
  <c r="AM506" i="18"/>
  <c r="AM407" i="18"/>
  <c r="AM471" i="18"/>
  <c r="AM222" i="18"/>
  <c r="AM416" i="18"/>
  <c r="AM527" i="18"/>
  <c r="AM563" i="18"/>
  <c r="AM560" i="18"/>
  <c r="AM637" i="18"/>
  <c r="AM421" i="18"/>
  <c r="AM630" i="18"/>
  <c r="AM480" i="18"/>
  <c r="AM545" i="18"/>
  <c r="AM631" i="18"/>
  <c r="AM695" i="18"/>
  <c r="AM311" i="18"/>
  <c r="AM457" i="18"/>
  <c r="AM736" i="18"/>
  <c r="AM717" i="18"/>
  <c r="AM693" i="18"/>
  <c r="AM540" i="18"/>
  <c r="AM682" i="18"/>
  <c r="AM97" i="18"/>
  <c r="AM84" i="18"/>
  <c r="AM96" i="18"/>
  <c r="AM264" i="18"/>
  <c r="AM48" i="18"/>
  <c r="AM239" i="18"/>
  <c r="AM364" i="18"/>
  <c r="AM87" i="18"/>
  <c r="AM393" i="18"/>
  <c r="AM104" i="18"/>
  <c r="AM446" i="18"/>
  <c r="AM411" i="18"/>
  <c r="AM291" i="18"/>
  <c r="AM536" i="18"/>
  <c r="AM523" i="18"/>
  <c r="AM504" i="18"/>
  <c r="AM323" i="18"/>
  <c r="AM636" i="18"/>
  <c r="AM580" i="18"/>
  <c r="AM53" i="18"/>
  <c r="AM85" i="18"/>
  <c r="AM117" i="18"/>
  <c r="AM149" i="18"/>
  <c r="AM181" i="18"/>
  <c r="AM52" i="18"/>
  <c r="AM138" i="18"/>
  <c r="AM64" i="18"/>
  <c r="AM150" i="18"/>
  <c r="AM220" i="18"/>
  <c r="AM252" i="18"/>
  <c r="AM67" i="18"/>
  <c r="AM152" i="18"/>
  <c r="AM221" i="18"/>
  <c r="AM253" i="18"/>
  <c r="AM79" i="18"/>
  <c r="AM158" i="18"/>
  <c r="AM267" i="18"/>
  <c r="AM167" i="18"/>
  <c r="AM288" i="18"/>
  <c r="AM320" i="18"/>
  <c r="AM352" i="18"/>
  <c r="AM384" i="18"/>
  <c r="AM119" i="18"/>
  <c r="AM270" i="18"/>
  <c r="AM204" i="18"/>
  <c r="AM285" i="18"/>
  <c r="AM317" i="18"/>
  <c r="AM349" i="18"/>
  <c r="AM381" i="18"/>
  <c r="AM102" i="18"/>
  <c r="AM210" i="18"/>
  <c r="AM140" i="18"/>
  <c r="AM382" i="18"/>
  <c r="AM282" i="18"/>
  <c r="AM391" i="18"/>
  <c r="AM434" i="18"/>
  <c r="AM466" i="18"/>
  <c r="AM498" i="18"/>
  <c r="AM299" i="18"/>
  <c r="AM259" i="18"/>
  <c r="AM394" i="18"/>
  <c r="AM431" i="18"/>
  <c r="AM463" i="18"/>
  <c r="AM495" i="18"/>
  <c r="AM196" i="18"/>
  <c r="AM398" i="18"/>
  <c r="AM298" i="18"/>
  <c r="AM408" i="18"/>
  <c r="AM444" i="18"/>
  <c r="AM226" i="18"/>
  <c r="AM509" i="18"/>
  <c r="AM555" i="18"/>
  <c r="AM279" i="18"/>
  <c r="AM448" i="18"/>
  <c r="AM553" i="18"/>
  <c r="AM597" i="18"/>
  <c r="AM629" i="18"/>
  <c r="AM378" i="18"/>
  <c r="AM294" i="18"/>
  <c r="AM520" i="18"/>
  <c r="AM590" i="18"/>
  <c r="AM622" i="18"/>
  <c r="AM654" i="18"/>
  <c r="AM425" i="18"/>
  <c r="AM564" i="18"/>
  <c r="AM522" i="18"/>
  <c r="AM591" i="18"/>
  <c r="AM623" i="18"/>
  <c r="AM655" i="18"/>
  <c r="AM687" i="18"/>
  <c r="AM719" i="18"/>
  <c r="AM751" i="18"/>
  <c r="AM501" i="18"/>
  <c r="AM351" i="18"/>
  <c r="AM600" i="18"/>
  <c r="AM709" i="18"/>
  <c r="AM690" i="18"/>
  <c r="AM588" i="18"/>
  <c r="AM694" i="18"/>
  <c r="AM684" i="18"/>
  <c r="AM526" i="18"/>
  <c r="AM677" i="18"/>
  <c r="AM437" i="18"/>
  <c r="AM724" i="18"/>
  <c r="AM628" i="18"/>
  <c r="AM742" i="18"/>
  <c r="AM700" i="18"/>
  <c r="AM61" i="18"/>
  <c r="AM93" i="18"/>
  <c r="AM125" i="18"/>
  <c r="AM157" i="18"/>
  <c r="AM189" i="18"/>
  <c r="AM74" i="18"/>
  <c r="AM159" i="18"/>
  <c r="AM86" i="18"/>
  <c r="AM171" i="18"/>
  <c r="AM260" i="18"/>
  <c r="AM174" i="18"/>
  <c r="AM229" i="18"/>
  <c r="AM261" i="18"/>
  <c r="AM100" i="18"/>
  <c r="AM183" i="18"/>
  <c r="AM234" i="18"/>
  <c r="AM328" i="18"/>
  <c r="AM360" i="18"/>
  <c r="AM135" i="18"/>
  <c r="AM215" i="18"/>
  <c r="AM325" i="18"/>
  <c r="AM389" i="18"/>
  <c r="AM219" i="18"/>
  <c r="AM55" i="18"/>
  <c r="AM442" i="18"/>
  <c r="AM358" i="18"/>
  <c r="AM439" i="18"/>
  <c r="AM115" i="18"/>
  <c r="AM476" i="18"/>
  <c r="AM485" i="18"/>
  <c r="AM496" i="18"/>
  <c r="AM598" i="18"/>
  <c r="AM223" i="18"/>
  <c r="AM663" i="18"/>
  <c r="AM517" i="18"/>
  <c r="AM713" i="18"/>
  <c r="AM698" i="18"/>
  <c r="AM738" i="18"/>
  <c r="AM233" i="18"/>
  <c r="AM246" i="18"/>
  <c r="AM443" i="18"/>
  <c r="AM424" i="18"/>
  <c r="AM609" i="18"/>
  <c r="AM666" i="18"/>
  <c r="AM635" i="18"/>
  <c r="AM741" i="18"/>
  <c r="AM702" i="18"/>
  <c r="AJ100" i="5"/>
  <c r="AQ107" i="5" s="1"/>
  <c r="AQ6" i="5" s="1"/>
  <c r="AK100" i="5"/>
  <c r="AQ108" i="5" s="1"/>
  <c r="AI100" i="5"/>
  <c r="AQ106" i="5" s="1"/>
  <c r="AK101" i="5"/>
  <c r="AR108" i="5" s="1"/>
  <c r="AI101" i="5"/>
  <c r="AR106" i="5" s="1"/>
  <c r="AJ101" i="5"/>
  <c r="AR107" i="5" s="1"/>
  <c r="AR6" i="5" s="1"/>
  <c r="AO101" i="5"/>
  <c r="AR111" i="5" s="1"/>
  <c r="AM101" i="5"/>
  <c r="AR109" i="5" s="1"/>
  <c r="AN101" i="5"/>
  <c r="AR110" i="5" s="1"/>
  <c r="AN100" i="5"/>
  <c r="AQ110" i="5" s="1"/>
  <c r="AO100" i="5"/>
  <c r="AQ111" i="5" s="1"/>
  <c r="AM100" i="5"/>
  <c r="AQ109" i="5" s="1"/>
  <c r="L252" i="26" l="1"/>
  <c r="N253" i="26"/>
  <c r="K253" i="26"/>
  <c r="H253" i="26"/>
  <c r="O252" i="26"/>
  <c r="I252" i="26"/>
  <c r="E253" i="26"/>
  <c r="F252" i="26"/>
  <c r="E72" i="26"/>
  <c r="N59" i="26"/>
  <c r="N72" i="26" s="1"/>
  <c r="K59" i="26"/>
  <c r="K72" i="26" s="1"/>
  <c r="H59" i="26"/>
  <c r="H72" i="26" s="1"/>
  <c r="AT24" i="5"/>
  <c r="AS25" i="5"/>
  <c r="AQ11" i="5" a="1"/>
  <c r="AQ11" i="5" s="1"/>
  <c r="AR11" i="5" a="1"/>
  <c r="AR11" i="5" s="1"/>
  <c r="AP9" i="5"/>
  <c r="AP10" i="5" s="1"/>
  <c r="AP32" i="5" s="1"/>
  <c r="AI4" i="18"/>
  <c r="AI44" i="18" s="1"/>
  <c r="AH754" i="18"/>
  <c r="AH47" i="18"/>
  <c r="AH401" i="18"/>
  <c r="I253" i="26" l="1"/>
  <c r="L253" i="26"/>
  <c r="O253" i="26"/>
  <c r="F253" i="26"/>
  <c r="F59" i="26"/>
  <c r="F72" i="26" s="1"/>
  <c r="L59" i="26"/>
  <c r="L72" i="26" s="1"/>
  <c r="AU24" i="5"/>
  <c r="AT25" i="5"/>
  <c r="AQ9" i="5"/>
  <c r="AQ10" i="5" s="1"/>
  <c r="AQ32" i="5" s="1"/>
  <c r="AR9" i="5"/>
  <c r="AR10" i="5" s="1"/>
  <c r="AR32" i="5" s="1"/>
  <c r="AJ4" i="18"/>
  <c r="AJ44" i="18" s="1"/>
  <c r="AI401" i="18"/>
  <c r="AI47" i="18"/>
  <c r="AI754" i="18"/>
  <c r="O59" i="26"/>
  <c r="O72" i="26" s="1"/>
  <c r="I59" i="26" l="1"/>
  <c r="I72" i="26" s="1"/>
  <c r="AV24" i="5"/>
  <c r="AU25" i="5"/>
  <c r="AK4" i="18"/>
  <c r="AK44" i="18" s="1"/>
  <c r="AJ754" i="18"/>
  <c r="AJ401" i="18"/>
  <c r="AJ47" i="18"/>
  <c r="AW24" i="5" l="1"/>
  <c r="AV25" i="5"/>
  <c r="AL4" i="18"/>
  <c r="AL44" i="18" s="1"/>
  <c r="AK401" i="18"/>
  <c r="AK754" i="18"/>
  <c r="AK47" i="18"/>
  <c r="AX24" i="5" l="1"/>
  <c r="AW25" i="5"/>
  <c r="AM4" i="18"/>
  <c r="AM44" i="18" s="1"/>
  <c r="AL401" i="18"/>
  <c r="AL754" i="18"/>
  <c r="AL47" i="18"/>
  <c r="AY24" i="5" l="1"/>
  <c r="AX25" i="5"/>
  <c r="AM401" i="18"/>
  <c r="AM754" i="18"/>
  <c r="AM47" i="18"/>
  <c r="AZ24" i="5" l="1"/>
  <c r="AY25" i="5"/>
  <c r="BA24" i="5" l="1"/>
  <c r="AZ25" i="5"/>
  <c r="BB24" i="5" l="1"/>
  <c r="BB25" i="5" s="1"/>
  <c r="BA25" i="5"/>
  <c r="K38" i="4" l="1" a="1"/>
  <c r="K38" i="4" l="1"/>
  <c r="AI75" i="5" l="1"/>
  <c r="R106" i="5" s="1"/>
  <c r="V75" i="5"/>
  <c r="AM75" i="5" s="1"/>
  <c r="R109" i="5" s="1"/>
  <c r="W75" i="5"/>
  <c r="AN75" i="5" s="1"/>
  <c r="R110" i="5" s="1"/>
  <c r="R11" i="5" s="1"/>
  <c r="X75" i="5"/>
  <c r="AO75" i="5" s="1"/>
  <c r="R111" i="5" s="1"/>
  <c r="F23" i="4" a="1"/>
  <c r="F23" i="4" s="1"/>
  <c r="AJ75" i="5"/>
  <c r="R107" i="5" s="1"/>
  <c r="R6" i="5" s="1"/>
  <c r="AK75" i="5"/>
  <c r="R108" i="5" s="1"/>
  <c r="S14" i="5"/>
  <c r="S15" i="5" s="1"/>
  <c r="U14" i="5" l="1"/>
  <c r="T14" i="5"/>
  <c r="S33" i="5"/>
  <c r="K254" i="26" s="1"/>
  <c r="E254" i="26" l="1"/>
  <c r="N254" i="26"/>
  <c r="N274" i="26" s="1"/>
  <c r="U15" i="5"/>
  <c r="U33" i="5" s="1"/>
  <c r="T15" i="5"/>
  <c r="T33" i="5" s="1"/>
  <c r="R9" i="5"/>
  <c r="R10" i="5" s="1"/>
  <c r="R14" i="5"/>
  <c r="R15" i="5" s="1"/>
  <c r="V14" i="5"/>
  <c r="W14" i="5"/>
  <c r="L255" i="26" l="1"/>
  <c r="L275" i="26" s="1"/>
  <c r="K256" i="26"/>
  <c r="L254" i="26"/>
  <c r="L274" i="26" s="1"/>
  <c r="K255" i="26"/>
  <c r="K275" i="26" s="1"/>
  <c r="N255" i="26"/>
  <c r="N275" i="26" s="1"/>
  <c r="O254" i="26"/>
  <c r="O274" i="26" s="1"/>
  <c r="N256" i="26"/>
  <c r="O255" i="26"/>
  <c r="O275" i="26" s="1"/>
  <c r="E255" i="26"/>
  <c r="F254" i="26"/>
  <c r="E256" i="26"/>
  <c r="F255" i="26"/>
  <c r="F275" i="26" s="1"/>
  <c r="H276" i="26"/>
  <c r="I275" i="26"/>
  <c r="H275" i="26"/>
  <c r="W15" i="5"/>
  <c r="W33" i="5" s="1"/>
  <c r="R33" i="5"/>
  <c r="V15" i="5"/>
  <c r="V33" i="5" s="1"/>
  <c r="R32" i="5"/>
  <c r="X14" i="5"/>
  <c r="K257" i="26" l="1"/>
  <c r="K277" i="26" s="1"/>
  <c r="L256" i="26"/>
  <c r="L257" i="26"/>
  <c r="L277" i="26" s="1"/>
  <c r="K258" i="26"/>
  <c r="K278" i="26" s="1"/>
  <c r="N258" i="26"/>
  <c r="N278" i="26" s="1"/>
  <c r="O257" i="26"/>
  <c r="O277" i="26" s="1"/>
  <c r="N257" i="26"/>
  <c r="N277" i="26" s="1"/>
  <c r="O256" i="26"/>
  <c r="O276" i="26" s="1"/>
  <c r="E258" i="26"/>
  <c r="E278" i="26" s="1"/>
  <c r="F257" i="26"/>
  <c r="F277" i="26" s="1"/>
  <c r="E257" i="26"/>
  <c r="E277" i="26" s="1"/>
  <c r="F256" i="26"/>
  <c r="F276" i="26" s="1"/>
  <c r="H277" i="26"/>
  <c r="I276" i="26"/>
  <c r="H278" i="26"/>
  <c r="I277" i="26"/>
  <c r="E276" i="26"/>
  <c r="L276" i="26"/>
  <c r="K276" i="26"/>
  <c r="N276" i="26"/>
  <c r="K274" i="26"/>
  <c r="I274" i="26"/>
  <c r="E274" i="26"/>
  <c r="X15" i="5"/>
  <c r="X33" i="5" s="1"/>
  <c r="E275" i="26"/>
  <c r="F274" i="26"/>
  <c r="Y14" i="5"/>
  <c r="L258" i="26" l="1"/>
  <c r="K259" i="26"/>
  <c r="K279" i="26" s="1"/>
  <c r="N259" i="26"/>
  <c r="N279" i="26" s="1"/>
  <c r="O258" i="26"/>
  <c r="O278" i="26" s="1"/>
  <c r="E259" i="26"/>
  <c r="E279" i="26" s="1"/>
  <c r="F258" i="26"/>
  <c r="F278" i="26" s="1"/>
  <c r="H279" i="26"/>
  <c r="I278" i="26"/>
  <c r="L278" i="26"/>
  <c r="Y15" i="5"/>
  <c r="Y33" i="5" s="1"/>
  <c r="Z14" i="5"/>
  <c r="K260" i="26" l="1"/>
  <c r="K280" i="26" s="1"/>
  <c r="L259" i="26"/>
  <c r="L279" i="26" s="1"/>
  <c r="N260" i="26"/>
  <c r="N280" i="26" s="1"/>
  <c r="O259" i="26"/>
  <c r="O279" i="26" s="1"/>
  <c r="E260" i="26"/>
  <c r="E280" i="26" s="1"/>
  <c r="F259" i="26"/>
  <c r="F279" i="26" s="1"/>
  <c r="H280" i="26"/>
  <c r="I279" i="26"/>
  <c r="F8" i="26"/>
  <c r="Z15" i="5"/>
  <c r="Z33" i="5" s="1"/>
  <c r="AA14" i="5"/>
  <c r="K261" i="26" l="1"/>
  <c r="L260" i="26"/>
  <c r="L280" i="26" s="1"/>
  <c r="N261" i="26"/>
  <c r="N281" i="26" s="1"/>
  <c r="O260" i="26"/>
  <c r="O280" i="26" s="1"/>
  <c r="E261" i="26"/>
  <c r="E281" i="26" s="1"/>
  <c r="F260" i="26"/>
  <c r="F280" i="26" s="1"/>
  <c r="H281" i="26"/>
  <c r="I280" i="26"/>
  <c r="K281" i="26"/>
  <c r="AA15" i="5"/>
  <c r="AA33" i="5" s="1"/>
  <c r="AC14" i="5"/>
  <c r="AB14" i="5"/>
  <c r="L261" i="26" l="1"/>
  <c r="L281" i="26" s="1"/>
  <c r="K262" i="26"/>
  <c r="K282" i="26" s="1"/>
  <c r="N262" i="26"/>
  <c r="N282" i="26" s="1"/>
  <c r="O261" i="26"/>
  <c r="O281" i="26" s="1"/>
  <c r="E262" i="26"/>
  <c r="E282" i="26" s="1"/>
  <c r="F261" i="26"/>
  <c r="F281" i="26" s="1"/>
  <c r="H282" i="26"/>
  <c r="I281" i="26"/>
  <c r="AB15" i="5"/>
  <c r="AB33" i="5" s="1"/>
  <c r="AC15" i="5"/>
  <c r="AC33" i="5" s="1"/>
  <c r="AD14" i="5"/>
  <c r="K264" i="26" l="1"/>
  <c r="L263" i="26"/>
  <c r="L283" i="26" s="1"/>
  <c r="L262" i="26"/>
  <c r="L282" i="26" s="1"/>
  <c r="K263" i="26"/>
  <c r="K283" i="26" s="1"/>
  <c r="N264" i="26"/>
  <c r="N284" i="26" s="1"/>
  <c r="O263" i="26"/>
  <c r="O283" i="26" s="1"/>
  <c r="N263" i="26"/>
  <c r="N283" i="26" s="1"/>
  <c r="O262" i="26"/>
  <c r="O282" i="26" s="1"/>
  <c r="E263" i="26"/>
  <c r="E283" i="26" s="1"/>
  <c r="F262" i="26"/>
  <c r="F282" i="26" s="1"/>
  <c r="E264" i="26"/>
  <c r="E284" i="26" s="1"/>
  <c r="F263" i="26"/>
  <c r="F283" i="26" s="1"/>
  <c r="H284" i="26"/>
  <c r="I283" i="26"/>
  <c r="H283" i="26"/>
  <c r="I282" i="26"/>
  <c r="K284" i="26"/>
  <c r="AD15" i="5"/>
  <c r="AD33" i="5" s="1"/>
  <c r="AE14" i="5"/>
  <c r="L264" i="26" l="1"/>
  <c r="L284" i="26" s="1"/>
  <c r="K265" i="26"/>
  <c r="K285" i="26" s="1"/>
  <c r="N265" i="26"/>
  <c r="N285" i="26" s="1"/>
  <c r="O264" i="26"/>
  <c r="O284" i="26" s="1"/>
  <c r="E265" i="26"/>
  <c r="E285" i="26" s="1"/>
  <c r="F264" i="26"/>
  <c r="F284" i="26" s="1"/>
  <c r="H285" i="26"/>
  <c r="I284" i="26"/>
  <c r="AE15" i="5"/>
  <c r="AE33" i="5" s="1"/>
  <c r="AF14" i="5"/>
  <c r="K266" i="26" l="1"/>
  <c r="L265" i="26"/>
  <c r="L285" i="26" s="1"/>
  <c r="N266" i="26"/>
  <c r="N286" i="26" s="1"/>
  <c r="O265" i="26"/>
  <c r="O285" i="26" s="1"/>
  <c r="E266" i="26"/>
  <c r="E286" i="26" s="1"/>
  <c r="F265" i="26"/>
  <c r="F285" i="26" s="1"/>
  <c r="H286" i="26"/>
  <c r="I285" i="26"/>
  <c r="K286" i="26"/>
  <c r="AF15" i="5"/>
  <c r="AF33" i="5" s="1"/>
  <c r="AG14" i="5"/>
  <c r="K267" i="26" l="1"/>
  <c r="K287" i="26" s="1"/>
  <c r="L266" i="26"/>
  <c r="L286" i="26" s="1"/>
  <c r="N267" i="26"/>
  <c r="N287" i="26" s="1"/>
  <c r="O266" i="26"/>
  <c r="O286" i="26" s="1"/>
  <c r="E267" i="26"/>
  <c r="E287" i="26" s="1"/>
  <c r="F266" i="26"/>
  <c r="F286" i="26" s="1"/>
  <c r="H287" i="26"/>
  <c r="I286" i="26"/>
  <c r="AG15" i="5"/>
  <c r="AG33" i="5" s="1"/>
  <c r="AH14" i="5"/>
  <c r="L267" i="26" l="1"/>
  <c r="L287" i="26" s="1"/>
  <c r="K268" i="26"/>
  <c r="K288" i="26" s="1"/>
  <c r="N268" i="26"/>
  <c r="N288" i="26" s="1"/>
  <c r="O267" i="26"/>
  <c r="O287" i="26" s="1"/>
  <c r="E268" i="26"/>
  <c r="E288" i="26" s="1"/>
  <c r="F267" i="26"/>
  <c r="F287" i="26" s="1"/>
  <c r="H288" i="26"/>
  <c r="I287" i="26"/>
  <c r="AH15" i="5"/>
  <c r="AH33" i="5" s="1"/>
  <c r="AI14" i="5"/>
  <c r="L268" i="26" l="1"/>
  <c r="K269" i="26"/>
  <c r="K289" i="26" s="1"/>
  <c r="N269" i="26"/>
  <c r="N289" i="26" s="1"/>
  <c r="O268" i="26"/>
  <c r="O288" i="26" s="1"/>
  <c r="E269" i="26"/>
  <c r="E289" i="26" s="1"/>
  <c r="F268" i="26"/>
  <c r="F288" i="26" s="1"/>
  <c r="H289" i="26"/>
  <c r="I288" i="26"/>
  <c r="L288" i="26"/>
  <c r="AI15" i="5"/>
  <c r="AI33" i="5" s="1"/>
  <c r="AJ14" i="5"/>
  <c r="L269" i="26" l="1"/>
  <c r="L289" i="26" s="1"/>
  <c r="K270" i="26"/>
  <c r="K290" i="26" s="1"/>
  <c r="N270" i="26"/>
  <c r="N290" i="26" s="1"/>
  <c r="O269" i="26"/>
  <c r="O289" i="26" s="1"/>
  <c r="E270" i="26"/>
  <c r="E290" i="26" s="1"/>
  <c r="F269" i="26"/>
  <c r="F289" i="26" s="1"/>
  <c r="H290" i="26"/>
  <c r="I289" i="26"/>
  <c r="AJ15" i="5"/>
  <c r="AJ33" i="5" s="1"/>
  <c r="AK14" i="5"/>
  <c r="K271" i="26" l="1"/>
  <c r="K291" i="26" s="1"/>
  <c r="L270" i="26"/>
  <c r="L290" i="26" s="1"/>
  <c r="N271" i="26"/>
  <c r="N291" i="26" s="1"/>
  <c r="O270" i="26"/>
  <c r="O290" i="26" s="1"/>
  <c r="E271" i="26"/>
  <c r="E291" i="26" s="1"/>
  <c r="F270" i="26"/>
  <c r="F290" i="26" s="1"/>
  <c r="H291" i="26"/>
  <c r="I290" i="26"/>
  <c r="AK15" i="5"/>
  <c r="AK33" i="5" s="1"/>
  <c r="AL14" i="5"/>
  <c r="K272" i="26" l="1"/>
  <c r="L271" i="26"/>
  <c r="L291" i="26" s="1"/>
  <c r="N272" i="26"/>
  <c r="N292" i="26" s="1"/>
  <c r="O271" i="26"/>
  <c r="O291" i="26" s="1"/>
  <c r="E272" i="26"/>
  <c r="E292" i="26" s="1"/>
  <c r="F271" i="26"/>
  <c r="F291" i="26" s="1"/>
  <c r="H292" i="26"/>
  <c r="I291" i="26"/>
  <c r="K292" i="26"/>
  <c r="AL15" i="5"/>
  <c r="AL33" i="5" s="1"/>
  <c r="AM14" i="5"/>
  <c r="K273" i="26" l="1"/>
  <c r="L272" i="26"/>
  <c r="L292" i="26" s="1"/>
  <c r="N273" i="26"/>
  <c r="N293" i="26" s="1"/>
  <c r="N65" i="26" s="1"/>
  <c r="N74" i="26" s="1"/>
  <c r="N54" i="26" s="1"/>
  <c r="N63" i="26" s="1"/>
  <c r="N75" i="26" s="1"/>
  <c r="N76" i="26" s="1"/>
  <c r="N5" i="26" s="1"/>
  <c r="O272" i="26"/>
  <c r="O292" i="26" s="1"/>
  <c r="E273" i="26"/>
  <c r="E293" i="26" s="1"/>
  <c r="E65" i="26" s="1"/>
  <c r="E74" i="26" s="1"/>
  <c r="F272" i="26"/>
  <c r="F292" i="26" s="1"/>
  <c r="H293" i="26"/>
  <c r="H65" i="26" s="1"/>
  <c r="H74" i="26" s="1"/>
  <c r="I292" i="26"/>
  <c r="K293" i="26"/>
  <c r="AM15" i="5"/>
  <c r="AM33" i="5" s="1"/>
  <c r="AN14" i="5"/>
  <c r="O273" i="26" l="1"/>
  <c r="O293" i="26" s="1"/>
  <c r="O65" i="26" s="1"/>
  <c r="O74" i="26" s="1"/>
  <c r="O54" i="26" s="1"/>
  <c r="O63" i="26" s="1"/>
  <c r="O75" i="26" s="1"/>
  <c r="O76" i="26" s="1"/>
  <c r="O5" i="26" s="1"/>
  <c r="L273" i="26"/>
  <c r="D34" i="3"/>
  <c r="P106" i="1"/>
  <c r="D37" i="3"/>
  <c r="D33" i="3"/>
  <c r="D36" i="3"/>
  <c r="D35" i="3"/>
  <c r="D38" i="3"/>
  <c r="I293" i="26"/>
  <c r="I65" i="26" s="1"/>
  <c r="I74" i="26" s="1"/>
  <c r="F273" i="26"/>
  <c r="F293" i="26" s="1"/>
  <c r="F65" i="26" s="1"/>
  <c r="F74" i="26" s="1"/>
  <c r="K65" i="26"/>
  <c r="K74" i="26" s="1"/>
  <c r="L293" i="26"/>
  <c r="L65" i="26" s="1"/>
  <c r="L74" i="26" s="1"/>
  <c r="AN15" i="5"/>
  <c r="AN33" i="5" s="1"/>
  <c r="AO14" i="5"/>
  <c r="D39" i="3" l="1"/>
  <c r="AO15" i="5"/>
  <c r="AO33" i="5" s="1"/>
  <c r="AP14" i="5"/>
  <c r="AP15" i="5" l="1"/>
  <c r="AP33" i="5" s="1"/>
  <c r="AQ14" i="5"/>
  <c r="AR14" i="5"/>
  <c r="AQ15" i="5" l="1"/>
  <c r="AQ33" i="5" s="1"/>
  <c r="AR15" i="5"/>
  <c r="AR33" i="5" s="1"/>
  <c r="F42" i="26" l="1"/>
  <c r="F79" i="26" l="1"/>
  <c r="F295" i="26" l="1"/>
  <c r="F296" i="26"/>
  <c r="F323" i="26"/>
  <c r="F175" i="26" l="1"/>
  <c r="F30" i="26"/>
  <c r="F297" i="26"/>
  <c r="F307" i="26" s="1"/>
  <c r="F29" i="26"/>
  <c r="F324" i="26" s="1"/>
  <c r="F326" i="26" s="1"/>
  <c r="F58" i="26" l="1"/>
  <c r="F71" i="26" s="1"/>
  <c r="F306" i="26"/>
  <c r="F305" i="26"/>
  <c r="F315" i="26"/>
  <c r="F318" i="26"/>
  <c r="F309" i="26"/>
  <c r="F317" i="26"/>
  <c r="F300" i="26"/>
  <c r="F308" i="26"/>
  <c r="F304" i="26"/>
  <c r="F299" i="26"/>
  <c r="F312" i="26"/>
  <c r="F345" i="26"/>
  <c r="F316" i="26"/>
  <c r="F313" i="26"/>
  <c r="F311" i="26"/>
  <c r="F302" i="26"/>
  <c r="F310" i="26"/>
  <c r="F331" i="26"/>
  <c r="F303" i="26"/>
  <c r="F301" i="26"/>
  <c r="F314" i="26"/>
  <c r="F328" i="26"/>
  <c r="F341" i="26"/>
  <c r="F333" i="26"/>
  <c r="F339" i="26"/>
  <c r="F332" i="26"/>
  <c r="F340" i="26"/>
  <c r="F344" i="26"/>
  <c r="F334" i="26"/>
  <c r="F330" i="26"/>
  <c r="F327" i="26"/>
  <c r="F335" i="26"/>
  <c r="F343" i="26"/>
  <c r="F338" i="26"/>
  <c r="F342" i="26"/>
  <c r="F337" i="26"/>
  <c r="F336" i="26"/>
  <c r="F329" i="26"/>
  <c r="F319" i="26" l="1"/>
  <c r="F28" i="26" s="1"/>
  <c r="F325" i="26"/>
  <c r="F67" i="26" s="1"/>
  <c r="F320" i="26" l="1"/>
  <c r="F321" i="26" s="1"/>
  <c r="F66" i="26" s="1"/>
  <c r="F73" i="26" s="1"/>
  <c r="E35" i="3" l="1"/>
  <c r="E10" i="46" l="1"/>
  <c r="G35" i="3"/>
  <c r="N8" i="3" s="1"/>
  <c r="E33" i="3"/>
  <c r="E38" i="3"/>
  <c r="E34" i="3"/>
  <c r="E36" i="3"/>
  <c r="Q106" i="1"/>
  <c r="E37" i="3"/>
  <c r="G36" i="3" l="1"/>
  <c r="N9" i="3" s="1"/>
  <c r="E11" i="46"/>
  <c r="F18" i="45"/>
  <c r="E41" i="46"/>
  <c r="F72" i="45" s="1"/>
  <c r="E25" i="46"/>
  <c r="F45" i="45" s="1"/>
  <c r="E9" i="46"/>
  <c r="G34" i="3"/>
  <c r="N7" i="3" s="1"/>
  <c r="E12" i="46"/>
  <c r="G37" i="3"/>
  <c r="N10" i="3" s="1"/>
  <c r="G38" i="3"/>
  <c r="N11" i="3" s="1"/>
  <c r="E13" i="46"/>
  <c r="E8" i="46"/>
  <c r="G33" i="3"/>
  <c r="N6" i="3" s="1"/>
  <c r="E39" i="3"/>
  <c r="G39" i="3" s="1"/>
  <c r="F17" i="45" l="1"/>
  <c r="E24" i="46"/>
  <c r="F44" i="45" s="1"/>
  <c r="E40" i="46"/>
  <c r="F71" i="45" s="1"/>
  <c r="F20" i="45"/>
  <c r="E27" i="46"/>
  <c r="F47" i="45" s="1"/>
  <c r="E43" i="46"/>
  <c r="F74" i="45" s="1"/>
  <c r="F16" i="45"/>
  <c r="E39" i="46"/>
  <c r="E23" i="46"/>
  <c r="F43" i="45" s="1"/>
  <c r="F19" i="45"/>
  <c r="E42" i="46"/>
  <c r="F73" i="45" s="1"/>
  <c r="E26" i="46"/>
  <c r="F46" i="45" s="1"/>
  <c r="F21" i="45"/>
  <c r="E44" i="46"/>
  <c r="F75" i="45" s="1"/>
  <c r="E28" i="46"/>
  <c r="F48" i="45" s="1"/>
  <c r="E14" i="46"/>
  <c r="F22" i="45" s="1"/>
  <c r="F37" i="7"/>
  <c r="E37" i="7"/>
  <c r="D37" i="7"/>
  <c r="C37" i="7"/>
  <c r="Q17" i="7"/>
  <c r="R9" i="7"/>
  <c r="U9" i="7"/>
  <c r="T18" i="7"/>
  <c r="Q9" i="7"/>
  <c r="S18" i="7"/>
  <c r="F36" i="7" s="1"/>
  <c r="R18" i="7"/>
  <c r="S9" i="7"/>
  <c r="F27" i="7" s="1"/>
  <c r="U17" i="7"/>
  <c r="U18" i="7" s="1"/>
  <c r="Q18" i="7"/>
  <c r="T17" i="7"/>
  <c r="S17" i="7"/>
  <c r="F35" i="7" s="1"/>
  <c r="T9" i="7"/>
  <c r="R17" i="7"/>
  <c r="O17" i="7"/>
  <c r="I17" i="7"/>
  <c r="I18" i="7" s="1"/>
  <c r="G17" i="7"/>
  <c r="E9" i="7"/>
  <c r="D27" i="7" s="1"/>
  <c r="P18" i="7"/>
  <c r="E26" i="7"/>
  <c r="E34" i="7"/>
  <c r="E33" i="7"/>
  <c r="E30" i="7"/>
  <c r="E25" i="7"/>
  <c r="E31" i="7"/>
  <c r="K9" i="7"/>
  <c r="J17" i="7"/>
  <c r="C35" i="7" s="1"/>
  <c r="O9" i="7"/>
  <c r="M17" i="7"/>
  <c r="O18" i="7"/>
  <c r="E18" i="7"/>
  <c r="D36" i="7" s="1"/>
  <c r="F9" i="7"/>
  <c r="N9" i="7"/>
  <c r="E27" i="7" s="1"/>
  <c r="L9" i="7"/>
  <c r="F18" i="7"/>
  <c r="I9" i="7"/>
  <c r="G9" i="7"/>
  <c r="E17" i="7"/>
  <c r="D35" i="7" s="1"/>
  <c r="N18" i="7"/>
  <c r="E36" i="7" s="1"/>
  <c r="M9" i="7"/>
  <c r="C9" i="7"/>
  <c r="D17" i="7"/>
  <c r="N17" i="7"/>
  <c r="E35" i="7" s="1"/>
  <c r="M18" i="7"/>
  <c r="D9" i="7"/>
  <c r="H17" i="7"/>
  <c r="H18" i="7" s="1"/>
  <c r="L17" i="7"/>
  <c r="L18" i="7" s="1"/>
  <c r="C17" i="7"/>
  <c r="D18" i="7"/>
  <c r="H9" i="7"/>
  <c r="G18" i="7"/>
  <c r="J9" i="7"/>
  <c r="C27" i="7" s="1"/>
  <c r="P9" i="7"/>
  <c r="K17" i="7"/>
  <c r="K18" i="7" s="1"/>
  <c r="C18" i="7"/>
  <c r="P17" i="7"/>
  <c r="F17" i="7"/>
  <c r="F34" i="7"/>
  <c r="F25" i="7"/>
  <c r="F28" i="7"/>
  <c r="F31" i="7"/>
  <c r="F29" i="7"/>
  <c r="F26" i="7"/>
  <c r="F30" i="7"/>
  <c r="D33" i="7"/>
  <c r="D31" i="7"/>
  <c r="D34" i="7"/>
  <c r="D25" i="7"/>
  <c r="D26" i="7"/>
  <c r="D30" i="7"/>
  <c r="C25" i="7"/>
  <c r="C31" i="7"/>
  <c r="C34" i="7"/>
  <c r="C29" i="7"/>
  <c r="C28" i="7"/>
  <c r="C32" i="7"/>
  <c r="C26" i="7"/>
  <c r="C30" i="7"/>
  <c r="E32" i="7"/>
  <c r="F32" i="7"/>
  <c r="D32" i="7"/>
  <c r="E29" i="7"/>
  <c r="D29" i="7"/>
  <c r="C33" i="7"/>
  <c r="D28" i="7"/>
  <c r="F33" i="7"/>
  <c r="E28" i="7"/>
  <c r="E29" i="46" l="1"/>
  <c r="F49" i="45" s="1"/>
  <c r="F70" i="45"/>
  <c r="E45" i="46"/>
  <c r="F76" i="45" s="1"/>
  <c r="J18" i="7"/>
  <c r="C36" i="7" s="1"/>
  <c r="J117" i="20" l="1"/>
  <c r="I117" i="20"/>
  <c r="BE51" i="20" s="1"/>
  <c r="BF51" i="20" s="1"/>
  <c r="AB117" i="20" l="1"/>
  <c r="AK117" i="20"/>
  <c r="AJ117" i="20"/>
  <c r="AI117" i="20"/>
  <c r="AG117" i="20"/>
  <c r="AF117" i="20"/>
  <c r="AH117" i="20"/>
  <c r="AC117" i="20"/>
  <c r="AE117" i="20"/>
  <c r="AD117" i="20"/>
  <c r="R117" i="20"/>
  <c r="AA117" i="20"/>
  <c r="V117" i="20"/>
  <c r="X117" i="20"/>
  <c r="T117" i="20"/>
  <c r="U117" i="20"/>
  <c r="Z117" i="20"/>
  <c r="Y117" i="20"/>
  <c r="W117" i="20"/>
  <c r="S117" i="20"/>
  <c r="J119" i="20"/>
  <c r="J127" i="20"/>
  <c r="J124" i="20"/>
  <c r="J126" i="20"/>
  <c r="J128" i="20"/>
  <c r="I119" i="20"/>
  <c r="BE53" i="20" s="1"/>
  <c r="BF53" i="20" s="1"/>
  <c r="I127" i="20"/>
  <c r="BE61" i="20" s="1"/>
  <c r="BF61" i="20" s="1"/>
  <c r="I120" i="20"/>
  <c r="BE54" i="20" s="1"/>
  <c r="BF54" i="20" s="1"/>
  <c r="I122" i="20"/>
  <c r="BE56" i="20" s="1"/>
  <c r="BF56" i="20" s="1"/>
  <c r="I126" i="20"/>
  <c r="BE60" i="20" s="1"/>
  <c r="BF60" i="20" s="1"/>
  <c r="J122" i="20"/>
  <c r="J118" i="20"/>
  <c r="I123" i="20"/>
  <c r="BE57" i="20" s="1"/>
  <c r="BF57" i="20" s="1"/>
  <c r="J123" i="20"/>
  <c r="I118" i="20"/>
  <c r="BE52" i="20" s="1"/>
  <c r="BF52" i="20" s="1"/>
  <c r="H95" i="26" s="1"/>
  <c r="I128" i="20"/>
  <c r="BE62" i="20" s="1"/>
  <c r="BF62" i="20" s="1"/>
  <c r="J120" i="20"/>
  <c r="S119" i="20" l="1"/>
  <c r="R119" i="20"/>
  <c r="U119" i="20"/>
  <c r="Z119" i="20"/>
  <c r="X119" i="20"/>
  <c r="AA119" i="20"/>
  <c r="AC119" i="20"/>
  <c r="V119" i="20"/>
  <c r="T119" i="20"/>
  <c r="W119" i="20"/>
  <c r="Y119" i="20"/>
  <c r="AE119" i="20"/>
  <c r="AD119" i="20"/>
  <c r="AB119" i="20"/>
  <c r="Y127" i="20"/>
  <c r="AE127" i="20"/>
  <c r="AA123" i="20"/>
  <c r="W123" i="20"/>
  <c r="T123" i="20"/>
  <c r="AC123" i="20"/>
  <c r="I95" i="26"/>
  <c r="H97" i="26"/>
  <c r="H83" i="26" s="1"/>
  <c r="H25" i="26" s="1"/>
  <c r="S123" i="20"/>
  <c r="AB123" i="20"/>
  <c r="Y123" i="20"/>
  <c r="X123" i="20"/>
  <c r="R123" i="20"/>
  <c r="AE123" i="20"/>
  <c r="V123" i="20"/>
  <c r="AD123" i="20"/>
  <c r="Z123" i="20"/>
  <c r="AC127" i="20"/>
  <c r="U123" i="20"/>
  <c r="U120" i="20"/>
  <c r="AC118" i="20"/>
  <c r="Z118" i="20"/>
  <c r="X118" i="20"/>
  <c r="AA127" i="20"/>
  <c r="V120" i="20"/>
  <c r="S127" i="20"/>
  <c r="AB127" i="20"/>
  <c r="R120" i="20"/>
  <c r="U127" i="20"/>
  <c r="X127" i="20"/>
  <c r="AD127" i="20"/>
  <c r="AD118" i="20"/>
  <c r="Y118" i="20"/>
  <c r="AD120" i="20"/>
  <c r="T127" i="20"/>
  <c r="AD126" i="20"/>
  <c r="AB126" i="20"/>
  <c r="AB122" i="20"/>
  <c r="X122" i="20"/>
  <c r="U128" i="20"/>
  <c r="T120" i="20"/>
  <c r="W120" i="20"/>
  <c r="AA120" i="20"/>
  <c r="AC120" i="20"/>
  <c r="AE120" i="20"/>
  <c r="V118" i="20"/>
  <c r="X120" i="20"/>
  <c r="X128" i="20"/>
  <c r="Y120" i="20"/>
  <c r="AB120" i="20"/>
  <c r="R127" i="20"/>
  <c r="Z120" i="20"/>
  <c r="Z128" i="20"/>
  <c r="Y122" i="20"/>
  <c r="T122" i="20"/>
  <c r="W122" i="20"/>
  <c r="AB128" i="20"/>
  <c r="S122" i="20"/>
  <c r="AB118" i="20"/>
  <c r="S120" i="20"/>
  <c r="Z122" i="20"/>
  <c r="V122" i="20"/>
  <c r="W118" i="20"/>
  <c r="V127" i="20"/>
  <c r="AG126" i="20"/>
  <c r="AI126" i="20"/>
  <c r="AJ126" i="20"/>
  <c r="AF126" i="20"/>
  <c r="AK126" i="20"/>
  <c r="AH126" i="20"/>
  <c r="AG122" i="20"/>
  <c r="AH122" i="20"/>
  <c r="AF122" i="20"/>
  <c r="AK122" i="20"/>
  <c r="AI122" i="20"/>
  <c r="AJ122" i="20"/>
  <c r="V128" i="20"/>
  <c r="Z126" i="20"/>
  <c r="U126" i="20"/>
  <c r="S126" i="20"/>
  <c r="AG118" i="20"/>
  <c r="AK118" i="20"/>
  <c r="AF118" i="20"/>
  <c r="AH118" i="20"/>
  <c r="AJ118" i="20"/>
  <c r="AI118" i="20"/>
  <c r="AK120" i="20"/>
  <c r="AJ120" i="20"/>
  <c r="AI120" i="20"/>
  <c r="AH120" i="20"/>
  <c r="AG120" i="20"/>
  <c r="AF120" i="20"/>
  <c r="AC126" i="20"/>
  <c r="AI127" i="20"/>
  <c r="AK127" i="20"/>
  <c r="AJ127" i="20"/>
  <c r="AH127" i="20"/>
  <c r="AG127" i="20"/>
  <c r="AF127" i="20"/>
  <c r="AK128" i="20"/>
  <c r="AF128" i="20"/>
  <c r="AJ128" i="20"/>
  <c r="AI128" i="20"/>
  <c r="AH128" i="20"/>
  <c r="AG128" i="20"/>
  <c r="AD128" i="20"/>
  <c r="U118" i="20"/>
  <c r="X126" i="20"/>
  <c r="AE128" i="20"/>
  <c r="T128" i="20"/>
  <c r="R122" i="20"/>
  <c r="T118" i="20"/>
  <c r="U122" i="20"/>
  <c r="AA126" i="20"/>
  <c r="S118" i="20"/>
  <c r="AA122" i="20"/>
  <c r="R118" i="20"/>
  <c r="AE122" i="20"/>
  <c r="Y128" i="20"/>
  <c r="Y126" i="20"/>
  <c r="S128" i="20"/>
  <c r="W127" i="20"/>
  <c r="AC122" i="20"/>
  <c r="V126" i="20"/>
  <c r="AI119" i="20"/>
  <c r="AH119" i="20"/>
  <c r="AG119" i="20"/>
  <c r="AF119" i="20"/>
  <c r="AJ119" i="20"/>
  <c r="AK119" i="20"/>
  <c r="T126" i="20"/>
  <c r="AC128" i="20"/>
  <c r="AD122" i="20"/>
  <c r="AE126" i="20"/>
  <c r="AA118" i="20"/>
  <c r="W126" i="20"/>
  <c r="AE118" i="20"/>
  <c r="R126" i="20"/>
  <c r="AA128" i="20"/>
  <c r="Z127" i="20"/>
  <c r="W128" i="20"/>
  <c r="R128" i="20"/>
  <c r="AJ123" i="20"/>
  <c r="AI123" i="20"/>
  <c r="AF123" i="20"/>
  <c r="AK123" i="20"/>
  <c r="AG123" i="20"/>
  <c r="AH123" i="20"/>
  <c r="I124" i="20"/>
  <c r="BE58" i="20" s="1"/>
  <c r="BF58" i="20" s="1"/>
  <c r="J61" i="20"/>
  <c r="J65" i="20"/>
  <c r="J57" i="20"/>
  <c r="J66" i="20"/>
  <c r="J58" i="20"/>
  <c r="J59" i="20"/>
  <c r="J63" i="20"/>
  <c r="J55" i="20"/>
  <c r="J60" i="20"/>
  <c r="J62" i="20"/>
  <c r="H98" i="26" l="1"/>
  <c r="H99" i="26" s="1"/>
  <c r="I25" i="26"/>
  <c r="I98" i="26" s="1"/>
  <c r="E95" i="26"/>
  <c r="L113" i="1"/>
  <c r="L115" i="1" s="1"/>
  <c r="F34" i="1" s="1"/>
  <c r="I97" i="26"/>
  <c r="I83" i="26" s="1"/>
  <c r="AJ124" i="20"/>
  <c r="AD124" i="20"/>
  <c r="AC124" i="20"/>
  <c r="AF124" i="20"/>
  <c r="Z124" i="20"/>
  <c r="U124" i="20"/>
  <c r="AB124" i="20"/>
  <c r="Y124" i="20"/>
  <c r="AE124" i="20"/>
  <c r="R124" i="20"/>
  <c r="AA124" i="20"/>
  <c r="AG124" i="20"/>
  <c r="AH124" i="20"/>
  <c r="X124" i="20"/>
  <c r="V124" i="20"/>
  <c r="AI124" i="20"/>
  <c r="W124" i="20"/>
  <c r="AK124" i="20"/>
  <c r="T124" i="20"/>
  <c r="S124" i="20"/>
  <c r="I55" i="20" a="1"/>
  <c r="I55" i="20" s="1"/>
  <c r="L11" i="25" l="1"/>
  <c r="L10" i="25"/>
  <c r="L7" i="25"/>
  <c r="L8" i="25"/>
  <c r="L9" i="25"/>
  <c r="F95" i="26"/>
  <c r="F97" i="26" s="1"/>
  <c r="F83" i="26" s="1"/>
  <c r="E97" i="26"/>
  <c r="E83" i="26" s="1"/>
  <c r="E25" i="26" s="1"/>
  <c r="I99" i="26"/>
  <c r="H144" i="26"/>
  <c r="H123" i="26" s="1"/>
  <c r="H135" i="26"/>
  <c r="H114" i="26" s="1"/>
  <c r="H130" i="26"/>
  <c r="H109" i="26" s="1"/>
  <c r="H140" i="26"/>
  <c r="H119" i="26" s="1"/>
  <c r="H143" i="26"/>
  <c r="H122" i="26" s="1"/>
  <c r="H125" i="26"/>
  <c r="H104" i="26" s="1"/>
  <c r="H127" i="26"/>
  <c r="H106" i="26" s="1"/>
  <c r="H136" i="26"/>
  <c r="H132" i="26"/>
  <c r="H111" i="26" s="1"/>
  <c r="H131" i="26"/>
  <c r="H110" i="26" s="1"/>
  <c r="H142" i="26"/>
  <c r="H121" i="26" s="1"/>
  <c r="H133" i="26"/>
  <c r="H112" i="26" s="1"/>
  <c r="H124" i="26"/>
  <c r="H103" i="26" s="1"/>
  <c r="H126" i="26"/>
  <c r="H105" i="26" s="1"/>
  <c r="H129" i="26"/>
  <c r="H108" i="26" s="1"/>
  <c r="H141" i="26"/>
  <c r="H120" i="26" s="1"/>
  <c r="H138" i="26"/>
  <c r="H117" i="26" s="1"/>
  <c r="H134" i="26"/>
  <c r="H113" i="26" s="1"/>
  <c r="H137" i="26"/>
  <c r="H116" i="26" s="1"/>
  <c r="H139" i="26"/>
  <c r="H118" i="26" s="1"/>
  <c r="H128" i="26"/>
  <c r="H107" i="26" s="1"/>
  <c r="BD51" i="20"/>
  <c r="H55" i="20"/>
  <c r="I65" i="20" a="1"/>
  <c r="I65" i="20" s="1"/>
  <c r="I64" i="20" a="1"/>
  <c r="I64" i="20" s="1"/>
  <c r="I59" i="20" a="1"/>
  <c r="I59" i="20" s="1"/>
  <c r="I58" i="20" a="1"/>
  <c r="I58" i="20" s="1"/>
  <c r="I56" i="20" a="1"/>
  <c r="I56" i="20" s="1"/>
  <c r="I57" i="20" a="1"/>
  <c r="I57" i="20" s="1"/>
  <c r="I61" i="20" a="1"/>
  <c r="I61" i="20" s="1"/>
  <c r="I60" i="20" a="1"/>
  <c r="I60" i="20" s="1"/>
  <c r="I62" i="20" a="1"/>
  <c r="I62" i="20" s="1"/>
  <c r="BG51" i="20" l="1"/>
  <c r="K95" i="26"/>
  <c r="H115" i="26"/>
  <c r="H102" i="26" s="1" a="1"/>
  <c r="H102" i="26" s="1"/>
  <c r="H43" i="26" s="1"/>
  <c r="H41" i="26" s="1"/>
  <c r="H68" i="26" s="1"/>
  <c r="H100" i="26" a="1"/>
  <c r="H100" i="26" s="1"/>
  <c r="H57" i="26" s="1"/>
  <c r="H64" i="26" s="1"/>
  <c r="I129" i="26"/>
  <c r="I108" i="26" s="1"/>
  <c r="I141" i="26"/>
  <c r="I120" i="26" s="1"/>
  <c r="I126" i="26"/>
  <c r="I105" i="26" s="1"/>
  <c r="I132" i="26"/>
  <c r="I111" i="26" s="1"/>
  <c r="I140" i="26"/>
  <c r="I119" i="26" s="1"/>
  <c r="I142" i="26"/>
  <c r="I121" i="26" s="1"/>
  <c r="I134" i="26"/>
  <c r="I113" i="26" s="1"/>
  <c r="I127" i="26"/>
  <c r="I106" i="26" s="1"/>
  <c r="I128" i="26"/>
  <c r="I107" i="26" s="1"/>
  <c r="I138" i="26"/>
  <c r="I117" i="26" s="1"/>
  <c r="I137" i="26"/>
  <c r="I135" i="26"/>
  <c r="I114" i="26" s="1"/>
  <c r="I136" i="26"/>
  <c r="I115" i="26" s="1"/>
  <c r="I144" i="26"/>
  <c r="I123" i="26" s="1"/>
  <c r="I139" i="26"/>
  <c r="I118" i="26" s="1"/>
  <c r="I124" i="26"/>
  <c r="I103" i="26" s="1"/>
  <c r="I131" i="26"/>
  <c r="I110" i="26" s="1"/>
  <c r="I133" i="26"/>
  <c r="I112" i="26" s="1"/>
  <c r="I125" i="26"/>
  <c r="I104" i="26" s="1"/>
  <c r="I130" i="26"/>
  <c r="I109" i="26" s="1"/>
  <c r="I143" i="26"/>
  <c r="I122" i="26" s="1"/>
  <c r="E98" i="26"/>
  <c r="E99" i="26" s="1"/>
  <c r="F25" i="26"/>
  <c r="F98" i="26" s="1"/>
  <c r="F99" i="26" s="1"/>
  <c r="F133" i="26" s="1"/>
  <c r="F112" i="26" s="1"/>
  <c r="BH51" i="20"/>
  <c r="BD61" i="20"/>
  <c r="BG61" i="20" s="1"/>
  <c r="H65" i="20"/>
  <c r="BD56" i="20"/>
  <c r="BH56" i="20" s="1"/>
  <c r="H60" i="20"/>
  <c r="BD55" i="20"/>
  <c r="H59" i="20"/>
  <c r="BD53" i="20"/>
  <c r="BH53" i="20" s="1"/>
  <c r="H57" i="20"/>
  <c r="BD60" i="20"/>
  <c r="BG60" i="20" s="1"/>
  <c r="H64" i="20"/>
  <c r="BD52" i="20"/>
  <c r="BH52" i="20" s="1"/>
  <c r="H56" i="20"/>
  <c r="S55" i="20"/>
  <c r="R55" i="20"/>
  <c r="T55" i="20"/>
  <c r="U55" i="20"/>
  <c r="Z55" i="20"/>
  <c r="AJ55" i="20"/>
  <c r="V55" i="20"/>
  <c r="AC55" i="20"/>
  <c r="AH55" i="20"/>
  <c r="AI55" i="20"/>
  <c r="W55" i="20"/>
  <c r="AF55" i="20"/>
  <c r="AB55" i="20"/>
  <c r="AD55" i="20"/>
  <c r="Y55" i="20"/>
  <c r="AK55" i="20"/>
  <c r="AG55" i="20"/>
  <c r="X55" i="20"/>
  <c r="AA55" i="20"/>
  <c r="AE55" i="20"/>
  <c r="BD58" i="20"/>
  <c r="BH58" i="20" s="1"/>
  <c r="H62" i="20"/>
  <c r="BD57" i="20"/>
  <c r="BG57" i="20" s="1"/>
  <c r="H61" i="20"/>
  <c r="BD54" i="20"/>
  <c r="BH54" i="20" s="1"/>
  <c r="H58" i="20"/>
  <c r="I63" i="20" a="1"/>
  <c r="I63" i="20" s="1"/>
  <c r="BH61" i="20" l="1"/>
  <c r="BG58" i="20"/>
  <c r="L95" i="26"/>
  <c r="K97" i="26"/>
  <c r="K83" i="26" s="1"/>
  <c r="K25" i="26" s="1"/>
  <c r="BH60" i="20"/>
  <c r="BG56" i="20"/>
  <c r="BG52" i="20"/>
  <c r="BH57" i="20"/>
  <c r="H70" i="26"/>
  <c r="H54" i="26" s="1"/>
  <c r="H63" i="26" s="1"/>
  <c r="H75" i="26" s="1"/>
  <c r="H76" i="26" s="1"/>
  <c r="H5" i="26" s="1"/>
  <c r="D18" i="3" s="1"/>
  <c r="F132" i="26"/>
  <c r="F111" i="26" s="1"/>
  <c r="F144" i="26"/>
  <c r="F123" i="26" s="1"/>
  <c r="F134" i="26"/>
  <c r="F113" i="26" s="1"/>
  <c r="F137" i="26"/>
  <c r="F116" i="26" s="1"/>
  <c r="F135" i="26"/>
  <c r="F114" i="26" s="1"/>
  <c r="F131" i="26"/>
  <c r="F110" i="26" s="1"/>
  <c r="F136" i="26"/>
  <c r="F115" i="26" s="1"/>
  <c r="F142" i="26"/>
  <c r="F121" i="26" s="1"/>
  <c r="F141" i="26"/>
  <c r="F120" i="26" s="1"/>
  <c r="F139" i="26"/>
  <c r="F118" i="26" s="1"/>
  <c r="F143" i="26"/>
  <c r="F122" i="26" s="1"/>
  <c r="F129" i="26"/>
  <c r="F108" i="26" s="1"/>
  <c r="F140" i="26"/>
  <c r="F119" i="26" s="1"/>
  <c r="F138" i="26"/>
  <c r="F117" i="26" s="1"/>
  <c r="F124" i="26"/>
  <c r="F103" i="26" s="1"/>
  <c r="F130" i="26"/>
  <c r="F109" i="26" s="1"/>
  <c r="F126" i="26"/>
  <c r="F105" i="26" s="1"/>
  <c r="F125" i="26"/>
  <c r="F104" i="26" s="1"/>
  <c r="F128" i="26"/>
  <c r="F107" i="26" s="1"/>
  <c r="E136" i="26"/>
  <c r="E115" i="26" s="1"/>
  <c r="E138" i="26"/>
  <c r="E117" i="26" s="1"/>
  <c r="E132" i="26"/>
  <c r="E111" i="26" s="1"/>
  <c r="E124" i="26"/>
  <c r="E103" i="26" s="1"/>
  <c r="E134" i="26"/>
  <c r="E113" i="26" s="1"/>
  <c r="E130" i="26"/>
  <c r="E109" i="26" s="1"/>
  <c r="E140" i="26"/>
  <c r="E119" i="26" s="1"/>
  <c r="E128" i="26"/>
  <c r="E107" i="26" s="1"/>
  <c r="E126" i="26"/>
  <c r="E105" i="26" s="1"/>
  <c r="E135" i="26"/>
  <c r="E114" i="26" s="1"/>
  <c r="E139" i="26"/>
  <c r="E118" i="26" s="1"/>
  <c r="E141" i="26"/>
  <c r="E120" i="26" s="1"/>
  <c r="E129" i="26"/>
  <c r="E125" i="26"/>
  <c r="E104" i="26" s="1"/>
  <c r="E142" i="26"/>
  <c r="E121" i="26" s="1"/>
  <c r="E131" i="26"/>
  <c r="E110" i="26" s="1"/>
  <c r="E127" i="26"/>
  <c r="E106" i="26" s="1"/>
  <c r="E143" i="26"/>
  <c r="E122" i="26" s="1"/>
  <c r="E133" i="26"/>
  <c r="E112" i="26" s="1"/>
  <c r="E137" i="26"/>
  <c r="E116" i="26" s="1"/>
  <c r="E144" i="26"/>
  <c r="E123" i="26" s="1"/>
  <c r="I116" i="26"/>
  <c r="I102" i="26" s="1" a="1"/>
  <c r="I102" i="26" s="1"/>
  <c r="I43" i="26" s="1"/>
  <c r="I41" i="26" s="1"/>
  <c r="I68" i="26" s="1"/>
  <c r="I100" i="26" a="1"/>
  <c r="I100" i="26" s="1"/>
  <c r="I57" i="26" s="1"/>
  <c r="F127" i="26"/>
  <c r="F106" i="26" s="1"/>
  <c r="BG54" i="20"/>
  <c r="BH55" i="20"/>
  <c r="AJ57" i="20"/>
  <c r="AK57" i="20"/>
  <c r="R57" i="20"/>
  <c r="AC57" i="20"/>
  <c r="AD57" i="20"/>
  <c r="Z57" i="20"/>
  <c r="AE57" i="20"/>
  <c r="V57" i="20"/>
  <c r="AI57" i="20"/>
  <c r="AG57" i="20"/>
  <c r="U57" i="20"/>
  <c r="AH57" i="20"/>
  <c r="AA57" i="20"/>
  <c r="Y57" i="20"/>
  <c r="T57" i="20"/>
  <c r="AF57" i="20"/>
  <c r="W57" i="20"/>
  <c r="AB57" i="20"/>
  <c r="X57" i="20"/>
  <c r="S57" i="20"/>
  <c r="AD59" i="20"/>
  <c r="W59" i="20"/>
  <c r="X59" i="20"/>
  <c r="AJ59" i="20"/>
  <c r="R59" i="20"/>
  <c r="S59" i="20"/>
  <c r="AH59" i="20"/>
  <c r="V59" i="20"/>
  <c r="AF59" i="20"/>
  <c r="T59" i="20"/>
  <c r="AI59" i="20"/>
  <c r="AC59" i="20"/>
  <c r="Y59" i="20"/>
  <c r="Z59" i="20"/>
  <c r="AB59" i="20"/>
  <c r="AG59" i="20"/>
  <c r="AE59" i="20"/>
  <c r="AK59" i="20"/>
  <c r="AA59" i="20"/>
  <c r="U59" i="20"/>
  <c r="U61" i="20"/>
  <c r="R61" i="20"/>
  <c r="AB61" i="20"/>
  <c r="AF61" i="20"/>
  <c r="Y61" i="20"/>
  <c r="V61" i="20"/>
  <c r="AE61" i="20"/>
  <c r="S61" i="20"/>
  <c r="AJ61" i="20"/>
  <c r="W61" i="20"/>
  <c r="AI61" i="20"/>
  <c r="T61" i="20"/>
  <c r="AK61" i="20"/>
  <c r="X61" i="20"/>
  <c r="AC61" i="20"/>
  <c r="AG61" i="20"/>
  <c r="AH61" i="20"/>
  <c r="AD61" i="20"/>
  <c r="AA61" i="20"/>
  <c r="Z61" i="20"/>
  <c r="AG56" i="20"/>
  <c r="AD56" i="20"/>
  <c r="AA56" i="20"/>
  <c r="Y56" i="20"/>
  <c r="V56" i="20"/>
  <c r="W56" i="20"/>
  <c r="AJ56" i="20"/>
  <c r="AI56" i="20"/>
  <c r="U56" i="20"/>
  <c r="AH56" i="20"/>
  <c r="AB56" i="20"/>
  <c r="S56" i="20"/>
  <c r="Z56" i="20"/>
  <c r="AK56" i="20"/>
  <c r="R56" i="20"/>
  <c r="AC56" i="20"/>
  <c r="X56" i="20"/>
  <c r="AF56" i="20"/>
  <c r="T56" i="20"/>
  <c r="AE56" i="20"/>
  <c r="W60" i="20"/>
  <c r="AD60" i="20"/>
  <c r="AK60" i="20"/>
  <c r="AG60" i="20"/>
  <c r="AJ60" i="20"/>
  <c r="AE60" i="20"/>
  <c r="V60" i="20"/>
  <c r="U60" i="20"/>
  <c r="R60" i="20"/>
  <c r="X60" i="20"/>
  <c r="AH60" i="20"/>
  <c r="AI60" i="20"/>
  <c r="Y60" i="20"/>
  <c r="AB60" i="20"/>
  <c r="S60" i="20"/>
  <c r="AA60" i="20"/>
  <c r="AF60" i="20"/>
  <c r="Z60" i="20"/>
  <c r="T60" i="20"/>
  <c r="AC60" i="20"/>
  <c r="R58" i="20"/>
  <c r="U58" i="20"/>
  <c r="AC58" i="20"/>
  <c r="AF58" i="20"/>
  <c r="V58" i="20"/>
  <c r="S58" i="20"/>
  <c r="Z58" i="20"/>
  <c r="T58" i="20"/>
  <c r="AD58" i="20"/>
  <c r="AE58" i="20"/>
  <c r="X58" i="20"/>
  <c r="AK58" i="20"/>
  <c r="AG58" i="20"/>
  <c r="AI58" i="20"/>
  <c r="Y58" i="20"/>
  <c r="AA58" i="20"/>
  <c r="W58" i="20"/>
  <c r="AH58" i="20"/>
  <c r="AJ58" i="20"/>
  <c r="AB58" i="20"/>
  <c r="BG53" i="20"/>
  <c r="BD59" i="20"/>
  <c r="H63" i="20"/>
  <c r="BG55" i="20"/>
  <c r="W62" i="20"/>
  <c r="U62" i="20"/>
  <c r="X62" i="20"/>
  <c r="AD62" i="20"/>
  <c r="AG62" i="20"/>
  <c r="Z62" i="20"/>
  <c r="AK62" i="20"/>
  <c r="AJ62" i="20"/>
  <c r="T62" i="20"/>
  <c r="AF62" i="20"/>
  <c r="V62" i="20"/>
  <c r="S62" i="20"/>
  <c r="AC62" i="20"/>
  <c r="AE62" i="20"/>
  <c r="AA62" i="20"/>
  <c r="AB62" i="20"/>
  <c r="AH62" i="20"/>
  <c r="AI62" i="20"/>
  <c r="R62" i="20"/>
  <c r="Y62" i="20"/>
  <c r="Y64" i="20"/>
  <c r="U64" i="20"/>
  <c r="AB64" i="20"/>
  <c r="R64" i="20"/>
  <c r="AD64" i="20"/>
  <c r="Z64" i="20"/>
  <c r="AJ64" i="20"/>
  <c r="T64" i="20"/>
  <c r="AH64" i="20"/>
  <c r="AE64" i="20"/>
  <c r="AK64" i="20"/>
  <c r="V64" i="20"/>
  <c r="W64" i="20"/>
  <c r="AC64" i="20"/>
  <c r="AF64" i="20"/>
  <c r="AI64" i="20"/>
  <c r="AG64" i="20"/>
  <c r="S64" i="20"/>
  <c r="AA64" i="20"/>
  <c r="X64" i="20"/>
  <c r="S65" i="20"/>
  <c r="AH65" i="20"/>
  <c r="V65" i="20"/>
  <c r="AC65" i="20"/>
  <c r="R65" i="20"/>
  <c r="AB65" i="20"/>
  <c r="AE65" i="20"/>
  <c r="AJ65" i="20"/>
  <c r="W65" i="20"/>
  <c r="AF65" i="20"/>
  <c r="AK65" i="20"/>
  <c r="AI65" i="20"/>
  <c r="AD65" i="20"/>
  <c r="AG65" i="20"/>
  <c r="AA65" i="20"/>
  <c r="U65" i="20"/>
  <c r="Y65" i="20"/>
  <c r="T65" i="20"/>
  <c r="X65" i="20"/>
  <c r="Z65" i="20"/>
  <c r="I66" i="20" a="1"/>
  <c r="I66" i="20" s="1"/>
  <c r="K98" i="26" l="1"/>
  <c r="K99" i="26" s="1"/>
  <c r="L25" i="26"/>
  <c r="L98" i="26" s="1"/>
  <c r="L97" i="26"/>
  <c r="L83" i="26" s="1"/>
  <c r="D16" i="3"/>
  <c r="D15" i="3"/>
  <c r="D19" i="3"/>
  <c r="D17" i="3"/>
  <c r="W113" i="1" s="1"/>
  <c r="P103" i="1"/>
  <c r="D20" i="3"/>
  <c r="W116" i="1" s="1"/>
  <c r="F102" i="26" a="1"/>
  <c r="F102" i="26" s="1"/>
  <c r="F43" i="26" s="1"/>
  <c r="F41" i="26" s="1"/>
  <c r="F68" i="26" s="1"/>
  <c r="F100" i="26" a="1"/>
  <c r="F100" i="26" s="1"/>
  <c r="F57" i="26" s="1"/>
  <c r="F64" i="26" s="1"/>
  <c r="I64" i="26"/>
  <c r="I70" i="26" s="1"/>
  <c r="I54" i="26" s="1"/>
  <c r="I63" i="26" s="1"/>
  <c r="I75" i="26" s="1"/>
  <c r="I76" i="26" s="1"/>
  <c r="I5" i="26" s="1"/>
  <c r="E108" i="26"/>
  <c r="E102" i="26" s="1" a="1"/>
  <c r="E102" i="26" s="1"/>
  <c r="E43" i="26" s="1"/>
  <c r="E41" i="26" s="1"/>
  <c r="E68" i="26" s="1"/>
  <c r="E100" i="26" a="1"/>
  <c r="E100" i="26" s="1"/>
  <c r="E57" i="26" s="1"/>
  <c r="E64" i="26" s="1"/>
  <c r="W114" i="1"/>
  <c r="BH59" i="20"/>
  <c r="BG59" i="20"/>
  <c r="W63" i="20"/>
  <c r="S63" i="20"/>
  <c r="T63" i="20"/>
  <c r="AI63" i="20"/>
  <c r="X63" i="20"/>
  <c r="V63" i="20"/>
  <c r="AF63" i="20"/>
  <c r="Y63" i="20"/>
  <c r="AK63" i="20"/>
  <c r="AA63" i="20"/>
  <c r="AJ63" i="20"/>
  <c r="AC63" i="20"/>
  <c r="AH63" i="20"/>
  <c r="AG63" i="20"/>
  <c r="AB63" i="20"/>
  <c r="Z63" i="20"/>
  <c r="AE63" i="20"/>
  <c r="AD63" i="20"/>
  <c r="R63" i="20"/>
  <c r="U63" i="20"/>
  <c r="BD62" i="20"/>
  <c r="BH62" i="20" s="1"/>
  <c r="H66" i="20"/>
  <c r="L99" i="26" l="1"/>
  <c r="K125" i="26"/>
  <c r="K104" i="26" s="1"/>
  <c r="K143" i="26"/>
  <c r="K122" i="26" s="1"/>
  <c r="K130" i="26"/>
  <c r="K109" i="26" s="1"/>
  <c r="K142" i="26"/>
  <c r="K121" i="26" s="1"/>
  <c r="K131" i="26"/>
  <c r="K110" i="26" s="1"/>
  <c r="K126" i="26"/>
  <c r="K105" i="26" s="1"/>
  <c r="K141" i="26"/>
  <c r="K120" i="26" s="1"/>
  <c r="K136" i="26"/>
  <c r="K115" i="26" s="1"/>
  <c r="K135" i="26"/>
  <c r="K114" i="26" s="1"/>
  <c r="K129" i="26"/>
  <c r="K134" i="26"/>
  <c r="K113" i="26" s="1"/>
  <c r="K139" i="26"/>
  <c r="K118" i="26" s="1"/>
  <c r="K140" i="26"/>
  <c r="K119" i="26" s="1"/>
  <c r="K127" i="26"/>
  <c r="K106" i="26" s="1"/>
  <c r="K137" i="26"/>
  <c r="K116" i="26" s="1"/>
  <c r="K138" i="26"/>
  <c r="K117" i="26" s="1"/>
  <c r="K132" i="26"/>
  <c r="K111" i="26" s="1"/>
  <c r="K133" i="26"/>
  <c r="K112" i="26" s="1"/>
  <c r="K144" i="26"/>
  <c r="K123" i="26" s="1"/>
  <c r="K128" i="26"/>
  <c r="K107" i="26" s="1"/>
  <c r="K124" i="26"/>
  <c r="K103" i="26" s="1"/>
  <c r="W115" i="1"/>
  <c r="D21" i="3"/>
  <c r="W112" i="1"/>
  <c r="W111" i="1"/>
  <c r="F70" i="26"/>
  <c r="F54" i="26" s="1"/>
  <c r="F63" i="26" s="1"/>
  <c r="F75" i="26" s="1"/>
  <c r="F76" i="26" s="1"/>
  <c r="F5" i="26" s="1"/>
  <c r="E8" i="3" s="1"/>
  <c r="E15" i="3"/>
  <c r="C8" i="46" s="1"/>
  <c r="E17" i="3"/>
  <c r="X113" i="1" s="1"/>
  <c r="E20" i="3"/>
  <c r="X116" i="1" s="1"/>
  <c r="E18" i="3"/>
  <c r="E16" i="3"/>
  <c r="X112" i="1" s="1"/>
  <c r="Q103" i="1"/>
  <c r="E19" i="3"/>
  <c r="X115" i="1" s="1"/>
  <c r="E70" i="26"/>
  <c r="E54" i="26" s="1"/>
  <c r="E63" i="26" s="1"/>
  <c r="E75" i="26" s="1"/>
  <c r="E76" i="26" s="1"/>
  <c r="E5" i="26" s="1"/>
  <c r="BG62" i="20"/>
  <c r="W66" i="20"/>
  <c r="AD66" i="20"/>
  <c r="T66" i="20"/>
  <c r="AH66" i="20"/>
  <c r="AC66" i="20"/>
  <c r="AF66" i="20"/>
  <c r="V66" i="20"/>
  <c r="AK66" i="20"/>
  <c r="Y66" i="20"/>
  <c r="AA66" i="20"/>
  <c r="AE66" i="20"/>
  <c r="Z66" i="20"/>
  <c r="U66" i="20"/>
  <c r="X66" i="20"/>
  <c r="AJ66" i="20"/>
  <c r="S66" i="20"/>
  <c r="R66" i="20"/>
  <c r="AB66" i="20"/>
  <c r="AG66" i="20"/>
  <c r="AI66" i="20"/>
  <c r="K108" i="26" l="1"/>
  <c r="K102" i="26" s="1" a="1"/>
  <c r="K102" i="26" s="1"/>
  <c r="K43" i="26" s="1"/>
  <c r="K41" i="26" s="1"/>
  <c r="K68" i="26" s="1"/>
  <c r="K100" i="26" a="1"/>
  <c r="K100" i="26" s="1"/>
  <c r="K57" i="26" s="1"/>
  <c r="K64" i="26" s="1"/>
  <c r="L125" i="26"/>
  <c r="L104" i="26" s="1"/>
  <c r="L140" i="26"/>
  <c r="L119" i="26" s="1"/>
  <c r="L136" i="26"/>
  <c r="L115" i="26" s="1"/>
  <c r="L135" i="26"/>
  <c r="L114" i="26" s="1"/>
  <c r="L131" i="26"/>
  <c r="L110" i="26" s="1"/>
  <c r="L137" i="26"/>
  <c r="L116" i="26" s="1"/>
  <c r="L124" i="26"/>
  <c r="L103" i="26" s="1"/>
  <c r="L144" i="26"/>
  <c r="L123" i="26" s="1"/>
  <c r="L130" i="26"/>
  <c r="L109" i="26" s="1"/>
  <c r="L128" i="26"/>
  <c r="L107" i="26" s="1"/>
  <c r="L141" i="26"/>
  <c r="L120" i="26" s="1"/>
  <c r="L126" i="26"/>
  <c r="L105" i="26" s="1"/>
  <c r="L134" i="26"/>
  <c r="L113" i="26" s="1"/>
  <c r="L143" i="26"/>
  <c r="L122" i="26" s="1"/>
  <c r="L142" i="26"/>
  <c r="L121" i="26" s="1"/>
  <c r="L139" i="26"/>
  <c r="L118" i="26" s="1"/>
  <c r="L129" i="26"/>
  <c r="L138" i="26"/>
  <c r="L117" i="26" s="1"/>
  <c r="L132" i="26"/>
  <c r="L111" i="26" s="1"/>
  <c r="L127" i="26"/>
  <c r="L106" i="26" s="1"/>
  <c r="L133" i="26"/>
  <c r="L112" i="26" s="1"/>
  <c r="G20" i="3"/>
  <c r="L11" i="3" s="1"/>
  <c r="G15" i="3"/>
  <c r="L6" i="3" s="1"/>
  <c r="C13" i="46"/>
  <c r="C44" i="46" s="1"/>
  <c r="D75" i="45" s="1"/>
  <c r="C12" i="46"/>
  <c r="C27" i="46" s="1"/>
  <c r="D47" i="45" s="1"/>
  <c r="G16" i="3"/>
  <c r="L7" i="3" s="1"/>
  <c r="C9" i="46"/>
  <c r="C40" i="46" s="1"/>
  <c r="D71" i="45" s="1"/>
  <c r="G19" i="3"/>
  <c r="L10" i="3" s="1"/>
  <c r="C39" i="46"/>
  <c r="D70" i="45" s="1"/>
  <c r="D16" i="45"/>
  <c r="C23" i="46"/>
  <c r="D43" i="45" s="1"/>
  <c r="C10" i="46"/>
  <c r="D18" i="45" s="1"/>
  <c r="G17" i="3"/>
  <c r="L8" i="3" s="1"/>
  <c r="X114" i="1"/>
  <c r="C11" i="46"/>
  <c r="G18" i="3"/>
  <c r="L9" i="3" s="1"/>
  <c r="E6" i="3"/>
  <c r="Q104" i="1"/>
  <c r="E11" i="3"/>
  <c r="E7" i="3"/>
  <c r="E9" i="3"/>
  <c r="E10" i="3"/>
  <c r="X111" i="1"/>
  <c r="E21" i="3"/>
  <c r="G21" i="3" s="1"/>
  <c r="D10" i="3"/>
  <c r="D9" i="3"/>
  <c r="D6" i="3"/>
  <c r="D8" i="3"/>
  <c r="D11" i="3"/>
  <c r="D7" i="3"/>
  <c r="P104" i="1"/>
  <c r="L108" i="26" l="1"/>
  <c r="L102" i="26" s="1" a="1"/>
  <c r="L102" i="26" s="1"/>
  <c r="L43" i="26" s="1"/>
  <c r="L41" i="26" s="1"/>
  <c r="L68" i="26" s="1"/>
  <c r="L100" i="26" a="1"/>
  <c r="L100" i="26" s="1"/>
  <c r="L57" i="26" s="1"/>
  <c r="K70" i="26"/>
  <c r="K54" i="26" s="1"/>
  <c r="K63" i="26" s="1"/>
  <c r="K75" i="26" s="1"/>
  <c r="K76" i="26" s="1"/>
  <c r="K5" i="26" s="1"/>
  <c r="C14" i="46"/>
  <c r="D22" i="45" s="1"/>
  <c r="D21" i="45"/>
  <c r="C28" i="46"/>
  <c r="D48" i="45" s="1"/>
  <c r="D17" i="45"/>
  <c r="C43" i="46"/>
  <c r="D74" i="45" s="1"/>
  <c r="C24" i="46"/>
  <c r="D44" i="45" s="1"/>
  <c r="D20" i="45"/>
  <c r="C25" i="46"/>
  <c r="D45" i="45" s="1"/>
  <c r="C41" i="46"/>
  <c r="D72" i="45" s="1"/>
  <c r="D19" i="45"/>
  <c r="C26" i="46"/>
  <c r="D46" i="45" s="1"/>
  <c r="C42" i="46"/>
  <c r="D73" i="45" s="1"/>
  <c r="E12" i="3"/>
  <c r="G7" i="3"/>
  <c r="K7" i="3" s="1"/>
  <c r="B9" i="46"/>
  <c r="G8" i="3"/>
  <c r="K8" i="3" s="1"/>
  <c r="B10" i="46"/>
  <c r="D12" i="3"/>
  <c r="B8" i="46"/>
  <c r="G6" i="3"/>
  <c r="K6" i="3" s="1"/>
  <c r="G9" i="3"/>
  <c r="K9" i="3" s="1"/>
  <c r="B11" i="46"/>
  <c r="B13" i="46"/>
  <c r="G11" i="3"/>
  <c r="K11" i="3" s="1"/>
  <c r="G10" i="3"/>
  <c r="K10" i="3" s="1"/>
  <c r="B12" i="46"/>
  <c r="G12" i="3" l="1"/>
  <c r="D28" i="3"/>
  <c r="D27" i="3"/>
  <c r="P105" i="1"/>
  <c r="D25" i="3"/>
  <c r="D31" i="3"/>
  <c r="D29" i="3"/>
  <c r="D26" i="3"/>
  <c r="D24" i="3"/>
  <c r="L64" i="26"/>
  <c r="L70" i="26" s="1"/>
  <c r="L54" i="26" s="1"/>
  <c r="L63" i="26" s="1"/>
  <c r="L75" i="26" s="1"/>
  <c r="L76" i="26" s="1"/>
  <c r="L5" i="26" s="1"/>
  <c r="C29" i="46"/>
  <c r="D49" i="45" s="1"/>
  <c r="C45" i="46"/>
  <c r="D76" i="45" s="1"/>
  <c r="C16" i="45"/>
  <c r="B23" i="46"/>
  <c r="B14" i="46"/>
  <c r="C22" i="45" s="1"/>
  <c r="B39" i="46"/>
  <c r="B27" i="46"/>
  <c r="C47" i="45" s="1"/>
  <c r="B43" i="46"/>
  <c r="C74" i="45" s="1"/>
  <c r="C20" i="45"/>
  <c r="C18" i="45"/>
  <c r="B25" i="46"/>
  <c r="C45" i="45" s="1"/>
  <c r="B41" i="46"/>
  <c r="C72" i="45" s="1"/>
  <c r="B44" i="46"/>
  <c r="C75" i="45" s="1"/>
  <c r="B28" i="46"/>
  <c r="C48" i="45" s="1"/>
  <c r="C21" i="45"/>
  <c r="B40" i="46"/>
  <c r="C71" i="45" s="1"/>
  <c r="C17" i="45"/>
  <c r="B24" i="46"/>
  <c r="C44" i="45" s="1"/>
  <c r="B26" i="46"/>
  <c r="C46" i="45" s="1"/>
  <c r="C19" i="45"/>
  <c r="B42" i="46"/>
  <c r="C73" i="45" s="1"/>
  <c r="D30" i="3" l="1"/>
  <c r="E28" i="3"/>
  <c r="E29" i="3"/>
  <c r="D13" i="46" s="1"/>
  <c r="E24" i="3"/>
  <c r="G24" i="3" s="1"/>
  <c r="M6" i="3" s="1"/>
  <c r="E31" i="3"/>
  <c r="E25" i="3"/>
  <c r="D9" i="46" s="1"/>
  <c r="E27" i="3"/>
  <c r="D11" i="46" s="1"/>
  <c r="E26" i="3"/>
  <c r="D10" i="46" s="1"/>
  <c r="Q105" i="1"/>
  <c r="T100" i="1" s="1"/>
  <c r="G28" i="3"/>
  <c r="M10" i="3" s="1"/>
  <c r="D12" i="46"/>
  <c r="C70" i="45"/>
  <c r="B45" i="46"/>
  <c r="C76" i="45" s="1"/>
  <c r="C43" i="45"/>
  <c r="B29" i="46"/>
  <c r="C49" i="45" s="1"/>
  <c r="G29" i="3" l="1"/>
  <c r="M11" i="3" s="1"/>
  <c r="G27" i="3"/>
  <c r="M9" i="3" s="1"/>
  <c r="G25" i="3"/>
  <c r="M7" i="3" s="1"/>
  <c r="G26" i="3"/>
  <c r="M8" i="3" s="1"/>
  <c r="E17" i="45"/>
  <c r="D24" i="46"/>
  <c r="E44" i="45" s="1"/>
  <c r="D40" i="46"/>
  <c r="E71" i="45" s="1"/>
  <c r="D8" i="46"/>
  <c r="D14" i="46" s="1"/>
  <c r="E22" i="45" s="1"/>
  <c r="E30" i="3"/>
  <c r="G30" i="3" s="1"/>
  <c r="E20" i="45"/>
  <c r="D43" i="46"/>
  <c r="E74" i="45" s="1"/>
  <c r="D27" i="46"/>
  <c r="E47" i="45" s="1"/>
  <c r="E18" i="45"/>
  <c r="D41" i="46"/>
  <c r="E72" i="45" s="1"/>
  <c r="D25" i="46"/>
  <c r="E45" i="45" s="1"/>
  <c r="E21" i="45"/>
  <c r="D28" i="46"/>
  <c r="E48" i="45" s="1"/>
  <c r="D44" i="46"/>
  <c r="E75" i="45" s="1"/>
  <c r="E19" i="45"/>
  <c r="D42" i="46"/>
  <c r="E73" i="45" s="1"/>
  <c r="D26" i="46"/>
  <c r="E46" i="45" s="1"/>
  <c r="E16" i="45" l="1"/>
  <c r="D23" i="46"/>
  <c r="D39" i="46"/>
  <c r="E70" i="45" l="1"/>
  <c r="D45" i="46"/>
  <c r="E76" i="45" s="1"/>
  <c r="E43" i="45"/>
  <c r="D29" i="46"/>
  <c r="E49"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Daan van Seters</author>
    <author>Peter Scholten</author>
  </authors>
  <commentList>
    <comment ref="C10" authorId="0" shapeId="0" xr:uid="{62625F75-846A-429D-8B78-1C5F66B8D01E}">
      <text>
        <r>
          <rPr>
            <sz val="8"/>
            <color indexed="81"/>
            <rFont val="Tahoma"/>
            <family val="2"/>
          </rPr>
          <t>Kies tussen 2025 en 2026. 
Dit bepaalt de hoogte van de belasting en de verwachte brandstofprijzen.
Let op: de voertuigprijzen zijn van 2024.</t>
        </r>
      </text>
    </comment>
    <comment ref="C12" authorId="0" shapeId="0" xr:uid="{1E1C7188-0E1C-448A-8284-A68B4648904A}">
      <text>
        <r>
          <rPr>
            <sz val="8"/>
            <color indexed="81"/>
            <rFont val="Tahoma"/>
            <family val="2"/>
          </rPr>
          <t>Geef aan hoeveel jaar u de taxi denkt te gaan gebruiken.</t>
        </r>
      </text>
    </comment>
    <comment ref="C14" authorId="0" shapeId="0" xr:uid="{5673C0F7-057D-4881-AE06-589E6D7EFE9B}">
      <text>
        <r>
          <rPr>
            <sz val="8"/>
            <color indexed="81"/>
            <rFont val="Tahoma"/>
            <family val="2"/>
          </rPr>
          <t>Vul in hoeveel kilometer u jaarlijks gemiddeld rijdt met de taxi. 
Voor een taxi is dit gemiddeld ongeveer 75.000 km.</t>
        </r>
      </text>
    </comment>
    <comment ref="C16" authorId="0" shapeId="0" xr:uid="{D01DFC82-DD9C-467A-A5BD-84025D066628}">
      <text>
        <r>
          <rPr>
            <sz val="8"/>
            <color indexed="81"/>
            <rFont val="Tahoma"/>
            <family val="2"/>
          </rPr>
          <t>Geef aan of u een eigen laadpaal hebt. Als je geen eigen laadpaal hebt, geef dan aan of u die zou aanschaffen.</t>
        </r>
      </text>
    </comment>
    <comment ref="C18" authorId="0" shapeId="0" xr:uid="{D5E55003-E5B7-4859-B7A5-123F99C43B5A}">
      <text>
        <r>
          <rPr>
            <sz val="8"/>
            <color indexed="81"/>
            <rFont val="Tahoma"/>
            <family val="2"/>
          </rPr>
          <t xml:space="preserve">Bijvoorbeeld: eigen aanschaf, financial lease of operational lease.
Bij financial lease rekenen we 8% van de aanschafprijs extra aan rente, winst en kosten. 
Bij operational lease rekenen we 8% over alle kosten extra.  </t>
        </r>
      </text>
    </comment>
    <comment ref="C20" authorId="0" shapeId="0" xr:uid="{D345C086-C89D-49F9-931F-0C023015B552}">
      <text>
        <r>
          <rPr>
            <sz val="8"/>
            <color indexed="81"/>
            <rFont val="Tahoma"/>
            <family val="2"/>
          </rPr>
          <t xml:space="preserve">Geef 'ja' aan als u meer dan de helft van uw kilometers binnen de bebouwde kom maakt.
In de stad verbruikt een brandstofauto 30% meer brandstof dan gemiddeld. Voor elektrische auto's is dat 15% meer dan gemiddeld. Bron: STREAM (CE Delft, 2024). </t>
        </r>
      </text>
    </comment>
    <comment ref="C22" authorId="0" shapeId="0" xr:uid="{FC1423E1-6B94-44C4-B245-38B61D5B0F31}">
      <text>
        <r>
          <rPr>
            <sz val="10"/>
            <color theme="1"/>
            <rFont val="Trebuchet MS"/>
            <family val="2"/>
          </rPr>
          <t>Voor een taxi kan uitzondering op de mrb worden aangevraagd. Wanneer u dit hebt gedaan, vinkt u deze optie aan. Dan wordt de mrb niet meegerekend in de totale kosten.</t>
        </r>
      </text>
    </comment>
    <comment ref="C24" authorId="0" shapeId="0" xr:uid="{75AFCFE4-A59B-48AE-8360-00EA3616DD08}">
      <text>
        <r>
          <rPr>
            <sz val="9"/>
            <color indexed="81"/>
            <rFont val="Tahoma"/>
            <family val="2"/>
          </rPr>
          <t>Het laadgedrag en de laadprijzen worden standaard aan de hand van algemene prognoses voorspeld.
Als u deze optie aanvinkt kan je deze waardes zelf invullen. 
- Geef bij 'aandeel' aan hoeveel van uw energie komt van thuisladen, publiek laden (reguliere openbare laadplekken), en snelladen (openbare fast charging). 
- Geef bij laadprijs voor elk van deze laadsoorten aan hoeveel u betaalt voor elektriciteit, in euro per kilowattuur.</t>
        </r>
      </text>
    </comment>
    <comment ref="C33" authorId="0" shapeId="0" xr:uid="{3BFA60EF-D945-4C72-B36D-B86DDD064B53}">
      <text>
        <r>
          <rPr>
            <sz val="8"/>
            <color indexed="81"/>
            <rFont val="Tahoma"/>
            <family val="2"/>
          </rPr>
          <t>Voor tweedehands auto's wordt de kilometerstand en de betaalde tweedehandsprijs gevraagd.</t>
        </r>
      </text>
    </comment>
    <comment ref="C35" authorId="0" shapeId="0" xr:uid="{C6A9F3AB-07E6-4D5D-8070-3BDEE4F8323E}">
      <text>
        <r>
          <rPr>
            <sz val="8"/>
            <color indexed="81"/>
            <rFont val="Tahoma"/>
            <family val="2"/>
          </rPr>
          <t xml:space="preserve">Personenauto (tot 5 personen) of taxibus (tot 9 personen)
</t>
        </r>
      </text>
    </comment>
    <comment ref="C37" authorId="1" shapeId="0" xr:uid="{6EC35753-015A-4CCE-8887-66A959E3215F}">
      <text>
        <r>
          <rPr>
            <sz val="9"/>
            <color indexed="81"/>
            <rFont val="Tahoma"/>
            <charset val="1"/>
          </rPr>
          <t xml:space="preserve">Kies uit meest gebruikte taxi's of voer eigen voertuig in
</t>
        </r>
      </text>
    </comment>
    <comment ref="C41" authorId="0" shapeId="0" xr:uid="{0F3DDCAB-71DC-4D28-ADD0-681BEC907ADD}">
      <text>
        <r>
          <rPr>
            <sz val="8"/>
            <color indexed="81"/>
            <rFont val="Tahoma"/>
            <family val="2"/>
          </rPr>
          <t xml:space="preserve">Kies één van de beschikbare automodellen uit de lijst. </t>
        </r>
      </text>
    </comment>
    <comment ref="C43" authorId="0" shapeId="0" xr:uid="{B4BA7ED1-08B1-4AF9-836A-8AA4A87426D8}">
      <text>
        <r>
          <rPr>
            <sz val="9"/>
            <color indexed="81"/>
            <rFont val="Tahoma"/>
            <family val="2"/>
          </rPr>
          <t>Geef het type verzekering aan waarmee u deze auto wil verzekeren.</t>
        </r>
      </text>
    </comment>
    <comment ref="C45" authorId="0" shapeId="0" xr:uid="{F89B74B7-E21F-4201-A70F-3283A7D650B6}">
      <text>
        <r>
          <rPr>
            <sz val="8"/>
            <color indexed="81"/>
            <rFont val="Tahoma"/>
            <family val="2"/>
          </rPr>
          <t>Geef de aanschafprijs van uw voertuig inclusief alle belastingen die uw hebt betaald (btw &amp; bpm).
Voor nieuwe modellen is deze waarde (consumentenprijs) te vinden op bijvoorbeeld AutoWeek.nl.</t>
        </r>
      </text>
    </comment>
    <comment ref="C51" authorId="0" shapeId="0" xr:uid="{8DE8DFB1-5C18-475A-9A26-2CD8783C0C45}">
      <text>
        <r>
          <rPr>
            <sz val="8"/>
            <color indexed="81"/>
            <rFont val="Tahoma"/>
            <family val="2"/>
          </rPr>
          <t>Geef het gewicht van je voertuig zonder passagiers of bagage (ledige massa), in kilogram.
Voor nieuwe modellen is deze waarde te vinden op bijvoorbeeld AutoWeek.nl.</t>
        </r>
      </text>
    </comment>
    <comment ref="C53" authorId="0" shapeId="0" xr:uid="{B3450E7E-FACC-49CF-9480-15878D961596}">
      <text>
        <r>
          <rPr>
            <sz val="8"/>
            <color indexed="81"/>
            <rFont val="Tahoma"/>
            <family val="2"/>
          </rPr>
          <t>Geef de WLTP-testwaarde van de CO2-uitstoot van uw voertuig. 
Voor elektrische auto's vult u 0 in.
Voor nieuwe modellen is deze waarde te vinden op bijvoorbeeld AutoWeek.nl.</t>
        </r>
      </text>
    </comment>
    <comment ref="C55" authorId="0" shapeId="0" xr:uid="{404CC539-3B7F-4142-877C-2915672EAA81}">
      <text>
        <r>
          <rPr>
            <sz val="8"/>
            <color indexed="81"/>
            <rFont val="Tahoma"/>
            <family val="2"/>
          </rPr>
          <t>Vul het verbruik van uw elektrische auto of plug-in hybride in. 
Voor diesel- of benzineauto's vult u hier 0 in. 
Voor nieuwe modellen is deze waarde te vinden op bijvoorbeeld AutoWeek.nl.</t>
        </r>
      </text>
    </comment>
    <comment ref="C57" authorId="0" shapeId="0" xr:uid="{53EEE21A-AF38-4AEF-8EB5-177A44499FA5}">
      <text>
        <r>
          <rPr>
            <sz val="8"/>
            <color indexed="81"/>
            <rFont val="Tahoma"/>
            <family val="2"/>
          </rPr>
          <t>Geef het bouwjaar van uw voertuig.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tc={634C4268-5FE9-4E24-A25B-E9FB2C0C4AE4}</author>
    <author>tc={4CEAC04F-75BB-47BF-8806-430BC791FCB8}</author>
    <author>Daan van Seters</author>
  </authors>
  <commentList>
    <comment ref="B145" authorId="0" shapeId="0" xr:uid="{634C4268-5FE9-4E24-A25B-E9FB2C0C4AE4}">
      <text>
        <t>[Opmerkingenthread]
U kunt deze opmerkingenthread lezen in uw versie van Excel. Eventuele wijzigingen aan de thread gaan echter verloren als het bestand wordt geopend in een nieuwere versie van Excel. Meer informatie: https://go.microsoft.com/fwlink/?linkid=870924
Opmerking:
    Bij een tweedehands auto wordt de kilometerstand bij aanschaf evenredig verdeeld over de jaren voor de aanschaf. Vanaf de aanschaf wordt hierbij het gegeven jaarkilometrage opgeteld.</t>
      </text>
    </comment>
    <comment ref="B202" authorId="1" shapeId="0" xr:uid="{4CEAC04F-75BB-47BF-8806-430BC791FCB8}">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Handreiking Total cost of ownership-berekening voor personenauto's 2024 </t>
      </text>
    </comment>
    <comment ref="B224" authorId="2" shapeId="0" xr:uid="{75F2996C-E1E7-4E69-A3D5-1658A7281D56}">
      <text>
        <r>
          <rPr>
            <sz val="9"/>
            <color indexed="81"/>
            <rFont val="Tahoma"/>
            <family val="2"/>
          </rPr>
          <t>kWh/100 km =
l/100km ×
 kg/l (benzine) × 
MJ/kg (benzine) ×
 MJe/MJb (=1/2,19) × 
kWh/Mj (=1/3,6) ×
0,75/0,25
in WLTP test rijdt een PHEV ongeveer 75% elektrisch en 25% benzine. zie
https://theicct.org/wp-content/uploads/2022/06/real-world-phev-use-jun22.pdf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Lisanne van Wijngaarden</author>
    <author>Maarten t Hoen (CE Delft)</author>
  </authors>
  <commentList>
    <comment ref="AA27" authorId="0" shapeId="0" xr:uid="{00000000-0006-0000-0900-000001000000}">
      <text>
        <r>
          <rPr>
            <b/>
            <sz val="9"/>
            <color indexed="81"/>
            <rFont val="Tahoma"/>
            <family val="2"/>
          </rPr>
          <t>Lisanne van Wijngaarden:</t>
        </r>
        <r>
          <rPr>
            <sz val="9"/>
            <color indexed="81"/>
            <rFont val="Tahoma"/>
            <family val="2"/>
          </rPr>
          <t xml:space="preserve">
Aangepast. Na 2030 gingen de oude scenario's nog 4 jaar met 30,25 of 20 euro naar beneden. Het Bloomberg scenario kwam dan op negatieve kosten uit. Het nieuwe "optimistische (Bloomberg) scenario" gaat nu na 2030 niet meer omlaag</t>
        </r>
      </text>
    </comment>
    <comment ref="B30" authorId="1" shapeId="0" xr:uid="{00000000-0006-0000-0900-000002000000}">
      <text>
        <r>
          <rPr>
            <b/>
            <sz val="8"/>
            <color indexed="81"/>
            <rFont val="Tahoma"/>
            <family val="2"/>
          </rPr>
          <t>Maarten t Hoen (CE Delft):</t>
        </r>
        <r>
          <rPr>
            <sz val="8"/>
            <color indexed="81"/>
            <rFont val="Tahoma"/>
            <family val="2"/>
          </rPr>
          <t xml:space="preserve">
Elektrisch</t>
        </r>
      </text>
    </comment>
    <comment ref="C187" authorId="0" shapeId="0" xr:uid="{EC331E10-C7B8-4EEF-BBE7-ADD3203E12FC}">
      <text>
        <r>
          <rPr>
            <b/>
            <sz val="9"/>
            <color indexed="81"/>
            <rFont val="Tahoma"/>
            <family val="2"/>
          </rPr>
          <t>Lisanne van Wijngaarden:</t>
        </r>
        <r>
          <rPr>
            <sz val="9"/>
            <color indexed="81"/>
            <rFont val="Tahoma"/>
            <family val="2"/>
          </rPr>
          <t xml:space="preserve">
Dit scenario is gebaseerd op kosten vanuit Bloomberg. Wij hebben geen toegang tot het document, maar via quotes en citaties uit andere bronnen hebben we de CAGR uit kunnen rekenen en kunnen projecteren.
Omrekening van $ naar € vond plaats met de gemiddelde wisselkoers uit 2016 (bron: https://www.ecb.europa.eu/stats/policy_and_exchange_rates/euro_reference_exchange_rates/html/eurofxref-graph-usd.en.html) </t>
        </r>
      </text>
    </comment>
    <comment ref="C188" authorId="0" shapeId="0" xr:uid="{A7DCCE8F-01FD-4318-BE64-7867571207F3}">
      <text>
        <r>
          <rPr>
            <b/>
            <sz val="9"/>
            <color indexed="81"/>
            <rFont val="Tahoma"/>
            <family val="2"/>
          </rPr>
          <t>Lisanne van Wijngaarden:</t>
        </r>
        <r>
          <rPr>
            <sz val="9"/>
            <color indexed="81"/>
            <rFont val="Tahoma"/>
            <family val="2"/>
          </rPr>
          <t xml:space="preserve">
Dit scenario is gebaseerd op kosten vanuit Bloomberg. Wij hebben geen toegang tot het document, maar via quotes en citaties uit andere bronnen hebben we de CAGR uit kunnen rekenen en kunnen projecteren.
Omrekening van $ naar € vond plaats met de gemiddelde wisselkoers uit 2016 (bron: https://www.ecb.europa.eu/stats/policy_and_exchange_rates/euro_reference_exchange_rates/html/eurofxref-graph-usd.en.html)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Daan van Seters</author>
  </authors>
  <commentList>
    <comment ref="D11" authorId="0" shapeId="0" xr:uid="{20B3A2FA-A679-48B7-A132-1220084238C5}">
      <text>
        <r>
          <rPr>
            <b/>
            <sz val="9"/>
            <color indexed="81"/>
            <rFont val="Tahoma"/>
            <family val="2"/>
          </rPr>
          <t>Dit is het huidige (real-time) jaar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Maarten t Hoen (CE Delft)</author>
  </authors>
  <commentList>
    <comment ref="B19" authorId="0" shapeId="0" xr:uid="{00000000-0006-0000-0B00-000003000000}">
      <text>
        <r>
          <rPr>
            <b/>
            <sz val="8"/>
            <color indexed="81"/>
            <rFont val="Tahoma"/>
            <family val="2"/>
          </rPr>
          <t>Maarten t Hoen (CE Delft):</t>
        </r>
        <r>
          <rPr>
            <sz val="8"/>
            <color indexed="81"/>
            <rFont val="Tahoma"/>
            <family val="2"/>
          </rPr>
          <t xml:space="preserve">
bron: ICVUE-dsm.paxapex.net</t>
        </r>
      </text>
    </comment>
    <comment ref="B37" authorId="0" shapeId="0" xr:uid="{00000000-0006-0000-0B00-000005000000}">
      <text>
        <r>
          <rPr>
            <b/>
            <sz val="8"/>
            <color indexed="81"/>
            <rFont val="Tahoma"/>
            <family val="2"/>
          </rPr>
          <t>Maarten t Hoen (CE Delft):</t>
        </r>
        <r>
          <rPr>
            <sz val="8"/>
            <color indexed="81"/>
            <rFont val="Tahoma"/>
            <family val="2"/>
          </rPr>
          <t xml:space="preserve">
bron: ICVUE-dsm.paxapex.net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tc={F3AC2D4F-E343-4837-81A1-80A3DBD5653A}</author>
    <author>Daan van Seters</author>
  </authors>
  <commentList>
    <comment ref="T25" authorId="0" shapeId="0" xr:uid="{F3AC2D4F-E343-4837-81A1-80A3DBD5653A}">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Handmatig gelijk aan 2025
</t>
      </text>
    </comment>
    <comment ref="B26" authorId="1" shapeId="0" xr:uid="{ACE6CFCB-D100-44EC-84E3-CB77AE98FE24}">
      <text>
        <r>
          <rPr>
            <b/>
            <sz val="9"/>
            <color indexed="81"/>
            <rFont val="Tahoma"/>
            <family val="2"/>
          </rPr>
          <t>Bron:</t>
        </r>
        <r>
          <rPr>
            <sz val="9"/>
            <color indexed="81"/>
            <rFont val="Tahoma"/>
            <family val="2"/>
          </rPr>
          <t xml:space="preserve">
https://www.pbl.nl/sites/default/files/downloads/revnext-2022-achtergrondrapport-modelactualisatie-carbontax-2022-5046.pdf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<sst xmlns="http://schemas.openxmlformats.org/spreadsheetml/2006/main" count="11116" uniqueCount="2001">
  <si>
    <t>COSTREAM</t>
  </si>
  <si>
    <t>brandstoftype</t>
  </si>
  <si>
    <t>benzine</t>
  </si>
  <si>
    <t>segment</t>
  </si>
  <si>
    <t>C</t>
  </si>
  <si>
    <t>gebruik</t>
  </si>
  <si>
    <t>middel</t>
  </si>
  <si>
    <t>berekening</t>
  </si>
  <si>
    <t>zichtjaar</t>
  </si>
  <si>
    <t>rentevoet</t>
  </si>
  <si>
    <t>The names of the input scenarios. Only the green ones are changable. Don't drag cells, just type.</t>
  </si>
  <si>
    <t>A</t>
  </si>
  <si>
    <t>B</t>
  </si>
  <si>
    <t>D</t>
  </si>
  <si>
    <t>E</t>
  </si>
  <si>
    <t>diesel</t>
  </si>
  <si>
    <t>plug-in</t>
  </si>
  <si>
    <t>range-extender</t>
  </si>
  <si>
    <t>hoog</t>
  </si>
  <si>
    <t>laag</t>
  </si>
  <si>
    <t>MRB</t>
  </si>
  <si>
    <t>input type</t>
  </si>
  <si>
    <t>variable 1</t>
  </si>
  <si>
    <t>variable 2</t>
  </si>
  <si>
    <t>variable 3</t>
  </si>
  <si>
    <t>input</t>
  </si>
  <si>
    <t>MJ/kg</t>
  </si>
  <si>
    <t>kg/liter</t>
  </si>
  <si>
    <t>gCO2/liter</t>
  </si>
  <si>
    <t>liter/100km</t>
  </si>
  <si>
    <t>schijf 0</t>
  </si>
  <si>
    <t>schijf 1</t>
  </si>
  <si>
    <t>schijf 2</t>
  </si>
  <si>
    <t>schijf 3</t>
  </si>
  <si>
    <t>schijf 4</t>
  </si>
  <si>
    <t>dieseltoeslag</t>
  </si>
  <si>
    <t>bedrag/gram</t>
  </si>
  <si>
    <t>grens (dieseltoeslag bij co2 boven …)</t>
  </si>
  <si>
    <t>totaal</t>
  </si>
  <si>
    <t>Brandstof</t>
  </si>
  <si>
    <t>Schijf</t>
  </si>
  <si>
    <t>bedrag</t>
  </si>
  <si>
    <t>per</t>
  </si>
  <si>
    <t>gram</t>
  </si>
  <si>
    <t>waarde</t>
  </si>
  <si>
    <t>Benzine</t>
  </si>
  <si>
    <t>Diesel</t>
  </si>
  <si>
    <t>olieprijs scenario</t>
  </si>
  <si>
    <t>beleid</t>
  </si>
  <si>
    <t>olieprijs</t>
  </si>
  <si>
    <t>onderhoud (ct/km)</t>
  </si>
  <si>
    <t>TCO model van CE Delft</t>
  </si>
  <si>
    <t>jaarkm</t>
  </si>
  <si>
    <t>anders, namelijk</t>
  </si>
  <si>
    <t>tijdsonafhankelijk</t>
  </si>
  <si>
    <t>afschrijving</t>
  </si>
  <si>
    <t>aanschafkosten</t>
  </si>
  <si>
    <t>levensduur</t>
  </si>
  <si>
    <t>batterijkosten</t>
  </si>
  <si>
    <t>batterijcapaciteit</t>
  </si>
  <si>
    <t>Segment</t>
  </si>
  <si>
    <t>CO2 testwaarde</t>
  </si>
  <si>
    <t>Brandstoftype</t>
  </si>
  <si>
    <t>Aanschafkosten excl belasting</t>
  </si>
  <si>
    <t>Stadswagen (A)</t>
  </si>
  <si>
    <t>Smart ForTwo Electric Drive</t>
  </si>
  <si>
    <t>Smart ForTwo Electric Drive (battery Lease)</t>
  </si>
  <si>
    <t>Volkswagen e-Up!</t>
  </si>
  <si>
    <t xml:space="preserve"> </t>
  </si>
  <si>
    <t>Citroën C1</t>
  </si>
  <si>
    <t>1.0 VTi ETG Shine (5d) 69pk</t>
  </si>
  <si>
    <t>FIAT 500</t>
  </si>
  <si>
    <t>1.2 8v 51kW Pop Star (3d) 69pk</t>
  </si>
  <si>
    <t>Hyundai i10</t>
  </si>
  <si>
    <t>1.0 Blue Drive (5d) 67pk</t>
  </si>
  <si>
    <t>Opel Karl</t>
  </si>
  <si>
    <t>1.0 ecoFLEX S/S Enjoy (5d) 75pk</t>
  </si>
  <si>
    <t>Peugeot 108</t>
  </si>
  <si>
    <t>1.0 Active s/s (5d) 69pk</t>
  </si>
  <si>
    <t>Renault Twingo</t>
  </si>
  <si>
    <t>1.0 SCe 70 S&amp;S Life (5d) 71pk</t>
  </si>
  <si>
    <t>Smart Fortwo</t>
  </si>
  <si>
    <t>1.0 62kW Passion Coupé (3d) 84pk</t>
  </si>
  <si>
    <t>Toyota Aygo</t>
  </si>
  <si>
    <t>1.0 VVT-i x-play (5d) 69pk</t>
  </si>
  <si>
    <t>Volkswagen Up!</t>
  </si>
  <si>
    <t>1.0 MPi 55kW BMT ASG Move up! (5d) 75pk</t>
  </si>
  <si>
    <t>Motorvermogen</t>
  </si>
  <si>
    <t>50 kW</t>
  </si>
  <si>
    <t>Acceleratie van 0-100 km/u</t>
  </si>
  <si>
    <t>14,6 s</t>
  </si>
  <si>
    <t>Koffer-inhoud</t>
  </si>
  <si>
    <t>196 L</t>
  </si>
  <si>
    <t>Cilinderinhoud</t>
  </si>
  <si>
    <t>998 cc</t>
  </si>
  <si>
    <t>Batterijcapaciteit</t>
  </si>
  <si>
    <t>n.v.t.</t>
  </si>
  <si>
    <t>Inhoud brandstoftank(s)</t>
  </si>
  <si>
    <t>35 L</t>
  </si>
  <si>
    <t>Berekend verbruik per 100 km</t>
  </si>
  <si>
    <t>5,5 L</t>
  </si>
  <si>
    <t>Berekend rijbereik</t>
  </si>
  <si>
    <t>641 km</t>
  </si>
  <si>
    <t>51 kW</t>
  </si>
  <si>
    <t>12,9 s</t>
  </si>
  <si>
    <t>185 L</t>
  </si>
  <si>
    <t>1242 cc</t>
  </si>
  <si>
    <t>49 kW</t>
  </si>
  <si>
    <t>15,1 s</t>
  </si>
  <si>
    <t>252 L</t>
  </si>
  <si>
    <t>40 L</t>
  </si>
  <si>
    <t>5,6 L</t>
  </si>
  <si>
    <t>716 km</t>
  </si>
  <si>
    <t>13,0 s</t>
  </si>
  <si>
    <t>4,9 L</t>
  </si>
  <si>
    <t>709 km</t>
  </si>
  <si>
    <t>62 kW</t>
  </si>
  <si>
    <t>10,7 s</t>
  </si>
  <si>
    <t>220 L</t>
  </si>
  <si>
    <t>999 cc</t>
  </si>
  <si>
    <t>33 L</t>
  </si>
  <si>
    <t>6,4 L</t>
  </si>
  <si>
    <t>518 km</t>
  </si>
  <si>
    <t>55 kW</t>
  </si>
  <si>
    <t>13,9 s</t>
  </si>
  <si>
    <t>195 L</t>
  </si>
  <si>
    <t>32 L</t>
  </si>
  <si>
    <t>5,3 L</t>
  </si>
  <si>
    <t>600 km</t>
  </si>
  <si>
    <t>14,2 s</t>
  </si>
  <si>
    <t>168 L</t>
  </si>
  <si>
    <t>657 km</t>
  </si>
  <si>
    <t>52 kW</t>
  </si>
  <si>
    <t>14,5 s</t>
  </si>
  <si>
    <t>219 L</t>
  </si>
  <si>
    <t>13,2 s</t>
  </si>
  <si>
    <t>251 L</t>
  </si>
  <si>
    <t>6,1 L</t>
  </si>
  <si>
    <t>573 km</t>
  </si>
  <si>
    <t>electric drive Passion Coupé (3d) 75pk</t>
  </si>
  <si>
    <t>e-up! (5d) 82pk</t>
  </si>
  <si>
    <t>Elektrisch</t>
  </si>
  <si>
    <t>60 kW</t>
  </si>
  <si>
    <t>?</t>
  </si>
  <si>
    <t>350 L</t>
  </si>
  <si>
    <t>17,6 kWh</t>
  </si>
  <si>
    <t>21,2 kWh</t>
  </si>
  <si>
    <t>83 km</t>
  </si>
  <si>
    <t>12,4 s</t>
  </si>
  <si>
    <t>250 L</t>
  </si>
  <si>
    <t>18,7 kWh</t>
  </si>
  <si>
    <t>15,2 kWh</t>
  </si>
  <si>
    <t>123 km</t>
  </si>
  <si>
    <t>x</t>
  </si>
  <si>
    <t>Afschrijving</t>
  </si>
  <si>
    <t>Laag</t>
  </si>
  <si>
    <t>Midden</t>
  </si>
  <si>
    <t>Hoog</t>
  </si>
  <si>
    <t>Jaarkilometrage</t>
  </si>
  <si>
    <t>Restwaarde</t>
  </si>
  <si>
    <t>Totaal</t>
  </si>
  <si>
    <t>Leeftijd</t>
  </si>
  <si>
    <t>Gebruik</t>
  </si>
  <si>
    <t>grens</t>
  </si>
  <si>
    <t>verzekering (%aanschafprijs)</t>
  </si>
  <si>
    <t>BEV</t>
  </si>
  <si>
    <t>Battery (kWh)</t>
  </si>
  <si>
    <t>kosten_powertrain</t>
  </si>
  <si>
    <t>Type</t>
  </si>
  <si>
    <t>Year</t>
  </si>
  <si>
    <t>Motor</t>
  </si>
  <si>
    <t>Invester</t>
  </si>
  <si>
    <t>CU</t>
  </si>
  <si>
    <t>HVAC</t>
  </si>
  <si>
    <t>Total</t>
  </si>
  <si>
    <t>PHEV</t>
  </si>
  <si>
    <t>Corrected for inflation</t>
  </si>
  <si>
    <t>TNO et al (2011)</t>
  </si>
  <si>
    <t>Powertrain costs BEV (Bron: TCO Arjan)</t>
  </si>
  <si>
    <t>Aanschafwaarde</t>
  </si>
  <si>
    <t>BEV Vehicle technology costs</t>
  </si>
  <si>
    <t>Low BEV adoption</t>
  </si>
  <si>
    <t>Medium BEV adoption</t>
  </si>
  <si>
    <t>High BEV adoption</t>
  </si>
  <si>
    <t>Demand scenario</t>
  </si>
  <si>
    <t>Low</t>
  </si>
  <si>
    <t>Medium</t>
  </si>
  <si>
    <t>High</t>
  </si>
  <si>
    <t>afname_voertuigkosten</t>
  </si>
  <si>
    <t>Voertuigtype</t>
  </si>
  <si>
    <t>BEV Battery costs - HQ final min max</t>
  </si>
  <si>
    <t>Batterijkosten scenario</t>
  </si>
  <si>
    <t>batterijkosten (€/kWh)</t>
  </si>
  <si>
    <t>PHEV-benzine</t>
  </si>
  <si>
    <t>ICEV</t>
  </si>
  <si>
    <t>Reparatie, onderhoud en banden</t>
  </si>
  <si>
    <t>biodiesel</t>
  </si>
  <si>
    <t>midden</t>
  </si>
  <si>
    <t>benzine kale prijs (€/liter)</t>
  </si>
  <si>
    <t>diesel kale prijs (€/liter)</t>
  </si>
  <si>
    <t>ethanol</t>
  </si>
  <si>
    <t>€/liter</t>
  </si>
  <si>
    <t>bijmenging % energie</t>
  </si>
  <si>
    <t>extra bijmenging</t>
  </si>
  <si>
    <t>CPI NL</t>
  </si>
  <si>
    <t>jaar</t>
  </si>
  <si>
    <t>Berekend rijbereik (km)</t>
  </si>
  <si>
    <t>Brandstofverbruik praktijk (l/100 km)</t>
  </si>
  <si>
    <t>Brandstofverbruik test (l/100 km)</t>
  </si>
  <si>
    <t>Volume tank</t>
  </si>
  <si>
    <t>Compacte klasse (B)</t>
  </si>
  <si>
    <t>Kleine middenklasse (C)</t>
  </si>
  <si>
    <t>Middenklasse (D)</t>
  </si>
  <si>
    <t>Premium klasse (E)</t>
  </si>
  <si>
    <t>MODULE VOERTUIGEN</t>
  </si>
  <si>
    <t>Definities van gehanteerde voertuigen</t>
  </si>
  <si>
    <t>productiekosten voertuigen</t>
  </si>
  <si>
    <t>schaalvoordeel productie voertuigkosten EV</t>
  </si>
  <si>
    <t>Geselecteerde voertuigen</t>
  </si>
  <si>
    <t>Kosten CO2 reductie (€ per g/km)</t>
  </si>
  <si>
    <t>RPE voor benzine/diesel</t>
  </si>
  <si>
    <t>berekend</t>
  </si>
  <si>
    <t>a</t>
  </si>
  <si>
    <t>b</t>
  </si>
  <si>
    <t>adjusted R2</t>
  </si>
  <si>
    <t>lpg</t>
  </si>
  <si>
    <t>CPI Euro area</t>
  </si>
  <si>
    <t>Charging losses</t>
  </si>
  <si>
    <t>Optimistic</t>
  </si>
  <si>
    <t>Neutral</t>
  </si>
  <si>
    <t>Pessimistic</t>
  </si>
  <si>
    <t>efficiencyverbetering_EV</t>
  </si>
  <si>
    <t>Middel</t>
  </si>
  <si>
    <t>Cost development home chargers</t>
  </si>
  <si>
    <t>Copied from: Charging costs comparison - Tab Results L2 Home</t>
  </si>
  <si>
    <t>Level 2 Home Charger</t>
  </si>
  <si>
    <t>Som van Level 2 Home Charger</t>
  </si>
  <si>
    <t>Rijlabels</t>
  </si>
  <si>
    <t>Cluzel &amp; Lane (2013)</t>
  </si>
  <si>
    <t>Weeda (2013)</t>
  </si>
  <si>
    <t>Brown (2013)</t>
  </si>
  <si>
    <t>Crist (2012)</t>
  </si>
  <si>
    <t>Hill, et al (2013)</t>
  </si>
  <si>
    <t>Average</t>
  </si>
  <si>
    <t>Verzekering</t>
  </si>
  <si>
    <t>Batterijcapaciteit (kWh)</t>
  </si>
  <si>
    <t>Thuisladen</t>
  </si>
  <si>
    <t>Scenarios</t>
  </si>
  <si>
    <t>Opstarttarief</t>
  </si>
  <si>
    <t>Tarief per kWh</t>
  </si>
  <si>
    <t>What</t>
  </si>
  <si>
    <t>Average excl. VAT</t>
  </si>
  <si>
    <t>Average one time costs</t>
  </si>
  <si>
    <t>Average monthly costs</t>
  </si>
  <si>
    <t>Average fixed charging fee</t>
  </si>
  <si>
    <t>Average kWh costs</t>
  </si>
  <si>
    <t>Average current prices (bron: analyse aanbieders)</t>
  </si>
  <si>
    <t>EV reductie onderhoud</t>
  </si>
  <si>
    <t>Prijzen brandstoffen</t>
  </si>
  <si>
    <t>MODULE BRANDSTOFKOSTEN</t>
  </si>
  <si>
    <t>Bron: I-CVUE</t>
  </si>
  <si>
    <t>laadmix</t>
  </si>
  <si>
    <t>thuisladen</t>
  </si>
  <si>
    <t>publiek laden</t>
  </si>
  <si>
    <t>eenheid</t>
  </si>
  <si>
    <t>jaarlijks</t>
  </si>
  <si>
    <t>maandelijks</t>
  </si>
  <si>
    <t>4-jaarlijks</t>
  </si>
  <si>
    <t>gebruiksduur</t>
  </si>
  <si>
    <t>kilometer</t>
  </si>
  <si>
    <t>geen</t>
  </si>
  <si>
    <t>EU norm</t>
  </si>
  <si>
    <t>efficiencyverbetering_ICEV</t>
  </si>
  <si>
    <t>aanscherping EU CO2 normen</t>
  </si>
  <si>
    <t>Citroën C-Zéro</t>
  </si>
  <si>
    <t>Audi A1</t>
  </si>
  <si>
    <t>C-Zero Electric Seduction (5d) 67pk</t>
  </si>
  <si>
    <t>1.0 TFSI ultra 70kW Design (3d) 95pk</t>
  </si>
  <si>
    <t>Elektrisch Prijs € 29.985,-</t>
  </si>
  <si>
    <t>KIA Soul EV</t>
  </si>
  <si>
    <t>Soul EV (5d) 110pk</t>
  </si>
  <si>
    <t>Elektrisch Prijs € 35.290,-</t>
  </si>
  <si>
    <t>Mitsubishi i-MiEV</t>
  </si>
  <si>
    <t>Intro Edition (5d) 67pk</t>
  </si>
  <si>
    <t>Elektrisch Prijs € 28.890,-</t>
  </si>
  <si>
    <t>Peugeot iOn</t>
  </si>
  <si>
    <t>Lithium-iOn 330 V Active (5d) 67pk</t>
  </si>
  <si>
    <t>Elektrisch Prijs € 30.120,-</t>
  </si>
  <si>
    <t>Renault ZOE (Battery Lease)</t>
  </si>
  <si>
    <t>Life Quick Charge (5d) 88pk</t>
  </si>
  <si>
    <t>Elektrisch Prijs € 22.050,-</t>
  </si>
  <si>
    <t>Benzine Prijs € 18.250,-</t>
  </si>
  <si>
    <t>Citroën C3</t>
  </si>
  <si>
    <t>1.2 PureTech 82 S&amp;S ETG Seduction (5d) 82pk</t>
  </si>
  <si>
    <t>Benzine Prijs € 16.395,-</t>
  </si>
  <si>
    <t>Dacia Sandero</t>
  </si>
  <si>
    <t>1.2 16v Ambiance (5d) 73pk</t>
  </si>
  <si>
    <t>Benzine Prijs € 8.700,-</t>
  </si>
  <si>
    <t>Ford Fiesta</t>
  </si>
  <si>
    <t>1.0i EcoBoost 74kW Powershift Trend (5d) 100pk</t>
  </si>
  <si>
    <t>Benzine Prijs € 18.200,-</t>
  </si>
  <si>
    <t>Peugeot 208</t>
  </si>
  <si>
    <t>1.2 PureTech 60kW BMP s/s Active (5d) 82pk</t>
  </si>
  <si>
    <t>Benzine Prijs € 17.605,-</t>
  </si>
  <si>
    <t>Renault Clio</t>
  </si>
  <si>
    <t>Energy TCe 120 EDC Expression (5d) 118pk</t>
  </si>
  <si>
    <t>Benzine Prijs € 18.700,-</t>
  </si>
  <si>
    <t>Toyota Yaris</t>
  </si>
  <si>
    <t>1.5 VVT-i HYbrid Comfort (5d) 100pk</t>
  </si>
  <si>
    <t>Benzine Prijs € 19.355,-</t>
  </si>
  <si>
    <t>BMW i3</t>
  </si>
  <si>
    <t>i3 Advanced (5d) 170pk</t>
  </si>
  <si>
    <t>Elektrisch Prijs € 38.950,-</t>
  </si>
  <si>
    <t>Ford Focus Electric</t>
  </si>
  <si>
    <t>Electric</t>
  </si>
  <si>
    <t>Elektrisch Prijs € 39.990,-</t>
  </si>
  <si>
    <t>Mercedes-Benz B-klasse</t>
  </si>
  <si>
    <t>B-Klasse B 250 e Style (5d) 180pk</t>
  </si>
  <si>
    <t>Elektrisch Prijs € 39.930,-</t>
  </si>
  <si>
    <t>Nissan LEAF 24 kWh</t>
  </si>
  <si>
    <t>Acenta (5d) 109pk</t>
  </si>
  <si>
    <t>Elektrisch Prijs € 33.125,-</t>
  </si>
  <si>
    <t>Nissan LEAF 24 kWh (battery lease)</t>
  </si>
  <si>
    <t>Acenta Battery leasing (5d) 109pk</t>
  </si>
  <si>
    <t>Elektrisch Prijs € 27.225,-</t>
  </si>
  <si>
    <t>Nissan LEAF 30 kWh</t>
  </si>
  <si>
    <t>Acenta 30kWh (5d) 109pk</t>
  </si>
  <si>
    <t>Elektrisch Prijs € 35.125,-</t>
  </si>
  <si>
    <t>Nissan LEAF 30 kWh (battery lease)</t>
  </si>
  <si>
    <t>Acenta Battery Leasing 30kWh (5d) 109pk</t>
  </si>
  <si>
    <t>Elektrisch Prijs € 29.225,-</t>
  </si>
  <si>
    <t>Volkswagen e-Golf</t>
  </si>
  <si>
    <t>e-Golf (5d) 115pk</t>
  </si>
  <si>
    <t>Elektrisch Prijs € 37.110,-</t>
  </si>
  <si>
    <t>BMW 1</t>
  </si>
  <si>
    <t>Hatch 118i (100 kW) (5d) 136pk</t>
  </si>
  <si>
    <t>Benzine Prijs € 25.450,-</t>
  </si>
  <si>
    <t>Ford Focus</t>
  </si>
  <si>
    <t>1.0i EcoB. 74kW S/S Trend (5d) 100pk</t>
  </si>
  <si>
    <t>Benzine Prijs € 19.900,-</t>
  </si>
  <si>
    <t>Mercedes-Benz A-klasse</t>
  </si>
  <si>
    <t>A 180 BlueEFFICIENCY Style Edition (5d) 122pk</t>
  </si>
  <si>
    <t>Benzine Prijs € 27.044,-</t>
  </si>
  <si>
    <t>Toyota Auris</t>
  </si>
  <si>
    <t>1.8 VVT-i Hybrid CVT Comfort (5d) 136pk</t>
  </si>
  <si>
    <t>Benzine Prijs € 24.780,-</t>
  </si>
  <si>
    <t>Volkswagen Golf</t>
  </si>
  <si>
    <t>1.4 TSi 92kW DSG BMT Trendline (5d) 125pk</t>
  </si>
  <si>
    <t>Benzine Prijs € 23.865,-</t>
  </si>
  <si>
    <t>Volvo V40</t>
  </si>
  <si>
    <t>T2 Eco Geartronic Kinetic (5d) 122pk</t>
  </si>
  <si>
    <t>Benzine Prijs € 26.350,-</t>
  </si>
  <si>
    <t>Audi A3</t>
  </si>
  <si>
    <t>Sportback 1.6 TDi 81kW S tronic Attraction (5d) 110pk</t>
  </si>
  <si>
    <t>Diesel Prijs € 26.850,-</t>
  </si>
  <si>
    <t>Citroën C4</t>
  </si>
  <si>
    <t>1.6 e-HDi 115 MAN6 Business GPS (5d) 114pk</t>
  </si>
  <si>
    <t>Diesel Prijs € 19.239,-</t>
  </si>
  <si>
    <t>KIA C'eed</t>
  </si>
  <si>
    <t>Business Mind 1.6 CRDi 110 ISG EcoDynami (5d) 110pk</t>
  </si>
  <si>
    <t>Diesel Prijs € 24.440,-</t>
  </si>
  <si>
    <t>B 180 d BlueEFFICIENCY Style Edition (5d) 109pk</t>
  </si>
  <si>
    <t>Diesel Prijs € 30.226,-</t>
  </si>
  <si>
    <t>Opel Astra</t>
  </si>
  <si>
    <t>1.6 CDTI 81kW ecoFLEX S/S Edition (5d) 110pk</t>
  </si>
  <si>
    <t>Diesel Prijs € 22.225,-</t>
  </si>
  <si>
    <t>Peugeot 308</t>
  </si>
  <si>
    <t>1.6 BlueHDi 85kW s/s Auto Active (5d) 116pk</t>
  </si>
  <si>
    <t>Diesel Prijs € 24.950,-</t>
  </si>
  <si>
    <t>Renault Mégane</t>
  </si>
  <si>
    <t>1.5 Energy dCi 110 EDC Intens (5d) 110pk</t>
  </si>
  <si>
    <t>Diesel Prijs € 27.000,-</t>
  </si>
  <si>
    <t>Audi A3 e-tron</t>
  </si>
  <si>
    <t>Sportback 1.4 TFSi e-tron S tronic Attraction (5d) 204pk</t>
  </si>
  <si>
    <t>Plug-in hybride Prijs € 37.970,-</t>
  </si>
  <si>
    <t>BMW 225xe</t>
  </si>
  <si>
    <t>Active Tourer 225xe (5d) 224pk</t>
  </si>
  <si>
    <t>Plug-in hybride Prijs € 37.850,-</t>
  </si>
  <si>
    <t>BMW i3 REX</t>
  </si>
  <si>
    <t>i3 Advanced Range Extender (5d) 170pk</t>
  </si>
  <si>
    <t>Plug-in hybride Prijs € 43.450,-</t>
  </si>
  <si>
    <t>Opel Ampera</t>
  </si>
  <si>
    <t>1.4 Hybrid Auto Cosmo (5d) 150pk</t>
  </si>
  <si>
    <t>Plug-in hybride Prijs € 39.900,-</t>
  </si>
  <si>
    <t>Volkswagen Golf GTE</t>
  </si>
  <si>
    <t>1.4 TSi BMT GTE DSG (5d) 204pk</t>
  </si>
  <si>
    <t>Plug-in hybride Prijs € 38.920,-</t>
  </si>
  <si>
    <t>per jaar</t>
  </si>
  <si>
    <t>per maand</t>
  </si>
  <si>
    <t>per 4 jaar</t>
  </si>
  <si>
    <t>per kilometer</t>
  </si>
  <si>
    <t>input_onderhoud</t>
  </si>
  <si>
    <t>Jaar</t>
  </si>
  <si>
    <t>ja</t>
  </si>
  <si>
    <t>levensduur_accu</t>
  </si>
  <si>
    <t>accu levensduur (jaren)</t>
  </si>
  <si>
    <t>Hyundai i20</t>
  </si>
  <si>
    <t>1.1 CRDi 55kW Blue Drive (5d) 75pk</t>
  </si>
  <si>
    <t>Diesel Prijs € 16.849,-</t>
  </si>
  <si>
    <t>MINI MINI</t>
  </si>
  <si>
    <t>5 door One D (5d) 95pk</t>
  </si>
  <si>
    <t>Diesel Prijs € 20.060,-</t>
  </si>
  <si>
    <t>Opel Corsa</t>
  </si>
  <si>
    <t>1.3 CDTI 70kW ecoF.S/S Easytronic Enjoy (5d) 95pk</t>
  </si>
  <si>
    <t>Diesel Prijs € 18.500,-</t>
  </si>
  <si>
    <t>Škoda Fabia</t>
  </si>
  <si>
    <t>1.4 CRTDI 66kW DSG7 Ambition (5d) 90pk</t>
  </si>
  <si>
    <t>Diesel Prijs € 19.360,-</t>
  </si>
  <si>
    <t>Volkswagen Polo</t>
  </si>
  <si>
    <t>1.4 TDI 66kW Comfortline BMT DSG (5d) 90pk</t>
  </si>
  <si>
    <t>Diesel Prijs € 21.184,-</t>
  </si>
  <si>
    <t>Elektrisch Prijs € 24.079,-</t>
  </si>
  <si>
    <t>Elektrisch Prijs € 19.239,-</t>
  </si>
  <si>
    <t>Elektrisch Prijs € 26.280,-</t>
  </si>
  <si>
    <t>Benzine Prijs € 14.450,-</t>
  </si>
  <si>
    <t>Benzine Prijs € 13.890,-</t>
  </si>
  <si>
    <t>Benzine Prijs € 12.549,-</t>
  </si>
  <si>
    <t>Benzine Prijs € 11.350,-</t>
  </si>
  <si>
    <t>Benzine Prijs € 12.295,-</t>
  </si>
  <si>
    <t>Benzine Prijs € 10.350,-</t>
  </si>
  <si>
    <t>Benzine Prijs € 13.794,-</t>
  </si>
  <si>
    <t>Benzine Prijs € 11.990,-</t>
  </si>
  <si>
    <t>Benzine Prijs € 13.651,-</t>
  </si>
  <si>
    <t>Tesla Model S 85D</t>
  </si>
  <si>
    <t>85kWh (5d) 378pk</t>
  </si>
  <si>
    <t>Elektrisch Prijs € 90.600,-</t>
  </si>
  <si>
    <t>Tesla Model S P85D</t>
  </si>
  <si>
    <t>85kWh Performance Dual Motor (5d) 772pk</t>
  </si>
  <si>
    <t>Elektrisch Prijs € 109.500,-</t>
  </si>
  <si>
    <t>BMW 6</t>
  </si>
  <si>
    <t>Coupe 640i (235kW) (2d) 320pk</t>
  </si>
  <si>
    <t>Benzine Prijs € 86.150,-</t>
  </si>
  <si>
    <t>Lexus GS</t>
  </si>
  <si>
    <t>300h Business Edition (4d) 223pk</t>
  </si>
  <si>
    <t>Benzine Prijs € 45.240,-</t>
  </si>
  <si>
    <t>Volvo S80</t>
  </si>
  <si>
    <t>T5 Geartronic Summum (4d) 245pk</t>
  </si>
  <si>
    <t>Benzine Prijs € 50.170,-</t>
  </si>
  <si>
    <t>Audi A6</t>
  </si>
  <si>
    <t>2.0 TDI Ultra 140kW (4d) 190pk</t>
  </si>
  <si>
    <t>Diesel Prijs € 42.270,-</t>
  </si>
  <si>
    <t>BMW 5</t>
  </si>
  <si>
    <t>Berline 520d xDrive (140 kW) (4d) 190pk</t>
  </si>
  <si>
    <t>Diesel Prijs € 48.650,-</t>
  </si>
  <si>
    <t>Jaguar XF</t>
  </si>
  <si>
    <t>2.0D 132KW Aut. Prestige (4d) 180pk</t>
  </si>
  <si>
    <t>Diesel Prijs € 47.850,-</t>
  </si>
  <si>
    <t>Mercedes-Benz E-klasse</t>
  </si>
  <si>
    <t>Berline E 300 BlueTEC HYBRID Avantgarde (4d) 231pk</t>
  </si>
  <si>
    <t>Diesel Prijs € 56.289,-</t>
  </si>
  <si>
    <t>Naam</t>
  </si>
  <si>
    <t>Details</t>
  </si>
  <si>
    <t>Prijs1</t>
  </si>
  <si>
    <t>Prijs</t>
  </si>
  <si>
    <t>Prijs2</t>
  </si>
  <si>
    <t>70 kW</t>
  </si>
  <si>
    <t>10,9 s</t>
  </si>
  <si>
    <t>270 L</t>
  </si>
  <si>
    <t>45 L</t>
  </si>
  <si>
    <t>824 km</t>
  </si>
  <si>
    <t>14,4 s</t>
  </si>
  <si>
    <t>300 L</t>
  </si>
  <si>
    <t>1199 cc</t>
  </si>
  <si>
    <t>50 L</t>
  </si>
  <si>
    <t>916 km</t>
  </si>
  <si>
    <t>54 kW</t>
  </si>
  <si>
    <t>320 L</t>
  </si>
  <si>
    <t>1149 cc</t>
  </si>
  <si>
    <t>7,5 L</t>
  </si>
  <si>
    <t>663 km</t>
  </si>
  <si>
    <t>74 kW</t>
  </si>
  <si>
    <t>10,8 s</t>
  </si>
  <si>
    <t>290 L</t>
  </si>
  <si>
    <t>42 L</t>
  </si>
  <si>
    <t>659 km</t>
  </si>
  <si>
    <t>311 L</t>
  </si>
  <si>
    <t>87 kW</t>
  </si>
  <si>
    <t>9,2 s</t>
  </si>
  <si>
    <t>1197 cc</t>
  </si>
  <si>
    <t>7,0 L</t>
  </si>
  <si>
    <t>11,8 s</t>
  </si>
  <si>
    <t>286 L</t>
  </si>
  <si>
    <t>1497 cc</t>
  </si>
  <si>
    <t>36 L</t>
  </si>
  <si>
    <t>4,3 L</t>
  </si>
  <si>
    <t>839 km</t>
  </si>
  <si>
    <t>15,9 s</t>
  </si>
  <si>
    <t>166 L</t>
  </si>
  <si>
    <t>16,0 kWh</t>
  </si>
  <si>
    <t>91 km</t>
  </si>
  <si>
    <t>81 kW</t>
  </si>
  <si>
    <t>11,2 s</t>
  </si>
  <si>
    <t>281 L</t>
  </si>
  <si>
    <t>27,0 kWh</t>
  </si>
  <si>
    <t>19,1 kWh</t>
  </si>
  <si>
    <t>141 km</t>
  </si>
  <si>
    <t>235 L</t>
  </si>
  <si>
    <t>65 kW</t>
  </si>
  <si>
    <t>13,5 s</t>
  </si>
  <si>
    <t>338 L</t>
  </si>
  <si>
    <t>22,0 kWh</t>
  </si>
  <si>
    <t>20,2 kWh</t>
  </si>
  <si>
    <t>109 km</t>
  </si>
  <si>
    <t>16,0 s</t>
  </si>
  <si>
    <t>326 L</t>
  </si>
  <si>
    <t>1120 cc</t>
  </si>
  <si>
    <t>4,7 L</t>
  </si>
  <si>
    <t>1.068 km</t>
  </si>
  <si>
    <t>11,4 s</t>
  </si>
  <si>
    <t>278 L</t>
  </si>
  <si>
    <t>1496 cc</t>
  </si>
  <si>
    <t>44 L</t>
  </si>
  <si>
    <t>4,6 L</t>
  </si>
  <si>
    <t>967 km</t>
  </si>
  <si>
    <t>285 L</t>
  </si>
  <si>
    <t>1248 cc</t>
  </si>
  <si>
    <t>911 km</t>
  </si>
  <si>
    <t>66 kW</t>
  </si>
  <si>
    <t>11,1 s</t>
  </si>
  <si>
    <t>330 L</t>
  </si>
  <si>
    <t>1422 cc</t>
  </si>
  <si>
    <t>280 L</t>
  </si>
  <si>
    <t>989 km</t>
  </si>
  <si>
    <t>laadverlies</t>
  </si>
  <si>
    <t>Gewicht</t>
  </si>
  <si>
    <t>0-550 kg</t>
  </si>
  <si>
    <t>551-650 kg</t>
  </si>
  <si>
    <t>651-750 kg</t>
  </si>
  <si>
    <t>751-850 kg</t>
  </si>
  <si>
    <t>851-950 kg</t>
  </si>
  <si>
    <t>951-1050 kg</t>
  </si>
  <si>
    <t>1051-1150 kg</t>
  </si>
  <si>
    <t>1151-1250 kg</t>
  </si>
  <si>
    <t>1251-1350 kg</t>
  </si>
  <si>
    <t>1351-1450 kg</t>
  </si>
  <si>
    <t>1451-1550 kg</t>
  </si>
  <si>
    <t>1551-1650 kg</t>
  </si>
  <si>
    <t>1651-1750 kg</t>
  </si>
  <si>
    <t>1751-1850 kg</t>
  </si>
  <si>
    <t>1851-1950 kg</t>
  </si>
  <si>
    <t>1951-2050 kg</t>
  </si>
  <si>
    <t>2051-2150 kg</t>
  </si>
  <si>
    <t>euro/jaar</t>
  </si>
  <si>
    <t>massa (kg)</t>
  </si>
  <si>
    <t>TCO voor vier voertuigen</t>
  </si>
  <si>
    <t>efficiencyverbetering EV</t>
  </si>
  <si>
    <t>efficiencyverbetering ICEV</t>
  </si>
  <si>
    <t>100 kW</t>
  </si>
  <si>
    <t>8,5 s</t>
  </si>
  <si>
    <t>360 L</t>
  </si>
  <si>
    <t>1499 cc</t>
  </si>
  <si>
    <t>52 L</t>
  </si>
  <si>
    <t>6,9 L</t>
  </si>
  <si>
    <t>755 km</t>
  </si>
  <si>
    <t>12,5 s</t>
  </si>
  <si>
    <t>363 L</t>
  </si>
  <si>
    <t>55 L</t>
  </si>
  <si>
    <t>6,0 L</t>
  </si>
  <si>
    <t>920 km</t>
  </si>
  <si>
    <t>90 kW</t>
  </si>
  <si>
    <t>9,9 s</t>
  </si>
  <si>
    <t>341 L</t>
  </si>
  <si>
    <t>1595 cc</t>
  </si>
  <si>
    <t>6,8 L</t>
  </si>
  <si>
    <t>592 km</t>
  </si>
  <si>
    <t>1798 cc</t>
  </si>
  <si>
    <t>962 km</t>
  </si>
  <si>
    <t>92 kW</t>
  </si>
  <si>
    <t>9,1 s</t>
  </si>
  <si>
    <t>380 L</t>
  </si>
  <si>
    <t>1395 cc</t>
  </si>
  <si>
    <t>6,5 L</t>
  </si>
  <si>
    <t>769 km</t>
  </si>
  <si>
    <t>9,8 s</t>
  </si>
  <si>
    <t>335 L</t>
  </si>
  <si>
    <t>1498 cc</t>
  </si>
  <si>
    <t>62 L</t>
  </si>
  <si>
    <t>883 km</t>
  </si>
  <si>
    <t>150 kW</t>
  </si>
  <si>
    <t>7,4 s</t>
  </si>
  <si>
    <t>8,8 kWh</t>
  </si>
  <si>
    <t>7,4 kWh + 2,9 L</t>
  </si>
  <si>
    <t>59 + 684 km</t>
  </si>
  <si>
    <t>165 kW</t>
  </si>
  <si>
    <t>6,7 s</t>
  </si>
  <si>
    <t>468 L</t>
  </si>
  <si>
    <t>7,7 kWh</t>
  </si>
  <si>
    <t>12,2 kWh + 3,4 L</t>
  </si>
  <si>
    <t>32 + 522 km</t>
  </si>
  <si>
    <t>125 kW</t>
  </si>
  <si>
    <t>7,9 s</t>
  </si>
  <si>
    <t>260 L</t>
  </si>
  <si>
    <t>1 cc</t>
  </si>
  <si>
    <t>19,0 kWh</t>
  </si>
  <si>
    <t>9 L</t>
  </si>
  <si>
    <t>7,4 kWh + 3,1 L</t>
  </si>
  <si>
    <t>128 + 147 km</t>
  </si>
  <si>
    <t>11 kW</t>
  </si>
  <si>
    <t>9,0 s</t>
  </si>
  <si>
    <t>310 L</t>
  </si>
  <si>
    <t>1398 cc</t>
  </si>
  <si>
    <t>8,5 kWh + 3,4 L</t>
  </si>
  <si>
    <t>95 + 518 km</t>
  </si>
  <si>
    <t>7,6 s</t>
  </si>
  <si>
    <t>272 L</t>
  </si>
  <si>
    <t>7,2 s</t>
  </si>
  <si>
    <t>16,8 kWh</t>
  </si>
  <si>
    <t>113 km</t>
  </si>
  <si>
    <t>107 kW</t>
  </si>
  <si>
    <t>316 L</t>
  </si>
  <si>
    <t>25,0 kWh</t>
  </si>
  <si>
    <t>20,0 kWh</t>
  </si>
  <si>
    <t>125 km</t>
  </si>
  <si>
    <t>132 kW</t>
  </si>
  <si>
    <t>501 L</t>
  </si>
  <si>
    <t>36,0 kWh</t>
  </si>
  <si>
    <t>21,6 kWh</t>
  </si>
  <si>
    <t>167 km</t>
  </si>
  <si>
    <t>80 kW</t>
  </si>
  <si>
    <t>11,5 s</t>
  </si>
  <si>
    <t>370 L</t>
  </si>
  <si>
    <t>24,0 kWh</t>
  </si>
  <si>
    <t>19,5 kWh</t>
  </si>
  <si>
    <t>30,0 kWh</t>
  </si>
  <si>
    <t>154 km</t>
  </si>
  <si>
    <t>85 kW</t>
  </si>
  <si>
    <t>10,4 s</t>
  </si>
  <si>
    <t>24,2 kWh</t>
  </si>
  <si>
    <t>16,5 kWh</t>
  </si>
  <si>
    <t>147 km</t>
  </si>
  <si>
    <t>1598 cc</t>
  </si>
  <si>
    <t>1.012 km</t>
  </si>
  <si>
    <t>84 kW</t>
  </si>
  <si>
    <t>1590 cc</t>
  </si>
  <si>
    <t>60 L</t>
  </si>
  <si>
    <t>1.215 km</t>
  </si>
  <si>
    <t>10,6 s</t>
  </si>
  <si>
    <t>1582 cc</t>
  </si>
  <si>
    <t>53 L</t>
  </si>
  <si>
    <t>1.073 km</t>
  </si>
  <si>
    <t>11,6 s</t>
  </si>
  <si>
    <t>488 L</t>
  </si>
  <si>
    <t>1461 cc</t>
  </si>
  <si>
    <t>855 km</t>
  </si>
  <si>
    <t>48 L</t>
  </si>
  <si>
    <t>1.119 km</t>
  </si>
  <si>
    <t>470 L</t>
  </si>
  <si>
    <t>1560 cc</t>
  </si>
  <si>
    <t>1.165 km</t>
  </si>
  <si>
    <t>12,0 s</t>
  </si>
  <si>
    <t>524 L</t>
  </si>
  <si>
    <t>47 L</t>
  </si>
  <si>
    <t>4,8 L</t>
  </si>
  <si>
    <t>977 km</t>
  </si>
  <si>
    <t>245 kW</t>
  </si>
  <si>
    <t>5,6 s</t>
  </si>
  <si>
    <t>745 L</t>
  </si>
  <si>
    <t>85,0 kWh</t>
  </si>
  <si>
    <t>20,9 kWh</t>
  </si>
  <si>
    <t>406 km</t>
  </si>
  <si>
    <t>515 kW</t>
  </si>
  <si>
    <t>3,3 s</t>
  </si>
  <si>
    <t>22,5 kWh</t>
  </si>
  <si>
    <t>378 km</t>
  </si>
  <si>
    <t>140 kW</t>
  </si>
  <si>
    <t>8,4 s</t>
  </si>
  <si>
    <t>530 L</t>
  </si>
  <si>
    <t>1968 cc</t>
  </si>
  <si>
    <t>73 L</t>
  </si>
  <si>
    <t>5,7 L</t>
  </si>
  <si>
    <t>1.276 km</t>
  </si>
  <si>
    <t>520 L</t>
  </si>
  <si>
    <t>1995 cc</t>
  </si>
  <si>
    <t>70 L</t>
  </si>
  <si>
    <t>1.146 km</t>
  </si>
  <si>
    <t>8,1 s</t>
  </si>
  <si>
    <t>540 L</t>
  </si>
  <si>
    <t>1999 cc</t>
  </si>
  <si>
    <t>66 L</t>
  </si>
  <si>
    <t>1.181 km</t>
  </si>
  <si>
    <t>170 kW</t>
  </si>
  <si>
    <t>7,1 s</t>
  </si>
  <si>
    <t>505 L</t>
  </si>
  <si>
    <t>2143 cc</t>
  </si>
  <si>
    <t>80 L</t>
  </si>
  <si>
    <t>1.619 km</t>
  </si>
  <si>
    <t>235 kW</t>
  </si>
  <si>
    <t>5,3 s</t>
  </si>
  <si>
    <t>460 L</t>
  </si>
  <si>
    <t>2979 cc</t>
  </si>
  <si>
    <t>9,6 L</t>
  </si>
  <si>
    <t>728 km</t>
  </si>
  <si>
    <t>164 kW</t>
  </si>
  <si>
    <t>482 L</t>
  </si>
  <si>
    <t>2494 cc</t>
  </si>
  <si>
    <t>1.080 km</t>
  </si>
  <si>
    <t>180 kW</t>
  </si>
  <si>
    <t>6,5 s</t>
  </si>
  <si>
    <t>480 L</t>
  </si>
  <si>
    <t>1969 cc</t>
  </si>
  <si>
    <t>8,3 L</t>
  </si>
  <si>
    <t>841 km</t>
  </si>
  <si>
    <t>14.450</t>
  </si>
  <si>
    <t>13.890</t>
  </si>
  <si>
    <t>12.549</t>
  </si>
  <si>
    <t>11.350</t>
  </si>
  <si>
    <t>12.295</t>
  </si>
  <si>
    <t>10.350</t>
  </si>
  <si>
    <t>13.794</t>
  </si>
  <si>
    <t>11.990</t>
  </si>
  <si>
    <t>13.651</t>
  </si>
  <si>
    <t>24.079</t>
  </si>
  <si>
    <t>19.239</t>
  </si>
  <si>
    <t>26.280</t>
  </si>
  <si>
    <t>18.250</t>
  </si>
  <si>
    <t>16.395</t>
  </si>
  <si>
    <t xml:space="preserve"> 8.700</t>
  </si>
  <si>
    <t>18.200</t>
  </si>
  <si>
    <t>17.605</t>
  </si>
  <si>
    <t>18.700</t>
  </si>
  <si>
    <t>19.355</t>
  </si>
  <si>
    <t>29.985</t>
  </si>
  <si>
    <t>35.290</t>
  </si>
  <si>
    <t>28.890</t>
  </si>
  <si>
    <t>30.120</t>
  </si>
  <si>
    <t>22.050</t>
  </si>
  <si>
    <t>16.849</t>
  </si>
  <si>
    <t>20.060</t>
  </si>
  <si>
    <t>18.500</t>
  </si>
  <si>
    <t>19.360</t>
  </si>
  <si>
    <t>21.184</t>
  </si>
  <si>
    <t>25.450</t>
  </si>
  <si>
    <t>19.900</t>
  </si>
  <si>
    <t>27.044</t>
  </si>
  <si>
    <t>24.780</t>
  </si>
  <si>
    <t>23.865</t>
  </si>
  <si>
    <t>26.350</t>
  </si>
  <si>
    <t>38.950</t>
  </si>
  <si>
    <t>39.990</t>
  </si>
  <si>
    <t>39.930</t>
  </si>
  <si>
    <t>33.125</t>
  </si>
  <si>
    <t>27.225</t>
  </si>
  <si>
    <t>35.125</t>
  </si>
  <si>
    <t>29.225</t>
  </si>
  <si>
    <t>37.110</t>
  </si>
  <si>
    <t>26.850</t>
  </si>
  <si>
    <t>24.440</t>
  </si>
  <si>
    <t>30.226</t>
  </si>
  <si>
    <t>22.225</t>
  </si>
  <si>
    <t>24.950</t>
  </si>
  <si>
    <t>27.000</t>
  </si>
  <si>
    <t>37.970</t>
  </si>
  <si>
    <t>37.850</t>
  </si>
  <si>
    <t>43.450</t>
  </si>
  <si>
    <t>39.900</t>
  </si>
  <si>
    <t>38.920</t>
  </si>
  <si>
    <t>86.150</t>
  </si>
  <si>
    <t>45.240</t>
  </si>
  <si>
    <t>50.170</t>
  </si>
  <si>
    <t>90.600</t>
  </si>
  <si>
    <t>09.500</t>
  </si>
  <si>
    <t>42.270</t>
  </si>
  <si>
    <t>48.650</t>
  </si>
  <si>
    <t>47.850</t>
  </si>
  <si>
    <t>56.289</t>
  </si>
  <si>
    <t>@toevoegen hoog/middel/laag</t>
  </si>
  <si>
    <t>input_segment</t>
  </si>
  <si>
    <t>input_zichtjaar</t>
  </si>
  <si>
    <t>input_eenheid</t>
  </si>
  <si>
    <t>input_rentevoet</t>
  </si>
  <si>
    <t>input_jaarkilometrage</t>
  </si>
  <si>
    <t>input_gebruiksduur</t>
  </si>
  <si>
    <t>input_onderhoudkosten</t>
  </si>
  <si>
    <t>input_onderhoud_EV</t>
  </si>
  <si>
    <t>input_thuisladen</t>
  </si>
  <si>
    <t>input_laadverlies</t>
  </si>
  <si>
    <t>input_verzekering</t>
  </si>
  <si>
    <t>input_batterijkosten</t>
  </si>
  <si>
    <t>input_levensduur_batterij</t>
  </si>
  <si>
    <t>input_range_doelbereik</t>
  </si>
  <si>
    <t>input_range_ratiokostenreductie</t>
  </si>
  <si>
    <t>input_kosten_CO2reductie</t>
  </si>
  <si>
    <t>input_afname_voertuigkosten</t>
  </si>
  <si>
    <t>input_efficiencyverbetering_EV</t>
  </si>
  <si>
    <t>input_efficiencyverbetering_ICEV</t>
  </si>
  <si>
    <t>input_RPE_ICEV</t>
  </si>
  <si>
    <t>input_RPE_EV</t>
  </si>
  <si>
    <t>input_olieprijs</t>
  </si>
  <si>
    <t>input_btw</t>
  </si>
  <si>
    <t>input_CO2_norm</t>
  </si>
  <si>
    <t>Referentie</t>
  </si>
  <si>
    <t>A-hoog</t>
  </si>
  <si>
    <t>A-laag</t>
  </si>
  <si>
    <t>B-hoog</t>
  </si>
  <si>
    <t>B-laag</t>
  </si>
  <si>
    <t>PHEV reductie onderhoud</t>
  </si>
  <si>
    <t>MotieGroot</t>
  </si>
  <si>
    <t>input_onderhoud_PHEV</t>
  </si>
  <si>
    <t>Snelladen</t>
  </si>
  <si>
    <t>Volgens adviesrapport MotieGroot</t>
  </si>
  <si>
    <t>Stroomprijs</t>
  </si>
  <si>
    <t>Publiekladen</t>
  </si>
  <si>
    <t>Snel laden</t>
  </si>
  <si>
    <t>rente</t>
  </si>
  <si>
    <t>hw</t>
  </si>
  <si>
    <t>tw</t>
  </si>
  <si>
    <t>PHEV's</t>
  </si>
  <si>
    <t>Auto</t>
  </si>
  <si>
    <t>Basisprijs</t>
  </si>
  <si>
    <t>Accuhuur</t>
  </si>
  <si>
    <t>Reparatie,onderhoud,banden</t>
  </si>
  <si>
    <t>Overige</t>
  </si>
  <si>
    <t>nvt</t>
  </si>
  <si>
    <t>FEV's</t>
  </si>
  <si>
    <t>Opel Astra 1,4 T</t>
  </si>
  <si>
    <t>Toyota Prius PHEV</t>
  </si>
  <si>
    <t>Toyota Prius</t>
  </si>
  <si>
    <t>Mits Outl PHEV</t>
  </si>
  <si>
    <t>Mits Outl 2,0 2WD</t>
  </si>
  <si>
    <t>Gecombineerd verbruik</t>
  </si>
  <si>
    <t>Alleen Benzine/Diesel</t>
  </si>
  <si>
    <t>Totaal / km</t>
  </si>
  <si>
    <t>Totaal / maand</t>
  </si>
  <si>
    <t>Totaal / jaar</t>
  </si>
  <si>
    <t>Totaal / 4 jaar</t>
  </si>
  <si>
    <t>Citroën C-Zero</t>
  </si>
  <si>
    <t>Citroën C1 1.0</t>
  </si>
  <si>
    <t>Renault ZOE</t>
  </si>
  <si>
    <t>Nissan Leaf 30 kWh</t>
  </si>
  <si>
    <t>Nissan Pulsar Aut</t>
  </si>
  <si>
    <t>Renault Clio 0.9</t>
  </si>
  <si>
    <t>Scenario 1</t>
  </si>
  <si>
    <t>Scenario 2</t>
  </si>
  <si>
    <t>PHEV scen 2</t>
  </si>
  <si>
    <t>PHEV scen 1</t>
  </si>
  <si>
    <t>FEV scen 1</t>
  </si>
  <si>
    <t>FEV scen 2</t>
  </si>
  <si>
    <t>periode</t>
  </si>
  <si>
    <t>scenario</t>
  </si>
  <si>
    <t>type</t>
  </si>
  <si>
    <t>Totaal km</t>
  </si>
  <si>
    <t>Jaarkm</t>
  </si>
  <si>
    <t>Aanschafprijs</t>
  </si>
  <si>
    <t>Scenario 2b</t>
  </si>
  <si>
    <t>Restwaarde%</t>
  </si>
  <si>
    <t>Som van Restwaarde%</t>
  </si>
  <si>
    <t>Eindtotaal</t>
  </si>
  <si>
    <t>Id</t>
  </si>
  <si>
    <t>(Alle)</t>
  </si>
  <si>
    <t>BMW 330e</t>
  </si>
  <si>
    <t>Berline 330e (4d) 252pk</t>
  </si>
  <si>
    <t>Plug-in hybride Prijs € 43.250,-</t>
  </si>
  <si>
    <t>Mercedes-Benz C350e</t>
  </si>
  <si>
    <t>C-Klasse Berline (New) C 350 E Avantgarde (4d) 279pk</t>
  </si>
  <si>
    <t>Plug-in hybride Prijs € 52.817,-</t>
  </si>
  <si>
    <t>1.8 Plug-in Hybrid Dynamic Business CVT (5d) 136pk</t>
  </si>
  <si>
    <t>Plug-in hybride Prijs € 36.950,-</t>
  </si>
  <si>
    <t>Volkswagen Passat GTE</t>
  </si>
  <si>
    <t>1.4 TSI GTE (4d) 218pk</t>
  </si>
  <si>
    <t>Plug-in hybride Prijs € 45.350,-</t>
  </si>
  <si>
    <t>Volvo V60 PHEV</t>
  </si>
  <si>
    <t>D6 Twin Engine Momentum (5d) 220pk</t>
  </si>
  <si>
    <t>Plug-in hybride Prijs € 58.680,-</t>
  </si>
  <si>
    <t>Lexus IS</t>
  </si>
  <si>
    <t>Benzine Prijs € 36.990,-</t>
  </si>
  <si>
    <t>Peugeot 508</t>
  </si>
  <si>
    <t>1.6 121kW S/S Auto Allure (4d) 165pk</t>
  </si>
  <si>
    <t>Benzine Prijs € 33.780,-</t>
  </si>
  <si>
    <t>1.8 VVT-i Hybrid Business (5d) 122pk</t>
  </si>
  <si>
    <t>Benzine Prijs € 31.460,-</t>
  </si>
  <si>
    <t>Volkswagen Passat</t>
  </si>
  <si>
    <t>1.4 TSI ACT Highline DSG-7 (4d) 150pk</t>
  </si>
  <si>
    <t>Benzine Prijs € 34.910,-</t>
  </si>
  <si>
    <t>Volvo V60</t>
  </si>
  <si>
    <t>T3 Geartronic Momentum (5d) 152pk</t>
  </si>
  <si>
    <t>Benzine Prijs € 37.140,-</t>
  </si>
  <si>
    <t>Audi A4</t>
  </si>
  <si>
    <t>2.0 TDi 100kW S tronic Design (4d) 136pk</t>
  </si>
  <si>
    <t>Diesel Prijs € 37.460,-</t>
  </si>
  <si>
    <t>BMW 3</t>
  </si>
  <si>
    <t>Touring 320d Efficientdynamics Edition (120 kW) (5d) 163pk</t>
  </si>
  <si>
    <t>Diesel Prijs € 38.100,-</t>
  </si>
  <si>
    <t>Citroën C5</t>
  </si>
  <si>
    <t>1.6 e-HDi 115 EGMV6 Bus. GPS (4d) 114pk</t>
  </si>
  <si>
    <t>Diesel Prijs € 23.595,-</t>
  </si>
  <si>
    <t>Opel Insignia</t>
  </si>
  <si>
    <t>Hatchback 1.6 CDTI 100kW Aut. Cosmo (5d) 136pk</t>
  </si>
  <si>
    <t>Diesel Prijs € 33.600,-</t>
  </si>
  <si>
    <t>Škoda Octavia</t>
  </si>
  <si>
    <t>2.0 CRTDi 110kW DSG 6 GreenTec Ambition (5d) 150pk</t>
  </si>
  <si>
    <t>Diesel Prijs € 28.850,-</t>
  </si>
  <si>
    <t>8,3 s</t>
  </si>
  <si>
    <t>450 L</t>
  </si>
  <si>
    <t>121 kW</t>
  </si>
  <si>
    <t>9,7 s</t>
  </si>
  <si>
    <t>515 L</t>
  </si>
  <si>
    <t>72 L</t>
  </si>
  <si>
    <t>955 km</t>
  </si>
  <si>
    <t>502 L</t>
  </si>
  <si>
    <t>1797 cc</t>
  </si>
  <si>
    <t>3,9 L</t>
  </si>
  <si>
    <t>1.154 km</t>
  </si>
  <si>
    <t>110 kW</t>
  </si>
  <si>
    <t>586 L</t>
  </si>
  <si>
    <t>6,6 L</t>
  </si>
  <si>
    <t>995 km</t>
  </si>
  <si>
    <t>112 kW</t>
  </si>
  <si>
    <t>8,7 s</t>
  </si>
  <si>
    <t>430 L</t>
  </si>
  <si>
    <t>68 L</t>
  </si>
  <si>
    <t>7,7 L</t>
  </si>
  <si>
    <t>887 km</t>
  </si>
  <si>
    <t>185 kW</t>
  </si>
  <si>
    <t>6,1 s</t>
  </si>
  <si>
    <t>1998 cc</t>
  </si>
  <si>
    <t>7,6 kWh</t>
  </si>
  <si>
    <t>41 L</t>
  </si>
  <si>
    <t>12,4 kWh + 3,2 L</t>
  </si>
  <si>
    <t>31 + 644 km</t>
  </si>
  <si>
    <t>205 kW</t>
  </si>
  <si>
    <t>5,9 s</t>
  </si>
  <si>
    <t>1991 cc</t>
  </si>
  <si>
    <t>6,2 kWh</t>
  </si>
  <si>
    <t>7,2 kWh + 3,1 L</t>
  </si>
  <si>
    <t>43 + 818 km</t>
  </si>
  <si>
    <t>443 L</t>
  </si>
  <si>
    <t>4,4 kWh</t>
  </si>
  <si>
    <t>3,4 kWh + 2,6 L</t>
  </si>
  <si>
    <t>65 + 865 km</t>
  </si>
  <si>
    <t>160 kW</t>
  </si>
  <si>
    <t>402 L</t>
  </si>
  <si>
    <t>9,9 kWh</t>
  </si>
  <si>
    <t>12,9 kWh + 3,1 L</t>
  </si>
  <si>
    <t>38 + 801 km</t>
  </si>
  <si>
    <t>212 kW</t>
  </si>
  <si>
    <t>6,0 s</t>
  </si>
  <si>
    <t>2400 cc</t>
  </si>
  <si>
    <t>11,2 kWh</t>
  </si>
  <si>
    <t>46 L</t>
  </si>
  <si>
    <t>8,6 kWh + 1,2 L</t>
  </si>
  <si>
    <t>65 + 1.966 km</t>
  </si>
  <si>
    <t>750 km</t>
  </si>
  <si>
    <t>120 kW</t>
  </si>
  <si>
    <t>8,2 s</t>
  </si>
  <si>
    <t>495 L</t>
  </si>
  <si>
    <t>57 L</t>
  </si>
  <si>
    <t>1.069 km</t>
  </si>
  <si>
    <t>14,3 s</t>
  </si>
  <si>
    <t>439 L</t>
  </si>
  <si>
    <t>71 L</t>
  </si>
  <si>
    <t>1.270 km</t>
  </si>
  <si>
    <t>590 L</t>
  </si>
  <si>
    <t>874 km</t>
  </si>
  <si>
    <t>prijs excl btw, bpm</t>
  </si>
  <si>
    <t>Motorvermogen (kW)</t>
  </si>
  <si>
    <t>Koffer-inhoud (l)</t>
  </si>
  <si>
    <t>Cilinderinhoud (cc)</t>
  </si>
  <si>
    <t>Inhoud brandstoftank(s) (liter)</t>
  </si>
  <si>
    <t>Berekend verbruik per 100 km (l)</t>
  </si>
  <si>
    <t>Berekend verbruik per 100 km (kWh)</t>
  </si>
  <si>
    <t>Bron</t>
  </si>
  <si>
    <t>TCO-tool milieuvriendelijkevoertuigen</t>
  </si>
  <si>
    <t>Database voertuigen</t>
  </si>
  <si>
    <t>Reference_NL_A_Petrol</t>
  </si>
  <si>
    <t>Name</t>
  </si>
  <si>
    <t>Kerb weight</t>
  </si>
  <si>
    <t>CO2</t>
  </si>
  <si>
    <t>List Price w/o tax</t>
  </si>
  <si>
    <t>Purchase tax</t>
  </si>
  <si>
    <t>Insurance rate</t>
  </si>
  <si>
    <t>Motor tax</t>
  </si>
  <si>
    <t>Fuel consumption</t>
  </si>
  <si>
    <t>Resale Value</t>
  </si>
  <si>
    <t>Maintenance cost</t>
  </si>
  <si>
    <t>Reference_NL_B_Petrol</t>
  </si>
  <si>
    <t>Reference_NL_C_Petrol</t>
  </si>
  <si>
    <t>Reference_NL_D_Petrol</t>
  </si>
  <si>
    <t>Reference_NL_E_Petrol</t>
  </si>
  <si>
    <t>Reference_NL_A_Electric</t>
  </si>
  <si>
    <t>Reference_NL_B_Electric</t>
  </si>
  <si>
    <t>Reference_NL_C_Electric</t>
  </si>
  <si>
    <t>Reference_NL_D_Electric</t>
  </si>
  <si>
    <t>Reference_NL_E_Electric</t>
  </si>
  <si>
    <t>Range (km)</t>
  </si>
  <si>
    <t>Reference_NL_B_Diesel</t>
  </si>
  <si>
    <t>Reference_NL_C_Diesel</t>
  </si>
  <si>
    <t>Reference_NL_D_Diesel</t>
  </si>
  <si>
    <t>Reference_NL_E_Diesel</t>
  </si>
  <si>
    <t>Electricity consumption (kWh/100km)</t>
  </si>
  <si>
    <t>Reference_NL_C_PPHEV</t>
  </si>
  <si>
    <t>Reference_NL_D_PPHEV</t>
  </si>
  <si>
    <t>Reference_NL_D_DPHEV</t>
  </si>
  <si>
    <t>IC-VUE</t>
  </si>
  <si>
    <t>CALCULATION SHEET</t>
  </si>
  <si>
    <t>Personenauto</t>
  </si>
  <si>
    <t>Aanschafbelasting</t>
  </si>
  <si>
    <t>Eenmalige kosten</t>
  </si>
  <si>
    <t>Financieringskosten</t>
  </si>
  <si>
    <t>Kale prijs voertuig</t>
  </si>
  <si>
    <t>Bouwjaar</t>
  </si>
  <si>
    <t>Naam voertuig</t>
  </si>
  <si>
    <t>subsidie</t>
  </si>
  <si>
    <t>Afschrijving vast</t>
  </si>
  <si>
    <t>Afschrijving variabel</t>
  </si>
  <si>
    <t>Onderhoud vast</t>
  </si>
  <si>
    <t>Aanschafjaar</t>
  </si>
  <si>
    <t>Bezitsduur</t>
  </si>
  <si>
    <t>Motorrijtuigbelasting</t>
  </si>
  <si>
    <t>Reparatie en onderhoud</t>
  </si>
  <si>
    <t>Banden</t>
  </si>
  <si>
    <t>leeftijd</t>
  </si>
  <si>
    <t>afschrijving eerste jaar</t>
  </si>
  <si>
    <t>default</t>
  </si>
  <si>
    <t>waardedalingscoefficient</t>
  </si>
  <si>
    <t>afwijking</t>
  </si>
  <si>
    <t>waardedaling per 10.000 km</t>
  </si>
  <si>
    <t>afschrijving vast</t>
  </si>
  <si>
    <t>afschrijving variabel</t>
  </si>
  <si>
    <t>afschrijving totaal</t>
  </si>
  <si>
    <t>Nieuwwaarde</t>
  </si>
  <si>
    <t>afschrijving in het eerste jaar</t>
  </si>
  <si>
    <t>-LN(1-a)</t>
  </si>
  <si>
    <t>waardedalingscoefficient in opvolgende jaren</t>
  </si>
  <si>
    <t>c</t>
  </si>
  <si>
    <t>r2</t>
  </si>
  <si>
    <t>per 10,000 km</t>
  </si>
  <si>
    <t>Vanaf</t>
  </si>
  <si>
    <t>Waardeverlies variabel</t>
  </si>
  <si>
    <t>Waardeverlies vast</t>
  </si>
  <si>
    <t>input restwaarde</t>
  </si>
  <si>
    <t>op basis van annuitaire afschrijving en restwaarde</t>
  </si>
  <si>
    <t>Cost classes</t>
  </si>
  <si>
    <t>Class</t>
  </si>
  <si>
    <t>Tot</t>
  </si>
  <si>
    <t>index_brandstoftype</t>
  </si>
  <si>
    <t>index_prijsklasse</t>
  </si>
  <si>
    <t>Banden (kosten per 10.000 km)</t>
  </si>
  <si>
    <t>loopjaar 1</t>
  </si>
  <si>
    <t>loopjaar 2</t>
  </si>
  <si>
    <t>loopjaar 3</t>
  </si>
  <si>
    <t>loopjaar 4</t>
  </si>
  <si>
    <t>loopjaar 5</t>
  </si>
  <si>
    <t>loopjaar 6</t>
  </si>
  <si>
    <t>loopjaar 7</t>
  </si>
  <si>
    <t>loopjaar 8</t>
  </si>
  <si>
    <t>loopjaar 9</t>
  </si>
  <si>
    <t>loopjaar 10</t>
  </si>
  <si>
    <t>loopjaar 11</t>
  </si>
  <si>
    <t>loopjaar 12</t>
  </si>
  <si>
    <t>loopjaar 13</t>
  </si>
  <si>
    <t>loopjaar 14</t>
  </si>
  <si>
    <t>loopjaar 15</t>
  </si>
  <si>
    <t>loopjaar 16</t>
  </si>
  <si>
    <t>loopjaar 17</t>
  </si>
  <si>
    <t>loopjaar 18</t>
  </si>
  <si>
    <t>loopjaar 19</t>
  </si>
  <si>
    <t>loopjaar 20</t>
  </si>
  <si>
    <t>leeftijd 1</t>
  </si>
  <si>
    <t>leeftijd 2</t>
  </si>
  <si>
    <t>leeftijd 3</t>
  </si>
  <si>
    <t>leeftijd 4</t>
  </si>
  <si>
    <t>leeftijd 5</t>
  </si>
  <si>
    <t>leeftijd 6</t>
  </si>
  <si>
    <t>leeftijd 7</t>
  </si>
  <si>
    <t>leeftijd 8</t>
  </si>
  <si>
    <t>leeftijd 9</t>
  </si>
  <si>
    <t>leeftijd 10</t>
  </si>
  <si>
    <t>leeftijd 11</t>
  </si>
  <si>
    <t>leeftijd 12</t>
  </si>
  <si>
    <t>leeftijd 13</t>
  </si>
  <si>
    <t>leeftijd 14</t>
  </si>
  <si>
    <t>leeftijd 15</t>
  </si>
  <si>
    <t>leeftijd 16</t>
  </si>
  <si>
    <t>leeftijd 17</t>
  </si>
  <si>
    <t>leeftijd 18</t>
  </si>
  <si>
    <t>leeftijd 19</t>
  </si>
  <si>
    <t>leeftijd 20</t>
  </si>
  <si>
    <t>2e hands</t>
  </si>
  <si>
    <t>kmstand bij aanschaf</t>
  </si>
  <si>
    <t>leeftijd bij aanschaf</t>
  </si>
  <si>
    <t>in jaar 1 zijn ze het laagst, daarna elk jaar hoger</t>
  </si>
  <si>
    <t>de onderhoudskosten (€/km) worden berekend aan de hand van</t>
  </si>
  <si>
    <t>Kmax</t>
  </si>
  <si>
    <t>Kstart</t>
  </si>
  <si>
    <t>K(t) = Kmax / (1 + b * c ^ t)</t>
  </si>
  <si>
    <t>b = (Kmax/Kstart -1) / c</t>
  </si>
  <si>
    <t>Onderhoudskosten (€/km) in jaar 1</t>
  </si>
  <si>
    <t>Onderhoudskosten (€/km) maximaal</t>
  </si>
  <si>
    <t>De onderhoudskosten zijn afhankelijk van de leeftijd van het voertuig</t>
  </si>
  <si>
    <t>onderhoudskosten in ct/km</t>
  </si>
  <si>
    <t>Onderhoud variabel</t>
  </si>
  <si>
    <t>Brandstofkosten</t>
  </si>
  <si>
    <t>liters fossiel</t>
  </si>
  <si>
    <t>snelladen</t>
  </si>
  <si>
    <t>publiekladen</t>
  </si>
  <si>
    <t>aandeel</t>
  </si>
  <si>
    <t>prijs</t>
  </si>
  <si>
    <t>fossiel</t>
  </si>
  <si>
    <t>Resultaat</t>
  </si>
  <si>
    <t>Laadsessies per jaar</t>
  </si>
  <si>
    <t>kWh per laadsessie</t>
  </si>
  <si>
    <t>gemiddeld tarief publiek laden</t>
  </si>
  <si>
    <t>pompprijs</t>
  </si>
  <si>
    <t>Kale prijs (€/kWh)</t>
  </si>
  <si>
    <t>Energiebelasting (€/kWh)</t>
  </si>
  <si>
    <t>Prijs gemiddeld</t>
  </si>
  <si>
    <t>gemiddeld tarief snelladen</t>
  </si>
  <si>
    <t>Algemeen</t>
  </si>
  <si>
    <t>scope</t>
  </si>
  <si>
    <t>loopjaar</t>
  </si>
  <si>
    <t>zichtjaar 1</t>
  </si>
  <si>
    <t>zichtjaar 2</t>
  </si>
  <si>
    <t>zichtjaar 3</t>
  </si>
  <si>
    <t>zichtjaar 4</t>
  </si>
  <si>
    <t>zichtjaar 5</t>
  </si>
  <si>
    <t>zichtjaar 6</t>
  </si>
  <si>
    <t>zichtjaar 7</t>
  </si>
  <si>
    <t>zichtjaar 8</t>
  </si>
  <si>
    <t>zichtjaar 9</t>
  </si>
  <si>
    <t>zichtjaar 10</t>
  </si>
  <si>
    <t>zichtjaar 11</t>
  </si>
  <si>
    <t>zichtjaar 12</t>
  </si>
  <si>
    <t>zichtjaar 13</t>
  </si>
  <si>
    <t>zichtjaar 14</t>
  </si>
  <si>
    <t>zichtjaar 15</t>
  </si>
  <si>
    <t>zichtjaar 16</t>
  </si>
  <si>
    <t>zichtjaar 17</t>
  </si>
  <si>
    <t>zichtjaar 18</t>
  </si>
  <si>
    <t>zichtjaar 19</t>
  </si>
  <si>
    <t>zichtjaar 20</t>
  </si>
  <si>
    <t>verzekering</t>
  </si>
  <si>
    <t>mrb</t>
  </si>
  <si>
    <t>rob</t>
  </si>
  <si>
    <t>energie</t>
  </si>
  <si>
    <t>overig</t>
  </si>
  <si>
    <t>Infrastructuur</t>
  </si>
  <si>
    <t>Index</t>
  </si>
  <si>
    <t>kWh/100km</t>
  </si>
  <si>
    <t>verschil test-praktijk</t>
  </si>
  <si>
    <t>brandstofkosten</t>
  </si>
  <si>
    <t>gewicht</t>
  </si>
  <si>
    <t>index rij</t>
  </si>
  <si>
    <t>factor onderhoudskosten EV</t>
  </si>
  <si>
    <t>gCO2/km</t>
  </si>
  <si>
    <t>Invoer</t>
  </si>
  <si>
    <t>banden</t>
  </si>
  <si>
    <t>%</t>
  </si>
  <si>
    <t>kg</t>
  </si>
  <si>
    <t>norm</t>
  </si>
  <si>
    <t>praktijk</t>
  </si>
  <si>
    <t>Brandstofeigenschappen</t>
  </si>
  <si>
    <t>Dichtheid</t>
  </si>
  <si>
    <t>Stookwaarde</t>
  </si>
  <si>
    <t>CO2-factoren</t>
  </si>
  <si>
    <t>gram/MJ</t>
  </si>
  <si>
    <t>gram/kg</t>
  </si>
  <si>
    <t>gram/liter</t>
  </si>
  <si>
    <t>CO2 per liter</t>
  </si>
  <si>
    <t>CO2g/km</t>
  </si>
  <si>
    <t>reparatie en onderhoud</t>
  </si>
  <si>
    <t>ct/km</t>
  </si>
  <si>
    <t>€/jaar</t>
  </si>
  <si>
    <t>calc</t>
  </si>
  <si>
    <t>afschrijving 6 jaar</t>
  </si>
  <si>
    <t>afschrijving na 6 jaar</t>
  </si>
  <si>
    <t>var</t>
  </si>
  <si>
    <t>Calc</t>
  </si>
  <si>
    <t>"</t>
  </si>
  <si>
    <t>Studie PBL</t>
  </si>
  <si>
    <t>merk</t>
  </si>
  <si>
    <t>Looptijd in jaren</t>
  </si>
  <si>
    <t>Volkswagen Up</t>
  </si>
  <si>
    <t>Reference_NL_N_Diesel</t>
  </si>
  <si>
    <t>N1: Light Duty Vehicle</t>
  </si>
  <si>
    <t>Bestelauto</t>
  </si>
  <si>
    <t>Reference_NL_N_BEV</t>
  </si>
  <si>
    <t>afschrijving 4 jaar</t>
  </si>
  <si>
    <t>*4 jaar</t>
  </si>
  <si>
    <t>accugrootte</t>
  </si>
  <si>
    <t>MRB_EV</t>
  </si>
  <si>
    <t>referentie</t>
  </si>
  <si>
    <t>halftarief</t>
  </si>
  <si>
    <t>geen MRB</t>
  </si>
  <si>
    <t>factor onderhoudskosten PHEV</t>
  </si>
  <si>
    <t>laadpaal aanwezig</t>
  </si>
  <si>
    <t>List Price w/o taxes</t>
  </si>
  <si>
    <t>Purchase Tax</t>
  </si>
  <si>
    <t>Zichtjaar</t>
  </si>
  <si>
    <t>Verzekeringskosten (€/jaar)</t>
  </si>
  <si>
    <t>Onderhoudskosten in jaar 4 (€/jaar)</t>
  </si>
  <si>
    <t>km/jaar</t>
  </si>
  <si>
    <t>onderhoudskosten coefficient (default 0,5)</t>
  </si>
  <si>
    <t>na..jaar</t>
  </si>
  <si>
    <t>Paarse getallen komen van tabblad input_voor_COSTREAM in 'autokostenbegroting ANWB.xlsx'</t>
  </si>
  <si>
    <t>kosten bij aanschaf</t>
  </si>
  <si>
    <t>rij</t>
  </si>
  <si>
    <t>afschrijving BEV (hoger na 6 jaar)</t>
  </si>
  <si>
    <t>na 6 jaar</t>
  </si>
  <si>
    <t>kWh</t>
  </si>
  <si>
    <t>2151 -2250 kg</t>
  </si>
  <si>
    <t>2251-2350 kg</t>
  </si>
  <si>
    <t>Bron:</t>
  </si>
  <si>
    <t>UPDATE 2022</t>
  </si>
  <si>
    <t>rijklaar</t>
  </si>
  <si>
    <t>WLTP normering - normering (TEL)</t>
  </si>
  <si>
    <t>liter</t>
  </si>
  <si>
    <t>Dacia Spring Electric</t>
  </si>
  <si>
    <t>Dacia Spring</t>
  </si>
  <si>
    <t>Renault Twingo Electric</t>
  </si>
  <si>
    <t>Hyundai Kona Electric 64 kWh</t>
  </si>
  <si>
    <t>Hyuandai Kona</t>
  </si>
  <si>
    <t xml:space="preserve">Renault Zoe ZE50 R135 </t>
  </si>
  <si>
    <t>Renault Zoe</t>
  </si>
  <si>
    <t xml:space="preserve">Kia Niro EV </t>
  </si>
  <si>
    <t>KIA Niro</t>
  </si>
  <si>
    <t>Volkswagen ID.3 Pure Performance</t>
  </si>
  <si>
    <t>Volkswagen ID.3</t>
  </si>
  <si>
    <t xml:space="preserve">Tesla Model 3 </t>
  </si>
  <si>
    <t>Tesla Model 3</t>
  </si>
  <si>
    <t>Polestar 2 Long Range Single Motor</t>
  </si>
  <si>
    <t>Polestar 2 (single motor)</t>
  </si>
  <si>
    <t xml:space="preserve">Tesla Model S Plaid </t>
  </si>
  <si>
    <t>Tesla Model S</t>
  </si>
  <si>
    <t>Audi e-tron GT RS</t>
  </si>
  <si>
    <t>Kia picanto</t>
  </si>
  <si>
    <t>Volvo XC40</t>
  </si>
  <si>
    <t>BMW 3 Serie</t>
  </si>
  <si>
    <t>Mercedes-Benz C-Klasse</t>
  </si>
  <si>
    <t>BMW 5 serie</t>
  </si>
  <si>
    <t>range_start</t>
  </si>
  <si>
    <t>range_end</t>
  </si>
  <si>
    <t>selectie:</t>
  </si>
  <si>
    <t>Kia Niro</t>
  </si>
  <si>
    <t>WLTP</t>
  </si>
  <si>
    <t>Renault Captur</t>
  </si>
  <si>
    <t xml:space="preserve">Audi A7 </t>
  </si>
  <si>
    <t>BMW 330D</t>
  </si>
  <si>
    <t>BMW 640D</t>
  </si>
  <si>
    <t>Optimistic ($/kWh)</t>
  </si>
  <si>
    <t>Average ($/kWh)</t>
  </si>
  <si>
    <t>Pessimistic ($/kWh)</t>
  </si>
  <si>
    <t>KEV 2022</t>
  </si>
  <si>
    <t>interpolatie</t>
  </si>
  <si>
    <t>bron</t>
  </si>
  <si>
    <t>Bron: KEV 2022</t>
  </si>
  <si>
    <t>Kostenontwikkeling thuisladers</t>
  </si>
  <si>
    <t>PBL TCO handreiking 2022</t>
  </si>
  <si>
    <t>Jaarlijkse percentuele verandering MRB benzine</t>
  </si>
  <si>
    <t>MRBvergelijking2015_2022</t>
  </si>
  <si>
    <t>Jaarlijkse relatieve verandering MRB diesel</t>
  </si>
  <si>
    <t>benzine - A</t>
  </si>
  <si>
    <t>benzine - B</t>
  </si>
  <si>
    <t>benzine - C</t>
  </si>
  <si>
    <t>benzine - E</t>
  </si>
  <si>
    <t>diesel - B</t>
  </si>
  <si>
    <t>diesel - C</t>
  </si>
  <si>
    <t>diesel - D</t>
  </si>
  <si>
    <t>diesel - E</t>
  </si>
  <si>
    <t>plug-in - B</t>
  </si>
  <si>
    <t>plug-in - C</t>
  </si>
  <si>
    <t>plug-in - D</t>
  </si>
  <si>
    <t>plug-in - E</t>
  </si>
  <si>
    <t>Input gegevens 2022</t>
  </si>
  <si>
    <t>specifiek</t>
  </si>
  <si>
    <t>specfiek</t>
  </si>
  <si>
    <t>Kosten</t>
  </si>
  <si>
    <t>Voertuigen in model</t>
  </si>
  <si>
    <t>Alle voertuigen</t>
  </si>
  <si>
    <t>Segment C</t>
  </si>
  <si>
    <t>Verschil WLTP-praktijk gebruik</t>
  </si>
  <si>
    <t>Gemiddeld verschil</t>
  </si>
  <si>
    <t>bron: TNO 2022</t>
  </si>
  <si>
    <t>Real-world fuel consumption and electricity consumption of passenger cars and light commercial vehicles - 2021</t>
  </si>
  <si>
    <t>Polestar</t>
  </si>
  <si>
    <t>Polestar 3</t>
  </si>
  <si>
    <t>89 900</t>
  </si>
  <si>
    <t>KEV2022</t>
  </si>
  <si>
    <t>Bandenkosten EV t.o.v. benzine</t>
  </si>
  <si>
    <t>verzekering EV t.o.v. benzine:</t>
  </si>
  <si>
    <t>bron: ANWB kostenberekenaar</t>
  </si>
  <si>
    <t>BOVAG/rai</t>
  </si>
  <si>
    <t>RVO Brandstofprijs vergelijking</t>
  </si>
  <si>
    <t>CO2 emissiefactoren personenauto's</t>
  </si>
  <si>
    <t>CO2 waarde (geen test!)</t>
  </si>
  <si>
    <t>Trendrapport Nederlandse markt personenauto’s (rvo.nl)</t>
  </si>
  <si>
    <t>wordt niet gebruikt</t>
  </si>
  <si>
    <t>basisjaar</t>
  </si>
  <si>
    <t>Oude data</t>
  </si>
  <si>
    <t>Oude data (2017)</t>
  </si>
  <si>
    <t>Verzekering inclusief inflatiecorrectie</t>
  </si>
  <si>
    <t>Figuren - kies beginjaar:</t>
  </si>
  <si>
    <t>Figuren - kies eindjaar:</t>
  </si>
  <si>
    <t>Levensduur accu</t>
  </si>
  <si>
    <t>constant aan basisjaar</t>
  </si>
  <si>
    <t>heffing (€/liter) - geen verlaging</t>
  </si>
  <si>
    <t>heffing (€/liter) - incl. verlaging</t>
  </si>
  <si>
    <t>Accijns (standaard)</t>
  </si>
  <si>
    <t>Accijns (verlaagd)</t>
  </si>
  <si>
    <t>Pompprijs</t>
  </si>
  <si>
    <t>Kale pompprijs</t>
  </si>
  <si>
    <t xml:space="preserve">Pompprijs </t>
  </si>
  <si>
    <t>Accijnstarief:</t>
  </si>
  <si>
    <t>Bron: https://cedelft.sharepoint.com/sites/230329/Intern/3.%20Data/Tarieven%202023-%202040%20voor%20CE%20Delft%20_%20ontvangen%20van%20MinFin%20op%2016%20novemver%202023.xlsx?web=1</t>
  </si>
  <si>
    <t>Ontwikkeling accijns</t>
  </si>
  <si>
    <t>Kolom1</t>
  </si>
  <si>
    <t>jan-23</t>
  </si>
  <si>
    <t>jul-23</t>
  </si>
  <si>
    <t xml:space="preserve">2023 niet verlaagd </t>
  </si>
  <si>
    <t>2024</t>
  </si>
  <si>
    <t xml:space="preserve">2024 niet verlaagd </t>
  </si>
  <si>
    <t>2025</t>
  </si>
  <si>
    <t>2026</t>
  </si>
  <si>
    <t>2027</t>
  </si>
  <si>
    <t>2028</t>
  </si>
  <si>
    <t>2029</t>
  </si>
  <si>
    <t>2030</t>
  </si>
  <si>
    <t>2031</t>
  </si>
  <si>
    <t>2032</t>
  </si>
  <si>
    <t>2033</t>
  </si>
  <si>
    <t>2034</t>
  </si>
  <si>
    <t>2035</t>
  </si>
  <si>
    <t>2036</t>
  </si>
  <si>
    <t>2037</t>
  </si>
  <si>
    <t>2038</t>
  </si>
  <si>
    <t>2039</t>
  </si>
  <si>
    <t>2040</t>
  </si>
  <si>
    <t>Benzine = lichte olie</t>
  </si>
  <si>
    <t>Diesel = Halfzware olie</t>
  </si>
  <si>
    <t xml:space="preserve">LPG in liter </t>
  </si>
  <si>
    <t>LPG in KG</t>
  </si>
  <si>
    <t xml:space="preserve">tabelcorrectiefactor MEV september 2023 </t>
  </si>
  <si>
    <t>bron: financien</t>
  </si>
  <si>
    <t>Energiebelasting</t>
  </si>
  <si>
    <t>0 - 2.900 kWh</t>
  </si>
  <si>
    <t>2.900-10.000 kWh</t>
  </si>
  <si>
    <t>10.000 - 50.000 kWh</t>
  </si>
  <si>
    <t>50.000 - 10.000.000 kWh</t>
  </si>
  <si>
    <t>&gt;= 10.000.000 kWh particulier</t>
  </si>
  <si>
    <t>&gt;= 10.000.000 kWh zakelijk</t>
  </si>
  <si>
    <t>kale prijzen fossiele component</t>
  </si>
  <si>
    <t>olie Brent (€/vat)</t>
  </si>
  <si>
    <t>kale prijs aan de pomp inclusief bijmenging</t>
  </si>
  <si>
    <t xml:space="preserve">benzine </t>
  </si>
  <si>
    <t>Prijs bio</t>
  </si>
  <si>
    <t>CO2 praktijkwaardes</t>
  </si>
  <si>
    <t>CO2 praktijkwaarde</t>
  </si>
  <si>
    <t>variabel</t>
  </si>
  <si>
    <t>BOVAG/rai: mobiliteit in cijfers 2023/24</t>
  </si>
  <si>
    <t>MRB_2024.xlsm</t>
  </si>
  <si>
    <t>Revnext 2023/bloomberg 2022 ($)</t>
  </si>
  <si>
    <t>revnext 2021</t>
  </si>
  <si>
    <t>revnext 2022</t>
  </si>
  <si>
    <t>Euro to US Dollar Spot Exchange Rates for 2023</t>
  </si>
  <si>
    <t>gemiddeld 2023</t>
  </si>
  <si>
    <t>https://www.transportenvironment.org/wp-content/uploads/2021/08/2021_05_05_Electric_vehicle_price_parity_and_adoption_in_Europe_Final.pdf</t>
  </si>
  <si>
    <t xml:space="preserve">bron: </t>
  </si>
  <si>
    <t>Achtergrondrapport modelactualisatie Carbontax 2022 (Revnext) (pbl.nl)</t>
  </si>
  <si>
    <t>Prijzen snelladen (€/kWh incl. 21% btw)</t>
  </si>
  <si>
    <t>nee</t>
  </si>
  <si>
    <t>1. Kies algemene kenmerken</t>
  </si>
  <si>
    <t>Thuis laden (%)</t>
  </si>
  <si>
    <t>Publiek laden (%)</t>
  </si>
  <si>
    <t>Inrichting</t>
  </si>
  <si>
    <t>Aanschafstatus</t>
  </si>
  <si>
    <t>Kenmerk</t>
  </si>
  <si>
    <t>Voertuig type</t>
  </si>
  <si>
    <t>Gewicht (ledig) (kg)</t>
  </si>
  <si>
    <t>Merk</t>
  </si>
  <si>
    <t>Handelsbenaming</t>
  </si>
  <si>
    <t>E 200 D</t>
  </si>
  <si>
    <t>E 220 D</t>
  </si>
  <si>
    <t>S 600</t>
  </si>
  <si>
    <t>N</t>
  </si>
  <si>
    <t>Voertuig eigenschappen</t>
  </si>
  <si>
    <t>SegmentPersonenauto</t>
  </si>
  <si>
    <t>SegmentTaxibusje</t>
  </si>
  <si>
    <t>Kilometerstand bij aanschaf</t>
  </si>
  <si>
    <t>Nieuwkoop</t>
  </si>
  <si>
    <t>Tweedehands</t>
  </si>
  <si>
    <t>Tweedehands voertuig</t>
  </si>
  <si>
    <t>Testverbruik Elektrisch (kWh/100km)</t>
  </si>
  <si>
    <t>percentage Elektrisch (PHEV)</t>
  </si>
  <si>
    <t>MRB Elektrisch</t>
  </si>
  <si>
    <t>TCO Elektrisch 2022-2040</t>
  </si>
  <si>
    <t>Elektrischsverbruik praktijk (kWh/100km)</t>
  </si>
  <si>
    <t>testverbruik Elektrisch</t>
  </si>
  <si>
    <t>aandeel Elektrisch</t>
  </si>
  <si>
    <t>verbruik Elektrisch</t>
  </si>
  <si>
    <t>kWh Elektrisch</t>
  </si>
  <si>
    <t>input_PHEV_perc_Elektrisch</t>
  </si>
  <si>
    <t>Elektrisch - A</t>
  </si>
  <si>
    <t>Elektrisch - B</t>
  </si>
  <si>
    <t>Elektrisch - C</t>
  </si>
  <si>
    <t>Elektrisch - D</t>
  </si>
  <si>
    <t>Elektrisch - E</t>
  </si>
  <si>
    <t>Elektrischsgebruik test (kWh/100km)</t>
  </si>
  <si>
    <t>Brandstof/Elektrisch</t>
  </si>
  <si>
    <t>Alleen Elektrisch</t>
  </si>
  <si>
    <t>opslag werkelijk verbruik Elektrisch</t>
  </si>
  <si>
    <t>Elektrischsprijs exclusief belastingen</t>
  </si>
  <si>
    <t>Elektrisch (excl. btw)</t>
  </si>
  <si>
    <t>testverbruik Elektrisch (kWh/100km)</t>
  </si>
  <si>
    <t>Taxi 1</t>
  </si>
  <si>
    <t>Taxi 2</t>
  </si>
  <si>
    <t>Taxi 3</t>
  </si>
  <si>
    <t>Taxi 4</t>
  </si>
  <si>
    <t>Taxis</t>
  </si>
  <si>
    <t>Naam in grafieken</t>
  </si>
  <si>
    <t>Gebruiksduur</t>
  </si>
  <si>
    <t>Resultaten</t>
  </si>
  <si>
    <t>dummywaardes</t>
  </si>
  <si>
    <t>CO2 uitstoot (g/vkm) (WLTP testwaarde)</t>
  </si>
  <si>
    <t>MRB noordholland</t>
  </si>
  <si>
    <t>elektrisch</t>
  </si>
  <si>
    <t>Mercedes-Benz</t>
  </si>
  <si>
    <t>Mercedes-Benz E 200 D</t>
  </si>
  <si>
    <t>Mercedes-Benz E 220 D</t>
  </si>
  <si>
    <t>Kia</t>
  </si>
  <si>
    <t>Niro</t>
  </si>
  <si>
    <t>Tesla</t>
  </si>
  <si>
    <t>Model Y</t>
  </si>
  <si>
    <t>Tesla Model Y</t>
  </si>
  <si>
    <t>Skoda</t>
  </si>
  <si>
    <t>Superb</t>
  </si>
  <si>
    <t>Skoda Superb</t>
  </si>
  <si>
    <t>Mercedes-Benz S 600</t>
  </si>
  <si>
    <t>Toyota</t>
  </si>
  <si>
    <t>Toyota Corolla</t>
  </si>
  <si>
    <t>Vito Tourer</t>
  </si>
  <si>
    <t>Mercedes-Benz Vito Tourer</t>
  </si>
  <si>
    <t>Sprinter</t>
  </si>
  <si>
    <t>Mercedes-Benz Sprinter</t>
  </si>
  <si>
    <t>Citroen</t>
  </si>
  <si>
    <t>Jumpy</t>
  </si>
  <si>
    <t>Citroen Jumpy</t>
  </si>
  <si>
    <t>Evito Tourer</t>
  </si>
  <si>
    <t>Mercedes-Benz Evito Tourer</t>
  </si>
  <si>
    <t>Chrysler</t>
  </si>
  <si>
    <t>300c</t>
  </si>
  <si>
    <t>Chrysler 300c</t>
  </si>
  <si>
    <t>Toyota Prius Plus</t>
  </si>
  <si>
    <t>Volkswagen</t>
  </si>
  <si>
    <t>Multivan</t>
  </si>
  <si>
    <t>Volkswagen Multivan</t>
  </si>
  <si>
    <t>Passat</t>
  </si>
  <si>
    <t>Golf</t>
  </si>
  <si>
    <t>Model 3</t>
  </si>
  <si>
    <t>Kombi</t>
  </si>
  <si>
    <t>Volkswagen Kombi</t>
  </si>
  <si>
    <t>Eqv</t>
  </si>
  <si>
    <t>Mercedes-Benz Eqv</t>
  </si>
  <si>
    <t>Opel</t>
  </si>
  <si>
    <t>Vivaro</t>
  </si>
  <si>
    <t>Opel Vivaro</t>
  </si>
  <si>
    <t>Renault</t>
  </si>
  <si>
    <t>Espace</t>
  </si>
  <si>
    <t>Renault Espace</t>
  </si>
  <si>
    <t>TCO per gebruiksduur</t>
  </si>
  <si>
    <t>TCO per km</t>
  </si>
  <si>
    <t>Plug-in</t>
  </si>
  <si>
    <t>Jaar van aankoop</t>
  </si>
  <si>
    <t>nieuwkoop/tweedehands</t>
  </si>
  <si>
    <t>huidige auto</t>
  </si>
  <si>
    <t>Snel laden (%)</t>
  </si>
  <si>
    <t>bpm</t>
  </si>
  <si>
    <t>input_bpm</t>
  </si>
  <si>
    <t>Vast bedrag bpm</t>
  </si>
  <si>
    <t>Vast bedrag bpm plug-in</t>
  </si>
  <si>
    <t>Aanschafprijs excl. bpm &amp; btw</t>
  </si>
  <si>
    <t>btw</t>
  </si>
  <si>
    <t>Consumentenprijs (incl btw, bpm)</t>
  </si>
  <si>
    <t>Aanschafkosten incl btw</t>
  </si>
  <si>
    <t>btw component</t>
  </si>
  <si>
    <t>Kosten abonnement/jaar (incl. btw)</t>
  </si>
  <si>
    <t>Verschil praktijkwaardes testwaardes CO2-uitstoot</t>
  </si>
  <si>
    <t>bron:</t>
  </si>
  <si>
    <t>E10</t>
  </si>
  <si>
    <t>B7</t>
  </si>
  <si>
    <t>l/100 km</t>
  </si>
  <si>
    <t>praktijkverbruik fossiel</t>
  </si>
  <si>
    <t>TCO-tool taxi's</t>
  </si>
  <si>
    <t>Opmerking</t>
  </si>
  <si>
    <t>Datum</t>
  </si>
  <si>
    <t>Versie</t>
  </si>
  <si>
    <t>Versiegeschiedenis</t>
  </si>
  <si>
    <t>© CE Delft,</t>
  </si>
  <si>
    <t>Versie:</t>
  </si>
  <si>
    <t>&lt;Auteur 3&gt;</t>
  </si>
  <si>
    <t>Werkversie</t>
  </si>
  <si>
    <t>In deze spreadsheet zijn de volgende celopmaakstijlen gehanteerd:</t>
  </si>
  <si>
    <t>Daan van Seters</t>
  </si>
  <si>
    <t>Peter Scholten</t>
  </si>
  <si>
    <t>DvS</t>
  </si>
  <si>
    <t>Ontwikkeling tool</t>
  </si>
  <si>
    <t xml:space="preserve">Beschrijving </t>
  </si>
  <si>
    <t>2351-2450 kg</t>
  </si>
  <si>
    <t>2451-2550 kg</t>
  </si>
  <si>
    <t>2551-2650 kg</t>
  </si>
  <si>
    <t>2651-2750 kg</t>
  </si>
  <si>
    <t>2751-2850 kg</t>
  </si>
  <si>
    <t>2851-2950 kg</t>
  </si>
  <si>
    <t>2951-3050 kg</t>
  </si>
  <si>
    <t>3051-3150 kg</t>
  </si>
  <si>
    <t>3151-3250 kg</t>
  </si>
  <si>
    <t>3251-3350 kg</t>
  </si>
  <si>
    <t>3351-3450 kg</t>
  </si>
  <si>
    <t>elektrisch tarief</t>
  </si>
  <si>
    <t>plug-in tarief</t>
  </si>
  <si>
    <t>Wegenbelasting voor elektrische auto's: hoe zit het? | ANWB</t>
  </si>
  <si>
    <t>PS</t>
  </si>
  <si>
    <t xml:space="preserve">Feedback op versie </t>
  </si>
  <si>
    <t>vanaf hier geëxtrapoleerd</t>
  </si>
  <si>
    <t>thuis met snel</t>
  </si>
  <si>
    <t>publiek met snel</t>
  </si>
  <si>
    <t>laadprofiel</t>
  </si>
  <si>
    <t>Nee</t>
  </si>
  <si>
    <t>Laadpaal</t>
  </si>
  <si>
    <t>Laadprofiel</t>
  </si>
  <si>
    <t>&gt;200</t>
  </si>
  <si>
    <t>Km per dag</t>
  </si>
  <si>
    <t>&lt;=200</t>
  </si>
  <si>
    <t>TCO per maand</t>
  </si>
  <si>
    <t>3. Resultaten</t>
  </si>
  <si>
    <t>Versimpelde versie van de tool: minimale gebruikersinput</t>
  </si>
  <si>
    <t>Wegenbelasting</t>
  </si>
  <si>
    <t>Reparatie, Onderhoud, Banden</t>
  </si>
  <si>
    <t>Brandstof/elektriciteit</t>
  </si>
  <si>
    <t>Overig</t>
  </si>
  <si>
    <t>Aantal</t>
  </si>
  <si>
    <t>Benzine, CNG</t>
  </si>
  <si>
    <t>CNG</t>
  </si>
  <si>
    <t>V60</t>
  </si>
  <si>
    <t>C 220 D</t>
  </si>
  <si>
    <t>C 200 D</t>
  </si>
  <si>
    <t>B 180 D</t>
  </si>
  <si>
    <t>gemiddeld</t>
  </si>
  <si>
    <t>beschikbare jaren van model</t>
  </si>
  <si>
    <t>Klik op de vraag voor uitleg</t>
  </si>
  <si>
    <t>BPM</t>
  </si>
  <si>
    <t>Nieuwprijs excl btw bpm</t>
  </si>
  <si>
    <t>V-Klasse</t>
  </si>
  <si>
    <t>Mercedes-Benz V-Klasse</t>
  </si>
  <si>
    <t>Crafter</t>
  </si>
  <si>
    <t>Volkswagen Crafter</t>
  </si>
  <si>
    <t>Ford</t>
  </si>
  <si>
    <t>Transit Custom</t>
  </si>
  <si>
    <t>Ford Transit Custom</t>
  </si>
  <si>
    <t>Octavia</t>
  </si>
  <si>
    <t>Skoda Octavia</t>
  </si>
  <si>
    <t>Caddy</t>
  </si>
  <si>
    <t>Volkswagen Caddy</t>
  </si>
  <si>
    <t>Touran</t>
  </si>
  <si>
    <t>Volkswagen Touran</t>
  </si>
  <si>
    <t>Megane</t>
  </si>
  <si>
    <t>Renault Megane</t>
  </si>
  <si>
    <t>Jumpy Spacetourer</t>
  </si>
  <si>
    <t>Citroen Jumpy Spacetourer</t>
  </si>
  <si>
    <t>Vivaro / Zafira Life</t>
  </si>
  <si>
    <t>Opel Vivaro / Zafira Life</t>
  </si>
  <si>
    <t>E 200 Cdi</t>
  </si>
  <si>
    <t>Mercedes-Benz E 200 Cdi</t>
  </si>
  <si>
    <t>Hyundai</t>
  </si>
  <si>
    <t>Ioniq</t>
  </si>
  <si>
    <t>Hyundai Ioniq</t>
  </si>
  <si>
    <t>Byd</t>
  </si>
  <si>
    <t>Atto 3</t>
  </si>
  <si>
    <t>Byd Atto 3</t>
  </si>
  <si>
    <t>Peugeot</t>
  </si>
  <si>
    <t>Vito</t>
  </si>
  <si>
    <t>Mercedes-Benz Vito</t>
  </si>
  <si>
    <t>Citan</t>
  </si>
  <si>
    <t>Mercedes-Benz Citan</t>
  </si>
  <si>
    <t>Fiat</t>
  </si>
  <si>
    <t>Fiat Ducato</t>
  </si>
  <si>
    <t>Transit</t>
  </si>
  <si>
    <t>Ford Transit</t>
  </si>
  <si>
    <t>Movano</t>
  </si>
  <si>
    <t>Opel Movano</t>
  </si>
  <si>
    <t>Focus</t>
  </si>
  <si>
    <t>Proace</t>
  </si>
  <si>
    <t>Toyota Proace</t>
  </si>
  <si>
    <t>E 220 Cdi</t>
  </si>
  <si>
    <t>Mercedes-Benz E 220 Cdi</t>
  </si>
  <si>
    <t>Enyaq 80</t>
  </si>
  <si>
    <t>Skoda Enyaq 80</t>
  </si>
  <si>
    <t>E 220 Bluetec</t>
  </si>
  <si>
    <t>Mercedes-Benz E 220 Bluetec</t>
  </si>
  <si>
    <t>Vivaro-B</t>
  </si>
  <si>
    <t>Opel Vivaro-B</t>
  </si>
  <si>
    <t>Trafic</t>
  </si>
  <si>
    <t>Renault Trafic</t>
  </si>
  <si>
    <t>Nissan</t>
  </si>
  <si>
    <t>Nissan Leaf 40kwh</t>
  </si>
  <si>
    <t>Id.3 Pro 150 Kw</t>
  </si>
  <si>
    <t>Volkswagen Id.3 Pro 150 Kw</t>
  </si>
  <si>
    <t>Astra Sports Tourer</t>
  </si>
  <si>
    <t>Opel Astra Sports Tourer</t>
  </si>
  <si>
    <t>Proace Taxi</t>
  </si>
  <si>
    <t>Toyota Proace Taxi</t>
  </si>
  <si>
    <t>Eqe 300</t>
  </si>
  <si>
    <t>Mercedes-Benz Eqe 300</t>
  </si>
  <si>
    <t>E 200 Bluetec</t>
  </si>
  <si>
    <t>Mercedes-Benz E 200 Bluetec</t>
  </si>
  <si>
    <t>Ev6</t>
  </si>
  <si>
    <t>Kia Ev6</t>
  </si>
  <si>
    <t>Volvo</t>
  </si>
  <si>
    <t>Mercedes-Benz C 220 D</t>
  </si>
  <si>
    <t>Seat</t>
  </si>
  <si>
    <t>Leon St</t>
  </si>
  <si>
    <t>Seat Leon St</t>
  </si>
  <si>
    <t>Mercedes-Benz C 200 D</t>
  </si>
  <si>
    <t>Nissan Leaf 62kwh</t>
  </si>
  <si>
    <t>Soul</t>
  </si>
  <si>
    <t>Kia Soul</t>
  </si>
  <si>
    <t>Kona</t>
  </si>
  <si>
    <t>Hyundai Kona</t>
  </si>
  <si>
    <t>Model S</t>
  </si>
  <si>
    <t>Mercedes-Benz B 180 D</t>
  </si>
  <si>
    <t>Geen modellen met deze brandstof beschikbaar</t>
  </si>
  <si>
    <t>Foutmelding:</t>
  </si>
  <si>
    <t>Invoer correct?</t>
  </si>
  <si>
    <t>minder waardedaling per km EV tov fossiel</t>
  </si>
  <si>
    <t>afschrijvingsjaar in bezitsjaar 1</t>
  </si>
  <si>
    <t>Beginjaar</t>
  </si>
  <si>
    <t>Eindjaar</t>
  </si>
  <si>
    <t>Kosten ombouwen naar taxi</t>
  </si>
  <si>
    <t>correct afschrijving verloop</t>
  </si>
  <si>
    <t>gecorrigeerd voor inflatie 2024</t>
  </si>
  <si>
    <t>INVOER ALGEMEEN</t>
  </si>
  <si>
    <t>INVOER TWEEDEHANDS</t>
  </si>
  <si>
    <t>Tweedehandsprijs excl btw</t>
  </si>
  <si>
    <t>Jaar met meest recente data</t>
  </si>
  <si>
    <t>Geselecteerd jaar</t>
  </si>
  <si>
    <t>Bouwjaar (=zichtjaar bij nieuwkoop)</t>
  </si>
  <si>
    <t xml:space="preserve">bpm </t>
  </si>
  <si>
    <t>0 voor tweedehands</t>
  </si>
  <si>
    <t>Aanschafprijs (incl bpm voor nieuwkopen, excl voor 2ehands )</t>
  </si>
  <si>
    <t>inflatiecorrectie afschrijving eerste jaar</t>
  </si>
  <si>
    <t>Thuislader</t>
  </si>
  <si>
    <t>Ja, die heb ik</t>
  </si>
  <si>
    <t>Ja, die zou ik aanschaffen</t>
  </si>
  <si>
    <t>Gehanteerde aanschafprijs (incl bpm Excl btw)</t>
  </si>
  <si>
    <t>vergelijking met KEV 2024</t>
  </si>
  <si>
    <t>pbl-2024-revnext-achtergrondrapport-spark-modelanalyses-wagenpark-personenautos-kev-2024_5656.pdf</t>
  </si>
  <si>
    <t>prognoses zeer vergelijkbaar met KEV2024/SPARK</t>
  </si>
  <si>
    <t>dit wordt overschreven door de gebruikersinput</t>
  </si>
  <si>
    <t>Financiering</t>
  </si>
  <si>
    <t>Eigen aanschaf</t>
  </si>
  <si>
    <t>Financial lease</t>
  </si>
  <si>
    <t>Operational lease</t>
  </si>
  <si>
    <t>Leasekosten</t>
  </si>
  <si>
    <t>Opslag op totaal</t>
  </si>
  <si>
    <t>Opslag alléén over aanschafprijs</t>
  </si>
  <si>
    <t>Opslag stadrijden</t>
  </si>
  <si>
    <t>Fossiel</t>
  </si>
  <si>
    <t>0,1</t>
  </si>
  <si>
    <t>tank/laadkorting taxi's (euro)</t>
  </si>
  <si>
    <t>S 350 D</t>
  </si>
  <si>
    <t>V70</t>
  </si>
  <si>
    <t>V90</t>
  </si>
  <si>
    <t>S80</t>
  </si>
  <si>
    <t>S90</t>
  </si>
  <si>
    <t>C 180 D</t>
  </si>
  <si>
    <t>C5</t>
  </si>
  <si>
    <t>E 350 D</t>
  </si>
  <si>
    <t>CNG, Benzine</t>
  </si>
  <si>
    <t>B 220 D</t>
  </si>
  <si>
    <t>V40</t>
  </si>
  <si>
    <t>E 300 E</t>
  </si>
  <si>
    <t>V50</t>
  </si>
  <si>
    <t>B 200 C</t>
  </si>
  <si>
    <t>C 180</t>
  </si>
  <si>
    <t>M.A.N.</t>
  </si>
  <si>
    <t>S60</t>
  </si>
  <si>
    <t>B 200 D</t>
  </si>
  <si>
    <t>C 350 E</t>
  </si>
  <si>
    <t>Mondeo</t>
  </si>
  <si>
    <t>Bmw</t>
  </si>
  <si>
    <t>520d</t>
  </si>
  <si>
    <t>Sharan</t>
  </si>
  <si>
    <t>Mustang Mach-E</t>
  </si>
  <si>
    <t>Ioniq5</t>
  </si>
  <si>
    <t>Model X</t>
  </si>
  <si>
    <t>Id.4 Pro 150 Kw</t>
  </si>
  <si>
    <t>Eqs 450+</t>
  </si>
  <si>
    <t>Eqb 250+</t>
  </si>
  <si>
    <t>Talisman</t>
  </si>
  <si>
    <t>C4 Picasso</t>
  </si>
  <si>
    <t>Ix1 Edrive20</t>
  </si>
  <si>
    <t>E 300 Bluetec Hybrid</t>
  </si>
  <si>
    <t>C 200 Cdi</t>
  </si>
  <si>
    <t>C 220 Cdi</t>
  </si>
  <si>
    <t>Fabia</t>
  </si>
  <si>
    <t>Ampera-E</t>
  </si>
  <si>
    <t>Audi</t>
  </si>
  <si>
    <t>A4 Avant</t>
  </si>
  <si>
    <t>Transit/Tourneo</t>
  </si>
  <si>
    <t>Tourneo Custom</t>
  </si>
  <si>
    <t>Optima</t>
  </si>
  <si>
    <t>Tourneo</t>
  </si>
  <si>
    <t>Enyaq 60</t>
  </si>
  <si>
    <t>Galaxy</t>
  </si>
  <si>
    <t>E 300 De</t>
  </si>
  <si>
    <t>Ibiza St</t>
  </si>
  <si>
    <t>Insignia Sports Tourer Sw</t>
  </si>
  <si>
    <t>Zafira Tourer</t>
  </si>
  <si>
    <t>C 220 Bluetec</t>
  </si>
  <si>
    <t>B 180 Cdi</t>
  </si>
  <si>
    <t>Toyota Mirai</t>
  </si>
  <si>
    <t>Nexo</t>
  </si>
  <si>
    <t>Alhambra</t>
  </si>
  <si>
    <t>Viano</t>
  </si>
  <si>
    <t>Nissan E-Nv200</t>
  </si>
  <si>
    <t>Honda</t>
  </si>
  <si>
    <t>Insight</t>
  </si>
  <si>
    <t>Mg</t>
  </si>
  <si>
    <t>Mg Zs Ev</t>
  </si>
  <si>
    <t>Eqe 350+</t>
  </si>
  <si>
    <t>Caddy Maxi Tripod</t>
  </si>
  <si>
    <t>A6 Avant</t>
  </si>
  <si>
    <t>Grand C-Max</t>
  </si>
  <si>
    <t>C 180 Cdi</t>
  </si>
  <si>
    <t>5er Reihe</t>
  </si>
  <si>
    <t>A6 Limousine</t>
  </si>
  <si>
    <t>906 Ac 35</t>
  </si>
  <si>
    <t>Eqa 250</t>
  </si>
  <si>
    <t>Toyota Avensis</t>
  </si>
  <si>
    <t>E 250 Cdi</t>
  </si>
  <si>
    <t>S 350 Bluetec</t>
  </si>
  <si>
    <t>S 350 D 4matic</t>
  </si>
  <si>
    <t>Xc60</t>
  </si>
  <si>
    <t>Astra Sports Tourer+</t>
  </si>
  <si>
    <t>313cdi</t>
  </si>
  <si>
    <t>Transporter</t>
  </si>
  <si>
    <t>V60 Plug In Hybrid</t>
  </si>
  <si>
    <t>Eqb 250</t>
  </si>
  <si>
    <t>318d</t>
  </si>
  <si>
    <t>E-Klasse</t>
  </si>
  <si>
    <t>S 400 D 4matic</t>
  </si>
  <si>
    <t>Polestar 2</t>
  </si>
  <si>
    <t>Clio</t>
  </si>
  <si>
    <t>Kodiaq</t>
  </si>
  <si>
    <t>Nio</t>
  </si>
  <si>
    <t>Et7</t>
  </si>
  <si>
    <t>Xc40</t>
  </si>
  <si>
    <t>Glc 220 D 4matic</t>
  </si>
  <si>
    <t>Megane Scenic</t>
  </si>
  <si>
    <t>Insignia Sports Tourer</t>
  </si>
  <si>
    <t>Vito 109 Cdi</t>
  </si>
  <si>
    <t>Toyota Prius Plug-In Hybrid</t>
  </si>
  <si>
    <t>Dacia</t>
  </si>
  <si>
    <t>Logan</t>
  </si>
  <si>
    <t>Rapid</t>
  </si>
  <si>
    <t>320d</t>
  </si>
  <si>
    <t>S-Max</t>
  </si>
  <si>
    <t>Vito 111 Cdi</t>
  </si>
  <si>
    <t>Civic 4dr Hybrid</t>
  </si>
  <si>
    <t>Mg5 Electric</t>
  </si>
  <si>
    <t>Toyota C-Hr</t>
  </si>
  <si>
    <t>Q4 40 E-Tron</t>
  </si>
  <si>
    <t>Laguna</t>
  </si>
  <si>
    <t>Jumper</t>
  </si>
  <si>
    <t>E 350 Bluetec</t>
  </si>
  <si>
    <t>C-Max</t>
  </si>
  <si>
    <t>Tiguan</t>
  </si>
  <si>
    <t>Eqc 400 4matic</t>
  </si>
  <si>
    <t>Eqb 300 4matic</t>
  </si>
  <si>
    <t>C 220 D 4matic</t>
  </si>
  <si>
    <t>Up!</t>
  </si>
  <si>
    <t>320d Efficient Dynamics</t>
  </si>
  <si>
    <t>Golf Plus</t>
  </si>
  <si>
    <t>530d</t>
  </si>
  <si>
    <t>E 220 D 4matic</t>
  </si>
  <si>
    <t>Mirai</t>
  </si>
  <si>
    <t>I7 Xdrive60</t>
  </si>
  <si>
    <t>Talento</t>
  </si>
  <si>
    <t>Expert</t>
  </si>
  <si>
    <t>Lancia</t>
  </si>
  <si>
    <t>Voyager</t>
  </si>
  <si>
    <t>518d</t>
  </si>
  <si>
    <t>Glc 250 D 4matic</t>
  </si>
  <si>
    <t>Tge</t>
  </si>
  <si>
    <t>Jetta</t>
  </si>
  <si>
    <t>320ed</t>
  </si>
  <si>
    <t>Nissan Qashqai</t>
  </si>
  <si>
    <t>C 250 Cdi</t>
  </si>
  <si>
    <t>Caravelle</t>
  </si>
  <si>
    <t>Golf Sportsvan</t>
  </si>
  <si>
    <t>Audi E-Tron</t>
  </si>
  <si>
    <t>Cla 180 D</t>
  </si>
  <si>
    <t>&lt;-- aangevulde data</t>
  </si>
  <si>
    <t>Orginele data --&gt;</t>
  </si>
  <si>
    <t>Hier wordt gecontroleerd in welke jaren welke voertuigen beschikbaar zijn, en wordt de brandstof en inrichting gedefinieerd</t>
  </si>
  <si>
    <t>selectie merk</t>
  </si>
  <si>
    <t>Model</t>
  </si>
  <si>
    <t>selectie modellen</t>
  </si>
  <si>
    <t>Massa</t>
  </si>
  <si>
    <t>WLTP-waarde</t>
  </si>
  <si>
    <t>INVOER CUSTOM VOERTUIG</t>
  </si>
  <si>
    <t>Custom voertuig</t>
  </si>
  <si>
    <t xml:space="preserve">Km per dag </t>
  </si>
  <si>
    <t>Naam auto</t>
  </si>
  <si>
    <t>Ford Mondeo</t>
  </si>
  <si>
    <t>Bmw 520d</t>
  </si>
  <si>
    <t>Volkswagen Sharan</t>
  </si>
  <si>
    <t>Mercedes-Benz S 350 D</t>
  </si>
  <si>
    <t>Ford Mustang Mach-E</t>
  </si>
  <si>
    <t>Hyundai Ioniq5</t>
  </si>
  <si>
    <t>Tesla Model X</t>
  </si>
  <si>
    <t>Volkswagen Id.4 Pro 150 Kw</t>
  </si>
  <si>
    <t>Volvo V70</t>
  </si>
  <si>
    <t>Mercedes-Benz Eqs 450+</t>
  </si>
  <si>
    <t>Mercedes-Benz Eqb 250+</t>
  </si>
  <si>
    <t>Renault Talisman</t>
  </si>
  <si>
    <t>Citroen C4 Picasso</t>
  </si>
  <si>
    <t>Bmw Ix1 Edrive20</t>
  </si>
  <si>
    <t>Mercedes-Benz E 300 Bluetec Hybrid</t>
  </si>
  <si>
    <t>Mercedes-Benz C 200 Cdi</t>
  </si>
  <si>
    <t>Mercedes-Benz C 220 Cdi</t>
  </si>
  <si>
    <t>Volvo V90</t>
  </si>
  <si>
    <t>Skoda Fabia</t>
  </si>
  <si>
    <t>Opel Ampera-E</t>
  </si>
  <si>
    <t>Audi A4 Avant</t>
  </si>
  <si>
    <t>Ford Transit/Tourneo</t>
  </si>
  <si>
    <t>Ford Tourneo Custom</t>
  </si>
  <si>
    <t>Kia Optima</t>
  </si>
  <si>
    <t>Ford Tourneo</t>
  </si>
  <si>
    <t>Skoda Enyaq 60</t>
  </si>
  <si>
    <t>Volvo S90</t>
  </si>
  <si>
    <t>Ford Galaxy</t>
  </si>
  <si>
    <t>Mercedes-Benz E 300 De</t>
  </si>
  <si>
    <t>Mercedes-Benz C 180 D</t>
  </si>
  <si>
    <t>Seat Ibiza St</t>
  </si>
  <si>
    <t>Opel Insignia Sports Tourer Sw</t>
  </si>
  <si>
    <t>Fiat Fiat Ducato</t>
  </si>
  <si>
    <t>Opel Zafira Tourer</t>
  </si>
  <si>
    <t>Mercedes-Benz C 220 Bluetec</t>
  </si>
  <si>
    <t>Mercedes-Benz B 180 Cdi</t>
  </si>
  <si>
    <t>Hyundai Nexo</t>
  </si>
  <si>
    <t>Seat Alhambra</t>
  </si>
  <si>
    <t>Mercedes-Benz Viano</t>
  </si>
  <si>
    <t>Honda Insight</t>
  </si>
  <si>
    <t>Mercedes-Benz Eqe 350+</t>
  </si>
  <si>
    <t>Volkswagen Caddy Maxi Tripod</t>
  </si>
  <si>
    <t>Audi A6 Avant</t>
  </si>
  <si>
    <t>Ford Grand C-Max</t>
  </si>
  <si>
    <t>Mercedes-Benz C 180 Cdi</t>
  </si>
  <si>
    <t>Bmw 5er Reihe</t>
  </si>
  <si>
    <t>Audi A6 Limousine</t>
  </si>
  <si>
    <t>Mercedes-Benz 906 Ac 35</t>
  </si>
  <si>
    <t>Mercedes-Benz Eqa 250</t>
  </si>
  <si>
    <t>Mercedes-Benz E 250 Cdi</t>
  </si>
  <si>
    <t>Mercedes-Benz S 350 Bluetec</t>
  </si>
  <si>
    <t>Mercedes-Benz S 350 D 4matic</t>
  </si>
  <si>
    <t>Volvo Xc60</t>
  </si>
  <si>
    <t>Opel Astra Sports Tourer+</t>
  </si>
  <si>
    <t>Mercedes-Benz 313cdi</t>
  </si>
  <si>
    <t>Peugeot 5008</t>
  </si>
  <si>
    <t>Citroen C5</t>
  </si>
  <si>
    <t>Mercedes-Benz E 350 D</t>
  </si>
  <si>
    <t>Volkswagen Transporter</t>
  </si>
  <si>
    <t>Volvo V60 Plug In Hybrid</t>
  </si>
  <si>
    <t>Mercedes-Benz Eqb 250</t>
  </si>
  <si>
    <t>Bmw 318d</t>
  </si>
  <si>
    <t>Mercedes-Benz E-Klasse</t>
  </si>
  <si>
    <t>Mercedes-Benz S 400 D 4matic</t>
  </si>
  <si>
    <t>Skoda Kodiaq</t>
  </si>
  <si>
    <t>Mercedes-Benz B 220 D</t>
  </si>
  <si>
    <t>Nio Et7</t>
  </si>
  <si>
    <t>Volvo Xc40</t>
  </si>
  <si>
    <t>Mercedes-Benz Glc 220 D 4matic</t>
  </si>
  <si>
    <t>Renault Megane Scenic</t>
  </si>
  <si>
    <t>Mercedes-Benz E 300 E</t>
  </si>
  <si>
    <t>Opel Insignia Sports Tourer</t>
  </si>
  <si>
    <t>Mercedes-Benz Vito 109 Cdi</t>
  </si>
  <si>
    <t>Dacia Logan</t>
  </si>
  <si>
    <t>Skoda Rapid</t>
  </si>
  <si>
    <t>Volvo V50</t>
  </si>
  <si>
    <t>Bmw 320d</t>
  </si>
  <si>
    <t>Ford S-Max</t>
  </si>
  <si>
    <t>Mercedes-Benz Vito 111 Cdi</t>
  </si>
  <si>
    <t>Honda Civic 4dr Hybrid</t>
  </si>
  <si>
    <t>Audi Q4 40 E-Tron</t>
  </si>
  <si>
    <t>Renault Laguna</t>
  </si>
  <si>
    <t>Citroen Jumper</t>
  </si>
  <si>
    <t>Mercedes-Benz E 350 Bluetec</t>
  </si>
  <si>
    <t>Ford C-Max</t>
  </si>
  <si>
    <t>Volkswagen Tiguan</t>
  </si>
  <si>
    <t>Mercedes-Benz Eqc 400 4matic</t>
  </si>
  <si>
    <t>Mercedes-Benz Eqb 300 4matic</t>
  </si>
  <si>
    <t>Mercedes-Benz C 220 D 4matic</t>
  </si>
  <si>
    <t>Bmw 320d Efficient Dynamics</t>
  </si>
  <si>
    <t>Mercedes-Benz B 200 C</t>
  </si>
  <si>
    <t>Volkswagen Golf Plus</t>
  </si>
  <si>
    <t>Bmw 530d</t>
  </si>
  <si>
    <t>Mercedes-Benz E 220 D 4matic</t>
  </si>
  <si>
    <t>Bmw I7 Xdrive60</t>
  </si>
  <si>
    <t>Fiat Talento</t>
  </si>
  <si>
    <t>Peugeot Expert</t>
  </si>
  <si>
    <t>Lancia Voyager</t>
  </si>
  <si>
    <t>Bmw 518d</t>
  </si>
  <si>
    <t>Mercedes-Benz C 180</t>
  </si>
  <si>
    <t>Mercedes-Benz Glc 250 D 4matic</t>
  </si>
  <si>
    <t>M.A.N. Tge</t>
  </si>
  <si>
    <t>Tabel 1 - Kosten over de gehele gebruiksduur</t>
  </si>
  <si>
    <t>Tabel 2 - Kosten per kilometer</t>
  </si>
  <si>
    <t>Tabel 3 - Kosten per maand</t>
  </si>
  <si>
    <t>Audi Audi A6</t>
  </si>
  <si>
    <t>Volvo S60</t>
  </si>
  <si>
    <t>Volkswagen Jetta</t>
  </si>
  <si>
    <t>Bmw 320ed</t>
  </si>
  <si>
    <t>Mercedes-Benz B 200 D</t>
  </si>
  <si>
    <t>Mercedes-Benz C 250 Cdi</t>
  </si>
  <si>
    <t>Volkswagen Caravelle</t>
  </si>
  <si>
    <t>Volkswagen Golf Sportsvan</t>
  </si>
  <si>
    <t>Audi Audi E-Tron</t>
  </si>
  <si>
    <t>Mercedes-Benz Cla 180 D</t>
  </si>
  <si>
    <t>Mercedes-Benz C 350 E</t>
  </si>
  <si>
    <t>b644dafe-1385-4b56-98d9-21e7e9f3601b_en</t>
  </si>
  <si>
    <t>elektrische km per dag (plug-in)</t>
  </si>
  <si>
    <t>Elektrische kilometers per dag (plug-in)</t>
  </si>
  <si>
    <t>Aanname: alleen 's nachts wordt opgeladen, daarna niet meer</t>
  </si>
  <si>
    <t>Real-world fuel consumption and electricity consumption of passenger cars and light commercial vehicles - 2023</t>
  </si>
  <si>
    <t>bron elektrisch:</t>
  </si>
  <si>
    <t>aandeel elektrische km's in plugin</t>
  </si>
  <si>
    <t>aanname conform STREAM</t>
  </si>
  <si>
    <t>gelijk aan benzine genomen</t>
  </si>
  <si>
    <t>kWh/km elektrisch plug-in</t>
  </si>
  <si>
    <t>Wat is de gebruiksduur van de taxi? (jaar)</t>
  </si>
  <si>
    <t>Hybride</t>
  </si>
  <si>
    <t>Plug-in Hybride</t>
  </si>
  <si>
    <t>Tesla Motors</t>
  </si>
  <si>
    <t>Tesla Motors Model S</t>
  </si>
  <si>
    <t>Tesla Motors Model X</t>
  </si>
  <si>
    <t>Brandstoftype in berekening</t>
  </si>
  <si>
    <t>Brandstof (berekeningnaam)</t>
  </si>
  <si>
    <t>Elektrisch, Benzine</t>
  </si>
  <si>
    <t>Elektrisch, Diesel</t>
  </si>
  <si>
    <t>Elektrisch, Waterstof</t>
  </si>
  <si>
    <t>Waterstof, Elektrisch</t>
  </si>
  <si>
    <t>kWh verbruik per dag</t>
  </si>
  <si>
    <t>aantal dagen per jaar</t>
  </si>
  <si>
    <t>kWh verbruik per jaar</t>
  </si>
  <si>
    <t>Nieuwkoop aanschafprijs</t>
  </si>
  <si>
    <t>Anders, namelijk:</t>
  </si>
  <si>
    <t>Custom aanschafprijs nieuw</t>
  </si>
  <si>
    <t>Gekozen aanschafprijs</t>
  </si>
  <si>
    <t>Nieuwprijs keuze</t>
  </si>
  <si>
    <t>Gehanteerde nieuwprijs incl. btw bpm</t>
  </si>
  <si>
    <t>Standaard nieuwprijs incl. btw bpm</t>
  </si>
  <si>
    <t>Custom nieuwprijs incl. btw bpm</t>
  </si>
  <si>
    <t>Aankoopprijs (€, incl. btw en bpm)</t>
  </si>
  <si>
    <t>INVOER AANSCHAFPRIJS</t>
  </si>
  <si>
    <t>Aankoop-prijs</t>
  </si>
  <si>
    <t>Onderhoud elektrisch tov brandstof</t>
  </si>
  <si>
    <t>Onderhoud brandstof</t>
  </si>
  <si>
    <t>max verzekering per maand</t>
  </si>
  <si>
    <t>min verzekering per maand</t>
  </si>
  <si>
    <t xml:space="preserve">Gemiddelde kosten per km </t>
  </si>
  <si>
    <t>Overig*</t>
  </si>
  <si>
    <t>Taxibus</t>
  </si>
  <si>
    <t>Elektrisch gelijk aan diesel verondersteld</t>
  </si>
  <si>
    <t>Brandstofverbruik (l/100 km) - gecorrigeerd</t>
  </si>
  <si>
    <t>cutoff km per dag voor snelladen</t>
  </si>
  <si>
    <t>Testverbruik Elektrisch (kWh/100km) - WLTP</t>
  </si>
  <si>
    <t>Kies eigen model</t>
  </si>
  <si>
    <t>Publiek laden</t>
  </si>
  <si>
    <t>Default</t>
  </si>
  <si>
    <t>Custom</t>
  </si>
  <si>
    <t>Gekozen waarde</t>
  </si>
  <si>
    <t>Custom waardes?</t>
  </si>
  <si>
    <t>WA</t>
  </si>
  <si>
    <t>WA+</t>
  </si>
  <si>
    <t>All-Risk</t>
  </si>
  <si>
    <t>Min kosten (€/maand)</t>
  </si>
  <si>
    <t>Max kosten (€/maand)</t>
  </si>
  <si>
    <t>Verzekeringstype</t>
  </si>
  <si>
    <t>aanschafprijs</t>
  </si>
  <si>
    <t>Maximale aanschafprijs voor minimale verzekering</t>
  </si>
  <si>
    <t>Minimale aanschafprijs voor maximale verzekering</t>
  </si>
  <si>
    <t>Verzekering per maand</t>
  </si>
  <si>
    <t>Ander merk</t>
  </si>
  <si>
    <t>Vrijstelling</t>
  </si>
  <si>
    <t>Vrijstelling wegenbelasting</t>
  </si>
  <si>
    <t>Feedback op testversie verwerkt</t>
  </si>
  <si>
    <t>Eigen laadprijs (€/kWh)</t>
  </si>
  <si>
    <t>Eigen aandeel in energiegebruik</t>
  </si>
  <si>
    <t>Hoeveel kilometer per jaar rijdt u met de taxi?</t>
  </si>
  <si>
    <t>Heeft u een eigen laadpaal? Zo niet, zou u die aanschaffen als u een elektrische auto koopt?</t>
  </si>
  <si>
    <t>Hoe betaal u de taxi?</t>
  </si>
  <si>
    <t xml:space="preserve">Heeft u een vrijstelling voor wegenbelasting? </t>
  </si>
  <si>
    <t>* onder Overig zijn de leasekosten, de kosten van uw eigen laadpaal (indien van toepassing), en de kosten van de taximeter-installatie de belangrijkste kosten.</t>
  </si>
  <si>
    <t>30-12025</t>
  </si>
  <si>
    <t>Tekstuele aanpassingen</t>
  </si>
  <si>
    <t>Gebruik alstublieft geen plakfunctie (Ctrl+V). Dit verstoort de berekening.</t>
  </si>
  <si>
    <t>In welk jaar wilt u een taxi kopen?</t>
  </si>
  <si>
    <t>Rijdt u vooral binnen de stad?</t>
  </si>
  <si>
    <t>Wilt u zelf invullen waar u laadt en hoeveel dat kost?</t>
  </si>
  <si>
    <t>Standaard aandeel in energiegebruik</t>
  </si>
  <si>
    <t>2. Kies voertuigen</t>
  </si>
  <si>
    <t xml:space="preserve">Klik op het tabblad Resultaten voor uitgebreide resultaten.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</si>
</sst>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6" formatCode="&quot;€&quot;\ #,##0;[Red]&quot;€&quot;\ \-#,##0"/>
    <numFmt numFmtId="7" formatCode="&quot;€&quot;\ #,##0.00;&quot;€&quot;\ \-#,##0.00"/>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
    <numFmt numFmtId="166" formatCode="0.0"/>
    <numFmt numFmtId="167" formatCode="_ &quot;€&quot;\ * #,##0_ ;_ &quot;€&quot;\ * \-#,##0_ ;_ &quot;€&quot;\ * &quot;-&quot;??_ ;_ @_ "/>
    <numFmt numFmtId="168" formatCode="_ [$€-2]\ * #,##0_ ;_ [$€-2]\ * \-#,##0_ ;_ [$€-2]\ * &quot;-&quot;??_ ;_ @_ "/>
    <numFmt numFmtId="169" formatCode="0.000"/>
    <numFmt numFmtId="170" formatCode="#,##0.000"/>
    <numFmt numFmtId="171" formatCode="_ [$€-413]\ * #,##0_ ;_ [$€-413]\ * \-#,##0_ ;_ [$€-413]\ * &quot;-&quot;??_ ;_ @_ "/>
    <numFmt numFmtId="172" formatCode="_ [$€-2]\ * #,##0.00_ ;_ [$€-2]\ * \-#,##0.00_ ;_ [$€-2]\ * &quot;-&quot;??_ ;_ @_ "/>
    <numFmt numFmtId="173" formatCode="&quot;€&quot;\ #,##0"/>
    <numFmt numFmtId="174" formatCode="_(* #,##0_);_(* \(#,##0\);_(* &quot;-&quot;??_);_(@_)"/>
    <numFmt numFmtId="175" formatCode="0.0000%"/>
    <numFmt numFmtId="176" formatCode=";;;"/>
    <numFmt numFmtId="177" formatCode="0.00000"/>
    <numFmt numFmtId="178" formatCode="_ * #,##0.00000_ ;_ * \-#,##0.00000_ ;_ * &quot;-&quot;??_ ;_ @_ "/>
    <numFmt numFmtId="179" formatCode="_(* #,##0.0_);_(* \(#,##0.0\);_(* &quot;-&quot;??_);_(@_)"/>
    <numFmt numFmtId="180" formatCode="_ * #,##0_ ;_ * \-#,##0_ ;_ * &quot;-&quot;??_ ;_ @_ "/>
    <numFmt numFmtId="181" formatCode="_ * #,##0.0_ ;_ * \-#,##0.0_ ;_ * &quot;-&quot;??_ ;_ @_ "/>
    <numFmt numFmtId="182" formatCode="0.0000"/>
    <numFmt numFmtId="183" formatCode="&quot;€&quot;\ #,##0.0;[Red]&quot;€&quot;\ \-#,##0.0"/>
    <numFmt numFmtId="184" formatCode="&quot;€&quot;\ #,##0.000;[Red]&quot;€&quot;\ \-#,##0.000"/>
  </numFmts>
  <fonts count="99" x14ac:knownFonts="1">
    <font>
      <sz val="10"/>
      <color theme="1"/>
      <name val="Trebuchet MS"/>
      <family val="2"/>
    </font>
    <font>
      <sz val="8"/>
      <color theme="1"/>
      <name val="Trebuchet MS"/>
      <family val="2"/>
    </font>
    <font>
      <sz val="8"/>
      <color theme="1"/>
      <name val="Trebuchet MS"/>
      <family val="2"/>
    </font>
    <font>
      <sz val="10"/>
      <color theme="1"/>
      <name val="trebuchet ms"/>
      <family val="2"/>
    </font>
    <font>
      <sz val="10"/>
      <color rgb="FF006100"/>
      <name val="trebuchet ms"/>
      <family val="2"/>
    </font>
    <font>
      <sz val="10"/>
      <color rgb="FF3F3F76"/>
      <name val="trebuchet ms"/>
      <family val="2"/>
    </font>
    <font>
      <b/>
      <sz val="10"/>
      <color theme="1"/>
      <name val="trebuchet ms"/>
      <family val="2"/>
    </font>
    <font>
      <sz val="10"/>
      <color theme="0"/>
      <name val="trebuchet ms"/>
      <family val="2"/>
    </font>
    <font>
      <b/>
      <u/>
      <sz val="10"/>
      <color rgb="FF000000"/>
      <name val="Trebuchet MS"/>
      <family val="2"/>
    </font>
    <font>
      <b/>
      <sz val="11"/>
      <color rgb="FF000000"/>
      <name val="Trebuchet MS"/>
      <family val="2"/>
    </font>
    <font>
      <b/>
      <sz val="11"/>
      <color theme="1"/>
      <name val="Trebuchet MS"/>
      <family val="2"/>
      <scheme val="minor"/>
    </font>
    <font>
      <sz val="24"/>
      <color rgb="FF009EE0"/>
      <name val="Trebuchet MS"/>
      <family val="2"/>
    </font>
    <font>
      <sz val="11"/>
      <color theme="0"/>
      <name val="Trebuchet MS"/>
      <family val="2"/>
      <scheme val="minor"/>
    </font>
    <font>
      <u/>
      <sz val="10"/>
      <color theme="10"/>
      <name val="trebuchet ms"/>
      <family val="2"/>
    </font>
    <font>
      <sz val="14"/>
      <color theme="0"/>
      <name val="Trebuchet MS"/>
      <family val="2"/>
    </font>
    <font>
      <sz val="8"/>
      <color indexed="81"/>
      <name val="Tahoma"/>
      <family val="2"/>
    </font>
    <font>
      <b/>
      <sz val="8"/>
      <color indexed="81"/>
      <name val="Tahoma"/>
      <family val="2"/>
    </font>
    <font>
      <i/>
      <sz val="10"/>
      <color theme="1"/>
      <name val="trebuchet ms"/>
      <family val="2"/>
    </font>
    <font>
      <sz val="10"/>
      <color theme="5"/>
      <name val="trebuchet ms"/>
      <family val="2"/>
    </font>
    <font>
      <b/>
      <sz val="15"/>
      <color theme="3"/>
      <name val="trebuchet ms"/>
      <family val="2"/>
    </font>
    <font>
      <b/>
      <sz val="10"/>
      <color rgb="FF3F3F3F"/>
      <name val="trebuchet ms"/>
      <family val="2"/>
    </font>
    <font>
      <b/>
      <sz val="10"/>
      <color theme="0"/>
      <name val="trebuchet ms"/>
      <family val="2"/>
    </font>
    <font>
      <sz val="11"/>
      <color rgb="FF333333"/>
      <name val="Arial"/>
      <family val="2"/>
    </font>
    <font>
      <b/>
      <sz val="20"/>
      <color theme="3"/>
      <name val="trebuchet ms"/>
      <family val="2"/>
    </font>
    <font>
      <b/>
      <sz val="10"/>
      <color rgb="FFFF0000"/>
      <name val="trebuchet ms"/>
      <family val="2"/>
    </font>
    <font>
      <sz val="14"/>
      <color theme="4"/>
      <name val="Trebuchet MS"/>
      <family val="2"/>
      <scheme val="minor"/>
    </font>
    <font>
      <sz val="11"/>
      <color theme="1"/>
      <name val="Trebuchet MS"/>
      <family val="2"/>
      <scheme val="minor"/>
    </font>
    <font>
      <i/>
      <sz val="11"/>
      <color theme="1"/>
      <name val="Trebuchet MS"/>
      <family val="2"/>
      <scheme val="minor"/>
    </font>
    <font>
      <sz val="11"/>
      <color rgb="FF3F3F76"/>
      <name val="Trebuchet MS"/>
      <family val="2"/>
      <scheme val="minor"/>
    </font>
    <font>
      <b/>
      <sz val="11"/>
      <color rgb="FF3F3F3F"/>
      <name val="Trebuchet MS"/>
      <family val="2"/>
      <scheme val="minor"/>
    </font>
    <font>
      <b/>
      <sz val="8"/>
      <color theme="1"/>
      <name val="Trebuchet MS"/>
      <family val="2"/>
      <scheme val="minor"/>
    </font>
    <font>
      <sz val="8"/>
      <color theme="1"/>
      <name val="Trebuchet MS"/>
      <family val="2"/>
      <scheme val="minor"/>
    </font>
    <font>
      <i/>
      <sz val="8"/>
      <color theme="1"/>
      <name val="Trebuchet MS"/>
      <family val="2"/>
      <scheme val="minor"/>
    </font>
    <font>
      <sz val="10"/>
      <color theme="0" tint="-0.499984740745262"/>
      <name val="Trebuchet MS"/>
      <family val="2"/>
    </font>
    <font>
      <sz val="9"/>
      <color theme="1"/>
      <name val="Trebuchet MS"/>
      <family val="2"/>
      <scheme val="minor"/>
    </font>
    <font>
      <b/>
      <sz val="9"/>
      <color theme="1"/>
      <name val="Trebuchet MS"/>
      <family val="2"/>
      <scheme val="minor"/>
    </font>
    <font>
      <sz val="10"/>
      <color theme="0" tint="-0.14999847407452621"/>
      <name val="trebuchet ms"/>
      <family val="2"/>
    </font>
    <font>
      <b/>
      <sz val="12"/>
      <name val="Arial"/>
      <family val="2"/>
    </font>
    <font>
      <b/>
      <sz val="12"/>
      <name val="Trebuchet MS"/>
      <family val="2"/>
    </font>
    <font>
      <sz val="10"/>
      <color rgb="FF000000"/>
      <name val="Trebuchet MS"/>
      <family val="2"/>
    </font>
    <font>
      <sz val="8"/>
      <color theme="1"/>
      <name val="trebuchet ms"/>
      <family val="2"/>
    </font>
    <font>
      <b/>
      <sz val="8"/>
      <color theme="1"/>
      <name val="trebuchet ms"/>
      <family val="2"/>
    </font>
    <font>
      <sz val="14"/>
      <name val="Trebuchet MS"/>
      <family val="2"/>
    </font>
    <font>
      <sz val="10"/>
      <name val="Arial"/>
      <family val="2"/>
    </font>
    <font>
      <b/>
      <sz val="8"/>
      <name val="Trebuchet MS"/>
      <family val="2"/>
      <scheme val="minor"/>
    </font>
    <font>
      <sz val="8"/>
      <color rgb="FF3F3F76"/>
      <name val="trebuchet ms"/>
      <family val="2"/>
    </font>
    <font>
      <sz val="8"/>
      <color theme="0" tint="-0.499984740745262"/>
      <name val="Trebuchet MS"/>
      <family val="2"/>
    </font>
    <font>
      <sz val="9"/>
      <color indexed="81"/>
      <name val="Tahoma"/>
      <family val="2"/>
    </font>
    <font>
      <b/>
      <sz val="9"/>
      <color indexed="81"/>
      <name val="Tahoma"/>
      <family val="2"/>
    </font>
    <font>
      <sz val="10"/>
      <color rgb="FF7030A0"/>
      <name val="trebuchet ms"/>
      <family val="2"/>
    </font>
    <font>
      <sz val="8"/>
      <color rgb="FF7030A0"/>
      <name val="trebuchet ms"/>
      <family val="2"/>
    </font>
    <font>
      <sz val="10"/>
      <color theme="1"/>
      <name val="Trebuchet MS"/>
      <family val="2"/>
      <scheme val="minor"/>
    </font>
    <font>
      <sz val="10"/>
      <color rgb="FF9C0006"/>
      <name val="Trebuchet MS"/>
      <family val="2"/>
    </font>
    <font>
      <b/>
      <sz val="8"/>
      <color theme="3"/>
      <name val="trebuchet ms"/>
      <family val="2"/>
    </font>
    <font>
      <u/>
      <sz val="8"/>
      <color theme="4"/>
      <name val="trebuchet ms"/>
      <family val="2"/>
    </font>
    <font>
      <sz val="8"/>
      <color rgb="FF000000"/>
      <name val="trebuchet ms"/>
      <family val="2"/>
    </font>
    <font>
      <sz val="8"/>
      <color theme="3"/>
      <name val="trebuchet ms"/>
      <family val="2"/>
    </font>
    <font>
      <sz val="8"/>
      <name val="Trebuchet MS"/>
      <family val="2"/>
    </font>
    <font>
      <sz val="10"/>
      <name val="Arial"/>
      <family val="2"/>
      <charset val="1"/>
    </font>
    <font>
      <sz val="11"/>
      <color theme="1"/>
      <name val="Trebuchet MS"/>
      <family val="2"/>
      <scheme val="minor"/>
    </font>
    <font>
      <sz val="10"/>
      <color rgb="FF7F7F7F"/>
      <name val="Trebuchet MS"/>
      <family val="2"/>
    </font>
    <font>
      <sz val="18"/>
      <color theme="3"/>
      <name val="Trebuchet MS"/>
      <family val="2"/>
      <scheme val="major"/>
    </font>
    <font>
      <sz val="10"/>
      <color rgb="FFFF0000"/>
      <name val="Trebuchet MS"/>
      <family val="2"/>
    </font>
    <font>
      <sz val="26"/>
      <color rgb="FF009EE0"/>
      <name val="Trebuchet MS"/>
      <family val="2"/>
    </font>
    <font>
      <b/>
      <sz val="26"/>
      <color rgb="FF009EE0"/>
      <name val="Trebuchet MS"/>
      <family val="2"/>
    </font>
    <font>
      <b/>
      <sz val="12"/>
      <color theme="1"/>
      <name val="Trebuchet MS"/>
      <family val="2"/>
    </font>
    <font>
      <sz val="10"/>
      <name val="Trebuchet MS"/>
      <family val="2"/>
    </font>
    <font>
      <sz val="10"/>
      <color rgb="FFA6A6A6"/>
      <name val="Trebuchet MS"/>
      <family val="2"/>
    </font>
    <font>
      <i/>
      <sz val="12"/>
      <color theme="1"/>
      <name val="Trebuchet MS"/>
      <family val="2"/>
    </font>
    <font>
      <sz val="10"/>
      <color rgb="FF9C6500"/>
      <name val="Trebuchet MS"/>
      <family val="2"/>
    </font>
    <font>
      <i/>
      <sz val="10"/>
      <color rgb="FF808080"/>
      <name val="Trebuchet MS"/>
      <family val="2"/>
    </font>
    <font>
      <b/>
      <sz val="10"/>
      <name val="Trebuchet MS"/>
      <family val="2"/>
    </font>
    <font>
      <sz val="10"/>
      <color rgb="FF009EE0"/>
      <name val="Trebuchet MS"/>
      <family val="2"/>
    </font>
    <font>
      <sz val="11"/>
      <color indexed="8"/>
      <name val="Trebuchet MS"/>
      <family val="2"/>
      <scheme val="minor"/>
    </font>
    <font>
      <b/>
      <sz val="11"/>
      <color theme="3"/>
      <name val="Trebuchet MS"/>
      <family val="2"/>
      <scheme val="minor"/>
    </font>
    <font>
      <u/>
      <sz val="8"/>
      <color theme="10"/>
      <name val="trebuchet ms"/>
      <family val="2"/>
    </font>
    <font>
      <sz val="10"/>
      <color theme="3"/>
      <name val="trebuchet ms"/>
      <family val="2"/>
    </font>
    <font>
      <i/>
      <sz val="10"/>
      <color theme="1" tint="0.499984740745262"/>
      <name val="trebuchet ms"/>
      <family val="2"/>
    </font>
    <font>
      <sz val="10"/>
      <color theme="1" tint="0.499984740745262"/>
      <name val="trebuchet ms"/>
      <family val="2"/>
    </font>
    <font>
      <b/>
      <sz val="8"/>
      <color theme="1" tint="0.499984740745262"/>
      <name val="trebuchet ms"/>
      <family val="2"/>
    </font>
    <font>
      <sz val="8"/>
      <color theme="1" tint="0.499984740745262"/>
      <name val="trebuchet ms"/>
      <family val="2"/>
    </font>
    <font>
      <sz val="8"/>
      <color theme="2" tint="-0.249977111117893"/>
      <name val="trebuchet ms"/>
      <family val="2"/>
    </font>
    <font>
      <b/>
      <sz val="11"/>
      <color rgb="FFFF0000"/>
      <name val="Trebuchet MS"/>
      <family val="2"/>
      <scheme val="minor"/>
    </font>
    <font>
      <sz val="10"/>
      <color theme="2"/>
      <name val="Trebuchet MS"/>
      <family val="2"/>
    </font>
    <font>
      <sz val="7"/>
      <name val="Trebuchet MS"/>
      <family val="2"/>
    </font>
    <font>
      <sz val="8"/>
      <color theme="0"/>
      <name val="Trebuchet MS"/>
      <family val="2"/>
    </font>
    <font>
      <sz val="11"/>
      <color theme="1"/>
      <name val="Trebuchet MS"/>
      <family val="2"/>
    </font>
    <font>
      <b/>
      <sz val="8"/>
      <color theme="4"/>
      <name val="trebuchet ms"/>
      <family val="2"/>
    </font>
    <font>
      <i/>
      <sz val="8"/>
      <color theme="4"/>
      <name val="trebuchet ms"/>
      <family val="2"/>
    </font>
    <font>
      <sz val="7"/>
      <color theme="1"/>
      <name val="Trebuchet MS"/>
      <family val="2"/>
    </font>
    <font>
      <sz val="9"/>
      <color theme="1"/>
      <name val="Trebuchet MS"/>
      <family val="2"/>
    </font>
    <font>
      <b/>
      <sz val="8"/>
      <name val="Trebuchet MS"/>
      <family val="2"/>
    </font>
    <font>
      <i/>
      <sz val="8"/>
      <color theme="1"/>
      <name val="Trebuchet MS"/>
      <family val="2"/>
    </font>
    <font>
      <b/>
      <sz val="8"/>
      <color rgb="FFFF0000"/>
      <name val="trebuchet ms"/>
      <family val="2"/>
    </font>
    <font>
      <i/>
      <sz val="8"/>
      <color rgb="FF00B0F0"/>
      <name val="Trebuchet MS"/>
      <family val="2"/>
    </font>
    <font>
      <i/>
      <sz val="8"/>
      <color theme="1"/>
      <name val="Trebuchet MS"/>
      <family val="2"/>
      <scheme val="major"/>
    </font>
    <font>
      <b/>
      <i/>
      <sz val="8"/>
      <color theme="4"/>
      <name val="trebuchet ms"/>
      <family val="2"/>
    </font>
    <font>
      <sz val="8"/>
      <color theme="4"/>
      <name val="Trebuchet MS"/>
      <family val="2"/>
    </font>
    <font>
      <sz val="9"/>
      <color indexed="81"/>
      <name val="Tahoma"/>
      <charset val="1"/>
    </font>
  </fonts>
  <fills count="5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E1F4FF"/>
        <bgColor indexed="64"/>
      </patternFill>
    </fill>
    <fill>
      <patternFill patternType="solid">
        <fgColor theme="1"/>
        <bgColor indexed="64"/>
      </patternFill>
    </fill>
    <fill>
      <patternFill patternType="solid">
        <fgColor theme="7"/>
        <bgColor indexed="64"/>
      </patternFill>
    </fill>
    <fill>
      <patternFill patternType="solid">
        <fgColor rgb="FFB9E4FF"/>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009EE0"/>
        <bgColor indexed="64"/>
      </patternFill>
    </fill>
    <fill>
      <patternFill patternType="solid">
        <fgColor theme="6"/>
        <bgColor indexed="64"/>
      </patternFill>
    </fill>
    <fill>
      <patternFill patternType="solid">
        <fgColor rgb="FF99CCFF"/>
        <bgColor indexed="64"/>
      </patternFill>
    </fill>
    <fill>
      <patternFill patternType="solid">
        <fgColor rgb="FFFFCC99"/>
        <bgColor rgb="FFFFFFFF"/>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rgb="FFB9E4FF"/>
        <bgColor rgb="FF000000"/>
      </patternFill>
    </fill>
    <fill>
      <patternFill patternType="solid">
        <fgColor rgb="FFE1F4FF"/>
        <bgColor rgb="FF000000"/>
      </patternFill>
    </fill>
    <fill>
      <patternFill patternType="solid">
        <fgColor rgb="FFFFFFFF"/>
        <bgColor rgb="FF000000"/>
      </patternFill>
    </fill>
    <fill>
      <patternFill patternType="solid">
        <fgColor rgb="FFC6EFCE"/>
        <bgColor rgb="FFFFFFFF"/>
      </patternFill>
    </fill>
    <fill>
      <patternFill patternType="solid">
        <fgColor rgb="FFFFF8CC"/>
        <bgColor rgb="FF000000"/>
      </patternFill>
    </fill>
    <fill>
      <patternFill patternType="solid">
        <fgColor rgb="FFFFDB00"/>
        <bgColor rgb="FF000000"/>
      </patternFill>
    </fill>
    <fill>
      <patternFill patternType="solid">
        <fgColor rgb="FFFFEB9C"/>
        <bgColor rgb="FFFFFFFF"/>
      </patternFill>
    </fill>
    <fill>
      <patternFill patternType="solid">
        <fgColor rgb="FFFFFFCC"/>
        <bgColor rgb="FFFFFFFF"/>
      </patternFill>
    </fill>
    <fill>
      <patternFill patternType="solid">
        <fgColor rgb="FFFFC7CE"/>
        <bgColor rgb="FFFFFFFF"/>
      </patternFill>
    </fill>
    <fill>
      <patternFill patternType="solid">
        <fgColor rgb="FFB9E4FF"/>
        <bgColor auto="1"/>
      </patternFill>
    </fill>
    <fill>
      <patternFill patternType="solid">
        <fgColor rgb="FFE1F4FF"/>
        <bgColor auto="1"/>
      </patternFill>
    </fill>
    <fill>
      <patternFill patternType="solid">
        <fgColor rgb="FFD9D9D9"/>
        <bgColor rgb="FF000000"/>
      </patternFill>
    </fill>
    <fill>
      <patternFill patternType="solid">
        <fgColor theme="4" tint="0.79998168889431442"/>
        <bgColor theme="4" tint="0.79998168889431442"/>
      </patternFill>
    </fill>
  </fills>
  <borders count="12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rgb="FF009EE0"/>
      </left>
      <right/>
      <top style="medium">
        <color rgb="FF009EE0"/>
      </top>
      <bottom/>
      <diagonal/>
    </border>
    <border>
      <left/>
      <right/>
      <top style="medium">
        <color rgb="FF009EE0"/>
      </top>
      <bottom/>
      <diagonal/>
    </border>
    <border>
      <left/>
      <right style="medium">
        <color rgb="FF009EE0"/>
      </right>
      <top style="medium">
        <color rgb="FF009EE0"/>
      </top>
      <bottom/>
      <diagonal/>
    </border>
    <border>
      <left style="medium">
        <color rgb="FF009EE0"/>
      </left>
      <right/>
      <top/>
      <bottom/>
      <diagonal/>
    </border>
    <border>
      <left/>
      <right style="medium">
        <color rgb="FF009EE0"/>
      </right>
      <top/>
      <bottom/>
      <diagonal/>
    </border>
    <border>
      <left style="medium">
        <color rgb="FF009EE0"/>
      </left>
      <right/>
      <top/>
      <bottom style="medium">
        <color rgb="FF009EE0"/>
      </bottom>
      <diagonal/>
    </border>
    <border>
      <left/>
      <right/>
      <top/>
      <bottom style="medium">
        <color rgb="FF009EE0"/>
      </bottom>
      <diagonal/>
    </border>
    <border>
      <left/>
      <right style="medium">
        <color rgb="FF009EE0"/>
      </right>
      <top/>
      <bottom style="medium">
        <color rgb="FF009E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auto="1"/>
      </bottom>
      <diagonal/>
    </border>
    <border>
      <left style="medium">
        <color rgb="FF009EE0"/>
      </left>
      <right/>
      <top style="medium">
        <color rgb="FF009EE0"/>
      </top>
      <bottom style="medium">
        <color rgb="FF009EE0"/>
      </bottom>
      <diagonal/>
    </border>
    <border>
      <left/>
      <right/>
      <top style="medium">
        <color rgb="FF009EE0"/>
      </top>
      <bottom style="medium">
        <color rgb="FF009EE0"/>
      </bottom>
      <diagonal/>
    </border>
    <border>
      <left style="medium">
        <color rgb="FF009EE0"/>
      </left>
      <right style="medium">
        <color rgb="FF009EE0"/>
      </right>
      <top style="medium">
        <color rgb="FF009EE0"/>
      </top>
      <bottom style="medium">
        <color rgb="FF009EE0"/>
      </bottom>
      <diagonal/>
    </border>
    <border>
      <left/>
      <right style="medium">
        <color rgb="FF009EE0"/>
      </right>
      <top style="medium">
        <color rgb="FF009EE0"/>
      </top>
      <bottom style="medium">
        <color rgb="FF009EE0"/>
      </bottom>
      <diagonal/>
    </border>
    <border>
      <left style="medium">
        <color rgb="FF009EE0"/>
      </left>
      <right style="medium">
        <color rgb="FF009EE0"/>
      </right>
      <top style="medium">
        <color rgb="FF009EE0"/>
      </top>
      <bottom/>
      <diagonal/>
    </border>
    <border>
      <left style="medium">
        <color rgb="FF009EE0"/>
      </left>
      <right style="medium">
        <color rgb="FF009EE0"/>
      </right>
      <top/>
      <bottom style="medium">
        <color rgb="FF009EE0"/>
      </bottom>
      <diagonal/>
    </border>
    <border>
      <left style="medium">
        <color rgb="FF009EE0"/>
      </left>
      <right style="medium">
        <color rgb="FF009EE0"/>
      </right>
      <top/>
      <bottom/>
      <diagonal/>
    </border>
    <border>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auto="1"/>
      </left>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rgb="FF009EE0"/>
      </top>
      <bottom style="thin">
        <color indexed="64"/>
      </bottom>
      <diagonal/>
    </border>
    <border>
      <left style="thin">
        <color indexed="64"/>
      </left>
      <right style="thin">
        <color indexed="64"/>
      </right>
      <top style="thin">
        <color indexed="64"/>
      </top>
      <bottom style="medium">
        <color rgb="FF009EE0"/>
      </bottom>
      <diagonal/>
    </border>
    <border>
      <left/>
      <right style="thin">
        <color indexed="64"/>
      </right>
      <top style="medium">
        <color rgb="FF009EE0"/>
      </top>
      <bottom style="thin">
        <color indexed="64"/>
      </bottom>
      <diagonal/>
    </border>
    <border>
      <left/>
      <right style="thin">
        <color indexed="64"/>
      </right>
      <top style="thin">
        <color indexed="64"/>
      </top>
      <bottom style="medium">
        <color rgb="FF009EE0"/>
      </bottom>
      <diagonal/>
    </border>
    <border>
      <left style="medium">
        <color rgb="FF009EE0"/>
      </left>
      <right style="medium">
        <color rgb="FF009EE0"/>
      </right>
      <top style="medium">
        <color rgb="FF009EE0"/>
      </top>
      <bottom style="thin">
        <color indexed="64"/>
      </bottom>
      <diagonal/>
    </border>
    <border>
      <left style="medium">
        <color rgb="FF009EE0"/>
      </left>
      <right style="medium">
        <color rgb="FF009EE0"/>
      </right>
      <top style="thin">
        <color indexed="64"/>
      </top>
      <bottom style="thin">
        <color indexed="64"/>
      </bottom>
      <diagonal/>
    </border>
    <border>
      <left style="medium">
        <color rgb="FF009EE0"/>
      </left>
      <right style="medium">
        <color rgb="FF009EE0"/>
      </right>
      <top style="thin">
        <color indexed="64"/>
      </top>
      <bottom style="medium">
        <color rgb="FF009EE0"/>
      </bottom>
      <diagonal/>
    </border>
    <border>
      <left style="medium">
        <color rgb="FF009EE0"/>
      </left>
      <right style="medium">
        <color rgb="FF009EE0"/>
      </right>
      <top/>
      <bottom style="thin">
        <color indexed="64"/>
      </bottom>
      <diagonal/>
    </border>
    <border>
      <left style="medium">
        <color rgb="FF009EE0"/>
      </left>
      <right style="medium">
        <color rgb="FF009EE0"/>
      </right>
      <top style="thin">
        <color indexed="64"/>
      </top>
      <bottom/>
      <diagonal/>
    </border>
    <border>
      <left/>
      <right/>
      <top style="thin">
        <color auto="1"/>
      </top>
      <bottom/>
      <diagonal/>
    </border>
    <border>
      <left style="thin">
        <color rgb="FFB2B2B2"/>
      </left>
      <right style="medium">
        <color rgb="FF009EE0"/>
      </right>
      <top style="thin">
        <color rgb="FFB2B2B2"/>
      </top>
      <bottom style="thin">
        <color rgb="FFB2B2B2"/>
      </bottom>
      <diagonal/>
    </border>
    <border>
      <left style="thick">
        <color auto="1"/>
      </left>
      <right style="medium">
        <color rgb="FF009EE0"/>
      </right>
      <top style="thick">
        <color auto="1"/>
      </top>
      <bottom style="medium">
        <color rgb="FF009EE0"/>
      </bottom>
      <diagonal/>
    </border>
    <border>
      <left style="medium">
        <color rgb="FF009EE0"/>
      </left>
      <right style="medium">
        <color rgb="FF009EE0"/>
      </right>
      <top style="thick">
        <color auto="1"/>
      </top>
      <bottom style="medium">
        <color rgb="FF009EE0"/>
      </bottom>
      <diagonal/>
    </border>
    <border>
      <left style="medium">
        <color rgb="FF009EE0"/>
      </left>
      <right style="thick">
        <color auto="1"/>
      </right>
      <top style="thick">
        <color auto="1"/>
      </top>
      <bottom style="medium">
        <color rgb="FF009EE0"/>
      </bottom>
      <diagonal/>
    </border>
    <border>
      <left style="thick">
        <color auto="1"/>
      </left>
      <right style="medium">
        <color rgb="FF009EE0"/>
      </right>
      <top style="medium">
        <color rgb="FF009EE0"/>
      </top>
      <bottom style="medium">
        <color rgb="FF009EE0"/>
      </bottom>
      <diagonal/>
    </border>
    <border>
      <left style="medium">
        <color rgb="FF009EE0"/>
      </left>
      <right style="thick">
        <color auto="1"/>
      </right>
      <top style="medium">
        <color rgb="FF009EE0"/>
      </top>
      <bottom style="medium">
        <color rgb="FF009EE0"/>
      </bottom>
      <diagonal/>
    </border>
    <border>
      <left style="thin">
        <color rgb="FF7F7F7F"/>
      </left>
      <right style="thin">
        <color indexed="64"/>
      </right>
      <top style="thin">
        <color rgb="FF7F7F7F"/>
      </top>
      <bottom style="thin">
        <color rgb="FF7F7F7F"/>
      </bottom>
      <diagonal/>
    </border>
    <border>
      <left style="thin">
        <color rgb="FFB2B2B2"/>
      </left>
      <right style="medium">
        <color rgb="FF009EE0"/>
      </right>
      <top/>
      <bottom style="thin">
        <color rgb="FFB2B2B2"/>
      </bottom>
      <diagonal/>
    </border>
    <border>
      <left style="thin">
        <color rgb="FFB2B2B2"/>
      </left>
      <right style="medium">
        <color rgb="FF009EE0"/>
      </right>
      <top style="thin">
        <color rgb="FFB2B2B2"/>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rgb="FF009EE0"/>
      </left>
      <right style="thin">
        <color rgb="FF009EE0"/>
      </right>
      <top style="thin">
        <color rgb="FF009EE0"/>
      </top>
      <bottom style="thin">
        <color rgb="FF009EE0"/>
      </bottom>
      <diagonal/>
    </border>
    <border>
      <left style="medium">
        <color rgb="FF009DD8"/>
      </left>
      <right style="medium">
        <color rgb="FF009DD8"/>
      </right>
      <top style="medium">
        <color rgb="FF009DD8"/>
      </top>
      <bottom style="medium">
        <color rgb="FF009DD8"/>
      </bottom>
      <diagonal/>
    </border>
    <border>
      <left/>
      <right/>
      <top style="thin">
        <color theme="4" tint="0.39997558519241921"/>
      </top>
      <bottom style="thin">
        <color theme="4" tint="0.39997558519241921"/>
      </bottom>
      <diagonal/>
    </border>
    <border>
      <left style="thin">
        <color rgb="FF009EE0"/>
      </left>
      <right/>
      <top style="thin">
        <color rgb="FF009EE0"/>
      </top>
      <bottom/>
      <diagonal/>
    </border>
    <border>
      <left style="thin">
        <color rgb="FF009EE0"/>
      </left>
      <right style="thin">
        <color rgb="FF009EE0"/>
      </right>
      <top style="thin">
        <color rgb="FF009EE0"/>
      </top>
      <bottom/>
      <diagonal/>
    </border>
    <border>
      <left style="thin">
        <color rgb="FF009EE0"/>
      </left>
      <right style="thin">
        <color rgb="FF009EE0"/>
      </right>
      <top style="thin">
        <color indexed="64"/>
      </top>
      <bottom style="thin">
        <color rgb="FF009EE0"/>
      </bottom>
      <diagonal/>
    </border>
    <border>
      <left style="thin">
        <color rgb="FF009EE0"/>
      </left>
      <right style="thin">
        <color indexed="64"/>
      </right>
      <top style="thin">
        <color indexed="64"/>
      </top>
      <bottom style="thin">
        <color rgb="FF009EE0"/>
      </bottom>
      <diagonal/>
    </border>
    <border>
      <left style="thin">
        <color rgb="FF009EE0"/>
      </left>
      <right style="thin">
        <color indexed="64"/>
      </right>
      <top style="thin">
        <color rgb="FF009EE0"/>
      </top>
      <bottom style="thin">
        <color rgb="FF009EE0"/>
      </bottom>
      <diagonal/>
    </border>
    <border>
      <left style="thin">
        <color rgb="FF009EE0"/>
      </left>
      <right style="thin">
        <color rgb="FF009EE0"/>
      </right>
      <top style="thin">
        <color rgb="FF009EE0"/>
      </top>
      <bottom style="thin">
        <color indexed="64"/>
      </bottom>
      <diagonal/>
    </border>
    <border>
      <left/>
      <right style="medium">
        <color rgb="FF009EE0"/>
      </right>
      <top style="thin">
        <color theme="0" tint="-0.14999847407452621"/>
      </top>
      <bottom style="medium">
        <color rgb="FF009EE0"/>
      </bottom>
      <diagonal/>
    </border>
    <border>
      <left/>
      <right/>
      <top style="thin">
        <color theme="0" tint="-0.14999847407452621"/>
      </top>
      <bottom style="medium">
        <color rgb="FF009EE0"/>
      </bottom>
      <diagonal/>
    </border>
    <border>
      <left style="medium">
        <color rgb="FF009EE0"/>
      </left>
      <right/>
      <top style="thin">
        <color theme="0" tint="-0.14999847407452621"/>
      </top>
      <bottom style="medium">
        <color rgb="FF009EE0"/>
      </bottom>
      <diagonal/>
    </border>
    <border>
      <left style="medium">
        <color rgb="FF009EE0"/>
      </left>
      <right style="medium">
        <color rgb="FF009EE0"/>
      </right>
      <top style="thin">
        <color theme="0" tint="-0.14999847407452621"/>
      </top>
      <bottom/>
      <diagonal/>
    </border>
    <border>
      <left style="medium">
        <color rgb="FF009EE0"/>
      </left>
      <right style="medium">
        <color rgb="FF009EE0"/>
      </right>
      <top style="thin">
        <color theme="0" tint="-0.14999847407452621"/>
      </top>
      <bottom style="thin">
        <color theme="0" tint="-0.14999847407452621"/>
      </bottom>
      <diagonal/>
    </border>
    <border>
      <left style="medium">
        <color rgb="FF009EE0"/>
      </left>
      <right style="medium">
        <color rgb="FF009EE0"/>
      </right>
      <top/>
      <bottom style="thin">
        <color theme="0" tint="-0.14999847407452621"/>
      </bottom>
      <diagonal/>
    </border>
    <border>
      <left style="medium">
        <color rgb="FF009EE0"/>
      </left>
      <right style="medium">
        <color rgb="FF009EE0"/>
      </right>
      <top style="medium">
        <color rgb="FF009EE0"/>
      </top>
      <bottom style="thin">
        <color theme="0" tint="-0.1499984740745262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medium">
        <color rgb="FF009EE0"/>
      </right>
      <top style="thin">
        <color rgb="FFFF0000"/>
      </top>
      <bottom style="medium">
        <color rgb="FF009EE0"/>
      </bottom>
      <diagonal/>
    </border>
    <border>
      <left style="medium">
        <color rgb="FF009EE0"/>
      </left>
      <right style="medium">
        <color rgb="FF009EE0"/>
      </right>
      <top style="thin">
        <color rgb="FFFF0000"/>
      </top>
      <bottom style="medium">
        <color rgb="FF009EE0"/>
      </bottom>
      <diagonal/>
    </border>
    <border>
      <left style="medium">
        <color rgb="FF009EE0"/>
      </left>
      <right style="thin">
        <color rgb="FFFF0000"/>
      </right>
      <top style="thin">
        <color rgb="FFFF0000"/>
      </top>
      <bottom style="medium">
        <color rgb="FF009EE0"/>
      </bottom>
      <diagonal/>
    </border>
    <border>
      <left style="thin">
        <color rgb="FFFF0000"/>
      </left>
      <right style="medium">
        <color rgb="FF009EE0"/>
      </right>
      <top style="medium">
        <color rgb="FF009EE0"/>
      </top>
      <bottom style="medium">
        <color rgb="FF009EE0"/>
      </bottom>
      <diagonal/>
    </border>
    <border>
      <left style="medium">
        <color rgb="FF009EE0"/>
      </left>
      <right style="thin">
        <color rgb="FFFF0000"/>
      </right>
      <top style="medium">
        <color rgb="FF009EE0"/>
      </top>
      <bottom style="medium">
        <color rgb="FF009EE0"/>
      </bottom>
      <diagonal/>
    </border>
    <border>
      <left style="thin">
        <color rgb="FFFF0000"/>
      </left>
      <right style="medium">
        <color rgb="FF009EE0"/>
      </right>
      <top style="medium">
        <color rgb="FF009EE0"/>
      </top>
      <bottom style="thin">
        <color rgb="FFFF0000"/>
      </bottom>
      <diagonal/>
    </border>
    <border>
      <left style="medium">
        <color rgb="FF009EE0"/>
      </left>
      <right style="medium">
        <color rgb="FF009EE0"/>
      </right>
      <top style="medium">
        <color rgb="FF009EE0"/>
      </top>
      <bottom style="thin">
        <color rgb="FFFF0000"/>
      </bottom>
      <diagonal/>
    </border>
    <border>
      <left style="medium">
        <color rgb="FF009EE0"/>
      </left>
      <right style="thin">
        <color rgb="FFFF0000"/>
      </right>
      <top style="medium">
        <color rgb="FF009EE0"/>
      </top>
      <bottom style="thin">
        <color rgb="FFFF0000"/>
      </bottom>
      <diagonal/>
    </border>
    <border>
      <left style="thin">
        <color indexed="64"/>
      </left>
      <right style="thin">
        <color rgb="FF009EE0"/>
      </right>
      <top style="thin">
        <color indexed="64"/>
      </top>
      <bottom style="thin">
        <color rgb="FF009EE0"/>
      </bottom>
      <diagonal/>
    </border>
    <border>
      <left style="thin">
        <color indexed="64"/>
      </left>
      <right style="thin">
        <color rgb="FF009EE0"/>
      </right>
      <top style="thin">
        <color rgb="FF009EE0"/>
      </top>
      <bottom style="thin">
        <color rgb="FF009EE0"/>
      </bottom>
      <diagonal/>
    </border>
    <border>
      <left style="thin">
        <color indexed="64"/>
      </left>
      <right style="thin">
        <color rgb="FF009EE0"/>
      </right>
      <top style="thin">
        <color rgb="FF009EE0"/>
      </top>
      <bottom style="thin">
        <color indexed="64"/>
      </bottom>
      <diagonal/>
    </border>
    <border>
      <left style="thin">
        <color rgb="FF009EE0"/>
      </left>
      <right style="thin">
        <color rgb="FF009EE0"/>
      </right>
      <top/>
      <bottom style="thin">
        <color rgb="FF009EE0"/>
      </bottom>
      <diagonal/>
    </border>
    <border>
      <left style="thin">
        <color rgb="FF009EE0"/>
      </left>
      <right style="thin">
        <color indexed="64"/>
      </right>
      <top style="thin">
        <color rgb="FF009EE0"/>
      </top>
      <bottom style="thin">
        <color indexed="64"/>
      </bottom>
      <diagonal/>
    </border>
    <border>
      <left/>
      <right style="thin">
        <color rgb="FF009EE0"/>
      </right>
      <top/>
      <bottom/>
      <diagonal/>
    </border>
    <border>
      <left style="thin">
        <color indexed="64"/>
      </left>
      <right style="thin">
        <color rgb="FF009EE0"/>
      </right>
      <top/>
      <bottom/>
      <diagonal/>
    </border>
    <border>
      <left style="thin">
        <color rgb="FF009EE0"/>
      </left>
      <right style="thin">
        <color rgb="FF009EE0"/>
      </right>
      <top/>
      <bottom/>
      <diagonal/>
    </border>
    <border>
      <left style="thin">
        <color rgb="FF009EE0"/>
      </left>
      <right style="thin">
        <color indexed="64"/>
      </right>
      <top/>
      <bottom/>
      <diagonal/>
    </border>
  </borders>
  <cellStyleXfs count="81">
    <xf numFmtId="0" fontId="0" fillId="0" borderId="0" applyNumberFormat="0" applyAlignment="0"/>
    <xf numFmtId="0" fontId="13" fillId="0" borderId="0" applyNumberForma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3" fontId="66" fillId="46" borderId="79" applyNumberFormat="0" applyAlignment="0"/>
    <xf numFmtId="0" fontId="4" fillId="48" borderId="0" applyNumberFormat="0" applyAlignment="0">
      <alignment vertical="top" wrapText="1"/>
    </xf>
    <xf numFmtId="3" fontId="66" fillId="0" borderId="79" applyNumberFormat="0" applyAlignment="0"/>
    <xf numFmtId="0" fontId="26" fillId="0" borderId="0"/>
    <xf numFmtId="0" fontId="62" fillId="0" borderId="0" applyNumberFormat="0" applyAlignment="0"/>
    <xf numFmtId="0" fontId="26" fillId="0" borderId="0"/>
    <xf numFmtId="172" fontId="26" fillId="0" borderId="0"/>
    <xf numFmtId="0" fontId="70" fillId="52" borderId="0" applyNumberFormat="0" applyAlignment="0" applyProtection="0"/>
    <xf numFmtId="3" fontId="66" fillId="49" borderId="79" applyNumberFormat="0" applyAlignment="0" applyProtection="0"/>
    <xf numFmtId="0" fontId="3" fillId="0" borderId="0"/>
    <xf numFmtId="0" fontId="43" fillId="0" borderId="0"/>
    <xf numFmtId="0" fontId="68" fillId="0" borderId="0" applyNumberFormat="0" applyAlignment="0"/>
    <xf numFmtId="0" fontId="26" fillId="0" borderId="0"/>
    <xf numFmtId="0" fontId="51" fillId="0" borderId="0"/>
    <xf numFmtId="43" fontId="3" fillId="0" borderId="0" applyFont="0" applyFill="0" applyBorder="0" applyAlignment="0" applyProtection="0"/>
    <xf numFmtId="0" fontId="52" fillId="53" borderId="0" applyNumberFormat="0" applyAlignment="0">
      <alignment vertical="top" wrapText="1"/>
    </xf>
    <xf numFmtId="3" fontId="71" fillId="45" borderId="79" applyNumberFormat="0" applyAlignment="0"/>
    <xf numFmtId="0" fontId="3" fillId="0" borderId="0" applyNumberFormat="0" applyAlignment="0"/>
    <xf numFmtId="0" fontId="58" fillId="0" borderId="0"/>
    <xf numFmtId="0" fontId="72" fillId="0" borderId="0" applyNumberFormat="0" applyAlignment="0"/>
    <xf numFmtId="0" fontId="7" fillId="20" borderId="0" applyNumberFormat="0" applyBorder="0" applyAlignment="0" applyProtection="0"/>
    <xf numFmtId="0" fontId="59" fillId="0" borderId="0"/>
    <xf numFmtId="41" fontId="3" fillId="0" borderId="0" applyFont="0" applyFill="0" applyBorder="0" applyAlignment="0" applyProtection="0"/>
    <xf numFmtId="42" fontId="3" fillId="0" borderId="0" applyFont="0" applyFill="0" applyBorder="0" applyAlignment="0" applyProtection="0"/>
    <xf numFmtId="0" fontId="61" fillId="0" borderId="0" applyNumberFormat="0" applyFill="0" applyBorder="0" applyAlignment="0" applyProtection="0"/>
    <xf numFmtId="0" fontId="64" fillId="0" borderId="0" applyNumberFormat="0" applyAlignment="0"/>
    <xf numFmtId="0" fontId="65" fillId="0" borderId="0" applyNumberFormat="0" applyAlignment="0"/>
    <xf numFmtId="0" fontId="69" fillId="51" borderId="0" applyNumberFormat="0" applyAlignment="0">
      <alignment vertical="top" wrapText="1"/>
    </xf>
    <xf numFmtId="165" fontId="67" fillId="47" borderId="79" applyNumberFormat="0" applyAlignment="0"/>
    <xf numFmtId="0" fontId="6" fillId="0" borderId="34" applyNumberFormat="0" applyFill="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7"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0" borderId="0" applyNumberFormat="0" applyAlignment="0"/>
    <xf numFmtId="0" fontId="63" fillId="0" borderId="0" applyNumberFormat="0" applyAlignment="0"/>
    <xf numFmtId="0" fontId="65" fillId="0" borderId="0" applyNumberFormat="0" applyAlignment="0"/>
    <xf numFmtId="0" fontId="41" fillId="0" borderId="0" applyNumberFormat="0" applyAlignment="0"/>
    <xf numFmtId="3" fontId="66" fillId="49" borderId="80" applyNumberFormat="0" applyAlignment="0" applyProtection="0"/>
    <xf numFmtId="0" fontId="39" fillId="50" borderId="0" applyNumberFormat="0" applyAlignment="0"/>
    <xf numFmtId="0" fontId="6" fillId="54" borderId="79" applyNumberFormat="0" applyAlignment="0"/>
    <xf numFmtId="0" fontId="3" fillId="55" borderId="79" applyNumberFormat="0" applyAlignment="0"/>
    <xf numFmtId="0" fontId="3" fillId="0" borderId="79" applyNumberFormat="0" applyAlignment="0"/>
    <xf numFmtId="3" fontId="66" fillId="56" borderId="79" applyNumberFormat="0" applyAlignment="0"/>
    <xf numFmtId="0" fontId="73" fillId="0" borderId="0"/>
    <xf numFmtId="3" fontId="66" fillId="49" borderId="79" applyNumberFormat="0" applyAlignment="0" applyProtection="0"/>
    <xf numFmtId="0" fontId="74" fillId="0" borderId="0" applyNumberFormat="0" applyFill="0" applyBorder="0" applyAlignment="0" applyProtection="0"/>
    <xf numFmtId="0" fontId="64" fillId="0" borderId="0" applyNumberFormat="0" applyAlignment="0"/>
    <xf numFmtId="0" fontId="65" fillId="0" borderId="0" applyNumberFormat="0" applyAlignment="0"/>
    <xf numFmtId="0" fontId="68" fillId="0" borderId="0" applyNumberFormat="0" applyAlignment="0"/>
    <xf numFmtId="0" fontId="52" fillId="53" borderId="0" applyNumberFormat="0" applyAlignment="0">
      <alignment vertical="top" wrapText="1"/>
    </xf>
    <xf numFmtId="3" fontId="71" fillId="45" borderId="79" applyNumberFormat="0" applyAlignment="0"/>
    <xf numFmtId="165" fontId="67" fillId="47" borderId="79" applyNumberFormat="0" applyAlignment="0"/>
    <xf numFmtId="0" fontId="70" fillId="52" borderId="0" applyNumberFormat="0" applyAlignment="0" applyProtection="0"/>
    <xf numFmtId="0" fontId="72" fillId="0" borderId="0" applyNumberFormat="0" applyAlignment="0"/>
    <xf numFmtId="43" fontId="3" fillId="0" borderId="0" applyFont="0" applyFill="0" applyBorder="0" applyAlignment="0" applyProtection="0"/>
    <xf numFmtId="44" fontId="3" fillId="0" borderId="0" applyFont="0" applyFill="0" applyBorder="0" applyAlignment="0" applyProtection="0"/>
    <xf numFmtId="0" fontId="3" fillId="0" borderId="0" applyNumberFormat="0" applyAlignment="0"/>
  </cellStyleXfs>
  <cellXfs count="766">
    <xf numFmtId="0" fontId="0" fillId="0" borderId="0" xfId="0"/>
    <xf numFmtId="164" fontId="1" fillId="13" borderId="0" xfId="0" applyNumberFormat="1" applyFont="1" applyFill="1"/>
    <xf numFmtId="0" fontId="0" fillId="5" borderId="4" xfId="0" applyFill="1" applyBorder="1"/>
    <xf numFmtId="0" fontId="0" fillId="5" borderId="0" xfId="0" applyFill="1"/>
    <xf numFmtId="0" fontId="0" fillId="5" borderId="8" xfId="0" applyFill="1" applyBorder="1"/>
    <xf numFmtId="0" fontId="6" fillId="5" borderId="3" xfId="0" applyFont="1" applyFill="1" applyBorder="1"/>
    <xf numFmtId="0" fontId="6" fillId="5" borderId="4" xfId="0" applyFont="1" applyFill="1" applyBorder="1"/>
    <xf numFmtId="0" fontId="6" fillId="5" borderId="5" xfId="0" applyFont="1" applyFill="1" applyBorder="1"/>
    <xf numFmtId="0" fontId="6" fillId="5" borderId="6" xfId="0" applyFont="1" applyFill="1" applyBorder="1"/>
    <xf numFmtId="0" fontId="6" fillId="5" borderId="0" xfId="0" applyFont="1" applyFill="1"/>
    <xf numFmtId="0" fontId="6" fillId="5" borderId="7" xfId="0" applyFont="1" applyFill="1" applyBorder="1"/>
    <xf numFmtId="0" fontId="6" fillId="6" borderId="8" xfId="0" applyFont="1" applyFill="1" applyBorder="1"/>
    <xf numFmtId="0" fontId="6" fillId="6" borderId="9" xfId="0" applyFont="1" applyFill="1" applyBorder="1"/>
    <xf numFmtId="0" fontId="6" fillId="6" borderId="10" xfId="0" applyFont="1" applyFill="1" applyBorder="1"/>
    <xf numFmtId="0" fontId="8" fillId="7" borderId="3" xfId="0" applyFont="1" applyFill="1" applyBorder="1"/>
    <xf numFmtId="0" fontId="0" fillId="7" borderId="4" xfId="0" applyFill="1" applyBorder="1"/>
    <xf numFmtId="0" fontId="0" fillId="7" borderId="5" xfId="0" applyFill="1" applyBorder="1"/>
    <xf numFmtId="0" fontId="0" fillId="7" borderId="6" xfId="0" applyFill="1" applyBorder="1"/>
    <xf numFmtId="0" fontId="0" fillId="7" borderId="0" xfId="0" applyFill="1"/>
    <xf numFmtId="0" fontId="0" fillId="7" borderId="7" xfId="0" applyFill="1" applyBorder="1"/>
    <xf numFmtId="0" fontId="0" fillId="5" borderId="11" xfId="11" applyFont="1" applyFill="1" applyBorder="1" applyAlignment="1">
      <alignment horizontal="center"/>
    </xf>
    <xf numFmtId="0" fontId="0" fillId="7" borderId="8" xfId="0" applyFill="1" applyBorder="1"/>
    <xf numFmtId="0" fontId="0" fillId="7" borderId="9" xfId="0" applyFill="1" applyBorder="1"/>
    <xf numFmtId="0" fontId="0" fillId="7" borderId="10" xfId="0" applyFill="1" applyBorder="1"/>
    <xf numFmtId="0" fontId="8" fillId="5" borderId="3" xfId="0" applyFont="1" applyFill="1" applyBorder="1"/>
    <xf numFmtId="0" fontId="0" fillId="5" borderId="5" xfId="0" applyFill="1" applyBorder="1"/>
    <xf numFmtId="0" fontId="0" fillId="5" borderId="6" xfId="0" applyFill="1" applyBorder="1"/>
    <xf numFmtId="0" fontId="0" fillId="5" borderId="7" xfId="0" applyFill="1" applyBorder="1"/>
    <xf numFmtId="3" fontId="0" fillId="5" borderId="11" xfId="11" applyNumberFormat="1" applyFont="1" applyFill="1" applyBorder="1" applyAlignment="1">
      <alignment horizontal="center"/>
    </xf>
    <xf numFmtId="8" fontId="0" fillId="5" borderId="11" xfId="11" applyNumberFormat="1" applyFont="1" applyFill="1" applyBorder="1" applyAlignment="1">
      <alignment horizontal="center"/>
    </xf>
    <xf numFmtId="0" fontId="0" fillId="5" borderId="9" xfId="0" applyFill="1" applyBorder="1"/>
    <xf numFmtId="0" fontId="0" fillId="5" borderId="10" xfId="0" applyFill="1" applyBorder="1"/>
    <xf numFmtId="164" fontId="0" fillId="5" borderId="11" xfId="11" applyNumberFormat="1" applyFont="1" applyFill="1" applyBorder="1" applyAlignment="1">
      <alignment horizontal="center"/>
    </xf>
    <xf numFmtId="0" fontId="9" fillId="5" borderId="12" xfId="0" applyFont="1" applyFill="1" applyBorder="1" applyAlignment="1">
      <alignment vertical="center"/>
    </xf>
    <xf numFmtId="0" fontId="0" fillId="5" borderId="13" xfId="0" applyFill="1" applyBorder="1"/>
    <xf numFmtId="0" fontId="0" fillId="5" borderId="14" xfId="0" applyFill="1" applyBorder="1"/>
    <xf numFmtId="0" fontId="10" fillId="0" borderId="11" xfId="0" applyFont="1" applyBorder="1"/>
    <xf numFmtId="0" fontId="4" fillId="48" borderId="11" xfId="5" applyBorder="1" applyAlignment="1"/>
    <xf numFmtId="0" fontId="0" fillId="0" borderId="11" xfId="0" applyBorder="1"/>
    <xf numFmtId="6" fontId="0" fillId="0" borderId="0" xfId="0" applyNumberFormat="1"/>
    <xf numFmtId="3" fontId="0" fillId="0" borderId="0" xfId="0" applyNumberFormat="1"/>
    <xf numFmtId="0" fontId="12" fillId="8" borderId="0" xfId="0" applyFont="1" applyFill="1"/>
    <xf numFmtId="0" fontId="12" fillId="9" borderId="0" xfId="0" applyFont="1" applyFill="1"/>
    <xf numFmtId="8" fontId="0" fillId="0" borderId="0" xfId="0" applyNumberFormat="1"/>
    <xf numFmtId="4" fontId="0" fillId="0" borderId="0" xfId="0" applyNumberFormat="1"/>
    <xf numFmtId="0" fontId="0" fillId="0" borderId="15" xfId="0" applyBorder="1"/>
    <xf numFmtId="0" fontId="0" fillId="0" borderId="15" xfId="0" applyBorder="1" applyAlignment="1">
      <alignment vertical="top" wrapText="1"/>
    </xf>
    <xf numFmtId="9" fontId="0" fillId="0" borderId="0" xfId="0" applyNumberFormat="1"/>
    <xf numFmtId="164" fontId="0" fillId="0" borderId="0" xfId="0" applyNumberFormat="1"/>
    <xf numFmtId="0" fontId="6" fillId="0" borderId="0" xfId="0" applyFont="1"/>
    <xf numFmtId="0" fontId="6" fillId="10" borderId="18" xfId="0" applyFont="1" applyFill="1" applyBorder="1"/>
    <xf numFmtId="0" fontId="6" fillId="10" borderId="20" xfId="0" applyFont="1" applyFill="1" applyBorder="1"/>
    <xf numFmtId="6" fontId="0" fillId="11" borderId="20" xfId="0" applyNumberFormat="1" applyFill="1" applyBorder="1"/>
    <xf numFmtId="6" fontId="0" fillId="5" borderId="11" xfId="11" applyNumberFormat="1" applyFont="1" applyFill="1" applyBorder="1" applyAlignment="1">
      <alignment horizontal="center"/>
    </xf>
    <xf numFmtId="0" fontId="6" fillId="10" borderId="5" xfId="0" applyFont="1" applyFill="1" applyBorder="1"/>
    <xf numFmtId="0" fontId="0" fillId="5" borderId="3" xfId="0" applyFill="1" applyBorder="1"/>
    <xf numFmtId="0" fontId="0" fillId="5" borderId="20" xfId="0" applyFill="1" applyBorder="1"/>
    <xf numFmtId="0" fontId="0" fillId="5" borderId="22" xfId="0" applyFill="1" applyBorder="1"/>
    <xf numFmtId="0" fontId="0" fillId="5" borderId="21" xfId="0" applyFill="1" applyBorder="1"/>
    <xf numFmtId="0" fontId="0" fillId="5" borderId="18" xfId="0" applyFill="1" applyBorder="1"/>
    <xf numFmtId="0" fontId="0" fillId="5" borderId="16" xfId="0" applyFill="1" applyBorder="1"/>
    <xf numFmtId="0" fontId="0" fillId="5" borderId="17" xfId="0" applyFill="1" applyBorder="1"/>
    <xf numFmtId="0" fontId="0" fillId="5" borderId="19" xfId="0" applyFill="1" applyBorder="1"/>
    <xf numFmtId="6" fontId="0" fillId="11" borderId="18" xfId="0" applyNumberFormat="1" applyFill="1" applyBorder="1"/>
    <xf numFmtId="6" fontId="5" fillId="2" borderId="1" xfId="12" applyNumberFormat="1" applyFont="1" applyFill="1" applyBorder="1"/>
    <xf numFmtId="0" fontId="6" fillId="10" borderId="3" xfId="0" applyFont="1" applyFill="1" applyBorder="1"/>
    <xf numFmtId="0" fontId="11" fillId="5" borderId="0" xfId="0" applyFont="1" applyFill="1"/>
    <xf numFmtId="0" fontId="13" fillId="0" borderId="0" xfId="1"/>
    <xf numFmtId="0" fontId="14" fillId="9" borderId="0" xfId="0" applyFont="1" applyFill="1"/>
    <xf numFmtId="0" fontId="7" fillId="9" borderId="0" xfId="0" applyFont="1" applyFill="1"/>
    <xf numFmtId="9" fontId="0" fillId="5" borderId="11" xfId="11" applyNumberFormat="1" applyFont="1" applyFill="1" applyBorder="1" applyAlignment="1">
      <alignment horizontal="center"/>
    </xf>
    <xf numFmtId="0" fontId="0" fillId="6" borderId="0" xfId="0" applyFill="1"/>
    <xf numFmtId="0" fontId="7" fillId="6" borderId="0" xfId="0" applyFont="1" applyFill="1"/>
    <xf numFmtId="0" fontId="14" fillId="6" borderId="0" xfId="0" applyFont="1" applyFill="1"/>
    <xf numFmtId="0" fontId="18" fillId="7" borderId="0" xfId="0" applyFont="1" applyFill="1"/>
    <xf numFmtId="10" fontId="0" fillId="0" borderId="0" xfId="0" applyNumberFormat="1"/>
    <xf numFmtId="0" fontId="22" fillId="0" borderId="0" xfId="0" applyFont="1" applyAlignment="1">
      <alignment vertical="center"/>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165" fontId="0" fillId="0" borderId="11" xfId="0" applyNumberFormat="1" applyBorder="1"/>
    <xf numFmtId="0" fontId="19" fillId="0" borderId="32" xfId="29" applyFont="1" applyBorder="1"/>
    <xf numFmtId="0" fontId="23" fillId="0" borderId="32" xfId="29" applyFont="1" applyBorder="1"/>
    <xf numFmtId="0" fontId="21" fillId="6" borderId="9" xfId="0" applyFont="1" applyFill="1" applyBorder="1" applyAlignment="1">
      <alignment horizontal="center"/>
    </xf>
    <xf numFmtId="0" fontId="24" fillId="5" borderId="0" xfId="0" applyFont="1" applyFill="1" applyAlignment="1">
      <alignment horizontal="left"/>
    </xf>
    <xf numFmtId="0" fontId="25" fillId="0" borderId="0" xfId="0" applyFont="1"/>
    <xf numFmtId="167" fontId="10" fillId="0" borderId="35" xfId="0" applyNumberFormat="1" applyFont="1" applyBorder="1"/>
    <xf numFmtId="167" fontId="10" fillId="0" borderId="36" xfId="0" applyNumberFormat="1" applyFont="1" applyBorder="1"/>
    <xf numFmtId="167" fontId="10" fillId="0" borderId="37" xfId="0" applyNumberFormat="1" applyFont="1" applyBorder="1"/>
    <xf numFmtId="167" fontId="0" fillId="0" borderId="38" xfId="0" applyNumberFormat="1" applyBorder="1"/>
    <xf numFmtId="167" fontId="0" fillId="0" borderId="0" xfId="0" applyNumberFormat="1"/>
    <xf numFmtId="0" fontId="0" fillId="0" borderId="0" xfId="0" applyNumberFormat="1"/>
    <xf numFmtId="167" fontId="0" fillId="0" borderId="39" xfId="0" applyNumberFormat="1" applyBorder="1"/>
    <xf numFmtId="167" fontId="0" fillId="0" borderId="40" xfId="0" applyNumberFormat="1" applyBorder="1"/>
    <xf numFmtId="167" fontId="0" fillId="0" borderId="15" xfId="0" applyNumberFormat="1" applyBorder="1"/>
    <xf numFmtId="0" fontId="0" fillId="0" borderId="15" xfId="0" applyNumberFormat="1" applyBorder="1"/>
    <xf numFmtId="167" fontId="0" fillId="0" borderId="41" xfId="0" applyNumberFormat="1" applyBorder="1"/>
    <xf numFmtId="0" fontId="27" fillId="0" borderId="0" xfId="0" applyFont="1"/>
    <xf numFmtId="0" fontId="10" fillId="0" borderId="45" xfId="0" applyFont="1" applyBorder="1"/>
    <xf numFmtId="0" fontId="10" fillId="0" borderId="30" xfId="0" applyFont="1" applyBorder="1"/>
    <xf numFmtId="0" fontId="10" fillId="0" borderId="46" xfId="0" applyFont="1" applyBorder="1"/>
    <xf numFmtId="0" fontId="0" fillId="0" borderId="38" xfId="0" applyBorder="1"/>
    <xf numFmtId="168" fontId="0" fillId="0" borderId="39" xfId="0" applyNumberFormat="1" applyBorder="1"/>
    <xf numFmtId="0" fontId="0" fillId="0" borderId="40" xfId="0" applyBorder="1"/>
    <xf numFmtId="0" fontId="10" fillId="0" borderId="42" xfId="0" applyFont="1" applyBorder="1"/>
    <xf numFmtId="0" fontId="10" fillId="0" borderId="43" xfId="0" applyFont="1" applyBorder="1"/>
    <xf numFmtId="0" fontId="10" fillId="0" borderId="44" xfId="0" applyFont="1" applyBorder="1"/>
    <xf numFmtId="0" fontId="6" fillId="0" borderId="11" xfId="0" applyFont="1" applyBorder="1"/>
    <xf numFmtId="0" fontId="10" fillId="0" borderId="37" xfId="0" applyFont="1" applyBorder="1"/>
    <xf numFmtId="0" fontId="0" fillId="7" borderId="22" xfId="0" applyFill="1" applyBorder="1"/>
    <xf numFmtId="0" fontId="0" fillId="7" borderId="21" xfId="0" applyFill="1" applyBorder="1"/>
    <xf numFmtId="0" fontId="31" fillId="0" borderId="0" xfId="7" applyFont="1"/>
    <xf numFmtId="0" fontId="30" fillId="0" borderId="0" xfId="7" applyFont="1" applyAlignment="1">
      <alignment horizontal="center"/>
    </xf>
    <xf numFmtId="0" fontId="30" fillId="0" borderId="38" xfId="7" applyFont="1" applyBorder="1" applyAlignment="1">
      <alignment horizontal="center"/>
    </xf>
    <xf numFmtId="0" fontId="30" fillId="0" borderId="39" xfId="7" applyFont="1" applyBorder="1" applyAlignment="1">
      <alignment horizontal="center"/>
    </xf>
    <xf numFmtId="0" fontId="31" fillId="0" borderId="38" xfId="7" applyFont="1" applyBorder="1"/>
    <xf numFmtId="0" fontId="31" fillId="0" borderId="39" xfId="7" applyFont="1" applyBorder="1"/>
    <xf numFmtId="169" fontId="31" fillId="13" borderId="38" xfId="7" applyNumberFormat="1" applyFont="1" applyFill="1" applyBorder="1" applyAlignment="1">
      <alignment horizontal="center"/>
    </xf>
    <xf numFmtId="169" fontId="31" fillId="13" borderId="39" xfId="7" applyNumberFormat="1" applyFont="1" applyFill="1" applyBorder="1" applyAlignment="1">
      <alignment horizontal="center"/>
    </xf>
    <xf numFmtId="169" fontId="31" fillId="0" borderId="38" xfId="7" applyNumberFormat="1" applyFont="1" applyBorder="1" applyAlignment="1">
      <alignment horizontal="center"/>
    </xf>
    <xf numFmtId="169" fontId="31" fillId="0" borderId="39" xfId="7" applyNumberFormat="1" applyFont="1" applyBorder="1" applyAlignment="1">
      <alignment horizontal="center"/>
    </xf>
    <xf numFmtId="170" fontId="0" fillId="0" borderId="0" xfId="0" applyNumberFormat="1"/>
    <xf numFmtId="6" fontId="0" fillId="0" borderId="11" xfId="0" applyNumberFormat="1" applyBorder="1"/>
    <xf numFmtId="0" fontId="0" fillId="0" borderId="47" xfId="0" applyBorder="1"/>
    <xf numFmtId="3" fontId="0" fillId="0" borderId="48" xfId="0" applyNumberFormat="1" applyBorder="1"/>
    <xf numFmtId="0" fontId="0" fillId="0" borderId="49" xfId="0" applyBorder="1"/>
    <xf numFmtId="0" fontId="0" fillId="0" borderId="50" xfId="0" applyBorder="1"/>
    <xf numFmtId="166" fontId="0" fillId="0" borderId="50" xfId="0" applyNumberFormat="1" applyBorder="1"/>
    <xf numFmtId="0" fontId="30" fillId="0" borderId="38" xfId="9" applyFont="1" applyBorder="1" applyAlignment="1">
      <alignment horizontal="center"/>
    </xf>
    <xf numFmtId="0" fontId="30" fillId="0" borderId="0" xfId="9" applyFont="1" applyAlignment="1">
      <alignment horizontal="center"/>
    </xf>
    <xf numFmtId="0" fontId="30" fillId="0" borderId="39" xfId="9" applyFont="1" applyBorder="1" applyAlignment="1">
      <alignment horizontal="center"/>
    </xf>
    <xf numFmtId="0" fontId="31" fillId="0" borderId="38" xfId="9" applyFont="1" applyBorder="1"/>
    <xf numFmtId="0" fontId="31" fillId="0" borderId="0" xfId="9" applyFont="1"/>
    <xf numFmtId="0" fontId="32" fillId="0" borderId="0" xfId="9" applyFont="1" applyAlignment="1">
      <alignment horizontal="center"/>
    </xf>
    <xf numFmtId="0" fontId="34" fillId="0" borderId="42" xfId="9" applyFont="1" applyBorder="1"/>
    <xf numFmtId="170" fontId="35" fillId="0" borderId="43" xfId="9" applyNumberFormat="1" applyFont="1" applyBorder="1"/>
    <xf numFmtId="170" fontId="35" fillId="0" borderId="44" xfId="9" applyNumberFormat="1" applyFont="1" applyBorder="1"/>
    <xf numFmtId="0" fontId="34" fillId="0" borderId="38" xfId="9" applyFont="1" applyBorder="1"/>
    <xf numFmtId="170" fontId="35" fillId="0" borderId="0" xfId="9" applyNumberFormat="1" applyFont="1"/>
    <xf numFmtId="170" fontId="35" fillId="0" borderId="39" xfId="9" applyNumberFormat="1" applyFont="1" applyBorder="1"/>
    <xf numFmtId="0" fontId="34" fillId="0" borderId="0" xfId="9" applyFont="1"/>
    <xf numFmtId="0" fontId="34" fillId="0" borderId="39" xfId="9" applyFont="1" applyBorder="1"/>
    <xf numFmtId="0" fontId="34" fillId="0" borderId="40" xfId="9" applyFont="1" applyBorder="1"/>
    <xf numFmtId="0" fontId="35" fillId="0" borderId="15" xfId="9" applyFont="1" applyBorder="1" applyAlignment="1">
      <alignment horizontal="center"/>
    </xf>
    <xf numFmtId="0" fontId="35" fillId="0" borderId="41" xfId="9" applyFont="1" applyBorder="1" applyAlignment="1">
      <alignment horizontal="center"/>
    </xf>
    <xf numFmtId="171" fontId="31" fillId="14" borderId="0" xfId="9" applyNumberFormat="1" applyFont="1" applyFill="1"/>
    <xf numFmtId="171" fontId="31" fillId="0" borderId="38" xfId="9" applyNumberFormat="1" applyFont="1" applyBorder="1"/>
    <xf numFmtId="171" fontId="31" fillId="0" borderId="0" xfId="9" applyNumberFormat="1" applyFont="1"/>
    <xf numFmtId="171" fontId="31" fillId="0" borderId="39" xfId="9" applyNumberFormat="1" applyFont="1" applyBorder="1"/>
    <xf numFmtId="171" fontId="31" fillId="14" borderId="38" xfId="9" applyNumberFormat="1" applyFont="1" applyFill="1" applyBorder="1"/>
    <xf numFmtId="171" fontId="31" fillId="14" borderId="39" xfId="9" applyNumberFormat="1" applyFont="1" applyFill="1" applyBorder="1"/>
    <xf numFmtId="171" fontId="31" fillId="14" borderId="40" xfId="9" applyNumberFormat="1" applyFont="1" applyFill="1" applyBorder="1"/>
    <xf numFmtId="171" fontId="31" fillId="14" borderId="15" xfId="9" applyNumberFormat="1" applyFont="1" applyFill="1" applyBorder="1"/>
    <xf numFmtId="171" fontId="31" fillId="14" borderId="41" xfId="9" applyNumberFormat="1" applyFont="1" applyFill="1" applyBorder="1"/>
    <xf numFmtId="169" fontId="31" fillId="0" borderId="40" xfId="7" applyNumberFormat="1" applyFont="1" applyBorder="1" applyAlignment="1">
      <alignment horizontal="center"/>
    </xf>
    <xf numFmtId="169" fontId="31" fillId="0" borderId="15" xfId="7" applyNumberFormat="1" applyFont="1" applyBorder="1" applyAlignment="1">
      <alignment horizontal="center"/>
    </xf>
    <xf numFmtId="169" fontId="31" fillId="0" borderId="41" xfId="7" applyNumberFormat="1" applyFont="1" applyBorder="1" applyAlignment="1">
      <alignment horizontal="center"/>
    </xf>
    <xf numFmtId="0" fontId="30" fillId="0" borderId="42" xfId="7" applyFont="1" applyBorder="1" applyAlignment="1">
      <alignment horizontal="center"/>
    </xf>
    <xf numFmtId="0" fontId="30" fillId="0" borderId="44" xfId="7" applyFont="1" applyBorder="1" applyAlignment="1">
      <alignment horizontal="center"/>
    </xf>
    <xf numFmtId="169" fontId="31" fillId="12" borderId="38" xfId="7" applyNumberFormat="1" applyFont="1" applyFill="1" applyBorder="1" applyAlignment="1">
      <alignment horizontal="center"/>
    </xf>
    <xf numFmtId="169" fontId="31" fillId="12" borderId="39" xfId="7" applyNumberFormat="1" applyFont="1" applyFill="1" applyBorder="1" applyAlignment="1">
      <alignment horizontal="center"/>
    </xf>
    <xf numFmtId="164" fontId="31" fillId="13" borderId="38" xfId="0" applyNumberFormat="1" applyFont="1" applyFill="1" applyBorder="1" applyAlignment="1">
      <alignment horizontal="center"/>
    </xf>
    <xf numFmtId="164" fontId="31" fillId="13" borderId="39" xfId="0" applyNumberFormat="1" applyFont="1" applyFill="1" applyBorder="1" applyAlignment="1">
      <alignment horizontal="center"/>
    </xf>
    <xf numFmtId="164" fontId="31" fillId="0" borderId="38" xfId="0" applyNumberFormat="1" applyFont="1" applyBorder="1" applyAlignment="1">
      <alignment horizontal="center"/>
    </xf>
    <xf numFmtId="164" fontId="31" fillId="0" borderId="39" xfId="0" applyNumberFormat="1" applyFont="1" applyBorder="1" applyAlignment="1">
      <alignment horizontal="center"/>
    </xf>
    <xf numFmtId="169" fontId="0" fillId="0" borderId="0" xfId="0" applyNumberFormat="1"/>
    <xf numFmtId="0" fontId="0" fillId="0" borderId="35" xfId="0" applyBorder="1"/>
    <xf numFmtId="0" fontId="0" fillId="0" borderId="36" xfId="0" applyBorder="1"/>
    <xf numFmtId="0" fontId="0" fillId="0" borderId="51" xfId="0" applyBorder="1"/>
    <xf numFmtId="0" fontId="0" fillId="0" borderId="13" xfId="0" applyBorder="1"/>
    <xf numFmtId="165" fontId="0" fillId="0" borderId="0" xfId="0" applyNumberFormat="1"/>
    <xf numFmtId="172" fontId="26" fillId="0" borderId="35" xfId="10" applyBorder="1"/>
    <xf numFmtId="0" fontId="0" fillId="0" borderId="37" xfId="0" applyBorder="1"/>
    <xf numFmtId="9" fontId="0" fillId="0" borderId="39" xfId="0" applyNumberFormat="1" applyBorder="1"/>
    <xf numFmtId="10" fontId="0" fillId="5" borderId="11" xfId="11" applyNumberFormat="1" applyFont="1" applyFill="1" applyBorder="1" applyAlignment="1">
      <alignment horizontal="center"/>
    </xf>
    <xf numFmtId="0" fontId="0" fillId="0" borderId="52" xfId="0" applyBorder="1"/>
    <xf numFmtId="9" fontId="0" fillId="0" borderId="53" xfId="0" applyNumberFormat="1" applyBorder="1"/>
    <xf numFmtId="9" fontId="0" fillId="0" borderId="54" xfId="0" applyNumberFormat="1" applyBorder="1"/>
    <xf numFmtId="0" fontId="0" fillId="0" borderId="42" xfId="0" applyBorder="1"/>
    <xf numFmtId="0" fontId="0" fillId="0" borderId="43" xfId="0" applyBorder="1"/>
    <xf numFmtId="0" fontId="0" fillId="0" borderId="44" xfId="0" applyBorder="1"/>
    <xf numFmtId="0" fontId="0" fillId="0" borderId="39" xfId="0" applyBorder="1"/>
    <xf numFmtId="172" fontId="10" fillId="0" borderId="35" xfId="10" applyFont="1" applyBorder="1"/>
    <xf numFmtId="172" fontId="26" fillId="0" borderId="38" xfId="10" applyBorder="1"/>
    <xf numFmtId="172" fontId="0" fillId="0" borderId="39" xfId="0" applyNumberFormat="1" applyBorder="1"/>
    <xf numFmtId="172" fontId="26" fillId="0" borderId="40" xfId="10" applyBorder="1"/>
    <xf numFmtId="172" fontId="0" fillId="0" borderId="41" xfId="0" applyNumberFormat="1" applyBorder="1"/>
    <xf numFmtId="172" fontId="0" fillId="0" borderId="0" xfId="0" applyNumberFormat="1"/>
    <xf numFmtId="8" fontId="33" fillId="46" borderId="79" xfId="4" applyNumberFormat="1" applyFont="1"/>
    <xf numFmtId="8" fontId="5" fillId="2" borderId="1" xfId="12" applyNumberFormat="1" applyFont="1" applyFill="1" applyBorder="1"/>
    <xf numFmtId="0" fontId="5" fillId="2" borderId="1" xfId="12" applyNumberFormat="1" applyFont="1" applyFill="1" applyBorder="1"/>
    <xf numFmtId="0" fontId="0" fillId="0" borderId="55" xfId="0" applyBorder="1"/>
    <xf numFmtId="0" fontId="0" fillId="0" borderId="48" xfId="0" applyBorder="1"/>
    <xf numFmtId="8" fontId="29" fillId="3" borderId="33" xfId="20" applyNumberFormat="1" applyFont="1" applyFill="1" applyBorder="1"/>
    <xf numFmtId="8" fontId="28" fillId="2" borderId="1" xfId="12" applyNumberFormat="1" applyFont="1" applyFill="1" applyBorder="1"/>
    <xf numFmtId="0" fontId="0" fillId="5" borderId="6" xfId="0" applyFill="1" applyBorder="1" applyAlignment="1">
      <alignment horizontal="left" indent="1"/>
    </xf>
    <xf numFmtId="0" fontId="0" fillId="7" borderId="0" xfId="0" applyFill="1" applyAlignment="1">
      <alignment horizontal="center"/>
    </xf>
    <xf numFmtId="164" fontId="33" fillId="46" borderId="79" xfId="4" applyNumberFormat="1" applyFont="1" applyAlignment="1">
      <alignment horizontal="center"/>
    </xf>
    <xf numFmtId="3" fontId="33" fillId="46" borderId="79" xfId="4" applyNumberFormat="1" applyFont="1" applyAlignment="1">
      <alignment horizontal="center"/>
    </xf>
    <xf numFmtId="0" fontId="0" fillId="5" borderId="0" xfId="0" quotePrefix="1" applyFill="1"/>
    <xf numFmtId="9" fontId="33" fillId="46" borderId="79" xfId="4" applyNumberFormat="1" applyFont="1" applyAlignment="1">
      <alignment horizontal="center"/>
    </xf>
    <xf numFmtId="6" fontId="33" fillId="46" borderId="79" xfId="4" applyNumberFormat="1" applyFont="1" applyAlignment="1">
      <alignment horizontal="center"/>
    </xf>
    <xf numFmtId="8" fontId="33" fillId="46" borderId="79" xfId="4" applyNumberFormat="1" applyFont="1" applyAlignment="1">
      <alignment horizontal="center"/>
    </xf>
    <xf numFmtId="0" fontId="17" fillId="0" borderId="0" xfId="0" applyFont="1"/>
    <xf numFmtId="0" fontId="10" fillId="15" borderId="11" xfId="0" applyFont="1" applyFill="1" applyBorder="1"/>
    <xf numFmtId="166" fontId="22" fillId="0" borderId="0" xfId="0" applyNumberFormat="1" applyFont="1" applyAlignment="1">
      <alignment vertical="center"/>
    </xf>
    <xf numFmtId="1" fontId="22" fillId="0" borderId="0" xfId="0" applyNumberFormat="1" applyFont="1" applyAlignment="1">
      <alignment vertical="center"/>
    </xf>
    <xf numFmtId="0" fontId="0" fillId="7" borderId="6" xfId="0" applyFill="1" applyBorder="1" applyAlignment="1">
      <alignment horizontal="left" indent="1"/>
    </xf>
    <xf numFmtId="0" fontId="36" fillId="5" borderId="0" xfId="0" quotePrefix="1" applyFont="1" applyFill="1"/>
    <xf numFmtId="0" fontId="37" fillId="5" borderId="13" xfId="0" applyFont="1" applyFill="1" applyBorder="1" applyAlignment="1">
      <alignment horizontal="center"/>
    </xf>
    <xf numFmtId="0" fontId="0" fillId="5" borderId="0" xfId="0" applyFill="1" applyAlignment="1">
      <alignment horizontal="center"/>
    </xf>
    <xf numFmtId="0" fontId="0" fillId="5" borderId="14" xfId="11" applyFont="1" applyFill="1" applyBorder="1" applyAlignment="1">
      <alignment horizontal="center"/>
    </xf>
    <xf numFmtId="164" fontId="0" fillId="5" borderId="14" xfId="11" applyNumberFormat="1" applyFont="1" applyFill="1" applyBorder="1" applyAlignment="1">
      <alignment horizontal="center"/>
    </xf>
    <xf numFmtId="0" fontId="39" fillId="7" borderId="20" xfId="0" applyFont="1" applyFill="1" applyBorder="1"/>
    <xf numFmtId="3" fontId="0" fillId="5" borderId="14" xfId="11" applyNumberFormat="1" applyFont="1" applyFill="1" applyBorder="1" applyAlignment="1">
      <alignment horizontal="center"/>
    </xf>
    <xf numFmtId="9" fontId="0" fillId="5" borderId="14" xfId="11" applyNumberFormat="1" applyFont="1" applyFill="1" applyBorder="1" applyAlignment="1">
      <alignment horizontal="center"/>
    </xf>
    <xf numFmtId="8" fontId="0" fillId="5" borderId="14" xfId="11" applyNumberFormat="1" applyFont="1" applyFill="1" applyBorder="1" applyAlignment="1">
      <alignment horizontal="center"/>
    </xf>
    <xf numFmtId="10" fontId="0" fillId="5" borderId="14" xfId="11" applyNumberFormat="1" applyFont="1" applyFill="1" applyBorder="1" applyAlignment="1">
      <alignment horizontal="center"/>
    </xf>
    <xf numFmtId="0" fontId="0" fillId="5" borderId="0" xfId="0" applyFill="1" applyAlignment="1">
      <alignment horizontal="left"/>
    </xf>
    <xf numFmtId="0" fontId="0" fillId="0" borderId="0" xfId="0" applyAlignment="1">
      <alignment horizontal="left"/>
    </xf>
    <xf numFmtId="0" fontId="11" fillId="0" borderId="15" xfId="0" applyFont="1" applyBorder="1"/>
    <xf numFmtId="0" fontId="38" fillId="5" borderId="25" xfId="0" applyFont="1" applyFill="1" applyBorder="1" applyAlignment="1">
      <alignment horizontal="center"/>
    </xf>
    <xf numFmtId="0" fontId="0" fillId="5" borderId="56" xfId="11" applyFont="1" applyFill="1" applyBorder="1" applyAlignment="1">
      <alignment horizontal="center"/>
    </xf>
    <xf numFmtId="164" fontId="0" fillId="5" borderId="57" xfId="11" applyNumberFormat="1" applyFont="1" applyFill="1" applyBorder="1" applyAlignment="1">
      <alignment horizontal="center"/>
    </xf>
    <xf numFmtId="0" fontId="0" fillId="5" borderId="48" xfId="11" applyFont="1" applyFill="1" applyBorder="1" applyAlignment="1">
      <alignment horizontal="center"/>
    </xf>
    <xf numFmtId="3" fontId="0" fillId="5" borderId="56" xfId="11" applyNumberFormat="1" applyFont="1" applyFill="1" applyBorder="1" applyAlignment="1">
      <alignment horizontal="center"/>
    </xf>
    <xf numFmtId="9" fontId="0" fillId="5" borderId="47" xfId="11" applyNumberFormat="1" applyFont="1" applyFill="1" applyBorder="1" applyAlignment="1">
      <alignment horizontal="center"/>
    </xf>
    <xf numFmtId="6" fontId="0" fillId="5" borderId="56" xfId="11" applyNumberFormat="1" applyFont="1" applyFill="1" applyBorder="1" applyAlignment="1">
      <alignment horizontal="center"/>
    </xf>
    <xf numFmtId="166" fontId="0" fillId="5" borderId="57" xfId="11" applyNumberFormat="1" applyFont="1" applyFill="1" applyBorder="1" applyAlignment="1">
      <alignment horizontal="center"/>
    </xf>
    <xf numFmtId="0" fontId="0" fillId="5" borderId="57" xfId="11" applyFont="1" applyFill="1" applyBorder="1" applyAlignment="1">
      <alignment horizontal="center"/>
    </xf>
    <xf numFmtId="0" fontId="0" fillId="5" borderId="58" xfId="11" applyFont="1" applyFill="1" applyBorder="1" applyAlignment="1">
      <alignment horizontal="center"/>
    </xf>
    <xf numFmtId="164" fontId="0" fillId="5" borderId="59" xfId="11" applyNumberFormat="1" applyFont="1" applyFill="1" applyBorder="1" applyAlignment="1">
      <alignment horizontal="center"/>
    </xf>
    <xf numFmtId="3" fontId="0" fillId="5" borderId="58" xfId="11" applyNumberFormat="1" applyFont="1" applyFill="1" applyBorder="1" applyAlignment="1">
      <alignment horizontal="center"/>
    </xf>
    <xf numFmtId="0" fontId="0" fillId="5" borderId="31" xfId="11" applyFont="1" applyFill="1" applyBorder="1" applyAlignment="1">
      <alignment horizontal="center"/>
    </xf>
    <xf numFmtId="9" fontId="0" fillId="5" borderId="26" xfId="11" applyNumberFormat="1" applyFont="1" applyFill="1" applyBorder="1" applyAlignment="1">
      <alignment horizontal="center"/>
    </xf>
    <xf numFmtId="6" fontId="0" fillId="5" borderId="58" xfId="11" applyNumberFormat="1" applyFont="1" applyFill="1" applyBorder="1" applyAlignment="1">
      <alignment horizontal="center"/>
    </xf>
    <xf numFmtId="166" fontId="0" fillId="5" borderId="59" xfId="11" applyNumberFormat="1" applyFont="1" applyFill="1" applyBorder="1" applyAlignment="1">
      <alignment horizontal="center"/>
    </xf>
    <xf numFmtId="0" fontId="0" fillId="5" borderId="59" xfId="11" applyFont="1" applyFill="1" applyBorder="1" applyAlignment="1">
      <alignment horizontal="center"/>
    </xf>
    <xf numFmtId="0" fontId="0" fillId="5" borderId="60" xfId="11" applyFont="1" applyFill="1" applyBorder="1" applyAlignment="1">
      <alignment horizontal="center"/>
    </xf>
    <xf numFmtId="0" fontId="0" fillId="5" borderId="61" xfId="11" applyFont="1" applyFill="1" applyBorder="1" applyAlignment="1">
      <alignment horizontal="center"/>
    </xf>
    <xf numFmtId="164" fontId="0" fillId="5" borderId="62" xfId="11" applyNumberFormat="1" applyFont="1" applyFill="1" applyBorder="1" applyAlignment="1">
      <alignment horizontal="center"/>
    </xf>
    <xf numFmtId="3" fontId="0" fillId="5" borderId="60" xfId="11" applyNumberFormat="1" applyFont="1" applyFill="1" applyBorder="1" applyAlignment="1">
      <alignment horizontal="center"/>
    </xf>
    <xf numFmtId="3" fontId="0" fillId="5" borderId="61" xfId="11" applyNumberFormat="1" applyFont="1" applyFill="1" applyBorder="1" applyAlignment="1">
      <alignment horizontal="center"/>
    </xf>
    <xf numFmtId="9" fontId="0" fillId="5" borderId="61" xfId="11" applyNumberFormat="1" applyFont="1" applyFill="1" applyBorder="1" applyAlignment="1">
      <alignment horizontal="center"/>
    </xf>
    <xf numFmtId="8" fontId="0" fillId="5" borderId="61" xfId="11" applyNumberFormat="1" applyFont="1" applyFill="1" applyBorder="1" applyAlignment="1">
      <alignment horizontal="center"/>
    </xf>
    <xf numFmtId="0" fontId="0" fillId="5" borderId="63" xfId="11" applyFont="1" applyFill="1" applyBorder="1" applyAlignment="1">
      <alignment horizontal="center"/>
    </xf>
    <xf numFmtId="9" fontId="0" fillId="5" borderId="64" xfId="11" applyNumberFormat="1" applyFont="1" applyFill="1" applyBorder="1" applyAlignment="1">
      <alignment horizontal="center"/>
    </xf>
    <xf numFmtId="6" fontId="0" fillId="5" borderId="60" xfId="11" applyNumberFormat="1" applyFont="1" applyFill="1" applyBorder="1" applyAlignment="1">
      <alignment horizontal="center"/>
    </xf>
    <xf numFmtId="10" fontId="0" fillId="5" borderId="61" xfId="11" applyNumberFormat="1" applyFont="1" applyFill="1" applyBorder="1" applyAlignment="1">
      <alignment horizontal="center"/>
    </xf>
    <xf numFmtId="166" fontId="0" fillId="5" borderId="62" xfId="11" applyNumberFormat="1" applyFont="1" applyFill="1" applyBorder="1" applyAlignment="1">
      <alignment horizontal="center"/>
    </xf>
    <xf numFmtId="164" fontId="0" fillId="5" borderId="61" xfId="11" applyNumberFormat="1" applyFont="1" applyFill="1" applyBorder="1" applyAlignment="1">
      <alignment horizontal="center"/>
    </xf>
    <xf numFmtId="0" fontId="0" fillId="5" borderId="62" xfId="11" applyFont="1" applyFill="1" applyBorder="1" applyAlignment="1">
      <alignment horizontal="center"/>
    </xf>
    <xf numFmtId="9" fontId="0" fillId="0" borderId="27" xfId="0" applyNumberFormat="1" applyBorder="1"/>
    <xf numFmtId="4" fontId="0" fillId="0" borderId="24" xfId="0" applyNumberFormat="1" applyBorder="1"/>
    <xf numFmtId="4" fontId="0" fillId="0" borderId="25" xfId="0" applyNumberFormat="1" applyBorder="1"/>
    <xf numFmtId="4" fontId="0" fillId="0" borderId="26" xfId="0" applyNumberFormat="1" applyBorder="1"/>
    <xf numFmtId="4" fontId="0" fillId="0" borderId="27" xfId="0" applyNumberFormat="1" applyBorder="1"/>
    <xf numFmtId="4" fontId="0" fillId="0" borderId="28" xfId="0" applyNumberFormat="1" applyBorder="1"/>
    <xf numFmtId="4" fontId="0" fillId="0" borderId="29" xfId="0" applyNumberFormat="1" applyBorder="1"/>
    <xf numFmtId="4" fontId="0" fillId="0" borderId="30" xfId="0" applyNumberFormat="1" applyBorder="1"/>
    <xf numFmtId="4" fontId="0" fillId="0" borderId="31" xfId="0" applyNumberFormat="1" applyBorder="1"/>
    <xf numFmtId="3" fontId="0" fillId="0" borderId="30" xfId="0" applyNumberFormat="1" applyBorder="1"/>
    <xf numFmtId="0" fontId="0" fillId="0" borderId="0" xfId="0" pivotButton="1"/>
    <xf numFmtId="0" fontId="0" fillId="12" borderId="0" xfId="0" applyFill="1"/>
    <xf numFmtId="166" fontId="0" fillId="0" borderId="0" xfId="0" applyNumberFormat="1"/>
    <xf numFmtId="6" fontId="0" fillId="5" borderId="18" xfId="0" applyNumberFormat="1" applyFill="1" applyBorder="1"/>
    <xf numFmtId="6" fontId="0" fillId="5" borderId="19" xfId="0" applyNumberFormat="1" applyFill="1" applyBorder="1"/>
    <xf numFmtId="0" fontId="40" fillId="0" borderId="0" xfId="0" applyFont="1"/>
    <xf numFmtId="0" fontId="41" fillId="0" borderId="0" xfId="0" applyFont="1"/>
    <xf numFmtId="0" fontId="40" fillId="0" borderId="30" xfId="0" applyFont="1" applyBorder="1"/>
    <xf numFmtId="0" fontId="40" fillId="16" borderId="0" xfId="0" applyFont="1" applyFill="1"/>
    <xf numFmtId="6" fontId="40" fillId="0" borderId="0" xfId="0" applyNumberFormat="1" applyFont="1"/>
    <xf numFmtId="9" fontId="40" fillId="0" borderId="0" xfId="0" applyNumberFormat="1" applyFont="1"/>
    <xf numFmtId="3" fontId="40" fillId="0" borderId="0" xfId="0" applyNumberFormat="1" applyFont="1"/>
    <xf numFmtId="0" fontId="0" fillId="0" borderId="0" xfId="0" quotePrefix="1"/>
    <xf numFmtId="9" fontId="40" fillId="0" borderId="18" xfId="0" applyNumberFormat="1" applyFont="1" applyBorder="1"/>
    <xf numFmtId="2" fontId="40" fillId="0" borderId="18" xfId="0" applyNumberFormat="1" applyFont="1" applyBorder="1"/>
    <xf numFmtId="6" fontId="40" fillId="0" borderId="18" xfId="0" applyNumberFormat="1" applyFont="1" applyBorder="1"/>
    <xf numFmtId="0" fontId="40" fillId="0" borderId="18" xfId="0" applyFont="1" applyBorder="1"/>
    <xf numFmtId="9" fontId="40" fillId="12" borderId="18" xfId="0" applyNumberFormat="1" applyFont="1" applyFill="1" applyBorder="1"/>
    <xf numFmtId="2" fontId="40" fillId="12" borderId="18" xfId="0" applyNumberFormat="1" applyFont="1" applyFill="1" applyBorder="1"/>
    <xf numFmtId="0" fontId="41" fillId="10" borderId="20" xfId="0" applyFont="1" applyFill="1" applyBorder="1"/>
    <xf numFmtId="9" fontId="40" fillId="52" borderId="0" xfId="11" applyNumberFormat="1" applyFont="1"/>
    <xf numFmtId="0" fontId="40" fillId="52" borderId="0" xfId="11" applyFont="1"/>
    <xf numFmtId="2" fontId="40" fillId="0" borderId="0" xfId="0" applyNumberFormat="1" applyFont="1"/>
    <xf numFmtId="164" fontId="40" fillId="0" borderId="0" xfId="0" applyNumberFormat="1" applyFont="1"/>
    <xf numFmtId="0" fontId="12" fillId="17" borderId="0" xfId="0" applyFont="1" applyFill="1"/>
    <xf numFmtId="0" fontId="0" fillId="17" borderId="0" xfId="0" applyFill="1"/>
    <xf numFmtId="0" fontId="42" fillId="17" borderId="0" xfId="0" applyFont="1" applyFill="1"/>
    <xf numFmtId="6" fontId="40" fillId="12" borderId="18" xfId="0" applyNumberFormat="1" applyFont="1" applyFill="1" applyBorder="1"/>
    <xf numFmtId="3" fontId="40" fillId="0" borderId="18" xfId="0" applyNumberFormat="1" applyFont="1" applyBorder="1"/>
    <xf numFmtId="0" fontId="40" fillId="0" borderId="65" xfId="0" applyFont="1" applyBorder="1"/>
    <xf numFmtId="165" fontId="40" fillId="0" borderId="18" xfId="0" applyNumberFormat="1" applyFont="1" applyBorder="1"/>
    <xf numFmtId="166" fontId="40" fillId="12" borderId="18" xfId="0" applyNumberFormat="1" applyFont="1" applyFill="1" applyBorder="1"/>
    <xf numFmtId="4" fontId="40" fillId="0" borderId="0" xfId="0" applyNumberFormat="1" applyFont="1"/>
    <xf numFmtId="172" fontId="20" fillId="3" borderId="33" xfId="20" applyNumberFormat="1" applyFont="1" applyFill="1" applyBorder="1"/>
    <xf numFmtId="0" fontId="0" fillId="4" borderId="2" xfId="11" applyNumberFormat="1" applyFont="1" applyFill="1" applyBorder="1"/>
    <xf numFmtId="0" fontId="33" fillId="46" borderId="79" xfId="4" applyNumberFormat="1" applyFont="1"/>
    <xf numFmtId="172" fontId="33" fillId="46" borderId="79" xfId="4" applyNumberFormat="1" applyFont="1"/>
    <xf numFmtId="172" fontId="40" fillId="0" borderId="18" xfId="0" applyNumberFormat="1" applyFont="1" applyBorder="1"/>
    <xf numFmtId="172" fontId="0" fillId="52" borderId="0" xfId="11" applyNumberFormat="1" applyFont="1"/>
    <xf numFmtId="8" fontId="40" fillId="0" borderId="0" xfId="0" applyNumberFormat="1" applyFont="1"/>
    <xf numFmtId="0" fontId="41" fillId="10" borderId="0" xfId="0" applyFont="1" applyFill="1"/>
    <xf numFmtId="165" fontId="40" fillId="0" borderId="0" xfId="0" applyNumberFormat="1" applyFont="1"/>
    <xf numFmtId="6" fontId="40" fillId="0" borderId="65" xfId="0" applyNumberFormat="1" applyFont="1" applyBorder="1"/>
    <xf numFmtId="6" fontId="41" fillId="0" borderId="0" xfId="0" applyNumberFormat="1" applyFont="1"/>
    <xf numFmtId="6" fontId="0" fillId="5" borderId="0" xfId="0" applyNumberFormat="1" applyFill="1"/>
    <xf numFmtId="0" fontId="0" fillId="0" borderId="65" xfId="0" applyBorder="1"/>
    <xf numFmtId="0" fontId="44" fillId="18" borderId="0" xfId="13" applyFont="1" applyFill="1"/>
    <xf numFmtId="0" fontId="44" fillId="18" borderId="0" xfId="14" applyFont="1" applyFill="1"/>
    <xf numFmtId="1" fontId="40" fillId="12" borderId="18" xfId="0" applyNumberFormat="1" applyFont="1" applyFill="1" applyBorder="1"/>
    <xf numFmtId="1" fontId="40" fillId="0" borderId="18" xfId="0" applyNumberFormat="1" applyFont="1" applyBorder="1"/>
    <xf numFmtId="165" fontId="40" fillId="52" borderId="0" xfId="11" applyNumberFormat="1" applyFont="1"/>
    <xf numFmtId="6" fontId="40" fillId="52" borderId="0" xfId="11" applyNumberFormat="1" applyFont="1"/>
    <xf numFmtId="6" fontId="45" fillId="49" borderId="79" xfId="12" applyNumberFormat="1" applyFont="1"/>
    <xf numFmtId="9" fontId="40" fillId="0" borderId="65" xfId="0" applyNumberFormat="1" applyFont="1" applyBorder="1"/>
    <xf numFmtId="9" fontId="40" fillId="0" borderId="30" xfId="0" applyNumberFormat="1" applyFont="1" applyBorder="1"/>
    <xf numFmtId="8" fontId="40" fillId="0" borderId="65" xfId="0" applyNumberFormat="1" applyFont="1" applyBorder="1"/>
    <xf numFmtId="8" fontId="40" fillId="0" borderId="30" xfId="0" applyNumberFormat="1" applyFont="1" applyBorder="1"/>
    <xf numFmtId="3" fontId="40" fillId="0" borderId="65" xfId="0" applyNumberFormat="1" applyFont="1" applyBorder="1"/>
    <xf numFmtId="166" fontId="40" fillId="0" borderId="0" xfId="0" applyNumberFormat="1" applyFont="1"/>
    <xf numFmtId="166" fontId="40" fillId="0" borderId="30" xfId="0" applyNumberFormat="1" applyFont="1" applyBorder="1"/>
    <xf numFmtId="6" fontId="40" fillId="0" borderId="30" xfId="0" applyNumberFormat="1" applyFont="1" applyBorder="1"/>
    <xf numFmtId="0" fontId="40" fillId="10" borderId="6" xfId="0" applyFont="1" applyFill="1" applyBorder="1"/>
    <xf numFmtId="0" fontId="41" fillId="10" borderId="22" xfId="0" applyFont="1" applyFill="1" applyBorder="1"/>
    <xf numFmtId="0" fontId="41" fillId="10" borderId="21" xfId="0" applyFont="1" applyFill="1" applyBorder="1"/>
    <xf numFmtId="0" fontId="40" fillId="10" borderId="22" xfId="0" applyFont="1" applyFill="1" applyBorder="1"/>
    <xf numFmtId="0" fontId="40" fillId="10" borderId="21" xfId="0" applyFont="1" applyFill="1" applyBorder="1"/>
    <xf numFmtId="0" fontId="45" fillId="49" borderId="79" xfId="12" applyNumberFormat="1" applyFont="1"/>
    <xf numFmtId="6" fontId="45" fillId="49" borderId="23" xfId="12" applyNumberFormat="1" applyFont="1" applyBorder="1"/>
    <xf numFmtId="3" fontId="40" fillId="52" borderId="0" xfId="11" applyNumberFormat="1" applyFont="1"/>
    <xf numFmtId="6" fontId="46" fillId="46" borderId="79" xfId="4" applyNumberFormat="1" applyFont="1"/>
    <xf numFmtId="0" fontId="46" fillId="46" borderId="79" xfId="4" applyNumberFormat="1" applyFont="1"/>
    <xf numFmtId="3" fontId="45" fillId="49" borderId="79" xfId="12" applyNumberFormat="1" applyFont="1"/>
    <xf numFmtId="0" fontId="34" fillId="0" borderId="0" xfId="0" applyFont="1"/>
    <xf numFmtId="8" fontId="34" fillId="0" borderId="0" xfId="0" applyNumberFormat="1" applyFont="1"/>
    <xf numFmtId="164" fontId="40" fillId="0" borderId="18" xfId="0" applyNumberFormat="1" applyFont="1" applyBorder="1"/>
    <xf numFmtId="9" fontId="49" fillId="0" borderId="0" xfId="0" applyNumberFormat="1" applyFont="1"/>
    <xf numFmtId="0" fontId="49" fillId="0" borderId="0" xfId="0" applyFont="1"/>
    <xf numFmtId="164" fontId="50" fillId="0" borderId="18" xfId="0" applyNumberFormat="1" applyFont="1" applyBorder="1"/>
    <xf numFmtId="164" fontId="40" fillId="12" borderId="18" xfId="0" applyNumberFormat="1" applyFont="1" applyFill="1" applyBorder="1"/>
    <xf numFmtId="6" fontId="0" fillId="0" borderId="39" xfId="0" applyNumberFormat="1" applyBorder="1"/>
    <xf numFmtId="6" fontId="0" fillId="0" borderId="15" xfId="0" applyNumberFormat="1" applyBorder="1"/>
    <xf numFmtId="0" fontId="2" fillId="0" borderId="0" xfId="0" applyFont="1"/>
    <xf numFmtId="4" fontId="0" fillId="0" borderId="11" xfId="0" applyNumberFormat="1" applyBorder="1"/>
    <xf numFmtId="6" fontId="40" fillId="0" borderId="16" xfId="0" applyNumberFormat="1" applyFont="1" applyBorder="1"/>
    <xf numFmtId="9" fontId="40" fillId="12" borderId="67" xfId="0" applyNumberFormat="1" applyFont="1" applyFill="1" applyBorder="1"/>
    <xf numFmtId="9" fontId="40" fillId="12" borderId="68" xfId="0" applyNumberFormat="1" applyFont="1" applyFill="1" applyBorder="1"/>
    <xf numFmtId="9" fontId="40" fillId="12" borderId="69" xfId="0" applyNumberFormat="1" applyFont="1" applyFill="1" applyBorder="1"/>
    <xf numFmtId="9" fontId="40" fillId="0" borderId="70" xfId="0" applyNumberFormat="1" applyFont="1" applyBorder="1"/>
    <xf numFmtId="9" fontId="40" fillId="12" borderId="71" xfId="0" applyNumberFormat="1" applyFont="1" applyFill="1" applyBorder="1"/>
    <xf numFmtId="9" fontId="40" fillId="0" borderId="71" xfId="0" applyNumberFormat="1" applyFont="1" applyBorder="1"/>
    <xf numFmtId="164" fontId="0" fillId="5" borderId="0" xfId="0" applyNumberFormat="1" applyFill="1"/>
    <xf numFmtId="0" fontId="1" fillId="0" borderId="18" xfId="0" applyFont="1" applyBorder="1"/>
    <xf numFmtId="8" fontId="0" fillId="0" borderId="11" xfId="0" applyNumberFormat="1" applyBorder="1"/>
    <xf numFmtId="0" fontId="1" fillId="0" borderId="30" xfId="0" applyFont="1" applyBorder="1"/>
    <xf numFmtId="0" fontId="1" fillId="0" borderId="0" xfId="0" applyFont="1"/>
    <xf numFmtId="0" fontId="0" fillId="0" borderId="11" xfId="11" applyFont="1" applyFill="1" applyBorder="1" applyAlignment="1">
      <alignment horizontal="center"/>
    </xf>
    <xf numFmtId="0" fontId="66" fillId="49" borderId="79" xfId="12" applyNumberFormat="1"/>
    <xf numFmtId="6" fontId="71" fillId="45" borderId="79" xfId="20" applyNumberFormat="1"/>
    <xf numFmtId="0" fontId="1" fillId="0" borderId="19" xfId="0" applyFont="1" applyBorder="1"/>
    <xf numFmtId="3" fontId="1" fillId="52" borderId="0" xfId="11" applyNumberFormat="1" applyFont="1"/>
    <xf numFmtId="9" fontId="1" fillId="52" borderId="0" xfId="11" applyNumberFormat="1" applyFont="1"/>
    <xf numFmtId="0" fontId="1" fillId="52" borderId="0" xfId="11" applyFont="1"/>
    <xf numFmtId="165" fontId="1" fillId="52" borderId="0" xfId="11" applyNumberFormat="1" applyFont="1"/>
    <xf numFmtId="0" fontId="53" fillId="10" borderId="7" xfId="0" applyFont="1" applyFill="1" applyBorder="1"/>
    <xf numFmtId="0" fontId="53" fillId="10" borderId="22" xfId="0" applyFont="1" applyFill="1" applyBorder="1"/>
    <xf numFmtId="0" fontId="53" fillId="10" borderId="6" xfId="0" applyFont="1" applyFill="1" applyBorder="1"/>
    <xf numFmtId="0" fontId="54" fillId="0" borderId="18" xfId="0" applyFont="1" applyBorder="1"/>
    <xf numFmtId="6" fontId="45" fillId="19" borderId="79" xfId="12" applyNumberFormat="1" applyFont="1" applyFill="1"/>
    <xf numFmtId="0" fontId="55" fillId="52" borderId="0" xfId="11" applyFont="1"/>
    <xf numFmtId="0" fontId="26" fillId="0" borderId="0" xfId="16"/>
    <xf numFmtId="0" fontId="71" fillId="45" borderId="79" xfId="20" applyNumberFormat="1"/>
    <xf numFmtId="0" fontId="26" fillId="0" borderId="0" xfId="9"/>
    <xf numFmtId="0" fontId="26" fillId="0" borderId="0" xfId="7"/>
    <xf numFmtId="169" fontId="3" fillId="0" borderId="0" xfId="13" applyNumberFormat="1"/>
    <xf numFmtId="0" fontId="52" fillId="53" borderId="38" xfId="19" applyBorder="1" applyAlignment="1"/>
    <xf numFmtId="9" fontId="52" fillId="53" borderId="0" xfId="19" applyNumberFormat="1" applyAlignment="1"/>
    <xf numFmtId="9" fontId="52" fillId="53" borderId="39" xfId="19" applyNumberFormat="1" applyBorder="1" applyAlignment="1"/>
    <xf numFmtId="0" fontId="52" fillId="53" borderId="40" xfId="19" applyBorder="1" applyAlignment="1"/>
    <xf numFmtId="9" fontId="52" fillId="53" borderId="15" xfId="19" applyNumberFormat="1" applyBorder="1" applyAlignment="1"/>
    <xf numFmtId="9" fontId="52" fillId="53" borderId="41" xfId="19" applyNumberFormat="1" applyBorder="1" applyAlignment="1"/>
    <xf numFmtId="9" fontId="5" fillId="2" borderId="1" xfId="12" applyNumberFormat="1" applyFont="1" applyFill="1" applyBorder="1"/>
    <xf numFmtId="0" fontId="56" fillId="0" borderId="0" xfId="0" applyFont="1"/>
    <xf numFmtId="0" fontId="56" fillId="0" borderId="18" xfId="0" applyFont="1" applyBorder="1"/>
    <xf numFmtId="0" fontId="0" fillId="52" borderId="0" xfId="11" applyFont="1"/>
    <xf numFmtId="1" fontId="0" fillId="0" borderId="0" xfId="0" applyNumberFormat="1"/>
    <xf numFmtId="173" fontId="0" fillId="0" borderId="0" xfId="0" applyNumberFormat="1"/>
    <xf numFmtId="0" fontId="10" fillId="0" borderId="0" xfId="0" applyFont="1"/>
    <xf numFmtId="0" fontId="25" fillId="0" borderId="11" xfId="0" applyFont="1" applyBorder="1"/>
    <xf numFmtId="1" fontId="66" fillId="49" borderId="11" xfId="12" applyNumberFormat="1" applyBorder="1"/>
    <xf numFmtId="174" fontId="66" fillId="49" borderId="11" xfId="12" applyNumberFormat="1" applyBorder="1"/>
    <xf numFmtId="8" fontId="4" fillId="48" borderId="33" xfId="5" applyNumberFormat="1" applyBorder="1" applyAlignment="1"/>
    <xf numFmtId="166" fontId="58" fillId="0" borderId="0" xfId="22" applyNumberFormat="1"/>
    <xf numFmtId="1" fontId="66" fillId="49" borderId="79" xfId="12" applyNumberFormat="1"/>
    <xf numFmtId="1" fontId="52" fillId="53" borderId="1" xfId="19" applyNumberFormat="1" applyBorder="1" applyAlignment="1"/>
    <xf numFmtId="169" fontId="66" fillId="49" borderId="79" xfId="12" applyNumberFormat="1" applyAlignment="1">
      <alignment horizontal="center"/>
    </xf>
    <xf numFmtId="1" fontId="0" fillId="0" borderId="28" xfId="0" applyNumberFormat="1" applyBorder="1"/>
    <xf numFmtId="1" fontId="5" fillId="2" borderId="72" xfId="12" applyNumberFormat="1" applyFont="1" applyFill="1" applyBorder="1"/>
    <xf numFmtId="175" fontId="66" fillId="49" borderId="79" xfId="12" applyNumberFormat="1"/>
    <xf numFmtId="165" fontId="1" fillId="52" borderId="66" xfId="11" applyNumberFormat="1" applyFont="1" applyBorder="1"/>
    <xf numFmtId="4" fontId="0" fillId="0" borderId="65" xfId="0" applyNumberFormat="1" applyBorder="1"/>
    <xf numFmtId="6" fontId="60" fillId="0" borderId="11" xfId="23" applyNumberFormat="1" applyFont="1" applyBorder="1"/>
    <xf numFmtId="0" fontId="60" fillId="0" borderId="11" xfId="23" applyFont="1" applyBorder="1"/>
    <xf numFmtId="0" fontId="13" fillId="0" borderId="0" xfId="1" applyAlignment="1">
      <alignment vertical="center"/>
    </xf>
    <xf numFmtId="0" fontId="66" fillId="49" borderId="11" xfId="12" applyNumberFormat="1" applyBorder="1"/>
    <xf numFmtId="3" fontId="0" fillId="0" borderId="11" xfId="0" applyNumberFormat="1" applyBorder="1"/>
    <xf numFmtId="165" fontId="1" fillId="52" borderId="73" xfId="11" applyNumberFormat="1" applyFont="1" applyBorder="1"/>
    <xf numFmtId="165" fontId="1" fillId="52" borderId="74" xfId="11" applyNumberFormat="1" applyFont="1" applyBorder="1"/>
    <xf numFmtId="4" fontId="33" fillId="46" borderId="79" xfId="4" applyNumberFormat="1" applyFont="1" applyAlignment="1">
      <alignment horizontal="center"/>
    </xf>
    <xf numFmtId="2" fontId="0" fillId="5" borderId="11" xfId="11" applyNumberFormat="1" applyFont="1" applyFill="1" applyBorder="1" applyAlignment="1">
      <alignment horizontal="center"/>
    </xf>
    <xf numFmtId="0" fontId="0" fillId="0" borderId="45" xfId="0" applyBorder="1"/>
    <xf numFmtId="0" fontId="0" fillId="0" borderId="46" xfId="0" applyBorder="1"/>
    <xf numFmtId="0" fontId="21" fillId="6" borderId="9" xfId="0" applyFont="1" applyFill="1" applyBorder="1" applyAlignment="1">
      <alignment horizontal="right"/>
    </xf>
    <xf numFmtId="14" fontId="0" fillId="5" borderId="0" xfId="0" applyNumberFormat="1" applyFill="1"/>
    <xf numFmtId="9" fontId="0" fillId="5" borderId="0" xfId="0" applyNumberFormat="1" applyFill="1"/>
    <xf numFmtId="0" fontId="21" fillId="0" borderId="0" xfId="0" applyFont="1"/>
    <xf numFmtId="1" fontId="0" fillId="0" borderId="11" xfId="0" applyNumberFormat="1" applyBorder="1"/>
    <xf numFmtId="0" fontId="38" fillId="5" borderId="0" xfId="0" applyFont="1" applyFill="1" applyAlignment="1">
      <alignment horizontal="center"/>
    </xf>
    <xf numFmtId="0" fontId="38" fillId="5" borderId="65" xfId="0" applyFont="1" applyFill="1" applyBorder="1" applyAlignment="1">
      <alignment horizontal="center"/>
    </xf>
    <xf numFmtId="0" fontId="0" fillId="0" borderId="75" xfId="0" applyBorder="1"/>
    <xf numFmtId="0" fontId="0" fillId="0" borderId="76" xfId="0" applyBorder="1"/>
    <xf numFmtId="0" fontId="0" fillId="0" borderId="77" xfId="0" applyBorder="1"/>
    <xf numFmtId="0" fontId="0" fillId="0" borderId="78" xfId="0" applyBorder="1"/>
    <xf numFmtId="164" fontId="1" fillId="0" borderId="0" xfId="0" applyNumberFormat="1" applyFont="1"/>
    <xf numFmtId="0" fontId="3" fillId="0" borderId="0" xfId="57"/>
    <xf numFmtId="0" fontId="3" fillId="0" borderId="0" xfId="57" applyAlignment="1">
      <alignment horizontal="center"/>
    </xf>
    <xf numFmtId="169" fontId="31" fillId="0" borderId="0" xfId="7" applyNumberFormat="1" applyFont="1" applyAlignment="1">
      <alignment horizontal="center"/>
    </xf>
    <xf numFmtId="169" fontId="31" fillId="13" borderId="0" xfId="7" applyNumberFormat="1" applyFont="1" applyFill="1" applyAlignment="1">
      <alignment horizontal="center"/>
    </xf>
    <xf numFmtId="0" fontId="10" fillId="0" borderId="38" xfId="0" applyFont="1" applyBorder="1"/>
    <xf numFmtId="0" fontId="10" fillId="0" borderId="39" xfId="0" applyFont="1" applyBorder="1"/>
    <xf numFmtId="7" fontId="0" fillId="5" borderId="0" xfId="0" applyNumberFormat="1" applyFill="1" applyAlignment="1">
      <alignment horizontal="center"/>
    </xf>
    <xf numFmtId="0" fontId="62" fillId="5" borderId="6" xfId="0" applyFont="1" applyFill="1" applyBorder="1"/>
    <xf numFmtId="9" fontId="66" fillId="49" borderId="79" xfId="12" applyNumberFormat="1"/>
    <xf numFmtId="10" fontId="66" fillId="49" borderId="79" xfId="68" applyNumberFormat="1"/>
    <xf numFmtId="0" fontId="62" fillId="7" borderId="6" xfId="0" applyFont="1" applyFill="1" applyBorder="1"/>
    <xf numFmtId="176" fontId="0" fillId="0" borderId="11" xfId="0" applyNumberFormat="1" applyBorder="1"/>
    <xf numFmtId="3" fontId="52" fillId="53" borderId="0" xfId="19" applyNumberFormat="1" applyAlignment="1"/>
    <xf numFmtId="0" fontId="1" fillId="0" borderId="79" xfId="65" applyFont="1"/>
    <xf numFmtId="0" fontId="75" fillId="0" borderId="0" xfId="1" applyFont="1"/>
    <xf numFmtId="6" fontId="66" fillId="49" borderId="79" xfId="68" applyNumberFormat="1"/>
    <xf numFmtId="0" fontId="76" fillId="5" borderId="11" xfId="0" applyFont="1" applyFill="1" applyBorder="1" applyAlignment="1">
      <alignment horizontal="center"/>
    </xf>
    <xf numFmtId="174" fontId="0" fillId="0" borderId="0" xfId="0" applyNumberFormat="1"/>
    <xf numFmtId="0" fontId="77" fillId="5" borderId="0" xfId="0" applyFont="1" applyFill="1"/>
    <xf numFmtId="0" fontId="78" fillId="5" borderId="0" xfId="0" applyFont="1" applyFill="1"/>
    <xf numFmtId="166" fontId="40" fillId="0" borderId="18" xfId="0" applyNumberFormat="1" applyFont="1" applyBorder="1"/>
    <xf numFmtId="0" fontId="79" fillId="5" borderId="0" xfId="0" applyFont="1" applyFill="1"/>
    <xf numFmtId="0" fontId="80" fillId="5" borderId="0" xfId="0" applyFont="1" applyFill="1"/>
    <xf numFmtId="6" fontId="80" fillId="5" borderId="0" xfId="0" applyNumberFormat="1" applyFont="1" applyFill="1"/>
    <xf numFmtId="166" fontId="80" fillId="5" borderId="0" xfId="0" applyNumberFormat="1" applyFont="1" applyFill="1"/>
    <xf numFmtId="165" fontId="80" fillId="5" borderId="0" xfId="0" applyNumberFormat="1" applyFont="1" applyFill="1"/>
    <xf numFmtId="2" fontId="1" fillId="0" borderId="6" xfId="0" applyNumberFormat="1" applyFont="1" applyBorder="1"/>
    <xf numFmtId="1" fontId="40" fillId="52" borderId="0" xfId="11" applyNumberFormat="1" applyFont="1"/>
    <xf numFmtId="0" fontId="69" fillId="51" borderId="0" xfId="31" applyAlignment="1"/>
    <xf numFmtId="0" fontId="0" fillId="0" borderId="0" xfId="0" applyAlignment="1">
      <alignment horizontal="center"/>
    </xf>
    <xf numFmtId="169" fontId="0" fillId="0" borderId="0" xfId="0" applyNumberFormat="1" applyAlignment="1">
      <alignment horizontal="center"/>
    </xf>
    <xf numFmtId="171" fontId="0" fillId="0" borderId="0" xfId="0" applyNumberFormat="1"/>
    <xf numFmtId="177" fontId="0" fillId="57" borderId="81" xfId="0" applyNumberFormat="1" applyFill="1" applyBorder="1"/>
    <xf numFmtId="177" fontId="0" fillId="0" borderId="81" xfId="0" applyNumberFormat="1" applyBorder="1"/>
    <xf numFmtId="177" fontId="0" fillId="0" borderId="0" xfId="0" applyNumberFormat="1"/>
    <xf numFmtId="178" fontId="0" fillId="0" borderId="0" xfId="78" applyNumberFormat="1" applyFont="1"/>
    <xf numFmtId="2" fontId="0" fillId="0" borderId="0" xfId="0" applyNumberFormat="1"/>
    <xf numFmtId="2" fontId="62" fillId="0" borderId="0" xfId="8" applyNumberFormat="1" applyAlignment="1">
      <alignment horizontal="center"/>
    </xf>
    <xf numFmtId="2" fontId="62" fillId="0" borderId="0" xfId="8" applyNumberFormat="1"/>
    <xf numFmtId="0" fontId="66" fillId="49" borderId="79" xfId="68" applyNumberFormat="1"/>
    <xf numFmtId="17" fontId="0" fillId="0" borderId="0" xfId="0" applyNumberFormat="1"/>
    <xf numFmtId="9" fontId="81" fillId="0" borderId="0" xfId="0" applyNumberFormat="1" applyFont="1"/>
    <xf numFmtId="0" fontId="81" fillId="0" borderId="0" xfId="0" applyFont="1"/>
    <xf numFmtId="179" fontId="66" fillId="49" borderId="11" xfId="12" applyNumberFormat="1" applyBorder="1" applyAlignment="1">
      <alignment vertical="center"/>
    </xf>
    <xf numFmtId="166" fontId="66" fillId="49" borderId="79" xfId="12" applyNumberFormat="1"/>
    <xf numFmtId="0" fontId="13" fillId="0" borderId="43" xfId="1" applyBorder="1"/>
    <xf numFmtId="0" fontId="82" fillId="0" borderId="43" xfId="0" applyFont="1" applyBorder="1" applyAlignment="1">
      <alignment horizontal="right"/>
    </xf>
    <xf numFmtId="3" fontId="66" fillId="49" borderId="79" xfId="68" applyNumberFormat="1"/>
    <xf numFmtId="0" fontId="83" fillId="0" borderId="0" xfId="57" applyNumberFormat="1" applyFont="1" applyAlignment="1">
      <alignment horizontal="center"/>
    </xf>
    <xf numFmtId="0" fontId="64" fillId="0" borderId="0" xfId="70" applyAlignment="1"/>
    <xf numFmtId="0" fontId="64" fillId="0" borderId="0" xfId="70"/>
    <xf numFmtId="0" fontId="65" fillId="44" borderId="0" xfId="71" applyFill="1" applyAlignment="1">
      <alignment horizontal="center"/>
    </xf>
    <xf numFmtId="0" fontId="65" fillId="44" borderId="0" xfId="71" applyFill="1"/>
    <xf numFmtId="0" fontId="41" fillId="0" borderId="0" xfId="60" applyAlignment="1">
      <alignment horizontal="left" indent="4"/>
    </xf>
    <xf numFmtId="0" fontId="41" fillId="0" borderId="0" xfId="60"/>
    <xf numFmtId="0" fontId="7" fillId="0" borderId="0" xfId="57" applyFont="1"/>
    <xf numFmtId="0" fontId="41" fillId="0" borderId="0" xfId="60" applyAlignment="1">
      <alignment horizontal="right" indent="1"/>
    </xf>
    <xf numFmtId="0" fontId="66" fillId="0" borderId="79" xfId="6" applyNumberFormat="1"/>
    <xf numFmtId="180" fontId="66" fillId="0" borderId="79" xfId="6" applyNumberFormat="1"/>
    <xf numFmtId="0" fontId="66" fillId="46" borderId="79" xfId="4" applyNumberFormat="1"/>
    <xf numFmtId="0" fontId="71" fillId="45" borderId="82" xfId="74" applyNumberFormat="1" applyBorder="1"/>
    <xf numFmtId="0" fontId="71" fillId="45" borderId="82" xfId="74" applyNumberFormat="1" applyBorder="1" applyAlignment="1">
      <alignment vertical="center" wrapText="1"/>
    </xf>
    <xf numFmtId="0" fontId="66" fillId="46" borderId="82" xfId="4" applyNumberFormat="1" applyBorder="1"/>
    <xf numFmtId="0" fontId="66" fillId="0" borderId="83" xfId="6" applyNumberFormat="1" applyBorder="1" applyAlignment="1">
      <alignment vertical="center" wrapText="1"/>
    </xf>
    <xf numFmtId="0" fontId="3" fillId="0" borderId="0" xfId="80"/>
    <xf numFmtId="0" fontId="6" fillId="0" borderId="28" xfId="0" applyFont="1" applyBorder="1"/>
    <xf numFmtId="0" fontId="6" fillId="0" borderId="28" xfId="80" applyFont="1" applyBorder="1"/>
    <xf numFmtId="166" fontId="40" fillId="52" borderId="0" xfId="11" applyNumberFormat="1" applyFont="1"/>
    <xf numFmtId="0" fontId="66" fillId="0" borderId="0" xfId="57" applyFont="1"/>
    <xf numFmtId="44" fontId="0" fillId="5" borderId="0" xfId="0" applyNumberFormat="1" applyFill="1"/>
    <xf numFmtId="1" fontId="46" fillId="46" borderId="79" xfId="4" applyNumberFormat="1" applyFont="1"/>
    <xf numFmtId="44" fontId="66" fillId="0" borderId="79" xfId="6" applyNumberFormat="1"/>
    <xf numFmtId="0" fontId="65" fillId="0" borderId="0" xfId="71" applyAlignment="1">
      <alignment horizontal="center"/>
    </xf>
    <xf numFmtId="0" fontId="66" fillId="0" borderId="79" xfId="6" applyNumberFormat="1" applyAlignment="1">
      <alignment vertical="center" wrapText="1"/>
    </xf>
    <xf numFmtId="1" fontId="40" fillId="0" borderId="0" xfId="0" applyNumberFormat="1" applyFont="1"/>
    <xf numFmtId="180" fontId="40" fillId="0" borderId="0" xfId="78" applyNumberFormat="1" applyFont="1"/>
    <xf numFmtId="0" fontId="1" fillId="0" borderId="0" xfId="57" applyFont="1"/>
    <xf numFmtId="0" fontId="1" fillId="55" borderId="79" xfId="64" applyFont="1"/>
    <xf numFmtId="0" fontId="57" fillId="46" borderId="79" xfId="4" applyNumberFormat="1" applyFont="1"/>
    <xf numFmtId="0" fontId="1" fillId="0" borderId="0" xfId="57" applyFont="1" applyAlignment="1">
      <alignment horizontal="center"/>
    </xf>
    <xf numFmtId="0" fontId="85" fillId="0" borderId="0" xfId="57" applyFont="1"/>
    <xf numFmtId="0" fontId="0" fillId="0" borderId="0" xfId="80" applyFont="1"/>
    <xf numFmtId="0" fontId="65" fillId="0" borderId="0" xfId="71"/>
    <xf numFmtId="0" fontId="71" fillId="45" borderId="79" xfId="74" applyNumberFormat="1"/>
    <xf numFmtId="0" fontId="62" fillId="0" borderId="0" xfId="0" applyFont="1"/>
    <xf numFmtId="167" fontId="62" fillId="0" borderId="0" xfId="0" applyNumberFormat="1" applyFont="1"/>
    <xf numFmtId="44" fontId="0" fillId="0" borderId="11" xfId="79" applyFont="1" applyBorder="1"/>
    <xf numFmtId="44" fontId="0" fillId="0" borderId="0" xfId="79" applyFont="1"/>
    <xf numFmtId="0" fontId="66" fillId="0" borderId="0" xfId="6" applyNumberFormat="1" applyBorder="1"/>
    <xf numFmtId="43" fontId="66" fillId="0" borderId="79" xfId="78" applyFont="1" applyBorder="1"/>
    <xf numFmtId="0" fontId="3" fillId="0" borderId="21" xfId="16" applyFont="1" applyBorder="1" applyAlignment="1" applyProtection="1">
      <alignment horizontal="center"/>
      <protection locked="0"/>
    </xf>
    <xf numFmtId="0" fontId="3" fillId="0" borderId="21" xfId="16" applyFont="1" applyBorder="1" applyProtection="1">
      <protection locked="0"/>
    </xf>
    <xf numFmtId="0" fontId="3" fillId="0" borderId="92" xfId="16" applyFont="1" applyBorder="1" applyAlignment="1" applyProtection="1">
      <alignment horizontal="center"/>
      <protection locked="0"/>
    </xf>
    <xf numFmtId="14" fontId="3" fillId="0" borderId="92" xfId="16" applyNumberFormat="1" applyFont="1" applyBorder="1" applyProtection="1">
      <protection locked="0"/>
    </xf>
    <xf numFmtId="0" fontId="3" fillId="0" borderId="93" xfId="16" applyFont="1" applyBorder="1" applyAlignment="1" applyProtection="1">
      <alignment horizontal="center"/>
      <protection locked="0"/>
    </xf>
    <xf numFmtId="0" fontId="3" fillId="0" borderId="22" xfId="16" applyFont="1" applyBorder="1" applyAlignment="1" applyProtection="1">
      <alignment horizontal="center"/>
      <protection locked="0"/>
    </xf>
    <xf numFmtId="14" fontId="3" fillId="0" borderId="22" xfId="16" applyNumberFormat="1" applyFont="1" applyBorder="1" applyProtection="1">
      <protection locked="0"/>
    </xf>
    <xf numFmtId="0" fontId="3" fillId="0" borderId="94" xfId="16" applyFont="1" applyBorder="1" applyAlignment="1" applyProtection="1">
      <alignment horizontal="center"/>
      <protection locked="0"/>
    </xf>
    <xf numFmtId="14" fontId="3" fillId="0" borderId="94" xfId="16" applyNumberFormat="1" applyFont="1" applyBorder="1" applyProtection="1">
      <protection locked="0"/>
    </xf>
    <xf numFmtId="0" fontId="6" fillId="10" borderId="5" xfId="16" applyFont="1" applyFill="1" applyBorder="1" applyProtection="1">
      <protection locked="0"/>
    </xf>
    <xf numFmtId="0" fontId="6" fillId="10" borderId="4" xfId="16" applyFont="1" applyFill="1" applyBorder="1" applyProtection="1">
      <protection locked="0"/>
    </xf>
    <xf numFmtId="0" fontId="6" fillId="10" borderId="3" xfId="16" applyFont="1" applyFill="1" applyBorder="1" applyProtection="1">
      <protection locked="0"/>
    </xf>
    <xf numFmtId="0" fontId="6" fillId="10" borderId="22" xfId="16" applyFont="1" applyFill="1" applyBorder="1" applyProtection="1">
      <protection locked="0"/>
    </xf>
    <xf numFmtId="0" fontId="6" fillId="10" borderId="22" xfId="16" applyFont="1" applyFill="1" applyBorder="1" applyAlignment="1" applyProtection="1">
      <alignment horizontal="left"/>
      <protection locked="0"/>
    </xf>
    <xf numFmtId="0" fontId="3" fillId="0" borderId="0" xfId="16" applyFont="1"/>
    <xf numFmtId="0" fontId="3" fillId="0" borderId="0" xfId="16" applyFont="1" applyAlignment="1" applyProtection="1">
      <alignment horizontal="left"/>
      <protection hidden="1"/>
    </xf>
    <xf numFmtId="17" fontId="3" fillId="0" borderId="0" xfId="16" quotePrefix="1" applyNumberFormat="1" applyFont="1" applyAlignment="1" applyProtection="1">
      <alignment horizontal="left"/>
      <protection hidden="1"/>
    </xf>
    <xf numFmtId="0" fontId="3" fillId="0" borderId="0" xfId="16" applyFont="1" applyAlignment="1" applyProtection="1">
      <alignment horizontal="center"/>
      <protection hidden="1"/>
    </xf>
    <xf numFmtId="0" fontId="86" fillId="0" borderId="0" xfId="16" applyFont="1" applyProtection="1">
      <protection locked="0"/>
    </xf>
    <xf numFmtId="0" fontId="66" fillId="0" borderId="0" xfId="16" applyFont="1" applyProtection="1">
      <protection locked="0"/>
    </xf>
    <xf numFmtId="0" fontId="64" fillId="0" borderId="0" xfId="70" applyAlignment="1">
      <alignment horizontal="left"/>
    </xf>
    <xf numFmtId="0" fontId="3" fillId="0" borderId="0" xfId="57" applyNumberFormat="1" applyAlignment="1">
      <alignment horizontal="center"/>
    </xf>
    <xf numFmtId="0" fontId="3" fillId="0" borderId="79" xfId="65"/>
    <xf numFmtId="6" fontId="3" fillId="0" borderId="79" xfId="65" applyNumberFormat="1"/>
    <xf numFmtId="180" fontId="0" fillId="0" borderId="0" xfId="78" applyNumberFormat="1" applyFont="1"/>
    <xf numFmtId="0" fontId="62" fillId="0" borderId="0" xfId="0" applyFont="1" applyAlignment="1">
      <alignment horizontal="right"/>
    </xf>
    <xf numFmtId="0" fontId="0" fillId="0" borderId="95" xfId="0" applyBorder="1"/>
    <xf numFmtId="9" fontId="49" fillId="0" borderId="96" xfId="0" applyNumberFormat="1" applyFont="1" applyBorder="1"/>
    <xf numFmtId="0" fontId="0" fillId="0" borderId="96" xfId="0" applyBorder="1"/>
    <xf numFmtId="4" fontId="0" fillId="0" borderId="96" xfId="0" applyNumberFormat="1" applyBorder="1"/>
    <xf numFmtId="9" fontId="0" fillId="0" borderId="96" xfId="0" applyNumberFormat="1" applyBorder="1"/>
    <xf numFmtId="9" fontId="0" fillId="0" borderId="97" xfId="0" applyNumberFormat="1" applyBorder="1"/>
    <xf numFmtId="0" fontId="0" fillId="0" borderId="98" xfId="0" applyBorder="1"/>
    <xf numFmtId="9" fontId="0" fillId="0" borderId="99" xfId="0" applyNumberFormat="1" applyBorder="1"/>
    <xf numFmtId="0" fontId="0" fillId="0" borderId="100" xfId="0" applyBorder="1"/>
    <xf numFmtId="9" fontId="49" fillId="0" borderId="101" xfId="0" applyNumberFormat="1" applyFont="1" applyBorder="1"/>
    <xf numFmtId="0" fontId="0" fillId="0" borderId="101" xfId="0" applyBorder="1"/>
    <xf numFmtId="4" fontId="0" fillId="0" borderId="101" xfId="0" applyNumberFormat="1" applyBorder="1"/>
    <xf numFmtId="9" fontId="0" fillId="0" borderId="101" xfId="0" applyNumberFormat="1" applyBorder="1"/>
    <xf numFmtId="9" fontId="0" fillId="0" borderId="102" xfId="0" applyNumberFormat="1" applyBorder="1"/>
    <xf numFmtId="0" fontId="0" fillId="0" borderId="0" xfId="0" applyAlignment="1"/>
    <xf numFmtId="6" fontId="0" fillId="0" borderId="0" xfId="0" applyNumberFormat="1" applyAlignment="1"/>
    <xf numFmtId="0" fontId="40" fillId="0" borderId="20" xfId="0" applyFont="1" applyBorder="1"/>
    <xf numFmtId="6" fontId="40" fillId="0" borderId="20" xfId="0" applyNumberFormat="1" applyFont="1" applyBorder="1"/>
    <xf numFmtId="0" fontId="40" fillId="0" borderId="103" xfId="0" applyFont="1" applyBorder="1"/>
    <xf numFmtId="6" fontId="40" fillId="0" borderId="104" xfId="0" applyNumberFormat="1" applyFont="1" applyBorder="1"/>
    <xf numFmtId="6" fontId="40" fillId="0" borderId="105" xfId="0" applyNumberFormat="1" applyFont="1" applyBorder="1"/>
    <xf numFmtId="0" fontId="40" fillId="0" borderId="106" xfId="0" applyFont="1" applyBorder="1"/>
    <xf numFmtId="6" fontId="40" fillId="0" borderId="107" xfId="0" applyNumberFormat="1" applyFont="1" applyBorder="1"/>
    <xf numFmtId="0" fontId="40" fillId="0" borderId="108" xfId="0" applyFont="1" applyBorder="1"/>
    <xf numFmtId="6" fontId="40" fillId="0" borderId="109" xfId="0" applyNumberFormat="1" applyFont="1" applyBorder="1"/>
    <xf numFmtId="6" fontId="40" fillId="0" borderId="110" xfId="0" applyNumberFormat="1" applyFont="1" applyBorder="1"/>
    <xf numFmtId="6" fontId="40" fillId="12" borderId="20" xfId="0" applyNumberFormat="1" applyFont="1" applyFill="1" applyBorder="1"/>
    <xf numFmtId="6" fontId="40" fillId="12" borderId="104" xfId="0" applyNumberFormat="1" applyFont="1" applyFill="1" applyBorder="1"/>
    <xf numFmtId="6" fontId="40" fillId="12" borderId="105" xfId="0" applyNumberFormat="1" applyFont="1" applyFill="1" applyBorder="1"/>
    <xf numFmtId="6" fontId="40" fillId="12" borderId="107" xfId="0" applyNumberFormat="1" applyFont="1" applyFill="1" applyBorder="1"/>
    <xf numFmtId="6" fontId="40" fillId="12" borderId="109" xfId="0" applyNumberFormat="1" applyFont="1" applyFill="1" applyBorder="1"/>
    <xf numFmtId="6" fontId="40" fillId="12" borderId="110" xfId="0" applyNumberFormat="1" applyFont="1" applyFill="1" applyBorder="1"/>
    <xf numFmtId="6" fontId="40" fillId="0" borderId="103" xfId="0" applyNumberFormat="1" applyFont="1" applyBorder="1"/>
    <xf numFmtId="6" fontId="40" fillId="0" borderId="106" xfId="0" applyNumberFormat="1" applyFont="1" applyBorder="1"/>
    <xf numFmtId="6" fontId="40" fillId="0" borderId="108" xfId="0" applyNumberFormat="1" applyFont="1" applyBorder="1"/>
    <xf numFmtId="166" fontId="40" fillId="0" borderId="20" xfId="0" applyNumberFormat="1" applyFont="1" applyBorder="1"/>
    <xf numFmtId="165" fontId="40" fillId="0" borderId="20" xfId="0" applyNumberFormat="1" applyFont="1" applyBorder="1"/>
    <xf numFmtId="166" fontId="40" fillId="0" borderId="104" xfId="0" applyNumberFormat="1" applyFont="1" applyBorder="1"/>
    <xf numFmtId="165" fontId="40" fillId="0" borderId="104" xfId="0" applyNumberFormat="1" applyFont="1" applyBorder="1"/>
    <xf numFmtId="165" fontId="40" fillId="0" borderId="96" xfId="0" applyNumberFormat="1" applyFont="1" applyBorder="1"/>
    <xf numFmtId="0" fontId="80" fillId="5" borderId="96" xfId="0" applyFont="1" applyFill="1" applyBorder="1"/>
    <xf numFmtId="6" fontId="80" fillId="5" borderId="96" xfId="0" applyNumberFormat="1" applyFont="1" applyFill="1" applyBorder="1"/>
    <xf numFmtId="165" fontId="80" fillId="5" borderId="96" xfId="0" applyNumberFormat="1" applyFont="1" applyFill="1" applyBorder="1"/>
    <xf numFmtId="0" fontId="78" fillId="5" borderId="96" xfId="0" applyFont="1" applyFill="1" applyBorder="1"/>
    <xf numFmtId="165" fontId="80" fillId="5" borderId="97" xfId="0" applyNumberFormat="1" applyFont="1" applyFill="1" applyBorder="1"/>
    <xf numFmtId="165" fontId="80" fillId="5" borderId="99" xfId="0" applyNumberFormat="1" applyFont="1" applyFill="1" applyBorder="1"/>
    <xf numFmtId="166" fontId="40" fillId="0" borderId="109" xfId="0" applyNumberFormat="1" applyFont="1" applyBorder="1"/>
    <xf numFmtId="165" fontId="40" fillId="0" borderId="109" xfId="0" applyNumberFormat="1" applyFont="1" applyBorder="1"/>
    <xf numFmtId="165" fontId="40" fillId="0" borderId="101" xfId="0" applyNumberFormat="1" applyFont="1" applyBorder="1"/>
    <xf numFmtId="0" fontId="80" fillId="5" borderId="101" xfId="0" applyFont="1" applyFill="1" applyBorder="1"/>
    <xf numFmtId="6" fontId="80" fillId="5" borderId="101" xfId="0" applyNumberFormat="1" applyFont="1" applyFill="1" applyBorder="1"/>
    <xf numFmtId="165" fontId="80" fillId="5" borderId="101" xfId="0" applyNumberFormat="1" applyFont="1" applyFill="1" applyBorder="1"/>
    <xf numFmtId="0" fontId="78" fillId="5" borderId="101" xfId="0" applyFont="1" applyFill="1" applyBorder="1"/>
    <xf numFmtId="165" fontId="80" fillId="5" borderId="102" xfId="0" applyNumberFormat="1" applyFont="1" applyFill="1" applyBorder="1"/>
    <xf numFmtId="1" fontId="40" fillId="0" borderId="20" xfId="0" applyNumberFormat="1" applyFont="1" applyBorder="1"/>
    <xf numFmtId="1" fontId="40" fillId="0" borderId="104" xfId="0" applyNumberFormat="1" applyFont="1" applyBorder="1"/>
    <xf numFmtId="1" fontId="40" fillId="0" borderId="105" xfId="0" applyNumberFormat="1" applyFont="1" applyBorder="1"/>
    <xf numFmtId="1" fontId="40" fillId="0" borderId="107" xfId="0" applyNumberFormat="1" applyFont="1" applyBorder="1"/>
    <xf numFmtId="1" fontId="40" fillId="0" borderId="109" xfId="0" applyNumberFormat="1" applyFont="1" applyBorder="1"/>
    <xf numFmtId="1" fontId="40" fillId="0" borderId="110" xfId="0" applyNumberFormat="1" applyFont="1" applyBorder="1"/>
    <xf numFmtId="0" fontId="3" fillId="0" borderId="0" xfId="57" applyAlignment="1">
      <alignment horizontal="right" indent="1"/>
    </xf>
    <xf numFmtId="0" fontId="0" fillId="0" borderId="0" xfId="57" applyFont="1" applyAlignment="1">
      <alignment horizontal="center"/>
    </xf>
    <xf numFmtId="43" fontId="66" fillId="0" borderId="79" xfId="6" applyNumberFormat="1"/>
    <xf numFmtId="167" fontId="66" fillId="0" borderId="79" xfId="6" applyNumberFormat="1"/>
    <xf numFmtId="180" fontId="66" fillId="0" borderId="79" xfId="6" applyNumberFormat="1" applyAlignment="1">
      <alignment horizontal="left"/>
    </xf>
    <xf numFmtId="0" fontId="57" fillId="46" borderId="111" xfId="4" applyNumberFormat="1" applyFont="1" applyBorder="1"/>
    <xf numFmtId="0" fontId="57" fillId="46" borderId="112" xfId="4" applyNumberFormat="1" applyFont="1" applyBorder="1"/>
    <xf numFmtId="0" fontId="57" fillId="46" borderId="113" xfId="4" applyNumberFormat="1" applyFont="1" applyBorder="1"/>
    <xf numFmtId="0" fontId="68" fillId="0" borderId="0" xfId="72" applyAlignment="1">
      <alignment horizontal="right"/>
    </xf>
    <xf numFmtId="0" fontId="68" fillId="0" borderId="0" xfId="72" applyAlignment="1">
      <alignment horizontal="right" indent="1"/>
    </xf>
    <xf numFmtId="0" fontId="88" fillId="0" borderId="0" xfId="60" applyFont="1" applyAlignment="1">
      <alignment horizontal="right" indent="1"/>
    </xf>
    <xf numFmtId="0" fontId="59" fillId="0" borderId="0" xfId="25"/>
    <xf numFmtId="44" fontId="3" fillId="0" borderId="0" xfId="79" applyFont="1"/>
    <xf numFmtId="0" fontId="66" fillId="56" borderId="79" xfId="66" applyNumberFormat="1"/>
    <xf numFmtId="44" fontId="71" fillId="45" borderId="79" xfId="79" applyFont="1" applyFill="1" applyBorder="1"/>
    <xf numFmtId="44" fontId="66" fillId="56" borderId="79" xfId="79" applyFont="1" applyFill="1" applyBorder="1"/>
    <xf numFmtId="0" fontId="57" fillId="46" borderId="0" xfId="4" applyNumberFormat="1" applyFont="1" applyBorder="1"/>
    <xf numFmtId="44" fontId="66" fillId="12" borderId="79" xfId="6" applyNumberFormat="1" applyFill="1"/>
    <xf numFmtId="43" fontId="66" fillId="56" borderId="79" xfId="78" applyFont="1" applyFill="1" applyBorder="1"/>
    <xf numFmtId="43" fontId="66" fillId="12" borderId="79" xfId="78" applyFont="1" applyFill="1" applyBorder="1"/>
    <xf numFmtId="181" fontId="66" fillId="0" borderId="79" xfId="78" applyNumberFormat="1" applyFont="1" applyBorder="1"/>
    <xf numFmtId="180" fontId="66" fillId="56" borderId="79" xfId="78" applyNumberFormat="1" applyFont="1" applyFill="1" applyBorder="1"/>
    <xf numFmtId="180" fontId="66" fillId="0" borderId="79" xfId="78" applyNumberFormat="1" applyFont="1" applyBorder="1"/>
    <xf numFmtId="181" fontId="0" fillId="0" borderId="0" xfId="78" applyNumberFormat="1" applyFont="1"/>
    <xf numFmtId="0" fontId="1" fillId="0" borderId="0" xfId="60" applyFont="1" applyAlignment="1">
      <alignment horizontal="right" indent="1"/>
    </xf>
    <xf numFmtId="0" fontId="89" fillId="0" borderId="0" xfId="60" applyFont="1" applyAlignment="1">
      <alignment horizontal="right" indent="1"/>
    </xf>
    <xf numFmtId="9" fontId="66" fillId="49" borderId="79" xfId="68" applyNumberFormat="1"/>
    <xf numFmtId="9" fontId="66" fillId="49" borderId="80" xfId="61" applyNumberFormat="1"/>
    <xf numFmtId="183" fontId="0" fillId="0" borderId="0" xfId="0" applyNumberFormat="1"/>
    <xf numFmtId="0" fontId="0" fillId="0" borderId="0" xfId="57" applyFont="1"/>
    <xf numFmtId="9" fontId="3" fillId="0" borderId="0" xfId="57" applyNumberFormat="1" applyAlignment="1">
      <alignment horizontal="left"/>
    </xf>
    <xf numFmtId="182" fontId="3" fillId="0" borderId="0" xfId="57" applyNumberFormat="1"/>
    <xf numFmtId="0" fontId="6" fillId="54" borderId="79" xfId="63" applyNumberFormat="1"/>
    <xf numFmtId="167" fontId="6" fillId="54" borderId="79" xfId="63" applyNumberFormat="1"/>
    <xf numFmtId="167" fontId="1" fillId="0" borderId="0" xfId="79" applyNumberFormat="1" applyFont="1"/>
    <xf numFmtId="0" fontId="90" fillId="0" borderId="0" xfId="57" applyFont="1"/>
    <xf numFmtId="9" fontId="90" fillId="0" borderId="0" xfId="57" applyNumberFormat="1" applyFont="1" applyAlignment="1">
      <alignment horizontal="left"/>
    </xf>
    <xf numFmtId="0" fontId="62" fillId="5" borderId="0" xfId="0" applyFont="1" applyFill="1"/>
    <xf numFmtId="0" fontId="1" fillId="16" borderId="0" xfId="0" applyFont="1" applyFill="1"/>
    <xf numFmtId="10" fontId="1" fillId="0" borderId="0" xfId="0" applyNumberFormat="1" applyFont="1"/>
    <xf numFmtId="0" fontId="66" fillId="5" borderId="6" xfId="0" applyFont="1" applyFill="1" applyBorder="1"/>
    <xf numFmtId="22" fontId="83" fillId="0" borderId="0" xfId="57" applyNumberFormat="1" applyFont="1" applyAlignment="1">
      <alignment horizontal="center"/>
    </xf>
    <xf numFmtId="22" fontId="62" fillId="0" borderId="0" xfId="57" applyNumberFormat="1" applyFont="1" applyAlignment="1">
      <alignment horizontal="center"/>
    </xf>
    <xf numFmtId="0" fontId="41" fillId="0" borderId="0" xfId="60" applyAlignment="1">
      <alignment horizontal="right" wrapText="1" indent="1"/>
    </xf>
    <xf numFmtId="0" fontId="4" fillId="48" borderId="0" xfId="5" applyAlignment="1"/>
    <xf numFmtId="0" fontId="57" fillId="46" borderId="114" xfId="4" applyNumberFormat="1" applyFont="1" applyBorder="1"/>
    <xf numFmtId="0" fontId="52" fillId="53" borderId="0" xfId="73" applyAlignment="1"/>
    <xf numFmtId="0" fontId="67" fillId="47" borderId="84" xfId="75" applyNumberFormat="1" applyBorder="1" applyAlignment="1">
      <alignment horizontal="left" vertical="center" wrapText="1"/>
    </xf>
    <xf numFmtId="0" fontId="67" fillId="47" borderId="85" xfId="75" applyNumberFormat="1" applyBorder="1" applyAlignment="1">
      <alignment horizontal="left" vertical="center" wrapText="1"/>
    </xf>
    <xf numFmtId="0" fontId="67" fillId="47" borderId="79" xfId="75" applyNumberFormat="1" applyAlignment="1">
      <alignment horizontal="left" vertical="center" wrapText="1"/>
    </xf>
    <xf numFmtId="0" fontId="67" fillId="47" borderId="86" xfId="75" applyNumberFormat="1" applyBorder="1" applyAlignment="1">
      <alignment horizontal="left" vertical="center" wrapText="1"/>
    </xf>
    <xf numFmtId="0" fontId="67" fillId="47" borderId="87" xfId="75" applyNumberFormat="1" applyBorder="1" applyAlignment="1">
      <alignment horizontal="left" vertical="center" wrapText="1"/>
    </xf>
    <xf numFmtId="0" fontId="67" fillId="47" borderId="115" xfId="75" applyNumberFormat="1" applyBorder="1" applyAlignment="1">
      <alignment horizontal="left" vertical="center" wrapText="1"/>
    </xf>
    <xf numFmtId="180" fontId="67" fillId="47" borderId="79" xfId="75" applyNumberFormat="1" applyAlignment="1">
      <alignment horizontal="left"/>
    </xf>
    <xf numFmtId="180" fontId="67" fillId="47" borderId="86" xfId="75" applyNumberFormat="1" applyBorder="1" applyAlignment="1">
      <alignment horizontal="left"/>
    </xf>
    <xf numFmtId="0" fontId="41" fillId="0" borderId="65" xfId="60" applyBorder="1" applyAlignment="1">
      <alignment horizontal="right" indent="1"/>
    </xf>
    <xf numFmtId="49" fontId="67" fillId="47" borderId="84" xfId="75" applyNumberFormat="1" applyBorder="1" applyAlignment="1">
      <alignment horizontal="left" vertical="center" wrapText="1"/>
    </xf>
    <xf numFmtId="49" fontId="67" fillId="47" borderId="85" xfId="75" applyNumberFormat="1" applyBorder="1" applyAlignment="1">
      <alignment horizontal="left" vertical="center" wrapText="1"/>
    </xf>
    <xf numFmtId="44" fontId="28" fillId="2" borderId="1" xfId="79" applyFont="1" applyFill="1" applyBorder="1" applyAlignment="1">
      <alignment horizontal="left" indent="1"/>
    </xf>
    <xf numFmtId="167" fontId="66" fillId="0" borderId="79" xfId="79" applyNumberFormat="1" applyFont="1" applyBorder="1"/>
    <xf numFmtId="0" fontId="91" fillId="45" borderId="79" xfId="74" applyNumberFormat="1" applyFont="1"/>
    <xf numFmtId="0" fontId="6" fillId="0" borderId="0" xfId="59" applyFont="1"/>
    <xf numFmtId="44" fontId="66" fillId="0" borderId="79" xfId="79" applyFont="1" applyBorder="1"/>
    <xf numFmtId="43" fontId="0" fillId="0" borderId="0" xfId="0" applyNumberFormat="1"/>
    <xf numFmtId="0" fontId="62" fillId="0" borderId="79" xfId="6" applyNumberFormat="1" applyFont="1"/>
    <xf numFmtId="1" fontId="0" fillId="5" borderId="11" xfId="78" applyNumberFormat="1" applyFont="1" applyFill="1" applyBorder="1" applyAlignment="1">
      <alignment horizontal="center"/>
    </xf>
    <xf numFmtId="0" fontId="1" fillId="0" borderId="65" xfId="0" applyFont="1" applyBorder="1"/>
    <xf numFmtId="9" fontId="66" fillId="0" borderId="79" xfId="6" applyNumberFormat="1"/>
    <xf numFmtId="0" fontId="57" fillId="46" borderId="116" xfId="4" applyNumberFormat="1" applyFont="1" applyBorder="1"/>
    <xf numFmtId="0" fontId="67" fillId="47" borderId="0" xfId="75" applyNumberFormat="1" applyBorder="1" applyAlignment="1">
      <alignment horizontal="left" vertical="center" wrapText="1"/>
    </xf>
    <xf numFmtId="1" fontId="40" fillId="0" borderId="30" xfId="0" applyNumberFormat="1" applyFont="1" applyBorder="1"/>
    <xf numFmtId="0" fontId="92" fillId="0" borderId="0" xfId="60" applyFont="1" applyAlignment="1">
      <alignment horizontal="right" indent="1"/>
    </xf>
    <xf numFmtId="0" fontId="57" fillId="46" borderId="117" xfId="4" applyNumberFormat="1" applyFont="1" applyBorder="1"/>
    <xf numFmtId="0" fontId="67" fillId="47" borderId="118" xfId="75" applyNumberFormat="1" applyBorder="1" applyAlignment="1">
      <alignment horizontal="left" vertical="center" wrapText="1"/>
    </xf>
    <xf numFmtId="0" fontId="67" fillId="47" borderId="119" xfId="75" applyNumberFormat="1" applyBorder="1" applyAlignment="1">
      <alignment horizontal="left" vertical="center" wrapText="1"/>
    </xf>
    <xf numFmtId="0" fontId="39" fillId="50" borderId="0" xfId="62" applyAlignment="1"/>
    <xf numFmtId="0" fontId="67" fillId="47" borderId="79" xfId="75" applyNumberFormat="1"/>
    <xf numFmtId="180" fontId="67" fillId="47" borderId="79" xfId="75" applyNumberFormat="1"/>
    <xf numFmtId="167" fontId="66" fillId="46" borderId="79" xfId="4" applyNumberFormat="1"/>
    <xf numFmtId="9" fontId="1" fillId="0" borderId="0" xfId="0" applyNumberFormat="1" applyFont="1"/>
    <xf numFmtId="184" fontId="40" fillId="0" borderId="0" xfId="0" applyNumberFormat="1" applyFont="1"/>
    <xf numFmtId="0" fontId="1" fillId="0" borderId="0" xfId="57" applyNumberFormat="1" applyFont="1"/>
    <xf numFmtId="0" fontId="88" fillId="0" borderId="30" xfId="60" applyFont="1" applyBorder="1" applyAlignment="1">
      <alignment horizontal="right" indent="1"/>
    </xf>
    <xf numFmtId="0" fontId="85" fillId="0" borderId="30" xfId="57" applyFont="1" applyBorder="1"/>
    <xf numFmtId="0" fontId="3" fillId="0" borderId="30" xfId="57" applyBorder="1"/>
    <xf numFmtId="0" fontId="87" fillId="0" borderId="30" xfId="60" applyFont="1" applyBorder="1" applyAlignment="1">
      <alignment horizontal="left"/>
    </xf>
    <xf numFmtId="0" fontId="87" fillId="0" borderId="0" xfId="60" applyFont="1" applyAlignment="1">
      <alignment horizontal="left"/>
    </xf>
    <xf numFmtId="6" fontId="66" fillId="46" borderId="79" xfId="4" applyNumberFormat="1"/>
    <xf numFmtId="0" fontId="6" fillId="54" borderId="79" xfId="63"/>
    <xf numFmtId="0" fontId="3" fillId="0" borderId="0" xfId="57" applyAlignment="1">
      <alignment horizontal="center" vertical="center" textRotation="90"/>
    </xf>
    <xf numFmtId="0" fontId="93" fillId="0" borderId="0" xfId="60" applyFont="1" applyAlignment="1">
      <alignment horizontal="right" indent="1"/>
    </xf>
    <xf numFmtId="0" fontId="62" fillId="0" borderId="0" xfId="57" applyFont="1"/>
    <xf numFmtId="0" fontId="94" fillId="0" borderId="0" xfId="57" applyFont="1"/>
    <xf numFmtId="0" fontId="41" fillId="0" borderId="0" xfId="57" applyFont="1" applyAlignment="1">
      <alignment horizontal="right" indent="1"/>
    </xf>
    <xf numFmtId="0" fontId="3" fillId="55" borderId="79" xfId="64"/>
    <xf numFmtId="0" fontId="6" fillId="55" borderId="79" xfId="64" applyFont="1"/>
    <xf numFmtId="9" fontId="67" fillId="47" borderId="79" xfId="75" applyNumberFormat="1"/>
    <xf numFmtId="9" fontId="57" fillId="0" borderId="79" xfId="6" applyNumberFormat="1" applyFont="1"/>
    <xf numFmtId="44" fontId="57" fillId="0" borderId="79" xfId="6" applyNumberFormat="1" applyFont="1"/>
    <xf numFmtId="0" fontId="95" fillId="0" borderId="0" xfId="57" applyFont="1" applyAlignment="1">
      <alignment wrapText="1"/>
    </xf>
    <xf numFmtId="0" fontId="3" fillId="0" borderId="0" xfId="0" applyFont="1" applyAlignment="1">
      <alignment wrapText="1"/>
    </xf>
    <xf numFmtId="0" fontId="3" fillId="0" borderId="0" xfId="57" applyAlignment="1">
      <alignment wrapText="1"/>
    </xf>
    <xf numFmtId="0" fontId="17" fillId="0" borderId="0" xfId="57" applyFont="1" applyAlignment="1">
      <alignment wrapText="1"/>
    </xf>
    <xf numFmtId="0" fontId="88" fillId="0" borderId="0" xfId="57" applyFont="1"/>
    <xf numFmtId="180" fontId="0" fillId="0" borderId="0" xfId="0" applyNumberFormat="1" applyProtection="1">
      <protection locked="0"/>
    </xf>
    <xf numFmtId="9" fontId="57" fillId="49" borderId="80" xfId="61" applyNumberFormat="1" applyFont="1" applyProtection="1">
      <protection locked="0"/>
    </xf>
    <xf numFmtId="0" fontId="3" fillId="0" borderId="0" xfId="57" applyProtection="1">
      <protection locked="0"/>
    </xf>
    <xf numFmtId="9" fontId="0" fillId="0" borderId="0" xfId="0" applyNumberFormat="1" applyProtection="1">
      <protection locked="0"/>
    </xf>
    <xf numFmtId="0" fontId="0" fillId="0" borderId="0" xfId="0" applyNumberFormat="1" applyProtection="1">
      <protection locked="0"/>
    </xf>
    <xf numFmtId="0" fontId="0" fillId="0" borderId="30" xfId="0" applyNumberFormat="1" applyBorder="1" applyProtection="1">
      <protection locked="0"/>
    </xf>
    <xf numFmtId="0" fontId="1" fillId="0" borderId="0" xfId="57" applyFont="1" applyProtection="1">
      <protection locked="0"/>
    </xf>
    <xf numFmtId="180" fontId="57" fillId="49" borderId="80" xfId="61" applyNumberFormat="1" applyFont="1" applyProtection="1">
      <protection locked="0"/>
    </xf>
    <xf numFmtId="167" fontId="57" fillId="49" borderId="80" xfId="79" applyNumberFormat="1" applyFont="1" applyFill="1" applyBorder="1" applyProtection="1">
      <protection locked="0"/>
    </xf>
    <xf numFmtId="167" fontId="41" fillId="0" borderId="0" xfId="79" applyNumberFormat="1" applyFont="1" applyAlignment="1" applyProtection="1">
      <alignment horizontal="right" indent="1"/>
      <protection locked="0"/>
    </xf>
    <xf numFmtId="167" fontId="41" fillId="0" borderId="0" xfId="79" applyNumberFormat="1" applyFont="1" applyAlignment="1" applyProtection="1">
      <alignment horizontal="left" indent="4"/>
      <protection locked="0"/>
    </xf>
    <xf numFmtId="0" fontId="57" fillId="49" borderId="80" xfId="61" applyNumberFormat="1" applyFont="1" applyProtection="1">
      <protection locked="0"/>
    </xf>
    <xf numFmtId="0" fontId="41" fillId="0" borderId="0" xfId="60" applyAlignment="1" applyProtection="1">
      <alignment horizontal="right" indent="1"/>
      <protection locked="0"/>
    </xf>
    <xf numFmtId="180" fontId="1" fillId="0" borderId="0" xfId="78" applyNumberFormat="1" applyFont="1" applyProtection="1">
      <protection locked="0"/>
    </xf>
    <xf numFmtId="180" fontId="41" fillId="0" borderId="0" xfId="78" applyNumberFormat="1" applyFont="1" applyAlignment="1" applyProtection="1">
      <alignment horizontal="right" indent="1"/>
      <protection locked="0"/>
    </xf>
    <xf numFmtId="180" fontId="57" fillId="49" borderId="80" xfId="78" applyNumberFormat="1" applyFont="1" applyFill="1" applyBorder="1" applyProtection="1">
      <protection locked="0"/>
    </xf>
    <xf numFmtId="180" fontId="41" fillId="0" borderId="0" xfId="78" applyNumberFormat="1" applyFont="1" applyAlignment="1" applyProtection="1">
      <alignment horizontal="left" indent="4"/>
      <protection locked="0"/>
    </xf>
    <xf numFmtId="44" fontId="57" fillId="49" borderId="80" xfId="79" applyFont="1" applyFill="1" applyBorder="1" applyProtection="1">
      <protection locked="0"/>
    </xf>
    <xf numFmtId="0" fontId="84" fillId="49" borderId="80" xfId="61" applyNumberFormat="1" applyFont="1" applyProtection="1">
      <protection locked="0"/>
    </xf>
    <xf numFmtId="0" fontId="97" fillId="0" borderId="0" xfId="0" applyFont="1"/>
    <xf numFmtId="0" fontId="1" fillId="0" borderId="0" xfId="57" applyFont="1" applyAlignment="1">
      <alignment horizontal="center" vertical="center"/>
    </xf>
    <xf numFmtId="0" fontId="68" fillId="0" borderId="0" xfId="72" applyAlignment="1"/>
    <xf numFmtId="0" fontId="3" fillId="0" borderId="91" xfId="16" applyFont="1" applyBorder="1" applyAlignment="1" applyProtection="1">
      <alignment horizontal="left"/>
      <protection locked="0"/>
    </xf>
    <xf numFmtId="0" fontId="74" fillId="0" borderId="0" xfId="69" applyFill="1" applyAlignment="1" applyProtection="1">
      <alignment horizontal="left"/>
      <protection locked="0"/>
    </xf>
    <xf numFmtId="0" fontId="6" fillId="10" borderId="18" xfId="16" applyFont="1" applyFill="1" applyBorder="1" applyAlignment="1" applyProtection="1">
      <alignment horizontal="center"/>
      <protection locked="0"/>
    </xf>
    <xf numFmtId="0" fontId="3" fillId="0" borderId="94" xfId="16" applyFont="1" applyBorder="1" applyAlignment="1" applyProtection="1">
      <alignment horizontal="left"/>
      <protection locked="0"/>
    </xf>
    <xf numFmtId="0" fontId="3" fillId="0" borderId="22" xfId="16" applyFont="1" applyBorder="1" applyAlignment="1" applyProtection="1">
      <alignment horizontal="left"/>
      <protection locked="0"/>
    </xf>
    <xf numFmtId="0" fontId="3" fillId="0" borderId="90" xfId="16" applyFont="1" applyBorder="1" applyAlignment="1" applyProtection="1">
      <alignment horizontal="left"/>
      <protection locked="0"/>
    </xf>
    <xf numFmtId="0" fontId="3" fillId="0" borderId="89" xfId="16" applyFont="1" applyBorder="1" applyAlignment="1" applyProtection="1">
      <alignment horizontal="left"/>
      <protection locked="0"/>
    </xf>
    <xf numFmtId="0" fontId="3" fillId="0" borderId="88" xfId="16" applyFont="1" applyBorder="1" applyAlignment="1" applyProtection="1">
      <alignment horizontal="left"/>
      <protection locked="0"/>
    </xf>
    <xf numFmtId="0" fontId="1" fillId="0" borderId="0" xfId="57" applyNumberFormat="1" applyFont="1" applyAlignment="1">
      <alignment horizontal="left" wrapText="1"/>
    </xf>
    <xf numFmtId="0" fontId="96" fillId="0" borderId="0" xfId="60" applyFont="1" applyAlignment="1">
      <alignment horizontal="left" vertical="top" wrapText="1"/>
    </xf>
    <xf numFmtId="0" fontId="3" fillId="0" borderId="65" xfId="57" applyBorder="1" applyAlignment="1">
      <alignment horizontal="center" vertical="center" textRotation="90"/>
    </xf>
    <xf numFmtId="0" fontId="3" fillId="0" borderId="0" xfId="57" applyAlignment="1">
      <alignment horizontal="center" vertical="center" textRotation="90"/>
    </xf>
    <xf numFmtId="0" fontId="3" fillId="0" borderId="65" xfId="57" applyBorder="1" applyAlignment="1">
      <alignment horizontal="center" vertical="center" textRotation="90" wrapText="1"/>
    </xf>
    <xf numFmtId="0" fontId="3" fillId="0" borderId="0" xfId="57" applyAlignment="1">
      <alignment horizontal="center" vertical="center" textRotation="90" wrapText="1"/>
    </xf>
    <xf numFmtId="0" fontId="3" fillId="0" borderId="30" xfId="57" applyBorder="1" applyAlignment="1">
      <alignment horizontal="center" vertical="center" textRotation="90"/>
    </xf>
    <xf numFmtId="0" fontId="3" fillId="0" borderId="30" xfId="57" applyBorder="1" applyAlignment="1">
      <alignment horizontal="center" vertical="center" textRotation="90" wrapText="1"/>
    </xf>
    <xf numFmtId="0" fontId="11" fillId="5" borderId="6" xfId="0" applyFont="1" applyFill="1" applyBorder="1" applyAlignment="1">
      <alignment horizontal="center" vertical="center"/>
    </xf>
    <xf numFmtId="0" fontId="11" fillId="5" borderId="0" xfId="0" applyFont="1" applyFill="1" applyAlignment="1">
      <alignment horizontal="center" vertical="center"/>
    </xf>
    <xf numFmtId="0" fontId="11" fillId="5" borderId="7" xfId="0" applyFont="1" applyFill="1" applyBorder="1" applyAlignment="1">
      <alignment horizontal="center" vertical="center"/>
    </xf>
    <xf numFmtId="0" fontId="17" fillId="5" borderId="6" xfId="0" applyFont="1" applyFill="1" applyBorder="1" applyAlignment="1">
      <alignment horizontal="center" vertical="top"/>
    </xf>
    <xf numFmtId="0" fontId="17" fillId="5" borderId="0" xfId="0" applyFont="1" applyFill="1" applyAlignment="1">
      <alignment horizontal="center" vertical="top"/>
    </xf>
    <xf numFmtId="0" fontId="17" fillId="5" borderId="7" xfId="0" applyFont="1" applyFill="1" applyBorder="1" applyAlignment="1">
      <alignment horizontal="center" vertical="top"/>
    </xf>
    <xf numFmtId="0" fontId="30" fillId="0" borderId="42" xfId="9" applyFont="1" applyBorder="1" applyAlignment="1">
      <alignment horizontal="center" wrapText="1"/>
    </xf>
    <xf numFmtId="0" fontId="30" fillId="0" borderId="43" xfId="9" applyFont="1" applyBorder="1" applyAlignment="1">
      <alignment horizontal="center" wrapText="1"/>
    </xf>
    <xf numFmtId="0" fontId="30" fillId="0" borderId="42" xfId="9" applyFont="1" applyBorder="1" applyAlignment="1">
      <alignment horizontal="center"/>
    </xf>
    <xf numFmtId="0" fontId="30" fillId="0" borderId="43" xfId="9" applyFont="1" applyBorder="1" applyAlignment="1">
      <alignment horizontal="center"/>
    </xf>
    <xf numFmtId="0" fontId="30" fillId="0" borderId="44" xfId="9" applyFont="1" applyBorder="1" applyAlignment="1">
      <alignment horizontal="center"/>
    </xf>
    <xf numFmtId="0" fontId="30" fillId="0" borderId="42" xfId="7" applyFont="1" applyBorder="1" applyAlignment="1">
      <alignment horizontal="center" wrapText="1"/>
    </xf>
    <xf numFmtId="0" fontId="30" fillId="0" borderId="43" xfId="7" applyFont="1" applyBorder="1" applyAlignment="1">
      <alignment horizontal="center" wrapText="1"/>
    </xf>
    <xf numFmtId="0" fontId="30" fillId="0" borderId="44" xfId="7" applyFont="1" applyBorder="1" applyAlignment="1">
      <alignment horizontal="center" wrapText="1"/>
    </xf>
    <xf numFmtId="0" fontId="30" fillId="12" borderId="0" xfId="9" applyFont="1" applyFill="1" applyAlignment="1">
      <alignment horizontal="center"/>
    </xf>
    <xf numFmtId="0" fontId="30" fillId="0" borderId="42" xfId="7" applyFont="1" applyBorder="1" applyAlignment="1">
      <alignment horizontal="center"/>
    </xf>
    <xf numFmtId="0" fontId="30" fillId="0" borderId="44" xfId="7" applyFont="1" applyBorder="1" applyAlignment="1">
      <alignment horizontal="center"/>
    </xf>
    <xf numFmtId="0" fontId="30" fillId="12" borderId="0" xfId="7" applyFont="1" applyFill="1" applyAlignment="1">
      <alignment horizontal="center"/>
    </xf>
  </cellXfs>
  <cellStyles count="81">
    <cellStyle name="20% - Accent1" xfId="34" builtinId="30" hidden="1"/>
    <cellStyle name="20% - Accent2" xfId="38" builtinId="34" hidden="1"/>
    <cellStyle name="20% - Accent3" xfId="42" builtinId="38" hidden="1"/>
    <cellStyle name="20% - Accent4" xfId="46" builtinId="42" hidden="1"/>
    <cellStyle name="20% - Accent5" xfId="50" builtinId="46" hidden="1"/>
    <cellStyle name="20% - Accent6" xfId="54" builtinId="50" hidden="1"/>
    <cellStyle name="40% - Accent1" xfId="35" builtinId="31" hidden="1"/>
    <cellStyle name="40% - Accent2" xfId="39" builtinId="35" hidden="1"/>
    <cellStyle name="40% - Accent3" xfId="43" builtinId="39" hidden="1"/>
    <cellStyle name="40% - Accent4" xfId="47" builtinId="43" hidden="1"/>
    <cellStyle name="40% - Accent5" xfId="51" builtinId="47" hidden="1"/>
    <cellStyle name="40% - Accent6" xfId="55" builtinId="51" hidden="1"/>
    <cellStyle name="60% - Accent1" xfId="36" builtinId="32" hidden="1"/>
    <cellStyle name="60% - Accent2" xfId="40" builtinId="36" hidden="1"/>
    <cellStyle name="60% - Accent3" xfId="44" builtinId="40" hidden="1"/>
    <cellStyle name="60% - Accent4" xfId="48" builtinId="44" hidden="1"/>
    <cellStyle name="60% - Accent5" xfId="52" builtinId="48" hidden="1"/>
    <cellStyle name="60% - Accent6" xfId="56" builtinId="52" hidden="1"/>
    <cellStyle name="Accent1" xfId="24" builtinId="29" hidden="1"/>
    <cellStyle name="Accent2" xfId="37" builtinId="33" hidden="1"/>
    <cellStyle name="Accent3" xfId="41" builtinId="37" hidden="1"/>
    <cellStyle name="Accent4" xfId="45" builtinId="41" hidden="1"/>
    <cellStyle name="Accent5" xfId="49" builtinId="45" hidden="1"/>
    <cellStyle name="Accent6" xfId="53" builtinId="49" hidden="1"/>
    <cellStyle name="Bad" xfId="19" xr:uid="{00000000-0005-0000-0000-000000000000}"/>
    <cellStyle name="Berekening" xfId="4" builtinId="22" customBuiltin="1"/>
    <cellStyle name="Bijschrift" xfId="60" xr:uid="{565C2CBD-4286-4E48-8FB7-A7528F6189B0}"/>
    <cellStyle name="Check Cell" xfId="32" xr:uid="{00000000-0005-0000-0000-000002000000}"/>
    <cellStyle name="Controlecel" xfId="75" builtinId="23" customBuiltin="1"/>
    <cellStyle name="Explanatory Text" xfId="23" xr:uid="{00000000-0005-0000-0000-000003000000}"/>
    <cellStyle name="Gekoppelde cel" xfId="6" builtinId="24" customBuiltin="1"/>
    <cellStyle name="Goed" xfId="5" builtinId="26" customBuiltin="1"/>
    <cellStyle name="Heading 1" xfId="29" xr:uid="{00000000-0005-0000-0000-000005000000}"/>
    <cellStyle name="Heading 2" xfId="30" xr:uid="{00000000-0005-0000-0000-000006000000}"/>
    <cellStyle name="Heading 3" xfId="15" xr:uid="{00000000-0005-0000-0000-000007000000}"/>
    <cellStyle name="Hyperlink" xfId="1" builtinId="8"/>
    <cellStyle name="Input" xfId="12" xr:uid="{00000000-0005-0000-0000-00000A000000}"/>
    <cellStyle name="Invoer" xfId="68" builtinId="20" customBuiltin="1"/>
    <cellStyle name="Keuzelijst" xfId="61" xr:uid="{E4BFCDD3-8B4A-4737-9CCA-0E69CA77A401}"/>
    <cellStyle name="Komma" xfId="18" builtinId="3" hidden="1"/>
    <cellStyle name="Komma" xfId="78" builtinId="3"/>
    <cellStyle name="Komma [0]" xfId="26" builtinId="6" hidden="1"/>
    <cellStyle name="Kop 1" xfId="70" builtinId="16" customBuiltin="1"/>
    <cellStyle name="Kop 1 2" xfId="58" xr:uid="{9F147381-1C1C-4CF0-A006-B7C20ABE2143}"/>
    <cellStyle name="Kop 2" xfId="71" builtinId="17" customBuiltin="1"/>
    <cellStyle name="Kop 2 2" xfId="59" xr:uid="{956D41B0-F8AA-421A-B3D0-25A773039969}"/>
    <cellStyle name="Kop 3" xfId="72" builtinId="18" customBuiltin="1"/>
    <cellStyle name="Kop 4 2" xfId="69" xr:uid="{8EEBA352-99C5-479B-8916-822E18F53691}"/>
    <cellStyle name="Markering" xfId="62" xr:uid="{298FF39C-720C-446C-9DC1-9A548F38AA46}"/>
    <cellStyle name="Neutraal" xfId="31" builtinId="28" customBuiltin="1"/>
    <cellStyle name="Note" xfId="11" xr:uid="{00000000-0005-0000-0000-000010000000}"/>
    <cellStyle name="Notitie" xfId="76" builtinId="10" customBuiltin="1"/>
    <cellStyle name="Ongeldig" xfId="73" builtinId="27" customBuiltin="1"/>
    <cellStyle name="Output" xfId="20" xr:uid="{00000000-0005-0000-0000-000012000000}"/>
    <cellStyle name="Procent" xfId="3" builtinId="5" hidden="1"/>
    <cellStyle name="Standaard" xfId="0" builtinId="0" customBuiltin="1"/>
    <cellStyle name="Standaard 2" xfId="16" xr:uid="{00000000-0005-0000-0000-000015000000}"/>
    <cellStyle name="Standaard 2 2" xfId="13" xr:uid="{00000000-0005-0000-0000-000016000000}"/>
    <cellStyle name="Standaard 3" xfId="17" xr:uid="{00000000-0005-0000-0000-000017000000}"/>
    <cellStyle name="Standaard 3 2" xfId="57" xr:uid="{9F189C16-E1E0-4C64-BC83-B2D8AA549120}"/>
    <cellStyle name="Standaard 4" xfId="21" xr:uid="{4D00CEF8-663F-4F96-9BEB-37DC51A8C734}"/>
    <cellStyle name="Standaard 5" xfId="10" xr:uid="{00000000-0005-0000-0000-000018000000}"/>
    <cellStyle name="Standaard 6" xfId="22" xr:uid="{B3103D93-6E74-480A-8E89-B1FF0CE07FC7}"/>
    <cellStyle name="Standaard 6 2" xfId="80" xr:uid="{8F60FEAB-BDA9-4546-89CA-5AE47FB81C9E}"/>
    <cellStyle name="Standaard 7" xfId="25" xr:uid="{4CEC0FBB-AD2F-44D0-8B17-CFF671828020}"/>
    <cellStyle name="Standaard 8" xfId="67" xr:uid="{7242CED9-A263-471A-A005-7D85552B83CE}"/>
    <cellStyle name="Standaard_Afzet" xfId="14" xr:uid="{00000000-0005-0000-0000-000019000000}"/>
    <cellStyle name="Standaard_brandstofkosten_module" xfId="9" xr:uid="{00000000-0005-0000-0000-00001A000000}"/>
    <cellStyle name="Standaard_brandstofprijs_module" xfId="7" xr:uid="{00000000-0005-0000-0000-00001B000000}"/>
    <cellStyle name="Tabelkop (celstijl)" xfId="63" xr:uid="{B05C801B-994F-42C8-BCA6-44A29AD87BBD}"/>
    <cellStyle name="Tabeltekst (gekleurde rij, celstijl)" xfId="64" xr:uid="{9CD40CDF-D926-4594-9AB5-6055BD66C660}"/>
    <cellStyle name="Tabeltekst (witte rij, celstijl)" xfId="65" xr:uid="{7AA7083C-2045-4F82-81E4-EA84E29D09AD}"/>
    <cellStyle name="Titel" xfId="28" builtinId="15" hidden="1"/>
    <cellStyle name="Totaal" xfId="33" builtinId="25" hidden="1"/>
    <cellStyle name="Uitvoer" xfId="74" builtinId="21" customBuiltin="1"/>
    <cellStyle name="Valuta" xfId="2" builtinId="4" hidden="1"/>
    <cellStyle name="Valuta" xfId="79" builtinId="4"/>
    <cellStyle name="Valuta [0]" xfId="27" builtinId="7" hidden="1"/>
    <cellStyle name="Vaste waarde" xfId="66" xr:uid="{4225B34C-05E1-4803-B910-730D44F5D0D1}"/>
    <cellStyle name="Verklarende tekst" xfId="77" builtinId="53" customBuiltin="1"/>
    <cellStyle name="Waarschuwingstekst" xfId="8" builtinId="11" customBuiltin="1"/>
  </cellStyles>
  <dxfs count="84">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style="hair">
          <color theme="0"/>
        </left>
        <right style="hair">
          <color theme="0"/>
        </right>
        <top style="hair">
          <color theme="0"/>
        </top>
        <bottom style="hair">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solid">
          <fgColor theme="2"/>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solid">
          <fgColor theme="0"/>
          <bgColor theme="0"/>
        </patternFill>
      </fill>
      <border>
        <left/>
        <right/>
        <top/>
        <bottom/>
        <vertical/>
        <horizontal/>
      </border>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77" formatCode="0.00000"/>
    </dxf>
    <dxf>
      <numFmt numFmtId="169" formatCode="0.000"/>
    </dxf>
    <dxf>
      <numFmt numFmtId="3" formatCode="#,##0"/>
    </dxf>
    <dxf>
      <numFmt numFmtId="10" formatCode="&quot;€&quot;\ #,##0;[Red]&quot;€&quot;\ \-#,##0"/>
    </dxf>
    <dxf>
      <font>
        <b val="0"/>
        <i val="0"/>
        <strike val="0"/>
        <condense val="0"/>
        <extend val="0"/>
        <outline val="0"/>
        <shadow val="0"/>
        <u val="none"/>
        <vertAlign val="baseline"/>
        <sz val="8"/>
        <color theme="1"/>
        <name val="trebuchet ms"/>
        <family val="2"/>
        <scheme val="none"/>
      </font>
      <border diagonalUp="0" diagonalDown="0">
        <left style="medium">
          <color rgb="FF009EE0"/>
        </left>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numFmt numFmtId="13" formatCode="0%"/>
    </dxf>
    <dxf>
      <font>
        <b val="0"/>
        <i val="0"/>
        <strike val="0"/>
        <condense val="0"/>
        <extend val="0"/>
        <outline val="0"/>
        <shadow val="0"/>
        <u val="none"/>
        <vertAlign val="baseline"/>
        <sz val="8"/>
        <color theme="1"/>
        <name val="Trebuchet MS"/>
        <family val="2"/>
        <scheme val="none"/>
      </font>
      <numFmt numFmtId="13" formatCode="0%"/>
    </dxf>
    <dxf>
      <font>
        <b val="0"/>
        <i val="0"/>
        <strike val="0"/>
        <condense val="0"/>
        <extend val="0"/>
        <outline val="0"/>
        <shadow val="0"/>
        <u val="none"/>
        <vertAlign val="baseline"/>
        <sz val="8"/>
        <color theme="1"/>
        <name val="trebuchet ms"/>
        <family val="2"/>
        <scheme val="none"/>
      </font>
      <numFmt numFmtId="13" formatCode="0%"/>
    </dxf>
    <dxf>
      <font>
        <b val="0"/>
        <i val="0"/>
        <strike val="0"/>
        <condense val="0"/>
        <extend val="0"/>
        <outline val="0"/>
        <shadow val="0"/>
        <u val="none"/>
        <vertAlign val="baseline"/>
        <sz val="8"/>
        <color theme="1"/>
        <name val="trebuchet ms"/>
        <family val="2"/>
        <scheme val="none"/>
      </font>
      <numFmt numFmtId="165" formatCode="#,##0.0"/>
    </dxf>
    <dxf>
      <font>
        <b val="0"/>
        <i val="0"/>
        <strike val="0"/>
        <condense val="0"/>
        <extend val="0"/>
        <outline val="0"/>
        <shadow val="0"/>
        <u val="none"/>
        <vertAlign val="baseline"/>
        <sz val="8"/>
        <color theme="1"/>
        <name val="trebuchet ms"/>
        <family val="2"/>
        <scheme val="none"/>
      </font>
    </dxf>
    <dxf>
      <font>
        <b val="0"/>
        <i val="0"/>
        <strike val="0"/>
        <condense val="0"/>
        <extend val="0"/>
        <outline val="0"/>
        <shadow val="0"/>
        <u val="none"/>
        <vertAlign val="baseline"/>
        <sz val="8"/>
        <color theme="1"/>
        <name val="trebuchet ms"/>
        <family val="2"/>
        <scheme val="none"/>
      </font>
      <numFmt numFmtId="13" formatCode="0%"/>
    </dxf>
    <dxf>
      <font>
        <b val="0"/>
        <i val="0"/>
        <strike val="0"/>
        <condense val="0"/>
        <extend val="0"/>
        <outline val="0"/>
        <shadow val="0"/>
        <u val="none"/>
        <vertAlign val="baseline"/>
        <sz val="8"/>
        <color theme="1"/>
        <name val="trebuchet ms"/>
        <family val="2"/>
        <scheme val="none"/>
      </font>
      <numFmt numFmtId="3" formatCode="#,##0"/>
    </dxf>
    <dxf>
      <font>
        <b val="0"/>
        <i val="0"/>
        <strike val="0"/>
        <condense val="0"/>
        <extend val="0"/>
        <outline val="0"/>
        <shadow val="0"/>
        <u val="none"/>
        <vertAlign val="baseline"/>
        <sz val="8"/>
        <color rgb="FF3F3F76"/>
        <name val="trebuchet ms"/>
        <family val="2"/>
        <scheme val="none"/>
      </font>
      <numFmt numFmtId="10" formatCode="&quot;€&quot;\ #,##0;[Red]&quot;€&quot;\ \-#,##0"/>
    </dxf>
    <dxf>
      <font>
        <b val="0"/>
        <i val="0"/>
        <strike val="0"/>
        <condense val="0"/>
        <extend val="0"/>
        <outline val="0"/>
        <shadow val="0"/>
        <u val="none"/>
        <vertAlign val="baseline"/>
        <sz val="8"/>
        <color rgb="FF3F3F76"/>
        <name val="trebuchet ms"/>
        <family val="2"/>
        <scheme val="none"/>
      </font>
      <numFmt numFmtId="0" formatCode="General"/>
    </dxf>
    <dxf>
      <font>
        <b val="0"/>
        <i val="0"/>
        <strike val="0"/>
        <condense val="0"/>
        <extend val="0"/>
        <outline val="0"/>
        <shadow val="0"/>
        <u val="none"/>
        <vertAlign val="baseline"/>
        <sz val="8"/>
        <color rgb="FF3F3F76"/>
        <name val="trebuchet ms"/>
        <family val="2"/>
        <scheme val="none"/>
      </font>
      <numFmt numFmtId="10" formatCode="&quot;€&quot;\ #,##0;[Red]&quot;€&quot;\ \-#,##0"/>
      <border diagonalUp="0" diagonalDown="0">
        <left/>
        <right style="thin">
          <color rgb="FF7F7F7F"/>
        </right>
        <top style="thin">
          <color rgb="FF7F7F7F"/>
        </top>
        <bottom style="thin">
          <color rgb="FF7F7F7F"/>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ertAlign val="baseline"/>
        <sz val="8"/>
        <color theme="4"/>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right style="medium">
          <color rgb="FF009EE0"/>
        </right>
        <top style="medium">
          <color rgb="FF009EE0"/>
        </top>
        <bottom style="medium">
          <color rgb="FF009EE0"/>
        </bottom>
        <vertical/>
        <horizontal/>
      </border>
    </dxf>
    <dxf>
      <border outline="0">
        <left style="medium">
          <color rgb="FF009EE0"/>
        </left>
        <right style="medium">
          <color rgb="FF009EE0"/>
        </right>
        <top style="medium">
          <color rgb="FF009EE0"/>
        </top>
      </border>
    </dxf>
    <dxf>
      <font>
        <b val="0"/>
        <i val="0"/>
        <strike val="0"/>
        <condense val="0"/>
        <extend val="0"/>
        <outline val="0"/>
        <shadow val="0"/>
        <u val="none"/>
        <vertAlign val="baseline"/>
        <sz val="8"/>
        <color theme="1"/>
        <name val="trebuchet ms"/>
        <family val="2"/>
        <scheme val="none"/>
      </font>
    </dxf>
    <dxf>
      <font>
        <b/>
        <i val="0"/>
        <strike val="0"/>
        <condense val="0"/>
        <extend val="0"/>
        <outline val="0"/>
        <shadow val="0"/>
        <u val="none"/>
        <vertAlign val="baseline"/>
        <sz val="8"/>
        <color theme="3"/>
        <name val="trebuchet ms"/>
        <family val="2"/>
        <scheme val="none"/>
      </font>
      <fill>
        <patternFill patternType="solid">
          <fgColor indexed="64"/>
          <bgColor rgb="FFB9E4FF"/>
        </patternFill>
      </fill>
      <border diagonalUp="0" diagonalDown="0" outline="0">
        <left style="medium">
          <color rgb="FF009EE0"/>
        </left>
        <right style="medium">
          <color rgb="FF009EE0"/>
        </right>
        <top/>
        <bottom/>
      </border>
    </dxf>
    <dxf>
      <numFmt numFmtId="1" formatCode="0"/>
      <border diagonalUp="0" diagonalDown="0">
        <left/>
        <right style="thin">
          <color indexed="64"/>
        </right>
        <top/>
        <bottom/>
        <vertical/>
        <horizontal/>
      </border>
    </dxf>
    <dxf>
      <border diagonalUp="0" diagonalDown="0">
        <left style="thin">
          <color indexed="64"/>
        </left>
        <right/>
        <top/>
        <bottom/>
        <vertical/>
        <horizontal/>
      </border>
    </dxf>
    <dxf>
      <border outline="0">
        <top style="medium">
          <color indexed="64"/>
        </top>
        <bottom style="thin">
          <color indexed="64"/>
        </bottom>
      </border>
    </dxf>
    <dxf>
      <border outline="0">
        <bottom style="thin">
          <color indexed="64"/>
        </bottom>
      </border>
    </dxf>
    <dxf>
      <fill>
        <patternFill>
          <bgColor rgb="FFE1F4FF"/>
        </patternFill>
      </fill>
    </dxf>
    <dxf>
      <font>
        <b/>
        <i val="0"/>
        <color theme="1"/>
      </font>
      <fill>
        <patternFill patternType="solid">
          <bgColor rgb="FFB9E4FF"/>
        </patternFill>
      </fill>
    </dxf>
    <dxf>
      <border>
        <left style="thin">
          <color rgb="FF009EE0"/>
        </left>
        <right style="thin">
          <color rgb="FF009EE0"/>
        </right>
        <top style="thin">
          <color rgb="FF009EE0"/>
        </top>
        <bottom style="thin">
          <color rgb="FF009EE0"/>
        </bottom>
        <vertical style="thin">
          <color rgb="FF009EE0"/>
        </vertical>
        <horizontal style="thin">
          <color rgb="FF009EE0"/>
        </horizontal>
      </border>
    </dxf>
    <dxf>
      <font>
        <b/>
        <i val="0"/>
        <color theme="1"/>
      </font>
      <fill>
        <patternFill patternType="solid">
          <bgColor rgb="FFB9E4FF"/>
        </patternFill>
      </fill>
    </dxf>
    <dxf>
      <border>
        <left style="thin">
          <color rgb="FF009EE0"/>
        </left>
        <right style="thin">
          <color rgb="FF009EE0"/>
        </right>
        <top style="thin">
          <color rgb="FF009EE0"/>
        </top>
        <bottom style="thin">
          <color rgb="FF009EE0"/>
        </bottom>
        <vertical style="thin">
          <color rgb="FF009EE0"/>
        </vertical>
        <horizontal style="thin">
          <color rgb="FF009EE0"/>
        </horizontal>
      </border>
    </dxf>
  </dxfs>
  <tableStyles count="2" defaultTableStyle="TableStyleMedium2" defaultPivotStyle="PivotStyleLight16">
    <tableStyle name="Tabel (neutraal) CE Delft" pivot="0" count="2" xr9:uid="{DBEC612F-2F2A-4065-A4E7-FCDD4E20F28D}">
      <tableStyleElement type="wholeTable" dxfId="83"/>
      <tableStyleElement type="headerRow" dxfId="82"/>
    </tableStyle>
    <tableStyle name="Tabel CE Delft" pivot="0" count="3" xr9:uid="{0DE259B7-035D-43DE-95BC-F5BC8FCE4D90}">
      <tableStyleElement type="wholeTable" dxfId="81"/>
      <tableStyleElement type="headerRow" dxfId="80"/>
      <tableStyleElement type="secondRowStripe" dxfId="79"/>
    </tableStyle>
  </tableStyles>
  <colors>
    <mruColors>
      <color rgb="FFE1F4FF"/>
      <color rgb="FF60B024"/>
      <color rgb="FF009133"/>
      <color rgb="FFE2C100"/>
      <color rgb="FFFFDB00"/>
      <color rgb="FFFFFF00"/>
      <color rgb="FFFFBF00"/>
      <color rgb="FF0089BF"/>
      <color rgb="FF77B7DF"/>
      <color rgb="FFE300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a:latin typeface="Trebuchet MS"/>
                <a:ea typeface="Trebuchet MS"/>
                <a:cs typeface="Trebuchet MS"/>
              </a:defRPr>
            </a:pPr>
            <a:r>
              <a:rPr lang="en-US"/>
              <a:t>Totale kosten per maand</a:t>
            </a:r>
          </a:p>
        </c:rich>
      </c:tx>
      <c:overlay val="0"/>
    </c:title>
    <c:autoTitleDeleted val="0"/>
    <c:plotArea>
      <c:layout/>
      <c:barChart>
        <c:barDir val="col"/>
        <c:grouping val="stacked"/>
        <c:varyColors val="0"/>
        <c:ser>
          <c:idx val="0"/>
          <c:order val="0"/>
          <c:tx>
            <c:strRef>
              <c:f>Resultaten_tabellen!$A$39</c:f>
              <c:strCache>
                <c:ptCount val="1"/>
                <c:pt idx="0">
                  <c:v>Afschrijving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Resultaten_tabellen!$B$39:$E$39</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7222-4C7A-9F45-86F20DEB49EF}"/>
            </c:ext>
          </c:extLst>
        </c:ser>
        <c:ser>
          <c:idx val="1"/>
          <c:order val="1"/>
          <c:tx>
            <c:strRef>
              <c:f>Resultaten_tabellen!$A$40</c:f>
              <c:strCache>
                <c:ptCount val="1"/>
                <c:pt idx="0">
                  <c:v>Verzekering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Resultaten_tabellen!$B$40:$E$40</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7222-4C7A-9F45-86F20DEB49EF}"/>
            </c:ext>
          </c:extLst>
        </c:ser>
        <c:ser>
          <c:idx val="2"/>
          <c:order val="2"/>
          <c:tx>
            <c:strRef>
              <c:f>Resultaten_tabellen!$A$41</c:f>
              <c:strCache>
                <c:ptCount val="1"/>
                <c:pt idx="0">
                  <c:v>Wegenbelasting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Resultaten_tabellen!$B$41:$E$41</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2-7222-4C7A-9F45-86F20DEB49EF}"/>
            </c:ext>
          </c:extLst>
        </c:ser>
        <c:ser>
          <c:idx val="3"/>
          <c:order val="3"/>
          <c:tx>
            <c:strRef>
              <c:f>Resultaten_tabellen!$A$42</c:f>
              <c:strCache>
                <c:ptCount val="1"/>
                <c:pt idx="0">
                  <c:v>Reparatie, Onderhoud, Banden</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Resultaten_tabellen!$B$42:$E$42</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3-7222-4C7A-9F45-86F20DEB49EF}"/>
            </c:ext>
          </c:extLst>
        </c:ser>
        <c:ser>
          <c:idx val="4"/>
          <c:order val="4"/>
          <c:tx>
            <c:strRef>
              <c:f>Resultaten_tabellen!$A$43</c:f>
              <c:strCache>
                <c:ptCount val="1"/>
                <c:pt idx="0">
                  <c:v>Brandstof/elektriciteit</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Resultaten_tabellen!$B$43:$E$43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4-7222-4C7A-9F45-86F20DEB49EF}"/>
            </c:ext>
          </c:extLst>
        </c:ser>
        <c:ser>
          <c:idx val="5"/>
          <c:order val="5"/>
          <c:tx>
            <c:v>Overig*</c:v>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Resultaten_tabellen!$B$44:$E$44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5-7222-4C7A-9F45-86F20DEB49EF}"/>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title>
          <c:tx>
            <c:rich>
              <a:bodyPr/>
              <a:lstStyle/>
              <a:p>
                <a:pPr>
                  <a:defRPr/>
                </a:pPr>
                <a:r>
                  <a:rPr lang="nl-NL"/>
                  <a:t>€ per maand</a:t>
                </a:r>
              </a:p>
            </c:rich>
          </c:tx>
          <c:overlay val="0"/>
        </c:title>
        <c:numFmt formatCode="#,##0"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layout>
        <c:manualLayout>
          <c:xMode val="edge"/>
          <c:yMode val="edge"/>
          <c:x val="8.5573912711940148E-2"/>
          <c:y val="0.91387519126661576"/>
          <c:w val="0.82457836980700927"/>
          <c:h val="6.5784121465049944E-2"/>
        </c:manualLayout>
      </c:layout>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input_data!$V$190:$V$215</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xVal>
          <c:yVal>
            <c:numRef>
              <c:f>input_data!$W$190:$W$215</c:f>
              <c:numCache>
                <c:formatCode>0</c:formatCode>
                <c:ptCount val="26"/>
                <c:pt idx="0">
                  <c:v>1300</c:v>
                </c:pt>
                <c:pt idx="1">
                  <c:v>1096.7642615752989</c:v>
                </c:pt>
                <c:pt idx="2">
                  <c:v>925.30141959139257</c:v>
                </c:pt>
                <c:pt idx="3">
                  <c:v>780.64425245594566</c:v>
                </c:pt>
                <c:pt idx="4">
                  <c:v>658.60209007526646</c:v>
                </c:pt>
                <c:pt idx="5">
                  <c:v>555.63941153334463</c:v>
                </c:pt>
                <c:pt idx="6">
                  <c:v>468.77342222500181</c:v>
                </c:pt>
                <c:pt idx="7">
                  <c:v>395.48764328671524</c:v>
                </c:pt>
                <c:pt idx="8">
                  <c:v>333.65901003962267</c:v>
                </c:pt>
                <c:pt idx="9">
                  <c:v>281.49636751080919</c:v>
                </c:pt>
                <c:pt idx="10">
                  <c:v>237.48858126855498</c:v>
                </c:pt>
                <c:pt idx="11">
                  <c:v>200.36076035967082</c:v>
                </c:pt>
                <c:pt idx="12">
                  <c:v>169.03732414195369</c:v>
                </c:pt>
                <c:pt idx="13">
                  <c:v>142.61084307016483</c:v>
                </c:pt>
                <c:pt idx="14">
                  <c:v>120.31575076344622</c:v>
                </c:pt>
                <c:pt idx="15">
                  <c:v>101.50616580149907</c:v>
                </c:pt>
                <c:pt idx="16">
                  <c:v>85.637180754323836</c:v>
                </c:pt>
                <c:pt idx="17">
                  <c:v>72.249076394927982</c:v>
                </c:pt>
                <c:pt idx="18">
                  <c:v>60.95400378598503</c:v>
                </c:pt>
                <c:pt idx="19">
                  <c:v>51.424748424918327</c:v>
                </c:pt>
                <c:pt idx="20">
                  <c:v>43.385250948423888</c:v>
                </c:pt>
                <c:pt idx="21">
                  <c:v>36.602609784390125</c:v>
                </c:pt>
                <c:pt idx="22">
                  <c:v>30.880334070696495</c:v>
                </c:pt>
                <c:pt idx="23">
                  <c:v>26.052651380189218</c:v>
                </c:pt>
                <c:pt idx="24">
                  <c:v>21.979705348516863</c:v>
                </c:pt>
                <c:pt idx="25">
                  <c:v>18.543504081699034</c:v>
                </c:pt>
              </c:numCache>
            </c:numRef>
          </c:yVal>
          <c:smooth val="1"/>
          <c:extLst>
            <c:ext xmlns:c16="http://schemas.microsoft.com/office/drawing/2014/chart" uri="{C3380CC4-5D6E-409C-BE32-E72D297353CC}">
              <c16:uniqueId val="{00000000-6059-4008-ABD8-B8013837E9FF}"/>
            </c:ext>
          </c:extLst>
        </c:ser>
        <c:dLbls>
          <c:showLegendKey val="0"/>
          <c:showVal val="0"/>
          <c:showCatName val="0"/>
          <c:showSerName val="0"/>
          <c:showPercent val="0"/>
          <c:showBubbleSize val="0"/>
        </c:dLbls>
        <c:axId val="1321294496"/>
        <c:axId val="1204021120"/>
      </c:scatterChart>
      <c:valAx>
        <c:axId val="1321294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4021120"/>
        <c:crosses val="autoZero"/>
        <c:crossBetween val="midCat"/>
      </c:valAx>
      <c:valAx>
        <c:axId val="1204021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3212944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input_data!$V$190:$V$215</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xVal>
          <c:yVal>
            <c:numRef>
              <c:f>input_data!$W$190:$W$215</c:f>
              <c:numCache>
                <c:formatCode>0</c:formatCode>
                <c:ptCount val="26"/>
                <c:pt idx="0">
                  <c:v>1300</c:v>
                </c:pt>
                <c:pt idx="1">
                  <c:v>1096.7642615752989</c:v>
                </c:pt>
                <c:pt idx="2">
                  <c:v>925.30141959139257</c:v>
                </c:pt>
                <c:pt idx="3">
                  <c:v>780.64425245594566</c:v>
                </c:pt>
                <c:pt idx="4">
                  <c:v>658.60209007526646</c:v>
                </c:pt>
                <c:pt idx="5">
                  <c:v>555.63941153334463</c:v>
                </c:pt>
                <c:pt idx="6">
                  <c:v>468.77342222500181</c:v>
                </c:pt>
                <c:pt idx="7">
                  <c:v>395.48764328671524</c:v>
                </c:pt>
                <c:pt idx="8">
                  <c:v>333.65901003962267</c:v>
                </c:pt>
                <c:pt idx="9">
                  <c:v>281.49636751080919</c:v>
                </c:pt>
                <c:pt idx="10">
                  <c:v>237.48858126855498</c:v>
                </c:pt>
                <c:pt idx="11">
                  <c:v>200.36076035967082</c:v>
                </c:pt>
                <c:pt idx="12">
                  <c:v>169.03732414195369</c:v>
                </c:pt>
                <c:pt idx="13">
                  <c:v>142.61084307016483</c:v>
                </c:pt>
                <c:pt idx="14">
                  <c:v>120.31575076344622</c:v>
                </c:pt>
                <c:pt idx="15">
                  <c:v>101.50616580149907</c:v>
                </c:pt>
                <c:pt idx="16">
                  <c:v>85.637180754323836</c:v>
                </c:pt>
                <c:pt idx="17">
                  <c:v>72.249076394927982</c:v>
                </c:pt>
                <c:pt idx="18">
                  <c:v>60.95400378598503</c:v>
                </c:pt>
                <c:pt idx="19">
                  <c:v>51.424748424918327</c:v>
                </c:pt>
                <c:pt idx="20">
                  <c:v>43.385250948423888</c:v>
                </c:pt>
                <c:pt idx="21">
                  <c:v>36.602609784390125</c:v>
                </c:pt>
                <c:pt idx="22">
                  <c:v>30.880334070696495</c:v>
                </c:pt>
                <c:pt idx="23">
                  <c:v>26.052651380189218</c:v>
                </c:pt>
                <c:pt idx="24">
                  <c:v>21.979705348516863</c:v>
                </c:pt>
                <c:pt idx="25">
                  <c:v>18.543504081699034</c:v>
                </c:pt>
              </c:numCache>
            </c:numRef>
          </c:yVal>
          <c:smooth val="1"/>
          <c:extLst>
            <c:ext xmlns:c16="http://schemas.microsoft.com/office/drawing/2014/chart" uri="{C3380CC4-5D6E-409C-BE32-E72D297353CC}">
              <c16:uniqueId val="{00000000-C1FE-459F-B91D-7C6E99083A1F}"/>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input_data!$V$190:$V$215</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xVal>
          <c:yVal>
            <c:numRef>
              <c:f>input_data!$X$190:$X$215</c:f>
              <c:numCache>
                <c:formatCode>General</c:formatCode>
                <c:ptCount val="26"/>
                <c:pt idx="0">
                  <c:v>1350</c:v>
                </c:pt>
                <c:pt idx="1">
                  <c:v>1153.8461538461538</c:v>
                </c:pt>
                <c:pt idx="2">
                  <c:v>986.19329388560175</c:v>
                </c:pt>
                <c:pt idx="3">
                  <c:v>842.90025118427502</c:v>
                </c:pt>
                <c:pt idx="4">
                  <c:v>720.427565114765</c:v>
                </c:pt>
                <c:pt idx="5">
                  <c:v>615.7500556536454</c:v>
                </c:pt>
                <c:pt idx="6">
                  <c:v>526.28209884926957</c:v>
                </c:pt>
                <c:pt idx="7">
                  <c:v>449.81375970023043</c:v>
                </c:pt>
                <c:pt idx="8">
                  <c:v>384.45620487199187</c:v>
                </c:pt>
                <c:pt idx="9">
                  <c:v>328.59504689913842</c:v>
                </c:pt>
                <c:pt idx="10">
                  <c:v>280.85046743516102</c:v>
                </c:pt>
                <c:pt idx="11">
                  <c:v>240.04313455996669</c:v>
                </c:pt>
                <c:pt idx="12">
                  <c:v>205.16507227347586</c:v>
                </c:pt>
                <c:pt idx="13">
                  <c:v>175.35476262690244</c:v>
                </c:pt>
                <c:pt idx="14">
                  <c:v>149.875865493079</c:v>
                </c:pt>
                <c:pt idx="15">
                  <c:v>128.09903033596498</c:v>
                </c:pt>
                <c:pt idx="16">
                  <c:v>109.48635071449999</c:v>
                </c:pt>
                <c:pt idx="17">
                  <c:v>93.578077533760691</c:v>
                </c:pt>
                <c:pt idx="18">
                  <c:v>79.981262849368107</c:v>
                </c:pt>
                <c:pt idx="19">
                  <c:v>68.360053717408647</c:v>
                </c:pt>
                <c:pt idx="20">
                  <c:v>58.42739633966552</c:v>
                </c:pt>
                <c:pt idx="21">
                  <c:v>49.937945589457712</c:v>
                </c:pt>
                <c:pt idx="22">
                  <c:v>42.682004777314283</c:v>
                </c:pt>
                <c:pt idx="23">
                  <c:v>36.480345963516484</c:v>
                </c:pt>
                <c:pt idx="24">
                  <c:v>31.17978287480042</c:v>
                </c:pt>
                <c:pt idx="25">
                  <c:v>26.649387072478994</c:v>
                </c:pt>
              </c:numCache>
            </c:numRef>
          </c:yVal>
          <c:smooth val="1"/>
          <c:extLst>
            <c:ext xmlns:c16="http://schemas.microsoft.com/office/drawing/2014/chart" uri="{C3380CC4-5D6E-409C-BE32-E72D297353CC}">
              <c16:uniqueId val="{00000001-C1FE-459F-B91D-7C6E99083A1F}"/>
            </c:ext>
          </c:extLst>
        </c:ser>
        <c:dLbls>
          <c:showLegendKey val="0"/>
          <c:showVal val="0"/>
          <c:showCatName val="0"/>
          <c:showSerName val="0"/>
          <c:showPercent val="0"/>
          <c:showBubbleSize val="0"/>
        </c:dLbls>
        <c:axId val="2095885376"/>
        <c:axId val="827290815"/>
      </c:scatterChart>
      <c:valAx>
        <c:axId val="2095885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27290815"/>
        <c:crosses val="autoZero"/>
        <c:crossBetween val="midCat"/>
      </c:valAx>
      <c:valAx>
        <c:axId val="827290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0958853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input_data!$B$194:$B$214</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input_data!$C$194:$C$214</c:f>
              <c:numCache>
                <c:formatCode>0.0</c:formatCode>
                <c:ptCount val="21"/>
                <c:pt idx="0">
                  <c:v>134.78670124155377</c:v>
                </c:pt>
                <c:pt idx="1">
                  <c:v>129.87619093771528</c:v>
                </c:pt>
                <c:pt idx="2">
                  <c:v>138.76014863962547</c:v>
                </c:pt>
                <c:pt idx="3">
                  <c:v>127.04364602270344</c:v>
                </c:pt>
                <c:pt idx="4">
                  <c:v>115.32714340578144</c:v>
                </c:pt>
                <c:pt idx="5">
                  <c:v>103.61064078885941</c:v>
                </c:pt>
                <c:pt idx="6">
                  <c:v>91.894138171937399</c:v>
                </c:pt>
                <c:pt idx="7">
                  <c:v>86.610225227051004</c:v>
                </c:pt>
                <c:pt idx="8">
                  <c:v>81.326312282164594</c:v>
                </c:pt>
                <c:pt idx="9">
                  <c:v>76.042399337278198</c:v>
                </c:pt>
                <c:pt idx="10">
                  <c:v>70.758486392391802</c:v>
                </c:pt>
                <c:pt idx="11">
                  <c:v>68.001662247233682</c:v>
                </c:pt>
                <c:pt idx="12">
                  <c:v>65.244838102075548</c:v>
                </c:pt>
                <c:pt idx="13">
                  <c:v>62.488013956917435</c:v>
                </c:pt>
                <c:pt idx="14">
                  <c:v>59.731189811759307</c:v>
                </c:pt>
                <c:pt idx="15">
                  <c:v>56.974365666601187</c:v>
                </c:pt>
                <c:pt idx="16">
                  <c:v>56.239212561225692</c:v>
                </c:pt>
                <c:pt idx="17">
                  <c:v>55.504059455850197</c:v>
                </c:pt>
                <c:pt idx="18">
                  <c:v>54.768906350474701</c:v>
                </c:pt>
                <c:pt idx="19">
                  <c:v>54.033753245099206</c:v>
                </c:pt>
                <c:pt idx="20">
                  <c:v>53.298600139723703</c:v>
                </c:pt>
              </c:numCache>
            </c:numRef>
          </c:yVal>
          <c:smooth val="1"/>
          <c:extLst>
            <c:ext xmlns:c16="http://schemas.microsoft.com/office/drawing/2014/chart" uri="{C3380CC4-5D6E-409C-BE32-E72D297353CC}">
              <c16:uniqueId val="{00000000-E950-40BC-8718-59948CE21CC1}"/>
            </c:ext>
          </c:extLst>
        </c:ser>
        <c:ser>
          <c:idx val="1"/>
          <c:order val="1"/>
          <c:spPr>
            <a:ln w="19050" cap="rnd">
              <a:solidFill>
                <a:schemeClr val="accent2"/>
              </a:solidFill>
              <a:round/>
            </a:ln>
            <a:effectLst/>
          </c:spPr>
          <c:marker>
            <c:symbol val="none"/>
          </c:marker>
          <c:xVal>
            <c:numRef>
              <c:f>input_data!$B$194:$B$214</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input_data!$D$194:$D$214</c:f>
              <c:numCache>
                <c:formatCode>_(* #,##0.0_);_(* \(#,##0.0\);_(* "-"??_);_(@_)</c:formatCode>
                <c:ptCount val="21"/>
                <c:pt idx="0">
                  <c:v>162.46962554340541</c:v>
                </c:pt>
                <c:pt idx="1">
                  <c:v>156.5505789094062</c:v>
                </c:pt>
                <c:pt idx="2">
                  <c:v>167.25915229147975</c:v>
                </c:pt>
                <c:pt idx="3">
                  <c:v>153.13627684964951</c:v>
                </c:pt>
                <c:pt idx="4">
                  <c:v>139.01340140781926</c:v>
                </c:pt>
                <c:pt idx="5">
                  <c:v>124.89052596598901</c:v>
                </c:pt>
                <c:pt idx="6">
                  <c:v>110.76765052415878</c:v>
                </c:pt>
                <c:pt idx="7">
                  <c:v>104.39851061901965</c:v>
                </c:pt>
                <c:pt idx="8">
                  <c:v>98.02937071388051</c:v>
                </c:pt>
                <c:pt idx="9">
                  <c:v>91.660230808741375</c:v>
                </c:pt>
                <c:pt idx="10">
                  <c:v>85.291090903602253</c:v>
                </c:pt>
                <c:pt idx="11">
                  <c:v>81.968061387877498</c:v>
                </c:pt>
                <c:pt idx="12">
                  <c:v>78.645031872152728</c:v>
                </c:pt>
                <c:pt idx="13">
                  <c:v>75.322002356427959</c:v>
                </c:pt>
                <c:pt idx="14">
                  <c:v>71.998972840703203</c:v>
                </c:pt>
                <c:pt idx="15">
                  <c:v>68.675943324978434</c:v>
                </c:pt>
                <c:pt idx="16">
                  <c:v>67.789802120785168</c:v>
                </c:pt>
                <c:pt idx="17">
                  <c:v>66.903660916591903</c:v>
                </c:pt>
                <c:pt idx="18">
                  <c:v>66.017519712398638</c:v>
                </c:pt>
                <c:pt idx="19">
                  <c:v>65.131378508205373</c:v>
                </c:pt>
                <c:pt idx="20">
                  <c:v>64.245237304012093</c:v>
                </c:pt>
              </c:numCache>
            </c:numRef>
          </c:yVal>
          <c:smooth val="1"/>
          <c:extLst>
            <c:ext xmlns:c16="http://schemas.microsoft.com/office/drawing/2014/chart" uri="{C3380CC4-5D6E-409C-BE32-E72D297353CC}">
              <c16:uniqueId val="{00000001-E950-40BC-8718-59948CE21CC1}"/>
            </c:ext>
          </c:extLst>
        </c:ser>
        <c:ser>
          <c:idx val="2"/>
          <c:order val="2"/>
          <c:spPr>
            <a:ln w="19050" cap="rnd">
              <a:solidFill>
                <a:schemeClr val="accent3"/>
              </a:solidFill>
              <a:round/>
            </a:ln>
            <a:effectLst/>
          </c:spPr>
          <c:marker>
            <c:symbol val="none"/>
          </c:marker>
          <c:xVal>
            <c:numRef>
              <c:f>input_data!$B$194:$B$214</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input_data!$E$194:$E$214</c:f>
              <c:numCache>
                <c:formatCode>_(* #,##0_);_(* \(#,##0\);_(* "-"??_);_(@_)</c:formatCode>
                <c:ptCount val="21"/>
                <c:pt idx="0">
                  <c:v>146.67605999999998</c:v>
                </c:pt>
                <c:pt idx="1">
                  <c:v>141.33240000000001</c:v>
                </c:pt>
                <c:pt idx="2">
                  <c:v>151</c:v>
                </c:pt>
                <c:pt idx="3">
                  <c:v>138.25</c:v>
                </c:pt>
                <c:pt idx="4">
                  <c:v>125.5</c:v>
                </c:pt>
                <c:pt idx="5">
                  <c:v>112.75</c:v>
                </c:pt>
                <c:pt idx="6">
                  <c:v>100</c:v>
                </c:pt>
                <c:pt idx="7">
                  <c:v>94.25</c:v>
                </c:pt>
                <c:pt idx="8">
                  <c:v>88.5</c:v>
                </c:pt>
                <c:pt idx="9">
                  <c:v>82.75</c:v>
                </c:pt>
                <c:pt idx="10">
                  <c:v>77</c:v>
                </c:pt>
                <c:pt idx="11">
                  <c:v>74</c:v>
                </c:pt>
                <c:pt idx="12">
                  <c:v>71</c:v>
                </c:pt>
                <c:pt idx="13">
                  <c:v>68</c:v>
                </c:pt>
                <c:pt idx="14">
                  <c:v>65</c:v>
                </c:pt>
                <c:pt idx="15">
                  <c:v>62</c:v>
                </c:pt>
                <c:pt idx="16">
                  <c:v>61.2</c:v>
                </c:pt>
                <c:pt idx="17">
                  <c:v>60.400000000000006</c:v>
                </c:pt>
                <c:pt idx="18">
                  <c:v>59.600000000000009</c:v>
                </c:pt>
                <c:pt idx="19">
                  <c:v>58.800000000000011</c:v>
                </c:pt>
                <c:pt idx="20">
                  <c:v>58.000000000000014</c:v>
                </c:pt>
              </c:numCache>
            </c:numRef>
          </c:yVal>
          <c:smooth val="1"/>
          <c:extLst>
            <c:ext xmlns:c16="http://schemas.microsoft.com/office/drawing/2014/chart" uri="{C3380CC4-5D6E-409C-BE32-E72D297353CC}">
              <c16:uniqueId val="{00000002-E950-40BC-8718-59948CE21CC1}"/>
            </c:ext>
          </c:extLst>
        </c:ser>
        <c:dLbls>
          <c:showLegendKey val="0"/>
          <c:showVal val="0"/>
          <c:showCatName val="0"/>
          <c:showSerName val="0"/>
          <c:showPercent val="0"/>
          <c:showBubbleSize val="0"/>
        </c:dLbls>
        <c:axId val="1085176848"/>
        <c:axId val="1085155248"/>
      </c:scatterChart>
      <c:valAx>
        <c:axId val="1085176848"/>
        <c:scaling>
          <c:orientation val="minMax"/>
          <c:max val="204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85155248"/>
        <c:crosses val="autoZero"/>
        <c:crossBetween val="midCat"/>
      </c:valAx>
      <c:valAx>
        <c:axId val="10851552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851768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'control panel'!$O$101</c:f>
          <c:strCache>
            <c:ptCount val="1"/>
            <c:pt idx="0">
              <c:v>TCO segment : 0</c:v>
            </c:pt>
          </c:strCache>
        </c:strRef>
      </c:tx>
      <c:overlay val="0"/>
      <c:txPr>
        <a:bodyPr/>
        <a:lstStyle/>
        <a:p>
          <a:pPr>
            <a:defRPr sz="800"/>
          </a:pPr>
          <a:endParaRPr lang="nl-NL"/>
        </a:p>
      </c:txPr>
    </c:title>
    <c:autoTitleDeleted val="0"/>
    <c:plotArea>
      <c:layout>
        <c:manualLayout>
          <c:layoutTarget val="inner"/>
          <c:xMode val="edge"/>
          <c:yMode val="edge"/>
          <c:x val="0.13593376622692108"/>
          <c:y val="0.12152546699724176"/>
          <c:w val="0.82063242647331702"/>
          <c:h val="0.67499356352860107"/>
        </c:manualLayout>
      </c:layout>
      <c:lineChart>
        <c:grouping val="standard"/>
        <c:varyColors val="0"/>
        <c:ser>
          <c:idx val="0"/>
          <c:order val="0"/>
          <c:tx>
            <c:strRef>
              <c:f>'control panel'!$O$103</c:f>
              <c:strCache>
                <c:ptCount val="1"/>
                <c:pt idx="0">
                  <c:v>---onjuiste selectie---</c:v>
                </c:pt>
              </c:strCache>
            </c:strRef>
          </c:tx>
          <c:spPr>
            <a:ln>
              <a:solidFill>
                <a:schemeClr val="accent3"/>
              </a:solidFill>
            </a:ln>
          </c:spPr>
          <c:marker>
            <c:symbol val="none"/>
          </c:marker>
          <c:cat>
            <c:numRef>
              <c:f>[0]!TCOA_xrange</c:f>
              <c:numCache>
                <c:formatCode>General</c:formatCode>
                <c:ptCount val="2"/>
                <c:pt idx="0">
                  <c:v>2025</c:v>
                </c:pt>
                <c:pt idx="1">
                  <c:v>2026</c:v>
                </c:pt>
              </c:numCache>
            </c:numRef>
          </c:cat>
          <c:val>
            <c:numRef>
              <c:f>[0]!TCOA_elek</c:f>
              <c:numCache>
                <c:formatCode>0</c:formatCode>
                <c:ptCount val="2"/>
                <c:pt idx="0">
                  <c:v>0</c:v>
                </c:pt>
                <c:pt idx="1">
                  <c:v>0</c:v>
                </c:pt>
              </c:numCache>
            </c:numRef>
          </c:val>
          <c:smooth val="0"/>
          <c:extLst>
            <c:ext xmlns:c16="http://schemas.microsoft.com/office/drawing/2014/chart" uri="{C3380CC4-5D6E-409C-BE32-E72D297353CC}">
              <c16:uniqueId val="{00000000-03E9-4BE5-96DA-321EAC19C686}"/>
            </c:ext>
          </c:extLst>
        </c:ser>
        <c:ser>
          <c:idx val="1"/>
          <c:order val="1"/>
          <c:tx>
            <c:strRef>
              <c:f>'control panel'!$O$104</c:f>
              <c:strCache>
                <c:ptCount val="1"/>
                <c:pt idx="0">
                  <c:v>---onjuiste selectie---</c:v>
                </c:pt>
              </c:strCache>
            </c:strRef>
          </c:tx>
          <c:spPr>
            <a:ln>
              <a:solidFill>
                <a:schemeClr val="accent1"/>
              </a:solidFill>
            </a:ln>
          </c:spPr>
          <c:marker>
            <c:symbol val="none"/>
          </c:marker>
          <c:cat>
            <c:numRef>
              <c:f>[0]!TCOA_xrange</c:f>
              <c:numCache>
                <c:formatCode>General</c:formatCode>
                <c:ptCount val="2"/>
                <c:pt idx="0">
                  <c:v>2025</c:v>
                </c:pt>
                <c:pt idx="1">
                  <c:v>2026</c:v>
                </c:pt>
              </c:numCache>
            </c:numRef>
          </c:cat>
          <c:val>
            <c:numRef>
              <c:f>[0]!TCOA_benzine</c:f>
              <c:numCache>
                <c:formatCode>0</c:formatCode>
                <c:ptCount val="2"/>
                <c:pt idx="0">
                  <c:v>0</c:v>
                </c:pt>
                <c:pt idx="1">
                  <c:v>0</c:v>
                </c:pt>
              </c:numCache>
            </c:numRef>
          </c:val>
          <c:smooth val="0"/>
          <c:extLst>
            <c:ext xmlns:c16="http://schemas.microsoft.com/office/drawing/2014/chart" uri="{C3380CC4-5D6E-409C-BE32-E72D297353CC}">
              <c16:uniqueId val="{00000001-03E9-4BE5-96DA-321EAC19C686}"/>
            </c:ext>
          </c:extLst>
        </c:ser>
        <c:ser>
          <c:idx val="2"/>
          <c:order val="2"/>
          <c:tx>
            <c:strRef>
              <c:f>'control panel'!$O$105</c:f>
              <c:strCache>
                <c:ptCount val="1"/>
                <c:pt idx="0">
                  <c:v>---onjuiste selectie---</c:v>
                </c:pt>
              </c:strCache>
            </c:strRef>
          </c:tx>
          <c:spPr>
            <a:ln>
              <a:solidFill>
                <a:srgbClr val="FF0000"/>
              </a:solidFill>
            </a:ln>
          </c:spPr>
          <c:marker>
            <c:symbol val="none"/>
          </c:marker>
          <c:cat>
            <c:numRef>
              <c:f>[0]!TCOA_xrange</c:f>
              <c:numCache>
                <c:formatCode>General</c:formatCode>
                <c:ptCount val="2"/>
                <c:pt idx="0">
                  <c:v>2025</c:v>
                </c:pt>
                <c:pt idx="1">
                  <c:v>2026</c:v>
                </c:pt>
              </c:numCache>
            </c:numRef>
          </c:cat>
          <c:val>
            <c:numRef>
              <c:f>[0]!TCOA_diesel</c:f>
              <c:numCache>
                <c:formatCode>0</c:formatCode>
                <c:ptCount val="2"/>
                <c:pt idx="0">
                  <c:v>0</c:v>
                </c:pt>
                <c:pt idx="1">
                  <c:v>0</c:v>
                </c:pt>
              </c:numCache>
            </c:numRef>
          </c:val>
          <c:smooth val="0"/>
          <c:extLst>
            <c:ext xmlns:c16="http://schemas.microsoft.com/office/drawing/2014/chart" uri="{C3380CC4-5D6E-409C-BE32-E72D297353CC}">
              <c16:uniqueId val="{00000002-03E9-4BE5-96DA-321EAC19C686}"/>
            </c:ext>
          </c:extLst>
        </c:ser>
        <c:ser>
          <c:idx val="3"/>
          <c:order val="3"/>
          <c:tx>
            <c:strRef>
              <c:f>'control panel'!$O$106</c:f>
              <c:strCache>
                <c:ptCount val="1"/>
                <c:pt idx="0">
                  <c:v>---onjuiste selectie---</c:v>
                </c:pt>
              </c:strCache>
            </c:strRef>
          </c:tx>
          <c:marker>
            <c:symbol val="none"/>
          </c:marker>
          <c:cat>
            <c:numRef>
              <c:f>[0]!TCOA_xrange</c:f>
              <c:numCache>
                <c:formatCode>General</c:formatCode>
                <c:ptCount val="2"/>
                <c:pt idx="0">
                  <c:v>2025</c:v>
                </c:pt>
                <c:pt idx="1">
                  <c:v>2026</c:v>
                </c:pt>
              </c:numCache>
            </c:numRef>
          </c:cat>
          <c:val>
            <c:numRef>
              <c:f>[0]!TCOA_PHEV</c:f>
              <c:numCache>
                <c:formatCode>General</c:formatCode>
                <c:ptCount val="2"/>
                <c:pt idx="0">
                  <c:v>0</c:v>
                </c:pt>
                <c:pt idx="1">
                  <c:v>0</c:v>
                </c:pt>
              </c:numCache>
            </c:numRef>
          </c:val>
          <c:smooth val="0"/>
          <c:extLst>
            <c:ext xmlns:c16="http://schemas.microsoft.com/office/drawing/2014/chart" uri="{C3380CC4-5D6E-409C-BE32-E72D297353CC}">
              <c16:uniqueId val="{00000003-03E9-4BE5-96DA-321EAC19C686}"/>
            </c:ext>
          </c:extLst>
        </c:ser>
        <c:dLbls>
          <c:showLegendKey val="0"/>
          <c:showVal val="0"/>
          <c:showCatName val="0"/>
          <c:showSerName val="0"/>
          <c:showPercent val="0"/>
          <c:showBubbleSize val="0"/>
        </c:dLbls>
        <c:smooth val="0"/>
        <c:axId val="224327936"/>
        <c:axId val="200163328"/>
      </c:lineChart>
      <c:catAx>
        <c:axId val="224327936"/>
        <c:scaling>
          <c:orientation val="minMax"/>
        </c:scaling>
        <c:delete val="0"/>
        <c:axPos val="b"/>
        <c:numFmt formatCode="General" sourceLinked="1"/>
        <c:majorTickMark val="out"/>
        <c:minorTickMark val="none"/>
        <c:tickLblPos val="low"/>
        <c:txPr>
          <a:bodyPr rot="0" vert="horz"/>
          <a:lstStyle/>
          <a:p>
            <a:pPr>
              <a:defRPr sz="800">
                <a:latin typeface="Trebuchet MS"/>
                <a:ea typeface="Trebuchet MS"/>
                <a:cs typeface="Trebuchet MS"/>
              </a:defRPr>
            </a:pPr>
            <a:endParaRPr lang="nl-NL"/>
          </a:p>
        </c:txPr>
        <c:crossAx val="200163328"/>
        <c:crosses val="autoZero"/>
        <c:auto val="1"/>
        <c:lblAlgn val="ctr"/>
        <c:lblOffset val="100"/>
        <c:noMultiLvlLbl val="0"/>
      </c:catAx>
      <c:valAx>
        <c:axId val="200163328"/>
        <c:scaling>
          <c:orientation val="minMax"/>
        </c:scaling>
        <c:delete val="0"/>
        <c:axPos val="l"/>
        <c:majorGridlines>
          <c:spPr>
            <a:ln w="9525" cap="flat" cmpd="sng" algn="ctr">
              <a:solidFill>
                <a:srgbClr val="D9D9D9"/>
              </a:solidFill>
              <a:prstDash val="solid"/>
              <a:round/>
              <a:headEnd type="none" w="med" len="med"/>
              <a:tailEnd type="none" w="med" len="med"/>
            </a:ln>
          </c:spPr>
        </c:majorGridlines>
        <c:numFmt formatCode="_(&quot;€&quot;* #,##0_);_(&quot;€&quot;* \(#,##0\);_(&quot;€&quot;* &quot;-&quot;_);_(@_)" sourceLinked="0"/>
        <c:majorTickMark val="out"/>
        <c:minorTickMark val="none"/>
        <c:tickLblPos val="nextTo"/>
        <c:txPr>
          <a:bodyPr/>
          <a:lstStyle/>
          <a:p>
            <a:pPr>
              <a:defRPr sz="800">
                <a:latin typeface="Trebuchet MS"/>
                <a:ea typeface="Trebuchet MS"/>
                <a:cs typeface="Trebuchet MS"/>
              </a:defRPr>
            </a:pPr>
            <a:endParaRPr lang="nl-NL"/>
          </a:p>
        </c:txPr>
        <c:crossAx val="224327936"/>
        <c:crosses val="autoZero"/>
        <c:crossBetween val="midCat"/>
      </c:valAx>
      <c:spPr>
        <a:solidFill>
          <a:srgbClr val="FFFFFF"/>
        </a:solidFill>
        <a:ln>
          <a:solidFill>
            <a:srgbClr val="D9D9D9"/>
          </a:solidFill>
        </a:ln>
      </c:spPr>
    </c:plotArea>
    <c:legend>
      <c:legendPos val="b"/>
      <c:overlay val="0"/>
      <c:spPr>
        <a:solidFill>
          <a:srgbClr val="FFFFFF"/>
        </a:solidFill>
      </c:spPr>
      <c:txPr>
        <a:bodyPr/>
        <a:lstStyle/>
        <a:p>
          <a:pPr>
            <a:defRPr sz="800" b="0" i="0">
              <a:latin typeface="Trebuchet MS"/>
              <a:ea typeface="Trebuchet MS"/>
              <a:cs typeface="Trebuchet MS"/>
            </a:defRPr>
          </a:pPr>
          <a:endParaRPr lang="nl-NL"/>
        </a:p>
      </c:tx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Resultaten_tabellen!$A$5</c:f>
          <c:strCache>
            <c:ptCount val="1"/>
            <c:pt idx="0">
              <c:v>TCO resultaat - 0</c:v>
            </c:pt>
          </c:strCache>
        </c:strRef>
      </c:tx>
      <c:overlay val="0"/>
      <c:txPr>
        <a:bodyPr/>
        <a:lstStyle/>
        <a:p>
          <a:pPr>
            <a:defRPr sz="800" b="1" i="0">
              <a:latin typeface="Trebuchet MS"/>
              <a:ea typeface="Trebuchet MS"/>
              <a:cs typeface="Trebuchet MS"/>
            </a:defRPr>
          </a:pPr>
          <a:endParaRPr lang="nl-NL"/>
        </a:p>
      </c:txPr>
    </c:title>
    <c:autoTitleDeleted val="0"/>
    <c:plotArea>
      <c:layout/>
      <c:barChart>
        <c:barDir val="col"/>
        <c:grouping val="stacked"/>
        <c:varyColors val="0"/>
        <c:ser>
          <c:idx val="0"/>
          <c:order val="0"/>
          <c:tx>
            <c:strRef>
              <c:f>Resultaten_tabellen!$A$8</c:f>
              <c:strCache>
                <c:ptCount val="1"/>
                <c:pt idx="0">
                  <c:v>Afschrijving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Resultaten_tabellen!$B$8:$E$8</c:f>
              <c:numCache>
                <c:formatCode>0</c:formatCode>
                <c:ptCount val="4"/>
                <c:pt idx="0">
                  <c:v>0</c:v>
                </c:pt>
                <c:pt idx="1">
                  <c:v>0</c:v>
                </c:pt>
                <c:pt idx="2">
                  <c:v>0</c:v>
                </c:pt>
                <c:pt idx="3">
                  <c:v>0</c:v>
                </c:pt>
              </c:numCache>
            </c:numRef>
          </c:val>
          <c:extLst>
            <c:ext xmlns:c16="http://schemas.microsoft.com/office/drawing/2014/chart" uri="{C3380CC4-5D6E-409C-BE32-E72D297353CC}">
              <c16:uniqueId val="{00000000-C454-42BD-9AD2-5E73B28AEC53}"/>
            </c:ext>
          </c:extLst>
        </c:ser>
        <c:ser>
          <c:idx val="1"/>
          <c:order val="1"/>
          <c:tx>
            <c:strRef>
              <c:f>Resultaten_tabellen!$A$9</c:f>
              <c:strCache>
                <c:ptCount val="1"/>
                <c:pt idx="0">
                  <c:v>Verzekering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Resultaten_tabellen!$B$9:$E$9</c:f>
              <c:numCache>
                <c:formatCode>0</c:formatCode>
                <c:ptCount val="4"/>
                <c:pt idx="0">
                  <c:v>0</c:v>
                </c:pt>
                <c:pt idx="1">
                  <c:v>0</c:v>
                </c:pt>
                <c:pt idx="2">
                  <c:v>0</c:v>
                </c:pt>
                <c:pt idx="3">
                  <c:v>0</c:v>
                </c:pt>
              </c:numCache>
            </c:numRef>
          </c:val>
          <c:extLst>
            <c:ext xmlns:c16="http://schemas.microsoft.com/office/drawing/2014/chart" uri="{C3380CC4-5D6E-409C-BE32-E72D297353CC}">
              <c16:uniqueId val="{00000001-C454-42BD-9AD2-5E73B28AEC53}"/>
            </c:ext>
          </c:extLst>
        </c:ser>
        <c:ser>
          <c:idx val="2"/>
          <c:order val="2"/>
          <c:tx>
            <c:strRef>
              <c:f>Resultaten_tabellen!$A$10</c:f>
              <c:strCache>
                <c:ptCount val="1"/>
                <c:pt idx="0">
                  <c:v>Wegenbelasting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Resultaten_tabellen!$B$10:$E$10</c:f>
              <c:numCache>
                <c:formatCode>0</c:formatCode>
                <c:ptCount val="4"/>
                <c:pt idx="0">
                  <c:v>0</c:v>
                </c:pt>
                <c:pt idx="1">
                  <c:v>0</c:v>
                </c:pt>
                <c:pt idx="2">
                  <c:v>0</c:v>
                </c:pt>
                <c:pt idx="3">
                  <c:v>0</c:v>
                </c:pt>
              </c:numCache>
            </c:numRef>
          </c:val>
          <c:extLst>
            <c:ext xmlns:c16="http://schemas.microsoft.com/office/drawing/2014/chart" uri="{C3380CC4-5D6E-409C-BE32-E72D297353CC}">
              <c16:uniqueId val="{00000002-C454-42BD-9AD2-5E73B28AEC53}"/>
            </c:ext>
          </c:extLst>
        </c:ser>
        <c:ser>
          <c:idx val="3"/>
          <c:order val="3"/>
          <c:tx>
            <c:strRef>
              <c:f>Resultaten_tabellen!$A$11</c:f>
              <c:strCache>
                <c:ptCount val="1"/>
                <c:pt idx="0">
                  <c:v>Reparatie, Onderhoud, Banden</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Resultaten_tabellen!$B$11:$E$11</c:f>
              <c:numCache>
                <c:formatCode>0</c:formatCode>
                <c:ptCount val="4"/>
                <c:pt idx="0">
                  <c:v>0</c:v>
                </c:pt>
                <c:pt idx="1">
                  <c:v>0</c:v>
                </c:pt>
                <c:pt idx="2">
                  <c:v>0</c:v>
                </c:pt>
                <c:pt idx="3">
                  <c:v>0</c:v>
                </c:pt>
              </c:numCache>
            </c:numRef>
          </c:val>
          <c:extLst>
            <c:ext xmlns:c16="http://schemas.microsoft.com/office/drawing/2014/chart" uri="{C3380CC4-5D6E-409C-BE32-E72D297353CC}">
              <c16:uniqueId val="{00000003-C454-42BD-9AD2-5E73B28AEC53}"/>
            </c:ext>
          </c:extLst>
        </c:ser>
        <c:ser>
          <c:idx val="4"/>
          <c:order val="4"/>
          <c:tx>
            <c:strRef>
              <c:f>Resultaten_tabellen!$A$12</c:f>
              <c:strCache>
                <c:ptCount val="1"/>
                <c:pt idx="0">
                  <c:v>Brandstof/elektriciteit</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Resultaten_tabellen!$B$12:$E$12</c:f>
              <c:numCache>
                <c:formatCode>0</c:formatCode>
                <c:ptCount val="4"/>
                <c:pt idx="0">
                  <c:v>0</c:v>
                </c:pt>
                <c:pt idx="1">
                  <c:v>0</c:v>
                </c:pt>
                <c:pt idx="2">
                  <c:v>0</c:v>
                </c:pt>
                <c:pt idx="3">
                  <c:v>0</c:v>
                </c:pt>
              </c:numCache>
            </c:numRef>
          </c:val>
          <c:extLst>
            <c:ext xmlns:c16="http://schemas.microsoft.com/office/drawing/2014/chart" uri="{C3380CC4-5D6E-409C-BE32-E72D297353CC}">
              <c16:uniqueId val="{00000004-C454-42BD-9AD2-5E73B28AEC53}"/>
            </c:ext>
          </c:extLst>
        </c:ser>
        <c:ser>
          <c:idx val="5"/>
          <c:order val="5"/>
          <c:tx>
            <c:strRef>
              <c:f>Resultaten_tabellen!#REF!</c:f>
              <c:strCache>
                <c:ptCount val="1"/>
                <c:pt idx="0">
                  <c:v>#REF!</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Resultaten_tabellen!#REF!</c:f>
              <c:numCache>
                <c:formatCode>General</c:formatCode>
                <c:ptCount val="1"/>
                <c:pt idx="0">
                  <c:v>1</c:v>
                </c:pt>
              </c:numCache>
            </c:numRef>
          </c:val>
          <c:extLst>
            <c:ext xmlns:c16="http://schemas.microsoft.com/office/drawing/2014/chart" uri="{C3380CC4-5D6E-409C-BE32-E72D297353CC}">
              <c16:uniqueId val="{00000005-C454-42BD-9AD2-5E73B28AEC53}"/>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numFmt formatCode="_(&quot;€&quot;* #,##0_);_(&quot;€&quot;* \(#,##0\);_(&quot;€&quot;* &quot;-&quot;_);_(@_)"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'control panel'!$V$109</c:f>
          <c:strCache>
            <c:ptCount val="1"/>
            <c:pt idx="0">
              <c:v>TCO Elektrisch 2025-2026</c:v>
            </c:pt>
          </c:strCache>
        </c:strRef>
      </c:tx>
      <c:overlay val="0"/>
      <c:txPr>
        <a:bodyPr/>
        <a:lstStyle/>
        <a:p>
          <a:pPr>
            <a:defRPr sz="800" b="1" i="0">
              <a:latin typeface="Trebuchet MS"/>
              <a:ea typeface="Trebuchet MS"/>
              <a:cs typeface="Trebuchet MS"/>
            </a:defRPr>
          </a:pPr>
          <a:endParaRPr lang="nl-NL"/>
        </a:p>
      </c:txPr>
    </c:title>
    <c:autoTitleDeleted val="0"/>
    <c:plotArea>
      <c:layout/>
      <c:areaChart>
        <c:grouping val="stacked"/>
        <c:varyColors val="0"/>
        <c:ser>
          <c:idx val="0"/>
          <c:order val="0"/>
          <c:tx>
            <c:strRef>
              <c:f>'control panel'!$V$111</c:f>
              <c:strCache>
                <c:ptCount val="1"/>
                <c:pt idx="0">
                  <c:v>afschrijving</c:v>
                </c:pt>
              </c:strCache>
            </c:strRef>
          </c:tx>
          <c:cat>
            <c:numRef>
              <c:f>[0]!TCOA_xrange</c:f>
              <c:numCache>
                <c:formatCode>General</c:formatCode>
                <c:ptCount val="2"/>
                <c:pt idx="0">
                  <c:v>2025</c:v>
                </c:pt>
                <c:pt idx="1">
                  <c:v>2026</c:v>
                </c:pt>
              </c:numCache>
            </c:numRef>
          </c:cat>
          <c:val>
            <c:numRef>
              <c:f>[0]!TCOE_afschrijving</c:f>
              <c:numCache>
                <c:formatCode>0</c:formatCode>
                <c:ptCount val="2"/>
                <c:pt idx="0">
                  <c:v>#N/A</c:v>
                </c:pt>
                <c:pt idx="1">
                  <c:v>#N/A</c:v>
                </c:pt>
              </c:numCache>
            </c:numRef>
          </c:val>
          <c:extLst>
            <c:ext xmlns:c16="http://schemas.microsoft.com/office/drawing/2014/chart" uri="{C3380CC4-5D6E-409C-BE32-E72D297353CC}">
              <c16:uniqueId val="{00000000-C730-47EC-9FFB-FF670D1F2A98}"/>
            </c:ext>
          </c:extLst>
        </c:ser>
        <c:ser>
          <c:idx val="1"/>
          <c:order val="1"/>
          <c:tx>
            <c:strRef>
              <c:f>'control panel'!$V$112</c:f>
              <c:strCache>
                <c:ptCount val="1"/>
                <c:pt idx="0">
                  <c:v>verzekering</c:v>
                </c:pt>
              </c:strCache>
            </c:strRef>
          </c:tx>
          <c:spPr>
            <a:ln w="25400">
              <a:noFill/>
            </a:ln>
          </c:spPr>
          <c:cat>
            <c:numRef>
              <c:f>[0]!TCOA_xrange</c:f>
              <c:numCache>
                <c:formatCode>General</c:formatCode>
                <c:ptCount val="2"/>
                <c:pt idx="0">
                  <c:v>2025</c:v>
                </c:pt>
                <c:pt idx="1">
                  <c:v>2026</c:v>
                </c:pt>
              </c:numCache>
            </c:numRef>
          </c:cat>
          <c:val>
            <c:numRef>
              <c:f>[0]!TCOE_verzekering</c:f>
              <c:numCache>
                <c:formatCode>0</c:formatCode>
                <c:ptCount val="2"/>
                <c:pt idx="0">
                  <c:v>#N/A</c:v>
                </c:pt>
                <c:pt idx="1">
                  <c:v>#N/A</c:v>
                </c:pt>
              </c:numCache>
            </c:numRef>
          </c:val>
          <c:extLst>
            <c:ext xmlns:c16="http://schemas.microsoft.com/office/drawing/2014/chart" uri="{C3380CC4-5D6E-409C-BE32-E72D297353CC}">
              <c16:uniqueId val="{00000001-C730-47EC-9FFB-FF670D1F2A98}"/>
            </c:ext>
          </c:extLst>
        </c:ser>
        <c:ser>
          <c:idx val="2"/>
          <c:order val="2"/>
          <c:tx>
            <c:strRef>
              <c:f>'control panel'!$V$113</c:f>
              <c:strCache>
                <c:ptCount val="1"/>
                <c:pt idx="0">
                  <c:v>mrb</c:v>
                </c:pt>
              </c:strCache>
            </c:strRef>
          </c:tx>
          <c:spPr>
            <a:ln w="25400">
              <a:noFill/>
            </a:ln>
          </c:spPr>
          <c:cat>
            <c:numRef>
              <c:f>[0]!TCOA_xrange</c:f>
              <c:numCache>
                <c:formatCode>General</c:formatCode>
                <c:ptCount val="2"/>
                <c:pt idx="0">
                  <c:v>2025</c:v>
                </c:pt>
                <c:pt idx="1">
                  <c:v>2026</c:v>
                </c:pt>
              </c:numCache>
            </c:numRef>
          </c:cat>
          <c:val>
            <c:numRef>
              <c:f>[0]!TCOE_mrb</c:f>
              <c:numCache>
                <c:formatCode>0</c:formatCode>
                <c:ptCount val="2"/>
                <c:pt idx="0">
                  <c:v>#N/A</c:v>
                </c:pt>
                <c:pt idx="1">
                  <c:v>#N/A</c:v>
                </c:pt>
              </c:numCache>
            </c:numRef>
          </c:val>
          <c:extLst>
            <c:ext xmlns:c16="http://schemas.microsoft.com/office/drawing/2014/chart" uri="{C3380CC4-5D6E-409C-BE32-E72D297353CC}">
              <c16:uniqueId val="{00000002-C730-47EC-9FFB-FF670D1F2A98}"/>
            </c:ext>
          </c:extLst>
        </c:ser>
        <c:ser>
          <c:idx val="3"/>
          <c:order val="3"/>
          <c:tx>
            <c:strRef>
              <c:f>'control panel'!$V$114</c:f>
              <c:strCache>
                <c:ptCount val="1"/>
                <c:pt idx="0">
                  <c:v>rob</c:v>
                </c:pt>
              </c:strCache>
            </c:strRef>
          </c:tx>
          <c:spPr>
            <a:ln w="25400">
              <a:noFill/>
            </a:ln>
          </c:spPr>
          <c:cat>
            <c:numRef>
              <c:f>[0]!TCOA_xrange</c:f>
              <c:numCache>
                <c:formatCode>General</c:formatCode>
                <c:ptCount val="2"/>
                <c:pt idx="0">
                  <c:v>2025</c:v>
                </c:pt>
                <c:pt idx="1">
                  <c:v>2026</c:v>
                </c:pt>
              </c:numCache>
            </c:numRef>
          </c:cat>
          <c:val>
            <c:numRef>
              <c:f>[0]!TCOE_rob</c:f>
              <c:numCache>
                <c:formatCode>0</c:formatCode>
                <c:ptCount val="2"/>
                <c:pt idx="0">
                  <c:v>#N/A</c:v>
                </c:pt>
                <c:pt idx="1">
                  <c:v>#N/A</c:v>
                </c:pt>
              </c:numCache>
            </c:numRef>
          </c:val>
          <c:extLst>
            <c:ext xmlns:c16="http://schemas.microsoft.com/office/drawing/2014/chart" uri="{C3380CC4-5D6E-409C-BE32-E72D297353CC}">
              <c16:uniqueId val="{00000003-C730-47EC-9FFB-FF670D1F2A98}"/>
            </c:ext>
          </c:extLst>
        </c:ser>
        <c:ser>
          <c:idx val="4"/>
          <c:order val="4"/>
          <c:tx>
            <c:strRef>
              <c:f>'control panel'!$V$115</c:f>
              <c:strCache>
                <c:ptCount val="1"/>
                <c:pt idx="0">
                  <c:v>energie</c:v>
                </c:pt>
              </c:strCache>
            </c:strRef>
          </c:tx>
          <c:spPr>
            <a:ln w="25400">
              <a:noFill/>
            </a:ln>
          </c:spPr>
          <c:cat>
            <c:numRef>
              <c:f>[0]!TCOA_xrange</c:f>
              <c:numCache>
                <c:formatCode>General</c:formatCode>
                <c:ptCount val="2"/>
                <c:pt idx="0">
                  <c:v>2025</c:v>
                </c:pt>
                <c:pt idx="1">
                  <c:v>2026</c:v>
                </c:pt>
              </c:numCache>
            </c:numRef>
          </c:cat>
          <c:val>
            <c:numRef>
              <c:f>[0]!TCOE_energie</c:f>
              <c:numCache>
                <c:formatCode>0</c:formatCode>
                <c:ptCount val="2"/>
                <c:pt idx="0">
                  <c:v>#N/A</c:v>
                </c:pt>
                <c:pt idx="1">
                  <c:v>#N/A</c:v>
                </c:pt>
              </c:numCache>
            </c:numRef>
          </c:val>
          <c:extLst>
            <c:ext xmlns:c16="http://schemas.microsoft.com/office/drawing/2014/chart" uri="{C3380CC4-5D6E-409C-BE32-E72D297353CC}">
              <c16:uniqueId val="{00000004-C730-47EC-9FFB-FF670D1F2A98}"/>
            </c:ext>
          </c:extLst>
        </c:ser>
        <c:ser>
          <c:idx val="5"/>
          <c:order val="5"/>
          <c:tx>
            <c:strRef>
              <c:f>'control panel'!$V$117</c:f>
              <c:strCache>
                <c:ptCount val="1"/>
              </c:strCache>
            </c:strRef>
          </c:tx>
          <c:spPr>
            <a:ln w="25400">
              <a:noFill/>
            </a:ln>
          </c:spPr>
          <c:cat>
            <c:numRef>
              <c:f>[0]!TCOA_xrange</c:f>
              <c:numCache>
                <c:formatCode>General</c:formatCode>
                <c:ptCount val="2"/>
                <c:pt idx="0">
                  <c:v>2025</c:v>
                </c:pt>
                <c:pt idx="1">
                  <c:v>2026</c:v>
                </c:pt>
              </c:numCache>
            </c:numRef>
          </c:cat>
          <c:val>
            <c:numRef>
              <c:f>[0]!TCOE_overig</c:f>
              <c:numCache>
                <c:formatCode>0</c:formatCode>
                <c:ptCount val="2"/>
              </c:numCache>
            </c:numRef>
          </c:val>
          <c:extLst>
            <c:ext xmlns:c16="http://schemas.microsoft.com/office/drawing/2014/chart" uri="{C3380CC4-5D6E-409C-BE32-E72D297353CC}">
              <c16:uniqueId val="{00000005-C730-47EC-9FFB-FF670D1F2A98}"/>
            </c:ext>
          </c:extLst>
        </c:ser>
        <c:dLbls>
          <c:showLegendKey val="0"/>
          <c:showVal val="0"/>
          <c:showCatName val="0"/>
          <c:showSerName val="0"/>
          <c:showPercent val="0"/>
          <c:showBubbleSize val="0"/>
        </c:dLbls>
        <c:axId val="222788608"/>
        <c:axId val="222802688"/>
      </c:areaChart>
      <c:catAx>
        <c:axId val="222788608"/>
        <c:scaling>
          <c:orientation val="minMax"/>
        </c:scaling>
        <c:delete val="0"/>
        <c:axPos val="b"/>
        <c:numFmt formatCode="General" sourceLinked="1"/>
        <c:majorTickMark val="out"/>
        <c:minorTickMark val="none"/>
        <c:tickLblPos val="nextTo"/>
        <c:txPr>
          <a:bodyPr/>
          <a:lstStyle/>
          <a:p>
            <a:pPr>
              <a:defRPr sz="800">
                <a:latin typeface="Trebuchet MS"/>
                <a:ea typeface="Trebuchet MS"/>
                <a:cs typeface="Trebuchet MS"/>
              </a:defRPr>
            </a:pPr>
            <a:endParaRPr lang="nl-NL"/>
          </a:p>
        </c:txPr>
        <c:crossAx val="222802688"/>
        <c:crosses val="autoZero"/>
        <c:auto val="1"/>
        <c:lblAlgn val="ctr"/>
        <c:lblOffset val="100"/>
        <c:noMultiLvlLbl val="0"/>
      </c:catAx>
      <c:valAx>
        <c:axId val="222802688"/>
        <c:scaling>
          <c:orientation val="minMax"/>
        </c:scaling>
        <c:delete val="0"/>
        <c:axPos val="l"/>
        <c:majorGridlines>
          <c:spPr>
            <a:ln w="9525" cap="flat" cmpd="sng" algn="ctr">
              <a:solidFill>
                <a:srgbClr val="D9D9D9"/>
              </a:solidFill>
              <a:prstDash val="solid"/>
              <a:round/>
              <a:headEnd type="none" w="med" len="med"/>
              <a:tailEnd type="none" w="med" len="med"/>
            </a:ln>
          </c:spPr>
        </c:majorGridlines>
        <c:numFmt formatCode="_(&quot;€&quot;* #,##0_);_(&quot;€&quot;* \(#,##0\);_(&quot;€&quot;* &quot;-&quot;_);_(@_)" sourceLinked="0"/>
        <c:majorTickMark val="out"/>
        <c:minorTickMark val="none"/>
        <c:tickLblPos val="nextTo"/>
        <c:txPr>
          <a:bodyPr/>
          <a:lstStyle/>
          <a:p>
            <a:pPr>
              <a:defRPr sz="800">
                <a:latin typeface="Trebuchet MS"/>
                <a:ea typeface="Trebuchet MS"/>
                <a:cs typeface="Trebuchet MS"/>
              </a:defRPr>
            </a:pPr>
            <a:endParaRPr lang="nl-NL"/>
          </a:p>
        </c:txPr>
        <c:crossAx val="222788608"/>
        <c:crosses val="autoZero"/>
        <c:crossBetween val="midCat"/>
      </c:valAx>
      <c:spPr>
        <a:solidFill>
          <a:srgbClr val="FFFFFF"/>
        </a:solidFill>
        <a:ln>
          <a:solidFill>
            <a:srgbClr val="D9D9D9"/>
          </a:solidFill>
        </a:ln>
      </c:spPr>
    </c:plotArea>
    <c:legend>
      <c:legendPos val="b"/>
      <c:overlay val="0"/>
      <c:spPr>
        <a:solidFill>
          <a:srgbClr val="FFFFFF"/>
        </a:solidFill>
      </c:spPr>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brandstofkosten!$C$123</c:f>
          <c:strCache>
            <c:ptCount val="1"/>
            <c:pt idx="0">
              <c:v>Elektrischsprijs exclusief belastingen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11447630774548243"/>
          <c:y val="0.16321777486147565"/>
          <c:w val="0.84316429582104702"/>
          <c:h val="0.62414953339165935"/>
        </c:manualLayout>
      </c:layout>
      <c:scatterChart>
        <c:scatterStyle val="lineMarker"/>
        <c:varyColors val="0"/>
        <c:ser>
          <c:idx val="0"/>
          <c:order val="0"/>
          <c:tx>
            <c:strRef>
              <c:f>brandstofkosten!$D$125</c:f>
              <c:strCache>
                <c:ptCount val="1"/>
                <c:pt idx="0">
                  <c:v>Laag</c:v>
                </c:pt>
              </c:strCache>
            </c:strRef>
          </c:tx>
          <c:spPr>
            <a:ln w="28575" cap="rnd">
              <a:noFill/>
              <a:round/>
            </a:ln>
            <a:effectLst/>
          </c:spPr>
          <c:marker>
            <c:symbol val="circle"/>
            <c:size val="5"/>
            <c:spPr>
              <a:solidFill>
                <a:schemeClr val="accent1"/>
              </a:solidFill>
              <a:ln w="9525">
                <a:solidFill>
                  <a:schemeClr val="accent1"/>
                </a:solidFill>
              </a:ln>
              <a:effectLst/>
            </c:spPr>
          </c:marker>
          <c:xVal>
            <c:numRef>
              <c:f>brandstofkosten!$C$126:$C$141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xVal>
          <c:yVal>
            <c:numRef>
              <c:f>brandstofkosten!$D$126:$D$141</c:f>
              <c:numCache>
                <c:formatCode>0.000</c:formatCode>
                <c:ptCount val="16"/>
                <c:pt idx="0">
                  <c:v>4.4296871474265996E-2</c:v>
                </c:pt>
                <c:pt idx="1">
                  <c:v>3.66203354371753E-2</c:v>
                </c:pt>
                <c:pt idx="2">
                  <c:v>4.1997518024055505E-2</c:v>
                </c:pt>
                <c:pt idx="3">
                  <c:v>5.4970389428663405E-2</c:v>
                </c:pt>
                <c:pt idx="4">
                  <c:v>4.2549427401022098E-2</c:v>
                </c:pt>
                <c:pt idx="5">
                  <c:v>3.3162525094222704E-2</c:v>
                </c:pt>
                <c:pt idx="6">
                  <c:v>0.10262999534606899</c:v>
                </c:pt>
                <c:pt idx="7">
                  <c:v>0.1361649976730345</c:v>
                </c:pt>
                <c:pt idx="8">
                  <c:v>0.16969999999999999</c:v>
                </c:pt>
                <c:pt idx="9">
                  <c:v>0.12719965789985699</c:v>
                </c:pt>
                <c:pt idx="10">
                  <c:v>0.11582508201789901</c:v>
                </c:pt>
                <c:pt idx="11">
                  <c:v>0.114282648265839</c:v>
                </c:pt>
                <c:pt idx="12">
                  <c:v>0.112209510286331</c:v>
                </c:pt>
                <c:pt idx="13">
                  <c:v>0.10587414425087001</c:v>
                </c:pt>
                <c:pt idx="14">
                  <c:v>0.100616095966339</c:v>
                </c:pt>
                <c:pt idx="15">
                  <c:v>9.31687292919159E-2</c:v>
                </c:pt>
              </c:numCache>
            </c:numRef>
          </c:yVal>
          <c:smooth val="0"/>
          <c:extLst>
            <c:ext xmlns:c16="http://schemas.microsoft.com/office/drawing/2014/chart" uri="{C3380CC4-5D6E-409C-BE32-E72D297353CC}">
              <c16:uniqueId val="{00000000-26C7-4D79-9A5C-36A3B5A5468F}"/>
            </c:ext>
          </c:extLst>
        </c:ser>
        <c:ser>
          <c:idx val="1"/>
          <c:order val="1"/>
          <c:tx>
            <c:strRef>
              <c:f>brandstofkosten!$E$125</c:f>
              <c:strCache>
                <c:ptCount val="1"/>
                <c:pt idx="0">
                  <c:v>Midden</c:v>
                </c:pt>
              </c:strCache>
            </c:strRef>
          </c:tx>
          <c:spPr>
            <a:ln w="28575" cap="rnd">
              <a:noFill/>
              <a:round/>
            </a:ln>
            <a:effectLst/>
          </c:spPr>
          <c:marker>
            <c:symbol val="circle"/>
            <c:size val="5"/>
            <c:spPr>
              <a:solidFill>
                <a:schemeClr val="accent2"/>
              </a:solidFill>
              <a:ln w="9525">
                <a:solidFill>
                  <a:schemeClr val="accent2"/>
                </a:solidFill>
              </a:ln>
              <a:effectLst/>
            </c:spPr>
          </c:marker>
          <c:xVal>
            <c:numRef>
              <c:f>brandstofkosten!$C$126:$C$141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xVal>
          <c:yVal>
            <c:numRef>
              <c:f>brandstofkosten!$E$126:$E$141</c:f>
              <c:numCache>
                <c:formatCode>0.000</c:formatCode>
                <c:ptCount val="16"/>
                <c:pt idx="0">
                  <c:v>4.4296871474265996E-2</c:v>
                </c:pt>
                <c:pt idx="1">
                  <c:v>3.66203354371753E-2</c:v>
                </c:pt>
                <c:pt idx="2">
                  <c:v>4.1997518024055505E-2</c:v>
                </c:pt>
                <c:pt idx="3">
                  <c:v>5.4970389428663405E-2</c:v>
                </c:pt>
                <c:pt idx="4">
                  <c:v>4.2549427401022098E-2</c:v>
                </c:pt>
                <c:pt idx="5">
                  <c:v>3.3162525094222704E-2</c:v>
                </c:pt>
                <c:pt idx="6">
                  <c:v>0.10262999534606899</c:v>
                </c:pt>
                <c:pt idx="7">
                  <c:v>0.12281230806732149</c:v>
                </c:pt>
                <c:pt idx="8">
                  <c:v>0.142994620788574</c:v>
                </c:pt>
                <c:pt idx="9">
                  <c:v>0.104235310335159</c:v>
                </c:pt>
                <c:pt idx="10">
                  <c:v>9.2562276889800996E-2</c:v>
                </c:pt>
                <c:pt idx="11">
                  <c:v>9.0863147468566899E-2</c:v>
                </c:pt>
                <c:pt idx="12">
                  <c:v>8.8615733684539802E-2</c:v>
                </c:pt>
                <c:pt idx="13">
                  <c:v>8.3053281309127799E-2</c:v>
                </c:pt>
                <c:pt idx="14">
                  <c:v>7.8515442601203897E-2</c:v>
                </c:pt>
                <c:pt idx="15">
                  <c:v>7.2787597889900205E-2</c:v>
                </c:pt>
              </c:numCache>
            </c:numRef>
          </c:yVal>
          <c:smooth val="0"/>
          <c:extLst>
            <c:ext xmlns:c16="http://schemas.microsoft.com/office/drawing/2014/chart" uri="{C3380CC4-5D6E-409C-BE32-E72D297353CC}">
              <c16:uniqueId val="{00000001-26C7-4D79-9A5C-36A3B5A5468F}"/>
            </c:ext>
          </c:extLst>
        </c:ser>
        <c:ser>
          <c:idx val="2"/>
          <c:order val="2"/>
          <c:tx>
            <c:strRef>
              <c:f>brandstofkosten!$F$125</c:f>
              <c:strCache>
                <c:ptCount val="1"/>
                <c:pt idx="0">
                  <c:v>Hoog</c:v>
                </c:pt>
              </c:strCache>
            </c:strRef>
          </c:tx>
          <c:spPr>
            <a:ln w="28575" cap="rnd">
              <a:noFill/>
              <a:round/>
            </a:ln>
            <a:effectLst/>
          </c:spPr>
          <c:marker>
            <c:symbol val="circle"/>
            <c:size val="5"/>
            <c:spPr>
              <a:solidFill>
                <a:schemeClr val="accent3"/>
              </a:solidFill>
              <a:ln w="9525">
                <a:solidFill>
                  <a:schemeClr val="accent3"/>
                </a:solidFill>
              </a:ln>
              <a:effectLst/>
            </c:spPr>
          </c:marker>
          <c:xVal>
            <c:numRef>
              <c:f>brandstofkosten!$C$126:$C$141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xVal>
          <c:yVal>
            <c:numRef>
              <c:f>brandstofkosten!$F$126:$F$141</c:f>
              <c:numCache>
                <c:formatCode>0.000</c:formatCode>
                <c:ptCount val="16"/>
                <c:pt idx="0">
                  <c:v>4.4296871474265996E-2</c:v>
                </c:pt>
                <c:pt idx="1">
                  <c:v>3.66203354371753E-2</c:v>
                </c:pt>
                <c:pt idx="2">
                  <c:v>4.1997518024055505E-2</c:v>
                </c:pt>
                <c:pt idx="3">
                  <c:v>5.4970389428663405E-2</c:v>
                </c:pt>
                <c:pt idx="4">
                  <c:v>4.2549427401022098E-2</c:v>
                </c:pt>
                <c:pt idx="5">
                  <c:v>3.3162525094222704E-2</c:v>
                </c:pt>
                <c:pt idx="6">
                  <c:v>0.10262999534606899</c:v>
                </c:pt>
                <c:pt idx="7">
                  <c:v>9.8573696459770044E-2</c:v>
                </c:pt>
                <c:pt idx="8">
                  <c:v>9.4517397573471107E-2</c:v>
                </c:pt>
                <c:pt idx="9">
                  <c:v>7.9461308885574303E-2</c:v>
                </c:pt>
                <c:pt idx="10">
                  <c:v>7.3305433541297899E-2</c:v>
                </c:pt>
                <c:pt idx="11">
                  <c:v>7.0318512505531297E-2</c:v>
                </c:pt>
                <c:pt idx="12">
                  <c:v>6.7054657637596091E-2</c:v>
                </c:pt>
                <c:pt idx="13">
                  <c:v>6.1464138275146504E-2</c:v>
                </c:pt>
                <c:pt idx="14">
                  <c:v>5.6571360370636002E-2</c:v>
                </c:pt>
                <c:pt idx="15">
                  <c:v>5.0234141882896405E-2</c:v>
                </c:pt>
              </c:numCache>
            </c:numRef>
          </c:yVal>
          <c:smooth val="0"/>
          <c:extLst>
            <c:ext xmlns:c16="http://schemas.microsoft.com/office/drawing/2014/chart" uri="{C3380CC4-5D6E-409C-BE32-E72D297353CC}">
              <c16:uniqueId val="{00000002-26C7-4D79-9A5C-36A3B5A5468F}"/>
            </c:ext>
          </c:extLst>
        </c:ser>
        <c:dLbls>
          <c:showLegendKey val="0"/>
          <c:showVal val="0"/>
          <c:showCatName val="0"/>
          <c:showSerName val="0"/>
          <c:showPercent val="0"/>
          <c:showBubbleSize val="0"/>
        </c:dLbls>
        <c:axId val="1205361760"/>
        <c:axId val="1205371328"/>
      </c:scatterChart>
      <c:valAx>
        <c:axId val="1205361760"/>
        <c:scaling>
          <c:orientation val="minMax"/>
          <c:max val="2030"/>
          <c:min val="201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71328"/>
        <c:crosses val="autoZero"/>
        <c:crossBetween val="midCat"/>
      </c:valAx>
      <c:valAx>
        <c:axId val="120537132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617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brandstofkosten!$D$49:$D$50</c:f>
              <c:strCache>
                <c:ptCount val="2"/>
                <c:pt idx="0">
                  <c:v>heffing (€/liter) - geen verlaging</c:v>
                </c:pt>
                <c:pt idx="1">
                  <c:v>benzine</c:v>
                </c:pt>
              </c:strCache>
            </c:strRef>
          </c:tx>
          <c:spPr>
            <a:ln w="28575" cap="rnd">
              <a:solidFill>
                <a:schemeClr val="accent1"/>
              </a:solidFill>
              <a:round/>
            </a:ln>
            <a:effectLst/>
          </c:spPr>
          <c:marker>
            <c:symbol val="none"/>
          </c:marker>
          <c:cat>
            <c:numRef>
              <c:f>brandstofkosten!$C$57:$C$101</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brandstofkosten!$D$57:$D$101</c:f>
              <c:numCache>
                <c:formatCode>0.000</c:formatCode>
                <c:ptCount val="45"/>
                <c:pt idx="0">
                  <c:v>0.67627999999999999</c:v>
                </c:pt>
                <c:pt idx="1">
                  <c:v>0.68701999999999996</c:v>
                </c:pt>
                <c:pt idx="2">
                  <c:v>0.69723999999999997</c:v>
                </c:pt>
                <c:pt idx="3">
                  <c:v>0.69723999999999997</c:v>
                </c:pt>
                <c:pt idx="4">
                  <c:v>0.70899999999999996</c:v>
                </c:pt>
                <c:pt idx="5">
                  <c:v>0.72297999999999996</c:v>
                </c:pt>
                <c:pt idx="6">
                  <c:v>0.72419999999999995</c:v>
                </c:pt>
                <c:pt idx="7">
                  <c:v>0.73640000000000005</c:v>
                </c:pt>
                <c:pt idx="8">
                  <c:v>0.75249999999999995</c:v>
                </c:pt>
                <c:pt idx="9">
                  <c:v>0.76724000000000003</c:v>
                </c:pt>
                <c:pt idx="10">
                  <c:v>0.77407000000000004</c:v>
                </c:pt>
                <c:pt idx="11">
                  <c:v>0.77790000000000004</c:v>
                </c:pt>
                <c:pt idx="12">
                  <c:v>0.78020999999999996</c:v>
                </c:pt>
                <c:pt idx="13">
                  <c:v>0.78639000000000003</c:v>
                </c:pt>
                <c:pt idx="14">
                  <c:v>0.79573000000000005</c:v>
                </c:pt>
                <c:pt idx="15">
                  <c:v>0.80832999999999999</c:v>
                </c:pt>
                <c:pt idx="16">
                  <c:v>0.83199999999999996</c:v>
                </c:pt>
                <c:pt idx="17" formatCode="0.00">
                  <c:v>0.87560373000000002</c:v>
                </c:pt>
                <c:pt idx="18" formatCode="0.00">
                  <c:v>0.96228849927000004</c:v>
                </c:pt>
                <c:pt idx="19" formatCode="0.00">
                  <c:v>0.97960969225686001</c:v>
                </c:pt>
                <c:pt idx="20" formatCode="0.00">
                  <c:v>1.0119368121013363</c:v>
                </c:pt>
                <c:pt idx="21" formatCode="0.00">
                  <c:v>1.0362232955917685</c:v>
                </c:pt>
                <c:pt idx="22" formatCode="0.00">
                  <c:v>1.0621288779815625</c:v>
                </c:pt>
                <c:pt idx="23" formatCode="0.00">
                  <c:v>1.085495713297157</c:v>
                </c:pt>
                <c:pt idx="24" formatCode="0.00">
                  <c:v>1.1082911232763972</c:v>
                </c:pt>
                <c:pt idx="25" formatCode="0.00">
                  <c:v>1.1315652368652014</c:v>
                </c:pt>
                <c:pt idx="26" formatCode="0.00">
                  <c:v>1.1541965416025055</c:v>
                </c:pt>
                <c:pt idx="27" formatCode="0.00">
                  <c:v>1.1772804724345556</c:v>
                </c:pt>
                <c:pt idx="28" formatCode="0.00">
                  <c:v>1.2008260818832468</c:v>
                </c:pt>
                <c:pt idx="29" formatCode="0.00">
                  <c:v>1.2248426035209117</c:v>
                </c:pt>
                <c:pt idx="30" formatCode="0.00">
                  <c:v>1.24933945559133</c:v>
                </c:pt>
                <c:pt idx="31" formatCode="0.00">
                  <c:v>1.2743262447031567</c:v>
                </c:pt>
                <c:pt idx="32" formatCode="0.00">
                  <c:v>1.2998127695972199</c:v>
                </c:pt>
                <c:pt idx="33" formatCode="0.00">
                  <c:v>1.3258090249891643</c:v>
                </c:pt>
                <c:pt idx="34" formatCode="0.00">
                  <c:v>1.3523252054889476</c:v>
                </c:pt>
                <c:pt idx="35" formatCode="0.00">
                  <c:v>1.3611285388222809</c:v>
                </c:pt>
                <c:pt idx="36" formatCode="0.00">
                  <c:v>1.3699318721556142</c:v>
                </c:pt>
                <c:pt idx="37" formatCode="0.00">
                  <c:v>1.3787352054889475</c:v>
                </c:pt>
                <c:pt idx="38" formatCode="0.00">
                  <c:v>1.3875385388222807</c:v>
                </c:pt>
                <c:pt idx="39" formatCode="0.00">
                  <c:v>1.396341872155614</c:v>
                </c:pt>
                <c:pt idx="40" formatCode="0.00">
                  <c:v>1.4051452054889473</c:v>
                </c:pt>
                <c:pt idx="41" formatCode="0.00">
                  <c:v>1.4139485388222806</c:v>
                </c:pt>
                <c:pt idx="42" formatCode="0.00">
                  <c:v>1.4227518721556138</c:v>
                </c:pt>
                <c:pt idx="43" formatCode="0.00">
                  <c:v>1.4315552054889471</c:v>
                </c:pt>
                <c:pt idx="44" formatCode="0.00">
                  <c:v>1.4403585388222804</c:v>
                </c:pt>
              </c:numCache>
            </c:numRef>
          </c:val>
          <c:smooth val="0"/>
          <c:extLst>
            <c:ext xmlns:c16="http://schemas.microsoft.com/office/drawing/2014/chart" uri="{C3380CC4-5D6E-409C-BE32-E72D297353CC}">
              <c16:uniqueId val="{00000000-67E9-4EA8-8F72-9E8FD6F350A7}"/>
            </c:ext>
          </c:extLst>
        </c:ser>
        <c:ser>
          <c:idx val="1"/>
          <c:order val="1"/>
          <c:tx>
            <c:strRef>
              <c:f>brandstofkosten!$E$49:$E$50</c:f>
              <c:strCache>
                <c:ptCount val="2"/>
                <c:pt idx="0">
                  <c:v>heffing (€/liter) - geen verlaging</c:v>
                </c:pt>
                <c:pt idx="1">
                  <c:v>diesel</c:v>
                </c:pt>
              </c:strCache>
            </c:strRef>
          </c:tx>
          <c:spPr>
            <a:ln w="28575" cap="rnd">
              <a:solidFill>
                <a:schemeClr val="accent2"/>
              </a:solidFill>
              <a:round/>
            </a:ln>
            <a:effectLst/>
          </c:spPr>
          <c:marker>
            <c:symbol val="none"/>
          </c:marker>
          <c:cat>
            <c:numRef>
              <c:f>brandstofkosten!$C$57:$C$101</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brandstofkosten!$E$57:$E$101</c:f>
              <c:numCache>
                <c:formatCode>0.000</c:formatCode>
                <c:ptCount val="45"/>
                <c:pt idx="0">
                  <c:v>0.37141000000000002</c:v>
                </c:pt>
                <c:pt idx="1">
                  <c:v>0.37726999999999999</c:v>
                </c:pt>
                <c:pt idx="2">
                  <c:v>0.38284000000000001</c:v>
                </c:pt>
                <c:pt idx="3">
                  <c:v>0.41293999999999997</c:v>
                </c:pt>
                <c:pt idx="4">
                  <c:v>0.41986000000000001</c:v>
                </c:pt>
                <c:pt idx="5">
                  <c:v>0.42838999999999999</c:v>
                </c:pt>
                <c:pt idx="6">
                  <c:v>0.42949999999999999</c:v>
                </c:pt>
                <c:pt idx="7">
                  <c:v>0.43669999999999998</c:v>
                </c:pt>
                <c:pt idx="8">
                  <c:v>0.44619999999999999</c:v>
                </c:pt>
                <c:pt idx="9">
                  <c:v>0.48576000000000003</c:v>
                </c:pt>
                <c:pt idx="10">
                  <c:v>0.49006</c:v>
                </c:pt>
                <c:pt idx="11">
                  <c:v>0.49247000000000002</c:v>
                </c:pt>
                <c:pt idx="12">
                  <c:v>0.49392000000000003</c:v>
                </c:pt>
                <c:pt idx="13">
                  <c:v>0.49780999999999997</c:v>
                </c:pt>
                <c:pt idx="14">
                  <c:v>0.50368999999999997</c:v>
                </c:pt>
                <c:pt idx="15">
                  <c:v>0.51161999999999996</c:v>
                </c:pt>
                <c:pt idx="16">
                  <c:v>0.53600000000000003</c:v>
                </c:pt>
                <c:pt idx="17" formatCode="0.00">
                  <c:v>0.57175297999999997</c:v>
                </c:pt>
                <c:pt idx="18" formatCode="0.00">
                  <c:v>0.62835652501999995</c:v>
                </c:pt>
                <c:pt idx="19" formatCode="0.00">
                  <c:v>0.63966694247035993</c:v>
                </c:pt>
                <c:pt idx="20" formatCode="0.00">
                  <c:v>0.66077595157188174</c:v>
                </c:pt>
                <c:pt idx="21" formatCode="0.00">
                  <c:v>0.67663457440960695</c:v>
                </c:pt>
                <c:pt idx="22" formatCode="0.00">
                  <c:v>0.69355043876984701</c:v>
                </c:pt>
                <c:pt idx="23" formatCode="0.00">
                  <c:v>0.70880854842278362</c:v>
                </c:pt>
                <c:pt idx="24" formatCode="0.00">
                  <c:v>0.72369352793966202</c:v>
                </c:pt>
                <c:pt idx="25" formatCode="0.00">
                  <c:v>0.7388910920263948</c:v>
                </c:pt>
                <c:pt idx="26" formatCode="0.00">
                  <c:v>0.7536689138669227</c:v>
                </c:pt>
                <c:pt idx="27" formatCode="0.00">
                  <c:v>0.76874229214426115</c:v>
                </c:pt>
                <c:pt idx="28" formatCode="0.00">
                  <c:v>0.78411713798714644</c:v>
                </c:pt>
                <c:pt idx="29" formatCode="0.00">
                  <c:v>0.79979948074688934</c:v>
                </c:pt>
                <c:pt idx="30" formatCode="0.00">
                  <c:v>0.81579547036182709</c:v>
                </c:pt>
                <c:pt idx="31" formatCode="0.00">
                  <c:v>0.83211137976906369</c:v>
                </c:pt>
                <c:pt idx="32" formatCode="0.00">
                  <c:v>0.84875360736444494</c:v>
                </c:pt>
                <c:pt idx="33" formatCode="0.00">
                  <c:v>0.86572867951173382</c:v>
                </c:pt>
                <c:pt idx="34" formatCode="0.00">
                  <c:v>0.88304325310196852</c:v>
                </c:pt>
                <c:pt idx="35" formatCode="0.00">
                  <c:v>0.8918465864353019</c:v>
                </c:pt>
                <c:pt idx="36" formatCode="0.00">
                  <c:v>0.90064991976863529</c:v>
                </c:pt>
                <c:pt idx="37" formatCode="0.00">
                  <c:v>0.90945325310196867</c:v>
                </c:pt>
                <c:pt idx="38" formatCode="0.00">
                  <c:v>0.91825658643530206</c:v>
                </c:pt>
                <c:pt idx="39" formatCode="0.00">
                  <c:v>0.92705991976863544</c:v>
                </c:pt>
                <c:pt idx="40" formatCode="0.00">
                  <c:v>0.93586325310196883</c:v>
                </c:pt>
                <c:pt idx="41" formatCode="0.00">
                  <c:v>0.94466658643530221</c:v>
                </c:pt>
                <c:pt idx="42" formatCode="0.00">
                  <c:v>0.9534699197686356</c:v>
                </c:pt>
                <c:pt idx="43" formatCode="0.00">
                  <c:v>0.96227325310196898</c:v>
                </c:pt>
                <c:pt idx="44" formatCode="0.00">
                  <c:v>0.97107658643530237</c:v>
                </c:pt>
              </c:numCache>
            </c:numRef>
          </c:val>
          <c:smooth val="0"/>
          <c:extLst>
            <c:ext xmlns:c16="http://schemas.microsoft.com/office/drawing/2014/chart" uri="{C3380CC4-5D6E-409C-BE32-E72D297353CC}">
              <c16:uniqueId val="{00000001-67E9-4EA8-8F72-9E8FD6F350A7}"/>
            </c:ext>
          </c:extLst>
        </c:ser>
        <c:ser>
          <c:idx val="2"/>
          <c:order val="2"/>
          <c:tx>
            <c:strRef>
              <c:f>brandstofkosten!$F$49:$F$50</c:f>
              <c:strCache>
                <c:ptCount val="2"/>
                <c:pt idx="0">
                  <c:v>heffing (€/liter) - incl. verlaging</c:v>
                </c:pt>
                <c:pt idx="1">
                  <c:v>benzine</c:v>
                </c:pt>
              </c:strCache>
            </c:strRef>
          </c:tx>
          <c:spPr>
            <a:ln w="28575" cap="rnd">
              <a:solidFill>
                <a:schemeClr val="accent3"/>
              </a:solidFill>
              <a:round/>
            </a:ln>
            <a:effectLst/>
          </c:spPr>
          <c:marker>
            <c:symbol val="none"/>
          </c:marker>
          <c:cat>
            <c:numRef>
              <c:f>brandstofkosten!$C$57:$C$101</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brandstofkosten!$F$57:$F$101</c:f>
              <c:numCache>
                <c:formatCode>0.000</c:formatCode>
                <c:ptCount val="45"/>
                <c:pt idx="0">
                  <c:v>0.67627999999999999</c:v>
                </c:pt>
                <c:pt idx="1">
                  <c:v>0.68701999999999996</c:v>
                </c:pt>
                <c:pt idx="2">
                  <c:v>0.69723999999999997</c:v>
                </c:pt>
                <c:pt idx="3">
                  <c:v>0.69723999999999997</c:v>
                </c:pt>
                <c:pt idx="4">
                  <c:v>0.70899999999999996</c:v>
                </c:pt>
                <c:pt idx="5">
                  <c:v>0.72297999999999996</c:v>
                </c:pt>
                <c:pt idx="6">
                  <c:v>0.72419999999999995</c:v>
                </c:pt>
                <c:pt idx="7">
                  <c:v>0.73640000000000005</c:v>
                </c:pt>
                <c:pt idx="8">
                  <c:v>0.75249999999999995</c:v>
                </c:pt>
                <c:pt idx="9">
                  <c:v>0.76724000000000003</c:v>
                </c:pt>
                <c:pt idx="10">
                  <c:v>0.77407000000000004</c:v>
                </c:pt>
                <c:pt idx="11">
                  <c:v>0.77790000000000004</c:v>
                </c:pt>
                <c:pt idx="12">
                  <c:v>0.78020999999999996</c:v>
                </c:pt>
                <c:pt idx="13">
                  <c:v>0.78639000000000003</c:v>
                </c:pt>
                <c:pt idx="14">
                  <c:v>0.79573000000000005</c:v>
                </c:pt>
                <c:pt idx="15">
                  <c:v>0.80832999999999999</c:v>
                </c:pt>
                <c:pt idx="16">
                  <c:v>0.65900000000000003</c:v>
                </c:pt>
                <c:pt idx="17" formatCode="0.00">
                  <c:v>0.78910000000000002</c:v>
                </c:pt>
                <c:pt idx="18" formatCode="0.00">
                  <c:v>0.86722090000000007</c:v>
                </c:pt>
                <c:pt idx="19" formatCode="0.00">
                  <c:v>0.8828308762</c:v>
                </c:pt>
                <c:pt idx="20" formatCode="0.00">
                  <c:v>0.91196429511459998</c:v>
                </c:pt>
                <c:pt idx="21" formatCode="0.00">
                  <c:v>0.93385143819735039</c:v>
                </c:pt>
                <c:pt idx="22" formatCode="0.00">
                  <c:v>0.95719772415228399</c:v>
                </c:pt>
                <c:pt idx="23" formatCode="0.00">
                  <c:v>0.97825607408363435</c:v>
                </c:pt>
                <c:pt idx="24" formatCode="0.00">
                  <c:v>0.99879945163939066</c:v>
                </c:pt>
                <c:pt idx="25" formatCode="0.00">
                  <c:v>1.0197742401238177</c:v>
                </c:pt>
                <c:pt idx="26" formatCode="0.00">
                  <c:v>1.040169724926294</c:v>
                </c:pt>
                <c:pt idx="27" formatCode="0.00">
                  <c:v>1.06097311942482</c:v>
                </c:pt>
                <c:pt idx="28" formatCode="0.00">
                  <c:v>1.0821925818133165</c:v>
                </c:pt>
                <c:pt idx="29" formatCode="0.00">
                  <c:v>1.1038364334495827</c:v>
                </c:pt>
                <c:pt idx="30" formatCode="0.00">
                  <c:v>1.1259131621185745</c:v>
                </c:pt>
                <c:pt idx="31" formatCode="0.00">
                  <c:v>1.148431425360946</c:v>
                </c:pt>
                <c:pt idx="32" formatCode="0.00">
                  <c:v>1.171400053868165</c:v>
                </c:pt>
                <c:pt idx="33" formatCode="0.00">
                  <c:v>1.1948280549455284</c:v>
                </c:pt>
                <c:pt idx="34" formatCode="0.00">
                  <c:v>1.2187246160444389</c:v>
                </c:pt>
                <c:pt idx="35" formatCode="0.00">
                  <c:v>1.2266582395493699</c:v>
                </c:pt>
                <c:pt idx="36" formatCode="0.00">
                  <c:v>1.2345918630543009</c:v>
                </c:pt>
                <c:pt idx="37" formatCode="0.00">
                  <c:v>1.2425254865592321</c:v>
                </c:pt>
                <c:pt idx="38" formatCode="0.00">
                  <c:v>1.2504591100641631</c:v>
                </c:pt>
                <c:pt idx="39" formatCode="0.00">
                  <c:v>1.2583927335690941</c:v>
                </c:pt>
                <c:pt idx="40" formatCode="0.00">
                  <c:v>1.2663263570740251</c:v>
                </c:pt>
                <c:pt idx="41" formatCode="0.00">
                  <c:v>1.2742599805789561</c:v>
                </c:pt>
                <c:pt idx="42" formatCode="0.00">
                  <c:v>1.2821936040838873</c:v>
                </c:pt>
                <c:pt idx="43" formatCode="0.00">
                  <c:v>1.2901272275888183</c:v>
                </c:pt>
                <c:pt idx="44" formatCode="0.00">
                  <c:v>1.2980608510937492</c:v>
                </c:pt>
              </c:numCache>
            </c:numRef>
          </c:val>
          <c:smooth val="0"/>
          <c:extLst>
            <c:ext xmlns:c16="http://schemas.microsoft.com/office/drawing/2014/chart" uri="{C3380CC4-5D6E-409C-BE32-E72D297353CC}">
              <c16:uniqueId val="{00000002-67E9-4EA8-8F72-9E8FD6F350A7}"/>
            </c:ext>
          </c:extLst>
        </c:ser>
        <c:ser>
          <c:idx val="3"/>
          <c:order val="3"/>
          <c:tx>
            <c:strRef>
              <c:f>brandstofkosten!$G$49:$G$50</c:f>
              <c:strCache>
                <c:ptCount val="2"/>
                <c:pt idx="0">
                  <c:v>heffing (€/liter) - incl. verlaging</c:v>
                </c:pt>
                <c:pt idx="1">
                  <c:v>diesel</c:v>
                </c:pt>
              </c:strCache>
            </c:strRef>
          </c:tx>
          <c:spPr>
            <a:ln w="28575" cap="rnd">
              <a:solidFill>
                <a:schemeClr val="accent4"/>
              </a:solidFill>
              <a:round/>
            </a:ln>
            <a:effectLst/>
          </c:spPr>
          <c:marker>
            <c:symbol val="none"/>
          </c:marker>
          <c:cat>
            <c:numRef>
              <c:f>brandstofkosten!$C$57:$C$101</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brandstofkosten!$G$57:$G$101</c:f>
              <c:numCache>
                <c:formatCode>0.000</c:formatCode>
                <c:ptCount val="45"/>
                <c:pt idx="0">
                  <c:v>0.37141000000000002</c:v>
                </c:pt>
                <c:pt idx="1">
                  <c:v>0.37726999999999999</c:v>
                </c:pt>
                <c:pt idx="2">
                  <c:v>0.38284000000000001</c:v>
                </c:pt>
                <c:pt idx="3">
                  <c:v>0.41293999999999997</c:v>
                </c:pt>
                <c:pt idx="4">
                  <c:v>0.41986000000000001</c:v>
                </c:pt>
                <c:pt idx="5">
                  <c:v>0.42838999999999999</c:v>
                </c:pt>
                <c:pt idx="6">
                  <c:v>0.42949999999999999</c:v>
                </c:pt>
                <c:pt idx="7">
                  <c:v>0.43669999999999998</c:v>
                </c:pt>
                <c:pt idx="8">
                  <c:v>0.44619999999999999</c:v>
                </c:pt>
                <c:pt idx="9">
                  <c:v>0.48576000000000003</c:v>
                </c:pt>
                <c:pt idx="10">
                  <c:v>0.49006</c:v>
                </c:pt>
                <c:pt idx="11">
                  <c:v>0.49247000000000002</c:v>
                </c:pt>
                <c:pt idx="12">
                  <c:v>0.49392000000000003</c:v>
                </c:pt>
                <c:pt idx="13">
                  <c:v>0.49780999999999997</c:v>
                </c:pt>
                <c:pt idx="14">
                  <c:v>0.50368999999999997</c:v>
                </c:pt>
                <c:pt idx="15">
                  <c:v>0.51161999999999996</c:v>
                </c:pt>
                <c:pt idx="16">
                  <c:v>0.42500000000000004</c:v>
                </c:pt>
                <c:pt idx="17" formatCode="0.00">
                  <c:v>0.51629999999999998</c:v>
                </c:pt>
                <c:pt idx="18" formatCode="0.00">
                  <c:v>0.56741369999999991</c:v>
                </c:pt>
                <c:pt idx="19" formatCode="0.00">
                  <c:v>0.57762714659999992</c:v>
                </c:pt>
                <c:pt idx="20" formatCode="0.00">
                  <c:v>0.59668884243779985</c:v>
                </c:pt>
                <c:pt idx="21" formatCode="0.00">
                  <c:v>0.61100937465630711</c:v>
                </c:pt>
                <c:pt idx="22" formatCode="0.00">
                  <c:v>0.62628460902271466</c:v>
                </c:pt>
                <c:pt idx="23" formatCode="0.00">
                  <c:v>0.64006287042121435</c:v>
                </c:pt>
                <c:pt idx="24" formatCode="0.00">
                  <c:v>0.65350419070005983</c:v>
                </c:pt>
                <c:pt idx="25" formatCode="0.00">
                  <c:v>0.66722777870476102</c:v>
                </c:pt>
                <c:pt idx="26" formatCode="0.00">
                  <c:v>0.68057233427885622</c:v>
                </c:pt>
                <c:pt idx="27" formatCode="0.00">
                  <c:v>0.69418378096443334</c:v>
                </c:pt>
                <c:pt idx="28" formatCode="0.00">
                  <c:v>0.70806745658372205</c:v>
                </c:pt>
                <c:pt idx="29" formatCode="0.00">
                  <c:v>0.72222880571539649</c:v>
                </c:pt>
                <c:pt idx="30" formatCode="0.00">
                  <c:v>0.73667338182970432</c:v>
                </c:pt>
                <c:pt idx="31" formatCode="0.00">
                  <c:v>0.75140684946629854</c:v>
                </c:pt>
                <c:pt idx="32" formatCode="0.00">
                  <c:v>0.76643498645562447</c:v>
                </c:pt>
                <c:pt idx="33" formatCode="0.00">
                  <c:v>0.78176368618473691</c:v>
                </c:pt>
                <c:pt idx="34" formatCode="0.00">
                  <c:v>0.79739895990843168</c:v>
                </c:pt>
                <c:pt idx="35" formatCode="0.00">
                  <c:v>0.8053484785974292</c:v>
                </c:pt>
                <c:pt idx="36" formatCode="0.00">
                  <c:v>0.81329799728642671</c:v>
                </c:pt>
                <c:pt idx="37" formatCode="0.00">
                  <c:v>0.82124751597542422</c:v>
                </c:pt>
                <c:pt idx="38" formatCode="0.00">
                  <c:v>0.82919703466442174</c:v>
                </c:pt>
                <c:pt idx="39" formatCode="0.00">
                  <c:v>0.83714655335341925</c:v>
                </c:pt>
                <c:pt idx="40" formatCode="0.00">
                  <c:v>0.84509607204241688</c:v>
                </c:pt>
                <c:pt idx="41" formatCode="0.00">
                  <c:v>0.85304559073141439</c:v>
                </c:pt>
                <c:pt idx="42" formatCode="0.00">
                  <c:v>0.86099510942041191</c:v>
                </c:pt>
                <c:pt idx="43" formatCode="0.00">
                  <c:v>0.86894462810940942</c:v>
                </c:pt>
                <c:pt idx="44" formatCode="0.00">
                  <c:v>0.87689414679840694</c:v>
                </c:pt>
              </c:numCache>
            </c:numRef>
          </c:val>
          <c:smooth val="0"/>
          <c:extLst>
            <c:ext xmlns:c16="http://schemas.microsoft.com/office/drawing/2014/chart" uri="{C3380CC4-5D6E-409C-BE32-E72D297353CC}">
              <c16:uniqueId val="{00000003-67E9-4EA8-8F72-9E8FD6F350A7}"/>
            </c:ext>
          </c:extLst>
        </c:ser>
        <c:dLbls>
          <c:showLegendKey val="0"/>
          <c:showVal val="0"/>
          <c:showCatName val="0"/>
          <c:showSerName val="0"/>
          <c:showPercent val="0"/>
          <c:showBubbleSize val="0"/>
        </c:dLbls>
        <c:smooth val="0"/>
        <c:axId val="1409018175"/>
        <c:axId val="370114783"/>
      </c:lineChart>
      <c:catAx>
        <c:axId val="1409018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70114783"/>
        <c:crosses val="autoZero"/>
        <c:auto val="1"/>
        <c:lblAlgn val="ctr"/>
        <c:lblOffset val="100"/>
        <c:noMultiLvlLbl val="0"/>
      </c:catAx>
      <c:valAx>
        <c:axId val="37011478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09018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7133387452293"/>
          <c:y val="3.2213558134930105E-2"/>
          <c:w val="0.85253967008122578"/>
          <c:h val="0.9287879030479701"/>
        </c:manualLayout>
      </c:layout>
      <c:lineChart>
        <c:grouping val="standard"/>
        <c:varyColors val="0"/>
        <c:ser>
          <c:idx val="0"/>
          <c:order val="0"/>
          <c:marker>
            <c:symbol val="none"/>
          </c:marker>
          <c:val>
            <c:numRef>
              <c:f>afschrijving!$R$9:$AK$9</c:f>
              <c:numCache>
                <c:formatCode>0%</c:formatCode>
                <c:ptCount val="20"/>
                <c:pt idx="0">
                  <c:v>0.81800000000000006</c:v>
                </c:pt>
                <c:pt idx="1">
                  <c:v>0.75027331416515608</c:v>
                </c:pt>
                <c:pt idx="2">
                  <c:v>0.70172562077222411</c:v>
                </c:pt>
                <c:pt idx="3">
                  <c:v>0.66303817618925809</c:v>
                </c:pt>
                <c:pt idx="4">
                  <c:v>0.63059502723693384</c:v>
                </c:pt>
                <c:pt idx="5">
                  <c:v>0.60254298540494866</c:v>
                </c:pt>
                <c:pt idx="6">
                  <c:v>0.57778331101748315</c:v>
                </c:pt>
                <c:pt idx="7">
                  <c:v>0.55560206276357083</c:v>
                </c:pt>
                <c:pt idx="8">
                  <c:v>0.53550495191461145</c:v>
                </c:pt>
                <c:pt idx="9">
                  <c:v>0.5171334054415202</c:v>
                </c:pt>
                <c:pt idx="10">
                  <c:v>0.50021780119086756</c:v>
                </c:pt>
                <c:pt idx="11">
                  <c:v>0.4845495487501103</c:v>
                </c:pt>
                <c:pt idx="12">
                  <c:v>0.46996349525708409</c:v>
                </c:pt>
                <c:pt idx="13">
                  <c:v>0.4563263443014775</c:v>
                </c:pt>
                <c:pt idx="14">
                  <c:v>0.44352875445107104</c:v>
                </c:pt>
                <c:pt idx="15">
                  <c:v>0.43147978365009365</c:v>
                </c:pt>
                <c:pt idx="16">
                  <c:v>0.42010288170513777</c:v>
                </c:pt>
                <c:pt idx="17">
                  <c:v>0.40933293496709289</c:v>
                </c:pt>
                <c:pt idx="18">
                  <c:v>0.39911404464270217</c:v>
                </c:pt>
                <c:pt idx="19">
                  <c:v>0.38939782814966423</c:v>
                </c:pt>
              </c:numCache>
            </c:numRef>
          </c:val>
          <c:smooth val="0"/>
          <c:extLst>
            <c:ext xmlns:c16="http://schemas.microsoft.com/office/drawing/2014/chart" uri="{C3380CC4-5D6E-409C-BE32-E72D297353CC}">
              <c16:uniqueId val="{00000000-EA0B-4F7F-ADB2-6A5807C2C304}"/>
            </c:ext>
          </c:extLst>
        </c:ser>
        <c:ser>
          <c:idx val="1"/>
          <c:order val="1"/>
          <c:marker>
            <c:symbol val="none"/>
          </c:marker>
          <c:val>
            <c:numRef>
              <c:f>afschrijving!$R$10:$AK$10</c:f>
              <c:numCache>
                <c:formatCode>0%</c:formatCode>
                <c:ptCount val="20"/>
                <c:pt idx="0">
                  <c:v>0.81800000000000006</c:v>
                </c:pt>
                <c:pt idx="1">
                  <c:v>0.75027331416515597</c:v>
                </c:pt>
                <c:pt idx="2">
                  <c:v>0.701725620772224</c:v>
                </c:pt>
                <c:pt idx="3">
                  <c:v>0.66303817618925798</c:v>
                </c:pt>
                <c:pt idx="4">
                  <c:v>0.63059502723693373</c:v>
                </c:pt>
                <c:pt idx="5">
                  <c:v>0.60254298540494855</c:v>
                </c:pt>
                <c:pt idx="6">
                  <c:v>0.57778331101748293</c:v>
                </c:pt>
                <c:pt idx="7">
                  <c:v>0.55560206276357049</c:v>
                </c:pt>
                <c:pt idx="8">
                  <c:v>0.53550495191461112</c:v>
                </c:pt>
                <c:pt idx="9">
                  <c:v>0.51713340544151998</c:v>
                </c:pt>
                <c:pt idx="10">
                  <c:v>0.50021780119086723</c:v>
                </c:pt>
                <c:pt idx="11">
                  <c:v>0.48454954875010997</c:v>
                </c:pt>
                <c:pt idx="12">
                  <c:v>0.46996349525708386</c:v>
                </c:pt>
                <c:pt idx="13">
                  <c:v>0.45632634430147723</c:v>
                </c:pt>
                <c:pt idx="14">
                  <c:v>0.44352875445107071</c:v>
                </c:pt>
                <c:pt idx="15">
                  <c:v>0.43147978365009332</c:v>
                </c:pt>
                <c:pt idx="16">
                  <c:v>0.42010288170513727</c:v>
                </c:pt>
                <c:pt idx="17">
                  <c:v>0.40933293496709244</c:v>
                </c:pt>
                <c:pt idx="18">
                  <c:v>0.39911404464270178</c:v>
                </c:pt>
                <c:pt idx="19">
                  <c:v>0.38939782814966389</c:v>
                </c:pt>
              </c:numCache>
            </c:numRef>
          </c:val>
          <c:smooth val="0"/>
          <c:extLst>
            <c:ext xmlns:c16="http://schemas.microsoft.com/office/drawing/2014/chart" uri="{C3380CC4-5D6E-409C-BE32-E72D297353CC}">
              <c16:uniqueId val="{00000001-EA0B-4F7F-ADB2-6A5807C2C304}"/>
            </c:ext>
          </c:extLst>
        </c:ser>
        <c:ser>
          <c:idx val="2"/>
          <c:order val="2"/>
          <c:marker>
            <c:symbol val="none"/>
          </c:marker>
          <c:val>
            <c:numRef>
              <c:f>afschrijving!$R$11:$AK$11</c:f>
              <c:numCache>
                <c:formatCode>0%</c:formatCode>
                <c:ptCount val="20"/>
                <c:pt idx="0">
                  <c:v>0.81800000000000006</c:v>
                </c:pt>
                <c:pt idx="1">
                  <c:v>0.75005930086480666</c:v>
                </c:pt>
                <c:pt idx="2">
                  <c:v>0.70133444099450237</c:v>
                </c:pt>
                <c:pt idx="3">
                  <c:v>0.66249706345078785</c:v>
                </c:pt>
                <c:pt idx="4">
                  <c:v>0.62992458535096585</c:v>
                </c:pt>
                <c:pt idx="5">
                  <c:v>0.60175940386009941</c:v>
                </c:pt>
                <c:pt idx="6">
                  <c:v>0.57689969881674774</c:v>
                </c:pt>
                <c:pt idx="7">
                  <c:v>0.55462928314302085</c:v>
                </c:pt>
                <c:pt idx="8">
                  <c:v>0.53445217184365212</c:v>
                </c:pt>
                <c:pt idx="9">
                  <c:v>0.51600847371076763</c:v>
                </c:pt>
                <c:pt idx="10">
                  <c:v>0.49902751828229075</c:v>
                </c:pt>
                <c:pt idx="11">
                  <c:v>0.48329986541051889</c:v>
                </c:pt>
                <c:pt idx="12">
                  <c:v>0.46865966237200113</c:v>
                </c:pt>
                <c:pt idx="13">
                  <c:v>0.45497302846985094</c:v>
                </c:pt>
                <c:pt idx="14">
                  <c:v>0.44213012876279395</c:v>
                </c:pt>
                <c:pt idx="15">
                  <c:v>0.43003960012728554</c:v>
                </c:pt>
                <c:pt idx="16">
                  <c:v>0.41862452991647964</c:v>
                </c:pt>
                <c:pt idx="17">
                  <c:v>0.40781949003500978</c:v>
                </c:pt>
                <c:pt idx="18">
                  <c:v>0.39756830698910101</c:v>
                </c:pt>
                <c:pt idx="19">
                  <c:v>0.38782235671986481</c:v>
                </c:pt>
              </c:numCache>
            </c:numRef>
          </c:val>
          <c:smooth val="0"/>
          <c:extLst>
            <c:ext xmlns:c16="http://schemas.microsoft.com/office/drawing/2014/chart" uri="{C3380CC4-5D6E-409C-BE32-E72D297353CC}">
              <c16:uniqueId val="{00000002-EA0B-4F7F-ADB2-6A5807C2C304}"/>
            </c:ext>
          </c:extLst>
        </c:ser>
        <c:ser>
          <c:idx val="3"/>
          <c:order val="3"/>
          <c:marker>
            <c:symbol val="none"/>
          </c:marker>
          <c:val>
            <c:numRef>
              <c:f>afschrijving!$R$12:$AK$12</c:f>
              <c:numCache>
                <c:formatCode>0%</c:formatCode>
                <c:ptCount val="20"/>
                <c:pt idx="0">
                  <c:v>0.81800000000000006</c:v>
                </c:pt>
                <c:pt idx="1">
                  <c:v>0.74981478160617065</c:v>
                </c:pt>
                <c:pt idx="2">
                  <c:v>0.70088735414719705</c:v>
                </c:pt>
                <c:pt idx="3">
                  <c:v>0.66187851424553323</c:v>
                </c:pt>
                <c:pt idx="4">
                  <c:v>0.62915814035395468</c:v>
                </c:pt>
                <c:pt idx="5">
                  <c:v>0.60086359623385022</c:v>
                </c:pt>
                <c:pt idx="6">
                  <c:v>0.57588954365893319</c:v>
                </c:pt>
                <c:pt idx="7">
                  <c:v>0.55351722801623648</c:v>
                </c:pt>
                <c:pt idx="8">
                  <c:v>0.53324872346443619</c:v>
                </c:pt>
                <c:pt idx="9">
                  <c:v>0.51472262962189708</c:v>
                </c:pt>
                <c:pt idx="10">
                  <c:v>0.4976670752324085</c:v>
                </c:pt>
                <c:pt idx="11">
                  <c:v>0.4818716464192242</c:v>
                </c:pt>
                <c:pt idx="12">
                  <c:v>0.4671696882056664</c:v>
                </c:pt>
                <c:pt idx="13">
                  <c:v>0.45342664993862042</c:v>
                </c:pt>
                <c:pt idx="14">
                  <c:v>0.44053213067585573</c:v>
                </c:pt>
                <c:pt idx="15">
                  <c:v>0.42839428428024745</c:v>
                </c:pt>
                <c:pt idx="16">
                  <c:v>0.41693578226028388</c:v>
                </c:pt>
                <c:pt idx="17">
                  <c:v>0.40609083570514687</c:v>
                </c:pt>
                <c:pt idx="18">
                  <c:v>0.39580295587641356</c:v>
                </c:pt>
                <c:pt idx="19">
                  <c:v>0.38602324157226015</c:v>
                </c:pt>
              </c:numCache>
            </c:numRef>
          </c:val>
          <c:smooth val="0"/>
          <c:extLst>
            <c:ext xmlns:c16="http://schemas.microsoft.com/office/drawing/2014/chart" uri="{C3380CC4-5D6E-409C-BE32-E72D297353CC}">
              <c16:uniqueId val="{00000003-EA0B-4F7F-ADB2-6A5807C2C304}"/>
            </c:ext>
          </c:extLst>
        </c:ser>
        <c:ser>
          <c:idx val="4"/>
          <c:order val="4"/>
          <c:marker>
            <c:symbol val="none"/>
          </c:marker>
          <c:val>
            <c:numRef>
              <c:f>afschrijving!$R$13:$AK$13</c:f>
              <c:numCache>
                <c:formatCode>0%</c:formatCode>
                <c:ptCount val="20"/>
                <c:pt idx="0">
                  <c:v>0.81800000000000006</c:v>
                </c:pt>
                <c:pt idx="1">
                  <c:v>0.74966199014048784</c:v>
                </c:pt>
                <c:pt idx="2">
                  <c:v>0.70060790571292486</c:v>
                </c:pt>
                <c:pt idx="3">
                  <c:v>0.66149184001594985</c:v>
                </c:pt>
                <c:pt idx="4">
                  <c:v>0.62867898037785985</c:v>
                </c:pt>
                <c:pt idx="5">
                  <c:v>0.60030355085040177</c:v>
                </c:pt>
                <c:pt idx="6">
                  <c:v>0.57525801570175028</c:v>
                </c:pt>
                <c:pt idx="7">
                  <c:v>0.55282201504663875</c:v>
                </c:pt>
                <c:pt idx="8">
                  <c:v>0.53249640875097548</c:v>
                </c:pt>
                <c:pt idx="9">
                  <c:v>0.51391885171069829</c:v>
                </c:pt>
                <c:pt idx="10">
                  <c:v>0.49681672066652194</c:v>
                </c:pt>
                <c:pt idx="11">
                  <c:v>0.48097899172595815</c:v>
                </c:pt>
                <c:pt idx="12">
                  <c:v>0.46623850717632237</c:v>
                </c:pt>
                <c:pt idx="13">
                  <c:v>0.45246029643178082</c:v>
                </c:pt>
                <c:pt idx="14">
                  <c:v>0.43953360370546324</c:v>
                </c:pt>
                <c:pt idx="15">
                  <c:v>0.42736627999173693</c:v>
                </c:pt>
                <c:pt idx="16">
                  <c:v>0.41588073601105591</c:v>
                </c:pt>
                <c:pt idx="17">
                  <c:v>0.40501095654812069</c:v>
                </c:pt>
                <c:pt idx="18">
                  <c:v>0.39470025512277745</c:v>
                </c:pt>
                <c:pt idx="19">
                  <c:v>0.38489955667740611</c:v>
                </c:pt>
              </c:numCache>
            </c:numRef>
          </c:val>
          <c:smooth val="0"/>
          <c:extLst>
            <c:ext xmlns:c16="http://schemas.microsoft.com/office/drawing/2014/chart" uri="{C3380CC4-5D6E-409C-BE32-E72D297353CC}">
              <c16:uniqueId val="{00000004-EA0B-4F7F-ADB2-6A5807C2C304}"/>
            </c:ext>
          </c:extLst>
        </c:ser>
        <c:ser>
          <c:idx val="5"/>
          <c:order val="5"/>
          <c:marker>
            <c:symbol val="none"/>
          </c:marker>
          <c:val>
            <c:numRef>
              <c:f>afschrijving!$R$14:$AK$14</c:f>
              <c:numCache>
                <c:formatCode>0%</c:formatCode>
                <c:ptCount val="20"/>
                <c:pt idx="0">
                  <c:v>0.81800000000000006</c:v>
                </c:pt>
                <c:pt idx="1">
                  <c:v>0.74956843644554771</c:v>
                </c:pt>
                <c:pt idx="2">
                  <c:v>0.70043677021250283</c:v>
                </c:pt>
                <c:pt idx="3">
                  <c:v>0.66125501834888656</c:v>
                </c:pt>
                <c:pt idx="4">
                  <c:v>0.62838550323494247</c:v>
                </c:pt>
                <c:pt idx="5">
                  <c:v>0.59996052856941717</c:v>
                </c:pt>
                <c:pt idx="6">
                  <c:v>0.57487121339820413</c:v>
                </c:pt>
                <c:pt idx="7">
                  <c:v>0.55239621458280252</c:v>
                </c:pt>
                <c:pt idx="8">
                  <c:v>0.53203564789732272</c:v>
                </c:pt>
                <c:pt idx="9">
                  <c:v>0.5134265891399904</c:v>
                </c:pt>
                <c:pt idx="10">
                  <c:v>0.49629595396464266</c:v>
                </c:pt>
                <c:pt idx="11">
                  <c:v>0.48043234436956433</c:v>
                </c:pt>
                <c:pt idx="12">
                  <c:v>0.46566829426984285</c:v>
                </c:pt>
                <c:pt idx="13">
                  <c:v>0.45186857545944586</c:v>
                </c:pt>
                <c:pt idx="14">
                  <c:v>0.43892221443426194</c:v>
                </c:pt>
                <c:pt idx="15">
                  <c:v>0.42673687634220242</c:v>
                </c:pt>
                <c:pt idx="16">
                  <c:v>0.41523481186465921</c:v>
                </c:pt>
                <c:pt idx="17">
                  <c:v>0.40434986689879665</c:v>
                </c:pt>
                <c:pt idx="18">
                  <c:v>0.39402523359911518</c:v>
                </c:pt>
                <c:pt idx="19">
                  <c:v>0.38421173019755628</c:v>
                </c:pt>
              </c:numCache>
            </c:numRef>
          </c:val>
          <c:smooth val="0"/>
          <c:extLst>
            <c:ext xmlns:c16="http://schemas.microsoft.com/office/drawing/2014/chart" uri="{C3380CC4-5D6E-409C-BE32-E72D297353CC}">
              <c16:uniqueId val="{00000005-EA0B-4F7F-ADB2-6A5807C2C304}"/>
            </c:ext>
          </c:extLst>
        </c:ser>
        <c:ser>
          <c:idx val="6"/>
          <c:order val="6"/>
          <c:marker>
            <c:symbol val="none"/>
          </c:marker>
          <c:val>
            <c:numRef>
              <c:f>afschrijving!$R$15:$AK$15</c:f>
              <c:numCache>
                <c:formatCode>0%</c:formatCode>
                <c:ptCount val="20"/>
                <c:pt idx="0">
                  <c:v>0.81800000000000006</c:v>
                </c:pt>
                <c:pt idx="1">
                  <c:v>0.74938604546423004</c:v>
                </c:pt>
                <c:pt idx="2">
                  <c:v>0.70010306103049347</c:v>
                </c:pt>
                <c:pt idx="3">
                  <c:v>0.66079317824796158</c:v>
                </c:pt>
                <c:pt idx="4">
                  <c:v>0.62781315022037987</c:v>
                </c:pt>
                <c:pt idx="5">
                  <c:v>0.59929154129173268</c:v>
                </c:pt>
                <c:pt idx="6">
                  <c:v>0.57411684853446121</c:v>
                </c:pt>
                <c:pt idx="7">
                  <c:v>0.5515658110984103</c:v>
                </c:pt>
                <c:pt idx="8">
                  <c:v>0.53113709280080235</c:v>
                </c:pt>
                <c:pt idx="9">
                  <c:v>0.51246663901628309</c:v>
                </c:pt>
                <c:pt idx="10">
                  <c:v>0.49528046506874601</c:v>
                </c:pt>
                <c:pt idx="11">
                  <c:v>0.47936644228358111</c:v>
                </c:pt>
                <c:pt idx="12">
                  <c:v>0.46455650217287875</c:v>
                </c:pt>
                <c:pt idx="13">
                  <c:v>0.45071491318706786</c:v>
                </c:pt>
                <c:pt idx="14">
                  <c:v>0.43773027638208584</c:v>
                </c:pt>
                <c:pt idx="15">
                  <c:v>0.42550989370175341</c:v>
                </c:pt>
                <c:pt idx="16">
                  <c:v>0.41397570302865422</c:v>
                </c:pt>
                <c:pt idx="17">
                  <c:v>0.40306127877994763</c:v>
                </c:pt>
                <c:pt idx="18">
                  <c:v>0.39270957586434607</c:v>
                </c:pt>
                <c:pt idx="19">
                  <c:v>0.38287120390409868</c:v>
                </c:pt>
              </c:numCache>
            </c:numRef>
          </c:val>
          <c:smooth val="0"/>
          <c:extLst>
            <c:ext xmlns:c16="http://schemas.microsoft.com/office/drawing/2014/chart" uri="{C3380CC4-5D6E-409C-BE32-E72D297353CC}">
              <c16:uniqueId val="{00000006-EA0B-4F7F-ADB2-6A5807C2C304}"/>
            </c:ext>
          </c:extLst>
        </c:ser>
        <c:ser>
          <c:idx val="7"/>
          <c:order val="7"/>
          <c:marker>
            <c:symbol val="none"/>
          </c:marker>
          <c:val>
            <c:numRef>
              <c:f>afschrijving!$R$16:$AK$16</c:f>
              <c:numCache>
                <c:formatCode>0%</c:formatCode>
                <c:ptCount val="20"/>
                <c:pt idx="0">
                  <c:v>0.81800000000000006</c:v>
                </c:pt>
                <c:pt idx="1">
                  <c:v>0.74916278547317106</c:v>
                </c:pt>
                <c:pt idx="2">
                  <c:v>0.69969445824535015</c:v>
                </c:pt>
                <c:pt idx="3">
                  <c:v>0.66022760806353176</c:v>
                </c:pt>
                <c:pt idx="4">
                  <c:v>0.62711219995507905</c:v>
                </c:pt>
                <c:pt idx="5">
                  <c:v>0.5984722291753477</c:v>
                </c:pt>
                <c:pt idx="6">
                  <c:v>0.57319298446610956</c:v>
                </c:pt>
                <c:pt idx="7">
                  <c:v>0.55054885614266624</c:v>
                </c:pt>
                <c:pt idx="8">
                  <c:v>0.53003672838620008</c:v>
                </c:pt>
                <c:pt idx="9">
                  <c:v>0.51129116027061527</c:v>
                </c:pt>
                <c:pt idx="10">
                  <c:v>0.49403706251065749</c:v>
                </c:pt>
                <c:pt idx="11">
                  <c:v>0.47806140965292132</c:v>
                </c:pt>
                <c:pt idx="12">
                  <c:v>0.46319539364208373</c:v>
                </c:pt>
                <c:pt idx="13">
                  <c:v>0.44930266482398257</c:v>
                </c:pt>
                <c:pt idx="14">
                  <c:v>0.43627130170789691</c:v>
                </c:pt>
                <c:pt idx="15">
                  <c:v>0.42400816005536657</c:v>
                </c:pt>
                <c:pt idx="16">
                  <c:v>0.41243479343237111</c:v>
                </c:pt>
                <c:pt idx="17">
                  <c:v>0.40148444266547434</c:v>
                </c:pt>
                <c:pt idx="18">
                  <c:v>0.39109977111062777</c:v>
                </c:pt>
                <c:pt idx="19">
                  <c:v>0.38123113200795672</c:v>
                </c:pt>
              </c:numCache>
            </c:numRef>
          </c:val>
          <c:smooth val="0"/>
          <c:extLst>
            <c:ext xmlns:c16="http://schemas.microsoft.com/office/drawing/2014/chart" uri="{C3380CC4-5D6E-409C-BE32-E72D297353CC}">
              <c16:uniqueId val="{00000007-EA0B-4F7F-ADB2-6A5807C2C304}"/>
            </c:ext>
          </c:extLst>
        </c:ser>
        <c:ser>
          <c:idx val="8"/>
          <c:order val="8"/>
          <c:marker>
            <c:symbol val="none"/>
          </c:marker>
          <c:val>
            <c:numRef>
              <c:f>afschrijving!$R$17:$AK$17</c:f>
              <c:numCache>
                <c:formatCode>0%</c:formatCode>
                <c:ptCount val="20"/>
                <c:pt idx="0">
                  <c:v>0.81800000000000006</c:v>
                </c:pt>
                <c:pt idx="1">
                  <c:v>0.74909199340893629</c:v>
                </c:pt>
                <c:pt idx="2">
                  <c:v>0.69956486992011191</c:v>
                </c:pt>
                <c:pt idx="3">
                  <c:v>0.6600482191514232</c:v>
                </c:pt>
                <c:pt idx="4">
                  <c:v>0.6268898604385732</c:v>
                </c:pt>
                <c:pt idx="5">
                  <c:v>0.59821234212682506</c:v>
                </c:pt>
                <c:pt idx="6">
                  <c:v>0.57289993591145361</c:v>
                </c:pt>
                <c:pt idx="7">
                  <c:v>0.55022628700154741</c:v>
                </c:pt>
                <c:pt idx="8">
                  <c:v>0.5296877147441591</c:v>
                </c:pt>
                <c:pt idx="9">
                  <c:v>0.51091833804310671</c:v>
                </c:pt>
                <c:pt idx="10">
                  <c:v>0.49364271677237292</c:v>
                </c:pt>
                <c:pt idx="11">
                  <c:v>0.47764754057398662</c:v>
                </c:pt>
                <c:pt idx="12">
                  <c:v>0.46276376638344957</c:v>
                </c:pt>
                <c:pt idx="13">
                  <c:v>0.44885484809916021</c:v>
                </c:pt>
                <c:pt idx="14">
                  <c:v>0.43580869812868356</c:v>
                </c:pt>
                <c:pt idx="15">
                  <c:v>0.42353203038810816</c:v>
                </c:pt>
                <c:pt idx="16">
                  <c:v>0.41194627625293995</c:v>
                </c:pt>
                <c:pt idx="17">
                  <c:v>0.40098457047807035</c:v>
                </c:pt>
                <c:pt idx="18">
                  <c:v>0.39058948370797303</c:v>
                </c:pt>
                <c:pt idx="19">
                  <c:v>0.38071128765061479</c:v>
                </c:pt>
              </c:numCache>
            </c:numRef>
          </c:val>
          <c:smooth val="0"/>
          <c:extLst>
            <c:ext xmlns:c16="http://schemas.microsoft.com/office/drawing/2014/chart" uri="{C3380CC4-5D6E-409C-BE32-E72D297353CC}">
              <c16:uniqueId val="{00000008-EA0B-4F7F-ADB2-6A5807C2C304}"/>
            </c:ext>
          </c:extLst>
        </c:ser>
        <c:ser>
          <c:idx val="9"/>
          <c:order val="9"/>
          <c:marker>
            <c:symbol val="none"/>
          </c:marker>
          <c:val>
            <c:numRef>
              <c:f>afschrijving!$R$18:$AK$18</c:f>
              <c:numCache>
                <c:formatCode>0%</c:formatCode>
                <c:ptCount val="20"/>
                <c:pt idx="0">
                  <c:v>0.81800000000000006</c:v>
                </c:pt>
                <c:pt idx="1">
                  <c:v>0.7490209574798371</c:v>
                </c:pt>
                <c:pt idx="2">
                  <c:v>0.69943482208261609</c:v>
                </c:pt>
                <c:pt idx="3">
                  <c:v>0.65986818526143132</c:v>
                </c:pt>
                <c:pt idx="4">
                  <c:v>0.62666671650950323</c:v>
                </c:pt>
                <c:pt idx="5">
                  <c:v>0.59795151318315842</c:v>
                </c:pt>
                <c:pt idx="6">
                  <c:v>0.57260582655315428</c:v>
                </c:pt>
                <c:pt idx="7">
                  <c:v>0.5499025539945106</c:v>
                </c:pt>
                <c:pt idx="8">
                  <c:v>0.52933744781098679</c:v>
                </c:pt>
                <c:pt idx="9">
                  <c:v>0.51054418492953968</c:v>
                </c:pt>
                <c:pt idx="10">
                  <c:v>0.49324697288909392</c:v>
                </c:pt>
                <c:pt idx="11">
                  <c:v>0.47723221517782222</c:v>
                </c:pt>
                <c:pt idx="12">
                  <c:v>0.46233063266716684</c:v>
                </c:pt>
                <c:pt idx="13">
                  <c:v>0.4484054819093431</c:v>
                </c:pt>
                <c:pt idx="14">
                  <c:v>0.43534450843831984</c:v>
                </c:pt>
                <c:pt idx="15">
                  <c:v>0.42305428365702707</c:v>
                </c:pt>
                <c:pt idx="16">
                  <c:v>0.41145611616917582</c:v>
                </c:pt>
                <c:pt idx="17">
                  <c:v>0.40048303414893427</c:v>
                </c:pt>
                <c:pt idx="18">
                  <c:v>0.39007751508119931</c:v>
                </c:pt>
                <c:pt idx="19">
                  <c:v>0.38018974874546702</c:v>
                </c:pt>
              </c:numCache>
            </c:numRef>
          </c:val>
          <c:smooth val="0"/>
          <c:extLst>
            <c:ext xmlns:c16="http://schemas.microsoft.com/office/drawing/2014/chart" uri="{C3380CC4-5D6E-409C-BE32-E72D297353CC}">
              <c16:uniqueId val="{00000009-EA0B-4F7F-ADB2-6A5807C2C304}"/>
            </c:ext>
          </c:extLst>
        </c:ser>
        <c:ser>
          <c:idx val="10"/>
          <c:order val="10"/>
          <c:marker>
            <c:symbol val="none"/>
          </c:marker>
          <c:val>
            <c:numRef>
              <c:f>afschrijving!$R$19:$AK$19</c:f>
              <c:numCache>
                <c:formatCode>0%</c:formatCode>
                <c:ptCount val="20"/>
                <c:pt idx="0">
                  <c:v>0.81800000000000006</c:v>
                </c:pt>
                <c:pt idx="1">
                  <c:v>0.74894967919587363</c:v>
                </c:pt>
                <c:pt idx="2">
                  <c:v>0.69930431737280307</c:v>
                </c:pt>
                <c:pt idx="3">
                  <c:v>0.65968750997167025</c:v>
                </c:pt>
                <c:pt idx="4">
                  <c:v>0.62644277257150827</c:v>
                </c:pt>
                <c:pt idx="5">
                  <c:v>0.59768974750052173</c:v>
                </c:pt>
                <c:pt idx="6">
                  <c:v>0.57231066224906446</c:v>
                </c:pt>
                <c:pt idx="7">
                  <c:v>0.54957766364349958</c:v>
                </c:pt>
                <c:pt idx="8">
                  <c:v>0.52898593474350175</c:v>
                </c:pt>
                <c:pt idx="9">
                  <c:v>0.51016870869788067</c:v>
                </c:pt>
                <c:pt idx="10">
                  <c:v>0.4928498392199207</c:v>
                </c:pt>
                <c:pt idx="11">
                  <c:v>0.47681544239722184</c:v>
                </c:pt>
                <c:pt idx="12">
                  <c:v>0.4618960019841068</c:v>
                </c:pt>
                <c:pt idx="13">
                  <c:v>0.44795457628918312</c:v>
                </c:pt>
                <c:pt idx="14">
                  <c:v>0.43487874320191305</c:v>
                </c:pt>
                <c:pt idx="15">
                  <c:v>0.42257493094509191</c:v>
                </c:pt>
                <c:pt idx="16">
                  <c:v>0.41096432476987371</c:v>
                </c:pt>
                <c:pt idx="17">
                  <c:v>0.39997984576109119</c:v>
                </c:pt>
                <c:pt idx="18">
                  <c:v>0.38956387779631774</c:v>
                </c:pt>
                <c:pt idx="19">
                  <c:v>0.37966652833055481</c:v>
                </c:pt>
              </c:numCache>
            </c:numRef>
          </c:val>
          <c:smooth val="0"/>
          <c:extLst>
            <c:ext xmlns:c16="http://schemas.microsoft.com/office/drawing/2014/chart" uri="{C3380CC4-5D6E-409C-BE32-E72D297353CC}">
              <c16:uniqueId val="{0000000A-EA0B-4F7F-ADB2-6A5807C2C304}"/>
            </c:ext>
          </c:extLst>
        </c:ser>
        <c:ser>
          <c:idx val="11"/>
          <c:order val="11"/>
          <c:marker>
            <c:symbol val="none"/>
          </c:marker>
          <c:val>
            <c:numRef>
              <c:f>afschrijving!$R$20:$AK$20</c:f>
              <c:numCache>
                <c:formatCode>0%</c:formatCode>
                <c:ptCount val="20"/>
                <c:pt idx="0">
                  <c:v>0.81800000000000006</c:v>
                </c:pt>
                <c:pt idx="1">
                  <c:v>0.7488781600203227</c:v>
                </c:pt>
                <c:pt idx="2">
                  <c:v>0.69917335834592464</c:v>
                </c:pt>
                <c:pt idx="3">
                  <c:v>0.6595061967437571</c:v>
                </c:pt>
                <c:pt idx="4">
                  <c:v>0.62621803288450972</c:v>
                </c:pt>
                <c:pt idx="5">
                  <c:v>0.59742705006772889</c:v>
                </c:pt>
                <c:pt idx="6">
                  <c:v>0.57201444866891504</c:v>
                </c:pt>
                <c:pt idx="7">
                  <c:v>0.54925162226394808</c:v>
                </c:pt>
                <c:pt idx="8">
                  <c:v>0.52863318247561586</c:v>
                </c:pt>
                <c:pt idx="9">
                  <c:v>0.50979191687848646</c:v>
                </c:pt>
                <c:pt idx="10">
                  <c:v>0.49245132387309709</c:v>
                </c:pt>
                <c:pt idx="11">
                  <c:v>0.47639723090213987</c:v>
                </c:pt>
                <c:pt idx="12">
                  <c:v>0.46145988355142309</c:v>
                </c:pt>
                <c:pt idx="13">
                  <c:v>0.44750214098970909</c:v>
                </c:pt>
                <c:pt idx="14">
                  <c:v>0.43441141269190309</c:v>
                </c:pt>
                <c:pt idx="15">
                  <c:v>0.42209398303432416</c:v>
                </c:pt>
                <c:pt idx="16">
                  <c:v>0.41047091333528551</c:v>
                </c:pt>
                <c:pt idx="17">
                  <c:v>0.39947501708203992</c:v>
                </c:pt>
                <c:pt idx="18">
                  <c:v>0.3890485840973803</c:v>
                </c:pt>
                <c:pt idx="19">
                  <c:v>0.37914163911602533</c:v>
                </c:pt>
              </c:numCache>
            </c:numRef>
          </c:val>
          <c:smooth val="0"/>
          <c:extLst>
            <c:ext xmlns:c16="http://schemas.microsoft.com/office/drawing/2014/chart" uri="{C3380CC4-5D6E-409C-BE32-E72D297353CC}">
              <c16:uniqueId val="{0000000B-EA0B-4F7F-ADB2-6A5807C2C304}"/>
            </c:ext>
          </c:extLst>
        </c:ser>
        <c:ser>
          <c:idx val="12"/>
          <c:order val="12"/>
          <c:marker>
            <c:symbol val="none"/>
          </c:marker>
          <c:val>
            <c:numRef>
              <c:f>afschrijving!$R$21:$AK$21</c:f>
              <c:numCache>
                <c:formatCode>0%</c:formatCode>
                <c:ptCount val="20"/>
                <c:pt idx="0">
                  <c:v>0.81800000000000006</c:v>
                </c:pt>
                <c:pt idx="1">
                  <c:v>0.74875013947168101</c:v>
                </c:pt>
                <c:pt idx="2">
                  <c:v>0.69893890630090305</c:v>
                </c:pt>
                <c:pt idx="3">
                  <c:v>0.65918157469609773</c:v>
                </c:pt>
                <c:pt idx="4">
                  <c:v>0.62581564785263888</c:v>
                </c:pt>
                <c:pt idx="5">
                  <c:v>0.59695669967555853</c:v>
                </c:pt>
                <c:pt idx="6">
                  <c:v>0.57148409229839248</c:v>
                </c:pt>
                <c:pt idx="7">
                  <c:v>0.54866787054922384</c:v>
                </c:pt>
                <c:pt idx="8">
                  <c:v>0.52800162249307347</c:v>
                </c:pt>
                <c:pt idx="9">
                  <c:v>0.50911733737488862</c:v>
                </c:pt>
                <c:pt idx="10">
                  <c:v>0.49173787684792397</c:v>
                </c:pt>
                <c:pt idx="11">
                  <c:v>0.47564855099016662</c:v>
                </c:pt>
                <c:pt idx="12">
                  <c:v>0.46067917843413658</c:v>
                </c:pt>
                <c:pt idx="13">
                  <c:v>0.44669226131702472</c:v>
                </c:pt>
                <c:pt idx="14">
                  <c:v>0.43357490713815355</c:v>
                </c:pt>
                <c:pt idx="15">
                  <c:v>0.42123314232835279</c:v>
                </c:pt>
                <c:pt idx="16">
                  <c:v>0.40958780595402344</c:v>
                </c:pt>
                <c:pt idx="17">
                  <c:v>0.39857151853377915</c:v>
                </c:pt>
                <c:pt idx="18">
                  <c:v>0.38812640120184139</c:v>
                </c:pt>
                <c:pt idx="19">
                  <c:v>0.37820233032729028</c:v>
                </c:pt>
              </c:numCache>
            </c:numRef>
          </c:val>
          <c:smooth val="0"/>
          <c:extLst>
            <c:ext xmlns:c16="http://schemas.microsoft.com/office/drawing/2014/chart" uri="{C3380CC4-5D6E-409C-BE32-E72D297353CC}">
              <c16:uniqueId val="{0000000C-EA0B-4F7F-ADB2-6A5807C2C304}"/>
            </c:ext>
          </c:extLst>
        </c:ser>
        <c:ser>
          <c:idx val="13"/>
          <c:order val="13"/>
          <c:marker>
            <c:symbol val="none"/>
          </c:marker>
          <c:val>
            <c:numRef>
              <c:f>afschrijving!$R$22:$AK$22</c:f>
              <c:numCache>
                <c:formatCode>0%</c:formatCode>
                <c:ptCount val="20"/>
                <c:pt idx="0">
                  <c:v>0.81800000000000006</c:v>
                </c:pt>
                <c:pt idx="1">
                  <c:v>0.74871002358378347</c:v>
                </c:pt>
                <c:pt idx="2">
                  <c:v>0.69886543082022845</c:v>
                </c:pt>
                <c:pt idx="3">
                  <c:v>0.65907983472874598</c:v>
                </c:pt>
                <c:pt idx="4">
                  <c:v>0.62568953285516204</c:v>
                </c:pt>
                <c:pt idx="5">
                  <c:v>0.59680928204225114</c:v>
                </c:pt>
                <c:pt idx="6">
                  <c:v>0.57131786848264132</c:v>
                </c:pt>
                <c:pt idx="7">
                  <c:v>0.54848491425674051</c:v>
                </c:pt>
                <c:pt idx="8">
                  <c:v>0.5278036865133412</c:v>
                </c:pt>
                <c:pt idx="9">
                  <c:v>0.50890592413959279</c:v>
                </c:pt>
                <c:pt idx="10">
                  <c:v>0.49151428906701361</c:v>
                </c:pt>
                <c:pt idx="11">
                  <c:v>0.47541392907320279</c:v>
                </c:pt>
                <c:pt idx="12">
                  <c:v>0.46043452883649361</c:v>
                </c:pt>
                <c:pt idx="13">
                  <c:v>0.4464384784660454</c:v>
                </c:pt>
                <c:pt idx="14">
                  <c:v>0.43331279070037881</c:v>
                </c:pt>
                <c:pt idx="15">
                  <c:v>0.42096341102056545</c:v>
                </c:pt>
                <c:pt idx="16">
                  <c:v>0.40931110874068477</c:v>
                </c:pt>
                <c:pt idx="17">
                  <c:v>0.398288443814449</c:v>
                </c:pt>
                <c:pt idx="18">
                  <c:v>0.38783748442958843</c:v>
                </c:pt>
                <c:pt idx="19">
                  <c:v>0.37790806038598923</c:v>
                </c:pt>
              </c:numCache>
            </c:numRef>
          </c:val>
          <c:smooth val="0"/>
          <c:extLst>
            <c:ext xmlns:c16="http://schemas.microsoft.com/office/drawing/2014/chart" uri="{C3380CC4-5D6E-409C-BE32-E72D297353CC}">
              <c16:uniqueId val="{0000000D-EA0B-4F7F-ADB2-6A5807C2C304}"/>
            </c:ext>
          </c:extLst>
        </c:ser>
        <c:ser>
          <c:idx val="14"/>
          <c:order val="14"/>
          <c:marker>
            <c:symbol val="none"/>
          </c:marker>
          <c:val>
            <c:numRef>
              <c:f>afschrijving!$R$23:$AK$23</c:f>
              <c:numCache>
                <c:formatCode>0%</c:formatCode>
                <c:ptCount val="20"/>
                <c:pt idx="0">
                  <c:v>0.81800000000000006</c:v>
                </c:pt>
                <c:pt idx="1">
                  <c:v>0.74871002358378347</c:v>
                </c:pt>
                <c:pt idx="2">
                  <c:v>0.69886543082022845</c:v>
                </c:pt>
                <c:pt idx="3">
                  <c:v>0.65907983472874598</c:v>
                </c:pt>
                <c:pt idx="4">
                  <c:v>0.62568953285516204</c:v>
                </c:pt>
                <c:pt idx="5">
                  <c:v>0.59680928204225114</c:v>
                </c:pt>
                <c:pt idx="6">
                  <c:v>0.57131786848264132</c:v>
                </c:pt>
                <c:pt idx="7">
                  <c:v>0.54848491425674051</c:v>
                </c:pt>
                <c:pt idx="8">
                  <c:v>0.5278036865133412</c:v>
                </c:pt>
                <c:pt idx="9">
                  <c:v>0.50890592413959279</c:v>
                </c:pt>
                <c:pt idx="10">
                  <c:v>0.49151428906701361</c:v>
                </c:pt>
                <c:pt idx="11">
                  <c:v>0.47541392907320279</c:v>
                </c:pt>
                <c:pt idx="12">
                  <c:v>0.46043452883649361</c:v>
                </c:pt>
                <c:pt idx="13">
                  <c:v>0.4464384784660454</c:v>
                </c:pt>
                <c:pt idx="14">
                  <c:v>0.43331279070037881</c:v>
                </c:pt>
                <c:pt idx="15">
                  <c:v>0.42096341102056545</c:v>
                </c:pt>
                <c:pt idx="16">
                  <c:v>0.40931110874068477</c:v>
                </c:pt>
                <c:pt idx="17">
                  <c:v>0.398288443814449</c:v>
                </c:pt>
                <c:pt idx="18">
                  <c:v>0.38783748442958843</c:v>
                </c:pt>
                <c:pt idx="19">
                  <c:v>0.37790806038598923</c:v>
                </c:pt>
              </c:numCache>
            </c:numRef>
          </c:val>
          <c:smooth val="0"/>
          <c:extLst>
            <c:ext xmlns:c16="http://schemas.microsoft.com/office/drawing/2014/chart" uri="{C3380CC4-5D6E-409C-BE32-E72D297353CC}">
              <c16:uniqueId val="{0000000E-EA0B-4F7F-ADB2-6A5807C2C304}"/>
            </c:ext>
          </c:extLst>
        </c:ser>
        <c:ser>
          <c:idx val="15"/>
          <c:order val="15"/>
          <c:marker>
            <c:symbol val="none"/>
          </c:marker>
          <c:val>
            <c:numRef>
              <c:f>afschrijving!$R$24:$AK$24</c:f>
              <c:numCache>
                <c:formatCode>0%</c:formatCode>
                <c:ptCount val="20"/>
                <c:pt idx="0">
                  <c:v>0.81800000000000006</c:v>
                </c:pt>
                <c:pt idx="1">
                  <c:v>0.74871002358378347</c:v>
                </c:pt>
                <c:pt idx="2">
                  <c:v>0.69886543082022845</c:v>
                </c:pt>
                <c:pt idx="3">
                  <c:v>0.65907983472874598</c:v>
                </c:pt>
                <c:pt idx="4">
                  <c:v>0.62568953285516204</c:v>
                </c:pt>
                <c:pt idx="5">
                  <c:v>0.59680928204225114</c:v>
                </c:pt>
                <c:pt idx="6">
                  <c:v>0.57131786848264132</c:v>
                </c:pt>
                <c:pt idx="7">
                  <c:v>0.54848491425674051</c:v>
                </c:pt>
                <c:pt idx="8">
                  <c:v>0.5278036865133412</c:v>
                </c:pt>
                <c:pt idx="9">
                  <c:v>0.50890592413959279</c:v>
                </c:pt>
                <c:pt idx="10">
                  <c:v>0.49151428906701361</c:v>
                </c:pt>
                <c:pt idx="11">
                  <c:v>0.47541392907320279</c:v>
                </c:pt>
                <c:pt idx="12">
                  <c:v>0.46043452883649361</c:v>
                </c:pt>
                <c:pt idx="13">
                  <c:v>0.4464384784660454</c:v>
                </c:pt>
                <c:pt idx="14">
                  <c:v>0.43331279070037881</c:v>
                </c:pt>
                <c:pt idx="15">
                  <c:v>0.42096341102056545</c:v>
                </c:pt>
                <c:pt idx="16">
                  <c:v>0.40931110874068477</c:v>
                </c:pt>
                <c:pt idx="17">
                  <c:v>0.398288443814449</c:v>
                </c:pt>
                <c:pt idx="18">
                  <c:v>0.38783748442958843</c:v>
                </c:pt>
                <c:pt idx="19">
                  <c:v>0.37790806038598923</c:v>
                </c:pt>
              </c:numCache>
            </c:numRef>
          </c:val>
          <c:smooth val="0"/>
          <c:extLst>
            <c:ext xmlns:c16="http://schemas.microsoft.com/office/drawing/2014/chart" uri="{C3380CC4-5D6E-409C-BE32-E72D297353CC}">
              <c16:uniqueId val="{0000000F-EA0B-4F7F-ADB2-6A5807C2C304}"/>
            </c:ext>
          </c:extLst>
        </c:ser>
        <c:ser>
          <c:idx val="16"/>
          <c:order val="16"/>
          <c:marker>
            <c:symbol val="none"/>
          </c:marker>
          <c:val>
            <c:numRef>
              <c:f>afschrijving!$R$25:$AK$25</c:f>
              <c:numCache>
                <c:formatCode>0%</c:formatCode>
                <c:ptCount val="20"/>
                <c:pt idx="0">
                  <c:v>0.81800000000000006</c:v>
                </c:pt>
                <c:pt idx="1">
                  <c:v>0.74878129447389397</c:v>
                </c:pt>
                <c:pt idx="2">
                  <c:v>0.69899596632004046</c:v>
                </c:pt>
                <c:pt idx="3">
                  <c:v>0.65926058257645459</c:v>
                </c:pt>
                <c:pt idx="4">
                  <c:v>0.6259135834904348</c:v>
                </c:pt>
                <c:pt idx="5">
                  <c:v>0.59707117771703655</c:v>
                </c:pt>
                <c:pt idx="6">
                  <c:v>0.57161317470666884</c:v>
                </c:pt>
                <c:pt idx="7">
                  <c:v>0.54880994756729029</c:v>
                </c:pt>
                <c:pt idx="8">
                  <c:v>0.52815533353639899</c:v>
                </c:pt>
                <c:pt idx="9">
                  <c:v>0.50928151622807294</c:v>
                </c:pt>
                <c:pt idx="10">
                  <c:v>0.49191151234059738</c:v>
                </c:pt>
                <c:pt idx="11">
                  <c:v>0.47583075793866436</c:v>
                </c:pt>
                <c:pt idx="12">
                  <c:v>0.46086917563218316</c:v>
                </c:pt>
                <c:pt idx="13">
                  <c:v>0.44688935451255185</c:v>
                </c:pt>
                <c:pt idx="14">
                  <c:v>0.43377847562813532</c:v>
                </c:pt>
                <c:pt idx="15">
                  <c:v>0.42144262823741507</c:v>
                </c:pt>
                <c:pt idx="16">
                  <c:v>0.40980270554241272</c:v>
                </c:pt>
                <c:pt idx="17">
                  <c:v>0.39879137506592593</c:v>
                </c:pt>
                <c:pt idx="18">
                  <c:v>0.38835079903305153</c:v>
                </c:pt>
                <c:pt idx="19">
                  <c:v>0.37843088995394347</c:v>
                </c:pt>
              </c:numCache>
            </c:numRef>
          </c:val>
          <c:smooth val="0"/>
          <c:extLst>
            <c:ext xmlns:c16="http://schemas.microsoft.com/office/drawing/2014/chart" uri="{C3380CC4-5D6E-409C-BE32-E72D297353CC}">
              <c16:uniqueId val="{00000010-EA0B-4F7F-ADB2-6A5807C2C304}"/>
            </c:ext>
          </c:extLst>
        </c:ser>
        <c:ser>
          <c:idx val="17"/>
          <c:order val="17"/>
          <c:marker>
            <c:symbol val="none"/>
          </c:marker>
          <c:val>
            <c:numRef>
              <c:f>afschrijving!$R$26:$AK$26</c:f>
              <c:numCache>
                <c:formatCode>0%</c:formatCode>
                <c:ptCount val="20"/>
                <c:pt idx="0">
                  <c:v>0.81800000000000006</c:v>
                </c:pt>
                <c:pt idx="1">
                  <c:v>0.74885232155336179</c:v>
                </c:pt>
                <c:pt idx="2">
                  <c:v>0.69912604216831986</c:v>
                </c:pt>
                <c:pt idx="3">
                  <c:v>0.65944068512611631</c:v>
                </c:pt>
                <c:pt idx="4">
                  <c:v>0.62613682929695125</c:v>
                </c:pt>
                <c:pt idx="5">
                  <c:v>0.59733213108784722</c:v>
                </c:pt>
                <c:pt idx="6">
                  <c:v>0.5719074198287224</c:v>
                </c:pt>
                <c:pt idx="7">
                  <c:v>0.54913381692001739</c:v>
                </c:pt>
                <c:pt idx="8">
                  <c:v>0.52850572746919977</c:v>
                </c:pt>
                <c:pt idx="9">
                  <c:v>0.50965577800049011</c:v>
                </c:pt>
                <c:pt idx="10">
                  <c:v>0.49230733847501834</c:v>
                </c:pt>
                <c:pt idx="11">
                  <c:v>0.4762461319863639</c:v>
                </c:pt>
                <c:pt idx="12">
                  <c:v>0.46130231801303051</c:v>
                </c:pt>
                <c:pt idx="13">
                  <c:v>0.44733868372263635</c:v>
                </c:pt>
                <c:pt idx="14">
                  <c:v>0.43424257769500679</c:v>
                </c:pt>
                <c:pt idx="15">
                  <c:v>0.42192023229253678</c:v>
                </c:pt>
                <c:pt idx="16">
                  <c:v>0.41029266401872194</c:v>
                </c:pt>
                <c:pt idx="17">
                  <c:v>0.39929264745182075</c:v>
                </c:pt>
                <c:pt idx="18">
                  <c:v>0.38886243840213752</c:v>
                </c:pt>
                <c:pt idx="19">
                  <c:v>0.37895203169017433</c:v>
                </c:pt>
              </c:numCache>
            </c:numRef>
          </c:val>
          <c:smooth val="0"/>
          <c:extLst>
            <c:ext xmlns:c16="http://schemas.microsoft.com/office/drawing/2014/chart" uri="{C3380CC4-5D6E-409C-BE32-E72D297353CC}">
              <c16:uniqueId val="{00000011-EA0B-4F7F-ADB2-6A5807C2C304}"/>
            </c:ext>
          </c:extLst>
        </c:ser>
        <c:ser>
          <c:idx val="18"/>
          <c:order val="18"/>
          <c:marker>
            <c:symbol val="none"/>
          </c:marker>
          <c:val>
            <c:numRef>
              <c:f>afschrijving!$R$27:$AK$27</c:f>
              <c:numCache>
                <c:formatCode>0%</c:formatCode>
                <c:ptCount val="20"/>
                <c:pt idx="0">
                  <c:v>0.81800000000000006</c:v>
                </c:pt>
                <c:pt idx="1">
                  <c:v>0.74907597245472135</c:v>
                </c:pt>
                <c:pt idx="2">
                  <c:v>0.69953554097267856</c:v>
                </c:pt>
                <c:pt idx="3">
                  <c:v>0.66000761791041496</c:v>
                </c:pt>
                <c:pt idx="4">
                  <c:v>0.62683953745945586</c:v>
                </c:pt>
                <c:pt idx="5">
                  <c:v>0.59815352063981553</c:v>
                </c:pt>
                <c:pt idx="6">
                  <c:v>0.5728336089963012</c:v>
                </c:pt>
                <c:pt idx="7">
                  <c:v>0.55015327909078482</c:v>
                </c:pt>
                <c:pt idx="8">
                  <c:v>0.52960872240635926</c:v>
                </c:pt>
                <c:pt idx="9">
                  <c:v>0.51083395819186983</c:v>
                </c:pt>
                <c:pt idx="10">
                  <c:v>0.49355346688310209</c:v>
                </c:pt>
                <c:pt idx="11">
                  <c:v>0.47755387360837426</c:v>
                </c:pt>
                <c:pt idx="12">
                  <c:v>0.46266608208441162</c:v>
                </c:pt>
                <c:pt idx="13">
                  <c:v>0.44875350172095774</c:v>
                </c:pt>
                <c:pt idx="14">
                  <c:v>0.43570400730754444</c:v>
                </c:pt>
                <c:pt idx="15">
                  <c:v>0.42342428063450688</c:v>
                </c:pt>
                <c:pt idx="16">
                  <c:v>0.41183572540229219</c:v>
                </c:pt>
                <c:pt idx="17">
                  <c:v>0.40087145234088956</c:v>
                </c:pt>
                <c:pt idx="18">
                  <c:v>0.39047401109547536</c:v>
                </c:pt>
                <c:pt idx="19">
                  <c:v>0.38059365490654284</c:v>
                </c:pt>
              </c:numCache>
            </c:numRef>
          </c:val>
          <c:smooth val="0"/>
          <c:extLst>
            <c:ext xmlns:c16="http://schemas.microsoft.com/office/drawing/2014/chart" uri="{C3380CC4-5D6E-409C-BE32-E72D297353CC}">
              <c16:uniqueId val="{00000012-EA0B-4F7F-ADB2-6A5807C2C304}"/>
            </c:ext>
          </c:extLst>
        </c:ser>
        <c:ser>
          <c:idx val="19"/>
          <c:order val="19"/>
          <c:marker>
            <c:symbol val="none"/>
          </c:marker>
          <c:val>
            <c:numRef>
              <c:f>afschrijving!$R$28:$AK$28</c:f>
              <c:numCache>
                <c:formatCode>0%</c:formatCode>
                <c:ptCount val="20"/>
                <c:pt idx="0">
                  <c:v>0.81800000000000006</c:v>
                </c:pt>
                <c:pt idx="1">
                  <c:v>0.7492993248640899</c:v>
                </c:pt>
                <c:pt idx="2">
                  <c:v>0.69994436339500843</c:v>
                </c:pt>
                <c:pt idx="3">
                  <c:v>0.66057352637057765</c:v>
                </c:pt>
                <c:pt idx="4">
                  <c:v>0.62754092640208292</c:v>
                </c:pt>
                <c:pt idx="5">
                  <c:v>0.59897335200236979</c:v>
                </c:pt>
                <c:pt idx="6">
                  <c:v>0.57375805388584411</c:v>
                </c:pt>
                <c:pt idx="7">
                  <c:v>0.55117085903379581</c:v>
                </c:pt>
                <c:pt idx="8">
                  <c:v>0.53070974030819462</c:v>
                </c:pt>
                <c:pt idx="9">
                  <c:v>0.51201010494314425</c:v>
                </c:pt>
                <c:pt idx="10">
                  <c:v>0.49479753953376165</c:v>
                </c:pt>
                <c:pt idx="11">
                  <c:v>0.47885956738321223</c:v>
                </c:pt>
                <c:pt idx="12">
                  <c:v>0.46402783302056838</c:v>
                </c:pt>
                <c:pt idx="13">
                  <c:v>0.45016636506574853</c:v>
                </c:pt>
                <c:pt idx="14">
                  <c:v>0.4371635618356115</c:v>
                </c:pt>
                <c:pt idx="15">
                  <c:v>0.4249265521729873</c:v>
                </c:pt>
                <c:pt idx="16">
                  <c:v>0.41337712486810291</c:v>
                </c:pt>
                <c:pt idx="17">
                  <c:v>0.40244872492967998</c:v>
                </c:pt>
                <c:pt idx="18">
                  <c:v>0.39208419416929119</c:v>
                </c:pt>
                <c:pt idx="19">
                  <c:v>0.38223404275785361</c:v>
                </c:pt>
              </c:numCache>
            </c:numRef>
          </c:val>
          <c:smooth val="0"/>
          <c:extLst>
            <c:ext xmlns:c16="http://schemas.microsoft.com/office/drawing/2014/chart" uri="{C3380CC4-5D6E-409C-BE32-E72D297353CC}">
              <c16:uniqueId val="{00000013-EA0B-4F7F-ADB2-6A5807C2C304}"/>
            </c:ext>
          </c:extLst>
        </c:ser>
        <c:ser>
          <c:idx val="20"/>
          <c:order val="20"/>
          <c:marker>
            <c:symbol val="none"/>
          </c:marker>
          <c:val>
            <c:numRef>
              <c:f>afschrijving!$R$29:$AK$29</c:f>
              <c:numCache>
                <c:formatCode>0%</c:formatCode>
                <c:ptCount val="20"/>
                <c:pt idx="0">
                  <c:v>0.81800000000000006</c:v>
                </c:pt>
                <c:pt idx="1">
                  <c:v>0.749522379503895</c:v>
                </c:pt>
                <c:pt idx="2">
                  <c:v>0.70035251095877493</c:v>
                </c:pt>
                <c:pt idx="3">
                  <c:v>0.66113841251280192</c:v>
                </c:pt>
                <c:pt idx="4">
                  <c:v>0.62824099818618118</c:v>
                </c:pt>
                <c:pt idx="5">
                  <c:v>0.59979162685853793</c:v>
                </c:pt>
                <c:pt idx="6">
                  <c:v>0.57468075540004293</c:v>
                </c:pt>
                <c:pt idx="7">
                  <c:v>0.55218655651321291</c:v>
                </c:pt>
                <c:pt idx="8">
                  <c:v>0.53180877948823246</c:v>
                </c:pt>
                <c:pt idx="9">
                  <c:v>0.51318421484928911</c:v>
                </c:pt>
                <c:pt idx="10">
                  <c:v>0.49603955107619063</c:v>
                </c:pt>
                <c:pt idx="11">
                  <c:v>0.48016320582374944</c:v>
                </c:pt>
                <c:pt idx="12">
                  <c:v>0.4653875610402417</c:v>
                </c:pt>
                <c:pt idx="13">
                  <c:v>0.45157726155283084</c:v>
                </c:pt>
                <c:pt idx="14">
                  <c:v>0.43862122654896335</c:v>
                </c:pt>
                <c:pt idx="15">
                  <c:v>0.42642702957113188</c:v>
                </c:pt>
                <c:pt idx="16">
                  <c:v>0.41491684241208976</c:v>
                </c:pt>
                <c:pt idx="17">
                  <c:v>0.40402444250382874</c:v>
                </c:pt>
                <c:pt idx="18">
                  <c:v>0.39369296217127092</c:v>
                </c:pt>
                <c:pt idx="19">
                  <c:v>0.38387316703976204</c:v>
                </c:pt>
              </c:numCache>
            </c:numRef>
          </c:val>
          <c:smooth val="0"/>
          <c:extLst>
            <c:ext xmlns:c16="http://schemas.microsoft.com/office/drawing/2014/chart" uri="{C3380CC4-5D6E-409C-BE32-E72D297353CC}">
              <c16:uniqueId val="{00000014-EA0B-4F7F-ADB2-6A5807C2C304}"/>
            </c:ext>
          </c:extLst>
        </c:ser>
        <c:ser>
          <c:idx val="21"/>
          <c:order val="21"/>
          <c:marker>
            <c:symbol val="none"/>
          </c:marker>
          <c:val>
            <c:numRef>
              <c:f>afschrijving!$R$30:$AK$30</c:f>
              <c:numCache>
                <c:formatCode>0%</c:formatCode>
                <c:ptCount val="20"/>
                <c:pt idx="0">
                  <c:v>0.81800000000000006</c:v>
                </c:pt>
                <c:pt idx="1">
                  <c:v>0.74974513704696566</c:v>
                </c:pt>
                <c:pt idx="2">
                  <c:v>0.70075998509698123</c:v>
                </c:pt>
                <c:pt idx="3">
                  <c:v>0.66170227822111538</c:v>
                </c:pt>
                <c:pt idx="4">
                  <c:v>0.62893975472757835</c:v>
                </c:pt>
                <c:pt idx="5">
                  <c:v>0.60060834672971763</c:v>
                </c:pt>
                <c:pt idx="6">
                  <c:v>0.57560171426995332</c:v>
                </c:pt>
                <c:pt idx="7">
                  <c:v>0.55320037111660458</c:v>
                </c:pt>
                <c:pt idx="8">
                  <c:v>0.53290583808255276</c:v>
                </c:pt>
                <c:pt idx="9">
                  <c:v>0.51435628433026004</c:v>
                </c:pt>
                <c:pt idx="10">
                  <c:v>0.49727949598954807</c:v>
                </c:pt>
                <c:pt idx="11">
                  <c:v>0.48146478127974818</c:v>
                </c:pt>
                <c:pt idx="12">
                  <c:v>0.46674525620739477</c:v>
                </c:pt>
                <c:pt idx="13">
                  <c:v>0.45298617883252673</c:v>
                </c:pt>
                <c:pt idx="14">
                  <c:v>0.44007698658168753</c:v>
                </c:pt>
                <c:pt idx="15">
                  <c:v>0.42792569536647662</c:v>
                </c:pt>
                <c:pt idx="16">
                  <c:v>0.41645485791455178</c:v>
                </c:pt>
                <c:pt idx="17">
                  <c:v>0.40559858224300233</c:v>
                </c:pt>
                <c:pt idx="18">
                  <c:v>0.39530028955227681</c:v>
                </c:pt>
                <c:pt idx="19">
                  <c:v>0.38551099945955031</c:v>
                </c:pt>
              </c:numCache>
            </c:numRef>
          </c:val>
          <c:smooth val="0"/>
          <c:extLst>
            <c:ext xmlns:c16="http://schemas.microsoft.com/office/drawing/2014/chart" uri="{C3380CC4-5D6E-409C-BE32-E72D297353CC}">
              <c16:uniqueId val="{00000015-EA0B-4F7F-ADB2-6A5807C2C304}"/>
            </c:ext>
          </c:extLst>
        </c:ser>
        <c:ser>
          <c:idx val="22"/>
          <c:order val="22"/>
          <c:marker>
            <c:symbol val="none"/>
          </c:marker>
          <c:val>
            <c:numRef>
              <c:f>afschrijving!$R$31:$AK$31</c:f>
              <c:numCache>
                <c:formatCode>0%</c:formatCode>
                <c:ptCount val="20"/>
                <c:pt idx="0">
                  <c:v>0.81800000000000006</c:v>
                </c:pt>
                <c:pt idx="1">
                  <c:v>0.7499675981160534</c:v>
                </c:pt>
                <c:pt idx="2">
                  <c:v>0.70116678715142122</c:v>
                </c:pt>
                <c:pt idx="3">
                  <c:v>0.66226512525640846</c:v>
                </c:pt>
                <c:pt idx="4">
                  <c:v>0.62963719779538707</c:v>
                </c:pt>
                <c:pt idx="5">
                  <c:v>0.60142351297423147</c:v>
                </c:pt>
                <c:pt idx="6">
                  <c:v>0.57652093105327673</c:v>
                </c:pt>
                <c:pt idx="7">
                  <c:v>0.55421230225293461</c:v>
                </c:pt>
                <c:pt idx="8">
                  <c:v>0.53400091404747241</c:v>
                </c:pt>
                <c:pt idx="9">
                  <c:v>0.51552630962836288</c:v>
                </c:pt>
                <c:pt idx="10">
                  <c:v>0.49851736858001672</c:v>
                </c:pt>
                <c:pt idx="11">
                  <c:v>0.48276428593461329</c:v>
                </c:pt>
                <c:pt idx="12">
                  <c:v>0.46810090842766794</c:v>
                </c:pt>
                <c:pt idx="13">
                  <c:v>0.45439310440583336</c:v>
                </c:pt>
                <c:pt idx="14">
                  <c:v>0.44153082692811807</c:v>
                </c:pt>
                <c:pt idx="15">
                  <c:v>0.42942253196661417</c:v>
                </c:pt>
                <c:pt idx="16">
                  <c:v>0.41799115113560986</c:v>
                </c:pt>
                <c:pt idx="17">
                  <c:v>0.40717112121616877</c:v>
                </c:pt>
                <c:pt idx="18">
                  <c:v>0.39690615066145857</c:v>
                </c:pt>
                <c:pt idx="19">
                  <c:v>0.38714751163110722</c:v>
                </c:pt>
              </c:numCache>
            </c:numRef>
          </c:val>
          <c:smooth val="0"/>
          <c:extLst>
            <c:ext xmlns:c16="http://schemas.microsoft.com/office/drawing/2014/chart" uri="{C3380CC4-5D6E-409C-BE32-E72D297353CC}">
              <c16:uniqueId val="{00000016-EA0B-4F7F-ADB2-6A5807C2C304}"/>
            </c:ext>
          </c:extLst>
        </c:ser>
        <c:ser>
          <c:idx val="23"/>
          <c:order val="23"/>
          <c:marker>
            <c:symbol val="none"/>
          </c:marker>
          <c:val>
            <c:numRef>
              <c:f>afschrijving!$R$32:$AK$32</c:f>
              <c:numCache>
                <c:formatCode>0%</c:formatCode>
                <c:ptCount val="20"/>
                <c:pt idx="0">
                  <c:v>0.81800000000000006</c:v>
                </c:pt>
                <c:pt idx="1">
                  <c:v>0.75012044164491254</c:v>
                </c:pt>
                <c:pt idx="2">
                  <c:v>0.70144620820312142</c:v>
                </c:pt>
                <c:pt idx="3">
                  <c:v>0.66265167769353717</c:v>
                </c:pt>
                <c:pt idx="4">
                  <c:v>0.63011615824700329</c:v>
                </c:pt>
                <c:pt idx="5">
                  <c:v>0.60198330729626703</c:v>
                </c:pt>
                <c:pt idx="6">
                  <c:v>0.57715218460621742</c:v>
                </c:pt>
                <c:pt idx="7">
                  <c:v>0.55490724482140852</c:v>
                </c:pt>
                <c:pt idx="8">
                  <c:v>0.53475298777892299</c:v>
                </c:pt>
                <c:pt idx="9">
                  <c:v>0.51632989911435012</c:v>
                </c:pt>
                <c:pt idx="10">
                  <c:v>0.49936760810736702</c:v>
                </c:pt>
                <c:pt idx="11">
                  <c:v>0.48365691760675711</c:v>
                </c:pt>
                <c:pt idx="12">
                  <c:v>0.46903217504878236</c:v>
                </c:pt>
                <c:pt idx="13">
                  <c:v>0.45535966685752077</c:v>
                </c:pt>
                <c:pt idx="14">
                  <c:v>0.44252969925896091</c:v>
                </c:pt>
                <c:pt idx="15">
                  <c:v>0.4304510295830305</c:v>
                </c:pt>
                <c:pt idx="16">
                  <c:v>0.41904684887444843</c:v>
                </c:pt>
                <c:pt idx="17">
                  <c:v>0.40825181899953805</c:v>
                </c:pt>
                <c:pt idx="18">
                  <c:v>0.39800984505813075</c:v>
                </c:pt>
                <c:pt idx="19">
                  <c:v>0.38827237208152038</c:v>
                </c:pt>
              </c:numCache>
            </c:numRef>
          </c:val>
          <c:smooth val="0"/>
          <c:extLst>
            <c:ext xmlns:c16="http://schemas.microsoft.com/office/drawing/2014/chart" uri="{C3380CC4-5D6E-409C-BE32-E72D297353CC}">
              <c16:uniqueId val="{00000017-EA0B-4F7F-ADB2-6A5807C2C304}"/>
            </c:ext>
          </c:extLst>
        </c:ser>
        <c:ser>
          <c:idx val="24"/>
          <c:order val="24"/>
          <c:marker>
            <c:symbol val="none"/>
          </c:marker>
          <c:val>
            <c:numRef>
              <c:f>afschrijving!$R$33:$AK$33</c:f>
              <c:numCache>
                <c:formatCode>0%</c:formatCode>
                <c:ptCount val="20"/>
                <c:pt idx="0">
                  <c:v>0.81699999999999995</c:v>
                </c:pt>
                <c:pt idx="1">
                  <c:v>0.74915398054537263</c:v>
                </c:pt>
                <c:pt idx="2">
                  <c:v>0.70056466229956837</c:v>
                </c:pt>
                <c:pt idx="3">
                  <c:v>0.66186640600740498</c:v>
                </c:pt>
                <c:pt idx="4">
                  <c:v>0.62942794030626892</c:v>
                </c:pt>
                <c:pt idx="5">
                  <c:v>0.60138927716168111</c:v>
                </c:pt>
                <c:pt idx="6">
                  <c:v>0.57664814313407287</c:v>
                </c:pt>
                <c:pt idx="7">
                  <c:v>0.55448857289504372</c:v>
                </c:pt>
                <c:pt idx="8">
                  <c:v>0.53441504001682283</c:v>
                </c:pt>
                <c:pt idx="9">
                  <c:v>0.51606817880981093</c:v>
                </c:pt>
                <c:pt idx="10">
                  <c:v>0.49917784226908524</c:v>
                </c:pt>
                <c:pt idx="11">
                  <c:v>0.48353508403642786</c:v>
                </c:pt>
                <c:pt idx="12">
                  <c:v>0.46897450583777667</c:v>
                </c:pt>
                <c:pt idx="13">
                  <c:v>0.45536264035470531</c:v>
                </c:pt>
                <c:pt idx="14">
                  <c:v>0.44259002668131603</c:v>
                </c:pt>
                <c:pt idx="15">
                  <c:v>0.43056563949508381</c:v>
                </c:pt>
                <c:pt idx="16">
                  <c:v>0.41921287123056333</c:v>
                </c:pt>
                <c:pt idx="17">
                  <c:v>0.4084665696240104</c:v>
                </c:pt>
                <c:pt idx="18">
                  <c:v>0.39827081099202893</c:v>
                </c:pt>
                <c:pt idx="19">
                  <c:v>0.38857719798024526</c:v>
                </c:pt>
              </c:numCache>
            </c:numRef>
          </c:val>
          <c:smooth val="0"/>
          <c:extLst>
            <c:ext xmlns:c16="http://schemas.microsoft.com/office/drawing/2014/chart" uri="{C3380CC4-5D6E-409C-BE32-E72D297353CC}">
              <c16:uniqueId val="{00000018-EA0B-4F7F-ADB2-6A5807C2C304}"/>
            </c:ext>
          </c:extLst>
        </c:ser>
        <c:ser>
          <c:idx val="25"/>
          <c:order val="25"/>
          <c:marker>
            <c:symbol val="none"/>
          </c:marker>
          <c:val>
            <c:numRef>
              <c:f>afschrijving!$R$34:$AK$34</c:f>
              <c:numCache>
                <c:formatCode>0%</c:formatCode>
                <c:ptCount val="20"/>
                <c:pt idx="0">
                  <c:v>0.81600000000000006</c:v>
                </c:pt>
                <c:pt idx="1">
                  <c:v>0.74818649438594198</c:v>
                </c:pt>
                <c:pt idx="2">
                  <c:v>0.69968057640816994</c:v>
                </c:pt>
                <c:pt idx="3">
                  <c:v>0.66107698070861609</c:v>
                </c:pt>
                <c:pt idx="4">
                  <c:v>0.62873397618043458</c:v>
                </c:pt>
                <c:pt idx="5">
                  <c:v>0.60078797391267524</c:v>
                </c:pt>
                <c:pt idx="6">
                  <c:v>0.57613538411839915</c:v>
                </c:pt>
                <c:pt idx="7">
                  <c:v>0.55405982654286756</c:v>
                </c:pt>
                <c:pt idx="8">
                  <c:v>0.53406574812556107</c:v>
                </c:pt>
                <c:pt idx="9">
                  <c:v>0.51579392894318932</c:v>
                </c:pt>
                <c:pt idx="10">
                  <c:v>0.49897444164666616</c:v>
                </c:pt>
                <c:pt idx="11">
                  <c:v>0.48339858616393522</c:v>
                </c:pt>
                <c:pt idx="12">
                  <c:v>0.4689012139216332</c:v>
                </c:pt>
                <c:pt idx="13">
                  <c:v>0.45534909937725332</c:v>
                </c:pt>
                <c:pt idx="14">
                  <c:v>0.44263301021410967</c:v>
                </c:pt>
                <c:pt idx="15">
                  <c:v>0.43066213442451878</c:v>
                </c:pt>
                <c:pt idx="16">
                  <c:v>0.41936006206117449</c:v>
                </c:pt>
                <c:pt idx="17">
                  <c:v>0.40866182321854266</c:v>
                </c:pt>
                <c:pt idx="18">
                  <c:v>0.3985116621686749</c:v>
                </c:pt>
                <c:pt idx="19">
                  <c:v>0.38886133614670976</c:v>
                </c:pt>
              </c:numCache>
            </c:numRef>
          </c:val>
          <c:smooth val="0"/>
          <c:extLst>
            <c:ext xmlns:c16="http://schemas.microsoft.com/office/drawing/2014/chart" uri="{C3380CC4-5D6E-409C-BE32-E72D297353CC}">
              <c16:uniqueId val="{00000019-EA0B-4F7F-ADB2-6A5807C2C304}"/>
            </c:ext>
          </c:extLst>
        </c:ser>
        <c:ser>
          <c:idx val="26"/>
          <c:order val="26"/>
          <c:marker>
            <c:symbol val="none"/>
          </c:marker>
          <c:val>
            <c:numRef>
              <c:f>afschrijving!$R$35:$AK$35</c:f>
              <c:numCache>
                <c:formatCode>0%</c:formatCode>
                <c:ptCount val="20"/>
                <c:pt idx="0">
                  <c:v>0.81499999999999995</c:v>
                </c:pt>
                <c:pt idx="1">
                  <c:v>0.74720934084242685</c:v>
                </c:pt>
                <c:pt idx="2">
                  <c:v>0.69877821030816589</c:v>
                </c:pt>
                <c:pt idx="3">
                  <c:v>0.66026168129997531</c:v>
                </c:pt>
                <c:pt idx="4">
                  <c:v>0.62800740177931569</c:v>
                </c:pt>
                <c:pt idx="5">
                  <c:v>0.60014804271489908</c:v>
                </c:pt>
                <c:pt idx="6">
                  <c:v>0.57557858787733518</c:v>
                </c:pt>
                <c:pt idx="7">
                  <c:v>0.55358215526797194</c:v>
                </c:pt>
                <c:pt idx="8">
                  <c:v>0.53366309583996463</c:v>
                </c:pt>
                <c:pt idx="9">
                  <c:v>0.51546227917190357</c:v>
                </c:pt>
                <c:pt idx="10">
                  <c:v>0.49870995124789025</c:v>
                </c:pt>
                <c:pt idx="11">
                  <c:v>0.48319761963578134</c:v>
                </c:pt>
                <c:pt idx="12">
                  <c:v>0.46876035284105833</c:v>
                </c:pt>
                <c:pt idx="13">
                  <c:v>0.45526513927500806</c:v>
                </c:pt>
                <c:pt idx="14">
                  <c:v>0.44260295126463872</c:v>
                </c:pt>
                <c:pt idx="15">
                  <c:v>0.43068316934128364</c:v>
                </c:pt>
                <c:pt idx="16">
                  <c:v>0.41942956302033418</c:v>
                </c:pt>
                <c:pt idx="17">
                  <c:v>0.4087773287868271</c:v>
                </c:pt>
                <c:pt idx="18">
                  <c:v>0.39867086474360797</c:v>
                </c:pt>
                <c:pt idx="19">
                  <c:v>0.38906207015574179</c:v>
                </c:pt>
              </c:numCache>
            </c:numRef>
          </c:val>
          <c:smooth val="0"/>
          <c:extLst>
            <c:ext xmlns:c16="http://schemas.microsoft.com/office/drawing/2014/chart" uri="{C3380CC4-5D6E-409C-BE32-E72D297353CC}">
              <c16:uniqueId val="{0000001A-EA0B-4F7F-ADB2-6A5807C2C304}"/>
            </c:ext>
          </c:extLst>
        </c:ser>
        <c:ser>
          <c:idx val="27"/>
          <c:order val="27"/>
          <c:marker>
            <c:symbol val="none"/>
          </c:marker>
          <c:val>
            <c:numRef>
              <c:f>afschrijving!$R$36:$AK$36</c:f>
              <c:numCache>
                <c:formatCode>0%</c:formatCode>
                <c:ptCount val="20"/>
                <c:pt idx="0">
                  <c:v>0.81299999999999994</c:v>
                </c:pt>
                <c:pt idx="1">
                  <c:v>0.74525254240204808</c:v>
                </c:pt>
                <c:pt idx="2">
                  <c:v>0.69696710817011309</c:v>
                </c:pt>
                <c:pt idx="3">
                  <c:v>0.65862052550413286</c:v>
                </c:pt>
                <c:pt idx="4">
                  <c:v>0.62653953440220944</c:v>
                </c:pt>
                <c:pt idx="5">
                  <c:v>0.59884945236368825</c:v>
                </c:pt>
                <c:pt idx="6">
                  <c:v>0.57444246015091605</c:v>
                </c:pt>
                <c:pt idx="7">
                  <c:v>0.55260068911763738</c:v>
                </c:pt>
                <c:pt idx="8">
                  <c:v>0.53282829973570178</c:v>
                </c:pt>
                <c:pt idx="9">
                  <c:v>0.51476633472003919</c:v>
                </c:pt>
                <c:pt idx="10">
                  <c:v>0.49814537738601133</c:v>
                </c:pt>
                <c:pt idx="11">
                  <c:v>0.48275733976879959</c:v>
                </c:pt>
                <c:pt idx="12">
                  <c:v>0.4684377132888895</c:v>
                </c:pt>
                <c:pt idx="13">
                  <c:v>0.45505390314755301</c:v>
                </c:pt>
                <c:pt idx="14">
                  <c:v>0.44249728025578905</c:v>
                </c:pt>
                <c:pt idx="15">
                  <c:v>0.43067760007527139</c:v>
                </c:pt>
                <c:pt idx="16">
                  <c:v>0.41951898151326106</c:v>
                </c:pt>
                <c:pt idx="17">
                  <c:v>0.40895694492825457</c:v>
                </c:pt>
                <c:pt idx="18">
                  <c:v>0.3989361877885258</c:v>
                </c:pt>
                <c:pt idx="19">
                  <c:v>0.38940888570615967</c:v>
                </c:pt>
              </c:numCache>
            </c:numRef>
          </c:val>
          <c:smooth val="0"/>
          <c:extLst>
            <c:ext xmlns:c16="http://schemas.microsoft.com/office/drawing/2014/chart" uri="{C3380CC4-5D6E-409C-BE32-E72D297353CC}">
              <c16:uniqueId val="{0000001B-EA0B-4F7F-ADB2-6A5807C2C304}"/>
            </c:ext>
          </c:extLst>
        </c:ser>
        <c:ser>
          <c:idx val="28"/>
          <c:order val="28"/>
          <c:marker>
            <c:symbol val="none"/>
          </c:marker>
          <c:val>
            <c:numRef>
              <c:f>afschrijving!$R$37:$AK$37</c:f>
              <c:numCache>
                <c:formatCode>0%</c:formatCode>
                <c:ptCount val="20"/>
                <c:pt idx="0">
                  <c:v>0.81099999999999994</c:v>
                </c:pt>
                <c:pt idx="1">
                  <c:v>0.74315914919618964</c:v>
                </c:pt>
                <c:pt idx="2">
                  <c:v>0.69490543516126391</c:v>
                </c:pt>
                <c:pt idx="3">
                  <c:v>0.65663182675657472</c:v>
                </c:pt>
                <c:pt idx="4">
                  <c:v>0.6246401223118706</c:v>
                </c:pt>
                <c:pt idx="5">
                  <c:v>0.59704556308200474</c:v>
                </c:pt>
                <c:pt idx="6">
                  <c:v>0.57273561189306743</c:v>
                </c:pt>
                <c:pt idx="7">
                  <c:v>0.55099000984719493</c:v>
                </c:pt>
                <c:pt idx="8">
                  <c:v>0.5313116623663392</c:v>
                </c:pt>
                <c:pt idx="9">
                  <c:v>0.51334095521963852</c:v>
                </c:pt>
                <c:pt idx="10">
                  <c:v>0.49680814701748044</c:v>
                </c:pt>
                <c:pt idx="11">
                  <c:v>0.48150501628395753</c:v>
                </c:pt>
                <c:pt idx="12">
                  <c:v>0.46726703327073804</c:v>
                </c:pt>
                <c:pt idx="13">
                  <c:v>0.45396164846770876</c:v>
                </c:pt>
                <c:pt idx="14">
                  <c:v>0.44148031700091633</c:v>
                </c:pt>
                <c:pt idx="15">
                  <c:v>0.42973290057424623</c:v>
                </c:pt>
                <c:pt idx="16">
                  <c:v>0.41864363582594877</c:v>
                </c:pt>
                <c:pt idx="17">
                  <c:v>0.40814816570332613</c:v>
                </c:pt>
                <c:pt idx="18">
                  <c:v>0.39819131094255339</c:v>
                </c:pt>
                <c:pt idx="19">
                  <c:v>0.38872536848944111</c:v>
                </c:pt>
              </c:numCache>
            </c:numRef>
          </c:val>
          <c:smooth val="0"/>
          <c:extLst>
            <c:ext xmlns:c16="http://schemas.microsoft.com/office/drawing/2014/chart" uri="{C3380CC4-5D6E-409C-BE32-E72D297353CC}">
              <c16:uniqueId val="{0000001C-EA0B-4F7F-ADB2-6A5807C2C304}"/>
            </c:ext>
          </c:extLst>
        </c:ser>
        <c:ser>
          <c:idx val="29"/>
          <c:order val="29"/>
          <c:marker>
            <c:symbol val="none"/>
          </c:marker>
          <c:val>
            <c:numRef>
              <c:f>afschrijving!$R$38:$AK$38</c:f>
              <c:numCache>
                <c:formatCode>0%</c:formatCode>
                <c:ptCount val="20"/>
                <c:pt idx="0">
                  <c:v>0.80800000000000005</c:v>
                </c:pt>
                <c:pt idx="1">
                  <c:v>0.74036394329236621</c:v>
                </c:pt>
                <c:pt idx="2">
                  <c:v>0.69243529601550358</c:v>
                </c:pt>
                <c:pt idx="3">
                  <c:v>0.65450219330373727</c:v>
                </c:pt>
                <c:pt idx="4">
                  <c:v>0.62284152552645289</c:v>
                </c:pt>
                <c:pt idx="5">
                  <c:v>0.59556129312100026</c:v>
                </c:pt>
                <c:pt idx="6">
                  <c:v>0.57154719475094595</c:v>
                </c:pt>
                <c:pt idx="7">
                  <c:v>0.55007916799607015</c:v>
                </c:pt>
                <c:pt idx="8">
                  <c:v>0.53066104009428605</c:v>
                </c:pt>
                <c:pt idx="9">
                  <c:v>0.51293435835814516</c:v>
                </c:pt>
                <c:pt idx="10">
                  <c:v>0.49663058044036157</c:v>
                </c:pt>
                <c:pt idx="11">
                  <c:v>0.48154263661978586</c:v>
                </c:pt>
                <c:pt idx="12">
                  <c:v>0.46750706846074253</c:v>
                </c:pt>
                <c:pt idx="13">
                  <c:v>0.45439230758842153</c:v>
                </c:pt>
                <c:pt idx="14">
                  <c:v>0.44209070098363595</c:v>
                </c:pt>
                <c:pt idx="15">
                  <c:v>0.43051291843645112</c:v>
                </c:pt>
                <c:pt idx="16">
                  <c:v>0.41958392814124978</c:v>
                </c:pt>
                <c:pt idx="17">
                  <c:v>0.40924003565006617</c:v>
                </c:pt>
                <c:pt idx="18">
                  <c:v>0.39942666262526361</c:v>
                </c:pt>
                <c:pt idx="19">
                  <c:v>0.39009665195191767</c:v>
                </c:pt>
              </c:numCache>
            </c:numRef>
          </c:val>
          <c:smooth val="0"/>
          <c:extLst>
            <c:ext xmlns:c16="http://schemas.microsoft.com/office/drawing/2014/chart" uri="{C3380CC4-5D6E-409C-BE32-E72D297353CC}">
              <c16:uniqueId val="{0000001D-EA0B-4F7F-ADB2-6A5807C2C304}"/>
            </c:ext>
          </c:extLst>
        </c:ser>
        <c:ser>
          <c:idx val="30"/>
          <c:order val="30"/>
          <c:marker>
            <c:symbol val="none"/>
          </c:marker>
          <c:val>
            <c:numRef>
              <c:f>afschrijving!$R$39:$AK$39</c:f>
              <c:numCache>
                <c:formatCode>0%</c:formatCode>
                <c:ptCount val="20"/>
                <c:pt idx="0">
                  <c:v>0.80400000000000005</c:v>
                </c:pt>
                <c:pt idx="1">
                  <c:v>0.73634006877378544</c:v>
                </c:pt>
                <c:pt idx="2">
                  <c:v>0.68859572455308915</c:v>
                </c:pt>
                <c:pt idx="3">
                  <c:v>0.65090398623524548</c:v>
                </c:pt>
                <c:pt idx="4">
                  <c:v>0.61950005681431686</c:v>
                </c:pt>
                <c:pt idx="5">
                  <c:v>0.59247649036031635</c:v>
                </c:pt>
                <c:pt idx="6">
                  <c:v>0.56871253328876481</c:v>
                </c:pt>
                <c:pt idx="7">
                  <c:v>0.54748536713460261</c:v>
                </c:pt>
                <c:pt idx="8">
                  <c:v>0.52829775214622854</c:v>
                </c:pt>
                <c:pt idx="9">
                  <c:v>0.51079098975759607</c:v>
                </c:pt>
                <c:pt idx="10">
                  <c:v>0.49469670228696055</c:v>
                </c:pt>
                <c:pt idx="11">
                  <c:v>0.47980818847337398</c:v>
                </c:pt>
                <c:pt idx="12">
                  <c:v>0.46596245346848725</c:v>
                </c:pt>
                <c:pt idx="13">
                  <c:v>0.45302842896681078</c:v>
                </c:pt>
                <c:pt idx="14">
                  <c:v>0.44089896652067256</c:v>
                </c:pt>
                <c:pt idx="15">
                  <c:v>0.42948522770850178</c:v>
                </c:pt>
                <c:pt idx="16">
                  <c:v>0.41871265073660191</c:v>
                </c:pt>
                <c:pt idx="17">
                  <c:v>0.40851798514763465</c:v>
                </c:pt>
                <c:pt idx="18">
                  <c:v>0.39884706906125483</c:v>
                </c:pt>
                <c:pt idx="19">
                  <c:v>0.38965313433619719</c:v>
                </c:pt>
              </c:numCache>
            </c:numRef>
          </c:val>
          <c:smooth val="0"/>
          <c:extLst>
            <c:ext xmlns:c16="http://schemas.microsoft.com/office/drawing/2014/chart" uri="{C3380CC4-5D6E-409C-BE32-E72D297353CC}">
              <c16:uniqueId val="{0000001E-EA0B-4F7F-ADB2-6A5807C2C304}"/>
            </c:ext>
          </c:extLst>
        </c:ser>
        <c:ser>
          <c:idx val="31"/>
          <c:order val="31"/>
          <c:marker>
            <c:symbol val="none"/>
          </c:marker>
          <c:val>
            <c:numRef>
              <c:f>afschrijving!$R$40:$AK$40</c:f>
              <c:numCache>
                <c:formatCode>0%</c:formatCode>
                <c:ptCount val="20"/>
                <c:pt idx="0">
                  <c:v>0.80099999999999993</c:v>
                </c:pt>
                <c:pt idx="1">
                  <c:v>0.73320753344737188</c:v>
                </c:pt>
                <c:pt idx="2">
                  <c:v>0.68550471203659158</c:v>
                </c:pt>
                <c:pt idx="3">
                  <c:v>0.6479111187596861</c:v>
                </c:pt>
                <c:pt idx="4">
                  <c:v>0.61662753040230955</c:v>
                </c:pt>
                <c:pt idx="5">
                  <c:v>0.58973273756507638</c:v>
                </c:pt>
                <c:pt idx="6">
                  <c:v>0.56609959806112331</c:v>
                </c:pt>
                <c:pt idx="7">
                  <c:v>0.54500208238921122</c:v>
                </c:pt>
                <c:pt idx="8">
                  <c:v>0.52594127823066184</c:v>
                </c:pt>
                <c:pt idx="9">
                  <c:v>0.50855761956102707</c:v>
                </c:pt>
                <c:pt idx="10">
                  <c:v>0.49258230553456495</c:v>
                </c:pt>
                <c:pt idx="11">
                  <c:v>0.47780846569180913</c:v>
                </c:pt>
                <c:pt idx="12">
                  <c:v>0.46407308413548637</c:v>
                </c:pt>
                <c:pt idx="13">
                  <c:v>0.45124515842164881</c:v>
                </c:pt>
                <c:pt idx="14">
                  <c:v>0.43921765633556431</c:v>
                </c:pt>
                <c:pt idx="15">
                  <c:v>0.42790188376229077</c:v>
                </c:pt>
                <c:pt idx="16">
                  <c:v>0.41722343747167762</c:v>
                </c:pt>
                <c:pt idx="17">
                  <c:v>0.40711923119527432</c:v>
                </c:pt>
                <c:pt idx="18">
                  <c:v>0.39753526747365925</c:v>
                </c:pt>
                <c:pt idx="19">
                  <c:v>0.38842493948180817</c:v>
                </c:pt>
              </c:numCache>
            </c:numRef>
          </c:val>
          <c:smooth val="0"/>
          <c:extLst>
            <c:ext xmlns:c16="http://schemas.microsoft.com/office/drawing/2014/chart" uri="{C3380CC4-5D6E-409C-BE32-E72D297353CC}">
              <c16:uniqueId val="{0000001F-EA0B-4F7F-ADB2-6A5807C2C304}"/>
            </c:ext>
          </c:extLst>
        </c:ser>
        <c:ser>
          <c:idx val="32"/>
          <c:order val="32"/>
          <c:marker>
            <c:symbol val="none"/>
          </c:marker>
          <c:val>
            <c:numRef>
              <c:f>afschrijving!$R$41:$AK$41</c:f>
              <c:numCache>
                <c:formatCode>0%</c:formatCode>
                <c:ptCount val="20"/>
                <c:pt idx="0">
                  <c:v>0.79699999999999993</c:v>
                </c:pt>
                <c:pt idx="1">
                  <c:v>0.72880586937153302</c:v>
                </c:pt>
                <c:pt idx="2">
                  <c:v>0.68097425753541041</c:v>
                </c:pt>
                <c:pt idx="3">
                  <c:v>0.64335636624456982</c:v>
                </c:pt>
                <c:pt idx="4">
                  <c:v>0.61209961038281446</c:v>
                </c:pt>
                <c:pt idx="5">
                  <c:v>0.58525962173487678</c:v>
                </c:pt>
                <c:pt idx="6">
                  <c:v>0.5616974494132011</c:v>
                </c:pt>
                <c:pt idx="7">
                  <c:v>0.54068041571640502</c:v>
                </c:pt>
                <c:pt idx="8">
                  <c:v>0.52170560864091764</c:v>
                </c:pt>
                <c:pt idx="9">
                  <c:v>0.50441094144317755</c:v>
                </c:pt>
                <c:pt idx="10">
                  <c:v>0.48852597136559101</c:v>
                </c:pt>
                <c:pt idx="11">
                  <c:v>0.47384273360754897</c:v>
                </c:pt>
                <c:pt idx="12">
                  <c:v>0.46019747203618716</c:v>
                </c:pt>
                <c:pt idx="13">
                  <c:v>0.44745867984756466</c:v>
                </c:pt>
                <c:pt idx="14">
                  <c:v>0.43551898137031092</c:v>
                </c:pt>
                <c:pt idx="15">
                  <c:v>0.42428945091504117</c:v>
                </c:pt>
                <c:pt idx="16">
                  <c:v>0.41369553267111264</c:v>
                </c:pt>
                <c:pt idx="17">
                  <c:v>0.40367404423263725</c:v>
                </c:pt>
                <c:pt idx="18">
                  <c:v>0.39417093269307646</c:v>
                </c:pt>
                <c:pt idx="19">
                  <c:v>0.38513956529038218</c:v>
                </c:pt>
              </c:numCache>
            </c:numRef>
          </c:val>
          <c:smooth val="0"/>
          <c:extLst>
            <c:ext xmlns:c16="http://schemas.microsoft.com/office/drawing/2014/chart" uri="{C3380CC4-5D6E-409C-BE32-E72D297353CC}">
              <c16:uniqueId val="{00000020-EA0B-4F7F-ADB2-6A5807C2C304}"/>
            </c:ext>
          </c:extLst>
        </c:ser>
        <c:ser>
          <c:idx val="33"/>
          <c:order val="33"/>
          <c:marker>
            <c:symbol val="none"/>
          </c:marker>
          <c:val>
            <c:numRef>
              <c:f>afschrijving!$R$42:$AK$42</c:f>
              <c:numCache>
                <c:formatCode>0%</c:formatCode>
                <c:ptCount val="20"/>
                <c:pt idx="0">
                  <c:v>0.79299999999999993</c:v>
                </c:pt>
                <c:pt idx="1">
                  <c:v>0.72441776711256578</c:v>
                </c:pt>
                <c:pt idx="2">
                  <c:v>0.67646524848484468</c:v>
                </c:pt>
                <c:pt idx="3">
                  <c:v>0.63882801624043739</c:v>
                </c:pt>
                <c:pt idx="4">
                  <c:v>0.60760128199339714</c:v>
                </c:pt>
                <c:pt idx="5">
                  <c:v>0.58081812249993958</c:v>
                </c:pt>
                <c:pt idx="6">
                  <c:v>0.55732813324469177</c:v>
                </c:pt>
                <c:pt idx="7">
                  <c:v>0.5363922142199703</c:v>
                </c:pt>
                <c:pt idx="8">
                  <c:v>0.51750360564182818</c:v>
                </c:pt>
                <c:pt idx="9">
                  <c:v>0.5002978064941036</c:v>
                </c:pt>
                <c:pt idx="10">
                  <c:v>0.48450280910736598</c:v>
                </c:pt>
                <c:pt idx="11">
                  <c:v>0.46990961145895987</c:v>
                </c:pt>
                <c:pt idx="12">
                  <c:v>0.45635376042253695</c:v>
                </c:pt>
                <c:pt idx="13">
                  <c:v>0.44370327812157612</c:v>
                </c:pt>
                <c:pt idx="14">
                  <c:v>0.43185047140945881</c:v>
                </c:pt>
                <c:pt idx="15">
                  <c:v>0.42070620353688309</c:v>
                </c:pt>
                <c:pt idx="16">
                  <c:v>0.41019578246815958</c:v>
                </c:pt>
                <c:pt idx="17">
                  <c:v>0.4002559428055526</c:v>
                </c:pt>
                <c:pt idx="18">
                  <c:v>0.39083258683254735</c:v>
                </c:pt>
                <c:pt idx="19">
                  <c:v>0.38187906450526599</c:v>
                </c:pt>
              </c:numCache>
            </c:numRef>
          </c:val>
          <c:smooth val="0"/>
          <c:extLst>
            <c:ext xmlns:c16="http://schemas.microsoft.com/office/drawing/2014/chart" uri="{C3380CC4-5D6E-409C-BE32-E72D297353CC}">
              <c16:uniqueId val="{00000021-EA0B-4F7F-ADB2-6A5807C2C304}"/>
            </c:ext>
          </c:extLst>
        </c:ser>
        <c:ser>
          <c:idx val="34"/>
          <c:order val="34"/>
          <c:marker>
            <c:symbol val="none"/>
          </c:marker>
          <c:val>
            <c:numRef>
              <c:f>afschrijving!$R$43:$AK$43</c:f>
              <c:numCache>
                <c:formatCode>0%</c:formatCode>
                <c:ptCount val="20"/>
                <c:pt idx="0">
                  <c:v>0.78899999999999992</c:v>
                </c:pt>
                <c:pt idx="1">
                  <c:v>0.72027548333653957</c:v>
                </c:pt>
                <c:pt idx="2">
                  <c:v>0.67239346491846552</c:v>
                </c:pt>
                <c:pt idx="3">
                  <c:v>0.63489317171207116</c:v>
                </c:pt>
                <c:pt idx="4">
                  <c:v>0.60382793640162147</c:v>
                </c:pt>
                <c:pt idx="5">
                  <c:v>0.57721447419901095</c:v>
                </c:pt>
                <c:pt idx="6">
                  <c:v>0.55389497924628983</c:v>
                </c:pt>
                <c:pt idx="7">
                  <c:v>0.53312674950653749</c:v>
                </c:pt>
                <c:pt idx="8">
                  <c:v>0.51440123190341758</c:v>
                </c:pt>
                <c:pt idx="9">
                  <c:v>0.49735306109158567</c:v>
                </c:pt>
                <c:pt idx="10">
                  <c:v>0.481709866612199</c:v>
                </c:pt>
                <c:pt idx="11">
                  <c:v>0.46726256273232164</c:v>
                </c:pt>
                <c:pt idx="12">
                  <c:v>0.45384676981691158</c:v>
                </c:pt>
                <c:pt idx="13">
                  <c:v>0.44133067130298559</c:v>
                </c:pt>
                <c:pt idx="14">
                  <c:v>0.42960678256710449</c:v>
                </c:pt>
                <c:pt idx="15">
                  <c:v>0.41858619836776229</c:v>
                </c:pt>
                <c:pt idx="16">
                  <c:v>0.40819446656737934</c:v>
                </c:pt>
                <c:pt idx="17">
                  <c:v>0.39836856126393921</c:v>
                </c:pt>
                <c:pt idx="18">
                  <c:v>0.38905461860409352</c:v>
                </c:pt>
                <c:pt idx="19">
                  <c:v>0.38020621376288299</c:v>
                </c:pt>
              </c:numCache>
            </c:numRef>
          </c:val>
          <c:smooth val="0"/>
          <c:extLst>
            <c:ext xmlns:c16="http://schemas.microsoft.com/office/drawing/2014/chart" uri="{C3380CC4-5D6E-409C-BE32-E72D297353CC}">
              <c16:uniqueId val="{00000022-EA0B-4F7F-ADB2-6A5807C2C304}"/>
            </c:ext>
          </c:extLst>
        </c:ser>
        <c:ser>
          <c:idx val="35"/>
          <c:order val="35"/>
          <c:marker>
            <c:symbol val="none"/>
          </c:marker>
          <c:val>
            <c:numRef>
              <c:f>afschrijving!$R$44:$AK$44</c:f>
              <c:numCache>
                <c:formatCode>0%</c:formatCode>
                <c:ptCount val="20"/>
                <c:pt idx="0">
                  <c:v>0.78500000000000003</c:v>
                </c:pt>
                <c:pt idx="1">
                  <c:v>0.71607215192572216</c:v>
                </c:pt>
                <c:pt idx="2">
                  <c:v>0.66820797366899809</c:v>
                </c:pt>
                <c:pt idx="3">
                  <c:v>0.63079891499502339</c:v>
                </c:pt>
                <c:pt idx="4">
                  <c:v>0.59985499192877634</c:v>
                </c:pt>
                <c:pt idx="5">
                  <c:v>0.57337550269849846</c:v>
                </c:pt>
                <c:pt idx="6">
                  <c:v>0.55019446604114508</c:v>
                </c:pt>
                <c:pt idx="7">
                  <c:v>0.52956499538070489</c:v>
                </c:pt>
                <c:pt idx="8">
                  <c:v>0.51097629423779467</c:v>
                </c:pt>
                <c:pt idx="9">
                  <c:v>0.49406177696368475</c:v>
                </c:pt>
                <c:pt idx="10">
                  <c:v>0.4785484231676575</c:v>
                </c:pt>
                <c:pt idx="11">
                  <c:v>0.46422682787042352</c:v>
                </c:pt>
                <c:pt idx="12">
                  <c:v>0.45093248893921883</c:v>
                </c:pt>
                <c:pt idx="13">
                  <c:v>0.43853358602226555</c:v>
                </c:pt>
                <c:pt idx="14">
                  <c:v>0.42692270244204344</c:v>
                </c:pt>
                <c:pt idx="15">
                  <c:v>0.41601104364526587</c:v>
                </c:pt>
                <c:pt idx="16">
                  <c:v>0.40572429269416133</c:v>
                </c:pt>
                <c:pt idx="17">
                  <c:v>0.39599957178778256</c:v>
                </c:pt>
                <c:pt idx="18">
                  <c:v>0.3867831706309684</c:v>
                </c:pt>
                <c:pt idx="19">
                  <c:v>0.37802881864073906</c:v>
                </c:pt>
              </c:numCache>
            </c:numRef>
          </c:val>
          <c:smooth val="0"/>
          <c:extLst>
            <c:ext xmlns:c16="http://schemas.microsoft.com/office/drawing/2014/chart" uri="{C3380CC4-5D6E-409C-BE32-E72D297353CC}">
              <c16:uniqueId val="{00000023-EA0B-4F7F-ADB2-6A5807C2C304}"/>
            </c:ext>
          </c:extLst>
        </c:ser>
        <c:ser>
          <c:idx val="36"/>
          <c:order val="36"/>
          <c:marker>
            <c:symbol val="none"/>
          </c:marker>
          <c:val>
            <c:numRef>
              <c:f>afschrijving!$R$45:$AK$45</c:f>
              <c:numCache>
                <c:formatCode>0%</c:formatCode>
                <c:ptCount val="20"/>
                <c:pt idx="0">
                  <c:v>0.78200000000000003</c:v>
                </c:pt>
                <c:pt idx="1">
                  <c:v>0.71240821391374587</c:v>
                </c:pt>
                <c:pt idx="2">
                  <c:v>0.66415452666245733</c:v>
                </c:pt>
                <c:pt idx="3">
                  <c:v>0.62648225334948149</c:v>
                </c:pt>
                <c:pt idx="4">
                  <c:v>0.59534846146830611</c:v>
                </c:pt>
                <c:pt idx="5">
                  <c:v>0.56872697004890893</c:v>
                </c:pt>
                <c:pt idx="6">
                  <c:v>0.54543747993913971</c:v>
                </c:pt>
                <c:pt idx="7">
                  <c:v>0.52472423529464207</c:v>
                </c:pt>
                <c:pt idx="8">
                  <c:v>0.50607056224060598</c:v>
                </c:pt>
                <c:pt idx="9">
                  <c:v>0.489105782177094</c:v>
                </c:pt>
                <c:pt idx="10">
                  <c:v>0.47355391366353511</c:v>
                </c:pt>
                <c:pt idx="11">
                  <c:v>0.45920334379310845</c:v>
                </c:pt>
                <c:pt idx="12">
                  <c:v>0.44588788312177952</c:v>
                </c:pt>
                <c:pt idx="13">
                  <c:v>0.43347439531407173</c:v>
                </c:pt>
                <c:pt idx="14">
                  <c:v>0.42185441956084391</c:v>
                </c:pt>
                <c:pt idx="15">
                  <c:v>0.41093832065316516</c:v>
                </c:pt>
                <c:pt idx="16">
                  <c:v>0.40065109621411582</c:v>
                </c:pt>
                <c:pt idx="17">
                  <c:v>0.3909293033732264</c:v>
                </c:pt>
                <c:pt idx="18">
                  <c:v>0.38171876146871203</c:v>
                </c:pt>
                <c:pt idx="19">
                  <c:v>0.3729728050158948</c:v>
                </c:pt>
              </c:numCache>
            </c:numRef>
          </c:val>
          <c:smooth val="0"/>
          <c:extLst>
            <c:ext xmlns:c16="http://schemas.microsoft.com/office/drawing/2014/chart" uri="{C3380CC4-5D6E-409C-BE32-E72D297353CC}">
              <c16:uniqueId val="{00000024-EA0B-4F7F-ADB2-6A5807C2C304}"/>
            </c:ext>
          </c:extLst>
        </c:ser>
        <c:ser>
          <c:idx val="37"/>
          <c:order val="37"/>
          <c:marker>
            <c:symbol val="none"/>
          </c:marker>
          <c:val>
            <c:numRef>
              <c:f>afschrijving!$R$46:$AK$46</c:f>
              <c:numCache>
                <c:formatCode>0%</c:formatCode>
                <c:ptCount val="20"/>
                <c:pt idx="0">
                  <c:v>0.77900000000000003</c:v>
                </c:pt>
                <c:pt idx="1">
                  <c:v>0.70900484856660995</c:v>
                </c:pt>
                <c:pt idx="2">
                  <c:v>0.66056570959967498</c:v>
                </c:pt>
                <c:pt idx="3">
                  <c:v>0.62279753191152942</c:v>
                </c:pt>
                <c:pt idx="4">
                  <c:v>0.59161512264850968</c:v>
                </c:pt>
                <c:pt idx="5">
                  <c:v>0.56497326451006846</c:v>
                </c:pt>
                <c:pt idx="6">
                  <c:v>0.54168156994727634</c:v>
                </c:pt>
                <c:pt idx="7">
                  <c:v>0.52097836514165441</c:v>
                </c:pt>
                <c:pt idx="8">
                  <c:v>0.50234325347053654</c:v>
                </c:pt>
                <c:pt idx="9">
                  <c:v>0.48540309201316856</c:v>
                </c:pt>
                <c:pt idx="10">
                  <c:v>0.46988020361640687</c:v>
                </c:pt>
                <c:pt idx="11">
                  <c:v>0.45556177269251097</c:v>
                </c:pt>
                <c:pt idx="12">
                  <c:v>0.44228073597483103</c:v>
                </c:pt>
                <c:pt idx="13">
                  <c:v>0.42990330975304858</c:v>
                </c:pt>
                <c:pt idx="14">
                  <c:v>0.41832054594511436</c:v>
                </c:pt>
                <c:pt idx="15">
                  <c:v>0.40744243780720718</c:v>
                </c:pt>
                <c:pt idx="16">
                  <c:v>0.39719369669230764</c:v>
                </c:pt>
                <c:pt idx="17">
                  <c:v>0.3875106573037434</c:v>
                </c:pt>
                <c:pt idx="18">
                  <c:v>0.37833896503484182</c:v>
                </c:pt>
                <c:pt idx="19">
                  <c:v>0.36963181772453985</c:v>
                </c:pt>
              </c:numCache>
            </c:numRef>
          </c:val>
          <c:smooth val="0"/>
          <c:extLst>
            <c:ext xmlns:c16="http://schemas.microsoft.com/office/drawing/2014/chart" uri="{C3380CC4-5D6E-409C-BE32-E72D297353CC}">
              <c16:uniqueId val="{00000025-EA0B-4F7F-ADB2-6A5807C2C304}"/>
            </c:ext>
          </c:extLst>
        </c:ser>
        <c:ser>
          <c:idx val="38"/>
          <c:order val="38"/>
          <c:marker>
            <c:symbol val="none"/>
          </c:marker>
          <c:val>
            <c:numRef>
              <c:f>afschrijving!$R$47:$AK$47</c:f>
              <c:numCache>
                <c:formatCode>0%</c:formatCode>
                <c:ptCount val="20"/>
                <c:pt idx="0">
                  <c:v>0.77600000000000002</c:v>
                </c:pt>
                <c:pt idx="1">
                  <c:v>0.70587459380900364</c:v>
                </c:pt>
                <c:pt idx="2">
                  <c:v>0.65746177346833601</c:v>
                </c:pt>
                <c:pt idx="3">
                  <c:v>0.61977020318073717</c:v>
                </c:pt>
                <c:pt idx="4">
                  <c:v>0.58868409393445409</c:v>
                </c:pt>
                <c:pt idx="5">
                  <c:v>0.56214614499357851</c:v>
                </c:pt>
                <c:pt idx="6">
                  <c:v>0.53896041095354896</c:v>
                </c:pt>
                <c:pt idx="7">
                  <c:v>0.51836244372219797</c:v>
                </c:pt>
                <c:pt idx="8">
                  <c:v>0.4998304086676299</c:v>
                </c:pt>
                <c:pt idx="9">
                  <c:v>0.48299041891211447</c:v>
                </c:pt>
                <c:pt idx="10">
                  <c:v>0.4675644337559639</c:v>
                </c:pt>
                <c:pt idx="11">
                  <c:v>0.45333949014526576</c:v>
                </c:pt>
                <c:pt idx="12">
                  <c:v>0.44014850264166311</c:v>
                </c:pt>
                <c:pt idx="13">
                  <c:v>0.42785773843202562</c:v>
                </c:pt>
                <c:pt idx="14">
                  <c:v>0.41635834242090813</c:v>
                </c:pt>
                <c:pt idx="15">
                  <c:v>0.4055604241447931</c:v>
                </c:pt>
                <c:pt idx="16">
                  <c:v>0.3953888229524854</c:v>
                </c:pt>
                <c:pt idx="17">
                  <c:v>0.38578000607041074</c:v>
                </c:pt>
                <c:pt idx="18">
                  <c:v>0.37667975148144134</c:v>
                </c:pt>
                <c:pt idx="19">
                  <c:v>0.36804138694270078</c:v>
                </c:pt>
              </c:numCache>
            </c:numRef>
          </c:val>
          <c:smooth val="0"/>
          <c:extLst>
            <c:ext xmlns:c16="http://schemas.microsoft.com/office/drawing/2014/chart" uri="{C3380CC4-5D6E-409C-BE32-E72D297353CC}">
              <c16:uniqueId val="{00000026-EA0B-4F7F-ADB2-6A5807C2C304}"/>
            </c:ext>
          </c:extLst>
        </c:ser>
        <c:ser>
          <c:idx val="39"/>
          <c:order val="39"/>
          <c:marker>
            <c:symbol val="none"/>
          </c:marker>
          <c:val>
            <c:numRef>
              <c:f>afschrijving!$R$48:$AK$48</c:f>
              <c:numCache>
                <c:formatCode>0%</c:formatCode>
                <c:ptCount val="20"/>
                <c:pt idx="0">
                  <c:v>0.77300000000000002</c:v>
                </c:pt>
                <c:pt idx="1">
                  <c:v>0.70306804877778506</c:v>
                </c:pt>
                <c:pt idx="2">
                  <c:v>0.65492997677458142</c:v>
                </c:pt>
                <c:pt idx="3">
                  <c:v>0.61751619384522172</c:v>
                </c:pt>
                <c:pt idx="4">
                  <c:v>0.58669470337888696</c:v>
                </c:pt>
                <c:pt idx="5">
                  <c:v>0.56040457869816163</c:v>
                </c:pt>
                <c:pt idx="6">
                  <c:v>0.53744977677740569</c:v>
                </c:pt>
                <c:pt idx="7">
                  <c:v>0.51706683805714226</c:v>
                </c:pt>
                <c:pt idx="8">
                  <c:v>0.4987352096393623</c:v>
                </c:pt>
                <c:pt idx="9">
                  <c:v>0.482082299322313</c:v>
                </c:pt>
                <c:pt idx="10">
                  <c:v>0.46683127537627145</c:v>
                </c:pt>
                <c:pt idx="11">
                  <c:v>0.45277026868888448</c:v>
                </c:pt>
                <c:pt idx="12">
                  <c:v>0.4397331705974068</c:v>
                </c:pt>
                <c:pt idx="13">
                  <c:v>0.42758711605055916</c:v>
                </c:pt>
                <c:pt idx="14">
                  <c:v>0.4162240201207919</c:v>
                </c:pt>
                <c:pt idx="15">
                  <c:v>0.40555467667893791</c:v>
                </c:pt>
                <c:pt idx="16">
                  <c:v>0.39550453451335577</c:v>
                </c:pt>
                <c:pt idx="17">
                  <c:v>0.38601060512382945</c:v>
                </c:pt>
                <c:pt idx="18">
                  <c:v>0.3770191540664744</c:v>
                </c:pt>
                <c:pt idx="19">
                  <c:v>0.36848394726096617</c:v>
                </c:pt>
              </c:numCache>
            </c:numRef>
          </c:val>
          <c:smooth val="0"/>
          <c:extLst>
            <c:ext xmlns:c16="http://schemas.microsoft.com/office/drawing/2014/chart" uri="{C3380CC4-5D6E-409C-BE32-E72D297353CC}">
              <c16:uniqueId val="{00000027-EA0B-4F7F-ADB2-6A5807C2C304}"/>
            </c:ext>
          </c:extLst>
        </c:ser>
        <c:ser>
          <c:idx val="40"/>
          <c:order val="40"/>
          <c:marker>
            <c:symbol val="none"/>
          </c:marker>
          <c:val>
            <c:numRef>
              <c:f>afschrijving!$R$49:$AK$49</c:f>
              <c:numCache>
                <c:formatCode>0%</c:formatCode>
                <c:ptCount val="20"/>
                <c:pt idx="0">
                  <c:v>0.76900000000000002</c:v>
                </c:pt>
                <c:pt idx="1">
                  <c:v>0.69912836340835982</c:v>
                </c:pt>
                <c:pt idx="2">
                  <c:v>0.65119815937768588</c:v>
                </c:pt>
                <c:pt idx="3">
                  <c:v>0.61402303585316509</c:v>
                </c:pt>
                <c:pt idx="4">
                  <c:v>0.58344208209891579</c:v>
                </c:pt>
                <c:pt idx="5">
                  <c:v>0.55738497164674961</c:v>
                </c:pt>
                <c:pt idx="6">
                  <c:v>0.53465246649964182</c:v>
                </c:pt>
                <c:pt idx="7">
                  <c:v>0.51448025199318437</c:v>
                </c:pt>
                <c:pt idx="8">
                  <c:v>0.4963478778745436</c:v>
                </c:pt>
                <c:pt idx="9">
                  <c:v>0.47988325172195351</c:v>
                </c:pt>
                <c:pt idx="10">
                  <c:v>0.46481019281205066</c:v>
                </c:pt>
                <c:pt idx="11">
                  <c:v>0.45091752162983662</c:v>
                </c:pt>
                <c:pt idx="12">
                  <c:v>0.43803980561125611</c:v>
                </c:pt>
                <c:pt idx="13">
                  <c:v>0.4260448190746049</c:v>
                </c:pt>
                <c:pt idx="14">
                  <c:v>0.41482507066307323</c:v>
                </c:pt>
                <c:pt idx="15">
                  <c:v>0.40429189996393272</c:v>
                </c:pt>
                <c:pt idx="16">
                  <c:v>0.39437125499143799</c:v>
                </c:pt>
                <c:pt idx="17">
                  <c:v>0.38500060291479976</c:v>
                </c:pt>
                <c:pt idx="18">
                  <c:v>0.37612662494750865</c:v>
                </c:pt>
                <c:pt idx="19">
                  <c:v>0.3677034663139811</c:v>
                </c:pt>
              </c:numCache>
            </c:numRef>
          </c:val>
          <c:smooth val="0"/>
          <c:extLst>
            <c:ext xmlns:c16="http://schemas.microsoft.com/office/drawing/2014/chart" uri="{C3380CC4-5D6E-409C-BE32-E72D297353CC}">
              <c16:uniqueId val="{00000028-EA0B-4F7F-ADB2-6A5807C2C304}"/>
            </c:ext>
          </c:extLst>
        </c:ser>
        <c:ser>
          <c:idx val="41"/>
          <c:order val="41"/>
          <c:marker>
            <c:symbol val="none"/>
          </c:marker>
          <c:val>
            <c:numRef>
              <c:f>afschrijving!$R$50:$AK$50</c:f>
              <c:numCache>
                <c:formatCode>0%</c:formatCode>
                <c:ptCount val="20"/>
                <c:pt idx="0">
                  <c:v>0.76600000000000001</c:v>
                </c:pt>
                <c:pt idx="1">
                  <c:v>0.69602167975015072</c:v>
                </c:pt>
                <c:pt idx="2">
                  <c:v>0.64812749478234999</c:v>
                </c:pt>
                <c:pt idx="3">
                  <c:v>0.61103255617208585</c:v>
                </c:pt>
                <c:pt idx="4">
                  <c:v>0.58054822994501831</c:v>
                </c:pt>
                <c:pt idx="5">
                  <c:v>0.55459347095065448</c:v>
                </c:pt>
                <c:pt idx="6">
                  <c:v>0.5319642243117646</c:v>
                </c:pt>
                <c:pt idx="7">
                  <c:v>0.51189383868484195</c:v>
                </c:pt>
                <c:pt idx="8">
                  <c:v>0.49386069945144073</c:v>
                </c:pt>
                <c:pt idx="9">
                  <c:v>0.47749214843217946</c:v>
                </c:pt>
                <c:pt idx="10">
                  <c:v>0.46251176083413603</c:v>
                </c:pt>
                <c:pt idx="11">
                  <c:v>0.44870829145278557</c:v>
                </c:pt>
                <c:pt idx="12">
                  <c:v>0.43591634229875392</c:v>
                </c:pt>
                <c:pt idx="13">
                  <c:v>0.42400377826253094</c:v>
                </c:pt>
                <c:pt idx="14">
                  <c:v>0.41286322874951903</c:v>
                </c:pt>
                <c:pt idx="15">
                  <c:v>0.40240616896077758</c:v>
                </c:pt>
                <c:pt idx="16">
                  <c:v>0.39255868816449796</c:v>
                </c:pt>
                <c:pt idx="17">
                  <c:v>0.3832583948890983</c:v>
                </c:pt>
                <c:pt idx="18">
                  <c:v>0.37445210852694177</c:v>
                </c:pt>
                <c:pt idx="19">
                  <c:v>0.36609410741108112</c:v>
                </c:pt>
              </c:numCache>
            </c:numRef>
          </c:val>
          <c:smooth val="0"/>
          <c:extLst>
            <c:ext xmlns:c16="http://schemas.microsoft.com/office/drawing/2014/chart" uri="{C3380CC4-5D6E-409C-BE32-E72D297353CC}">
              <c16:uniqueId val="{00000029-EA0B-4F7F-ADB2-6A5807C2C304}"/>
            </c:ext>
          </c:extLst>
        </c:ser>
        <c:ser>
          <c:idx val="42"/>
          <c:order val="42"/>
          <c:marker>
            <c:symbol val="none"/>
          </c:marker>
          <c:val>
            <c:numRef>
              <c:f>afschrijving!$R$51:$AK$51</c:f>
              <c:numCache>
                <c:formatCode>0%</c:formatCode>
                <c:ptCount val="20"/>
                <c:pt idx="0">
                  <c:v>0.76300000000000001</c:v>
                </c:pt>
                <c:pt idx="1">
                  <c:v>0.69315302331603124</c:v>
                </c:pt>
                <c:pt idx="2">
                  <c:v>0.64547456228625844</c:v>
                </c:pt>
                <c:pt idx="3">
                  <c:v>0.60860400333587406</c:v>
                </c:pt>
                <c:pt idx="4">
                  <c:v>0.57833620852320444</c:v>
                </c:pt>
                <c:pt idx="5">
                  <c:v>0.55258586813522348</c:v>
                </c:pt>
                <c:pt idx="6">
                  <c:v>0.5301482180655569</c:v>
                </c:pt>
                <c:pt idx="7">
                  <c:v>0.51025707095148343</c:v>
                </c:pt>
                <c:pt idx="8">
                  <c:v>0.49239165502485327</c:v>
                </c:pt>
                <c:pt idx="9">
                  <c:v>0.47618024038002371</c:v>
                </c:pt>
                <c:pt idx="10">
                  <c:v>0.46134730373879512</c:v>
                </c:pt>
                <c:pt idx="11">
                  <c:v>0.44768243391482476</c:v>
                </c:pt>
                <c:pt idx="12">
                  <c:v>0.43502098819173651</c:v>
                </c:pt>
                <c:pt idx="13">
                  <c:v>0.42323150898201478</c:v>
                </c:pt>
                <c:pt idx="14">
                  <c:v>0.41220723126519071</c:v>
                </c:pt>
                <c:pt idx="15">
                  <c:v>0.4018601712004724</c:v>
                </c:pt>
                <c:pt idx="16">
                  <c:v>0.39211690181942238</c:v>
                </c:pt>
                <c:pt idx="17">
                  <c:v>0.38291546513031205</c:v>
                </c:pt>
                <c:pt idx="18">
                  <c:v>0.37420306991205854</c:v>
                </c:pt>
                <c:pt idx="19">
                  <c:v>0.36593434522650159</c:v>
                </c:pt>
              </c:numCache>
            </c:numRef>
          </c:val>
          <c:smooth val="0"/>
          <c:extLst>
            <c:ext xmlns:c16="http://schemas.microsoft.com/office/drawing/2014/chart" uri="{C3380CC4-5D6E-409C-BE32-E72D297353CC}">
              <c16:uniqueId val="{0000002A-EA0B-4F7F-ADB2-6A5807C2C304}"/>
            </c:ext>
          </c:extLst>
        </c:ser>
        <c:ser>
          <c:idx val="43"/>
          <c:order val="43"/>
          <c:marker>
            <c:symbol val="none"/>
          </c:marker>
          <c:val>
            <c:numRef>
              <c:f>afschrijving!$R$52:$AK$52</c:f>
              <c:numCache>
                <c:formatCode>0%</c:formatCode>
                <c:ptCount val="20"/>
                <c:pt idx="0">
                  <c:v>0.75919999999999999</c:v>
                </c:pt>
                <c:pt idx="1">
                  <c:v>0.68973844778161353</c:v>
                </c:pt>
                <c:pt idx="2">
                  <c:v>0.64249466271645639</c:v>
                </c:pt>
                <c:pt idx="3">
                  <c:v>0.60603604544654244</c:v>
                </c:pt>
                <c:pt idx="4">
                  <c:v>0.57614772606813802</c:v>
                </c:pt>
                <c:pt idx="5">
                  <c:v>0.55074524375258405</c:v>
                </c:pt>
                <c:pt idx="6">
                  <c:v>0.52862683852123071</c:v>
                </c:pt>
                <c:pt idx="7">
                  <c:v>0.50902953270443307</c:v>
                </c:pt>
                <c:pt idx="8">
                  <c:v>0.49143547907672697</c:v>
                </c:pt>
                <c:pt idx="9">
                  <c:v>0.47547549196314626</c:v>
                </c:pt>
                <c:pt idx="10">
                  <c:v>0.46087623026649127</c:v>
                </c:pt>
                <c:pt idx="11">
                  <c:v>0.44742915005769252</c:v>
                </c:pt>
                <c:pt idx="12">
                  <c:v>0.4349712104494059</c:v>
                </c:pt>
                <c:pt idx="13">
                  <c:v>0.42337233429832671</c:v>
                </c:pt>
                <c:pt idx="14">
                  <c:v>0.41252695265135847</c:v>
                </c:pt>
                <c:pt idx="15">
                  <c:v>0.40234812377136109</c:v>
                </c:pt>
                <c:pt idx="16">
                  <c:v>0.39276333363448002</c:v>
                </c:pt>
                <c:pt idx="17">
                  <c:v>0.38371142825087623</c:v>
                </c:pt>
                <c:pt idx="18">
                  <c:v>0.37514032798075059</c:v>
                </c:pt>
                <c:pt idx="19">
                  <c:v>0.36700529461018677</c:v>
                </c:pt>
              </c:numCache>
            </c:numRef>
          </c:val>
          <c:smooth val="0"/>
          <c:extLst>
            <c:ext xmlns:c16="http://schemas.microsoft.com/office/drawing/2014/chart" uri="{C3380CC4-5D6E-409C-BE32-E72D297353CC}">
              <c16:uniqueId val="{0000002B-EA0B-4F7F-ADB2-6A5807C2C304}"/>
            </c:ext>
          </c:extLst>
        </c:ser>
        <c:ser>
          <c:idx val="44"/>
          <c:order val="44"/>
          <c:marker>
            <c:symbol val="none"/>
          </c:marker>
          <c:val>
            <c:numRef>
              <c:f>afschrijving!$R$53:$AK$53</c:f>
              <c:numCache>
                <c:formatCode>0%</c:formatCode>
                <c:ptCount val="20"/>
                <c:pt idx="0">
                  <c:v>0.75500000000000012</c:v>
                </c:pt>
                <c:pt idx="1">
                  <c:v>0.68571193827840993</c:v>
                </c:pt>
                <c:pt idx="2">
                  <c:v>0.63875019591287141</c:v>
                </c:pt>
                <c:pt idx="3">
                  <c:v>0.6025838181284332</c:v>
                </c:pt>
                <c:pt idx="4">
                  <c:v>0.57297694129091714</c:v>
                </c:pt>
                <c:pt idx="5">
                  <c:v>0.54783985670755864</c:v>
                </c:pt>
                <c:pt idx="6">
                  <c:v>0.52597005930748375</c:v>
                </c:pt>
                <c:pt idx="7">
                  <c:v>0.50660528047855491</c:v>
                </c:pt>
                <c:pt idx="8">
                  <c:v>0.48922883236407022</c:v>
                </c:pt>
                <c:pt idx="9">
                  <c:v>0.47347277404690585</c:v>
                </c:pt>
                <c:pt idx="10">
                  <c:v>0.459064958435559</c:v>
                </c:pt>
                <c:pt idx="11">
                  <c:v>0.44579793773675264</c:v>
                </c:pt>
                <c:pt idx="12">
                  <c:v>0.43350965832327232</c:v>
                </c:pt>
                <c:pt idx="13">
                  <c:v>0.4220709250244627</c:v>
                </c:pt>
                <c:pt idx="14">
                  <c:v>0.41137695460374846</c:v>
                </c:pt>
                <c:pt idx="15">
                  <c:v>0.40134150529570684</c:v>
                </c:pt>
                <c:pt idx="16">
                  <c:v>0.39189268760510565</c:v>
                </c:pt>
                <c:pt idx="17">
                  <c:v>0.38296990605318665</c:v>
                </c:pt>
                <c:pt idx="18">
                  <c:v>0.37452158183992623</c:v>
                </c:pt>
                <c:pt idx="19">
                  <c:v>0.36650342718914636</c:v>
                </c:pt>
              </c:numCache>
            </c:numRef>
          </c:val>
          <c:smooth val="0"/>
          <c:extLst>
            <c:ext xmlns:c16="http://schemas.microsoft.com/office/drawing/2014/chart" uri="{C3380CC4-5D6E-409C-BE32-E72D297353CC}">
              <c16:uniqueId val="{0000002C-EA0B-4F7F-ADB2-6A5807C2C304}"/>
            </c:ext>
          </c:extLst>
        </c:ser>
        <c:ser>
          <c:idx val="45"/>
          <c:order val="45"/>
          <c:marker>
            <c:symbol val="none"/>
          </c:marker>
          <c:val>
            <c:numRef>
              <c:f>afschrijving!$R$54:$AK$54</c:f>
              <c:numCache>
                <c:formatCode>0%</c:formatCode>
                <c:ptCount val="20"/>
                <c:pt idx="0">
                  <c:v>0.755</c:v>
                </c:pt>
                <c:pt idx="1">
                  <c:v>0.68603422027970729</c:v>
                </c:pt>
                <c:pt idx="2">
                  <c:v>0.63931539889144073</c:v>
                </c:pt>
                <c:pt idx="3">
                  <c:v>0.60334407937664036</c:v>
                </c:pt>
                <c:pt idx="4">
                  <c:v>0.57389966321071606</c:v>
                </c:pt>
                <c:pt idx="5">
                  <c:v>0.54890116078425655</c:v>
                </c:pt>
                <c:pt idx="6">
                  <c:v>0.52715159150349322</c:v>
                </c:pt>
                <c:pt idx="7">
                  <c:v>0.50789244184241988</c:v>
                </c:pt>
                <c:pt idx="8">
                  <c:v>0.49060970916106073</c:v>
                </c:pt>
                <c:pt idx="9">
                  <c:v>0.47493744787445491</c:v>
                </c:pt>
                <c:pt idx="10">
                  <c:v>0.46060503890852467</c:v>
                </c:pt>
                <c:pt idx="11">
                  <c:v>0.44740623336332469</c:v>
                </c:pt>
                <c:pt idx="12">
                  <c:v>0.4351799372628109</c:v>
                </c:pt>
                <c:pt idx="13">
                  <c:v>0.42379773656777125</c:v>
                </c:pt>
                <c:pt idx="14">
                  <c:v>0.41315549299348053</c:v>
                </c:pt>
                <c:pt idx="15">
                  <c:v>0.40316750386960359</c:v>
                </c:pt>
                <c:pt idx="16">
                  <c:v>0.39376233515938136</c:v>
                </c:pt>
                <c:pt idx="17">
                  <c:v>0.38487977981563792</c:v>
                </c:pt>
                <c:pt idx="18">
                  <c:v>0.37646859307711028</c:v>
                </c:pt>
                <c:pt idx="19">
                  <c:v>0.36848477657258977</c:v>
                </c:pt>
              </c:numCache>
            </c:numRef>
          </c:val>
          <c:smooth val="0"/>
          <c:extLst>
            <c:ext xmlns:c16="http://schemas.microsoft.com/office/drawing/2014/chart" uri="{C3380CC4-5D6E-409C-BE32-E72D297353CC}">
              <c16:uniqueId val="{0000002D-EA0B-4F7F-ADB2-6A5807C2C304}"/>
            </c:ext>
          </c:extLst>
        </c:ser>
        <c:ser>
          <c:idx val="46"/>
          <c:order val="46"/>
          <c:marker>
            <c:symbol val="none"/>
          </c:marker>
          <c:val>
            <c:numRef>
              <c:f>afschrijving!$R$55:$AK$55</c:f>
              <c:numCache>
                <c:formatCode>0%</c:formatCode>
                <c:ptCount val="20"/>
                <c:pt idx="0">
                  <c:v>0.75028536741214058</c:v>
                </c:pt>
                <c:pt idx="1">
                  <c:v>0.68174122752146782</c:v>
                </c:pt>
                <c:pt idx="2">
                  <c:v>0.63550040908635219</c:v>
                </c:pt>
                <c:pt idx="3">
                  <c:v>0.59998227049177599</c:v>
                </c:pt>
                <c:pt idx="4">
                  <c:v>0.57095543580997055</c:v>
                </c:pt>
                <c:pt idx="5">
                  <c:v>0.5463399221757046</c:v>
                </c:pt>
                <c:pt idx="6">
                  <c:v>0.52494210923142393</c:v>
                </c:pt>
                <c:pt idx="7">
                  <c:v>0.50600704300739008</c:v>
                </c:pt>
                <c:pt idx="8">
                  <c:v>0.48902394763527585</c:v>
                </c:pt>
                <c:pt idx="9">
                  <c:v>0.4736296740255555</c:v>
                </c:pt>
                <c:pt idx="10">
                  <c:v>0.4595559943214062</c:v>
                </c:pt>
                <c:pt idx="11">
                  <c:v>0.44659870052155881</c:v>
                </c:pt>
                <c:pt idx="12">
                  <c:v>0.43459844561482025</c:v>
                </c:pt>
                <c:pt idx="13">
                  <c:v>0.42342831823369775</c:v>
                </c:pt>
                <c:pt idx="14">
                  <c:v>0.41298547990630619</c:v>
                </c:pt>
                <c:pt idx="15">
                  <c:v>0.40318535880330664</c:v>
                </c:pt>
                <c:pt idx="16">
                  <c:v>0.39395751029071868</c:v>
                </c:pt>
                <c:pt idx="17">
                  <c:v>0.38524259765647417</c:v>
                </c:pt>
                <c:pt idx="18">
                  <c:v>0.37699014564063182</c:v>
                </c:pt>
                <c:pt idx="19">
                  <c:v>0.36915683947347577</c:v>
                </c:pt>
              </c:numCache>
            </c:numRef>
          </c:val>
          <c:smooth val="0"/>
          <c:extLst>
            <c:ext xmlns:c16="http://schemas.microsoft.com/office/drawing/2014/chart" uri="{C3380CC4-5D6E-409C-BE32-E72D297353CC}">
              <c16:uniqueId val="{00000000-7E47-4FEF-B1F0-85DF5D0147A9}"/>
            </c:ext>
          </c:extLst>
        </c:ser>
        <c:ser>
          <c:idx val="47"/>
          <c:order val="47"/>
          <c:marker>
            <c:symbol val="none"/>
          </c:marker>
          <c:val>
            <c:numRef>
              <c:f>afschrijving!$R$56:$AK$56</c:f>
              <c:numCache>
                <c:formatCode>0%</c:formatCode>
                <c:ptCount val="20"/>
                <c:pt idx="0">
                  <c:v>0.74712932907348251</c:v>
                </c:pt>
                <c:pt idx="1">
                  <c:v>0.68026365091270546</c:v>
                </c:pt>
                <c:pt idx="2">
                  <c:v>0.63537628100575039</c:v>
                </c:pt>
                <c:pt idx="3">
                  <c:v>0.60098389263239083</c:v>
                </c:pt>
                <c:pt idx="4">
                  <c:v>0.57291797895552821</c:v>
                </c:pt>
                <c:pt idx="5">
                  <c:v>0.54913827572667429</c:v>
                </c:pt>
                <c:pt idx="6">
                  <c:v>0.52847774111308987</c:v>
                </c:pt>
                <c:pt idx="7">
                  <c:v>0.51020013646498974</c:v>
                </c:pt>
                <c:pt idx="8">
                  <c:v>0.49380841097880473</c:v>
                </c:pt>
                <c:pt idx="9">
                  <c:v>0.47894981241386908</c:v>
                </c:pt>
                <c:pt idx="10">
                  <c:v>0.46536419787000011</c:v>
                </c:pt>
                <c:pt idx="11">
                  <c:v>0.45285378371538848</c:v>
                </c:pt>
                <c:pt idx="12">
                  <c:v>0.44126442082628975</c:v>
                </c:pt>
                <c:pt idx="13">
                  <c:v>0.43047346831497019</c:v>
                </c:pt>
                <c:pt idx="14">
                  <c:v>0.42038164271120582</c:v>
                </c:pt>
                <c:pt idx="15">
                  <c:v>0.41090736556468715</c:v>
                </c:pt>
                <c:pt idx="16">
                  <c:v>0.40198273806287649</c:v>
                </c:pt>
                <c:pt idx="17">
                  <c:v>0.39355060789143154</c:v>
                </c:pt>
                <c:pt idx="18">
                  <c:v>0.3855623888699749</c:v>
                </c:pt>
                <c:pt idx="19">
                  <c:v>0.37797641146096916</c:v>
                </c:pt>
              </c:numCache>
            </c:numRef>
          </c:val>
          <c:smooth val="0"/>
          <c:extLst>
            <c:ext xmlns:c16="http://schemas.microsoft.com/office/drawing/2014/chart" uri="{C3380CC4-5D6E-409C-BE32-E72D297353CC}">
              <c16:uniqueId val="{00000001-7E47-4FEF-B1F0-85DF5D0147A9}"/>
            </c:ext>
          </c:extLst>
        </c:ser>
        <c:ser>
          <c:idx val="48"/>
          <c:order val="48"/>
          <c:marker>
            <c:symbol val="none"/>
          </c:marker>
          <c:val>
            <c:numRef>
              <c:f>afschrijving!$R$57:$AK$57</c:f>
              <c:numCache>
                <c:formatCode>0%</c:formatCode>
                <c:ptCount val="20"/>
                <c:pt idx="0">
                  <c:v>0.74397329073482443</c:v>
                </c:pt>
                <c:pt idx="1">
                  <c:v>0.6778601311869612</c:v>
                </c:pt>
                <c:pt idx="2">
                  <c:v>0.6336267708992851</c:v>
                </c:pt>
                <c:pt idx="3">
                  <c:v>0.59979753647221212</c:v>
                </c:pt>
                <c:pt idx="4">
                  <c:v>0.57222323634085126</c:v>
                </c:pt>
                <c:pt idx="5">
                  <c:v>0.54887842325674474</c:v>
                </c:pt>
                <c:pt idx="6">
                  <c:v>0.52860684646491185</c:v>
                </c:pt>
                <c:pt idx="7">
                  <c:v>0.51068024682219648</c:v>
                </c:pt>
                <c:pt idx="8">
                  <c:v>0.49460761871044545</c:v>
                </c:pt>
                <c:pt idx="9">
                  <c:v>0.48004089810740075</c:v>
                </c:pt>
                <c:pt idx="10">
                  <c:v>0.46672365409884875</c:v>
                </c:pt>
                <c:pt idx="11">
                  <c:v>0.45446109536339413</c:v>
                </c:pt>
                <c:pt idx="12">
                  <c:v>0.44310152270312386</c:v>
                </c:pt>
                <c:pt idx="13">
                  <c:v>0.43252432831223586</c:v>
                </c:pt>
                <c:pt idx="14">
                  <c:v>0.42263193586656084</c:v>
                </c:pt>
                <c:pt idx="15">
                  <c:v>0.41334421529560283</c:v>
                </c:pt>
                <c:pt idx="16">
                  <c:v>0.40459450793420515</c:v>
                </c:pt>
                <c:pt idx="17">
                  <c:v>0.39632673202045549</c:v>
                </c:pt>
                <c:pt idx="18">
                  <c:v>0.38849323230465221</c:v>
                </c:pt>
                <c:pt idx="19">
                  <c:v>0.38105315411556923</c:v>
                </c:pt>
              </c:numCache>
            </c:numRef>
          </c:val>
          <c:smooth val="0"/>
          <c:extLst>
            <c:ext xmlns:c16="http://schemas.microsoft.com/office/drawing/2014/chart" uri="{C3380CC4-5D6E-409C-BE32-E72D297353CC}">
              <c16:uniqueId val="{00000002-7E47-4FEF-B1F0-85DF5D0147A9}"/>
            </c:ext>
          </c:extLst>
        </c:ser>
        <c:ser>
          <c:idx val="49"/>
          <c:order val="49"/>
          <c:marker>
            <c:symbol val="none"/>
          </c:marker>
          <c:val>
            <c:numRef>
              <c:f>afschrijving!$R$58:$AK$58</c:f>
              <c:numCache>
                <c:formatCode>0%</c:formatCode>
                <c:ptCount val="20"/>
                <c:pt idx="0">
                  <c:v>0.74081725239616625</c:v>
                </c:pt>
                <c:pt idx="1">
                  <c:v>0.67550261456027738</c:v>
                </c:pt>
                <c:pt idx="2">
                  <c:v>0.63195006969952849</c:v>
                </c:pt>
                <c:pt idx="3">
                  <c:v>0.59870228515350388</c:v>
                </c:pt>
                <c:pt idx="4">
                  <c:v>0.57163318061678547</c:v>
                </c:pt>
                <c:pt idx="5">
                  <c:v>0.54873390448149173</c:v>
                </c:pt>
                <c:pt idx="6">
                  <c:v>0.52885996459120466</c:v>
                </c:pt>
                <c:pt idx="7">
                  <c:v>0.51129166030104967</c:v>
                </c:pt>
                <c:pt idx="8">
                  <c:v>0.49554440162803565</c:v>
                </c:pt>
                <c:pt idx="9">
                  <c:v>0.48127506186973207</c:v>
                </c:pt>
                <c:pt idx="10">
                  <c:v>0.46823109617795511</c:v>
                </c:pt>
                <c:pt idx="11">
                  <c:v>0.45622083099618366</c:v>
                </c:pt>
                <c:pt idx="12">
                  <c:v>0.44509510976978683</c:v>
                </c:pt>
                <c:pt idx="13">
                  <c:v>0.43473542775336621</c:v>
                </c:pt>
                <c:pt idx="14">
                  <c:v>0.4250459695346579</c:v>
                </c:pt>
                <c:pt idx="15">
                  <c:v>0.41594809536980853</c:v>
                </c:pt>
                <c:pt idx="16">
                  <c:v>0.40737641990550438</c:v>
                </c:pt>
                <c:pt idx="17">
                  <c:v>0.39927595846139152</c:v>
                </c:pt>
                <c:pt idx="18">
                  <c:v>0.39160000816066454</c:v>
                </c:pt>
                <c:pt idx="19">
                  <c:v>0.38430854669009984</c:v>
                </c:pt>
              </c:numCache>
            </c:numRef>
          </c:val>
          <c:smooth val="0"/>
          <c:extLst>
            <c:ext xmlns:c16="http://schemas.microsoft.com/office/drawing/2014/chart" uri="{C3380CC4-5D6E-409C-BE32-E72D297353CC}">
              <c16:uniqueId val="{00000003-7E47-4FEF-B1F0-85DF5D0147A9}"/>
            </c:ext>
          </c:extLst>
        </c:ser>
        <c:ser>
          <c:idx val="50"/>
          <c:order val="50"/>
          <c:marker>
            <c:symbol val="none"/>
          </c:marker>
          <c:val>
            <c:numRef>
              <c:f>afschrijving!$R$59:$AK$59</c:f>
              <c:numCache>
                <c:formatCode>0%</c:formatCode>
                <c:ptCount val="20"/>
                <c:pt idx="0">
                  <c:v>0.73766121405750806</c:v>
                </c:pt>
                <c:pt idx="1">
                  <c:v>0.67319179290636366</c:v>
                </c:pt>
                <c:pt idx="2">
                  <c:v>0.63034707808410373</c:v>
                </c:pt>
                <c:pt idx="3">
                  <c:v>0.59769913372930816</c:v>
                </c:pt>
                <c:pt idx="4">
                  <c:v>0.57114887057164265</c:v>
                </c:pt>
                <c:pt idx="5">
                  <c:v>0.54870583704377629</c:v>
                </c:pt>
                <c:pt idx="6">
                  <c:v>0.52923827582295768</c:v>
                </c:pt>
                <c:pt idx="7">
                  <c:v>0.5120356265038517</c:v>
                </c:pt>
                <c:pt idx="8">
                  <c:v>0.49662008566717192</c:v>
                </c:pt>
                <c:pt idx="9">
                  <c:v>0.48265371263513113</c:v>
                </c:pt>
                <c:pt idx="10">
                  <c:v>0.46988802200142299</c:v>
                </c:pt>
                <c:pt idx="11">
                  <c:v>0.45813458265614504</c:v>
                </c:pt>
                <c:pt idx="12">
                  <c:v>0.44724687266385449</c:v>
                </c:pt>
                <c:pt idx="13">
                  <c:v>0.43710855964576079</c:v>
                </c:pt>
                <c:pt idx="14">
                  <c:v>0.42762564227486966</c:v>
                </c:pt>
                <c:pt idx="15">
                  <c:v>0.4187210125664258</c:v>
                </c:pt>
                <c:pt idx="16">
                  <c:v>0.41033059120052323</c:v>
                </c:pt>
                <c:pt idx="17">
                  <c:v>0.40240051672782617</c:v>
                </c:pt>
                <c:pt idx="18">
                  <c:v>0.3948850597619063</c:v>
                </c:pt>
                <c:pt idx="19">
                  <c:v>0.387745047561735</c:v>
                </c:pt>
              </c:numCache>
            </c:numRef>
          </c:val>
          <c:smooth val="0"/>
          <c:extLst>
            <c:ext xmlns:c16="http://schemas.microsoft.com/office/drawing/2014/chart" uri="{C3380CC4-5D6E-409C-BE32-E72D297353CC}">
              <c16:uniqueId val="{00000004-7E47-4FEF-B1F0-85DF5D0147A9}"/>
            </c:ext>
          </c:extLst>
        </c:ser>
        <c:ser>
          <c:idx val="51"/>
          <c:order val="51"/>
          <c:marker>
            <c:symbol val="none"/>
          </c:marker>
          <c:val>
            <c:numRef>
              <c:f>afschrijving!$R$60:$AK$60</c:f>
              <c:numCache>
                <c:formatCode>0%</c:formatCode>
                <c:ptCount val="20"/>
                <c:pt idx="0">
                  <c:v>0.73450517571884999</c:v>
                </c:pt>
                <c:pt idx="1">
                  <c:v>0.67092840311362101</c:v>
                </c:pt>
                <c:pt idx="2">
                  <c:v>0.62881876755686461</c:v>
                </c:pt>
                <c:pt idx="3">
                  <c:v>0.59678916739693844</c:v>
                </c:pt>
                <c:pt idx="4">
                  <c:v>0.57077147070121481</c:v>
                </c:pt>
                <c:pt idx="5">
                  <c:v>0.54879545717710743</c:v>
                </c:pt>
                <c:pt idx="6">
                  <c:v>0.52974308987610397</c:v>
                </c:pt>
                <c:pt idx="7">
                  <c:v>0.51291353351486968</c:v>
                </c:pt>
                <c:pt idx="8">
                  <c:v>0.49783614293167616</c:v>
                </c:pt>
                <c:pt idx="9">
                  <c:v>0.48417841200305833</c:v>
                </c:pt>
                <c:pt idx="10">
                  <c:v>0.47169608761311332</c:v>
                </c:pt>
                <c:pt idx="11">
                  <c:v>0.46020410515191523</c:v>
                </c:pt>
                <c:pt idx="12">
                  <c:v>0.4495586686571259</c:v>
                </c:pt>
                <c:pt idx="13">
                  <c:v>0.43964568685067362</c:v>
                </c:pt>
                <c:pt idx="14">
                  <c:v>0.4303730251564144</c:v>
                </c:pt>
                <c:pt idx="15">
                  <c:v>0.42166514833894769</c:v>
                </c:pt>
                <c:pt idx="16">
                  <c:v>0.41345931545234221</c:v>
                </c:pt>
                <c:pt idx="17">
                  <c:v>0.40570281410146414</c:v>
                </c:pt>
                <c:pt idx="18">
                  <c:v>0.3983509092292925</c:v>
                </c:pt>
                <c:pt idx="19">
                  <c:v>0.39136529464399961</c:v>
                </c:pt>
              </c:numCache>
            </c:numRef>
          </c:val>
          <c:smooth val="0"/>
          <c:extLst>
            <c:ext xmlns:c16="http://schemas.microsoft.com/office/drawing/2014/chart" uri="{C3380CC4-5D6E-409C-BE32-E72D297353CC}">
              <c16:uniqueId val="{00000005-7E47-4FEF-B1F0-85DF5D0147A9}"/>
            </c:ext>
          </c:extLst>
        </c:ser>
        <c:ser>
          <c:idx val="52"/>
          <c:order val="52"/>
          <c:marker>
            <c:symbol val="none"/>
          </c:marker>
          <c:val>
            <c:numRef>
              <c:f>afschrijving!$R$61:$AK$61</c:f>
              <c:numCache>
                <c:formatCode>0%</c:formatCode>
                <c:ptCount val="20"/>
                <c:pt idx="0">
                  <c:v>0.73134913738019192</c:v>
                </c:pt>
                <c:pt idx="1">
                  <c:v>0.66871323033753705</c:v>
                </c:pt>
                <c:pt idx="2">
                  <c:v>0.62736618511252695</c:v>
                </c:pt>
                <c:pt idx="3">
                  <c:v>0.59597356684818459</c:v>
                </c:pt>
                <c:pt idx="4">
                  <c:v>0.57050225685509948</c:v>
                </c:pt>
                <c:pt idx="5">
                  <c:v>0.5490041254125908</c:v>
                </c:pt>
                <c:pt idx="6">
                  <c:v>0.53037585146705679</c:v>
                </c:pt>
                <c:pt idx="7">
                  <c:v>0.51392691332213758</c:v>
                </c:pt>
                <c:pt idx="8">
                  <c:v>0.49919419685076621</c:v>
                </c:pt>
                <c:pt idx="9">
                  <c:v>0.48585087908052232</c:v>
                </c:pt>
                <c:pt idx="10">
                  <c:v>0.47365711169807123</c:v>
                </c:pt>
                <c:pt idx="11">
                  <c:v>0.46243132017254746</c:v>
                </c:pt>
                <c:pt idx="12">
                  <c:v>0.45203252537311978</c:v>
                </c:pt>
                <c:pt idx="13">
                  <c:v>0.44234894538958819</c:v>
                </c:pt>
                <c:pt idx="14">
                  <c:v>0.43329036464275966</c:v>
                </c:pt>
                <c:pt idx="15">
                  <c:v>0.42478286126944848</c:v>
                </c:pt>
                <c:pt idx="16">
                  <c:v>0.41676506472109626</c:v>
                </c:pt>
                <c:pt idx="17">
                  <c:v>0.40918543720849382</c:v>
                </c:pt>
                <c:pt idx="18">
                  <c:v>0.4020002586119415</c:v>
                </c:pt>
                <c:pt idx="19">
                  <c:v>0.39517210606971698</c:v>
                </c:pt>
              </c:numCache>
            </c:numRef>
          </c:val>
          <c:smooth val="0"/>
          <c:extLst>
            <c:ext xmlns:c16="http://schemas.microsoft.com/office/drawing/2014/chart" uri="{C3380CC4-5D6E-409C-BE32-E72D297353CC}">
              <c16:uniqueId val="{00000006-7E47-4FEF-B1F0-85DF5D0147A9}"/>
            </c:ext>
          </c:extLst>
        </c:ser>
        <c:ser>
          <c:idx val="53"/>
          <c:order val="53"/>
          <c:marker>
            <c:symbol val="none"/>
          </c:marker>
          <c:val>
            <c:numRef>
              <c:f>afschrijving!$R$62:$AK$62</c:f>
              <c:numCache>
                <c:formatCode>0%</c:formatCode>
                <c:ptCount val="20"/>
                <c:pt idx="0">
                  <c:v>0.72819309904153373</c:v>
                </c:pt>
                <c:pt idx="1">
                  <c:v>0.66654711156425761</c:v>
                </c:pt>
                <c:pt idx="2">
                  <c:v>0.62599045834141143</c:v>
                </c:pt>
                <c:pt idx="3">
                  <c:v>0.59525361412391142</c:v>
                </c:pt>
                <c:pt idx="4">
                  <c:v>0.5703426224203324</c:v>
                </c:pt>
                <c:pt idx="5">
                  <c:v>0.5493333328381953</c:v>
                </c:pt>
                <c:pt idx="6">
                  <c:v>0.53113814648417079</c:v>
                </c:pt>
                <c:pt idx="7">
                  <c:v>0.51507744779089171</c:v>
                </c:pt>
                <c:pt idx="8">
                  <c:v>0.50069602787773704</c:v>
                </c:pt>
                <c:pt idx="9">
                  <c:v>0.48767299585128254</c:v>
                </c:pt>
                <c:pt idx="10">
                  <c:v>0.47577308058245266</c:v>
                </c:pt>
                <c:pt idx="11">
                  <c:v>0.46481832088873831</c:v>
                </c:pt>
                <c:pt idx="12">
                  <c:v>0.45467064496753062</c:v>
                </c:pt>
                <c:pt idx="13">
                  <c:v>0.44522064818712037</c:v>
                </c:pt>
                <c:pt idx="14">
                  <c:v>0.43638008588403959</c:v>
                </c:pt>
                <c:pt idx="15">
                  <c:v>0.42807668990041092</c:v>
                </c:pt>
                <c:pt idx="16">
                  <c:v>0.42025049185720365</c:v>
                </c:pt>
                <c:pt idx="17">
                  <c:v>0.41285115390776661</c:v>
                </c:pt>
                <c:pt idx="18">
                  <c:v>0.40583599129502262</c:v>
                </c:pt>
                <c:pt idx="19">
                  <c:v>0.39916848111411091</c:v>
                </c:pt>
              </c:numCache>
            </c:numRef>
          </c:val>
          <c:smooth val="0"/>
          <c:extLst>
            <c:ext xmlns:c16="http://schemas.microsoft.com/office/drawing/2014/chart" uri="{C3380CC4-5D6E-409C-BE32-E72D297353CC}">
              <c16:uniqueId val="{00000007-7E47-4FEF-B1F0-85DF5D0147A9}"/>
            </c:ext>
          </c:extLst>
        </c:ser>
        <c:ser>
          <c:idx val="54"/>
          <c:order val="54"/>
          <c:marker>
            <c:symbol val="none"/>
          </c:marker>
          <c:val>
            <c:numRef>
              <c:f>afschrijving!$R$63:$AK$63</c:f>
              <c:numCache>
                <c:formatCode>0%</c:formatCode>
                <c:ptCount val="20"/>
                <c:pt idx="0">
                  <c:v>0.72503706070287555</c:v>
                </c:pt>
                <c:pt idx="1">
                  <c:v>0.66443093952225307</c:v>
                </c:pt>
                <c:pt idx="2">
                  <c:v>0.62469280102541191</c:v>
                </c:pt>
                <c:pt idx="3">
                  <c:v>0.59463069903028498</c:v>
                </c:pt>
                <c:pt idx="4">
                  <c:v>0.57029408510171398</c:v>
                </c:pt>
                <c:pt idx="5">
                  <c:v>0.54978470796959344</c:v>
                </c:pt>
                <c:pt idx="6">
                  <c:v>0.53203170877281625</c:v>
                </c:pt>
                <c:pt idx="7">
                  <c:v>0.51636697524380826</c:v>
                </c:pt>
                <c:pt idx="8">
                  <c:v>0.50234357978213928</c:v>
                </c:pt>
                <c:pt idx="9">
                  <c:v>0.48964681312023556</c:v>
                </c:pt>
                <c:pt idx="10">
                  <c:v>0.47804615378630155</c:v>
                </c:pt>
                <c:pt idx="11">
                  <c:v>0.46736737708124693</c:v>
                </c:pt>
                <c:pt idx="12">
                  <c:v>0.45747540880739218</c:v>
                </c:pt>
                <c:pt idx="13">
                  <c:v>0.44826328928169379</c:v>
                </c:pt>
                <c:pt idx="14">
                  <c:v>0.43964479644414806</c:v>
                </c:pt>
                <c:pt idx="15">
                  <c:v>0.43154935596620736</c:v>
                </c:pt>
                <c:pt idx="16">
                  <c:v>0.42391843322748685</c:v>
                </c:pt>
                <c:pt idx="17">
                  <c:v>0.41670291550352634</c:v>
                </c:pt>
                <c:pt idx="18">
                  <c:v>0.40986117369235503</c:v>
                </c:pt>
                <c:pt idx="19">
                  <c:v>0.40335760136152421</c:v>
                </c:pt>
              </c:numCache>
            </c:numRef>
          </c:val>
          <c:smooth val="0"/>
          <c:extLst>
            <c:ext xmlns:c16="http://schemas.microsoft.com/office/drawing/2014/chart" uri="{C3380CC4-5D6E-409C-BE32-E72D297353CC}">
              <c16:uniqueId val="{00000008-7E47-4FEF-B1F0-85DF5D0147A9}"/>
            </c:ext>
          </c:extLst>
        </c:ser>
        <c:ser>
          <c:idx val="55"/>
          <c:order val="55"/>
          <c:marker>
            <c:symbol val="none"/>
          </c:marker>
          <c:val>
            <c:numRef>
              <c:f>afschrijving!$R$64:$AK$64</c:f>
              <c:numCache>
                <c:formatCode>0%</c:formatCode>
                <c:ptCount val="20"/>
                <c:pt idx="0">
                  <c:v>0.72188102236421747</c:v>
                </c:pt>
                <c:pt idx="1">
                  <c:v>0.66236566698426536</c:v>
                </c:pt>
                <c:pt idx="2">
                  <c:v>0.62347451928348629</c:v>
                </c:pt>
                <c:pt idx="3">
                  <c:v>0.59410632618180481</c:v>
                </c:pt>
                <c:pt idx="4">
                  <c:v>0.5703582943663873</c:v>
                </c:pt>
                <c:pt idx="5">
                  <c:v>0.55036002429995357</c:v>
                </c:pt>
                <c:pt idx="6">
                  <c:v>0.53305842759966315</c:v>
                </c:pt>
                <c:pt idx="7">
                  <c:v>0.51779749771080597</c:v>
                </c:pt>
                <c:pt idx="8">
                  <c:v>0.50413896659466351</c:v>
                </c:pt>
                <c:pt idx="9">
                  <c:v>0.49177455708814211</c:v>
                </c:pt>
                <c:pt idx="10">
                  <c:v>0.48047867017993662</c:v>
                </c:pt>
                <c:pt idx="11">
                  <c:v>0.47008094084261853</c:v>
                </c:pt>
                <c:pt idx="12">
                  <c:v>0.46044938269024571</c:v>
                </c:pt>
                <c:pt idx="13">
                  <c:v>0.45147954854035682</c:v>
                </c:pt>
                <c:pt idx="14">
                  <c:v>0.44308729049388745</c:v>
                </c:pt>
                <c:pt idx="15">
                  <c:v>0.43520376805058447</c:v>
                </c:pt>
                <c:pt idx="16">
                  <c:v>0.42777191182549368</c:v>
                </c:pt>
                <c:pt idx="17">
                  <c:v>0.42074385929895758</c:v>
                </c:pt>
                <c:pt idx="18">
                  <c:v>0.41407905723501942</c:v>
                </c:pt>
                <c:pt idx="19">
                  <c:v>0.40774283212203438</c:v>
                </c:pt>
              </c:numCache>
            </c:numRef>
          </c:val>
          <c:smooth val="0"/>
          <c:extLst>
            <c:ext xmlns:c16="http://schemas.microsoft.com/office/drawing/2014/chart" uri="{C3380CC4-5D6E-409C-BE32-E72D297353CC}">
              <c16:uniqueId val="{00000009-7E47-4FEF-B1F0-85DF5D0147A9}"/>
            </c:ext>
          </c:extLst>
        </c:ser>
        <c:ser>
          <c:idx val="56"/>
          <c:order val="56"/>
          <c:marker>
            <c:symbol val="none"/>
          </c:marker>
          <c:val>
            <c:numRef>
              <c:f>afschrijving!$R$65:$AK$65</c:f>
              <c:numCache>
                <c:formatCode>0%</c:formatCode>
                <c:ptCount val="20"/>
                <c:pt idx="0">
                  <c:v>0.71872498402555929</c:v>
                </c:pt>
                <c:pt idx="1">
                  <c:v>0.66035231150787366</c:v>
                </c:pt>
                <c:pt idx="2">
                  <c:v>0.62233701833333477</c:v>
                </c:pt>
                <c:pt idx="3">
                  <c:v>0.59368212274556875</c:v>
                </c:pt>
                <c:pt idx="4">
                  <c:v>0.57053703962973501</c:v>
                </c:pt>
                <c:pt idx="5">
                  <c:v>0.55106120860549557</c:v>
                </c:pt>
                <c:pt idx="6">
                  <c:v>0.53422035587095151</c:v>
                </c:pt>
                <c:pt idx="7">
                  <c:v>0.51937118891998846</c:v>
                </c:pt>
                <c:pt idx="8">
                  <c:v>0.50608448027232456</c:v>
                </c:pt>
                <c:pt idx="9">
                  <c:v>0.49405863661977067</c:v>
                </c:pt>
                <c:pt idx="10">
                  <c:v>0.48307315480213342</c:v>
                </c:pt>
                <c:pt idx="11">
                  <c:v>0.4729616529052601</c:v>
                </c:pt>
                <c:pt idx="12">
                  <c:v>0.46359532265105524</c:v>
                </c:pt>
                <c:pt idx="13">
                  <c:v>0.45487229692007702</c:v>
                </c:pt>
                <c:pt idx="14">
                  <c:v>0.44671055350703376</c:v>
                </c:pt>
                <c:pt idx="15">
                  <c:v>0.43904302570151654</c:v>
                </c:pt>
                <c:pt idx="16">
                  <c:v>0.43181414079189229</c:v>
                </c:pt>
                <c:pt idx="17">
                  <c:v>0.42497731151096052</c:v>
                </c:pt>
                <c:pt idx="18">
                  <c:v>0.41849308067095314</c:v>
                </c:pt>
                <c:pt idx="19">
                  <c:v>0.41232772410755508</c:v>
                </c:pt>
              </c:numCache>
            </c:numRef>
          </c:val>
          <c:smooth val="0"/>
          <c:extLst>
            <c:ext xmlns:c16="http://schemas.microsoft.com/office/drawing/2014/chart" uri="{C3380CC4-5D6E-409C-BE32-E72D297353CC}">
              <c16:uniqueId val="{0000000A-7E47-4FEF-B1F0-85DF5D0147A9}"/>
            </c:ext>
          </c:extLst>
        </c:ser>
        <c:ser>
          <c:idx val="57"/>
          <c:order val="57"/>
          <c:marker>
            <c:symbol val="none"/>
          </c:marker>
          <c:val>
            <c:numRef>
              <c:f>afschrijving!$R$66:$AK$66</c:f>
              <c:numCache>
                <c:formatCode>0%</c:formatCode>
                <c:ptCount val="20"/>
                <c:pt idx="0">
                  <c:v>0.71556894568690121</c:v>
                </c:pt>
                <c:pt idx="1">
                  <c:v>0.65839196067021855</c:v>
                </c:pt>
                <c:pt idx="2">
                  <c:v>0.62128180994572002</c:v>
                </c:pt>
                <c:pt idx="3">
                  <c:v>0.59335984697198751</c:v>
                </c:pt>
                <c:pt idx="4">
                  <c:v>0.57083225927073777</c:v>
                </c:pt>
                <c:pt idx="5">
                  <c:v>0.55189035009460641</c:v>
                </c:pt>
                <c:pt idx="6">
                  <c:v>0.53551971919019581</c:v>
                </c:pt>
                <c:pt idx="7">
                  <c:v>0.52109040311154253</c:v>
                </c:pt>
                <c:pt idx="8">
                  <c:v>0.50818259916127273</c:v>
                </c:pt>
                <c:pt idx="9">
                  <c:v>0.496501651277719</c:v>
                </c:pt>
                <c:pt idx="10">
                  <c:v>0.48583232640691038</c:v>
                </c:pt>
                <c:pt idx="11">
                  <c:v>0.47601234965696348</c:v>
                </c:pt>
                <c:pt idx="12">
                  <c:v>0.46691618141208785</c:v>
                </c:pt>
                <c:pt idx="13">
                  <c:v>0.45844460232475132</c:v>
                </c:pt>
                <c:pt idx="14">
                  <c:v>0.45051776750253864</c:v>
                </c:pt>
                <c:pt idx="15">
                  <c:v>0.44307042404061958</c:v>
                </c:pt>
                <c:pt idx="16">
                  <c:v>0.43604852737612032</c:v>
                </c:pt>
                <c:pt idx="17">
                  <c:v>0.42940679057136033</c:v>
                </c:pt>
                <c:pt idx="18">
                  <c:v>0.42310687269482949</c:v>
                </c:pt>
                <c:pt idx="19">
                  <c:v>0.41711601538088428</c:v>
                </c:pt>
              </c:numCache>
            </c:numRef>
          </c:val>
          <c:smooth val="0"/>
          <c:extLst>
            <c:ext xmlns:c16="http://schemas.microsoft.com/office/drawing/2014/chart" uri="{C3380CC4-5D6E-409C-BE32-E72D297353CC}">
              <c16:uniqueId val="{0000000B-7E47-4FEF-B1F0-85DF5D0147A9}"/>
            </c:ext>
          </c:extLst>
        </c:ser>
        <c:dLbls>
          <c:showLegendKey val="0"/>
          <c:showVal val="0"/>
          <c:showCatName val="0"/>
          <c:showSerName val="0"/>
          <c:showPercent val="0"/>
          <c:showBubbleSize val="0"/>
        </c:dLbls>
        <c:smooth val="0"/>
        <c:axId val="229750656"/>
        <c:axId val="229752192"/>
      </c:lineChart>
      <c:catAx>
        <c:axId val="229750656"/>
        <c:scaling>
          <c:orientation val="minMax"/>
        </c:scaling>
        <c:delete val="0"/>
        <c:axPos val="b"/>
        <c:majorTickMark val="out"/>
        <c:minorTickMark val="none"/>
        <c:tickLblPos val="nextTo"/>
        <c:crossAx val="229752192"/>
        <c:crosses val="autoZero"/>
        <c:auto val="1"/>
        <c:lblAlgn val="ctr"/>
        <c:lblOffset val="100"/>
        <c:noMultiLvlLbl val="0"/>
      </c:catAx>
      <c:valAx>
        <c:axId val="229752192"/>
        <c:scaling>
          <c:orientation val="minMax"/>
        </c:scaling>
        <c:delete val="0"/>
        <c:axPos val="l"/>
        <c:majorGridlines/>
        <c:numFmt formatCode="0%" sourceLinked="1"/>
        <c:majorTickMark val="out"/>
        <c:minorTickMark val="none"/>
        <c:tickLblPos val="nextTo"/>
        <c:crossAx val="2297506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afschrijving!$R$82:$AK$82</c:f>
              <c:numCache>
                <c:formatCode>0%</c:formatCode>
                <c:ptCount val="20"/>
                <c:pt idx="0">
                  <c:v>0.79</c:v>
                </c:pt>
                <c:pt idx="1">
                  <c:v>0.7072426447597685</c:v>
                </c:pt>
                <c:pt idx="2">
                  <c:v>0.64801344949788187</c:v>
                </c:pt>
                <c:pt idx="3">
                  <c:v>0.60110286700169702</c:v>
                </c:pt>
                <c:pt idx="4">
                  <c:v>0.56206965565902589</c:v>
                </c:pt>
                <c:pt idx="5">
                  <c:v>0.5286067552058874</c:v>
                </c:pt>
                <c:pt idx="6">
                  <c:v>0.49933294692736596</c:v>
                </c:pt>
                <c:pt idx="7">
                  <c:v>0.47334411625844841</c:v>
                </c:pt>
                <c:pt idx="8">
                  <c:v>0.45001074960959714</c:v>
                </c:pt>
                <c:pt idx="9">
                  <c:v>0.42887415870287299</c:v>
                </c:pt>
                <c:pt idx="10">
                  <c:v>0.40958825881055089</c:v>
                </c:pt>
                <c:pt idx="11">
                  <c:v>0.3918846006986117</c:v>
                </c:pt>
                <c:pt idx="12">
                  <c:v>0.37555021877173855</c:v>
                </c:pt>
                <c:pt idx="13">
                  <c:v>0.36041298266798644</c:v>
                </c:pt>
                <c:pt idx="14">
                  <c:v>0.34633156217037248</c:v>
                </c:pt>
                <c:pt idx="15">
                  <c:v>0.3331883457465607</c:v>
                </c:pt>
                <c:pt idx="16">
                  <c:v>0.32088431574208676</c:v>
                </c:pt>
                <c:pt idx="17">
                  <c:v>0.3093352581105131</c:v>
                </c:pt>
                <c:pt idx="18">
                  <c:v>0.29846890559885669</c:v>
                </c:pt>
                <c:pt idx="19">
                  <c:v>0.28822274838412487</c:v>
                </c:pt>
              </c:numCache>
            </c:numRef>
          </c:val>
          <c:smooth val="0"/>
          <c:extLst>
            <c:ext xmlns:c16="http://schemas.microsoft.com/office/drawing/2014/chart" uri="{C3380CC4-5D6E-409C-BE32-E72D297353CC}">
              <c16:uniqueId val="{00000000-5371-45B3-9017-C99C9D6BA144}"/>
            </c:ext>
          </c:extLst>
        </c:ser>
        <c:ser>
          <c:idx val="1"/>
          <c:order val="1"/>
          <c:marker>
            <c:symbol val="none"/>
          </c:marker>
          <c:val>
            <c:numRef>
              <c:f>afschrijving!$R$83:$AK$83</c:f>
              <c:numCache>
                <c:formatCode>0%</c:formatCode>
                <c:ptCount val="20"/>
                <c:pt idx="0">
                  <c:v>0.79</c:v>
                </c:pt>
                <c:pt idx="1">
                  <c:v>0.7072426447597685</c:v>
                </c:pt>
                <c:pt idx="2">
                  <c:v>0.64801344949788175</c:v>
                </c:pt>
                <c:pt idx="3">
                  <c:v>0.60110286700169702</c:v>
                </c:pt>
                <c:pt idx="4">
                  <c:v>0.56206965565902578</c:v>
                </c:pt>
                <c:pt idx="5">
                  <c:v>0.5286067552058874</c:v>
                </c:pt>
                <c:pt idx="6">
                  <c:v>0.49933294692736591</c:v>
                </c:pt>
                <c:pt idx="7">
                  <c:v>0.4733441162584483</c:v>
                </c:pt>
                <c:pt idx="8">
                  <c:v>0.45001074960959703</c:v>
                </c:pt>
                <c:pt idx="9">
                  <c:v>0.42887415870287293</c:v>
                </c:pt>
                <c:pt idx="10">
                  <c:v>0.40958825881055078</c:v>
                </c:pt>
                <c:pt idx="11">
                  <c:v>0.39188460069861153</c:v>
                </c:pt>
                <c:pt idx="12">
                  <c:v>0.37555021877173839</c:v>
                </c:pt>
                <c:pt idx="13">
                  <c:v>0.36041298266798638</c:v>
                </c:pt>
                <c:pt idx="14">
                  <c:v>0.34633156217037225</c:v>
                </c:pt>
                <c:pt idx="15">
                  <c:v>0.33318834574656064</c:v>
                </c:pt>
                <c:pt idx="16">
                  <c:v>0.32088431574208665</c:v>
                </c:pt>
                <c:pt idx="17">
                  <c:v>0.30933525811051293</c:v>
                </c:pt>
                <c:pt idx="18">
                  <c:v>0.29846890559885658</c:v>
                </c:pt>
                <c:pt idx="19">
                  <c:v>0.28822274838412471</c:v>
                </c:pt>
              </c:numCache>
            </c:numRef>
          </c:val>
          <c:smooth val="0"/>
          <c:extLst>
            <c:ext xmlns:c16="http://schemas.microsoft.com/office/drawing/2014/chart" uri="{C3380CC4-5D6E-409C-BE32-E72D297353CC}">
              <c16:uniqueId val="{00000001-5371-45B3-9017-C99C9D6BA144}"/>
            </c:ext>
          </c:extLst>
        </c:ser>
        <c:ser>
          <c:idx val="2"/>
          <c:order val="2"/>
          <c:marker>
            <c:symbol val="none"/>
          </c:marker>
          <c:val>
            <c:numRef>
              <c:f>afschrijving!$R$84:$AK$84</c:f>
              <c:numCache>
                <c:formatCode>0%</c:formatCode>
                <c:ptCount val="20"/>
                <c:pt idx="0">
                  <c:v>0.79</c:v>
                </c:pt>
                <c:pt idx="1">
                  <c:v>0.70728750703106769</c:v>
                </c:pt>
                <c:pt idx="2">
                  <c:v>0.64809504851147937</c:v>
                </c:pt>
                <c:pt idx="3">
                  <c:v>0.60121492231818763</c:v>
                </c:pt>
                <c:pt idx="4">
                  <c:v>0.56220734617609958</c:v>
                </c:pt>
                <c:pt idx="5">
                  <c:v>0.52876627742605509</c:v>
                </c:pt>
                <c:pt idx="6">
                  <c:v>0.49951122531186765</c:v>
                </c:pt>
                <c:pt idx="7">
                  <c:v>0.47353861410434017</c:v>
                </c:pt>
                <c:pt idx="8">
                  <c:v>0.45021934116805784</c:v>
                </c:pt>
                <c:pt idx="9">
                  <c:v>0.42909503952339567</c:v>
                </c:pt>
                <c:pt idx="10">
                  <c:v>0.4098198808545705</c:v>
                </c:pt>
                <c:pt idx="11">
                  <c:v>0.39212562409081064</c:v>
                </c:pt>
                <c:pt idx="12">
                  <c:v>0.37579947508857575</c:v>
                </c:pt>
                <c:pt idx="13">
                  <c:v>0.36066944645092675</c:v>
                </c:pt>
                <c:pt idx="14">
                  <c:v>0.34659432844455756</c:v>
                </c:pt>
                <c:pt idx="15">
                  <c:v>0.33345661201681981</c:v>
                </c:pt>
                <c:pt idx="16">
                  <c:v>0.32115736738842837</c:v>
                </c:pt>
                <c:pt idx="17">
                  <c:v>0.30961245640648882</c:v>
                </c:pt>
                <c:pt idx="18">
                  <c:v>0.29874967778259381</c:v>
                </c:pt>
                <c:pt idx="19">
                  <c:v>0.28850657935628377</c:v>
                </c:pt>
              </c:numCache>
            </c:numRef>
          </c:val>
          <c:smooth val="0"/>
          <c:extLst>
            <c:ext xmlns:c16="http://schemas.microsoft.com/office/drawing/2014/chart" uri="{C3380CC4-5D6E-409C-BE32-E72D297353CC}">
              <c16:uniqueId val="{00000002-5371-45B3-9017-C99C9D6BA144}"/>
            </c:ext>
          </c:extLst>
        </c:ser>
        <c:ser>
          <c:idx val="3"/>
          <c:order val="3"/>
          <c:marker>
            <c:symbol val="none"/>
          </c:marker>
          <c:val>
            <c:numRef>
              <c:f>afschrijving!$R$85:$AK$85</c:f>
              <c:numCache>
                <c:formatCode>0%</c:formatCode>
                <c:ptCount val="20"/>
                <c:pt idx="0">
                  <c:v>0.79</c:v>
                </c:pt>
                <c:pt idx="1">
                  <c:v>0.70733862340784681</c:v>
                </c:pt>
                <c:pt idx="2">
                  <c:v>0.64818801854016439</c:v>
                </c:pt>
                <c:pt idx="3">
                  <c:v>0.60134259068468854</c:v>
                </c:pt>
                <c:pt idx="4">
                  <c:v>0.56236422151008936</c:v>
                </c:pt>
                <c:pt idx="5">
                  <c:v>0.52894802800925023</c:v>
                </c:pt>
                <c:pt idx="6">
                  <c:v>0.49971434875396437</c:v>
                </c:pt>
                <c:pt idx="7">
                  <c:v>0.47376022176461979</c:v>
                </c:pt>
                <c:pt idx="8">
                  <c:v>0.45045701242918285</c:v>
                </c:pt>
                <c:pt idx="9">
                  <c:v>0.42934671964704874</c:v>
                </c:pt>
                <c:pt idx="10">
                  <c:v>0.41008380706883252</c:v>
                </c:pt>
                <c:pt idx="11">
                  <c:v>0.39240027063676153</c:v>
                </c:pt>
                <c:pt idx="12">
                  <c:v>0.37608351141174551</c:v>
                </c:pt>
                <c:pt idx="13">
                  <c:v>0.36096170476221012</c:v>
                </c:pt>
                <c:pt idx="14">
                  <c:v>0.34689377812165278</c:v>
                </c:pt>
                <c:pt idx="15">
                  <c:v>0.33376233910510011</c:v>
                </c:pt>
                <c:pt idx="16">
                  <c:v>0.32146855797330054</c:v>
                </c:pt>
                <c:pt idx="17">
                  <c:v>0.30992838297257808</c:v>
                </c:pt>
                <c:pt idx="18">
                  <c:v>0.29906968791027472</c:v>
                </c:pt>
                <c:pt idx="19">
                  <c:v>0.28883008627066481</c:v>
                </c:pt>
              </c:numCache>
            </c:numRef>
          </c:val>
          <c:smooth val="0"/>
          <c:extLst>
            <c:ext xmlns:c16="http://schemas.microsoft.com/office/drawing/2014/chart" uri="{C3380CC4-5D6E-409C-BE32-E72D297353CC}">
              <c16:uniqueId val="{00000003-5371-45B3-9017-C99C9D6BA144}"/>
            </c:ext>
          </c:extLst>
        </c:ser>
        <c:ser>
          <c:idx val="4"/>
          <c:order val="4"/>
          <c:marker>
            <c:symbol val="none"/>
          </c:marker>
          <c:val>
            <c:numRef>
              <c:f>afschrijving!$R$86:$AK$86</c:f>
              <c:numCache>
                <c:formatCode>0%</c:formatCode>
                <c:ptCount val="20"/>
                <c:pt idx="0">
                  <c:v>0.79</c:v>
                </c:pt>
                <c:pt idx="1">
                  <c:v>0.70750498158763742</c:v>
                </c:pt>
                <c:pt idx="2">
                  <c:v>0.64849055657783539</c:v>
                </c:pt>
                <c:pt idx="3">
                  <c:v>0.60175802645895382</c:v>
                </c:pt>
                <c:pt idx="4">
                  <c:v>0.56287469679619739</c:v>
                </c:pt>
                <c:pt idx="5">
                  <c:v>0.52953946004620112</c:v>
                </c:pt>
                <c:pt idx="6">
                  <c:v>0.50037535299901359</c:v>
                </c:pt>
                <c:pt idx="7">
                  <c:v>0.47448140962660268</c:v>
                </c:pt>
                <c:pt idx="8">
                  <c:v>0.45123051687744248</c:v>
                </c:pt>
                <c:pt idx="9">
                  <c:v>0.43016586285644465</c:v>
                </c:pt>
                <c:pt idx="10">
                  <c:v>0.41094286001327013</c:v>
                </c:pt>
                <c:pt idx="11">
                  <c:v>0.39329427440130188</c:v>
                </c:pt>
                <c:pt idx="12">
                  <c:v>0.37700814127922111</c:v>
                </c:pt>
                <c:pt idx="13">
                  <c:v>0.36191316477940461</c:v>
                </c:pt>
                <c:pt idx="14">
                  <c:v>0.34786871791242135</c:v>
                </c:pt>
                <c:pt idx="15">
                  <c:v>0.33475778726432248</c:v>
                </c:pt>
                <c:pt idx="16">
                  <c:v>0.32248186804657525</c:v>
                </c:pt>
                <c:pt idx="17">
                  <c:v>0.31095718914410314</c:v>
                </c:pt>
                <c:pt idx="18">
                  <c:v>0.30011186828677183</c:v>
                </c:pt>
                <c:pt idx="19">
                  <c:v>0.28988373218472024</c:v>
                </c:pt>
              </c:numCache>
            </c:numRef>
          </c:val>
          <c:smooth val="0"/>
          <c:extLst>
            <c:ext xmlns:c16="http://schemas.microsoft.com/office/drawing/2014/chart" uri="{C3380CC4-5D6E-409C-BE32-E72D297353CC}">
              <c16:uniqueId val="{00000004-5371-45B3-9017-C99C9D6BA144}"/>
            </c:ext>
          </c:extLst>
        </c:ser>
        <c:ser>
          <c:idx val="5"/>
          <c:order val="5"/>
          <c:marker>
            <c:symbol val="none"/>
          </c:marker>
          <c:val>
            <c:numRef>
              <c:f>afschrijving!$R$87:$AK$87</c:f>
              <c:numCache>
                <c:formatCode>0%</c:formatCode>
                <c:ptCount val="20"/>
                <c:pt idx="0">
                  <c:v>0.79</c:v>
                </c:pt>
                <c:pt idx="1">
                  <c:v>0.70767122455208953</c:v>
                </c:pt>
                <c:pt idx="2">
                  <c:v>0.64879283487206663</c:v>
                </c:pt>
                <c:pt idx="3">
                  <c:v>0.6021730813981383</c:v>
                </c:pt>
                <c:pt idx="4">
                  <c:v>0.56338470297322873</c:v>
                </c:pt>
                <c:pt idx="5">
                  <c:v>0.53013036701898086</c:v>
                </c:pt>
                <c:pt idx="6">
                  <c:v>0.50103580542161752</c:v>
                </c:pt>
                <c:pt idx="7">
                  <c:v>0.47520204444949932</c:v>
                </c:pt>
                <c:pt idx="8">
                  <c:v>0.45200348909239879</c:v>
                </c:pt>
                <c:pt idx="9">
                  <c:v>0.43098451348296674</c:v>
                </c:pt>
                <c:pt idx="10">
                  <c:v>0.41180147607431422</c:v>
                </c:pt>
                <c:pt idx="11">
                  <c:v>0.39418791059907538</c:v>
                </c:pt>
                <c:pt idx="12">
                  <c:v>0.37793248440775584</c:v>
                </c:pt>
                <c:pt idx="13">
                  <c:v>0.36286442857534051</c:v>
                </c:pt>
                <c:pt idx="14">
                  <c:v>0.34884356011371859</c:v>
                </c:pt>
                <c:pt idx="15">
                  <c:v>0.33575324321511563</c:v>
                </c:pt>
                <c:pt idx="16">
                  <c:v>0.32349529685776246</c:v>
                </c:pt>
                <c:pt idx="17">
                  <c:v>0.31198622953649158</c:v>
                </c:pt>
                <c:pt idx="18">
                  <c:v>0.30115440200850763</c:v>
                </c:pt>
                <c:pt idx="19">
                  <c:v>0.29093785342969242</c:v>
                </c:pt>
              </c:numCache>
            </c:numRef>
          </c:val>
          <c:smooth val="0"/>
          <c:extLst>
            <c:ext xmlns:c16="http://schemas.microsoft.com/office/drawing/2014/chart" uri="{C3380CC4-5D6E-409C-BE32-E72D297353CC}">
              <c16:uniqueId val="{00000005-5371-45B3-9017-C99C9D6BA144}"/>
            </c:ext>
          </c:extLst>
        </c:ser>
        <c:ser>
          <c:idx val="6"/>
          <c:order val="6"/>
          <c:marker>
            <c:symbol val="none"/>
          </c:marker>
          <c:val>
            <c:numRef>
              <c:f>afschrijving!$R$88:$AK$88</c:f>
              <c:numCache>
                <c:formatCode>0%</c:formatCode>
                <c:ptCount val="20"/>
                <c:pt idx="0">
                  <c:v>0.78900000000000003</c:v>
                </c:pt>
                <c:pt idx="1">
                  <c:v>0.7070999268174385</c:v>
                </c:pt>
                <c:pt idx="2">
                  <c:v>0.64863482671508088</c:v>
                </c:pt>
                <c:pt idx="3">
                  <c:v>0.60238473549702942</c:v>
                </c:pt>
                <c:pt idx="4">
                  <c:v>0.5639234799949544</c:v>
                </c:pt>
                <c:pt idx="5">
                  <c:v>0.53095871205789569</c:v>
                </c:pt>
                <c:pt idx="6">
                  <c:v>0.50212119616776729</c:v>
                </c:pt>
                <c:pt idx="7">
                  <c:v>0.47651634452821984</c:v>
                </c:pt>
                <c:pt idx="8">
                  <c:v>0.45352225319442102</c:v>
                </c:pt>
                <c:pt idx="9">
                  <c:v>0.43268638250695901</c:v>
                </c:pt>
                <c:pt idx="10">
                  <c:v>0.41366767871371685</c:v>
                </c:pt>
                <c:pt idx="11">
                  <c:v>0.39620185864004864</c:v>
                </c:pt>
                <c:pt idx="12">
                  <c:v>0.3800794443440384</c:v>
                </c:pt>
                <c:pt idx="13">
                  <c:v>0.36513125386529222</c:v>
                </c:pt>
                <c:pt idx="14">
                  <c:v>0.35121847135912754</c:v>
                </c:pt>
                <c:pt idx="15">
                  <c:v>0.33822564630044388</c:v>
                </c:pt>
                <c:pt idx="16">
                  <c:v>0.3260556313356085</c:v>
                </c:pt>
                <c:pt idx="17">
                  <c:v>0.31462584128942606</c:v>
                </c:pt>
                <c:pt idx="18">
                  <c:v>0.30386543554825063</c:v>
                </c:pt>
                <c:pt idx="19">
                  <c:v>0.29371316020561655</c:v>
                </c:pt>
              </c:numCache>
            </c:numRef>
          </c:val>
          <c:smooth val="0"/>
          <c:extLst>
            <c:ext xmlns:c16="http://schemas.microsoft.com/office/drawing/2014/chart" uri="{C3380CC4-5D6E-409C-BE32-E72D297353CC}">
              <c16:uniqueId val="{00000006-5371-45B3-9017-C99C9D6BA144}"/>
            </c:ext>
          </c:extLst>
        </c:ser>
        <c:ser>
          <c:idx val="7"/>
          <c:order val="7"/>
          <c:marker>
            <c:symbol val="none"/>
          </c:marker>
          <c:val>
            <c:numRef>
              <c:f>afschrijving!$R$89:$AK$89</c:f>
              <c:numCache>
                <c:formatCode>0%</c:formatCode>
                <c:ptCount val="20"/>
                <c:pt idx="0">
                  <c:v>0.78800000000000003</c:v>
                </c:pt>
                <c:pt idx="1">
                  <c:v>0.70656283125749164</c:v>
                </c:pt>
                <c:pt idx="2">
                  <c:v>0.64853679725824753</c:v>
                </c:pt>
                <c:pt idx="3">
                  <c:v>0.60267688680755571</c:v>
                </c:pt>
                <c:pt idx="4">
                  <c:v>0.56455966741019981</c:v>
                </c:pt>
                <c:pt idx="5">
                  <c:v>0.53189874398826942</c:v>
                </c:pt>
                <c:pt idx="6">
                  <c:v>0.50333053362808078</c:v>
                </c:pt>
                <c:pt idx="7">
                  <c:v>0.47796525709391291</c:v>
                </c:pt>
                <c:pt idx="8">
                  <c:v>0.45518500337073453</c:v>
                </c:pt>
                <c:pt idx="9">
                  <c:v>0.43454054253624186</c:v>
                </c:pt>
                <c:pt idx="10">
                  <c:v>0.4156935789782561</c:v>
                </c:pt>
                <c:pt idx="11">
                  <c:v>0.39838214551003009</c:v>
                </c:pt>
                <c:pt idx="12">
                  <c:v>0.38239872462152547</c:v>
                </c:pt>
                <c:pt idx="13">
                  <c:v>0.36757580682998692</c:v>
                </c:pt>
                <c:pt idx="14">
                  <c:v>0.35377601359118421</c:v>
                </c:pt>
                <c:pt idx="15">
                  <c:v>0.3408851379383423</c:v>
                </c:pt>
                <c:pt idx="16">
                  <c:v>0.32880711512196586</c:v>
                </c:pt>
                <c:pt idx="17">
                  <c:v>0.31746030778835216</c:v>
                </c:pt>
                <c:pt idx="18">
                  <c:v>0.30677470943707247</c:v>
                </c:pt>
                <c:pt idx="19">
                  <c:v>0.29668980368191228</c:v>
                </c:pt>
              </c:numCache>
            </c:numRef>
          </c:val>
          <c:smooth val="0"/>
          <c:extLst>
            <c:ext xmlns:c16="http://schemas.microsoft.com/office/drawing/2014/chart" uri="{C3380CC4-5D6E-409C-BE32-E72D297353CC}">
              <c16:uniqueId val="{00000007-5371-45B3-9017-C99C9D6BA144}"/>
            </c:ext>
          </c:extLst>
        </c:ser>
        <c:ser>
          <c:idx val="8"/>
          <c:order val="8"/>
          <c:marker>
            <c:symbol val="none"/>
          </c:marker>
          <c:val>
            <c:numRef>
              <c:f>afschrijving!$R$90:$AK$90</c:f>
              <c:numCache>
                <c:formatCode>0%</c:formatCode>
                <c:ptCount val="20"/>
                <c:pt idx="0">
                  <c:v>0.78700000000000003</c:v>
                </c:pt>
                <c:pt idx="1">
                  <c:v>0.70599652155107062</c:v>
                </c:pt>
                <c:pt idx="2">
                  <c:v>0.64838366709257</c:v>
                </c:pt>
                <c:pt idx="3">
                  <c:v>0.6028916952287916</c:v>
                </c:pt>
                <c:pt idx="4">
                  <c:v>0.5650994349263182</c:v>
                </c:pt>
                <c:pt idx="5">
                  <c:v>0.53272595381488452</c:v>
                </c:pt>
                <c:pt idx="6">
                  <c:v>0.50441290908751413</c:v>
                </c:pt>
                <c:pt idx="7">
                  <c:v>0.47927499409144037</c:v>
                </c:pt>
                <c:pt idx="8">
                  <c:v>0.45669801724318165</c:v>
                </c:pt>
                <c:pt idx="9">
                  <c:v>0.43623583399285193</c:v>
                </c:pt>
                <c:pt idx="10">
                  <c:v>0.41755272101137825</c:v>
                </c:pt>
                <c:pt idx="11">
                  <c:v>0.4003888716359163</c:v>
                </c:pt>
                <c:pt idx="12">
                  <c:v>0.38453859755910286</c:v>
                </c:pt>
                <c:pt idx="13">
                  <c:v>0.36983595008265385</c:v>
                </c:pt>
                <c:pt idx="14">
                  <c:v>0.35614489218524747</c:v>
                </c:pt>
                <c:pt idx="15">
                  <c:v>0.34335237777593725</c:v>
                </c:pt>
                <c:pt idx="16">
                  <c:v>0.3313633528998437</c:v>
                </c:pt>
                <c:pt idx="17">
                  <c:v>0.32009706531878729</c:v>
                </c:pt>
                <c:pt idx="18">
                  <c:v>0.30948428761990421</c:v>
                </c:pt>
                <c:pt idx="19">
                  <c:v>0.29946519243634051</c:v>
                </c:pt>
              </c:numCache>
            </c:numRef>
          </c:val>
          <c:smooth val="0"/>
          <c:extLst>
            <c:ext xmlns:c16="http://schemas.microsoft.com/office/drawing/2014/chart" uri="{C3380CC4-5D6E-409C-BE32-E72D297353CC}">
              <c16:uniqueId val="{00000008-5371-45B3-9017-C99C9D6BA144}"/>
            </c:ext>
          </c:extLst>
        </c:ser>
        <c:ser>
          <c:idx val="9"/>
          <c:order val="9"/>
          <c:marker>
            <c:symbol val="none"/>
          </c:marker>
          <c:val>
            <c:numRef>
              <c:f>afschrijving!$R$91:$AK$91</c:f>
              <c:numCache>
                <c:formatCode>0%</c:formatCode>
                <c:ptCount val="20"/>
                <c:pt idx="0">
                  <c:v>0.78600000000000003</c:v>
                </c:pt>
                <c:pt idx="1">
                  <c:v>0.70543268920047464</c:v>
                </c:pt>
                <c:pt idx="2">
                  <c:v>0.64823299548183799</c:v>
                </c:pt>
                <c:pt idx="3">
                  <c:v>0.60310815152609387</c:v>
                </c:pt>
                <c:pt idx="4">
                  <c:v>0.56563981822673282</c:v>
                </c:pt>
                <c:pt idx="5">
                  <c:v>0.5335527580781162</c:v>
                </c:pt>
                <c:pt idx="6">
                  <c:v>0.50549396935362056</c:v>
                </c:pt>
                <c:pt idx="7">
                  <c:v>0.48058266054485876</c:v>
                </c:pt>
                <c:pt idx="8">
                  <c:v>0.45820837391923969</c:v>
                </c:pt>
                <c:pt idx="9">
                  <c:v>0.43792805060634948</c:v>
                </c:pt>
                <c:pt idx="10">
                  <c:v>0.41940853275110568</c:v>
                </c:pt>
                <c:pt idx="11">
                  <c:v>0.40239216395566108</c:v>
                </c:pt>
                <c:pt idx="12">
                  <c:v>0.38667507338973051</c:v>
                </c:pt>
                <c:pt idx="13">
                  <c:v>0.3720928610363623</c:v>
                </c:pt>
                <c:pt idx="14">
                  <c:v>0.35851081951301789</c:v>
                </c:pt>
                <c:pt idx="15">
                  <c:v>0.34581705225726156</c:v>
                </c:pt>
                <c:pt idx="16">
                  <c:v>0.3339175054555894</c:v>
                </c:pt>
                <c:pt idx="17">
                  <c:v>0.32273230209028569</c:v>
                </c:pt>
                <c:pt idx="18">
                  <c:v>0.31219298470935919</c:v>
                </c:pt>
                <c:pt idx="19">
                  <c:v>0.3022404065865501</c:v>
                </c:pt>
              </c:numCache>
            </c:numRef>
          </c:val>
          <c:smooth val="0"/>
          <c:extLst>
            <c:ext xmlns:c16="http://schemas.microsoft.com/office/drawing/2014/chart" uri="{C3380CC4-5D6E-409C-BE32-E72D297353CC}">
              <c16:uniqueId val="{00000009-5371-45B3-9017-C99C9D6BA144}"/>
            </c:ext>
          </c:extLst>
        </c:ser>
        <c:ser>
          <c:idx val="10"/>
          <c:order val="10"/>
          <c:marker>
            <c:symbol val="none"/>
          </c:marker>
          <c:val>
            <c:numRef>
              <c:f>afschrijving!$R$92:$AK$92</c:f>
              <c:numCache>
                <c:formatCode>0%</c:formatCode>
                <c:ptCount val="20"/>
                <c:pt idx="0">
                  <c:v>0.78500000000000003</c:v>
                </c:pt>
                <c:pt idx="1">
                  <c:v>0.704871319803274</c:v>
                </c:pt>
                <c:pt idx="2">
                  <c:v>0.64808476619269462</c:v>
                </c:pt>
                <c:pt idx="3">
                  <c:v>0.60332624503386678</c:v>
                </c:pt>
                <c:pt idx="4">
                  <c:v>0.56618081446456836</c:v>
                </c:pt>
                <c:pt idx="5">
                  <c:v>0.53437916109453243</c:v>
                </c:pt>
                <c:pt idx="6">
                  <c:v>0.50657372375663468</c:v>
                </c:pt>
                <c:pt idx="7">
                  <c:v>0.4818882679604104</c:v>
                </c:pt>
                <c:pt idx="8">
                  <c:v>0.45971608401231639</c:v>
                </c:pt>
                <c:pt idx="9">
                  <c:v>0.43961719905476954</c:v>
                </c:pt>
                <c:pt idx="10">
                  <c:v>0.42126101406626143</c:v>
                </c:pt>
                <c:pt idx="11">
                  <c:v>0.40439201289849519</c:v>
                </c:pt>
                <c:pt idx="12">
                  <c:v>0.38880813075066822</c:v>
                </c:pt>
                <c:pt idx="13">
                  <c:v>0.37434650447256013</c:v>
                </c:pt>
                <c:pt idx="14">
                  <c:v>0.36087374472114064</c:v>
                </c:pt>
                <c:pt idx="15">
                  <c:v>0.34827909338810226</c:v>
                </c:pt>
                <c:pt idx="16">
                  <c:v>0.33646948640458685</c:v>
                </c:pt>
                <c:pt idx="17">
                  <c:v>0.32536591231616829</c:v>
                </c:pt>
                <c:pt idx="18">
                  <c:v>0.3149006747235385</c:v>
                </c:pt>
                <c:pt idx="19">
                  <c:v>0.30501529936151073</c:v>
                </c:pt>
              </c:numCache>
            </c:numRef>
          </c:val>
          <c:smooth val="0"/>
          <c:extLst>
            <c:ext xmlns:c16="http://schemas.microsoft.com/office/drawing/2014/chart" uri="{C3380CC4-5D6E-409C-BE32-E72D297353CC}">
              <c16:uniqueId val="{0000000A-5371-45B3-9017-C99C9D6BA144}"/>
            </c:ext>
          </c:extLst>
        </c:ser>
        <c:ser>
          <c:idx val="11"/>
          <c:order val="11"/>
          <c:marker>
            <c:symbol val="none"/>
          </c:marker>
          <c:val>
            <c:numRef>
              <c:f>afschrijving!$R$93:$AK$93</c:f>
              <c:numCache>
                <c:formatCode>0%</c:formatCode>
                <c:ptCount val="20"/>
                <c:pt idx="0">
                  <c:v>0.78400000000000003</c:v>
                </c:pt>
                <c:pt idx="1">
                  <c:v>0.70417658817246831</c:v>
                </c:pt>
                <c:pt idx="2">
                  <c:v>0.64769379093958768</c:v>
                </c:pt>
                <c:pt idx="3">
                  <c:v>0.60321064865120155</c:v>
                </c:pt>
                <c:pt idx="4">
                  <c:v>0.5663113066241624</c:v>
                </c:pt>
                <c:pt idx="5">
                  <c:v>0.53472938740341747</c:v>
                </c:pt>
                <c:pt idx="6">
                  <c:v>0.50712063973630006</c:v>
                </c:pt>
                <c:pt idx="7">
                  <c:v>0.48261181237015455</c:v>
                </c:pt>
                <c:pt idx="8">
                  <c:v>0.46059874506223875</c:v>
                </c:pt>
                <c:pt idx="9">
                  <c:v>0.44064361473418501</c:v>
                </c:pt>
                <c:pt idx="10">
                  <c:v>0.42241763445864849</c:v>
                </c:pt>
                <c:pt idx="11">
                  <c:v>0.40566682228213252</c:v>
                </c:pt>
                <c:pt idx="12">
                  <c:v>0.39019042028942752</c:v>
                </c:pt>
                <c:pt idx="13">
                  <c:v>0.37582668592988744</c:v>
                </c:pt>
                <c:pt idx="14">
                  <c:v>0.36244319698668298</c:v>
                </c:pt>
                <c:pt idx="15">
                  <c:v>0.34993003519858501</c:v>
                </c:pt>
                <c:pt idx="16">
                  <c:v>0.33819487004476462</c:v>
                </c:pt>
                <c:pt idx="17">
                  <c:v>0.32715933421987886</c:v>
                </c:pt>
                <c:pt idx="18">
                  <c:v>0.31675629978055991</c:v>
                </c:pt>
                <c:pt idx="19">
                  <c:v>0.3069277964188904</c:v>
                </c:pt>
              </c:numCache>
            </c:numRef>
          </c:val>
          <c:smooth val="0"/>
          <c:extLst>
            <c:ext xmlns:c16="http://schemas.microsoft.com/office/drawing/2014/chart" uri="{C3380CC4-5D6E-409C-BE32-E72D297353CC}">
              <c16:uniqueId val="{0000000B-5371-45B3-9017-C99C9D6BA144}"/>
            </c:ext>
          </c:extLst>
        </c:ser>
        <c:ser>
          <c:idx val="12"/>
          <c:order val="12"/>
          <c:marker>
            <c:symbol val="none"/>
          </c:marker>
          <c:val>
            <c:numRef>
              <c:f>afschrijving!$R$94:$AK$94</c:f>
              <c:numCache>
                <c:formatCode>0%</c:formatCode>
                <c:ptCount val="20"/>
                <c:pt idx="0">
                  <c:v>0.78300000000000003</c:v>
                </c:pt>
                <c:pt idx="1">
                  <c:v>0.70348381258608816</c:v>
                </c:pt>
                <c:pt idx="2">
                  <c:v>0.64730490473439228</c:v>
                </c:pt>
                <c:pt idx="3">
                  <c:v>0.60309664641301663</c:v>
                </c:pt>
                <c:pt idx="4">
                  <c:v>0.56644267902077394</c:v>
                </c:pt>
                <c:pt idx="5">
                  <c:v>0.53507973358424032</c:v>
                </c:pt>
                <c:pt idx="6">
                  <c:v>0.50766694842068338</c:v>
                </c:pt>
                <c:pt idx="7">
                  <c:v>0.48333409299042529</c:v>
                </c:pt>
                <c:pt idx="8">
                  <c:v>0.46147957308471321</c:v>
                </c:pt>
                <c:pt idx="9">
                  <c:v>0.44166772108613866</c:v>
                </c:pt>
                <c:pt idx="10">
                  <c:v>0.42357156200584956</c:v>
                </c:pt>
                <c:pt idx="11">
                  <c:v>0.4069386448032466</c:v>
                </c:pt>
                <c:pt idx="12">
                  <c:v>0.39156951354908354</c:v>
                </c:pt>
                <c:pt idx="13">
                  <c:v>0.37730354063587523</c:v>
                </c:pt>
                <c:pt idx="14">
                  <c:v>0.36400926505774683</c:v>
                </c:pt>
                <c:pt idx="15">
                  <c:v>0.35157760251454306</c:v>
                </c:pt>
                <c:pt idx="16">
                  <c:v>0.33991695034056579</c:v>
                </c:pt>
                <c:pt idx="17">
                  <c:v>0.32894957996891439</c:v>
                </c:pt>
                <c:pt idx="18">
                  <c:v>0.31860892682756786</c:v>
                </c:pt>
                <c:pt idx="19">
                  <c:v>0.30883751982352758</c:v>
                </c:pt>
              </c:numCache>
            </c:numRef>
          </c:val>
          <c:smooth val="0"/>
          <c:extLst>
            <c:ext xmlns:c16="http://schemas.microsoft.com/office/drawing/2014/chart" uri="{C3380CC4-5D6E-409C-BE32-E72D297353CC}">
              <c16:uniqueId val="{0000000C-5371-45B3-9017-C99C9D6BA144}"/>
            </c:ext>
          </c:extLst>
        </c:ser>
        <c:ser>
          <c:idx val="13"/>
          <c:order val="13"/>
          <c:marker>
            <c:symbol val="none"/>
          </c:marker>
          <c:val>
            <c:numRef>
              <c:f>afschrijving!$R$95:$AK$95</c:f>
              <c:numCache>
                <c:formatCode>0%</c:formatCode>
                <c:ptCount val="20"/>
                <c:pt idx="0">
                  <c:v>0.78300000000000003</c:v>
                </c:pt>
                <c:pt idx="1">
                  <c:v>0.70351542130010325</c:v>
                </c:pt>
                <c:pt idx="2">
                  <c:v>0.64736191009662447</c:v>
                </c:pt>
                <c:pt idx="3">
                  <c:v>0.60317456639834499</c:v>
                </c:pt>
                <c:pt idx="4">
                  <c:v>0.56653817843906928</c:v>
                </c:pt>
                <c:pt idx="5">
                  <c:v>0.53519022975370378</c:v>
                </c:pt>
                <c:pt idx="6">
                  <c:v>0.50779037856447762</c:v>
                </c:pt>
                <c:pt idx="7">
                  <c:v>0.48346877017250789</c:v>
                </c:pt>
                <c:pt idx="8">
                  <c:v>0.4616240920472186</c:v>
                </c:pt>
                <c:pt idx="9">
                  <c:v>0.44182089383527889</c:v>
                </c:pt>
                <c:pt idx="10">
                  <c:v>0.42373237207147896</c:v>
                </c:pt>
                <c:pt idx="11">
                  <c:v>0.40710621374480938</c:v>
                </c:pt>
                <c:pt idx="12">
                  <c:v>0.39174307579341533</c:v>
                </c:pt>
                <c:pt idx="13">
                  <c:v>0.37748242416197825</c:v>
                </c:pt>
                <c:pt idx="14">
                  <c:v>0.36419287629437863</c:v>
                </c:pt>
                <c:pt idx="15">
                  <c:v>0.35176541434276204</c:v>
                </c:pt>
                <c:pt idx="16">
                  <c:v>0.34010849243015046</c:v>
                </c:pt>
                <c:pt idx="17">
                  <c:v>0.32914443089950979</c:v>
                </c:pt>
                <c:pt idx="18">
                  <c:v>0.31880670759549429</c:v>
                </c:pt>
                <c:pt idx="19">
                  <c:v>0.30903788843901703</c:v>
                </c:pt>
              </c:numCache>
            </c:numRef>
          </c:val>
          <c:smooth val="0"/>
          <c:extLst>
            <c:ext xmlns:c16="http://schemas.microsoft.com/office/drawing/2014/chart" uri="{C3380CC4-5D6E-409C-BE32-E72D297353CC}">
              <c16:uniqueId val="{0000000D-5371-45B3-9017-C99C9D6BA144}"/>
            </c:ext>
          </c:extLst>
        </c:ser>
        <c:ser>
          <c:idx val="14"/>
          <c:order val="14"/>
          <c:marker>
            <c:symbol val="none"/>
          </c:marker>
          <c:val>
            <c:numRef>
              <c:f>afschrijving!$R$96:$AK$96</c:f>
              <c:numCache>
                <c:formatCode>0%</c:formatCode>
                <c:ptCount val="20"/>
                <c:pt idx="0">
                  <c:v>0.78200000000000003</c:v>
                </c:pt>
                <c:pt idx="1">
                  <c:v>0.70279298038886207</c:v>
                </c:pt>
                <c:pt idx="2">
                  <c:v>0.64691809220263163</c:v>
                </c:pt>
                <c:pt idx="3">
                  <c:v>0.60298422629040282</c:v>
                </c:pt>
                <c:pt idx="4">
                  <c:v>0.56657492561770351</c:v>
                </c:pt>
                <c:pt idx="5">
                  <c:v>0.53543020025086208</c:v>
                </c:pt>
                <c:pt idx="6">
                  <c:v>0.50821265662950132</c:v>
                </c:pt>
                <c:pt idx="7">
                  <c:v>0.48405512181159543</c:v>
                </c:pt>
                <c:pt idx="8">
                  <c:v>0.46235858391379747</c:v>
                </c:pt>
                <c:pt idx="9">
                  <c:v>0.44268953634588371</c:v>
                </c:pt>
                <c:pt idx="10">
                  <c:v>0.42472281589080313</c:v>
                </c:pt>
                <c:pt idx="11">
                  <c:v>0.40820749918935978</c:v>
                </c:pt>
                <c:pt idx="12">
                  <c:v>0.39294542748411609</c:v>
                </c:pt>
                <c:pt idx="13">
                  <c:v>0.37877708255849735</c:v>
                </c:pt>
                <c:pt idx="14">
                  <c:v>0.36557195881493948</c:v>
                </c:pt>
                <c:pt idx="15">
                  <c:v>0.35322180014297944</c:v>
                </c:pt>
                <c:pt idx="16">
                  <c:v>0.3416357261518152</c:v>
                </c:pt>
                <c:pt idx="17">
                  <c:v>0.33073664171064066</c:v>
                </c:pt>
                <c:pt idx="18">
                  <c:v>0.32045854063671664</c:v>
                </c:pt>
                <c:pt idx="19">
                  <c:v>0.31074444640564841</c:v>
                </c:pt>
              </c:numCache>
            </c:numRef>
          </c:val>
          <c:smooth val="0"/>
          <c:extLst>
            <c:ext xmlns:c16="http://schemas.microsoft.com/office/drawing/2014/chart" uri="{C3380CC4-5D6E-409C-BE32-E72D297353CC}">
              <c16:uniqueId val="{0000000E-5371-45B3-9017-C99C9D6BA144}"/>
            </c:ext>
          </c:extLst>
        </c:ser>
        <c:ser>
          <c:idx val="15"/>
          <c:order val="15"/>
          <c:marker>
            <c:symbol val="none"/>
          </c:marker>
          <c:val>
            <c:numRef>
              <c:f>afschrijving!$R$97:$AK$97</c:f>
              <c:numCache>
                <c:formatCode>0%</c:formatCode>
                <c:ptCount val="20"/>
                <c:pt idx="0">
                  <c:v>0.78100000000000003</c:v>
                </c:pt>
                <c:pt idx="1">
                  <c:v>0.7020724090342122</c:v>
                </c:pt>
                <c:pt idx="2">
                  <c:v>0.64647633781373004</c:v>
                </c:pt>
                <c:pt idx="3">
                  <c:v>0.60279555455493183</c:v>
                </c:pt>
                <c:pt idx="4">
                  <c:v>0.56661272956053987</c:v>
                </c:pt>
                <c:pt idx="5">
                  <c:v>0.53567055789911378</c:v>
                </c:pt>
                <c:pt idx="6">
                  <c:v>0.50863466844700878</c:v>
                </c:pt>
                <c:pt idx="7">
                  <c:v>0.48464060584533558</c:v>
                </c:pt>
                <c:pt idx="8">
                  <c:v>0.46309167555222569</c:v>
                </c:pt>
                <c:pt idx="9">
                  <c:v>0.44355632135843354</c:v>
                </c:pt>
                <c:pt idx="10">
                  <c:v>0.4257110214411543</c:v>
                </c:pt>
                <c:pt idx="11">
                  <c:v>0.4093062402439262</c:v>
                </c:pt>
                <c:pt idx="12">
                  <c:v>0.39414499985637724</c:v>
                </c:pt>
                <c:pt idx="13">
                  <c:v>0.38006879363362495</c:v>
                </c:pt>
                <c:pt idx="14">
                  <c:v>0.36694798832749803</c:v>
                </c:pt>
                <c:pt idx="15">
                  <c:v>0.35467508488895028</c:v>
                </c:pt>
                <c:pt idx="16">
                  <c:v>0.34315986383136132</c:v>
                </c:pt>
                <c:pt idx="17">
                  <c:v>0.33232581015349583</c:v>
                </c:pt>
                <c:pt idx="18">
                  <c:v>0.32210742948264792</c:v>
                </c:pt>
                <c:pt idx="19">
                  <c:v>0.31244819894308545</c:v>
                </c:pt>
              </c:numCache>
            </c:numRef>
          </c:val>
          <c:smooth val="0"/>
          <c:extLst>
            <c:ext xmlns:c16="http://schemas.microsoft.com/office/drawing/2014/chart" uri="{C3380CC4-5D6E-409C-BE32-E72D297353CC}">
              <c16:uniqueId val="{0000000F-5371-45B3-9017-C99C9D6BA144}"/>
            </c:ext>
          </c:extLst>
        </c:ser>
        <c:ser>
          <c:idx val="16"/>
          <c:order val="16"/>
          <c:marker>
            <c:symbol val="none"/>
          </c:marker>
          <c:val>
            <c:numRef>
              <c:f>afschrijving!$R$98:$AK$98</c:f>
              <c:numCache>
                <c:formatCode>0%</c:formatCode>
                <c:ptCount val="20"/>
                <c:pt idx="0">
                  <c:v>0.78</c:v>
                </c:pt>
                <c:pt idx="1">
                  <c:v>0.70135369538456638</c:v>
                </c:pt>
                <c:pt idx="2">
                  <c:v>0.64603663212869911</c:v>
                </c:pt>
                <c:pt idx="3">
                  <c:v>0.6026085389724668</c:v>
                </c:pt>
                <c:pt idx="4">
                  <c:v>0.56665158319576658</c:v>
                </c:pt>
                <c:pt idx="5">
                  <c:v>0.53591130159935119</c:v>
                </c:pt>
                <c:pt idx="6">
                  <c:v>0.50905641873330476</c:v>
                </c:pt>
                <c:pt idx="7">
                  <c:v>0.48522523210671364</c:v>
                </c:pt>
                <c:pt idx="8">
                  <c:v>0.46382338093069159</c:v>
                </c:pt>
                <c:pt idx="9">
                  <c:v>0.44442126586627223</c:v>
                </c:pt>
                <c:pt idx="10">
                  <c:v>0.42669700759515455</c:v>
                </c:pt>
                <c:pt idx="11">
                  <c:v>0.41040245653440366</c:v>
                </c:pt>
                <c:pt idx="12">
                  <c:v>0.39534181221611497</c:v>
                </c:pt>
                <c:pt idx="13">
                  <c:v>0.3813575753713882</c:v>
                </c:pt>
                <c:pt idx="14">
                  <c:v>0.36832098057316481</c:v>
                </c:pt>
                <c:pt idx="15">
                  <c:v>0.35612528124251358</c:v>
                </c:pt>
                <c:pt idx="16">
                  <c:v>0.34468091429981906</c:v>
                </c:pt>
                <c:pt idx="17">
                  <c:v>0.33391194055944512</c:v>
                </c:pt>
                <c:pt idx="18">
                  <c:v>0.32375337337531712</c:v>
                </c:pt>
                <c:pt idx="19">
                  <c:v>0.31414913968919822</c:v>
                </c:pt>
              </c:numCache>
            </c:numRef>
          </c:val>
          <c:smooth val="0"/>
          <c:extLst>
            <c:ext xmlns:c16="http://schemas.microsoft.com/office/drawing/2014/chart" uri="{C3380CC4-5D6E-409C-BE32-E72D297353CC}">
              <c16:uniqueId val="{00000010-5371-45B3-9017-C99C9D6BA144}"/>
            </c:ext>
          </c:extLst>
        </c:ser>
        <c:ser>
          <c:idx val="17"/>
          <c:order val="17"/>
          <c:marker>
            <c:symbol val="none"/>
          </c:marker>
          <c:val>
            <c:numRef>
              <c:f>afschrijving!$R$99:$AK$99</c:f>
              <c:numCache>
                <c:formatCode>0%</c:formatCode>
                <c:ptCount val="20"/>
                <c:pt idx="0">
                  <c:v>0.77900000000000003</c:v>
                </c:pt>
                <c:pt idx="1">
                  <c:v>0.70063682773085767</c:v>
                </c:pt>
                <c:pt idx="2">
                  <c:v>0.64559896055829125</c:v>
                </c:pt>
                <c:pt idx="3">
                  <c:v>0.60242316752751635</c:v>
                </c:pt>
                <c:pt idx="4">
                  <c:v>0.56669147960247668</c:v>
                </c:pt>
                <c:pt idx="5">
                  <c:v>0.53615243033137994</c:v>
                </c:pt>
                <c:pt idx="6">
                  <c:v>0.50947791221001093</c:v>
                </c:pt>
                <c:pt idx="7">
                  <c:v>0.48580901036943513</c:v>
                </c:pt>
                <c:pt idx="8">
                  <c:v>0.46455371390852995</c:v>
                </c:pt>
                <c:pt idx="9">
                  <c:v>0.44528438672232196</c:v>
                </c:pt>
                <c:pt idx="10">
                  <c:v>0.4276807930724455</c:v>
                </c:pt>
                <c:pt idx="11">
                  <c:v>0.41149616753989032</c:v>
                </c:pt>
                <c:pt idx="12">
                  <c:v>0.39653588374631238</c:v>
                </c:pt>
                <c:pt idx="13">
                  <c:v>0.38264344567288638</c:v>
                </c:pt>
                <c:pt idx="14">
                  <c:v>0.36969095126446816</c:v>
                </c:pt>
                <c:pt idx="15">
                  <c:v>0.35757240190369072</c:v>
                </c:pt>
                <c:pt idx="16">
                  <c:v>0.34619888650364072</c:v>
                </c:pt>
                <c:pt idx="17">
                  <c:v>0.33549503746108933</c:v>
                </c:pt>
                <c:pt idx="18">
                  <c:v>0.32539637185053422</c:v>
                </c:pt>
                <c:pt idx="19">
                  <c:v>0.31584726267320729</c:v>
                </c:pt>
              </c:numCache>
            </c:numRef>
          </c:val>
          <c:smooth val="0"/>
          <c:extLst>
            <c:ext xmlns:c16="http://schemas.microsoft.com/office/drawing/2014/chart" uri="{C3380CC4-5D6E-409C-BE32-E72D297353CC}">
              <c16:uniqueId val="{00000011-5371-45B3-9017-C99C9D6BA144}"/>
            </c:ext>
          </c:extLst>
        </c:ser>
        <c:ser>
          <c:idx val="18"/>
          <c:order val="18"/>
          <c:marker>
            <c:symbol val="none"/>
          </c:marker>
          <c:val>
            <c:numRef>
              <c:f>afschrijving!$R$100:$AK$100</c:f>
              <c:numCache>
                <c:formatCode>0%</c:formatCode>
                <c:ptCount val="20"/>
                <c:pt idx="0">
                  <c:v>0.77800000000000002</c:v>
                </c:pt>
                <c:pt idx="1">
                  <c:v>0.69992179450445313</c:v>
                </c:pt>
                <c:pt idx="2">
                  <c:v>0.64516330872178418</c:v>
                </c:pt>
                <c:pt idx="3">
                  <c:v>0.60223942840501221</c:v>
                </c:pt>
                <c:pt idx="4">
                  <c:v>0.56673241200788327</c:v>
                </c:pt>
                <c:pt idx="5">
                  <c:v>0.53639394315232136</c:v>
                </c:pt>
                <c:pt idx="6">
                  <c:v>0.50989915360372529</c:v>
                </c:pt>
                <c:pt idx="7">
                  <c:v>0.48639195034868821</c:v>
                </c:pt>
                <c:pt idx="8">
                  <c:v>0.46528268823779489</c:v>
                </c:pt>
                <c:pt idx="9">
                  <c:v>0.44614570064110759</c:v>
                </c:pt>
                <c:pt idx="10">
                  <c:v>0.42866239644178461</c:v>
                </c:pt>
                <c:pt idx="11">
                  <c:v>0.41258739259448768</c:v>
                </c:pt>
                <c:pt idx="12">
                  <c:v>0.39772723350818623</c:v>
                </c:pt>
                <c:pt idx="13">
                  <c:v>0.38392642235653152</c:v>
                </c:pt>
                <c:pt idx="14">
                  <c:v>0.3710579160844264</c:v>
                </c:pt>
                <c:pt idx="15">
                  <c:v>0.35901645960840145</c:v>
                </c:pt>
                <c:pt idx="16">
                  <c:v>0.34771378950092507</c:v>
                </c:pt>
                <c:pt idx="17">
                  <c:v>0.33707510558690995</c:v>
                </c:pt>
                <c:pt idx="18">
                  <c:v>0.32703642473093408</c:v>
                </c:pt>
                <c:pt idx="19">
                  <c:v>0.31754256230713301</c:v>
                </c:pt>
              </c:numCache>
            </c:numRef>
          </c:val>
          <c:smooth val="0"/>
          <c:extLst>
            <c:ext xmlns:c16="http://schemas.microsoft.com/office/drawing/2014/chart" uri="{C3380CC4-5D6E-409C-BE32-E72D297353CC}">
              <c16:uniqueId val="{00000012-5371-45B3-9017-C99C9D6BA144}"/>
            </c:ext>
          </c:extLst>
        </c:ser>
        <c:ser>
          <c:idx val="19"/>
          <c:order val="19"/>
          <c:marker>
            <c:symbol val="none"/>
          </c:marker>
          <c:val>
            <c:numRef>
              <c:f>afschrijving!$R$101:$AK$101</c:f>
              <c:numCache>
                <c:formatCode>0%</c:formatCode>
                <c:ptCount val="20"/>
                <c:pt idx="0">
                  <c:v>0.77700000000000002</c:v>
                </c:pt>
                <c:pt idx="1">
                  <c:v>0.6989388607624375</c:v>
                </c:pt>
                <c:pt idx="2">
                  <c:v>0.64424603811472447</c:v>
                </c:pt>
                <c:pt idx="3">
                  <c:v>0.601398492807795</c:v>
                </c:pt>
                <c:pt idx="4">
                  <c:v>0.56596862746011445</c:v>
                </c:pt>
                <c:pt idx="5">
                  <c:v>0.53570479490066913</c:v>
                </c:pt>
                <c:pt idx="6">
                  <c:v>0.50928094320574002</c:v>
                </c:pt>
                <c:pt idx="7">
                  <c:v>0.48584063088234208</c:v>
                </c:pt>
                <c:pt idx="8">
                  <c:v>0.46479421750096661</c:v>
                </c:pt>
                <c:pt idx="9">
                  <c:v>0.44571619377986554</c:v>
                </c:pt>
                <c:pt idx="10">
                  <c:v>0.42828818826850895</c:v>
                </c:pt>
                <c:pt idx="11">
                  <c:v>0.41226505730764818</c:v>
                </c:pt>
                <c:pt idx="12">
                  <c:v>0.39745358396800623</c:v>
                </c:pt>
                <c:pt idx="13">
                  <c:v>0.38369849972637177</c:v>
                </c:pt>
                <c:pt idx="14">
                  <c:v>0.3708729752857543</c:v>
                </c:pt>
                <c:pt idx="15">
                  <c:v>0.35887195337856881</c:v>
                </c:pt>
                <c:pt idx="16">
                  <c:v>0.34760735247665603</c:v>
                </c:pt>
                <c:pt idx="17">
                  <c:v>0.33700453911632944</c:v>
                </c:pt>
                <c:pt idx="18">
                  <c:v>0.32699968273186131</c:v>
                </c:pt>
                <c:pt idx="19">
                  <c:v>0.31753773828282561</c:v>
                </c:pt>
              </c:numCache>
            </c:numRef>
          </c:val>
          <c:smooth val="0"/>
          <c:extLst>
            <c:ext xmlns:c16="http://schemas.microsoft.com/office/drawing/2014/chart" uri="{C3380CC4-5D6E-409C-BE32-E72D297353CC}">
              <c16:uniqueId val="{00000013-5371-45B3-9017-C99C9D6BA144}"/>
            </c:ext>
          </c:extLst>
        </c:ser>
        <c:ser>
          <c:idx val="20"/>
          <c:order val="20"/>
          <c:marker>
            <c:symbol val="none"/>
          </c:marker>
          <c:val>
            <c:numRef>
              <c:f>afschrijving!$R$102:$AK$102</c:f>
              <c:numCache>
                <c:formatCode>0%</c:formatCode>
                <c:ptCount val="20"/>
                <c:pt idx="0">
                  <c:v>0.77500000000000002</c:v>
                </c:pt>
                <c:pt idx="1">
                  <c:v>0.69708092388760545</c:v>
                </c:pt>
                <c:pt idx="2">
                  <c:v>0.64260343052695623</c:v>
                </c:pt>
                <c:pt idx="3">
                  <c:v>0.59997657354946432</c:v>
                </c:pt>
                <c:pt idx="4">
                  <c:v>0.56475758504161988</c:v>
                </c:pt>
                <c:pt idx="5">
                  <c:v>0.53469095928108112</c:v>
                </c:pt>
                <c:pt idx="6">
                  <c:v>0.50845014195541105</c:v>
                </c:pt>
                <c:pt idx="7">
                  <c:v>0.4851793069458471</c:v>
                </c:pt>
                <c:pt idx="8">
                  <c:v>0.46428978651425601</c:v>
                </c:pt>
                <c:pt idx="9">
                  <c:v>0.44535711661475713</c:v>
                </c:pt>
                <c:pt idx="10">
                  <c:v>0.42806393379875213</c:v>
                </c:pt>
                <c:pt idx="11">
                  <c:v>0.41216602533493241</c:v>
                </c:pt>
                <c:pt idx="12">
                  <c:v>0.39747101751689984</c:v>
                </c:pt>
                <c:pt idx="13">
                  <c:v>0.38382439895351428</c:v>
                </c:pt>
                <c:pt idx="14">
                  <c:v>0.37110001784736329</c:v>
                </c:pt>
                <c:pt idx="15">
                  <c:v>0.35919342279675909</c:v>
                </c:pt>
                <c:pt idx="16">
                  <c:v>0.34801707457870923</c:v>
                </c:pt>
                <c:pt idx="17">
                  <c:v>0.33749682600286152</c:v>
                </c:pt>
                <c:pt idx="18">
                  <c:v>0.32756928350810377</c:v>
                </c:pt>
                <c:pt idx="19">
                  <c:v>0.31817979574912503</c:v>
                </c:pt>
              </c:numCache>
            </c:numRef>
          </c:val>
          <c:smooth val="0"/>
          <c:extLst>
            <c:ext xmlns:c16="http://schemas.microsoft.com/office/drawing/2014/chart" uri="{C3380CC4-5D6E-409C-BE32-E72D297353CC}">
              <c16:uniqueId val="{00000014-5371-45B3-9017-C99C9D6BA144}"/>
            </c:ext>
          </c:extLst>
        </c:ser>
        <c:ser>
          <c:idx val="21"/>
          <c:order val="21"/>
          <c:marker>
            <c:symbol val="none"/>
          </c:marker>
          <c:val>
            <c:numRef>
              <c:f>afschrijving!$R$103:$AK$103</c:f>
              <c:numCache>
                <c:formatCode>0%</c:formatCode>
                <c:ptCount val="20"/>
                <c:pt idx="0">
                  <c:v>0.77400000000000002</c:v>
                </c:pt>
                <c:pt idx="1">
                  <c:v>0.69573150210292511</c:v>
                </c:pt>
                <c:pt idx="2">
                  <c:v>0.64102881542419721</c:v>
                </c:pt>
                <c:pt idx="3">
                  <c:v>0.59823994338484143</c:v>
                </c:pt>
                <c:pt idx="4">
                  <c:v>0.56289811982303117</c:v>
                </c:pt>
                <c:pt idx="5">
                  <c:v>0.53273551929088281</c:v>
                </c:pt>
                <c:pt idx="6">
                  <c:v>0.5064183106503739</c:v>
                </c:pt>
                <c:pt idx="7">
                  <c:v>0.48308597269540182</c:v>
                </c:pt>
                <c:pt idx="8">
                  <c:v>0.46214661720509109</c:v>
                </c:pt>
                <c:pt idx="9">
                  <c:v>0.4431734693278897</c:v>
                </c:pt>
                <c:pt idx="10">
                  <c:v>0.42584744914171996</c:v>
                </c:pt>
                <c:pt idx="11">
                  <c:v>0.40992303343377862</c:v>
                </c:pt>
                <c:pt idx="12">
                  <c:v>0.39520682540971325</c:v>
                </c:pt>
                <c:pt idx="13">
                  <c:v>0.38154350005093174</c:v>
                </c:pt>
                <c:pt idx="14">
                  <c:v>0.36880624835266373</c:v>
                </c:pt>
                <c:pt idx="15">
                  <c:v>0.35689008094895736</c:v>
                </c:pt>
                <c:pt idx="16">
                  <c:v>0.34570701317661551</c:v>
                </c:pt>
                <c:pt idx="17">
                  <c:v>0.33518252530720138</c:v>
                </c:pt>
                <c:pt idx="18">
                  <c:v>0.32525290946021174</c:v>
                </c:pt>
                <c:pt idx="19">
                  <c:v>0.31586324701872964</c:v>
                </c:pt>
              </c:numCache>
            </c:numRef>
          </c:val>
          <c:smooth val="0"/>
          <c:extLst>
            <c:ext xmlns:c16="http://schemas.microsoft.com/office/drawing/2014/chart" uri="{C3380CC4-5D6E-409C-BE32-E72D297353CC}">
              <c16:uniqueId val="{00000015-5371-45B3-9017-C99C9D6BA144}"/>
            </c:ext>
          </c:extLst>
        </c:ser>
        <c:ser>
          <c:idx val="22"/>
          <c:order val="22"/>
          <c:marker>
            <c:symbol val="none"/>
          </c:marker>
          <c:val>
            <c:numRef>
              <c:f>afschrijving!$R$104:$AK$104</c:f>
              <c:numCache>
                <c:formatCode>0%</c:formatCode>
                <c:ptCount val="20"/>
                <c:pt idx="0">
                  <c:v>0.77300000000000002</c:v>
                </c:pt>
                <c:pt idx="1">
                  <c:v>0.69438077471091064</c:v>
                </c:pt>
                <c:pt idx="2">
                  <c:v>0.63945210869354263</c:v>
                </c:pt>
                <c:pt idx="3">
                  <c:v>0.59650074717718671</c:v>
                </c:pt>
                <c:pt idx="4">
                  <c:v>0.56103581907576472</c:v>
                </c:pt>
                <c:pt idx="5">
                  <c:v>0.53077711716372722</c:v>
                </c:pt>
                <c:pt idx="6">
                  <c:v>0.50438349408150462</c:v>
                </c:pt>
                <c:pt idx="7">
                  <c:v>0.48098970695801502</c:v>
                </c:pt>
                <c:pt idx="8">
                  <c:v>0.46000062835016953</c:v>
                </c:pt>
                <c:pt idx="9">
                  <c:v>0.44098715893925472</c:v>
                </c:pt>
                <c:pt idx="10">
                  <c:v>0.42362849210777903</c:v>
                </c:pt>
                <c:pt idx="11">
                  <c:v>0.40767778635300245</c:v>
                </c:pt>
                <c:pt idx="12">
                  <c:v>0.39294061572691619</c:v>
                </c:pt>
                <c:pt idx="13">
                  <c:v>0.37926083680634243</c:v>
                </c:pt>
                <c:pt idx="14">
                  <c:v>0.36651097957391465</c:v>
                </c:pt>
                <c:pt idx="15">
                  <c:v>0.35458551363972413</c:v>
                </c:pt>
                <c:pt idx="16">
                  <c:v>0.34339600642095369</c:v>
                </c:pt>
                <c:pt idx="17">
                  <c:v>0.3328675636290343</c:v>
                </c:pt>
                <c:pt idx="18">
                  <c:v>0.32293616140649412</c:v>
                </c:pt>
                <c:pt idx="19">
                  <c:v>0.31354661250049104</c:v>
                </c:pt>
              </c:numCache>
            </c:numRef>
          </c:val>
          <c:smooth val="0"/>
          <c:extLst>
            <c:ext xmlns:c16="http://schemas.microsoft.com/office/drawing/2014/chart" uri="{C3380CC4-5D6E-409C-BE32-E72D297353CC}">
              <c16:uniqueId val="{00000016-5371-45B3-9017-C99C9D6BA144}"/>
            </c:ext>
          </c:extLst>
        </c:ser>
        <c:ser>
          <c:idx val="23"/>
          <c:order val="23"/>
          <c:marker>
            <c:symbol val="none"/>
          </c:marker>
          <c:val>
            <c:numRef>
              <c:f>afschrijving!$R$105:$AK$105</c:f>
              <c:numCache>
                <c:formatCode>0%</c:formatCode>
                <c:ptCount val="20"/>
                <c:pt idx="0">
                  <c:v>0.77200000000000002</c:v>
                </c:pt>
                <c:pt idx="1">
                  <c:v>0.69302871701161461</c:v>
                </c:pt>
                <c:pt idx="2">
                  <c:v>0.63787326981571868</c:v>
                </c:pt>
                <c:pt idx="3">
                  <c:v>0.59475893425231219</c:v>
                </c:pt>
                <c:pt idx="4">
                  <c:v>0.55917062577888099</c:v>
                </c:pt>
                <c:pt idx="5">
                  <c:v>0.52881569220627722</c:v>
                </c:pt>
                <c:pt idx="6">
                  <c:v>0.50234562981825415</c:v>
                </c:pt>
                <c:pt idx="7">
                  <c:v>0.47889044699470501</c:v>
                </c:pt>
                <c:pt idx="8">
                  <c:v>0.45785175797068367</c:v>
                </c:pt>
                <c:pt idx="9">
                  <c:v>0.4387981250351819</c:v>
                </c:pt>
                <c:pt idx="10">
                  <c:v>0.4214070044559719</c:v>
                </c:pt>
                <c:pt idx="11">
                  <c:v>0.40543022848147869</c:v>
                </c:pt>
                <c:pt idx="12">
                  <c:v>0.39067233582798871</c:v>
                </c:pt>
                <c:pt idx="13">
                  <c:v>0.37697635979958549</c:v>
                </c:pt>
                <c:pt idx="14">
                  <c:v>0.36421416548919572</c:v>
                </c:pt>
                <c:pt idx="15">
                  <c:v>0.35227967836608726</c:v>
                </c:pt>
                <c:pt idx="16">
                  <c:v>0.34108401540266753</c:v>
                </c:pt>
                <c:pt idx="17">
                  <c:v>0.33055190569143916</c:v>
                </c:pt>
                <c:pt idx="18">
                  <c:v>0.32061900771078228</c:v>
                </c:pt>
                <c:pt idx="19">
                  <c:v>0.31122986418373128</c:v>
                </c:pt>
              </c:numCache>
            </c:numRef>
          </c:val>
          <c:smooth val="0"/>
          <c:extLst>
            <c:ext xmlns:c16="http://schemas.microsoft.com/office/drawing/2014/chart" uri="{C3380CC4-5D6E-409C-BE32-E72D297353CC}">
              <c16:uniqueId val="{00000017-5371-45B3-9017-C99C9D6BA144}"/>
            </c:ext>
          </c:extLst>
        </c:ser>
        <c:ser>
          <c:idx val="24"/>
          <c:order val="24"/>
          <c:marker>
            <c:symbol val="none"/>
          </c:marker>
          <c:val>
            <c:numRef>
              <c:f>afschrijving!$R$106:$AK$106</c:f>
              <c:numCache>
                <c:formatCode>0%</c:formatCode>
                <c:ptCount val="20"/>
                <c:pt idx="0">
                  <c:v>0.77100000000000002</c:v>
                </c:pt>
                <c:pt idx="1">
                  <c:v>0.69159285926624681</c:v>
                </c:pt>
                <c:pt idx="2">
                  <c:v>0.6361448284511364</c:v>
                </c:pt>
                <c:pt idx="3">
                  <c:v>0.59281405493551731</c:v>
                </c:pt>
                <c:pt idx="4">
                  <c:v>0.55705784843905792</c:v>
                </c:pt>
                <c:pt idx="5">
                  <c:v>0.52656897447145068</c:v>
                </c:pt>
                <c:pt idx="6">
                  <c:v>0.49999013265546854</c:v>
                </c:pt>
                <c:pt idx="7">
                  <c:v>0.47644555990554682</c:v>
                </c:pt>
                <c:pt idx="8">
                  <c:v>0.45533285626002451</c:v>
                </c:pt>
                <c:pt idx="9">
                  <c:v>0.43621766919666261</c:v>
                </c:pt>
                <c:pt idx="10">
                  <c:v>0.41877526715398211</c:v>
                </c:pt>
                <c:pt idx="11">
                  <c:v>0.40275579642456394</c:v>
                </c:pt>
                <c:pt idx="12">
                  <c:v>0.38796246838739062</c:v>
                </c:pt>
                <c:pt idx="13">
                  <c:v>0.37423725260344337</c:v>
                </c:pt>
                <c:pt idx="14">
                  <c:v>0.3614511487933374</c:v>
                </c:pt>
                <c:pt idx="15">
                  <c:v>0.34949736935385078</c:v>
                </c:pt>
                <c:pt idx="16">
                  <c:v>0.33828643713765871</c:v>
                </c:pt>
                <c:pt idx="17">
                  <c:v>0.32774258141941787</c:v>
                </c:pt>
                <c:pt idx="18">
                  <c:v>0.31780103660171122</c:v>
                </c:pt>
                <c:pt idx="19">
                  <c:v>0.30840598287274712</c:v>
                </c:pt>
              </c:numCache>
            </c:numRef>
          </c:val>
          <c:smooth val="0"/>
          <c:extLst>
            <c:ext xmlns:c16="http://schemas.microsoft.com/office/drawing/2014/chart" uri="{C3380CC4-5D6E-409C-BE32-E72D297353CC}">
              <c16:uniqueId val="{00000018-5371-45B3-9017-C99C9D6BA144}"/>
            </c:ext>
          </c:extLst>
        </c:ser>
        <c:ser>
          <c:idx val="25"/>
          <c:order val="25"/>
          <c:marker>
            <c:symbol val="none"/>
          </c:marker>
          <c:val>
            <c:numRef>
              <c:f>afschrijving!$R$107:$AK$107</c:f>
              <c:numCache>
                <c:formatCode>0%</c:formatCode>
                <c:ptCount val="20"/>
                <c:pt idx="0">
                  <c:v>0.76900000000000002</c:v>
                </c:pt>
                <c:pt idx="1">
                  <c:v>0.68929336305598066</c:v>
                </c:pt>
                <c:pt idx="2">
                  <c:v>0.63371145625015435</c:v>
                </c:pt>
                <c:pt idx="3">
                  <c:v>0.59031584302037698</c:v>
                </c:pt>
                <c:pt idx="4">
                  <c:v>0.5545313417864195</c:v>
                </c:pt>
                <c:pt idx="5">
                  <c:v>0.52403590852167337</c:v>
                </c:pt>
                <c:pt idx="6">
                  <c:v>0.49746434216565216</c:v>
                </c:pt>
                <c:pt idx="7">
                  <c:v>0.47393623031829379</c:v>
                </c:pt>
                <c:pt idx="8">
                  <c:v>0.45284624690752351</c:v>
                </c:pt>
                <c:pt idx="9">
                  <c:v>0.43375810584929164</c:v>
                </c:pt>
                <c:pt idx="10">
                  <c:v>0.41634575012416619</c:v>
                </c:pt>
                <c:pt idx="11">
                  <c:v>0.40035839131410395</c:v>
                </c:pt>
                <c:pt idx="12">
                  <c:v>0.38559856685527738</c:v>
                </c:pt>
                <c:pt idx="13">
                  <c:v>0.37190775182373892</c:v>
                </c:pt>
                <c:pt idx="14">
                  <c:v>0.35915657813215063</c:v>
                </c:pt>
                <c:pt idx="15">
                  <c:v>0.34723798170907044</c:v>
                </c:pt>
                <c:pt idx="16">
                  <c:v>0.33606227599224447</c:v>
                </c:pt>
                <c:pt idx="17">
                  <c:v>0.325553530824084</c:v>
                </c:pt>
                <c:pt idx="18">
                  <c:v>0.31564685892331051</c:v>
                </c:pt>
                <c:pt idx="19">
                  <c:v>0.30628634762439499</c:v>
                </c:pt>
              </c:numCache>
            </c:numRef>
          </c:val>
          <c:smooth val="0"/>
          <c:extLst>
            <c:ext xmlns:c16="http://schemas.microsoft.com/office/drawing/2014/chart" uri="{C3380CC4-5D6E-409C-BE32-E72D297353CC}">
              <c16:uniqueId val="{00000019-5371-45B3-9017-C99C9D6BA144}"/>
            </c:ext>
          </c:extLst>
        </c:ser>
        <c:ser>
          <c:idx val="26"/>
          <c:order val="26"/>
          <c:marker>
            <c:symbol val="none"/>
          </c:marker>
          <c:val>
            <c:numRef>
              <c:f>afschrijving!$R$108:$AK$108</c:f>
              <c:numCache>
                <c:formatCode>0%</c:formatCode>
                <c:ptCount val="20"/>
                <c:pt idx="0">
                  <c:v>0.76700000000000002</c:v>
                </c:pt>
                <c:pt idx="1">
                  <c:v>0.68727061100135767</c:v>
                </c:pt>
                <c:pt idx="2">
                  <c:v>0.63177164224207094</c:v>
                </c:pt>
                <c:pt idx="3">
                  <c:v>0.58848720435483393</c:v>
                </c:pt>
                <c:pt idx="4">
                  <c:v>0.55282094000387605</c:v>
                </c:pt>
                <c:pt idx="5">
                  <c:v>0.52244308523855565</c:v>
                </c:pt>
                <c:pt idx="6">
                  <c:v>0.4959852996102122</c:v>
                </c:pt>
                <c:pt idx="7">
                  <c:v>0.47256589421694178</c:v>
                </c:pt>
                <c:pt idx="8">
                  <c:v>0.45157910521487815</c:v>
                </c:pt>
                <c:pt idx="9">
                  <c:v>0.4325886078633821</c:v>
                </c:pt>
                <c:pt idx="10">
                  <c:v>0.41526849967321883</c:v>
                </c:pt>
                <c:pt idx="11">
                  <c:v>0.39936823756665085</c:v>
                </c:pt>
                <c:pt idx="12">
                  <c:v>0.3846906422317502</c:v>
                </c:pt>
                <c:pt idx="13">
                  <c:v>0.37107748202033619</c:v>
                </c:pt>
                <c:pt idx="14">
                  <c:v>0.3583996774420703</c:v>
                </c:pt>
                <c:pt idx="15">
                  <c:v>0.34655044080572722</c:v>
                </c:pt>
                <c:pt idx="16">
                  <c:v>0.33544034614498097</c:v>
                </c:pt>
                <c:pt idx="17">
                  <c:v>0.32499370676613298</c:v>
                </c:pt>
                <c:pt idx="18">
                  <c:v>0.31514586160766633</c:v>
                </c:pt>
                <c:pt idx="19">
                  <c:v>0.30584110753982652</c:v>
                </c:pt>
              </c:numCache>
            </c:numRef>
          </c:val>
          <c:smooth val="0"/>
          <c:extLst>
            <c:ext xmlns:c16="http://schemas.microsoft.com/office/drawing/2014/chart" uri="{C3380CC4-5D6E-409C-BE32-E72D297353CC}">
              <c16:uniqueId val="{0000001A-5371-45B3-9017-C99C9D6BA144}"/>
            </c:ext>
          </c:extLst>
        </c:ser>
        <c:ser>
          <c:idx val="27"/>
          <c:order val="27"/>
          <c:marker>
            <c:symbol val="none"/>
          </c:marker>
          <c:val>
            <c:numRef>
              <c:f>afschrijving!$R$109:$AK$109</c:f>
              <c:numCache>
                <c:formatCode>0%</c:formatCode>
                <c:ptCount val="20"/>
                <c:pt idx="0">
                  <c:v>0.76500000000000001</c:v>
                </c:pt>
                <c:pt idx="1">
                  <c:v>0.68530632701625294</c:v>
                </c:pt>
                <c:pt idx="2">
                  <c:v>0.62993463671176675</c:v>
                </c:pt>
                <c:pt idx="3">
                  <c:v>0.58679664136519094</c:v>
                </c:pt>
                <c:pt idx="4">
                  <c:v>0.55127753095879861</c:v>
                </c:pt>
                <c:pt idx="5">
                  <c:v>0.52104145554523851</c:v>
                </c:pt>
                <c:pt idx="6">
                  <c:v>0.49471800199880706</c:v>
                </c:pt>
                <c:pt idx="7">
                  <c:v>0.47142494470739182</c:v>
                </c:pt>
                <c:pt idx="8">
                  <c:v>0.45055661862390545</c:v>
                </c:pt>
                <c:pt idx="9">
                  <c:v>0.4316770631501527</c:v>
                </c:pt>
                <c:pt idx="10">
                  <c:v>0.41446084106020104</c:v>
                </c:pt>
                <c:pt idx="11">
                  <c:v>0.39865789968682802</c:v>
                </c:pt>
                <c:pt idx="12">
                  <c:v>0.38407153982367431</c:v>
                </c:pt>
                <c:pt idx="13">
                  <c:v>0.37054398367674929</c:v>
                </c:pt>
                <c:pt idx="14">
                  <c:v>0.35794657307396943</c:v>
                </c:pt>
                <c:pt idx="15">
                  <c:v>0.34617290765348974</c:v>
                </c:pt>
                <c:pt idx="16">
                  <c:v>0.33513391571658946</c:v>
                </c:pt>
                <c:pt idx="17">
                  <c:v>0.32475423381038232</c:v>
                </c:pt>
                <c:pt idx="18">
                  <c:v>0.31496949556348253</c:v>
                </c:pt>
                <c:pt idx="19">
                  <c:v>0.30572426655509183</c:v>
                </c:pt>
              </c:numCache>
            </c:numRef>
          </c:val>
          <c:smooth val="0"/>
          <c:extLst>
            <c:ext xmlns:c16="http://schemas.microsoft.com/office/drawing/2014/chart" uri="{C3380CC4-5D6E-409C-BE32-E72D297353CC}">
              <c16:uniqueId val="{0000001B-5371-45B3-9017-C99C9D6BA144}"/>
            </c:ext>
          </c:extLst>
        </c:ser>
        <c:ser>
          <c:idx val="28"/>
          <c:order val="28"/>
          <c:marker>
            <c:symbol val="none"/>
          </c:marker>
          <c:val>
            <c:numRef>
              <c:f>afschrijving!$R$110:$AK$110</c:f>
              <c:numCache>
                <c:formatCode>0%</c:formatCode>
                <c:ptCount val="20"/>
                <c:pt idx="0">
                  <c:v>0.76300000000000001</c:v>
                </c:pt>
                <c:pt idx="1">
                  <c:v>0.68369988862184294</c:v>
                </c:pt>
                <c:pt idx="2">
                  <c:v>0.62873267055264226</c:v>
                </c:pt>
                <c:pt idx="3">
                  <c:v>0.58596479360786913</c:v>
                </c:pt>
                <c:pt idx="4">
                  <c:v>0.55077834416052807</c:v>
                </c:pt>
                <c:pt idx="5">
                  <c:v>0.52084081511054348</c:v>
                </c:pt>
                <c:pt idx="6">
                  <c:v>0.49478597448031658</c:v>
                </c:pt>
                <c:pt idx="7">
                  <c:v>0.47173545018625795</c:v>
                </c:pt>
                <c:pt idx="8">
                  <c:v>0.45108689222089915</c:v>
                </c:pt>
                <c:pt idx="9">
                  <c:v>0.43240713935811215</c:v>
                </c:pt>
                <c:pt idx="10">
                  <c:v>0.41537311253423953</c:v>
                </c:pt>
                <c:pt idx="11">
                  <c:v>0.39973675259517871</c:v>
                </c:pt>
                <c:pt idx="12">
                  <c:v>0.3853030553435644</c:v>
                </c:pt>
                <c:pt idx="13">
                  <c:v>0.37191569357019089</c:v>
                </c:pt>
                <c:pt idx="14">
                  <c:v>0.35944725865352362</c:v>
                </c:pt>
                <c:pt idx="15">
                  <c:v>0.34779243340677946</c:v>
                </c:pt>
                <c:pt idx="16">
                  <c:v>0.3368630906702193</c:v>
                </c:pt>
                <c:pt idx="17">
                  <c:v>0.32658469520604638</c:v>
                </c:pt>
                <c:pt idx="18">
                  <c:v>0.31689361059493365</c:v>
                </c:pt>
                <c:pt idx="19">
                  <c:v>0.30773504882547131</c:v>
                </c:pt>
              </c:numCache>
            </c:numRef>
          </c:val>
          <c:smooth val="0"/>
          <c:extLst>
            <c:ext xmlns:c16="http://schemas.microsoft.com/office/drawing/2014/chart" uri="{C3380CC4-5D6E-409C-BE32-E72D297353CC}">
              <c16:uniqueId val="{0000001C-5371-45B3-9017-C99C9D6BA144}"/>
            </c:ext>
          </c:extLst>
        </c:ser>
        <c:ser>
          <c:idx val="29"/>
          <c:order val="29"/>
          <c:marker>
            <c:symbol val="none"/>
          </c:marker>
          <c:val>
            <c:numRef>
              <c:f>afschrijving!$R$111:$AK$111</c:f>
              <c:numCache>
                <c:formatCode>0%</c:formatCode>
                <c:ptCount val="20"/>
                <c:pt idx="0">
                  <c:v>0.76</c:v>
                </c:pt>
                <c:pt idx="1">
                  <c:v>0.68124782801965422</c:v>
                </c:pt>
                <c:pt idx="2">
                  <c:v>0.62684810617160658</c:v>
                </c:pt>
                <c:pt idx="3">
                  <c:v>0.58460091864350061</c:v>
                </c:pt>
                <c:pt idx="4">
                  <c:v>0.54988331322023898</c:v>
                </c:pt>
                <c:pt idx="5">
                  <c:v>0.52036721367765526</c:v>
                </c:pt>
                <c:pt idx="6">
                  <c:v>0.4946921253523503</c:v>
                </c:pt>
                <c:pt idx="7">
                  <c:v>0.47198500566091761</c:v>
                </c:pt>
                <c:pt idx="8">
                  <c:v>0.45164810345042328</c:v>
                </c:pt>
                <c:pt idx="9">
                  <c:v>0.43325214664132766</c:v>
                </c:pt>
                <c:pt idx="10">
                  <c:v>0.41647733485039318</c:v>
                </c:pt>
                <c:pt idx="11">
                  <c:v>0.40107838179503363</c:v>
                </c:pt>
                <c:pt idx="12">
                  <c:v>0.3868626415400333</c:v>
                </c:pt>
                <c:pt idx="13">
                  <c:v>0.37367580539454476</c:v>
                </c:pt>
                <c:pt idx="14">
                  <c:v>0.36139220370924668</c:v>
                </c:pt>
                <c:pt idx="15">
                  <c:v>0.3499080268680636</c:v>
                </c:pt>
                <c:pt idx="16">
                  <c:v>0.33913646244213641</c:v>
                </c:pt>
                <c:pt idx="17">
                  <c:v>0.32900412811547525</c:v>
                </c:pt>
                <c:pt idx="18">
                  <c:v>0.31944840370598054</c:v>
                </c:pt>
                <c:pt idx="19">
                  <c:v>0.31041540123499756</c:v>
                </c:pt>
              </c:numCache>
            </c:numRef>
          </c:val>
          <c:smooth val="0"/>
          <c:extLst>
            <c:ext xmlns:c16="http://schemas.microsoft.com/office/drawing/2014/chart" uri="{C3380CC4-5D6E-409C-BE32-E72D297353CC}">
              <c16:uniqueId val="{0000001D-5371-45B3-9017-C99C9D6BA144}"/>
            </c:ext>
          </c:extLst>
        </c:ser>
        <c:ser>
          <c:idx val="30"/>
          <c:order val="30"/>
          <c:marker>
            <c:symbol val="none"/>
          </c:marker>
          <c:val>
            <c:numRef>
              <c:f>afschrijving!$R$112:$AK$112</c:f>
              <c:numCache>
                <c:formatCode>0%</c:formatCode>
                <c:ptCount val="20"/>
                <c:pt idx="0">
                  <c:v>0.75600000000000001</c:v>
                </c:pt>
                <c:pt idx="1">
                  <c:v>0.67778847810031062</c:v>
                </c:pt>
                <c:pt idx="2">
                  <c:v>0.62398836856463835</c:v>
                </c:pt>
                <c:pt idx="3">
                  <c:v>0.58230409336414346</c:v>
                </c:pt>
                <c:pt idx="4">
                  <c:v>0.54810005776959136</c:v>
                </c:pt>
                <c:pt idx="5">
                  <c:v>0.51904993903945584</c:v>
                </c:pt>
                <c:pt idx="6">
                  <c:v>0.49379791938901513</c:v>
                </c:pt>
                <c:pt idx="7">
                  <c:v>0.47147586386121165</c:v>
                </c:pt>
                <c:pt idx="8">
                  <c:v>0.45149047855995839</c:v>
                </c:pt>
                <c:pt idx="9">
                  <c:v>0.43341636922186033</c:v>
                </c:pt>
                <c:pt idx="10">
                  <c:v>0.41693706438364686</c:v>
                </c:pt>
                <c:pt idx="11">
                  <c:v>0.40181012901423846</c:v>
                </c:pt>
                <c:pt idx="12">
                  <c:v>0.38784536505061973</c:v>
                </c:pt>
                <c:pt idx="13">
                  <c:v>0.37489057444292223</c:v>
                </c:pt>
                <c:pt idx="14">
                  <c:v>0.36282191667066083</c:v>
                </c:pt>
                <c:pt idx="15">
                  <c:v>0.35153717566032899</c:v>
                </c:pt>
                <c:pt idx="16">
                  <c:v>0.34095093450941499</c:v>
                </c:pt>
                <c:pt idx="17">
                  <c:v>0.33099103912167549</c:v>
                </c:pt>
                <c:pt idx="18">
                  <c:v>0.32159595539446895</c:v>
                </c:pt>
                <c:pt idx="19">
                  <c:v>0.31271276000031467</c:v>
                </c:pt>
              </c:numCache>
            </c:numRef>
          </c:val>
          <c:smooth val="0"/>
          <c:extLst>
            <c:ext xmlns:c16="http://schemas.microsoft.com/office/drawing/2014/chart" uri="{C3380CC4-5D6E-409C-BE32-E72D297353CC}">
              <c16:uniqueId val="{0000001E-5371-45B3-9017-C99C9D6BA144}"/>
            </c:ext>
          </c:extLst>
        </c:ser>
        <c:ser>
          <c:idx val="31"/>
          <c:order val="31"/>
          <c:marker>
            <c:symbol val="none"/>
          </c:marker>
          <c:val>
            <c:numRef>
              <c:f>afschrijving!$R$113:$AK$113</c:f>
              <c:numCache>
                <c:formatCode>0%</c:formatCode>
                <c:ptCount val="20"/>
                <c:pt idx="0">
                  <c:v>0.752</c:v>
                </c:pt>
                <c:pt idx="1">
                  <c:v>0.67443645943821673</c:v>
                </c:pt>
                <c:pt idx="2">
                  <c:v>0.62130798383871488</c:v>
                </c:pt>
                <c:pt idx="3">
                  <c:v>0.58023984787469629</c:v>
                </c:pt>
                <c:pt idx="4">
                  <c:v>0.54659088804735956</c:v>
                </c:pt>
                <c:pt idx="5">
                  <c:v>0.51804026311164486</c:v>
                </c:pt>
                <c:pt idx="6">
                  <c:v>0.49323904797044321</c:v>
                </c:pt>
                <c:pt idx="7">
                  <c:v>0.47132544102490209</c:v>
                </c:pt>
                <c:pt idx="8">
                  <c:v>0.45171157645391113</c:v>
                </c:pt>
                <c:pt idx="9">
                  <c:v>0.43397662766291734</c:v>
                </c:pt>
                <c:pt idx="10">
                  <c:v>0.41780795894261324</c:v>
                </c:pt>
                <c:pt idx="11">
                  <c:v>0.4029663690306462</c:v>
                </c:pt>
                <c:pt idx="12">
                  <c:v>0.38926440290014258</c:v>
                </c:pt>
                <c:pt idx="13">
                  <c:v>0.37655220518225335</c:v>
                </c:pt>
                <c:pt idx="14">
                  <c:v>0.36470794982237276</c:v>
                </c:pt>
                <c:pt idx="15">
                  <c:v>0.35363116437035835</c:v>
                </c:pt>
                <c:pt idx="16">
                  <c:v>0.34323795044868027</c:v>
                </c:pt>
                <c:pt idx="17">
                  <c:v>0.33345748405762687</c:v>
                </c:pt>
                <c:pt idx="18">
                  <c:v>0.32422940235523501</c:v>
                </c:pt>
                <c:pt idx="19">
                  <c:v>0.315501818491421</c:v>
                </c:pt>
              </c:numCache>
            </c:numRef>
          </c:val>
          <c:smooth val="0"/>
          <c:extLst>
            <c:ext xmlns:c16="http://schemas.microsoft.com/office/drawing/2014/chart" uri="{C3380CC4-5D6E-409C-BE32-E72D297353CC}">
              <c16:uniqueId val="{0000001F-5371-45B3-9017-C99C9D6BA144}"/>
            </c:ext>
          </c:extLst>
        </c:ser>
        <c:ser>
          <c:idx val="32"/>
          <c:order val="32"/>
          <c:marker>
            <c:symbol val="none"/>
          </c:marker>
          <c:val>
            <c:numRef>
              <c:f>afschrijving!$R$114:$AK$114</c:f>
              <c:numCache>
                <c:formatCode>0%</c:formatCode>
                <c:ptCount val="20"/>
                <c:pt idx="0">
                  <c:v>0.748</c:v>
                </c:pt>
                <c:pt idx="1">
                  <c:v>0.67126229948824279</c:v>
                </c:pt>
                <c:pt idx="2">
                  <c:v>0.61892984449168942</c:v>
                </c:pt>
                <c:pt idx="3">
                  <c:v>0.57857263060876718</c:v>
                </c:pt>
                <c:pt idx="4">
                  <c:v>0.54555450318147047</c:v>
                </c:pt>
                <c:pt idx="5">
                  <c:v>0.51756581506153787</c:v>
                </c:pt>
                <c:pt idx="6">
                  <c:v>0.49326800024008916</c:v>
                </c:pt>
                <c:pt idx="7">
                  <c:v>0.47180786283491444</c:v>
                </c:pt>
                <c:pt idx="8">
                  <c:v>0.45260453938550482</c:v>
                </c:pt>
                <c:pt idx="9">
                  <c:v>0.43524290802959736</c:v>
                </c:pt>
                <c:pt idx="10">
                  <c:v>0.41941501730328312</c:v>
                </c:pt>
                <c:pt idx="11">
                  <c:v>0.40488554971808233</c:v>
                </c:pt>
                <c:pt idx="12">
                  <c:v>0.39147030212653711</c:v>
                </c:pt>
                <c:pt idx="13">
                  <c:v>0.37902216747772843</c:v>
                </c:pt>
                <c:pt idx="14">
                  <c:v>0.36742166258776426</c:v>
                </c:pt>
                <c:pt idx="15">
                  <c:v>0.35657032808035483</c:v>
                </c:pt>
                <c:pt idx="16">
                  <c:v>0.34638600777177914</c:v>
                </c:pt>
                <c:pt idx="17">
                  <c:v>0.33679939533810732</c:v>
                </c:pt>
                <c:pt idx="18">
                  <c:v>0.32775145794931293</c:v>
                </c:pt>
                <c:pt idx="19">
                  <c:v>0.31919148068434183</c:v>
                </c:pt>
              </c:numCache>
            </c:numRef>
          </c:val>
          <c:smooth val="0"/>
          <c:extLst>
            <c:ext xmlns:c16="http://schemas.microsoft.com/office/drawing/2014/chart" uri="{C3380CC4-5D6E-409C-BE32-E72D297353CC}">
              <c16:uniqueId val="{00000020-5371-45B3-9017-C99C9D6BA144}"/>
            </c:ext>
          </c:extLst>
        </c:ser>
        <c:ser>
          <c:idx val="33"/>
          <c:order val="33"/>
          <c:marker>
            <c:symbol val="none"/>
          </c:marker>
          <c:val>
            <c:numRef>
              <c:f>afschrijving!$R$115:$AK$115</c:f>
              <c:numCache>
                <c:formatCode>0%</c:formatCode>
                <c:ptCount val="20"/>
                <c:pt idx="0">
                  <c:v>0.7433333333333334</c:v>
                </c:pt>
                <c:pt idx="1">
                  <c:v>0.66724139100405166</c:v>
                </c:pt>
                <c:pt idx="2">
                  <c:v>0.61558324911596563</c:v>
                </c:pt>
                <c:pt idx="3">
                  <c:v>0.57584599054797769</c:v>
                </c:pt>
                <c:pt idx="4">
                  <c:v>0.54338746917073444</c:v>
                </c:pt>
                <c:pt idx="5">
                  <c:v>0.5159034547682485</c:v>
                </c:pt>
                <c:pt idx="6">
                  <c:v>0.49206224517828195</c:v>
                </c:pt>
                <c:pt idx="7">
                  <c:v>0.47101694212987877</c:v>
                </c:pt>
                <c:pt idx="8">
                  <c:v>0.4521920662966355</c:v>
                </c:pt>
                <c:pt idx="9">
                  <c:v>0.43517701536387188</c:v>
                </c:pt>
                <c:pt idx="10">
                  <c:v>0.4196676246976479</c:v>
                </c:pt>
                <c:pt idx="11">
                  <c:v>0.40543176299126182</c:v>
                </c:pt>
                <c:pt idx="12">
                  <c:v>0.39228792507562665</c:v>
                </c:pt>
                <c:pt idx="13">
                  <c:v>0.38009130462943985</c:v>
                </c:pt>
                <c:pt idx="14">
                  <c:v>0.368724394293033</c:v>
                </c:pt>
                <c:pt idx="15">
                  <c:v>0.35809044296729209</c:v>
                </c:pt>
                <c:pt idx="16">
                  <c:v>0.34810878080774876</c:v>
                </c:pt>
                <c:pt idx="17">
                  <c:v>0.33871140236490754</c:v>
                </c:pt>
                <c:pt idx="18">
                  <c:v>0.32984041958754345</c:v>
                </c:pt>
                <c:pt idx="19">
                  <c:v>0.32144613006101452</c:v>
                </c:pt>
              </c:numCache>
            </c:numRef>
          </c:val>
          <c:smooth val="0"/>
          <c:extLst>
            <c:ext xmlns:c16="http://schemas.microsoft.com/office/drawing/2014/chart" uri="{C3380CC4-5D6E-409C-BE32-E72D297353CC}">
              <c16:uniqueId val="{00000021-5371-45B3-9017-C99C9D6BA144}"/>
            </c:ext>
          </c:extLst>
        </c:ser>
        <c:ser>
          <c:idx val="34"/>
          <c:order val="34"/>
          <c:marker>
            <c:symbol val="none"/>
          </c:marker>
          <c:val>
            <c:numRef>
              <c:f>afschrijving!$R$116:$AK$116</c:f>
              <c:numCache>
                <c:formatCode>0%</c:formatCode>
                <c:ptCount val="20"/>
                <c:pt idx="0">
                  <c:v>0.74099999999999999</c:v>
                </c:pt>
                <c:pt idx="1">
                  <c:v>0.66489295030895634</c:v>
                </c:pt>
                <c:pt idx="2">
                  <c:v>0.61331362228861774</c:v>
                </c:pt>
                <c:pt idx="3">
                  <c:v>0.57367857793616928</c:v>
                </c:pt>
                <c:pt idx="4">
                  <c:v>0.5413274104439586</c:v>
                </c:pt>
                <c:pt idx="5">
                  <c:v>0.51394953501235752</c:v>
                </c:pt>
                <c:pt idx="6">
                  <c:v>0.4902107969920001</c:v>
                </c:pt>
                <c:pt idx="7">
                  <c:v>0.46926337774484761</c:v>
                </c:pt>
                <c:pt idx="8">
                  <c:v>0.45053154255237471</c:v>
                </c:pt>
                <c:pt idx="9">
                  <c:v>0.43360473680536754</c:v>
                </c:pt>
                <c:pt idx="10">
                  <c:v>0.41817898195405206</c:v>
                </c:pt>
                <c:pt idx="11">
                  <c:v>0.40402239177665827</c:v>
                </c:pt>
                <c:pt idx="12">
                  <c:v>0.39095372563587288</c:v>
                </c:pt>
                <c:pt idx="13">
                  <c:v>0.37882844127224086</c:v>
                </c:pt>
                <c:pt idx="14">
                  <c:v>0.36752928507595828</c:v>
                </c:pt>
                <c:pt idx="15">
                  <c:v>0.35695974485022447</c:v>
                </c:pt>
                <c:pt idx="16">
                  <c:v>0.34703937310165128</c:v>
                </c:pt>
                <c:pt idx="17">
                  <c:v>0.33770036998471054</c:v>
                </c:pt>
                <c:pt idx="18">
                  <c:v>0.32888503689268833</c:v>
                </c:pt>
                <c:pt idx="19">
                  <c:v>0.32054384566557959</c:v>
                </c:pt>
              </c:numCache>
            </c:numRef>
          </c:val>
          <c:smooth val="0"/>
          <c:extLst>
            <c:ext xmlns:c16="http://schemas.microsoft.com/office/drawing/2014/chart" uri="{C3380CC4-5D6E-409C-BE32-E72D297353CC}">
              <c16:uniqueId val="{00000022-5371-45B3-9017-C99C9D6BA144}"/>
            </c:ext>
          </c:extLst>
        </c:ser>
        <c:ser>
          <c:idx val="35"/>
          <c:order val="35"/>
          <c:marker>
            <c:symbol val="none"/>
          </c:marker>
          <c:val>
            <c:numRef>
              <c:f>afschrijving!$R$117:$AK$117</c:f>
              <c:numCache>
                <c:formatCode>0%</c:formatCode>
                <c:ptCount val="20"/>
                <c:pt idx="0">
                  <c:v>0.7363788809549876</c:v>
                </c:pt>
                <c:pt idx="1">
                  <c:v>0.66060154844719521</c:v>
                </c:pt>
                <c:pt idx="2">
                  <c:v>0.60944314210605932</c:v>
                </c:pt>
                <c:pt idx="3">
                  <c:v>0.57021885001404304</c:v>
                </c:pt>
                <c:pt idx="4">
                  <c:v>0.53825052148678798</c:v>
                </c:pt>
                <c:pt idx="5">
                  <c:v>0.5112254459475708</c:v>
                </c:pt>
                <c:pt idx="6">
                  <c:v>0.48781120205235257</c:v>
                </c:pt>
                <c:pt idx="7">
                  <c:v>0.46716260397878745</c:v>
                </c:pt>
                <c:pt idx="8">
                  <c:v>0.44870658058671337</c:v>
                </c:pt>
                <c:pt idx="9">
                  <c:v>0.43203501463980409</c:v>
                </c:pt>
                <c:pt idx="10">
                  <c:v>0.41684608110673027</c:v>
                </c:pt>
                <c:pt idx="11">
                  <c:v>0.40290977255144822</c:v>
                </c:pt>
                <c:pt idx="12">
                  <c:v>0.39004648196386693</c:v>
                </c:pt>
                <c:pt idx="13">
                  <c:v>0.37811308882729672</c:v>
                </c:pt>
                <c:pt idx="14">
                  <c:v>0.36699358047622987</c:v>
                </c:pt>
                <c:pt idx="15">
                  <c:v>0.35659253200913765</c:v>
                </c:pt>
                <c:pt idx="16">
                  <c:v>0.34683045261572337</c:v>
                </c:pt>
                <c:pt idx="17">
                  <c:v>0.33764038782653366</c:v>
                </c:pt>
                <c:pt idx="18">
                  <c:v>0.32896538920978363</c:v>
                </c:pt>
                <c:pt idx="19">
                  <c:v>0.32075659701245424</c:v>
                </c:pt>
              </c:numCache>
            </c:numRef>
          </c:val>
          <c:smooth val="0"/>
          <c:extLst>
            <c:ext xmlns:c16="http://schemas.microsoft.com/office/drawing/2014/chart" uri="{C3380CC4-5D6E-409C-BE32-E72D297353CC}">
              <c16:uniqueId val="{0000000C-E9B1-418A-B507-253199CD1434}"/>
            </c:ext>
          </c:extLst>
        </c:ser>
        <c:ser>
          <c:idx val="36"/>
          <c:order val="36"/>
          <c:marker>
            <c:symbol val="none"/>
          </c:marker>
          <c:val>
            <c:numRef>
              <c:f>afschrijving!$R$118:$AK$118</c:f>
              <c:numCache>
                <c:formatCode>0%</c:formatCode>
                <c:ptCount val="20"/>
                <c:pt idx="0">
                  <c:v>0.73231479071125327</c:v>
                </c:pt>
                <c:pt idx="1">
                  <c:v>0.65717435987684947</c:v>
                </c:pt>
                <c:pt idx="2">
                  <c:v>0.60663708812190509</c:v>
                </c:pt>
                <c:pt idx="3">
                  <c:v>0.56796954734942784</c:v>
                </c:pt>
                <c:pt idx="4">
                  <c:v>0.53649671156992007</c:v>
                </c:pt>
                <c:pt idx="5">
                  <c:v>0.50991440489875461</c:v>
                </c:pt>
                <c:pt idx="6">
                  <c:v>0.48689818797644463</c:v>
                </c:pt>
                <c:pt idx="7">
                  <c:v>0.46660950645614258</c:v>
                </c:pt>
                <c:pt idx="8">
                  <c:v>0.44848067361338129</c:v>
                </c:pt>
                <c:pt idx="9">
                  <c:v>0.43210794722579549</c:v>
                </c:pt>
                <c:pt idx="10">
                  <c:v>0.41719308514928538</c:v>
                </c:pt>
                <c:pt idx="11">
                  <c:v>0.40350904321232089</c:v>
                </c:pt>
                <c:pt idx="12">
                  <c:v>0.3908786899553825</c:v>
                </c:pt>
                <c:pt idx="13">
                  <c:v>0.37916099285031357</c:v>
                </c:pt>
                <c:pt idx="14">
                  <c:v>0.36824171601049033</c:v>
                </c:pt>
                <c:pt idx="15">
                  <c:v>0.35802695880871072</c:v>
                </c:pt>
                <c:pt idx="16">
                  <c:v>0.34843854779950356</c:v>
                </c:pt>
                <c:pt idx="17">
                  <c:v>0.33941067475432707</c:v>
                </c:pt>
                <c:pt idx="18">
                  <c:v>0.33088739473490236</c:v>
                </c:pt>
                <c:pt idx="19">
                  <c:v>0.3228207314575523</c:v>
                </c:pt>
              </c:numCache>
            </c:numRef>
          </c:val>
          <c:smooth val="0"/>
          <c:extLst>
            <c:ext xmlns:c16="http://schemas.microsoft.com/office/drawing/2014/chart" uri="{C3380CC4-5D6E-409C-BE32-E72D297353CC}">
              <c16:uniqueId val="{0000000D-E9B1-418A-B507-253199CD1434}"/>
            </c:ext>
          </c:extLst>
        </c:ser>
        <c:ser>
          <c:idx val="37"/>
          <c:order val="37"/>
          <c:marker>
            <c:symbol val="none"/>
          </c:marker>
          <c:val>
            <c:numRef>
              <c:f>afschrijving!$R$119:$AK$119</c:f>
              <c:numCache>
                <c:formatCode>0%</c:formatCode>
                <c:ptCount val="20"/>
                <c:pt idx="0">
                  <c:v>0.72825070046751894</c:v>
                </c:pt>
                <c:pt idx="1">
                  <c:v>0.65380213303471213</c:v>
                </c:pt>
                <c:pt idx="2">
                  <c:v>0.60391777983479811</c:v>
                </c:pt>
                <c:pt idx="3">
                  <c:v>0.56582817394726814</c:v>
                </c:pt>
                <c:pt idx="4">
                  <c:v>0.5348660713982315</c:v>
                </c:pt>
                <c:pt idx="5">
                  <c:v>0.50873806081327755</c:v>
                </c:pt>
                <c:pt idx="6">
                  <c:v>0.4861289132707427</c:v>
                </c:pt>
                <c:pt idx="7">
                  <c:v>0.4662074465755105</c:v>
                </c:pt>
                <c:pt idx="8">
                  <c:v>0.44841183421051689</c:v>
                </c:pt>
                <c:pt idx="9">
                  <c:v>0.43234302934899166</c:v>
                </c:pt>
                <c:pt idx="10">
                  <c:v>0.4177065964805734</c:v>
                </c:pt>
                <c:pt idx="11">
                  <c:v>0.40427861556811684</c:v>
                </c:pt>
                <c:pt idx="12">
                  <c:v>0.3918845491429917</c:v>
                </c:pt>
                <c:pt idx="13">
                  <c:v>0.38038554160420435</c:v>
                </c:pt>
                <c:pt idx="14">
                  <c:v>0.36966920174991452</c:v>
                </c:pt>
                <c:pt idx="15">
                  <c:v>0.35964320581635817</c:v>
                </c:pt>
                <c:pt idx="16">
                  <c:v>0.35023073895244955</c:v>
                </c:pt>
                <c:pt idx="17">
                  <c:v>0.34136717184103371</c:v>
                </c:pt>
                <c:pt idx="18">
                  <c:v>0.33299758916885741</c:v>
                </c:pt>
                <c:pt idx="19">
                  <c:v>0.32507491919610887</c:v>
                </c:pt>
              </c:numCache>
            </c:numRef>
          </c:val>
          <c:smooth val="0"/>
          <c:extLst>
            <c:ext xmlns:c16="http://schemas.microsoft.com/office/drawing/2014/chart" uri="{C3380CC4-5D6E-409C-BE32-E72D297353CC}">
              <c16:uniqueId val="{0000000E-E9B1-418A-B507-253199CD1434}"/>
            </c:ext>
          </c:extLst>
        </c:ser>
        <c:ser>
          <c:idx val="38"/>
          <c:order val="38"/>
          <c:marker>
            <c:symbol val="none"/>
          </c:marker>
          <c:val>
            <c:numRef>
              <c:f>afschrijving!$R$120:$AK$120</c:f>
              <c:numCache>
                <c:formatCode>0%</c:formatCode>
                <c:ptCount val="20"/>
                <c:pt idx="0">
                  <c:v>0.72418661022378461</c:v>
                </c:pt>
                <c:pt idx="1">
                  <c:v>0.65048518947830991</c:v>
                </c:pt>
                <c:pt idx="2">
                  <c:v>0.60128542018527087</c:v>
                </c:pt>
                <c:pt idx="3">
                  <c:v>0.56379476761488678</c:v>
                </c:pt>
                <c:pt idx="4">
                  <c:v>0.53335850117378858</c:v>
                </c:pt>
                <c:pt idx="5">
                  <c:v>0.50769621787810815</c:v>
                </c:pt>
                <c:pt idx="6">
                  <c:v>0.48550312673301771</c:v>
                </c:pt>
                <c:pt idx="7">
                  <c:v>0.46595615359094766</c:v>
                </c:pt>
                <c:pt idx="8">
                  <c:v>0.44849980260544059</c:v>
                </c:pt>
                <c:pt idx="9">
                  <c:v>0.43274003782700038</c:v>
                </c:pt>
                <c:pt idx="10">
                  <c:v>0.41838644989529067</c:v>
                </c:pt>
                <c:pt idx="11">
                  <c:v>0.40521840021478445</c:v>
                </c:pt>
                <c:pt idx="12">
                  <c:v>0.39306406077641182</c:v>
                </c:pt>
                <c:pt idx="13">
                  <c:v>0.38178683937312269</c:v>
                </c:pt>
                <c:pt idx="14">
                  <c:v>0.37127625533649944</c:v>
                </c:pt>
                <c:pt idx="15">
                  <c:v>0.36144161263933966</c:v>
                </c:pt>
                <c:pt idx="16">
                  <c:v>0.3522074948188989</c:v>
                </c:pt>
                <c:pt idx="17">
                  <c:v>0.34351048293487907</c:v>
                </c:pt>
                <c:pt idx="18">
                  <c:v>0.33529671641571557</c:v>
                </c:pt>
                <c:pt idx="19">
                  <c:v>0.32752004828246312</c:v>
                </c:pt>
              </c:numCache>
            </c:numRef>
          </c:val>
          <c:smooth val="0"/>
          <c:extLst>
            <c:ext xmlns:c16="http://schemas.microsoft.com/office/drawing/2014/chart" uri="{C3380CC4-5D6E-409C-BE32-E72D297353CC}">
              <c16:uniqueId val="{0000000F-E9B1-418A-B507-253199CD1434}"/>
            </c:ext>
          </c:extLst>
        </c:ser>
        <c:ser>
          <c:idx val="39"/>
          <c:order val="39"/>
          <c:marker>
            <c:symbol val="none"/>
          </c:marker>
          <c:val>
            <c:numRef>
              <c:f>afschrijving!$R$121:$AK$121</c:f>
              <c:numCache>
                <c:formatCode>0%</c:formatCode>
                <c:ptCount val="20"/>
                <c:pt idx="0">
                  <c:v>0.72012251998005028</c:v>
                </c:pt>
                <c:pt idx="1">
                  <c:v>0.64722388131094788</c:v>
                </c:pt>
                <c:pt idx="2">
                  <c:v>0.5987402675713579</c:v>
                </c:pt>
                <c:pt idx="3">
                  <c:v>0.56186944491491009</c:v>
                </c:pt>
                <c:pt idx="4">
                  <c:v>0.53197400116619764</c:v>
                </c:pt>
                <c:pt idx="5">
                  <c:v>0.50678879945500888</c:v>
                </c:pt>
                <c:pt idx="6">
                  <c:v>0.48502071325452456</c:v>
                </c:pt>
                <c:pt idx="7">
                  <c:v>0.46585550771718504</c:v>
                </c:pt>
                <c:pt idx="8">
                  <c:v>0.44874448298664038</c:v>
                </c:pt>
                <c:pt idx="9">
                  <c:v>0.43329892476783194</c:v>
                </c:pt>
                <c:pt idx="10">
                  <c:v>0.419232665325107</c:v>
                </c:pt>
                <c:pt idx="11">
                  <c:v>0.40632850142340521</c:v>
                </c:pt>
                <c:pt idx="12">
                  <c:v>0.39441742716760747</c:v>
                </c:pt>
                <c:pt idx="13">
                  <c:v>0.38336519787990336</c:v>
                </c:pt>
                <c:pt idx="14">
                  <c:v>0.37306330734101639</c:v>
                </c:pt>
                <c:pt idx="15">
                  <c:v>0.36342273652720036</c:v>
                </c:pt>
                <c:pt idx="16">
                  <c:v>0.35436950581913501</c:v>
                </c:pt>
                <c:pt idx="17">
                  <c:v>0.34584143699905467</c:v>
                </c:pt>
                <c:pt idx="18">
                  <c:v>0.33778574841398634</c:v>
                </c:pt>
                <c:pt idx="19">
                  <c:v>0.33015723727156338</c:v>
                </c:pt>
              </c:numCache>
            </c:numRef>
          </c:val>
          <c:smooth val="0"/>
          <c:extLst>
            <c:ext xmlns:c16="http://schemas.microsoft.com/office/drawing/2014/chart" uri="{C3380CC4-5D6E-409C-BE32-E72D297353CC}">
              <c16:uniqueId val="{00000010-E9B1-418A-B507-253199CD1434}"/>
            </c:ext>
          </c:extLst>
        </c:ser>
        <c:ser>
          <c:idx val="40"/>
          <c:order val="40"/>
          <c:marker>
            <c:symbol val="none"/>
          </c:marker>
          <c:val>
            <c:numRef>
              <c:f>afschrijving!$R$122:$AK$122</c:f>
              <c:numCache>
                <c:formatCode>0%</c:formatCode>
                <c:ptCount val="20"/>
                <c:pt idx="0">
                  <c:v>0.71605842973631595</c:v>
                </c:pt>
                <c:pt idx="1">
                  <c:v>0.64401859282966389</c:v>
                </c:pt>
                <c:pt idx="2">
                  <c:v>0.59628263808321935</c:v>
                </c:pt>
                <c:pt idx="3">
                  <c:v>0.56005240342631279</c:v>
                </c:pt>
                <c:pt idx="4">
                  <c:v>0.53071267366963792</c:v>
                </c:pt>
                <c:pt idx="5">
                  <c:v>0.5060158495369681</c:v>
                </c:pt>
                <c:pt idx="6">
                  <c:v>0.48468169466100858</c:v>
                </c:pt>
                <c:pt idx="7">
                  <c:v>0.46590554029158993</c:v>
                </c:pt>
                <c:pt idx="8">
                  <c:v>0.44914594295563387</c:v>
                </c:pt>
                <c:pt idx="9">
                  <c:v>0.43401981630146469</c:v>
                </c:pt>
                <c:pt idx="10">
                  <c:v>0.42024544585307044</c:v>
                </c:pt>
                <c:pt idx="11">
                  <c:v>0.40760921444897585</c:v>
                </c:pt>
                <c:pt idx="12">
                  <c:v>0.39594504831063704</c:v>
                </c:pt>
                <c:pt idx="13">
                  <c:v>0.38512113223661421</c:v>
                </c:pt>
                <c:pt idx="14">
                  <c:v>0.37503099656540712</c:v>
                </c:pt>
                <c:pt idx="15">
                  <c:v>0.36558734704765788</c:v>
                </c:pt>
                <c:pt idx="16">
                  <c:v>0.35671767812026101</c:v>
                </c:pt>
                <c:pt idx="17">
                  <c:v>0.34836108159850682</c:v>
                </c:pt>
                <c:pt idx="18">
                  <c:v>0.34046587805940032</c:v>
                </c:pt>
                <c:pt idx="19">
                  <c:v>0.3329878275967989</c:v>
                </c:pt>
              </c:numCache>
            </c:numRef>
          </c:val>
          <c:smooth val="0"/>
          <c:extLst>
            <c:ext xmlns:c16="http://schemas.microsoft.com/office/drawing/2014/chart" uri="{C3380CC4-5D6E-409C-BE32-E72D297353CC}">
              <c16:uniqueId val="{00000011-E9B1-418A-B507-253199CD1434}"/>
            </c:ext>
          </c:extLst>
        </c:ser>
        <c:ser>
          <c:idx val="41"/>
          <c:order val="41"/>
          <c:marker>
            <c:symbol val="none"/>
          </c:marker>
          <c:val>
            <c:numRef>
              <c:f>afschrijving!$R$123:$AK$123</c:f>
              <c:numCache>
                <c:formatCode>0%</c:formatCode>
                <c:ptCount val="20"/>
                <c:pt idx="0">
                  <c:v>0.71199433949258162</c:v>
                </c:pt>
                <c:pt idx="1">
                  <c:v>0.64086974230103133</c:v>
                </c:pt>
                <c:pt idx="2">
                  <c:v>0.59391290792038276</c:v>
                </c:pt>
                <c:pt idx="3">
                  <c:v>0.55834392421888368</c:v>
                </c:pt>
                <c:pt idx="4">
                  <c:v>0.5295747251950772</c:v>
                </c:pt>
                <c:pt idx="5">
                  <c:v>0.50537753445758082</c:v>
                </c:pt>
                <c:pt idx="6">
                  <c:v>0.48448623082203662</c:v>
                </c:pt>
                <c:pt idx="7">
                  <c:v>0.46610643421779541</c:v>
                </c:pt>
                <c:pt idx="8">
                  <c:v>0.44970441327172184</c:v>
                </c:pt>
                <c:pt idx="9">
                  <c:v>0.43490301161318901</c:v>
                </c:pt>
                <c:pt idx="10">
                  <c:v>0.42142517603612312</c:v>
                </c:pt>
                <c:pt idx="11">
                  <c:v>0.40906102315091275</c:v>
                </c:pt>
                <c:pt idx="12">
                  <c:v>0.39764751881397764</c:v>
                </c:pt>
                <c:pt idx="13">
                  <c:v>0.387055357205426</c:v>
                </c:pt>
                <c:pt idx="14">
                  <c:v>0.37718016565038143</c:v>
                </c:pt>
                <c:pt idx="15">
                  <c:v>0.36793642105962626</c:v>
                </c:pt>
                <c:pt idx="16">
                  <c:v>0.35925312799323916</c:v>
                </c:pt>
                <c:pt idx="17">
                  <c:v>0.35107067665904995</c:v>
                </c:pt>
                <c:pt idx="18">
                  <c:v>0.34333851238338375</c:v>
                </c:pt>
                <c:pt idx="19">
                  <c:v>0.33601337618418436</c:v>
                </c:pt>
              </c:numCache>
            </c:numRef>
          </c:val>
          <c:smooth val="0"/>
          <c:extLst>
            <c:ext xmlns:c16="http://schemas.microsoft.com/office/drawing/2014/chart" uri="{C3380CC4-5D6E-409C-BE32-E72D297353CC}">
              <c16:uniqueId val="{00000012-E9B1-418A-B507-253199CD1434}"/>
            </c:ext>
          </c:extLst>
        </c:ser>
        <c:ser>
          <c:idx val="42"/>
          <c:order val="42"/>
          <c:marker>
            <c:symbol val="none"/>
          </c:marker>
          <c:val>
            <c:numRef>
              <c:f>afschrijving!$R$124:$AK$124</c:f>
              <c:numCache>
                <c:formatCode>0%</c:formatCode>
                <c:ptCount val="20"/>
                <c:pt idx="0">
                  <c:v>0.70793024924884729</c:v>
                </c:pt>
                <c:pt idx="1">
                  <c:v>0.63777778387677064</c:v>
                </c:pt>
                <c:pt idx="2">
                  <c:v>0.59163151600762154</c:v>
                </c:pt>
                <c:pt idx="3">
                  <c:v>0.556744374557822</c:v>
                </c:pt>
                <c:pt idx="4">
                  <c:v>0.52856046891311348</c:v>
                </c:pt>
                <c:pt idx="5">
                  <c:v>0.50487414486622217</c:v>
                </c:pt>
                <c:pt idx="6">
                  <c:v>0.48443462103794405</c:v>
                </c:pt>
                <c:pt idx="7">
                  <c:v>0.46645852469602966</c:v>
                </c:pt>
                <c:pt idx="8">
                  <c:v>0.45042028788987959</c:v>
                </c:pt>
                <c:pt idx="9">
                  <c:v>0.43594898227380929</c:v>
                </c:pt>
                <c:pt idx="10">
                  <c:v>0.42277242052536806</c:v>
                </c:pt>
                <c:pt idx="11">
                  <c:v>0.4106845979092813</c:v>
                </c:pt>
                <c:pt idx="12">
                  <c:v>0.39952562512358225</c:v>
                </c:pt>
                <c:pt idx="13">
                  <c:v>0.38916878374222563</c:v>
                </c:pt>
                <c:pt idx="14">
                  <c:v>0.37951185695479461</c:v>
                </c:pt>
                <c:pt idx="15">
                  <c:v>0.37047113794411485</c:v>
                </c:pt>
                <c:pt idx="16">
                  <c:v>0.36197717641101101</c:v>
                </c:pt>
                <c:pt idx="17">
                  <c:v>0.35397168844796567</c:v>
                </c:pt>
                <c:pt idx="18">
                  <c:v>0.34640526593068838</c:v>
                </c:pt>
                <c:pt idx="19">
                  <c:v>0.3392356482407351</c:v>
                </c:pt>
              </c:numCache>
            </c:numRef>
          </c:val>
          <c:smooth val="0"/>
          <c:extLst>
            <c:ext xmlns:c16="http://schemas.microsoft.com/office/drawing/2014/chart" uri="{C3380CC4-5D6E-409C-BE32-E72D297353CC}">
              <c16:uniqueId val="{00000013-E9B1-418A-B507-253199CD1434}"/>
            </c:ext>
          </c:extLst>
        </c:ser>
        <c:ser>
          <c:idx val="43"/>
          <c:order val="43"/>
          <c:marker>
            <c:symbol val="none"/>
          </c:marker>
          <c:val>
            <c:numRef>
              <c:f>afschrijving!$R$125:$AK$125</c:f>
              <c:numCache>
                <c:formatCode>0%</c:formatCode>
                <c:ptCount val="20"/>
                <c:pt idx="0">
                  <c:v>0.70386615900511296</c:v>
                </c:pt>
                <c:pt idx="1">
                  <c:v>0.63474320966247244</c:v>
                </c:pt>
                <c:pt idx="2">
                  <c:v>0.58943896682723673</c:v>
                </c:pt>
                <c:pt idx="3">
                  <c:v>0.55525421085698878</c:v>
                </c:pt>
                <c:pt idx="4">
                  <c:v>0.52767032736461139</c:v>
                </c:pt>
                <c:pt idx="5">
                  <c:v>0.50450609798344093</c:v>
                </c:pt>
                <c:pt idx="6">
                  <c:v>0.48452730571510161</c:v>
                </c:pt>
                <c:pt idx="7">
                  <c:v>0.46696230024641716</c:v>
                </c:pt>
                <c:pt idx="8">
                  <c:v>0.45129412429311655</c:v>
                </c:pt>
                <c:pt idx="9">
                  <c:v>0.43715837186272466</c:v>
                </c:pt>
                <c:pt idx="10">
                  <c:v>0.42428792297454576</c:v>
                </c:pt>
                <c:pt idx="11">
                  <c:v>0.41248079382147956</c:v>
                </c:pt>
                <c:pt idx="12">
                  <c:v>0.40158034301555884</c:v>
                </c:pt>
                <c:pt idx="13">
                  <c:v>0.39146251579598068</c:v>
                </c:pt>
                <c:pt idx="14">
                  <c:v>0.38202730867391138</c:v>
                </c:pt>
                <c:pt idx="15">
                  <c:v>0.37319287505423171</c:v>
                </c:pt>
                <c:pt idx="16">
                  <c:v>0.36489134384310501</c:v>
                </c:pt>
                <c:pt idx="17">
                  <c:v>0.35706578372571629</c:v>
                </c:pt>
                <c:pt idx="18">
                  <c:v>0.34966795428011882</c:v>
                </c:pt>
                <c:pt idx="19">
                  <c:v>0.34265661015536736</c:v>
                </c:pt>
              </c:numCache>
            </c:numRef>
          </c:val>
          <c:smooth val="0"/>
          <c:extLst>
            <c:ext xmlns:c16="http://schemas.microsoft.com/office/drawing/2014/chart" uri="{C3380CC4-5D6E-409C-BE32-E72D297353CC}">
              <c16:uniqueId val="{00000014-E9B1-418A-B507-253199CD1434}"/>
            </c:ext>
          </c:extLst>
        </c:ser>
        <c:ser>
          <c:idx val="44"/>
          <c:order val="44"/>
          <c:marker>
            <c:symbol val="none"/>
          </c:marker>
          <c:val>
            <c:numRef>
              <c:f>afschrijving!$R$126:$AK$126</c:f>
              <c:numCache>
                <c:formatCode>0%</c:formatCode>
                <c:ptCount val="20"/>
                <c:pt idx="0">
                  <c:v>0.69980206876137874</c:v>
                </c:pt>
                <c:pt idx="1">
                  <c:v>0.63176655195425957</c:v>
                </c:pt>
                <c:pt idx="2">
                  <c:v>0.58733583348750373</c:v>
                </c:pt>
                <c:pt idx="3">
                  <c:v>0.55387398190139736</c:v>
                </c:pt>
                <c:pt idx="4">
                  <c:v>0.5269048354582605</c:v>
                </c:pt>
                <c:pt idx="5">
                  <c:v>0.50427394015277238</c:v>
                </c:pt>
                <c:pt idx="6">
                  <c:v>0.48476486834176952</c:v>
                </c:pt>
                <c:pt idx="7">
                  <c:v>0.46761840403288069</c:v>
                </c:pt>
                <c:pt idx="8">
                  <c:v>0.45232664412179352</c:v>
                </c:pt>
                <c:pt idx="9">
                  <c:v>0.43853199588089098</c:v>
                </c:pt>
                <c:pt idx="10">
                  <c:v>0.42597260522799646</c:v>
                </c:pt>
                <c:pt idx="11">
                  <c:v>0.41445064916477992</c:v>
                </c:pt>
                <c:pt idx="12">
                  <c:v>0.40381283533792273</c:v>
                </c:pt>
                <c:pt idx="13">
                  <c:v>0.39393784733731674</c:v>
                </c:pt>
                <c:pt idx="14">
                  <c:v>0.38472795116404557</c:v>
                </c:pt>
                <c:pt idx="15">
                  <c:v>0.37610320334583769</c:v>
                </c:pt>
                <c:pt idx="16">
                  <c:v>0.36799734520239225</c:v>
                </c:pt>
                <c:pt idx="17">
                  <c:v>0.36035482401863778</c:v>
                </c:pt>
                <c:pt idx="18">
                  <c:v>0.3531285876525046</c:v>
                </c:pt>
                <c:pt idx="19">
                  <c:v>0.34627842245085838</c:v>
                </c:pt>
              </c:numCache>
            </c:numRef>
          </c:val>
          <c:smooth val="0"/>
          <c:extLst>
            <c:ext xmlns:c16="http://schemas.microsoft.com/office/drawing/2014/chart" uri="{C3380CC4-5D6E-409C-BE32-E72D297353CC}">
              <c16:uniqueId val="{00000015-E9B1-418A-B507-253199CD1434}"/>
            </c:ext>
          </c:extLst>
        </c:ser>
        <c:ser>
          <c:idx val="45"/>
          <c:order val="45"/>
          <c:marker>
            <c:symbol val="none"/>
          </c:marker>
          <c:val>
            <c:numRef>
              <c:f>afschrijving!$R$127:$AK$127</c:f>
              <c:numCache>
                <c:formatCode>0%</c:formatCode>
                <c:ptCount val="20"/>
                <c:pt idx="0">
                  <c:v>0.69573797851764441</c:v>
                </c:pt>
                <c:pt idx="1">
                  <c:v>0.62884838565994483</c:v>
                </c:pt>
                <c:pt idx="2">
                  <c:v>0.58532276104927894</c:v>
                </c:pt>
                <c:pt idx="3">
                  <c:v>0.55260433236183437</c:v>
                </c:pt>
                <c:pt idx="4">
                  <c:v>0.5262646437763594</c:v>
                </c:pt>
                <c:pt idx="5">
                  <c:v>0.50417834970713959</c:v>
                </c:pt>
                <c:pt idx="6">
                  <c:v>0.48514803777853177</c:v>
                </c:pt>
                <c:pt idx="7">
                  <c:v>0.4684276354967491</c:v>
                </c:pt>
                <c:pt idx="8">
                  <c:v>0.45351873410362176</c:v>
                </c:pt>
                <c:pt idx="9">
                  <c:v>0.44007084195167478</c:v>
                </c:pt>
                <c:pt idx="10">
                  <c:v>0.4278275667801934</c:v>
                </c:pt>
                <c:pt idx="11">
                  <c:v>0.41659538411075814</c:v>
                </c:pt>
                <c:pt idx="12">
                  <c:v>0.40622444998133711</c:v>
                </c:pt>
                <c:pt idx="13">
                  <c:v>0.39659625959010186</c:v>
                </c:pt>
                <c:pt idx="14">
                  <c:v>0.38761540344126744</c:v>
                </c:pt>
                <c:pt idx="15">
                  <c:v>0.37920388315050968</c:v>
                </c:pt>
                <c:pt idx="16">
                  <c:v>0.37129708489968827</c:v>
                </c:pt>
                <c:pt idx="17">
                  <c:v>0.36384085996244037</c:v>
                </c:pt>
                <c:pt idx="18">
                  <c:v>0.35678936454998617</c:v>
                </c:pt>
                <c:pt idx="19">
                  <c:v>0.35010343272528444</c:v>
                </c:pt>
              </c:numCache>
            </c:numRef>
          </c:val>
          <c:smooth val="0"/>
          <c:extLst>
            <c:ext xmlns:c16="http://schemas.microsoft.com/office/drawing/2014/chart" uri="{C3380CC4-5D6E-409C-BE32-E72D297353CC}">
              <c16:uniqueId val="{00000016-E9B1-418A-B507-253199CD1434}"/>
            </c:ext>
          </c:extLst>
        </c:ser>
        <c:ser>
          <c:idx val="46"/>
          <c:order val="46"/>
          <c:marker>
            <c:symbol val="none"/>
          </c:marker>
          <c:val>
            <c:numRef>
              <c:f>afschrijving!$R$128:$AK$128</c:f>
              <c:numCache>
                <c:formatCode>0%</c:formatCode>
                <c:ptCount val="20"/>
                <c:pt idx="0">
                  <c:v>0.69167388827391019</c:v>
                </c:pt>
                <c:pt idx="1">
                  <c:v>0.62598933092320741</c:v>
                </c:pt>
                <c:pt idx="2">
                  <c:v>0.58340047013531637</c:v>
                </c:pt>
                <c:pt idx="3">
                  <c:v>0.55144600662712118</c:v>
                </c:pt>
                <c:pt idx="4">
                  <c:v>0.52575052221260232</c:v>
                </c:pt>
                <c:pt idx="5">
                  <c:v>0.50422014017023153</c:v>
                </c:pt>
                <c:pt idx="6">
                  <c:v>0.48567769087923746</c:v>
                </c:pt>
                <c:pt idx="7">
                  <c:v>0.4693909523108088</c:v>
                </c:pt>
                <c:pt idx="8">
                  <c:v>0.45487144728941487</c:v>
                </c:pt>
                <c:pt idx="9">
                  <c:v>0.44177607030868787</c:v>
                </c:pt>
                <c:pt idx="10">
                  <c:v>0.4298540844997612</c:v>
                </c:pt>
                <c:pt idx="11">
                  <c:v>0.41891639967824867</c:v>
                </c:pt>
                <c:pt idx="12">
                  <c:v>0.40881671805916719</c:v>
                </c:pt>
                <c:pt idx="13">
                  <c:v>0.39943941844006153</c:v>
                </c:pt>
                <c:pt idx="14">
                  <c:v>0.39069146982195962</c:v>
                </c:pt>
                <c:pt idx="15">
                  <c:v>0.38249686005241695</c:v>
                </c:pt>
                <c:pt idx="16">
                  <c:v>0.37479265196173878</c:v>
                </c:pt>
                <c:pt idx="17">
                  <c:v>0.36752612566609716</c:v>
                </c:pt>
                <c:pt idx="18">
                  <c:v>0.36065266537036378</c:v>
                </c:pt>
                <c:pt idx="19">
                  <c:v>0.35413416852099039</c:v>
                </c:pt>
              </c:numCache>
            </c:numRef>
          </c:val>
          <c:smooth val="0"/>
          <c:extLst>
            <c:ext xmlns:c16="http://schemas.microsoft.com/office/drawing/2014/chart" uri="{C3380CC4-5D6E-409C-BE32-E72D297353CC}">
              <c16:uniqueId val="{00000017-E9B1-418A-B507-253199CD1434}"/>
            </c:ext>
          </c:extLst>
        </c:ser>
        <c:dLbls>
          <c:showLegendKey val="0"/>
          <c:showVal val="0"/>
          <c:showCatName val="0"/>
          <c:showSerName val="0"/>
          <c:showPercent val="0"/>
          <c:showBubbleSize val="0"/>
        </c:dLbls>
        <c:smooth val="0"/>
        <c:axId val="230168832"/>
        <c:axId val="229842944"/>
      </c:lineChart>
      <c:catAx>
        <c:axId val="230168832"/>
        <c:scaling>
          <c:orientation val="minMax"/>
        </c:scaling>
        <c:delete val="0"/>
        <c:axPos val="b"/>
        <c:majorTickMark val="out"/>
        <c:minorTickMark val="none"/>
        <c:tickLblPos val="nextTo"/>
        <c:crossAx val="229842944"/>
        <c:crosses val="autoZero"/>
        <c:auto val="1"/>
        <c:lblAlgn val="ctr"/>
        <c:lblOffset val="100"/>
        <c:noMultiLvlLbl val="0"/>
      </c:catAx>
      <c:valAx>
        <c:axId val="229842944"/>
        <c:scaling>
          <c:orientation val="minMax"/>
        </c:scaling>
        <c:delete val="0"/>
        <c:axPos val="l"/>
        <c:majorGridlines/>
        <c:numFmt formatCode="0%" sourceLinked="1"/>
        <c:majorTickMark val="out"/>
        <c:minorTickMark val="none"/>
        <c:tickLblPos val="nextTo"/>
        <c:crossAx val="230168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a:latin typeface="Trebuchet MS"/>
                <a:ea typeface="Trebuchet MS"/>
                <a:cs typeface="Trebuchet MS"/>
              </a:defRPr>
            </a:pPr>
            <a:r>
              <a:rPr lang="en-US"/>
              <a:t>Totale kosten over gehele gebruiksduur</a:t>
            </a:r>
          </a:p>
        </c:rich>
      </c:tx>
      <c:overlay val="0"/>
    </c:title>
    <c:autoTitleDeleted val="0"/>
    <c:plotArea>
      <c:layout/>
      <c:barChart>
        <c:barDir val="col"/>
        <c:grouping val="stacked"/>
        <c:varyColors val="0"/>
        <c:ser>
          <c:idx val="0"/>
          <c:order val="0"/>
          <c:tx>
            <c:strRef>
              <c:f>Resultaten_tabellen!$A$8</c:f>
              <c:strCache>
                <c:ptCount val="1"/>
                <c:pt idx="0">
                  <c:v>Afschrijving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Resultaten_tabellen!$B$8:$E$8</c:f>
              <c:numCache>
                <c:formatCode>0</c:formatCode>
                <c:ptCount val="4"/>
                <c:pt idx="0">
                  <c:v>0</c:v>
                </c:pt>
                <c:pt idx="1">
                  <c:v>0</c:v>
                </c:pt>
                <c:pt idx="2">
                  <c:v>0</c:v>
                </c:pt>
                <c:pt idx="3">
                  <c:v>0</c:v>
                </c:pt>
              </c:numCache>
            </c:numRef>
          </c:val>
          <c:extLst>
            <c:ext xmlns:c16="http://schemas.microsoft.com/office/drawing/2014/chart" uri="{C3380CC4-5D6E-409C-BE32-E72D297353CC}">
              <c16:uniqueId val="{00000000-FB19-4D38-93AE-88BC5BF051D5}"/>
            </c:ext>
          </c:extLst>
        </c:ser>
        <c:ser>
          <c:idx val="1"/>
          <c:order val="1"/>
          <c:tx>
            <c:strRef>
              <c:f>Resultaten_tabellen!$A$9</c:f>
              <c:strCache>
                <c:ptCount val="1"/>
                <c:pt idx="0">
                  <c:v>Verzekering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Resultaten_tabellen!$B$9:$E$9</c:f>
              <c:numCache>
                <c:formatCode>0</c:formatCode>
                <c:ptCount val="4"/>
                <c:pt idx="0">
                  <c:v>0</c:v>
                </c:pt>
                <c:pt idx="1">
                  <c:v>0</c:v>
                </c:pt>
                <c:pt idx="2">
                  <c:v>0</c:v>
                </c:pt>
                <c:pt idx="3">
                  <c:v>0</c:v>
                </c:pt>
              </c:numCache>
            </c:numRef>
          </c:val>
          <c:extLst>
            <c:ext xmlns:c16="http://schemas.microsoft.com/office/drawing/2014/chart" uri="{C3380CC4-5D6E-409C-BE32-E72D297353CC}">
              <c16:uniqueId val="{00000001-FB19-4D38-93AE-88BC5BF051D5}"/>
            </c:ext>
          </c:extLst>
        </c:ser>
        <c:ser>
          <c:idx val="2"/>
          <c:order val="2"/>
          <c:tx>
            <c:strRef>
              <c:f>Resultaten_tabellen!$A$10</c:f>
              <c:strCache>
                <c:ptCount val="1"/>
                <c:pt idx="0">
                  <c:v>Wegenbelasting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Resultaten_tabellen!$B$10:$E$10</c:f>
              <c:numCache>
                <c:formatCode>0</c:formatCode>
                <c:ptCount val="4"/>
                <c:pt idx="0">
                  <c:v>0</c:v>
                </c:pt>
                <c:pt idx="1">
                  <c:v>0</c:v>
                </c:pt>
                <c:pt idx="2">
                  <c:v>0</c:v>
                </c:pt>
                <c:pt idx="3">
                  <c:v>0</c:v>
                </c:pt>
              </c:numCache>
            </c:numRef>
          </c:val>
          <c:extLst>
            <c:ext xmlns:c16="http://schemas.microsoft.com/office/drawing/2014/chart" uri="{C3380CC4-5D6E-409C-BE32-E72D297353CC}">
              <c16:uniqueId val="{00000002-FB19-4D38-93AE-88BC5BF051D5}"/>
            </c:ext>
          </c:extLst>
        </c:ser>
        <c:ser>
          <c:idx val="3"/>
          <c:order val="3"/>
          <c:tx>
            <c:strRef>
              <c:f>Resultaten_tabellen!$A$11</c:f>
              <c:strCache>
                <c:ptCount val="1"/>
                <c:pt idx="0">
                  <c:v>Reparatie, Onderhoud, Banden</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Resultaten_tabellen!$B$11:$E$11</c:f>
              <c:numCache>
                <c:formatCode>0</c:formatCode>
                <c:ptCount val="4"/>
                <c:pt idx="0">
                  <c:v>0</c:v>
                </c:pt>
                <c:pt idx="1">
                  <c:v>0</c:v>
                </c:pt>
                <c:pt idx="2">
                  <c:v>0</c:v>
                </c:pt>
                <c:pt idx="3">
                  <c:v>0</c:v>
                </c:pt>
              </c:numCache>
            </c:numRef>
          </c:val>
          <c:extLst>
            <c:ext xmlns:c16="http://schemas.microsoft.com/office/drawing/2014/chart" uri="{C3380CC4-5D6E-409C-BE32-E72D297353CC}">
              <c16:uniqueId val="{00000003-FB19-4D38-93AE-88BC5BF051D5}"/>
            </c:ext>
          </c:extLst>
        </c:ser>
        <c:ser>
          <c:idx val="4"/>
          <c:order val="4"/>
          <c:tx>
            <c:strRef>
              <c:f>Resultaten_tabellen!$A$12</c:f>
              <c:strCache>
                <c:ptCount val="1"/>
                <c:pt idx="0">
                  <c:v>Brandstof/elektriciteit</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Resultaten_tabellen!$B$12:$E$12</c:f>
              <c:numCache>
                <c:formatCode>0</c:formatCode>
                <c:ptCount val="4"/>
                <c:pt idx="0">
                  <c:v>0</c:v>
                </c:pt>
                <c:pt idx="1">
                  <c:v>0</c:v>
                </c:pt>
                <c:pt idx="2">
                  <c:v>0</c:v>
                </c:pt>
                <c:pt idx="3">
                  <c:v>0</c:v>
                </c:pt>
              </c:numCache>
            </c:numRef>
          </c:val>
          <c:extLst>
            <c:ext xmlns:c16="http://schemas.microsoft.com/office/drawing/2014/chart" uri="{C3380CC4-5D6E-409C-BE32-E72D297353CC}">
              <c16:uniqueId val="{00000004-FB19-4D38-93AE-88BC5BF051D5}"/>
            </c:ext>
          </c:extLst>
        </c:ser>
        <c:ser>
          <c:idx val="5"/>
          <c:order val="5"/>
          <c:tx>
            <c:strRef>
              <c:f>Resultaten_tabellen!$A$13</c:f>
              <c:strCache>
                <c:ptCount val="1"/>
                <c:pt idx="0">
                  <c:v>Overig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Resultaten_tabellen!$B$13:$E$13</c:f>
              <c:numCache>
                <c:formatCode>0</c:formatCode>
                <c:ptCount val="4"/>
                <c:pt idx="0">
                  <c:v>0</c:v>
                </c:pt>
                <c:pt idx="1">
                  <c:v>0</c:v>
                </c:pt>
                <c:pt idx="2">
                  <c:v>0</c:v>
                </c:pt>
                <c:pt idx="3">
                  <c:v>0</c:v>
                </c:pt>
              </c:numCache>
            </c:numRef>
          </c:val>
          <c:extLst>
            <c:ext xmlns:c16="http://schemas.microsoft.com/office/drawing/2014/chart" uri="{C3380CC4-5D6E-409C-BE32-E72D297353CC}">
              <c16:uniqueId val="{00000005-FB19-4D38-93AE-88BC5BF051D5}"/>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title>
          <c:tx>
            <c:rich>
              <a:bodyPr/>
              <a:lstStyle/>
              <a:p>
                <a:pPr>
                  <a:defRPr/>
                </a:pPr>
                <a:r>
                  <a:rPr lang="nl-NL"/>
                  <a:t>Totale</a:t>
                </a:r>
                <a:r>
                  <a:rPr lang="nl-NL" baseline="0"/>
                  <a:t> kosten (€)</a:t>
                </a:r>
                <a:endParaRPr lang="nl-NL"/>
              </a:p>
            </c:rich>
          </c:tx>
          <c:overlay val="0"/>
        </c:title>
        <c:numFmt formatCode="_(&quot;€&quot;* #,##0_);_(&quot;€&quot;* \(#,##0\);_(&quot;€&quot;* &quot;-&quot;_);_(@_)"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verzekering!$J$1</c:f>
          <c:strCache>
            <c:ptCount val="1"/>
            <c:pt idx="0">
              <c:v>Verzekeringskosten (€/jaar)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strRef>
              <c:f>verzekering!$D$2</c:f>
              <c:strCache>
                <c:ptCount val="1"/>
                <c:pt idx="0">
                  <c:v>benzine</c:v>
                </c:pt>
              </c:strCache>
            </c:strRef>
          </c:tx>
          <c:spPr>
            <a:ln w="19050" cap="rnd">
              <a:solidFill>
                <a:schemeClr val="accent1"/>
              </a:solidFill>
              <a:round/>
            </a:ln>
            <a:effectLst/>
          </c:spPr>
          <c:marker>
            <c:symbol val="none"/>
          </c:marker>
          <c:xVal>
            <c:numRef>
              <c:f>verzekering!$C$3:$C$77</c:f>
              <c:numCache>
                <c:formatCode>"€"#,##0_);[Red]\("€"#,##0\)</c:formatCode>
                <c:ptCount val="75"/>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75000</c:v>
                </c:pt>
                <c:pt idx="48">
                  <c:v>80000</c:v>
                </c:pt>
                <c:pt idx="49">
                  <c:v>85000</c:v>
                </c:pt>
                <c:pt idx="50">
                  <c:v>90000</c:v>
                </c:pt>
                <c:pt idx="51">
                  <c:v>95000</c:v>
                </c:pt>
                <c:pt idx="52">
                  <c:v>100000</c:v>
                </c:pt>
                <c:pt idx="53">
                  <c:v>105000</c:v>
                </c:pt>
                <c:pt idx="54">
                  <c:v>110000</c:v>
                </c:pt>
                <c:pt idx="55">
                  <c:v>115000</c:v>
                </c:pt>
                <c:pt idx="56">
                  <c:v>120000</c:v>
                </c:pt>
                <c:pt idx="57">
                  <c:v>125000</c:v>
                </c:pt>
                <c:pt idx="58">
                  <c:v>130000</c:v>
                </c:pt>
              </c:numCache>
            </c:numRef>
          </c:xVal>
          <c:yVal>
            <c:numRef>
              <c:f>verzekering!$D$3:$D$77</c:f>
              <c:numCache>
                <c:formatCode>"€"#,##0_);[Red]\("€"#,##0\)</c:formatCode>
                <c:ptCount val="75"/>
                <c:pt idx="0">
                  <c:v>754.60924287118985</c:v>
                </c:pt>
                <c:pt idx="1">
                  <c:v>754.60924287118985</c:v>
                </c:pt>
                <c:pt idx="2">
                  <c:v>792.93808946936031</c:v>
                </c:pt>
                <c:pt idx="3">
                  <c:v>827.85352548972571</c:v>
                </c:pt>
                <c:pt idx="4">
                  <c:v>857.65321908548742</c:v>
                </c:pt>
                <c:pt idx="5">
                  <c:v>882.95631723560291</c:v>
                </c:pt>
                <c:pt idx="6">
                  <c:v>906.25289408772801</c:v>
                </c:pt>
                <c:pt idx="7">
                  <c:v>929.7174389951565</c:v>
                </c:pt>
                <c:pt idx="8">
                  <c:v>953.9554036161544</c:v>
                </c:pt>
                <c:pt idx="9">
                  <c:v>977.44444676899343</c:v>
                </c:pt>
                <c:pt idx="10">
                  <c:v>998.23694051947257</c:v>
                </c:pt>
                <c:pt idx="11">
                  <c:v>1014.9870495365096</c:v>
                </c:pt>
                <c:pt idx="12">
                  <c:v>1027.9521273654186</c:v>
                </c:pt>
                <c:pt idx="13">
                  <c:v>1038.3860102364524</c:v>
                </c:pt>
                <c:pt idx="14">
                  <c:v>1048.2914209998769</c:v>
                </c:pt>
                <c:pt idx="15">
                  <c:v>1059.4139032013659</c:v>
                </c:pt>
                <c:pt idx="16">
                  <c:v>1072.8468173668823</c:v>
                </c:pt>
                <c:pt idx="17">
                  <c:v>1088.3186964526897</c:v>
                </c:pt>
                <c:pt idx="18">
                  <c:v>1104.6272794820309</c:v>
                </c:pt>
                <c:pt idx="19">
                  <c:v>1120.1371430450747</c:v>
                </c:pt>
                <c:pt idx="20">
                  <c:v>1134.0570600265385</c:v>
                </c:pt>
                <c:pt idx="21">
                  <c:v>1146.8170565265141</c:v>
                </c:pt>
                <c:pt idx="22">
                  <c:v>1160.0610937501749</c:v>
                </c:pt>
                <c:pt idx="23">
                  <c:v>1175.4118755347004</c:v>
                </c:pt>
                <c:pt idx="24">
                  <c:v>1193.7672643167889</c:v>
                </c:pt>
                <c:pt idx="25">
                  <c:v>1215.3004553733826</c:v>
                </c:pt>
                <c:pt idx="26">
                  <c:v>1240.2278556802976</c:v>
                </c:pt>
                <c:pt idx="27">
                  <c:v>1268.8054248570786</c:v>
                </c:pt>
                <c:pt idx="28">
                  <c:v>1300.1630047417068</c:v>
                </c:pt>
                <c:pt idx="29">
                  <c:v>1331.8669751802181</c:v>
                </c:pt>
                <c:pt idx="30">
                  <c:v>1361.1772265899351</c:v>
                </c:pt>
                <c:pt idx="31">
                  <c:v>1387.6870811274157</c:v>
                </c:pt>
                <c:pt idx="32">
                  <c:v>1414.0606794208641</c:v>
                </c:pt>
                <c:pt idx="33">
                  <c:v>1444.5029727966662</c:v>
                </c:pt>
                <c:pt idx="34">
                  <c:v>1482.3025806280539</c:v>
                </c:pt>
                <c:pt idx="35">
                  <c:v>1528.5448483678126</c:v>
                </c:pt>
                <c:pt idx="36">
                  <c:v>1582.3533451879593</c:v>
                </c:pt>
                <c:pt idx="37">
                  <c:v>1641.2106411475975</c:v>
                </c:pt>
                <c:pt idx="38">
                  <c:v>1702.630669635661</c:v>
                </c:pt>
                <c:pt idx="39">
                  <c:v>1765.3981016212986</c:v>
                </c:pt>
                <c:pt idx="40">
                  <c:v>1831.2310551606549</c:v>
                </c:pt>
                <c:pt idx="41">
                  <c:v>1902.4082504064877</c:v>
                </c:pt>
                <c:pt idx="42">
                  <c:v>1979.8220437887039</c:v>
                </c:pt>
                <c:pt idx="43">
                  <c:v>2060.5907377145227</c:v>
                </c:pt>
                <c:pt idx="44">
                  <c:v>2140.7620299033983</c:v>
                </c:pt>
                <c:pt idx="45">
                  <c:v>2217.4564530437829</c:v>
                </c:pt>
                <c:pt idx="46">
                  <c:v>2297.9264461011253</c:v>
                </c:pt>
                <c:pt idx="47">
                  <c:v>2376.3593037657529</c:v>
                </c:pt>
                <c:pt idx="48">
                  <c:v>2455.2294585957807</c:v>
                </c:pt>
                <c:pt idx="49">
                  <c:v>2534.0996134257962</c:v>
                </c:pt>
                <c:pt idx="50">
                  <c:v>2612.9697682558117</c:v>
                </c:pt>
                <c:pt idx="51">
                  <c:v>2691.8399230858276</c:v>
                </c:pt>
                <c:pt idx="52">
                  <c:v>2770.710077915855</c:v>
                </c:pt>
                <c:pt idx="53">
                  <c:v>2849.4922490224653</c:v>
                </c:pt>
                <c:pt idx="54">
                  <c:v>2928.3384082915486</c:v>
                </c:pt>
                <c:pt idx="55">
                  <c:v>3007.1845675606437</c:v>
                </c:pt>
                <c:pt idx="56">
                  <c:v>3086.0307268297279</c:v>
                </c:pt>
                <c:pt idx="57">
                  <c:v>3164.876886098823</c:v>
                </c:pt>
                <c:pt idx="58">
                  <c:v>3243.7230453679067</c:v>
                </c:pt>
              </c:numCache>
            </c:numRef>
          </c:yVal>
          <c:smooth val="1"/>
          <c:extLst>
            <c:ext xmlns:c16="http://schemas.microsoft.com/office/drawing/2014/chart" uri="{C3380CC4-5D6E-409C-BE32-E72D297353CC}">
              <c16:uniqueId val="{00000000-6370-4A01-A4AA-D2E4714E7CFE}"/>
            </c:ext>
          </c:extLst>
        </c:ser>
        <c:ser>
          <c:idx val="1"/>
          <c:order val="1"/>
          <c:tx>
            <c:strRef>
              <c:f>verzekering!$E$2</c:f>
              <c:strCache>
                <c:ptCount val="1"/>
                <c:pt idx="0">
                  <c:v>diesel</c:v>
                </c:pt>
              </c:strCache>
            </c:strRef>
          </c:tx>
          <c:spPr>
            <a:ln w="19050" cap="rnd">
              <a:solidFill>
                <a:schemeClr val="accent2"/>
              </a:solidFill>
              <a:round/>
            </a:ln>
            <a:effectLst/>
          </c:spPr>
          <c:marker>
            <c:symbol val="none"/>
          </c:marker>
          <c:xVal>
            <c:numRef>
              <c:f>verzekering!$C$3:$C$77</c:f>
              <c:numCache>
                <c:formatCode>"€"#,##0_);[Red]\("€"#,##0\)</c:formatCode>
                <c:ptCount val="75"/>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75000</c:v>
                </c:pt>
                <c:pt idx="48">
                  <c:v>80000</c:v>
                </c:pt>
                <c:pt idx="49">
                  <c:v>85000</c:v>
                </c:pt>
                <c:pt idx="50">
                  <c:v>90000</c:v>
                </c:pt>
                <c:pt idx="51">
                  <c:v>95000</c:v>
                </c:pt>
                <c:pt idx="52">
                  <c:v>100000</c:v>
                </c:pt>
                <c:pt idx="53">
                  <c:v>105000</c:v>
                </c:pt>
                <c:pt idx="54">
                  <c:v>110000</c:v>
                </c:pt>
                <c:pt idx="55">
                  <c:v>115000</c:v>
                </c:pt>
                <c:pt idx="56">
                  <c:v>120000</c:v>
                </c:pt>
                <c:pt idx="57">
                  <c:v>125000</c:v>
                </c:pt>
                <c:pt idx="58">
                  <c:v>130000</c:v>
                </c:pt>
              </c:numCache>
            </c:numRef>
          </c:xVal>
          <c:yVal>
            <c:numRef>
              <c:f>verzekering!$E$3:$E$77</c:f>
              <c:numCache>
                <c:formatCode>"€"#,##0_);[Red]\("€"#,##0\)</c:formatCode>
                <c:ptCount val="75"/>
                <c:pt idx="0">
                  <c:v>1054.6153602239424</c:v>
                </c:pt>
                <c:pt idx="1">
                  <c:v>1054.6153602239424</c:v>
                </c:pt>
                <c:pt idx="2">
                  <c:v>1108.1824093211633</c:v>
                </c:pt>
                <c:pt idx="3">
                  <c:v>1156.9789957450048</c:v>
                </c:pt>
                <c:pt idx="4">
                  <c:v>1198.6260003277753</c:v>
                </c:pt>
                <c:pt idx="5">
                  <c:v>1233.9887211299122</c:v>
                </c:pt>
                <c:pt idx="6">
                  <c:v>1266.5471982768488</c:v>
                </c:pt>
                <c:pt idx="7">
                  <c:v>1299.3404216753363</c:v>
                </c:pt>
                <c:pt idx="8">
                  <c:v>1333.2145492868797</c:v>
                </c:pt>
                <c:pt idx="9">
                  <c:v>1366.042010572264</c:v>
                </c:pt>
                <c:pt idx="10">
                  <c:v>1395.1008691719574</c:v>
                </c:pt>
                <c:pt idx="11">
                  <c:v>1418.5102329210417</c:v>
                </c:pt>
                <c:pt idx="12">
                  <c:v>1436.6297700908244</c:v>
                </c:pt>
                <c:pt idx="13">
                  <c:v>1451.2117981358324</c:v>
                </c:pt>
                <c:pt idx="14">
                  <c:v>1449.2563642173182</c:v>
                </c:pt>
                <c:pt idx="15">
                  <c:v>1450.8018794149748</c:v>
                </c:pt>
                <c:pt idx="16">
                  <c:v>1455.6116899811743</c:v>
                </c:pt>
                <c:pt idx="17">
                  <c:v>1462.557761486421</c:v>
                </c:pt>
                <c:pt idx="18">
                  <c:v>1470.6222841814936</c:v>
                </c:pt>
                <c:pt idx="19">
                  <c:v>1479.326549108778</c:v>
                </c:pt>
                <c:pt idx="20">
                  <c:v>1488.973038160397</c:v>
                </c:pt>
                <c:pt idx="21">
                  <c:v>1500.4086309380061</c:v>
                </c:pt>
                <c:pt idx="22">
                  <c:v>1514.8767092285827</c:v>
                </c:pt>
                <c:pt idx="23">
                  <c:v>1533.318695649142</c:v>
                </c:pt>
                <c:pt idx="24">
                  <c:v>1556.0602461077365</c:v>
                </c:pt>
                <c:pt idx="25">
                  <c:v>1583.069126070932</c:v>
                </c:pt>
                <c:pt idx="26">
                  <c:v>1614.5782953830642</c:v>
                </c:pt>
                <c:pt idx="27">
                  <c:v>1650.845630311612</c:v>
                </c:pt>
                <c:pt idx="28">
                  <c:v>1690.7113846158084</c:v>
                </c:pt>
                <c:pt idx="29">
                  <c:v>1731.3115635601532</c:v>
                </c:pt>
                <c:pt idx="30">
                  <c:v>1769.7323395628659</c:v>
                </c:pt>
                <c:pt idx="31">
                  <c:v>1806.0678026134296</c:v>
                </c:pt>
                <c:pt idx="32">
                  <c:v>1843.9263038086065</c:v>
                </c:pt>
                <c:pt idx="33">
                  <c:v>1888.3984600609929</c:v>
                </c:pt>
                <c:pt idx="34">
                  <c:v>1943.0243201046126</c:v>
                </c:pt>
                <c:pt idx="35">
                  <c:v>2008.5729824831471</c:v>
                </c:pt>
                <c:pt idx="36">
                  <c:v>2083.5677570838407</c:v>
                </c:pt>
                <c:pt idx="37">
                  <c:v>2165.1134600820869</c:v>
                </c:pt>
                <c:pt idx="38">
                  <c:v>2251.0158780749443</c:v>
                </c:pt>
                <c:pt idx="39">
                  <c:v>2341.2452158990764</c:v>
                </c:pt>
                <c:pt idx="40">
                  <c:v>2439.6801765543651</c:v>
                </c:pt>
                <c:pt idx="41">
                  <c:v>2550.1535331865653</c:v>
                </c:pt>
                <c:pt idx="42">
                  <c:v>2672.4874557155513</c:v>
                </c:pt>
                <c:pt idx="43">
                  <c:v>2797.8577667496593</c:v>
                </c:pt>
                <c:pt idx="44">
                  <c:v>2913.9336246854009</c:v>
                </c:pt>
                <c:pt idx="45">
                  <c:v>3012.4161530575957</c:v>
                </c:pt>
                <c:pt idx="46">
                  <c:v>3133.139237542518</c:v>
                </c:pt>
                <c:pt idx="47">
                  <c:v>3240.4184306964858</c:v>
                </c:pt>
                <c:pt idx="48">
                  <c:v>3350.851124771561</c:v>
                </c:pt>
                <c:pt idx="49">
                  <c:v>3461.2838188466358</c:v>
                </c:pt>
                <c:pt idx="50">
                  <c:v>3571.7165129217228</c:v>
                </c:pt>
                <c:pt idx="51">
                  <c:v>3682.1492069967981</c:v>
                </c:pt>
                <c:pt idx="52">
                  <c:v>3792.5819010718728</c:v>
                </c:pt>
                <c:pt idx="53">
                  <c:v>3902.7610183660709</c:v>
                </c:pt>
                <c:pt idx="54">
                  <c:v>4013.1245551372649</c:v>
                </c:pt>
                <c:pt idx="55">
                  <c:v>4123.4880919084708</c:v>
                </c:pt>
                <c:pt idx="56">
                  <c:v>4233.8516286796767</c:v>
                </c:pt>
                <c:pt idx="57">
                  <c:v>4344.2151654508707</c:v>
                </c:pt>
                <c:pt idx="58">
                  <c:v>4454.5787022220766</c:v>
                </c:pt>
              </c:numCache>
            </c:numRef>
          </c:yVal>
          <c:smooth val="1"/>
          <c:extLst>
            <c:ext xmlns:c16="http://schemas.microsoft.com/office/drawing/2014/chart" uri="{C3380CC4-5D6E-409C-BE32-E72D297353CC}">
              <c16:uniqueId val="{00000001-6370-4A01-A4AA-D2E4714E7CFE}"/>
            </c:ext>
          </c:extLst>
        </c:ser>
        <c:dLbls>
          <c:showLegendKey val="0"/>
          <c:showVal val="0"/>
          <c:showCatName val="0"/>
          <c:showSerName val="0"/>
          <c:showPercent val="0"/>
          <c:showBubbleSize val="0"/>
        </c:dLbls>
        <c:axId val="1205350112"/>
        <c:axId val="1205357184"/>
      </c:scatterChart>
      <c:valAx>
        <c:axId val="1205350112"/>
        <c:scaling>
          <c:orientation val="minMax"/>
        </c:scaling>
        <c:delete val="0"/>
        <c:axPos val="b"/>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7184"/>
        <c:crosses val="autoZero"/>
        <c:crossBetween val="midCat"/>
      </c:valAx>
      <c:valAx>
        <c:axId val="12053571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0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banden!$B$2</c:f>
          <c:strCache>
            <c:ptCount val="1"/>
            <c:pt idx="0">
              <c:v>Banden (kosten per 10.000 km)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strRef>
              <c:f>banden!$D$3</c:f>
              <c:strCache>
                <c:ptCount val="1"/>
                <c:pt idx="0">
                  <c:v>benzine</c:v>
                </c:pt>
              </c:strCache>
            </c:strRef>
          </c:tx>
          <c:spPr>
            <a:ln w="19050" cap="rnd">
              <a:solidFill>
                <a:schemeClr val="accent1"/>
              </a:solidFill>
              <a:round/>
            </a:ln>
            <a:effectLst/>
          </c:spPr>
          <c:marker>
            <c:symbol val="none"/>
          </c:marker>
          <c:xVal>
            <c:numRef>
              <c:f>banden!$C$4:$C$62</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75000</c:v>
                </c:pt>
                <c:pt idx="48">
                  <c:v>80000</c:v>
                </c:pt>
                <c:pt idx="49">
                  <c:v>85000</c:v>
                </c:pt>
                <c:pt idx="50">
                  <c:v>90000</c:v>
                </c:pt>
                <c:pt idx="51">
                  <c:v>95000</c:v>
                </c:pt>
                <c:pt idx="52">
                  <c:v>100000</c:v>
                </c:pt>
                <c:pt idx="53">
                  <c:v>105000</c:v>
                </c:pt>
                <c:pt idx="54">
                  <c:v>110000</c:v>
                </c:pt>
                <c:pt idx="55">
                  <c:v>115000</c:v>
                </c:pt>
                <c:pt idx="56">
                  <c:v>120000</c:v>
                </c:pt>
                <c:pt idx="57">
                  <c:v>125000</c:v>
                </c:pt>
                <c:pt idx="58">
                  <c:v>130000</c:v>
                </c:pt>
              </c:numCache>
            </c:numRef>
          </c:xVal>
          <c:yVal>
            <c:numRef>
              <c:f>banden!$D$4:$D$62</c:f>
              <c:numCache>
                <c:formatCode>"€"#,##0_);[Red]\("€"#,##0\)</c:formatCode>
                <c:ptCount val="59"/>
                <c:pt idx="0">
                  <c:v>81.722801267344039</c:v>
                </c:pt>
                <c:pt idx="1">
                  <c:v>81.722801267343996</c:v>
                </c:pt>
                <c:pt idx="2">
                  <c:v>83.306763472151871</c:v>
                </c:pt>
                <c:pt idx="3">
                  <c:v>85.011331936209018</c:v>
                </c:pt>
                <c:pt idx="4">
                  <c:v>86.750742208493776</c:v>
                </c:pt>
                <c:pt idx="5">
                  <c:v>88.042569252008789</c:v>
                </c:pt>
                <c:pt idx="6">
                  <c:v>89.128025585252729</c:v>
                </c:pt>
                <c:pt idx="7">
                  <c:v>90.457499233722075</c:v>
                </c:pt>
                <c:pt idx="8">
                  <c:v>92.906888146649436</c:v>
                </c:pt>
                <c:pt idx="9">
                  <c:v>96.987333137043876</c:v>
                </c:pt>
                <c:pt idx="10">
                  <c:v>102.28882243903291</c:v>
                </c:pt>
                <c:pt idx="11">
                  <c:v>107.93027851360976</c:v>
                </c:pt>
                <c:pt idx="12">
                  <c:v>113.37302141818535</c:v>
                </c:pt>
                <c:pt idx="13">
                  <c:v>118.11405206850682</c:v>
                </c:pt>
                <c:pt idx="14">
                  <c:v>122.36864932585488</c:v>
                </c:pt>
                <c:pt idx="15">
                  <c:v>125.72713765916873</c:v>
                </c:pt>
                <c:pt idx="16">
                  <c:v>128.60523745892476</c:v>
                </c:pt>
                <c:pt idx="17">
                  <c:v>130.94901909700337</c:v>
                </c:pt>
                <c:pt idx="18">
                  <c:v>133.34006666988088</c:v>
                </c:pt>
                <c:pt idx="19">
                  <c:v>136.05069641554661</c:v>
                </c:pt>
                <c:pt idx="20">
                  <c:v>139.17311271438479</c:v>
                </c:pt>
                <c:pt idx="21">
                  <c:v>141.76915837568947</c:v>
                </c:pt>
                <c:pt idx="22">
                  <c:v>144.13700363925486</c:v>
                </c:pt>
                <c:pt idx="23">
                  <c:v>145.99018829417838</c:v>
                </c:pt>
                <c:pt idx="24">
                  <c:v>148.28874115537678</c:v>
                </c:pt>
                <c:pt idx="25">
                  <c:v>151.0771151699924</c:v>
                </c:pt>
                <c:pt idx="26">
                  <c:v>154.9294243440425</c:v>
                </c:pt>
                <c:pt idx="27">
                  <c:v>160.40069547470401</c:v>
                </c:pt>
                <c:pt idx="28">
                  <c:v>166.1005338343916</c:v>
                </c:pt>
                <c:pt idx="29">
                  <c:v>171.89416671435683</c:v>
                </c:pt>
                <c:pt idx="30">
                  <c:v>176.26585645438479</c:v>
                </c:pt>
                <c:pt idx="31">
                  <c:v>181.19843849699828</c:v>
                </c:pt>
                <c:pt idx="32">
                  <c:v>186.2330910469727</c:v>
                </c:pt>
                <c:pt idx="33">
                  <c:v>193.0550134959181</c:v>
                </c:pt>
                <c:pt idx="34">
                  <c:v>200.48881845677496</c:v>
                </c:pt>
                <c:pt idx="35">
                  <c:v>209.44104608660109</c:v>
                </c:pt>
                <c:pt idx="36">
                  <c:v>217.60000040410273</c:v>
                </c:pt>
                <c:pt idx="37">
                  <c:v>225.78626467784176</c:v>
                </c:pt>
                <c:pt idx="38">
                  <c:v>234.06617616464496</c:v>
                </c:pt>
                <c:pt idx="39">
                  <c:v>244.4587072926322</c:v>
                </c:pt>
                <c:pt idx="40">
                  <c:v>256.16727317208415</c:v>
                </c:pt>
                <c:pt idx="41">
                  <c:v>268.1411728218846</c:v>
                </c:pt>
                <c:pt idx="42">
                  <c:v>280.62553499826072</c:v>
                </c:pt>
                <c:pt idx="43">
                  <c:v>293.20906530237562</c:v>
                </c:pt>
                <c:pt idx="44">
                  <c:v>307.23297893123959</c:v>
                </c:pt>
                <c:pt idx="45">
                  <c:v>321.91129538943602</c:v>
                </c:pt>
                <c:pt idx="46">
                  <c:v>337.73198482932997</c:v>
                </c:pt>
                <c:pt idx="47">
                  <c:v>352.79109228142562</c:v>
                </c:pt>
                <c:pt idx="48">
                  <c:v>368.04059523047135</c:v>
                </c:pt>
                <c:pt idx="49">
                  <c:v>383.29009817951595</c:v>
                </c:pt>
                <c:pt idx="50">
                  <c:v>398.53960112856055</c:v>
                </c:pt>
                <c:pt idx="51">
                  <c:v>413.78910407760634</c:v>
                </c:pt>
                <c:pt idx="52">
                  <c:v>429.03860702665094</c:v>
                </c:pt>
                <c:pt idx="53">
                  <c:v>444.28810997569667</c:v>
                </c:pt>
                <c:pt idx="54">
                  <c:v>459.53761292474127</c:v>
                </c:pt>
                <c:pt idx="55">
                  <c:v>474.78711587378945</c:v>
                </c:pt>
                <c:pt idx="56">
                  <c:v>490.03661882283524</c:v>
                </c:pt>
                <c:pt idx="57">
                  <c:v>505.28612177188097</c:v>
                </c:pt>
                <c:pt idx="58">
                  <c:v>520.53562472092676</c:v>
                </c:pt>
              </c:numCache>
            </c:numRef>
          </c:yVal>
          <c:smooth val="1"/>
          <c:extLst>
            <c:ext xmlns:c16="http://schemas.microsoft.com/office/drawing/2014/chart" uri="{C3380CC4-5D6E-409C-BE32-E72D297353CC}">
              <c16:uniqueId val="{00000000-3DAA-49FC-8AA3-3EB90532EBB5}"/>
            </c:ext>
          </c:extLst>
        </c:ser>
        <c:ser>
          <c:idx val="1"/>
          <c:order val="1"/>
          <c:tx>
            <c:strRef>
              <c:f>banden!$E$3</c:f>
              <c:strCache>
                <c:ptCount val="1"/>
                <c:pt idx="0">
                  <c:v>diesel</c:v>
                </c:pt>
              </c:strCache>
            </c:strRef>
          </c:tx>
          <c:spPr>
            <a:ln w="19050" cap="rnd">
              <a:solidFill>
                <a:schemeClr val="accent2"/>
              </a:solidFill>
              <a:round/>
            </a:ln>
            <a:effectLst/>
          </c:spPr>
          <c:marker>
            <c:symbol val="none"/>
          </c:marker>
          <c:xVal>
            <c:numRef>
              <c:f>banden!$C$4:$C$62</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75000</c:v>
                </c:pt>
                <c:pt idx="48">
                  <c:v>80000</c:v>
                </c:pt>
                <c:pt idx="49">
                  <c:v>85000</c:v>
                </c:pt>
                <c:pt idx="50">
                  <c:v>90000</c:v>
                </c:pt>
                <c:pt idx="51">
                  <c:v>95000</c:v>
                </c:pt>
                <c:pt idx="52">
                  <c:v>100000</c:v>
                </c:pt>
                <c:pt idx="53">
                  <c:v>105000</c:v>
                </c:pt>
                <c:pt idx="54">
                  <c:v>110000</c:v>
                </c:pt>
                <c:pt idx="55">
                  <c:v>115000</c:v>
                </c:pt>
                <c:pt idx="56">
                  <c:v>120000</c:v>
                </c:pt>
                <c:pt idx="57">
                  <c:v>125000</c:v>
                </c:pt>
                <c:pt idx="58">
                  <c:v>130000</c:v>
                </c:pt>
              </c:numCache>
            </c:numRef>
          </c:xVal>
          <c:yVal>
            <c:numRef>
              <c:f>banden!$E$4:$E$62</c:f>
              <c:numCache>
                <c:formatCode>"€"#,##0_);[Red]\("€"#,##0\)</c:formatCode>
                <c:ptCount val="59"/>
                <c:pt idx="0">
                  <c:v>77.870483686156419</c:v>
                </c:pt>
                <c:pt idx="1">
                  <c:v>77.870483686156362</c:v>
                </c:pt>
                <c:pt idx="2">
                  <c:v>79.379779759176159</c:v>
                </c:pt>
                <c:pt idx="3">
                  <c:v>81.003996852984244</c:v>
                </c:pt>
                <c:pt idx="4">
                  <c:v>82.661413352797808</c:v>
                </c:pt>
                <c:pt idx="5">
                  <c:v>83.892345175463689</c:v>
                </c:pt>
                <c:pt idx="6">
                  <c:v>84.926634362558431</c:v>
                </c:pt>
                <c:pt idx="7">
                  <c:v>86.193438173108603</c:v>
                </c:pt>
                <c:pt idx="8">
                  <c:v>88.527365748121611</c:v>
                </c:pt>
                <c:pt idx="9">
                  <c:v>92.415463318557428</c:v>
                </c:pt>
                <c:pt idx="10">
                  <c:v>97.46704659520455</c:v>
                </c:pt>
                <c:pt idx="11">
                  <c:v>102.84257100710509</c:v>
                </c:pt>
                <c:pt idx="12">
                  <c:v>108.028749356183</c:v>
                </c:pt>
                <c:pt idx="13">
                  <c:v>110.87315202786343</c:v>
                </c:pt>
                <c:pt idx="14">
                  <c:v>114.16440018967786</c:v>
                </c:pt>
                <c:pt idx="15">
                  <c:v>117.7792261202099</c:v>
                </c:pt>
                <c:pt idx="16">
                  <c:v>120.92979499495796</c:v>
                </c:pt>
                <c:pt idx="17">
                  <c:v>123.74261031302544</c:v>
                </c:pt>
                <c:pt idx="18">
                  <c:v>126.21150868834157</c:v>
                </c:pt>
                <c:pt idx="19">
                  <c:v>127.94912130635565</c:v>
                </c:pt>
                <c:pt idx="20">
                  <c:v>128.95221238938055</c:v>
                </c:pt>
                <c:pt idx="21">
                  <c:v>129.48287993007759</c:v>
                </c:pt>
                <c:pt idx="22">
                  <c:v>130.79254020679781</c:v>
                </c:pt>
                <c:pt idx="23">
                  <c:v>132.88459493454576</c:v>
                </c:pt>
                <c:pt idx="24">
                  <c:v>136.31728344931781</c:v>
                </c:pt>
                <c:pt idx="25">
                  <c:v>139.79795404941603</c:v>
                </c:pt>
                <c:pt idx="26">
                  <c:v>143.04748706684225</c:v>
                </c:pt>
                <c:pt idx="27">
                  <c:v>145.12887211950505</c:v>
                </c:pt>
                <c:pt idx="28">
                  <c:v>146.97528237754912</c:v>
                </c:pt>
                <c:pt idx="29">
                  <c:v>149.28893246607888</c:v>
                </c:pt>
                <c:pt idx="30">
                  <c:v>152.51135176647091</c:v>
                </c:pt>
                <c:pt idx="31">
                  <c:v>157.3407630789473</c:v>
                </c:pt>
                <c:pt idx="32">
                  <c:v>163.67029960146974</c:v>
                </c:pt>
                <c:pt idx="33">
                  <c:v>171.7445963264384</c:v>
                </c:pt>
                <c:pt idx="34">
                  <c:v>180.39475712350566</c:v>
                </c:pt>
                <c:pt idx="35">
                  <c:v>189.84871129624446</c:v>
                </c:pt>
                <c:pt idx="36">
                  <c:v>198.61425259872831</c:v>
                </c:pt>
                <c:pt idx="37">
                  <c:v>205.94792395946891</c:v>
                </c:pt>
                <c:pt idx="38">
                  <c:v>210.79136322447098</c:v>
                </c:pt>
                <c:pt idx="39">
                  <c:v>215.95555770752429</c:v>
                </c:pt>
                <c:pt idx="40">
                  <c:v>223.36781739055584</c:v>
                </c:pt>
                <c:pt idx="41">
                  <c:v>236.34612078001874</c:v>
                </c:pt>
                <c:pt idx="42">
                  <c:v>254.18485641722944</c:v>
                </c:pt>
                <c:pt idx="43">
                  <c:v>275.25382969800131</c:v>
                </c:pt>
                <c:pt idx="44">
                  <c:v>294.17990208862716</c:v>
                </c:pt>
                <c:pt idx="45">
                  <c:v>307.82141021981164</c:v>
                </c:pt>
                <c:pt idx="46">
                  <c:v>316.80852179613242</c:v>
                </c:pt>
                <c:pt idx="47">
                  <c:v>328.89856440902878</c:v>
                </c:pt>
                <c:pt idx="48">
                  <c:v>340.21287426278121</c:v>
                </c:pt>
                <c:pt idx="49">
                  <c:v>351.52718411653478</c:v>
                </c:pt>
                <c:pt idx="50">
                  <c:v>362.84149397028722</c:v>
                </c:pt>
                <c:pt idx="51">
                  <c:v>374.15580382403959</c:v>
                </c:pt>
                <c:pt idx="52">
                  <c:v>385.47011367779203</c:v>
                </c:pt>
                <c:pt idx="53">
                  <c:v>396.78442353154452</c:v>
                </c:pt>
                <c:pt idx="54">
                  <c:v>408.0987333852969</c:v>
                </c:pt>
                <c:pt idx="55">
                  <c:v>419.41304323904927</c:v>
                </c:pt>
                <c:pt idx="56">
                  <c:v>430.72735309280171</c:v>
                </c:pt>
                <c:pt idx="57">
                  <c:v>442.04166294655408</c:v>
                </c:pt>
                <c:pt idx="58">
                  <c:v>453.35597280030657</c:v>
                </c:pt>
              </c:numCache>
            </c:numRef>
          </c:yVal>
          <c:smooth val="1"/>
          <c:extLst>
            <c:ext xmlns:c16="http://schemas.microsoft.com/office/drawing/2014/chart" uri="{C3380CC4-5D6E-409C-BE32-E72D297353CC}">
              <c16:uniqueId val="{00000001-3DAA-49FC-8AA3-3EB90532EBB5}"/>
            </c:ext>
          </c:extLst>
        </c:ser>
        <c:dLbls>
          <c:showLegendKey val="0"/>
          <c:showVal val="0"/>
          <c:showCatName val="0"/>
          <c:showSerName val="0"/>
          <c:showPercent val="0"/>
          <c:showBubbleSize val="0"/>
        </c:dLbls>
        <c:axId val="1205350944"/>
        <c:axId val="1205352192"/>
      </c:scatterChart>
      <c:valAx>
        <c:axId val="1205350944"/>
        <c:scaling>
          <c:orientation val="minMax"/>
        </c:scaling>
        <c:delete val="0"/>
        <c:axPos val="b"/>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2192"/>
        <c:crosses val="autoZero"/>
        <c:crossBetween val="midCat"/>
      </c:valAx>
      <c:valAx>
        <c:axId val="12053521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09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onderhoud!$AQ$2</c:f>
          <c:strCache>
            <c:ptCount val="1"/>
            <c:pt idx="0">
              <c:v>Onderhoudskosten in jaar 4 (€/jaar)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strRef>
              <c:f>onderhoud!$AS$4</c:f>
              <c:strCache>
                <c:ptCount val="1"/>
                <c:pt idx="0">
                  <c:v>benzine</c:v>
                </c:pt>
              </c:strCache>
            </c:strRef>
          </c:tx>
          <c:spPr>
            <a:ln w="19050" cap="rnd">
              <a:solidFill>
                <a:schemeClr val="accent1"/>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onderhoud!$AS$5:$AS$63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0-BA8C-4E0C-AFB5-402630235C57}"/>
            </c:ext>
          </c:extLst>
        </c:ser>
        <c:ser>
          <c:idx val="1"/>
          <c:order val="1"/>
          <c:tx>
            <c:strRef>
              <c:f>onderhoud!$AT$4</c:f>
              <c:strCache>
                <c:ptCount val="1"/>
                <c:pt idx="0">
                  <c:v>diesel</c:v>
                </c:pt>
              </c:strCache>
            </c:strRef>
          </c:tx>
          <c:spPr>
            <a:ln w="19050" cap="rnd">
              <a:solidFill>
                <a:schemeClr val="accent2"/>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onderhoud!$AT$5:$AT$63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1-BA8C-4E0C-AFB5-402630235C57}"/>
            </c:ext>
          </c:extLst>
        </c:ser>
        <c:ser>
          <c:idx val="2"/>
          <c:order val="2"/>
          <c:tx>
            <c:strRef>
              <c:f>onderhoud!$AU$4</c:f>
              <c:strCache>
                <c:ptCount val="1"/>
                <c:pt idx="0">
                  <c:v>Elektrisch</c:v>
                </c:pt>
              </c:strCache>
            </c:strRef>
          </c:tx>
          <c:spPr>
            <a:ln w="19050" cap="rnd">
              <a:solidFill>
                <a:schemeClr val="accent3"/>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onderhoud!$AU$5:$AU$63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2-BA8C-4E0C-AFB5-402630235C57}"/>
            </c:ext>
          </c:extLst>
        </c:ser>
        <c:ser>
          <c:idx val="3"/>
          <c:order val="3"/>
          <c:tx>
            <c:strRef>
              <c:f>onderhoud!$AV$4</c:f>
              <c:strCache>
                <c:ptCount val="1"/>
                <c:pt idx="0">
                  <c:v>plug-in</c:v>
                </c:pt>
              </c:strCache>
            </c:strRef>
          </c:tx>
          <c:spPr>
            <a:ln w="19050" cap="rnd">
              <a:solidFill>
                <a:schemeClr val="accent4"/>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onderhoud!$AV$5:$AV$63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3-BA8C-4E0C-AFB5-402630235C57}"/>
            </c:ext>
          </c:extLst>
        </c:ser>
        <c:ser>
          <c:idx val="4"/>
          <c:order val="4"/>
          <c:tx>
            <c:strRef>
              <c:f>onderhoud!$AW$4</c:f>
              <c:strCache>
                <c:ptCount val="1"/>
                <c:pt idx="0">
                  <c:v>range-extender</c:v>
                </c:pt>
              </c:strCache>
            </c:strRef>
          </c:tx>
          <c:spPr>
            <a:ln w="19050" cap="rnd">
              <a:solidFill>
                <a:schemeClr val="accent5"/>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onderhoud!$AW$5:$AW$63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4-BA8C-4E0C-AFB5-402630235C57}"/>
            </c:ext>
          </c:extLst>
        </c:ser>
        <c:dLbls>
          <c:showLegendKey val="0"/>
          <c:showVal val="0"/>
          <c:showCatName val="0"/>
          <c:showSerName val="0"/>
          <c:showPercent val="0"/>
          <c:showBubbleSize val="0"/>
        </c:dLbls>
        <c:axId val="1205348864"/>
        <c:axId val="1205352192"/>
      </c:scatterChart>
      <c:valAx>
        <c:axId val="1205348864"/>
        <c:scaling>
          <c:orientation val="minMax"/>
        </c:scaling>
        <c:delete val="0"/>
        <c:axPos val="b"/>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2192"/>
        <c:crosses val="autoZero"/>
        <c:crossBetween val="midCat"/>
      </c:valAx>
      <c:valAx>
        <c:axId val="12053521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48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a:latin typeface="Trebuchet MS"/>
                <a:ea typeface="Trebuchet MS"/>
                <a:cs typeface="Trebuchet MS"/>
              </a:defRPr>
            </a:pPr>
            <a:r>
              <a:rPr lang="en-US"/>
              <a:t>Totale kosten per kilometer</a:t>
            </a:r>
          </a:p>
        </c:rich>
      </c:tx>
      <c:overlay val="0"/>
    </c:title>
    <c:autoTitleDeleted val="0"/>
    <c:plotArea>
      <c:layout>
        <c:manualLayout>
          <c:layoutTarget val="inner"/>
          <c:xMode val="edge"/>
          <c:yMode val="edge"/>
          <c:x val="8.1598397510950951E-2"/>
          <c:y val="0.11100013517850929"/>
          <c:w val="0.89932578241278482"/>
          <c:h val="0.71006644247962236"/>
        </c:manualLayout>
      </c:layout>
      <c:barChart>
        <c:barDir val="col"/>
        <c:grouping val="stacked"/>
        <c:varyColors val="0"/>
        <c:ser>
          <c:idx val="0"/>
          <c:order val="0"/>
          <c:tx>
            <c:strRef>
              <c:f>Resultaten_tabellen!$A$23</c:f>
              <c:strCache>
                <c:ptCount val="1"/>
                <c:pt idx="0">
                  <c:v>Afschrijving</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Resultaten_tabellen!$B$23:$E$23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30EE-4F1E-8A24-D86C35572859}"/>
            </c:ext>
          </c:extLst>
        </c:ser>
        <c:ser>
          <c:idx val="1"/>
          <c:order val="1"/>
          <c:tx>
            <c:strRef>
              <c:f>Resultaten_tabellen!$A$24</c:f>
              <c:strCache>
                <c:ptCount val="1"/>
                <c:pt idx="0">
                  <c:v>Verzekering</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Resultaten_tabellen!$B$24:$E$24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30EE-4F1E-8A24-D86C35572859}"/>
            </c:ext>
          </c:extLst>
        </c:ser>
        <c:ser>
          <c:idx val="2"/>
          <c:order val="2"/>
          <c:tx>
            <c:strRef>
              <c:f>Resultaten_tabellen!$A$25</c:f>
              <c:strCache>
                <c:ptCount val="1"/>
                <c:pt idx="0">
                  <c:v>Wegenbelasting</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Resultaten_tabellen!$B$25:$E$25</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2-30EE-4F1E-8A24-D86C35572859}"/>
            </c:ext>
          </c:extLst>
        </c:ser>
        <c:ser>
          <c:idx val="3"/>
          <c:order val="3"/>
          <c:tx>
            <c:strRef>
              <c:f>Resultaten_tabellen!$A$26</c:f>
              <c:strCache>
                <c:ptCount val="1"/>
                <c:pt idx="0">
                  <c:v>Reparatie, Onderhoud, Banden</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Resultaten_tabellen!$B$26:$E$26</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3-30EE-4F1E-8A24-D86C35572859}"/>
            </c:ext>
          </c:extLst>
        </c:ser>
        <c:ser>
          <c:idx val="4"/>
          <c:order val="4"/>
          <c:tx>
            <c:strRef>
              <c:f>Resultaten_tabellen!$A$27</c:f>
              <c:strCache>
                <c:ptCount val="1"/>
                <c:pt idx="0">
                  <c:v>Brandstof/elektriciteit</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Resultaten_tabellen!$B$27:$E$27</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4-30EE-4F1E-8A24-D86C35572859}"/>
            </c:ext>
          </c:extLst>
        </c:ser>
        <c:ser>
          <c:idx val="5"/>
          <c:order val="5"/>
          <c:tx>
            <c:strRef>
              <c:f>Resultaten_tabellen!$A$28</c:f>
              <c:strCache>
                <c:ptCount val="1"/>
                <c:pt idx="0">
                  <c:v>Overig</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Resultaten_tabellen!$B$28:$E$28</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5-30EE-4F1E-8A24-D86C35572859}"/>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title>
          <c:tx>
            <c:rich>
              <a:bodyPr/>
              <a:lstStyle/>
              <a:p>
                <a:pPr>
                  <a:defRPr/>
                </a:pPr>
                <a:r>
                  <a:rPr lang="nl-NL"/>
                  <a:t>€ per kilometer</a:t>
                </a:r>
              </a:p>
            </c:rich>
          </c:tx>
          <c:overlay val="0"/>
        </c:title>
        <c:numFmt formatCode="#,##0.00"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a:latin typeface="Trebuchet MS"/>
                <a:ea typeface="Trebuchet MS"/>
                <a:cs typeface="Trebuchet MS"/>
              </a:defRPr>
            </a:pPr>
            <a:r>
              <a:rPr lang="en-US"/>
              <a:t>Totale kosten per maand</a:t>
            </a:r>
          </a:p>
        </c:rich>
      </c:tx>
      <c:overlay val="0"/>
    </c:title>
    <c:autoTitleDeleted val="0"/>
    <c:plotArea>
      <c:layout/>
      <c:barChart>
        <c:barDir val="col"/>
        <c:grouping val="stacked"/>
        <c:varyColors val="0"/>
        <c:ser>
          <c:idx val="0"/>
          <c:order val="0"/>
          <c:tx>
            <c:strRef>
              <c:f>Resultaten_tabellen!$A$39</c:f>
              <c:strCache>
                <c:ptCount val="1"/>
                <c:pt idx="0">
                  <c:v>Afschrijving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Resultaten_tabellen!$B$39:$E$39</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CE08-4946-963D-8CABEF4D3A6B}"/>
            </c:ext>
          </c:extLst>
        </c:ser>
        <c:ser>
          <c:idx val="1"/>
          <c:order val="1"/>
          <c:tx>
            <c:strRef>
              <c:f>Resultaten_tabellen!$A$40</c:f>
              <c:strCache>
                <c:ptCount val="1"/>
                <c:pt idx="0">
                  <c:v>Verzekering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Resultaten_tabellen!$B$40:$E$40</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CE08-4946-963D-8CABEF4D3A6B}"/>
            </c:ext>
          </c:extLst>
        </c:ser>
        <c:ser>
          <c:idx val="2"/>
          <c:order val="2"/>
          <c:tx>
            <c:strRef>
              <c:f>Resultaten_tabellen!$A$41</c:f>
              <c:strCache>
                <c:ptCount val="1"/>
                <c:pt idx="0">
                  <c:v>Wegenbelasting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Resultaten_tabellen!$B$41:$E$41</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2-CE08-4946-963D-8CABEF4D3A6B}"/>
            </c:ext>
          </c:extLst>
        </c:ser>
        <c:ser>
          <c:idx val="3"/>
          <c:order val="3"/>
          <c:tx>
            <c:strRef>
              <c:f>Resultaten_tabellen!$A$42</c:f>
              <c:strCache>
                <c:ptCount val="1"/>
                <c:pt idx="0">
                  <c:v>Reparatie, Onderhoud, Banden</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Resultaten_tabellen!$B$42:$E$42</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3-CE08-4946-963D-8CABEF4D3A6B}"/>
            </c:ext>
          </c:extLst>
        </c:ser>
        <c:ser>
          <c:idx val="4"/>
          <c:order val="4"/>
          <c:tx>
            <c:strRef>
              <c:f>Resultaten_tabellen!$A$43</c:f>
              <c:strCache>
                <c:ptCount val="1"/>
                <c:pt idx="0">
                  <c:v>Brandstof/elektriciteit</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Resultaten_tabellen!$B$43:$E$43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4-CE08-4946-963D-8CABEF4D3A6B}"/>
            </c:ext>
          </c:extLst>
        </c:ser>
        <c:ser>
          <c:idx val="5"/>
          <c:order val="5"/>
          <c:tx>
            <c:strRef>
              <c:f>Resultaten_tabellen!$A$44</c:f>
              <c:strCache>
                <c:ptCount val="1"/>
                <c:pt idx="0">
                  <c:v>Overig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Resultaten_tabellen!$B$44:$E$44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5-CE08-4946-963D-8CABEF4D3A6B}"/>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title>
          <c:tx>
            <c:rich>
              <a:bodyPr/>
              <a:lstStyle/>
              <a:p>
                <a:pPr>
                  <a:defRPr/>
                </a:pPr>
                <a:r>
                  <a:rPr lang="nl-NL"/>
                  <a:t>€ per maand</a:t>
                </a:r>
              </a:p>
            </c:rich>
          </c:tx>
          <c:overlay val="0"/>
        </c:title>
        <c:numFmt formatCode="#,##0"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layout>
        <c:manualLayout>
          <c:xMode val="edge"/>
          <c:yMode val="edge"/>
          <c:x val="8.5573912711940148E-2"/>
          <c:y val="0.91387519126661576"/>
          <c:w val="0.82457836980700927"/>
          <c:h val="6.5784121465049944E-2"/>
        </c:manualLayout>
      </c:layout>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l-NL" sz="1200"/>
              <a:t>BEV</a:t>
            </a:r>
            <a:r>
              <a:rPr lang="nl-NL" sz="1200" baseline="0"/>
              <a:t> battery cost ($/kWh)</a:t>
            </a:r>
            <a:endParaRPr lang="nl-NL" sz="1200"/>
          </a:p>
        </c:rich>
      </c:tx>
      <c:overlay val="0"/>
    </c:title>
    <c:autoTitleDeleted val="0"/>
    <c:plotArea>
      <c:layout/>
      <c:lineChart>
        <c:grouping val="standard"/>
        <c:varyColors val="0"/>
        <c:ser>
          <c:idx val="0"/>
          <c:order val="0"/>
          <c:tx>
            <c:strRef>
              <c:f>input_data!$D$188</c:f>
              <c:strCache>
                <c:ptCount val="1"/>
                <c:pt idx="0">
                  <c:v>Pessimistic ($/kWh)</c:v>
                </c:pt>
              </c:strCache>
            </c:strRef>
          </c:tx>
          <c:marker>
            <c:symbol val="none"/>
          </c:marker>
          <c:cat>
            <c:numRef>
              <c:f>input_data!$B$189:$B$224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input_data!$C$189:$C$224</c:f>
              <c:numCache>
                <c:formatCode>0.0</c:formatCode>
                <c:ptCount val="36"/>
                <c:pt idx="0">
                  <c:v>361.14396301571401</c:v>
                </c:pt>
                <c:pt idx="1">
                  <c:v>278.43923866097032</c:v>
                </c:pt>
                <c:pt idx="2">
                  <c:v>165.40944870948732</c:v>
                </c:pt>
                <c:pt idx="3">
                  <c:v>154.91788471825183</c:v>
                </c:pt>
                <c:pt idx="4">
                  <c:v>143.35485554822236</c:v>
                </c:pt>
                <c:pt idx="5">
                  <c:v>134.78670124155377</c:v>
                </c:pt>
                <c:pt idx="6">
                  <c:v>129.87619093771528</c:v>
                </c:pt>
                <c:pt idx="7">
                  <c:v>138.76014863962547</c:v>
                </c:pt>
                <c:pt idx="8">
                  <c:v>127.04364602270344</c:v>
                </c:pt>
                <c:pt idx="9">
                  <c:v>115.32714340578144</c:v>
                </c:pt>
                <c:pt idx="10">
                  <c:v>103.61064078885941</c:v>
                </c:pt>
                <c:pt idx="11">
                  <c:v>91.894138171937399</c:v>
                </c:pt>
                <c:pt idx="12">
                  <c:v>86.610225227051004</c:v>
                </c:pt>
                <c:pt idx="13">
                  <c:v>81.326312282164594</c:v>
                </c:pt>
                <c:pt idx="14">
                  <c:v>76.042399337278198</c:v>
                </c:pt>
                <c:pt idx="15">
                  <c:v>70.758486392391802</c:v>
                </c:pt>
                <c:pt idx="16">
                  <c:v>68.001662247233682</c:v>
                </c:pt>
                <c:pt idx="17">
                  <c:v>65.244838102075548</c:v>
                </c:pt>
                <c:pt idx="18">
                  <c:v>62.488013956917435</c:v>
                </c:pt>
                <c:pt idx="19">
                  <c:v>59.731189811759307</c:v>
                </c:pt>
                <c:pt idx="20">
                  <c:v>56.974365666601187</c:v>
                </c:pt>
                <c:pt idx="21">
                  <c:v>56.239212561225692</c:v>
                </c:pt>
                <c:pt idx="22">
                  <c:v>55.504059455850197</c:v>
                </c:pt>
                <c:pt idx="23">
                  <c:v>54.768906350474701</c:v>
                </c:pt>
                <c:pt idx="24">
                  <c:v>54.033753245099206</c:v>
                </c:pt>
                <c:pt idx="25">
                  <c:v>53.298600139723703</c:v>
                </c:pt>
                <c:pt idx="26">
                  <c:v>52.563447034348208</c:v>
                </c:pt>
                <c:pt idx="27">
                  <c:v>51.828293928972712</c:v>
                </c:pt>
                <c:pt idx="28">
                  <c:v>51.093140823597217</c:v>
                </c:pt>
                <c:pt idx="29">
                  <c:v>50.357987718221722</c:v>
                </c:pt>
                <c:pt idx="30">
                  <c:v>49.622834612846226</c:v>
                </c:pt>
                <c:pt idx="31">
                  <c:v>48.887681507470731</c:v>
                </c:pt>
                <c:pt idx="32">
                  <c:v>48.152528402095228</c:v>
                </c:pt>
                <c:pt idx="33">
                  <c:v>47.417375296719733</c:v>
                </c:pt>
                <c:pt idx="34">
                  <c:v>46.682222191344238</c:v>
                </c:pt>
                <c:pt idx="35">
                  <c:v>45.9470690859687</c:v>
                </c:pt>
              </c:numCache>
            </c:numRef>
          </c:val>
          <c:smooth val="0"/>
          <c:extLst>
            <c:ext xmlns:c16="http://schemas.microsoft.com/office/drawing/2014/chart" uri="{C3380CC4-5D6E-409C-BE32-E72D297353CC}">
              <c16:uniqueId val="{00000000-8CA2-4092-B0A0-7BFBEA693C19}"/>
            </c:ext>
          </c:extLst>
        </c:ser>
        <c:ser>
          <c:idx val="1"/>
          <c:order val="1"/>
          <c:tx>
            <c:strRef>
              <c:f>input_data!$C$188</c:f>
              <c:strCache>
                <c:ptCount val="1"/>
                <c:pt idx="0">
                  <c:v>Optimistic ($/kWh)</c:v>
                </c:pt>
              </c:strCache>
            </c:strRef>
          </c:tx>
          <c:marker>
            <c:symbol val="none"/>
          </c:marker>
          <c:cat>
            <c:numRef>
              <c:f>input_data!$B$189:$B$224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input_data!$D$189:$D$224</c:f>
              <c:numCache>
                <c:formatCode>_(* #,##0.0_);_(* \(#,##0.0\);_(* "-"??_);_(@_)</c:formatCode>
                <c:ptCount val="36"/>
                <c:pt idx="0">
                  <c:v>435.31686655994395</c:v>
                </c:pt>
                <c:pt idx="1">
                  <c:v>335.62598108820106</c:v>
                </c:pt>
                <c:pt idx="2">
                  <c:v>199.3817709434858</c:v>
                </c:pt>
                <c:pt idx="3">
                  <c:v>186.73541594466488</c:v>
                </c:pt>
                <c:pt idx="4">
                  <c:v>172.79753481768768</c:v>
                </c:pt>
                <c:pt idx="5">
                  <c:v>162.46962554340541</c:v>
                </c:pt>
                <c:pt idx="6">
                  <c:v>156.5505789094062</c:v>
                </c:pt>
                <c:pt idx="7">
                  <c:v>167.25915229147975</c:v>
                </c:pt>
                <c:pt idx="8">
                  <c:v>153.13627684964951</c:v>
                </c:pt>
                <c:pt idx="9">
                  <c:v>139.01340140781926</c:v>
                </c:pt>
                <c:pt idx="10">
                  <c:v>124.89052596598901</c:v>
                </c:pt>
                <c:pt idx="11">
                  <c:v>110.76765052415878</c:v>
                </c:pt>
                <c:pt idx="12">
                  <c:v>104.39851061901965</c:v>
                </c:pt>
                <c:pt idx="13">
                  <c:v>98.02937071388051</c:v>
                </c:pt>
                <c:pt idx="14">
                  <c:v>91.660230808741375</c:v>
                </c:pt>
                <c:pt idx="15">
                  <c:v>85.291090903602253</c:v>
                </c:pt>
                <c:pt idx="16">
                  <c:v>81.968061387877498</c:v>
                </c:pt>
                <c:pt idx="17">
                  <c:v>78.645031872152728</c:v>
                </c:pt>
                <c:pt idx="18">
                  <c:v>75.322002356427959</c:v>
                </c:pt>
                <c:pt idx="19">
                  <c:v>71.998972840703203</c:v>
                </c:pt>
                <c:pt idx="20">
                  <c:v>68.675943324978434</c:v>
                </c:pt>
                <c:pt idx="21">
                  <c:v>67.789802120785168</c:v>
                </c:pt>
                <c:pt idx="22">
                  <c:v>66.903660916591903</c:v>
                </c:pt>
                <c:pt idx="23">
                  <c:v>66.017519712398638</c:v>
                </c:pt>
                <c:pt idx="24">
                  <c:v>65.131378508205373</c:v>
                </c:pt>
                <c:pt idx="25">
                  <c:v>64.245237304012093</c:v>
                </c:pt>
                <c:pt idx="26">
                  <c:v>63.359096099818835</c:v>
                </c:pt>
                <c:pt idx="27">
                  <c:v>62.47295489562557</c:v>
                </c:pt>
                <c:pt idx="28">
                  <c:v>61.586813691432305</c:v>
                </c:pt>
                <c:pt idx="29">
                  <c:v>60.700672487239039</c:v>
                </c:pt>
                <c:pt idx="30">
                  <c:v>59.814531283045774</c:v>
                </c:pt>
                <c:pt idx="31">
                  <c:v>58.928390078852502</c:v>
                </c:pt>
                <c:pt idx="32">
                  <c:v>58.042248874659236</c:v>
                </c:pt>
                <c:pt idx="33">
                  <c:v>57.156107670465971</c:v>
                </c:pt>
                <c:pt idx="34">
                  <c:v>56.269966466272706</c:v>
                </c:pt>
                <c:pt idx="35">
                  <c:v>55.383825262079391</c:v>
                </c:pt>
              </c:numCache>
            </c:numRef>
          </c:val>
          <c:smooth val="0"/>
          <c:extLst>
            <c:ext xmlns:c16="http://schemas.microsoft.com/office/drawing/2014/chart" uri="{C3380CC4-5D6E-409C-BE32-E72D297353CC}">
              <c16:uniqueId val="{00000001-8CA2-4092-B0A0-7BFBEA693C19}"/>
            </c:ext>
          </c:extLst>
        </c:ser>
        <c:ser>
          <c:idx val="2"/>
          <c:order val="2"/>
          <c:tx>
            <c:strRef>
              <c:f>input_data!$E$188</c:f>
              <c:strCache>
                <c:ptCount val="1"/>
                <c:pt idx="0">
                  <c:v>Average ($/kWh)</c:v>
                </c:pt>
              </c:strCache>
            </c:strRef>
          </c:tx>
          <c:marker>
            <c:symbol val="none"/>
          </c:marker>
          <c:cat>
            <c:numRef>
              <c:f>input_data!$B$189:$B$224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input_data!$E$189:$E$224</c:f>
              <c:numCache>
                <c:formatCode>0</c:formatCode>
                <c:ptCount val="36"/>
                <c:pt idx="0">
                  <c:v>393</c:v>
                </c:pt>
                <c:pt idx="1">
                  <c:v>303</c:v>
                </c:pt>
                <c:pt idx="2" formatCode="_(* #,##0_);_(* \(#,##0\);_(* &quot;-&quot;??_);_(@_)">
                  <c:v>180</c:v>
                </c:pt>
                <c:pt idx="3" formatCode="_(* #,##0_);_(* \(#,##0\);_(* &quot;-&quot;??_);_(@_)">
                  <c:v>168.5829888609376</c:v>
                </c:pt>
                <c:pt idx="4" formatCode="_(* #,##0_);_(* \(#,##0\);_(* &quot;-&quot;??_);_(@_)">
                  <c:v>156</c:v>
                </c:pt>
                <c:pt idx="5" formatCode="_(* #,##0_);_(* \(#,##0\);_(* &quot;-&quot;??_);_(@_)">
                  <c:v>146.67605999999998</c:v>
                </c:pt>
                <c:pt idx="6" formatCode="_(* #,##0_);_(* \(#,##0\);_(* &quot;-&quot;??_);_(@_)">
                  <c:v>141.33240000000001</c:v>
                </c:pt>
                <c:pt idx="7" formatCode="_(* #,##0_);_(* \(#,##0\);_(* &quot;-&quot;??_);_(@_)">
                  <c:v>151</c:v>
                </c:pt>
                <c:pt idx="8" formatCode="_(* #,##0_);_(* \(#,##0\);_(* &quot;-&quot;??_);_(@_)">
                  <c:v>138.25</c:v>
                </c:pt>
                <c:pt idx="9" formatCode="_(* #,##0_);_(* \(#,##0\);_(* &quot;-&quot;??_);_(@_)">
                  <c:v>125.5</c:v>
                </c:pt>
                <c:pt idx="10" formatCode="_(* #,##0_);_(* \(#,##0\);_(* &quot;-&quot;??_);_(@_)">
                  <c:v>112.75</c:v>
                </c:pt>
                <c:pt idx="11" formatCode="_(* #,##0_);_(* \(#,##0\);_(* &quot;-&quot;??_);_(@_)">
                  <c:v>100</c:v>
                </c:pt>
                <c:pt idx="12" formatCode="_(* #,##0_);_(* \(#,##0\);_(* &quot;-&quot;??_);_(@_)">
                  <c:v>94.25</c:v>
                </c:pt>
                <c:pt idx="13" formatCode="_(* #,##0_);_(* \(#,##0\);_(* &quot;-&quot;??_);_(@_)">
                  <c:v>88.5</c:v>
                </c:pt>
                <c:pt idx="14" formatCode="_(* #,##0_);_(* \(#,##0\);_(* &quot;-&quot;??_);_(@_)">
                  <c:v>82.75</c:v>
                </c:pt>
                <c:pt idx="15" formatCode="_(* #,##0_);_(* \(#,##0\);_(* &quot;-&quot;??_);_(@_)">
                  <c:v>77</c:v>
                </c:pt>
                <c:pt idx="16" formatCode="_(* #,##0_);_(* \(#,##0\);_(* &quot;-&quot;??_);_(@_)">
                  <c:v>74</c:v>
                </c:pt>
                <c:pt idx="17" formatCode="_(* #,##0_);_(* \(#,##0\);_(* &quot;-&quot;??_);_(@_)">
                  <c:v>71</c:v>
                </c:pt>
                <c:pt idx="18" formatCode="_(* #,##0_);_(* \(#,##0\);_(* &quot;-&quot;??_);_(@_)">
                  <c:v>68</c:v>
                </c:pt>
                <c:pt idx="19" formatCode="_(* #,##0_);_(* \(#,##0\);_(* &quot;-&quot;??_);_(@_)">
                  <c:v>65</c:v>
                </c:pt>
                <c:pt idx="20" formatCode="_(* #,##0_);_(* \(#,##0\);_(* &quot;-&quot;??_);_(@_)">
                  <c:v>62</c:v>
                </c:pt>
                <c:pt idx="21" formatCode="_(* #,##0_);_(* \(#,##0\);_(* &quot;-&quot;??_);_(@_)">
                  <c:v>61.2</c:v>
                </c:pt>
                <c:pt idx="22" formatCode="_(* #,##0_);_(* \(#,##0\);_(* &quot;-&quot;??_);_(@_)">
                  <c:v>60.400000000000006</c:v>
                </c:pt>
                <c:pt idx="23" formatCode="_(* #,##0_);_(* \(#,##0\);_(* &quot;-&quot;??_);_(@_)">
                  <c:v>59.600000000000009</c:v>
                </c:pt>
                <c:pt idx="24" formatCode="_(* #,##0_);_(* \(#,##0\);_(* &quot;-&quot;??_);_(@_)">
                  <c:v>58.800000000000011</c:v>
                </c:pt>
                <c:pt idx="25" formatCode="_(* #,##0_);_(* \(#,##0\);_(* &quot;-&quot;??_);_(@_)">
                  <c:v>58.000000000000014</c:v>
                </c:pt>
                <c:pt idx="26" formatCode="_(* #,##0_);_(* \(#,##0\);_(* &quot;-&quot;??_);_(@_)">
                  <c:v>57.200000000000017</c:v>
                </c:pt>
                <c:pt idx="27" formatCode="_(* #,##0_);_(* \(#,##0\);_(* &quot;-&quot;??_);_(@_)">
                  <c:v>56.40000000000002</c:v>
                </c:pt>
                <c:pt idx="28" formatCode="_(* #,##0_);_(* \(#,##0\);_(* &quot;-&quot;??_);_(@_)">
                  <c:v>55.600000000000023</c:v>
                </c:pt>
                <c:pt idx="29" formatCode="_(* #,##0_);_(* \(#,##0\);_(* &quot;-&quot;??_);_(@_)">
                  <c:v>54.800000000000026</c:v>
                </c:pt>
                <c:pt idx="30" formatCode="_(* #,##0_);_(* \(#,##0\);_(* &quot;-&quot;??_);_(@_)">
                  <c:v>54.000000000000028</c:v>
                </c:pt>
                <c:pt idx="31" formatCode="_(* #,##0_);_(* \(#,##0\);_(* &quot;-&quot;??_);_(@_)">
                  <c:v>53.200000000000031</c:v>
                </c:pt>
                <c:pt idx="32" formatCode="_(* #,##0_);_(* \(#,##0\);_(* &quot;-&quot;??_);_(@_)">
                  <c:v>52.400000000000034</c:v>
                </c:pt>
                <c:pt idx="33" formatCode="_(* #,##0_);_(* \(#,##0\);_(* &quot;-&quot;??_);_(@_)">
                  <c:v>51.600000000000037</c:v>
                </c:pt>
                <c:pt idx="34" formatCode="_(* #,##0_);_(* \(#,##0\);_(* &quot;-&quot;??_);_(@_)">
                  <c:v>50.80000000000004</c:v>
                </c:pt>
                <c:pt idx="35" formatCode="_(* #,##0_);_(* \(#,##0\);_(* &quot;-&quot;??_);_(@_)">
                  <c:v>50</c:v>
                </c:pt>
              </c:numCache>
            </c:numRef>
          </c:val>
          <c:smooth val="0"/>
          <c:extLst>
            <c:ext xmlns:c16="http://schemas.microsoft.com/office/drawing/2014/chart" uri="{C3380CC4-5D6E-409C-BE32-E72D297353CC}">
              <c16:uniqueId val="{00000002-8CA2-4092-B0A0-7BFBEA693C19}"/>
            </c:ext>
          </c:extLst>
        </c:ser>
        <c:dLbls>
          <c:showLegendKey val="0"/>
          <c:showVal val="0"/>
          <c:showCatName val="0"/>
          <c:showSerName val="0"/>
          <c:showPercent val="0"/>
          <c:showBubbleSize val="0"/>
        </c:dLbls>
        <c:smooth val="0"/>
        <c:axId val="224287360"/>
        <c:axId val="224579968"/>
      </c:lineChart>
      <c:catAx>
        <c:axId val="224287360"/>
        <c:scaling>
          <c:orientation val="minMax"/>
        </c:scaling>
        <c:delete val="0"/>
        <c:axPos val="b"/>
        <c:numFmt formatCode="General" sourceLinked="1"/>
        <c:majorTickMark val="out"/>
        <c:minorTickMark val="none"/>
        <c:tickLblPos val="nextTo"/>
        <c:crossAx val="224579968"/>
        <c:crosses val="autoZero"/>
        <c:auto val="1"/>
        <c:lblAlgn val="ctr"/>
        <c:lblOffset val="100"/>
        <c:noMultiLvlLbl val="0"/>
      </c:catAx>
      <c:valAx>
        <c:axId val="224579968"/>
        <c:scaling>
          <c:orientation val="minMax"/>
          <c:max val="400"/>
        </c:scaling>
        <c:delete val="0"/>
        <c:axPos val="l"/>
        <c:majorGridlines/>
        <c:numFmt formatCode="&quot;€&quot;#,##0_);[Red]\(&quot;€&quot;#,##0\)" sourceLinked="0"/>
        <c:majorTickMark val="out"/>
        <c:minorTickMark val="none"/>
        <c:tickLblPos val="nextTo"/>
        <c:crossAx val="224287360"/>
        <c:crosses val="autoZero"/>
        <c:crossBetween val="between"/>
      </c:valAx>
    </c:plotArea>
    <c:legend>
      <c:legendPos val="r"/>
      <c:layout>
        <c:manualLayout>
          <c:xMode val="edge"/>
          <c:yMode val="edge"/>
          <c:x val="0.73565734874315236"/>
          <c:y val="0.47029467909430983"/>
          <c:w val="0.26434271396980158"/>
          <c:h val="0.26931098247257917"/>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9.4239144146517767E-2"/>
          <c:y val="0.18710083337669495"/>
          <c:w val="0.88356155165188821"/>
          <c:h val="0.58048156390896211"/>
        </c:manualLayout>
      </c:layout>
      <c:lineChart>
        <c:grouping val="standard"/>
        <c:varyColors val="0"/>
        <c:ser>
          <c:idx val="0"/>
          <c:order val="0"/>
          <c:spPr>
            <a:ln w="28575" cap="rnd">
              <a:solidFill>
                <a:schemeClr val="accent1"/>
              </a:solidFill>
              <a:round/>
            </a:ln>
            <a:effectLst/>
          </c:spPr>
          <c:marker>
            <c:symbol val="none"/>
          </c:marker>
          <c:val>
            <c:numRef>
              <c:f>input_data!$D$23:$AT$23</c:f>
              <c:numCache>
                <c:formatCode>General</c:formatCode>
                <c:ptCount val="43"/>
                <c:pt idx="2">
                  <c:v>63.222246890029538</c:v>
                </c:pt>
                <c:pt idx="3">
                  <c:v>81.918749700750084</c:v>
                </c:pt>
                <c:pt idx="4">
                  <c:v>86.885118306351188</c:v>
                </c:pt>
                <c:pt idx="5">
                  <c:v>80.652814858044778</c:v>
                </c:pt>
                <c:pt idx="6">
                  <c:v>73.187470070467512</c:v>
                </c:pt>
                <c:pt idx="7">
                  <c:v>46.311366513291411</c:v>
                </c:pt>
                <c:pt idx="8">
                  <c:v>52.6</c:v>
                </c:pt>
                <c:pt idx="9">
                  <c:v>44</c:v>
                </c:pt>
                <c:pt idx="10">
                  <c:v>51.8</c:v>
                </c:pt>
                <c:pt idx="11">
                  <c:v>63.5</c:v>
                </c:pt>
                <c:pt idx="12">
                  <c:v>59.1</c:v>
                </c:pt>
                <c:pt idx="13">
                  <c:v>39.1</c:v>
                </c:pt>
                <c:pt idx="14">
                  <c:v>59.9</c:v>
                </c:pt>
                <c:pt idx="15">
                  <c:v>78.690587034606907</c:v>
                </c:pt>
                <c:pt idx="16">
                  <c:v>75.7637580978394</c:v>
                </c:pt>
                <c:pt idx="17">
                  <c:v>72.836929161071794</c:v>
                </c:pt>
                <c:pt idx="18">
                  <c:v>72.251566694641099</c:v>
                </c:pt>
                <c:pt idx="19">
                  <c:v>71.666195925903295</c:v>
                </c:pt>
                <c:pt idx="20">
                  <c:v>71.0808334594727</c:v>
                </c:pt>
                <c:pt idx="21">
                  <c:v>70.495462690734897</c:v>
                </c:pt>
                <c:pt idx="22">
                  <c:v>69.910100224304202</c:v>
                </c:pt>
                <c:pt idx="23">
                  <c:v>67.819507237080202</c:v>
                </c:pt>
                <c:pt idx="24">
                  <c:v>66.704524587304306</c:v>
                </c:pt>
                <c:pt idx="25">
                  <c:v>65.589541937528395</c:v>
                </c:pt>
                <c:pt idx="26">
                  <c:v>64.474559287752498</c:v>
                </c:pt>
                <c:pt idx="27">
                  <c:v>63.359576637976602</c:v>
                </c:pt>
                <c:pt idx="28">
                  <c:v>62.244593988200698</c:v>
                </c:pt>
                <c:pt idx="29">
                  <c:v>61.129611338424702</c:v>
                </c:pt>
                <c:pt idx="30">
                  <c:v>60.014628688648898</c:v>
                </c:pt>
                <c:pt idx="31">
                  <c:v>58.899646038873001</c:v>
                </c:pt>
                <c:pt idx="32">
                  <c:v>57.784663389097098</c:v>
                </c:pt>
                <c:pt idx="33">
                  <c:v>56.669680739321201</c:v>
                </c:pt>
                <c:pt idx="34">
                  <c:v>55.604977700531897</c:v>
                </c:pt>
                <c:pt idx="35">
                  <c:v>56.088176036164903</c:v>
                </c:pt>
                <c:pt idx="36">
                  <c:v>56.571374371797802</c:v>
                </c:pt>
                <c:pt idx="37">
                  <c:v>57.0545727074308</c:v>
                </c:pt>
                <c:pt idx="38">
                  <c:v>57.537771043063699</c:v>
                </c:pt>
                <c:pt idx="39">
                  <c:v>58.020969378696698</c:v>
                </c:pt>
                <c:pt idx="40">
                  <c:v>58.504167714329697</c:v>
                </c:pt>
                <c:pt idx="41">
                  <c:v>58.987366049962603</c:v>
                </c:pt>
                <c:pt idx="42">
                  <c:v>59.470564385595601</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7B2E-43F8-8A98-934D7C5FBDED}"/>
            </c:ext>
          </c:extLst>
        </c:ser>
        <c:ser>
          <c:idx val="1"/>
          <c:order val="1"/>
          <c:spPr>
            <a:ln w="28575" cap="rnd">
              <a:solidFill>
                <a:schemeClr val="accent2"/>
              </a:solidFill>
              <a:round/>
            </a:ln>
            <a:effectLst/>
          </c:spPr>
          <c:marker>
            <c:symbol val="none"/>
          </c:marker>
          <c:val>
            <c:numRef>
              <c:f>input_data!$D$24:$AT$24</c:f>
              <c:numCache>
                <c:formatCode>General</c:formatCode>
                <c:ptCount val="43"/>
                <c:pt idx="2">
                  <c:v>63.222246890029538</c:v>
                </c:pt>
                <c:pt idx="3">
                  <c:v>81.918749700750084</c:v>
                </c:pt>
                <c:pt idx="4">
                  <c:v>86.885118306351188</c:v>
                </c:pt>
                <c:pt idx="5">
                  <c:v>80.652814858044778</c:v>
                </c:pt>
                <c:pt idx="6">
                  <c:v>73.187470070467512</c:v>
                </c:pt>
                <c:pt idx="7">
                  <c:v>46.311366513291411</c:v>
                </c:pt>
                <c:pt idx="8">
                  <c:v>52.6</c:v>
                </c:pt>
                <c:pt idx="9">
                  <c:v>44</c:v>
                </c:pt>
                <c:pt idx="10">
                  <c:v>51.8</c:v>
                </c:pt>
                <c:pt idx="11">
                  <c:v>63.5</c:v>
                </c:pt>
                <c:pt idx="12">
                  <c:v>59.1</c:v>
                </c:pt>
                <c:pt idx="13">
                  <c:v>39.1</c:v>
                </c:pt>
                <c:pt idx="14">
                  <c:v>59.9</c:v>
                </c:pt>
                <c:pt idx="15">
                  <c:v>92.018421807861301</c:v>
                </c:pt>
                <c:pt idx="16">
                  <c:v>92.018421807861301</c:v>
                </c:pt>
                <c:pt idx="17">
                  <c:v>92.018421807861301</c:v>
                </c:pt>
                <c:pt idx="18">
                  <c:v>92.018421807861301</c:v>
                </c:pt>
                <c:pt idx="19">
                  <c:v>92.018421807861301</c:v>
                </c:pt>
                <c:pt idx="20">
                  <c:v>92.018421807861301</c:v>
                </c:pt>
                <c:pt idx="21">
                  <c:v>92.018421807861301</c:v>
                </c:pt>
                <c:pt idx="22">
                  <c:v>92.018421807861301</c:v>
                </c:pt>
                <c:pt idx="23">
                  <c:v>92.018421807861301</c:v>
                </c:pt>
                <c:pt idx="24">
                  <c:v>92.018421807861301</c:v>
                </c:pt>
                <c:pt idx="25">
                  <c:v>92.018421807861301</c:v>
                </c:pt>
                <c:pt idx="26">
                  <c:v>92.018421807861301</c:v>
                </c:pt>
                <c:pt idx="27">
                  <c:v>92.018421807861301</c:v>
                </c:pt>
                <c:pt idx="28">
                  <c:v>92.018421807861301</c:v>
                </c:pt>
                <c:pt idx="29">
                  <c:v>92.018421807861301</c:v>
                </c:pt>
                <c:pt idx="30">
                  <c:v>92.395792355796502</c:v>
                </c:pt>
                <c:pt idx="31">
                  <c:v>93.504541864066098</c:v>
                </c:pt>
                <c:pt idx="32">
                  <c:v>94.613291372335595</c:v>
                </c:pt>
                <c:pt idx="33">
                  <c:v>95.722040880605206</c:v>
                </c:pt>
                <c:pt idx="34">
                  <c:v>96.830790388874803</c:v>
                </c:pt>
                <c:pt idx="35">
                  <c:v>97.9395398971444</c:v>
                </c:pt>
                <c:pt idx="36">
                  <c:v>99.048289405413897</c:v>
                </c:pt>
                <c:pt idx="37">
                  <c:v>100.157038913683</c:v>
                </c:pt>
                <c:pt idx="38">
                  <c:v>101.265788421953</c:v>
                </c:pt>
                <c:pt idx="39">
                  <c:v>102.374537930223</c:v>
                </c:pt>
                <c:pt idx="40">
                  <c:v>103.483287438492</c:v>
                </c:pt>
                <c:pt idx="41">
                  <c:v>104.59203694676199</c:v>
                </c:pt>
                <c:pt idx="42">
                  <c:v>105.70078645503099</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7B2E-43F8-8A98-934D7C5FBDED}"/>
            </c:ext>
          </c:extLst>
        </c:ser>
        <c:ser>
          <c:idx val="2"/>
          <c:order val="2"/>
          <c:spPr>
            <a:ln w="28575" cap="rnd">
              <a:solidFill>
                <a:schemeClr val="accent3"/>
              </a:solidFill>
              <a:round/>
            </a:ln>
            <a:effectLst/>
          </c:spPr>
          <c:marker>
            <c:symbol val="none"/>
          </c:marker>
          <c:val>
            <c:numRef>
              <c:f>input_data!$D$25:$AT$25</c:f>
              <c:numCache>
                <c:formatCode>General</c:formatCode>
                <c:ptCount val="43"/>
                <c:pt idx="2">
                  <c:v>63.222246890029538</c:v>
                </c:pt>
                <c:pt idx="3">
                  <c:v>81.918749700750084</c:v>
                </c:pt>
                <c:pt idx="4">
                  <c:v>86.885118306351188</c:v>
                </c:pt>
                <c:pt idx="5">
                  <c:v>80.652814858044778</c:v>
                </c:pt>
                <c:pt idx="6">
                  <c:v>73.187470070467512</c:v>
                </c:pt>
                <c:pt idx="7">
                  <c:v>46.311366513291411</c:v>
                </c:pt>
                <c:pt idx="8">
                  <c:v>52.6</c:v>
                </c:pt>
                <c:pt idx="9">
                  <c:v>44</c:v>
                </c:pt>
                <c:pt idx="10">
                  <c:v>51.8</c:v>
                </c:pt>
                <c:pt idx="11">
                  <c:v>63.5</c:v>
                </c:pt>
                <c:pt idx="12">
                  <c:v>59.1</c:v>
                </c:pt>
                <c:pt idx="13">
                  <c:v>39.1</c:v>
                </c:pt>
                <c:pt idx="14">
                  <c:v>59.9</c:v>
                </c:pt>
                <c:pt idx="15">
                  <c:v>106.95648074646</c:v>
                </c:pt>
                <c:pt idx="16">
                  <c:v>106.95648074646</c:v>
                </c:pt>
                <c:pt idx="17">
                  <c:v>106.95648074646</c:v>
                </c:pt>
                <c:pt idx="18">
                  <c:v>106.95648074646</c:v>
                </c:pt>
                <c:pt idx="19">
                  <c:v>106.95648074646</c:v>
                </c:pt>
                <c:pt idx="20">
                  <c:v>106.95648074646</c:v>
                </c:pt>
                <c:pt idx="21">
                  <c:v>106.95648074646</c:v>
                </c:pt>
                <c:pt idx="22">
                  <c:v>106.95648074646</c:v>
                </c:pt>
                <c:pt idx="23">
                  <c:v>106.95648074646</c:v>
                </c:pt>
                <c:pt idx="24">
                  <c:v>106.95648074646</c:v>
                </c:pt>
                <c:pt idx="25">
                  <c:v>106.95648074646</c:v>
                </c:pt>
                <c:pt idx="26">
                  <c:v>106.95648074646</c:v>
                </c:pt>
                <c:pt idx="27">
                  <c:v>107.04701589407212</c:v>
                </c:pt>
                <c:pt idx="28">
                  <c:v>107.93907435985599</c:v>
                </c:pt>
                <c:pt idx="29">
                  <c:v>108.83113282564</c:v>
                </c:pt>
                <c:pt idx="30">
                  <c:v>109.723191291424</c:v>
                </c:pt>
                <c:pt idx="31">
                  <c:v>110.61524975720801</c:v>
                </c:pt>
                <c:pt idx="32">
                  <c:v>111.50730822299199</c:v>
                </c:pt>
                <c:pt idx="33">
                  <c:v>112.399366688776</c:v>
                </c:pt>
                <c:pt idx="34">
                  <c:v>113.29142515456</c:v>
                </c:pt>
                <c:pt idx="35">
                  <c:v>114.18348362034401</c:v>
                </c:pt>
                <c:pt idx="36">
                  <c:v>115.075542086128</c:v>
                </c:pt>
                <c:pt idx="37">
                  <c:v>115.967600551911</c:v>
                </c:pt>
                <c:pt idx="38">
                  <c:v>116.85965901769499</c:v>
                </c:pt>
                <c:pt idx="39">
                  <c:v>117.751717483479</c:v>
                </c:pt>
                <c:pt idx="40">
                  <c:v>118.643775949263</c:v>
                </c:pt>
                <c:pt idx="41">
                  <c:v>119.53583441504701</c:v>
                </c:pt>
                <c:pt idx="42">
                  <c:v>120.427892880831</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2-7B2E-43F8-8A98-934D7C5FBDED}"/>
            </c:ext>
          </c:extLst>
        </c:ser>
        <c:dLbls>
          <c:showLegendKey val="0"/>
          <c:showVal val="0"/>
          <c:showCatName val="0"/>
          <c:showSerName val="0"/>
          <c:showPercent val="0"/>
          <c:showBubbleSize val="0"/>
        </c:dLbls>
        <c:smooth val="0"/>
        <c:axId val="1459927856"/>
        <c:axId val="1459914544"/>
      </c:lineChart>
      <c:catAx>
        <c:axId val="14599278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9914544"/>
        <c:crosses val="autoZero"/>
        <c:auto val="1"/>
        <c:lblAlgn val="ctr"/>
        <c:lblOffset val="100"/>
        <c:noMultiLvlLbl val="0"/>
      </c:catAx>
      <c:valAx>
        <c:axId val="1459914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992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800" b="1" i="0" baseline="0">
                <a:effectLst/>
              </a:rPr>
              <a:t>Cost development Home Chargers</a:t>
            </a:r>
            <a:endParaRPr lang="nl-N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tx>
            <c:strRef>
              <c:f>input_data!$B$244</c:f>
              <c:strCache>
                <c:ptCount val="1"/>
                <c:pt idx="0">
                  <c:v>Cluzel &amp; Lane (2013)</c:v>
                </c:pt>
              </c:strCache>
            </c:strRef>
          </c:tx>
          <c:spPr>
            <a:ln w="28575" cap="rnd">
              <a:noFill/>
              <a:round/>
            </a:ln>
            <a:effectLst/>
          </c:spPr>
          <c:marker>
            <c:symbol val="circle"/>
            <c:size val="5"/>
            <c:spPr>
              <a:solidFill>
                <a:schemeClr val="accent1"/>
              </a:solidFill>
              <a:ln w="9525">
                <a:solidFill>
                  <a:schemeClr val="accent1"/>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input_data!$C$244:$G$244</c:f>
              <c:numCache>
                <c:formatCode>"€"#,##0_);[Red]\("€"#,##0\)</c:formatCode>
                <c:ptCount val="5"/>
                <c:pt idx="0">
                  <c:v>894.21382400000005</c:v>
                </c:pt>
                <c:pt idx="1">
                  <c:v>866.85568690000002</c:v>
                </c:pt>
                <c:pt idx="2">
                  <c:v>825.86930329999996</c:v>
                </c:pt>
                <c:pt idx="3">
                  <c:v>757.69374319999997</c:v>
                </c:pt>
                <c:pt idx="4">
                  <c:v>689.68631049999999</c:v>
                </c:pt>
              </c:numCache>
            </c:numRef>
          </c:yVal>
          <c:smooth val="0"/>
          <c:extLst>
            <c:ext xmlns:c16="http://schemas.microsoft.com/office/drawing/2014/chart" uri="{C3380CC4-5D6E-409C-BE32-E72D297353CC}">
              <c16:uniqueId val="{00000000-4592-466E-B041-168D9E15D0A6}"/>
            </c:ext>
          </c:extLst>
        </c:ser>
        <c:ser>
          <c:idx val="1"/>
          <c:order val="1"/>
          <c:tx>
            <c:strRef>
              <c:f>input_data!$B$245</c:f>
              <c:strCache>
                <c:ptCount val="1"/>
                <c:pt idx="0">
                  <c:v>Weeda (2013)</c:v>
                </c:pt>
              </c:strCache>
            </c:strRef>
          </c:tx>
          <c:spPr>
            <a:ln w="25400" cap="rnd">
              <a:noFill/>
              <a:round/>
            </a:ln>
            <a:effectLst/>
          </c:spPr>
          <c:marker>
            <c:symbol val="circle"/>
            <c:size val="5"/>
            <c:spPr>
              <a:solidFill>
                <a:schemeClr val="accent2"/>
              </a:solidFill>
              <a:ln w="9525">
                <a:solidFill>
                  <a:schemeClr val="accent2"/>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input_data!$C$245:$G$245</c:f>
              <c:numCache>
                <c:formatCode>"€"#,##0_);[Red]\("€"#,##0\)</c:formatCode>
                <c:ptCount val="5"/>
                <c:pt idx="0">
                  <c:v>1171.1968300000001</c:v>
                </c:pt>
                <c:pt idx="1">
                  <c:v>1143.8386889999999</c:v>
                </c:pt>
                <c:pt idx="2">
                  <c:v>1102.852306</c:v>
                </c:pt>
                <c:pt idx="3">
                  <c:v>1034.6767460000001</c:v>
                </c:pt>
                <c:pt idx="4">
                  <c:v>966.66931309999995</c:v>
                </c:pt>
              </c:numCache>
            </c:numRef>
          </c:yVal>
          <c:smooth val="0"/>
          <c:extLst>
            <c:ext xmlns:c16="http://schemas.microsoft.com/office/drawing/2014/chart" uri="{C3380CC4-5D6E-409C-BE32-E72D297353CC}">
              <c16:uniqueId val="{00000001-4592-466E-B041-168D9E15D0A6}"/>
            </c:ext>
          </c:extLst>
        </c:ser>
        <c:ser>
          <c:idx val="2"/>
          <c:order val="2"/>
          <c:tx>
            <c:strRef>
              <c:f>input_data!$B$246</c:f>
              <c:strCache>
                <c:ptCount val="1"/>
                <c:pt idx="0">
                  <c:v>Brown (2013)</c:v>
                </c:pt>
              </c:strCache>
            </c:strRef>
          </c:tx>
          <c:spPr>
            <a:ln w="25400" cap="rnd">
              <a:noFill/>
              <a:round/>
            </a:ln>
            <a:effectLst/>
          </c:spPr>
          <c:marker>
            <c:symbol val="circle"/>
            <c:size val="5"/>
            <c:spPr>
              <a:solidFill>
                <a:schemeClr val="accent3"/>
              </a:solidFill>
              <a:ln w="9525">
                <a:solidFill>
                  <a:schemeClr val="accent3"/>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input_data!$C$246:$G$246</c:f>
              <c:numCache>
                <c:formatCode>"€"#,##0_);[Red]\("€"#,##0\)</c:formatCode>
                <c:ptCount val="5"/>
                <c:pt idx="0">
                  <c:v>1747.3511984802064</c:v>
                </c:pt>
                <c:pt idx="1">
                  <c:v>1719.993061315763</c:v>
                </c:pt>
                <c:pt idx="2">
                  <c:v>1679.0066777492466</c:v>
                </c:pt>
                <c:pt idx="3">
                  <c:v>1610.8311176868447</c:v>
                </c:pt>
                <c:pt idx="4">
                  <c:v>1542.8236849468958</c:v>
                </c:pt>
              </c:numCache>
            </c:numRef>
          </c:yVal>
          <c:smooth val="0"/>
          <c:extLst>
            <c:ext xmlns:c16="http://schemas.microsoft.com/office/drawing/2014/chart" uri="{C3380CC4-5D6E-409C-BE32-E72D297353CC}">
              <c16:uniqueId val="{00000002-4592-466E-B041-168D9E15D0A6}"/>
            </c:ext>
          </c:extLst>
        </c:ser>
        <c:ser>
          <c:idx val="3"/>
          <c:order val="3"/>
          <c:tx>
            <c:strRef>
              <c:f>input_data!$B$247</c:f>
              <c:strCache>
                <c:ptCount val="1"/>
                <c:pt idx="0">
                  <c:v>Crist (2012)</c:v>
                </c:pt>
              </c:strCache>
            </c:strRef>
          </c:tx>
          <c:spPr>
            <a:ln w="25400" cap="rnd">
              <a:noFill/>
              <a:round/>
            </a:ln>
            <a:effectLst/>
          </c:spPr>
          <c:marker>
            <c:symbol val="circle"/>
            <c:size val="5"/>
            <c:spPr>
              <a:solidFill>
                <a:schemeClr val="accent4"/>
              </a:solidFill>
              <a:ln w="9525">
                <a:solidFill>
                  <a:schemeClr val="accent4"/>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input_data!$C$247:$G$247</c:f>
              <c:numCache>
                <c:formatCode>"€"#,##0_);[Red]\("€"#,##0\)</c:formatCode>
                <c:ptCount val="5"/>
                <c:pt idx="0">
                  <c:v>1144.7752599999999</c:v>
                </c:pt>
                <c:pt idx="1">
                  <c:v>1117.4171229999999</c:v>
                </c:pt>
                <c:pt idx="2">
                  <c:v>1076.43074</c:v>
                </c:pt>
                <c:pt idx="3">
                  <c:v>1008.25518</c:v>
                </c:pt>
                <c:pt idx="4">
                  <c:v>940.247747</c:v>
                </c:pt>
              </c:numCache>
            </c:numRef>
          </c:yVal>
          <c:smooth val="0"/>
          <c:extLst>
            <c:ext xmlns:c16="http://schemas.microsoft.com/office/drawing/2014/chart" uri="{C3380CC4-5D6E-409C-BE32-E72D297353CC}">
              <c16:uniqueId val="{00000003-4592-466E-B041-168D9E15D0A6}"/>
            </c:ext>
          </c:extLst>
        </c:ser>
        <c:ser>
          <c:idx val="4"/>
          <c:order val="4"/>
          <c:tx>
            <c:strRef>
              <c:f>input_data!$B$248</c:f>
              <c:strCache>
                <c:ptCount val="1"/>
                <c:pt idx="0">
                  <c:v>Hill, et al (2013)</c:v>
                </c:pt>
              </c:strCache>
            </c:strRef>
          </c:tx>
          <c:spPr>
            <a:ln w="25400" cap="rnd">
              <a:noFill/>
              <a:round/>
            </a:ln>
            <a:effectLst/>
          </c:spPr>
          <c:marker>
            <c:symbol val="circle"/>
            <c:size val="5"/>
            <c:spPr>
              <a:solidFill>
                <a:schemeClr val="accent5"/>
              </a:solidFill>
              <a:ln w="9525">
                <a:solidFill>
                  <a:schemeClr val="accent5"/>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input_data!$C$248:$G$248</c:f>
              <c:numCache>
                <c:formatCode>"€"#,##0_);[Red]\("€"#,##0\)</c:formatCode>
                <c:ptCount val="5"/>
                <c:pt idx="0">
                  <c:v>1330.3738800000001</c:v>
                </c:pt>
                <c:pt idx="1">
                  <c:v>1303.015746</c:v>
                </c:pt>
                <c:pt idx="2">
                  <c:v>1262.029362</c:v>
                </c:pt>
                <c:pt idx="3">
                  <c:v>1193.8538020000001</c:v>
                </c:pt>
                <c:pt idx="4">
                  <c:v>1125.8463690000001</c:v>
                </c:pt>
              </c:numCache>
            </c:numRef>
          </c:yVal>
          <c:smooth val="0"/>
          <c:extLst>
            <c:ext xmlns:c16="http://schemas.microsoft.com/office/drawing/2014/chart" uri="{C3380CC4-5D6E-409C-BE32-E72D297353CC}">
              <c16:uniqueId val="{00000004-4592-466E-B041-168D9E15D0A6}"/>
            </c:ext>
          </c:extLst>
        </c:ser>
        <c:ser>
          <c:idx val="5"/>
          <c:order val="5"/>
          <c:tx>
            <c:strRef>
              <c:f>input_data!$B$249</c:f>
              <c:strCache>
                <c:ptCount val="1"/>
                <c:pt idx="0">
                  <c:v>Average</c:v>
                </c:pt>
              </c:strCache>
            </c:strRef>
          </c:tx>
          <c:spPr>
            <a:ln w="25400" cap="rnd">
              <a:solidFill>
                <a:schemeClr val="accent1"/>
              </a:solidFill>
              <a:round/>
            </a:ln>
            <a:effectLst/>
          </c:spPr>
          <c:marker>
            <c:symbol val="circle"/>
            <c:size val="5"/>
            <c:spPr>
              <a:solidFill>
                <a:schemeClr val="accent6"/>
              </a:solidFill>
              <a:ln w="9525">
                <a:solidFill>
                  <a:schemeClr val="accent6"/>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input_data!$C$249:$G$249</c:f>
              <c:numCache>
                <c:formatCode>"€"#,##0_);[Red]\("€"#,##0\)</c:formatCode>
                <c:ptCount val="5"/>
                <c:pt idx="0">
                  <c:v>1257.5821984960412</c:v>
                </c:pt>
                <c:pt idx="1">
                  <c:v>1230.2240612431526</c:v>
                </c:pt>
                <c:pt idx="2">
                  <c:v>1189.2376778098492</c:v>
                </c:pt>
                <c:pt idx="3">
                  <c:v>1121.0621177773689</c:v>
                </c:pt>
                <c:pt idx="4">
                  <c:v>1053.0546849093791</c:v>
                </c:pt>
              </c:numCache>
            </c:numRef>
          </c:yVal>
          <c:smooth val="0"/>
          <c:extLst>
            <c:ext xmlns:c16="http://schemas.microsoft.com/office/drawing/2014/chart" uri="{C3380CC4-5D6E-409C-BE32-E72D297353CC}">
              <c16:uniqueId val="{00000005-4592-466E-B041-168D9E15D0A6}"/>
            </c:ext>
          </c:extLst>
        </c:ser>
        <c:dLbls>
          <c:showLegendKey val="0"/>
          <c:showVal val="0"/>
          <c:showCatName val="0"/>
          <c:showSerName val="0"/>
          <c:showPercent val="0"/>
          <c:showBubbleSize val="0"/>
        </c:dLbls>
        <c:axId val="633596064"/>
        <c:axId val="633596896"/>
      </c:scatterChart>
      <c:valAx>
        <c:axId val="633596064"/>
        <c:scaling>
          <c:orientation val="minMax"/>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33596896"/>
        <c:crosses val="autoZero"/>
        <c:crossBetween val="midCat"/>
      </c:valAx>
      <c:valAx>
        <c:axId val="6335968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335960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input_data!$C$113:$C$138</c:f>
              <c:numCache>
                <c:formatCode>0%</c:formatCode>
                <c:ptCount val="26"/>
                <c:pt idx="0">
                  <c:v>0.95</c:v>
                </c:pt>
                <c:pt idx="1">
                  <c:v>0.95199999999999996</c:v>
                </c:pt>
                <c:pt idx="2">
                  <c:v>0.95399999999999996</c:v>
                </c:pt>
                <c:pt idx="3">
                  <c:v>0.95599999999999996</c:v>
                </c:pt>
                <c:pt idx="4">
                  <c:v>0.95799999999999996</c:v>
                </c:pt>
                <c:pt idx="5">
                  <c:v>0.96</c:v>
                </c:pt>
                <c:pt idx="6">
                  <c:v>0.96199999999999997</c:v>
                </c:pt>
                <c:pt idx="7">
                  <c:v>0.96399999999999997</c:v>
                </c:pt>
                <c:pt idx="8">
                  <c:v>0.96599999999999997</c:v>
                </c:pt>
                <c:pt idx="9">
                  <c:v>0.96799999999999997</c:v>
                </c:pt>
                <c:pt idx="10">
                  <c:v>0.97</c:v>
                </c:pt>
                <c:pt idx="11">
                  <c:v>0.97199999999999998</c:v>
                </c:pt>
                <c:pt idx="12">
                  <c:v>0.97399999999999998</c:v>
                </c:pt>
                <c:pt idx="13">
                  <c:v>0.97599999999999998</c:v>
                </c:pt>
                <c:pt idx="14">
                  <c:v>0.97799999999999998</c:v>
                </c:pt>
                <c:pt idx="15">
                  <c:v>0.98</c:v>
                </c:pt>
                <c:pt idx="16">
                  <c:v>0.98</c:v>
                </c:pt>
                <c:pt idx="17">
                  <c:v>0.98</c:v>
                </c:pt>
                <c:pt idx="18">
                  <c:v>0.98</c:v>
                </c:pt>
                <c:pt idx="19">
                  <c:v>0.98</c:v>
                </c:pt>
                <c:pt idx="20">
                  <c:v>0.98</c:v>
                </c:pt>
                <c:pt idx="21">
                  <c:v>0.98</c:v>
                </c:pt>
                <c:pt idx="22">
                  <c:v>0.98</c:v>
                </c:pt>
                <c:pt idx="23">
                  <c:v>0.98</c:v>
                </c:pt>
                <c:pt idx="24">
                  <c:v>0.98</c:v>
                </c:pt>
                <c:pt idx="25">
                  <c:v>0.98</c:v>
                </c:pt>
              </c:numCache>
            </c:numRef>
          </c:val>
          <c:smooth val="0"/>
          <c:extLst>
            <c:ext xmlns:c16="http://schemas.microsoft.com/office/drawing/2014/chart" uri="{C3380CC4-5D6E-409C-BE32-E72D297353CC}">
              <c16:uniqueId val="{00000000-5396-4E5E-951A-A6D4430797DC}"/>
            </c:ext>
          </c:extLst>
        </c:ser>
        <c:ser>
          <c:idx val="1"/>
          <c:order val="1"/>
          <c:marker>
            <c:symbol val="none"/>
          </c:marker>
          <c:val>
            <c:numRef>
              <c:f>input_data!$D$113:$D$138</c:f>
              <c:numCache>
                <c:formatCode>0%</c:formatCode>
                <c:ptCount val="26"/>
                <c:pt idx="0">
                  <c:v>0.93</c:v>
                </c:pt>
                <c:pt idx="1">
                  <c:v>0.93200000000000005</c:v>
                </c:pt>
                <c:pt idx="2">
                  <c:v>0.93400000000000005</c:v>
                </c:pt>
                <c:pt idx="3">
                  <c:v>0.93600000000000005</c:v>
                </c:pt>
                <c:pt idx="4">
                  <c:v>0.93800000000000006</c:v>
                </c:pt>
                <c:pt idx="5">
                  <c:v>0.94000000000000006</c:v>
                </c:pt>
                <c:pt idx="6">
                  <c:v>0.94200000000000006</c:v>
                </c:pt>
                <c:pt idx="7">
                  <c:v>0.94400000000000006</c:v>
                </c:pt>
                <c:pt idx="8">
                  <c:v>0.94600000000000006</c:v>
                </c:pt>
                <c:pt idx="9">
                  <c:v>0.94800000000000006</c:v>
                </c:pt>
                <c:pt idx="10">
                  <c:v>0.95000000000000007</c:v>
                </c:pt>
                <c:pt idx="11">
                  <c:v>0.95200000000000007</c:v>
                </c:pt>
                <c:pt idx="12">
                  <c:v>0.95400000000000007</c:v>
                </c:pt>
                <c:pt idx="13">
                  <c:v>0.95600000000000007</c:v>
                </c:pt>
                <c:pt idx="14">
                  <c:v>0.95800000000000007</c:v>
                </c:pt>
                <c:pt idx="15">
                  <c:v>0.96</c:v>
                </c:pt>
                <c:pt idx="16">
                  <c:v>0.96</c:v>
                </c:pt>
                <c:pt idx="17">
                  <c:v>0.96</c:v>
                </c:pt>
                <c:pt idx="18">
                  <c:v>0.96</c:v>
                </c:pt>
                <c:pt idx="19">
                  <c:v>0.96</c:v>
                </c:pt>
                <c:pt idx="20">
                  <c:v>0.96</c:v>
                </c:pt>
                <c:pt idx="21">
                  <c:v>0.96</c:v>
                </c:pt>
                <c:pt idx="22">
                  <c:v>0.96</c:v>
                </c:pt>
                <c:pt idx="23">
                  <c:v>0.96</c:v>
                </c:pt>
                <c:pt idx="24">
                  <c:v>0.96</c:v>
                </c:pt>
                <c:pt idx="25">
                  <c:v>0.96</c:v>
                </c:pt>
              </c:numCache>
            </c:numRef>
          </c:val>
          <c:smooth val="0"/>
          <c:extLst>
            <c:ext xmlns:c16="http://schemas.microsoft.com/office/drawing/2014/chart" uri="{C3380CC4-5D6E-409C-BE32-E72D297353CC}">
              <c16:uniqueId val="{00000001-5396-4E5E-951A-A6D4430797DC}"/>
            </c:ext>
          </c:extLst>
        </c:ser>
        <c:ser>
          <c:idx val="2"/>
          <c:order val="2"/>
          <c:marker>
            <c:symbol val="none"/>
          </c:marker>
          <c:val>
            <c:numRef>
              <c:f>input_data!$E$113:$E$138</c:f>
              <c:numCache>
                <c:formatCode>0%</c:formatCode>
                <c:ptCount val="26"/>
                <c:pt idx="0">
                  <c:v>0.88</c:v>
                </c:pt>
                <c:pt idx="1">
                  <c:v>0.88466666666666671</c:v>
                </c:pt>
                <c:pt idx="2">
                  <c:v>0.88933333333333342</c:v>
                </c:pt>
                <c:pt idx="3">
                  <c:v>0.89400000000000013</c:v>
                </c:pt>
                <c:pt idx="4">
                  <c:v>0.89866666666666684</c:v>
                </c:pt>
                <c:pt idx="5">
                  <c:v>0.90333333333333354</c:v>
                </c:pt>
                <c:pt idx="6">
                  <c:v>0.90800000000000025</c:v>
                </c:pt>
                <c:pt idx="7">
                  <c:v>0.91266666666666696</c:v>
                </c:pt>
                <c:pt idx="8">
                  <c:v>0.91733333333333367</c:v>
                </c:pt>
                <c:pt idx="9">
                  <c:v>0.92200000000000037</c:v>
                </c:pt>
                <c:pt idx="10">
                  <c:v>0.92666666666666708</c:v>
                </c:pt>
                <c:pt idx="11">
                  <c:v>0.93133333333333379</c:v>
                </c:pt>
                <c:pt idx="12">
                  <c:v>0.9360000000000005</c:v>
                </c:pt>
                <c:pt idx="13">
                  <c:v>0.94066666666666721</c:v>
                </c:pt>
                <c:pt idx="14">
                  <c:v>0.94533333333333391</c:v>
                </c:pt>
                <c:pt idx="15">
                  <c:v>0.95</c:v>
                </c:pt>
                <c:pt idx="16">
                  <c:v>0.95</c:v>
                </c:pt>
                <c:pt idx="17">
                  <c:v>0.95</c:v>
                </c:pt>
                <c:pt idx="18">
                  <c:v>0.95</c:v>
                </c:pt>
                <c:pt idx="19">
                  <c:v>0.95</c:v>
                </c:pt>
                <c:pt idx="20">
                  <c:v>0.95</c:v>
                </c:pt>
                <c:pt idx="21">
                  <c:v>0.95</c:v>
                </c:pt>
                <c:pt idx="22">
                  <c:v>0.95</c:v>
                </c:pt>
                <c:pt idx="23">
                  <c:v>0.95</c:v>
                </c:pt>
                <c:pt idx="24">
                  <c:v>0.95</c:v>
                </c:pt>
                <c:pt idx="25">
                  <c:v>0.95</c:v>
                </c:pt>
              </c:numCache>
            </c:numRef>
          </c:val>
          <c:smooth val="0"/>
          <c:extLst>
            <c:ext xmlns:c16="http://schemas.microsoft.com/office/drawing/2014/chart" uri="{C3380CC4-5D6E-409C-BE32-E72D297353CC}">
              <c16:uniqueId val="{00000002-5396-4E5E-951A-A6D4430797DC}"/>
            </c:ext>
          </c:extLst>
        </c:ser>
        <c:dLbls>
          <c:showLegendKey val="0"/>
          <c:showVal val="0"/>
          <c:showCatName val="0"/>
          <c:showSerName val="0"/>
          <c:showPercent val="0"/>
          <c:showBubbleSize val="0"/>
        </c:dLbls>
        <c:smooth val="0"/>
        <c:axId val="225858688"/>
        <c:axId val="225860224"/>
      </c:lineChart>
      <c:catAx>
        <c:axId val="225858688"/>
        <c:scaling>
          <c:orientation val="minMax"/>
        </c:scaling>
        <c:delete val="0"/>
        <c:axPos val="b"/>
        <c:majorTickMark val="out"/>
        <c:minorTickMark val="none"/>
        <c:tickLblPos val="nextTo"/>
        <c:crossAx val="225860224"/>
        <c:crosses val="autoZero"/>
        <c:auto val="1"/>
        <c:lblAlgn val="ctr"/>
        <c:lblOffset val="100"/>
        <c:noMultiLvlLbl val="0"/>
      </c:catAx>
      <c:valAx>
        <c:axId val="225860224"/>
        <c:scaling>
          <c:orientation val="minMax"/>
        </c:scaling>
        <c:delete val="0"/>
        <c:axPos val="l"/>
        <c:majorGridlines/>
        <c:numFmt formatCode="0%" sourceLinked="1"/>
        <c:majorTickMark val="out"/>
        <c:minorTickMark val="none"/>
        <c:tickLblPos val="nextTo"/>
        <c:crossAx val="2258586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input_data!$B$161:$B$183</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xVal>
          <c:yVal>
            <c:numRef>
              <c:f>input_data!$C$161:$C$183</c:f>
              <c:numCache>
                <c:formatCode>#,##0</c:formatCode>
                <c:ptCount val="23"/>
                <c:pt idx="2">
                  <c:v>6400</c:v>
                </c:pt>
                <c:pt idx="3">
                  <c:v>6320</c:v>
                </c:pt>
                <c:pt idx="4">
                  <c:v>6240</c:v>
                </c:pt>
                <c:pt idx="5">
                  <c:v>6160</c:v>
                </c:pt>
                <c:pt idx="6">
                  <c:v>6080</c:v>
                </c:pt>
                <c:pt idx="7">
                  <c:v>6000</c:v>
                </c:pt>
                <c:pt idx="8">
                  <c:v>5920</c:v>
                </c:pt>
                <c:pt idx="9">
                  <c:v>5840</c:v>
                </c:pt>
                <c:pt idx="10">
                  <c:v>5760</c:v>
                </c:pt>
                <c:pt idx="11">
                  <c:v>5680</c:v>
                </c:pt>
                <c:pt idx="12">
                  <c:v>5600</c:v>
                </c:pt>
                <c:pt idx="13">
                  <c:v>5600</c:v>
                </c:pt>
                <c:pt idx="14">
                  <c:v>5600</c:v>
                </c:pt>
                <c:pt idx="15">
                  <c:v>5600</c:v>
                </c:pt>
                <c:pt idx="16">
                  <c:v>5600</c:v>
                </c:pt>
                <c:pt idx="17">
                  <c:v>5600</c:v>
                </c:pt>
                <c:pt idx="18">
                  <c:v>5600</c:v>
                </c:pt>
                <c:pt idx="19">
                  <c:v>5600</c:v>
                </c:pt>
                <c:pt idx="20">
                  <c:v>5600</c:v>
                </c:pt>
                <c:pt idx="21">
                  <c:v>5600</c:v>
                </c:pt>
                <c:pt idx="22">
                  <c:v>5600</c:v>
                </c:pt>
              </c:numCache>
            </c:numRef>
          </c:yVal>
          <c:smooth val="0"/>
          <c:extLst>
            <c:ext xmlns:c16="http://schemas.microsoft.com/office/drawing/2014/chart" uri="{C3380CC4-5D6E-409C-BE32-E72D297353CC}">
              <c16:uniqueId val="{00000000-CA04-4BBE-993E-160BA349FFB2}"/>
            </c:ext>
          </c:extLst>
        </c:ser>
        <c:ser>
          <c:idx val="1"/>
          <c:order val="1"/>
          <c:spPr>
            <a:ln w="19050" cap="rnd">
              <a:noFill/>
              <a:round/>
            </a:ln>
            <a:effectLst/>
          </c:spPr>
          <c:marker>
            <c:symbol val="circle"/>
            <c:size val="5"/>
            <c:spPr>
              <a:solidFill>
                <a:schemeClr val="accent2"/>
              </a:solidFill>
              <a:ln w="9525">
                <a:solidFill>
                  <a:schemeClr val="accent2"/>
                </a:solidFill>
              </a:ln>
              <a:effectLst/>
            </c:spPr>
          </c:marker>
          <c:xVal>
            <c:numRef>
              <c:f>input_data!$B$161:$B$183</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xVal>
          <c:yVal>
            <c:numRef>
              <c:f>input_data!$D$161:$D$183</c:f>
              <c:numCache>
                <c:formatCode>#,##0</c:formatCode>
                <c:ptCount val="23"/>
                <c:pt idx="2">
                  <c:v>8000</c:v>
                </c:pt>
                <c:pt idx="3">
                  <c:v>7900</c:v>
                </c:pt>
                <c:pt idx="4">
                  <c:v>7800</c:v>
                </c:pt>
                <c:pt idx="5">
                  <c:v>7700</c:v>
                </c:pt>
                <c:pt idx="6">
                  <c:v>7600</c:v>
                </c:pt>
                <c:pt idx="7">
                  <c:v>7500</c:v>
                </c:pt>
                <c:pt idx="8">
                  <c:v>7400</c:v>
                </c:pt>
                <c:pt idx="9">
                  <c:v>7300</c:v>
                </c:pt>
                <c:pt idx="10">
                  <c:v>7200</c:v>
                </c:pt>
                <c:pt idx="11">
                  <c:v>7100</c:v>
                </c:pt>
                <c:pt idx="12">
                  <c:v>7000</c:v>
                </c:pt>
                <c:pt idx="13">
                  <c:v>7000</c:v>
                </c:pt>
                <c:pt idx="14">
                  <c:v>7000</c:v>
                </c:pt>
                <c:pt idx="15">
                  <c:v>7000</c:v>
                </c:pt>
                <c:pt idx="16">
                  <c:v>7000</c:v>
                </c:pt>
                <c:pt idx="17">
                  <c:v>7000</c:v>
                </c:pt>
                <c:pt idx="18">
                  <c:v>7000</c:v>
                </c:pt>
                <c:pt idx="19">
                  <c:v>7000</c:v>
                </c:pt>
                <c:pt idx="20">
                  <c:v>7000</c:v>
                </c:pt>
                <c:pt idx="21">
                  <c:v>7000</c:v>
                </c:pt>
                <c:pt idx="22">
                  <c:v>7000</c:v>
                </c:pt>
              </c:numCache>
            </c:numRef>
          </c:yVal>
          <c:smooth val="0"/>
          <c:extLst>
            <c:ext xmlns:c16="http://schemas.microsoft.com/office/drawing/2014/chart" uri="{C3380CC4-5D6E-409C-BE32-E72D297353CC}">
              <c16:uniqueId val="{00000001-CA04-4BBE-993E-160BA349FFB2}"/>
            </c:ext>
          </c:extLst>
        </c:ser>
        <c:ser>
          <c:idx val="2"/>
          <c:order val="2"/>
          <c:spPr>
            <a:ln w="19050" cap="rnd">
              <a:noFill/>
              <a:round/>
            </a:ln>
            <a:effectLst/>
          </c:spPr>
          <c:marker>
            <c:symbol val="circle"/>
            <c:size val="5"/>
            <c:spPr>
              <a:solidFill>
                <a:schemeClr val="accent3"/>
              </a:solidFill>
              <a:ln w="9525">
                <a:solidFill>
                  <a:schemeClr val="accent3"/>
                </a:solidFill>
              </a:ln>
              <a:effectLst/>
            </c:spPr>
          </c:marker>
          <c:xVal>
            <c:numRef>
              <c:f>input_data!$B$161:$B$183</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xVal>
          <c:yVal>
            <c:numRef>
              <c:f>input_data!$E$161:$E$183</c:f>
              <c:numCache>
                <c:formatCode>_ [$€-2]\ * #,##0_ ;_ [$€-2]\ * \-#,##0_ ;_ [$€-2]\ * "-"??_ ;_ @_ </c:formatCode>
                <c:ptCount val="23"/>
                <c:pt idx="2">
                  <c:v>9600</c:v>
                </c:pt>
                <c:pt idx="3">
                  <c:v>9480</c:v>
                </c:pt>
                <c:pt idx="4">
                  <c:v>9360</c:v>
                </c:pt>
                <c:pt idx="5">
                  <c:v>9240</c:v>
                </c:pt>
                <c:pt idx="6">
                  <c:v>9120</c:v>
                </c:pt>
                <c:pt idx="7">
                  <c:v>9000</c:v>
                </c:pt>
                <c:pt idx="8">
                  <c:v>8880</c:v>
                </c:pt>
                <c:pt idx="9">
                  <c:v>8760</c:v>
                </c:pt>
                <c:pt idx="10">
                  <c:v>8640</c:v>
                </c:pt>
                <c:pt idx="11">
                  <c:v>8520</c:v>
                </c:pt>
                <c:pt idx="12">
                  <c:v>8400</c:v>
                </c:pt>
                <c:pt idx="13" formatCode="#,##0">
                  <c:v>8400</c:v>
                </c:pt>
                <c:pt idx="14" formatCode="#,##0">
                  <c:v>8400</c:v>
                </c:pt>
                <c:pt idx="15" formatCode="#,##0">
                  <c:v>8400</c:v>
                </c:pt>
                <c:pt idx="16" formatCode="#,##0">
                  <c:v>8400</c:v>
                </c:pt>
                <c:pt idx="17" formatCode="#,##0">
                  <c:v>8400</c:v>
                </c:pt>
                <c:pt idx="18" formatCode="#,##0">
                  <c:v>8400</c:v>
                </c:pt>
                <c:pt idx="19" formatCode="#,##0">
                  <c:v>8400</c:v>
                </c:pt>
                <c:pt idx="20" formatCode="#,##0">
                  <c:v>8400</c:v>
                </c:pt>
                <c:pt idx="21" formatCode="#,##0">
                  <c:v>8400</c:v>
                </c:pt>
                <c:pt idx="22" formatCode="#,##0">
                  <c:v>8400</c:v>
                </c:pt>
              </c:numCache>
            </c:numRef>
          </c:yVal>
          <c:smooth val="0"/>
          <c:extLst>
            <c:ext xmlns:c16="http://schemas.microsoft.com/office/drawing/2014/chart" uri="{C3380CC4-5D6E-409C-BE32-E72D297353CC}">
              <c16:uniqueId val="{00000002-CA04-4BBE-993E-160BA349FFB2}"/>
            </c:ext>
          </c:extLst>
        </c:ser>
        <c:dLbls>
          <c:showLegendKey val="0"/>
          <c:showVal val="0"/>
          <c:showCatName val="0"/>
          <c:showSerName val="0"/>
          <c:showPercent val="0"/>
          <c:showBubbleSize val="0"/>
        </c:dLbls>
        <c:axId val="1219817040"/>
        <c:axId val="1219815792"/>
      </c:scatterChart>
      <c:valAx>
        <c:axId val="1219817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9815792"/>
        <c:crosses val="autoZero"/>
        <c:crossBetween val="midCat"/>
      </c:valAx>
      <c:valAx>
        <c:axId val="1219815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98170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e.nl"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6.png"/><Relationship Id="rId4"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ce.nl"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jpeg"/><Relationship Id="rId1" Type="http://schemas.openxmlformats.org/officeDocument/2006/relationships/hyperlink" Target="http://www.ce.nl"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2.jpe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oneCellAnchor>
    <xdr:from>
      <xdr:col>1</xdr:col>
      <xdr:colOff>28575</xdr:colOff>
      <xdr:row>1</xdr:row>
      <xdr:rowOff>171451</xdr:rowOff>
    </xdr:from>
    <xdr:ext cx="1363980" cy="417618"/>
    <xdr:pic>
      <xdr:nvPicPr>
        <xdr:cNvPr id="2" name="Afbeelding 1" title="CE Delft">
          <a:hlinkClick xmlns:r="http://schemas.openxmlformats.org/officeDocument/2006/relationships" r:id="rId1"/>
          <a:extLst>
            <a:ext uri="{FF2B5EF4-FFF2-40B4-BE49-F238E27FC236}">
              <a16:creationId xmlns:a16="http://schemas.microsoft.com/office/drawing/2014/main" id="{51D1525A-E6DD-4874-B53A-39FF579AFD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 y="361951"/>
          <a:ext cx="1363980" cy="41761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5</xdr:col>
      <xdr:colOff>683546</xdr:colOff>
      <xdr:row>2</xdr:row>
      <xdr:rowOff>0</xdr:rowOff>
    </xdr:from>
    <xdr:to>
      <xdr:col>7</xdr:col>
      <xdr:colOff>168347</xdr:colOff>
      <xdr:row>6</xdr:row>
      <xdr:rowOff>74180</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6193" y="392206"/>
          <a:ext cx="1796761" cy="82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2</xdr:row>
      <xdr:rowOff>0</xdr:rowOff>
    </xdr:from>
    <xdr:to>
      <xdr:col>17</xdr:col>
      <xdr:colOff>203200</xdr:colOff>
      <xdr:row>18</xdr:row>
      <xdr:rowOff>64994</xdr:rowOff>
    </xdr:to>
    <xdr:graphicFrame macro="">
      <xdr:nvGraphicFramePr>
        <xdr:cNvPr id="6" name="Grafiek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19</xdr:row>
      <xdr:rowOff>0</xdr:rowOff>
    </xdr:from>
    <xdr:to>
      <xdr:col>17</xdr:col>
      <xdr:colOff>203200</xdr:colOff>
      <xdr:row>35</xdr:row>
      <xdr:rowOff>62592</xdr:rowOff>
    </xdr:to>
    <xdr:graphicFrame macro="">
      <xdr:nvGraphicFramePr>
        <xdr:cNvPr id="10" name="Grafiek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31750</xdr:colOff>
      <xdr:row>19</xdr:row>
      <xdr:rowOff>0</xdr:rowOff>
    </xdr:from>
    <xdr:to>
      <xdr:col>25</xdr:col>
      <xdr:colOff>234950</xdr:colOff>
      <xdr:row>35</xdr:row>
      <xdr:rowOff>62592</xdr:rowOff>
    </xdr:to>
    <xdr:graphicFrame macro="">
      <xdr:nvGraphicFramePr>
        <xdr:cNvPr id="12" name="Grafiek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0.93565</cdr:x>
      <cdr:y>0.90877</cdr:y>
    </cdr:from>
    <cdr:to>
      <cdr:x>0.99294</cdr:x>
      <cdr:y>0.98073</cdr:y>
    </cdr:to>
    <cdr:pic>
      <cdr:nvPicPr>
        <cdr:cNvPr id="4" name="Afbeelding 3">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8235" y="2879912"/>
          <a:ext cx="260716" cy="228044"/>
        </a:xfrm>
        <a:prstGeom xmlns:a="http://schemas.openxmlformats.org/drawingml/2006/main" prst="rect">
          <a:avLst/>
        </a:prstGeom>
      </cdr:spPr>
    </cdr:pic>
  </cdr:relSizeAnchor>
</c:userShapes>
</file>

<file path=xl/drawings/drawing12.xml><?xml version="1.0" encoding="utf-8"?>
<c:userShapes xmlns:c="http://schemas.openxmlformats.org/drawingml/2006/chart">
  <cdr:relSizeAnchor xmlns:cdr="http://schemas.openxmlformats.org/drawingml/2006/chartDrawing">
    <cdr:from>
      <cdr:x>0.92219</cdr:x>
      <cdr:y>0.88122</cdr:y>
    </cdr:from>
    <cdr:to>
      <cdr:x>0.99048</cdr:x>
      <cdr:y>0.99354</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196977" y="2415241"/>
          <a:ext cx="310776" cy="307847"/>
        </a:xfrm>
        <a:prstGeom xmlns:a="http://schemas.openxmlformats.org/drawingml/2006/main" prst="rect">
          <a:avLst/>
        </a:prstGeom>
      </cdr:spPr>
    </cdr:pic>
  </cdr:relSizeAnchor>
</c:userShapes>
</file>

<file path=xl/drawings/drawing13.xml><?xml version="1.0" encoding="utf-8"?>
<c:userShapes xmlns:c="http://schemas.openxmlformats.org/drawingml/2006/chart">
  <cdr:relSizeAnchor xmlns:cdr="http://schemas.openxmlformats.org/drawingml/2006/chartDrawing">
    <cdr:from>
      <cdr:x>0.93579</cdr:x>
      <cdr:y>0.88768</cdr:y>
    </cdr:from>
    <cdr:to>
      <cdr:x>0.99214</cdr:x>
      <cdr:y>1</cdr:y>
    </cdr:to>
    <cdr:pic>
      <cdr:nvPicPr>
        <cdr:cNvPr id="3" name="Afbeelding 2">
          <a:extLst xmlns:a="http://schemas.openxmlformats.org/drawingml/2006/main">
            <a:ext uri="{FF2B5EF4-FFF2-40B4-BE49-F238E27FC236}">
              <a16:creationId xmlns:a16="http://schemas.microsoft.com/office/drawing/2014/main" id="{A673B00D-04C3-EDFE-79AB-153542BEA85E}"/>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160682" y="2432951"/>
          <a:ext cx="310776" cy="307847"/>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twoCellAnchor>
    <xdr:from>
      <xdr:col>7</xdr:col>
      <xdr:colOff>0</xdr:colOff>
      <xdr:row>124</xdr:row>
      <xdr:rowOff>0</xdr:rowOff>
    </xdr:from>
    <xdr:to>
      <xdr:col>14</xdr:col>
      <xdr:colOff>285750</xdr:colOff>
      <xdr:row>138</xdr:row>
      <xdr:rowOff>76200</xdr:rowOff>
    </xdr:to>
    <xdr:graphicFrame macro="">
      <xdr:nvGraphicFramePr>
        <xdr:cNvPr id="3" name="Grafiek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75</xdr:row>
      <xdr:rowOff>128586</xdr:rowOff>
    </xdr:from>
    <xdr:to>
      <xdr:col>1</xdr:col>
      <xdr:colOff>1590675</xdr:colOff>
      <xdr:row>95</xdr:row>
      <xdr:rowOff>123825</xdr:rowOff>
    </xdr:to>
    <xdr:graphicFrame macro="">
      <xdr:nvGraphicFramePr>
        <xdr:cNvPr id="8" name="Grafiek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27214</xdr:colOff>
      <xdr:row>17</xdr:row>
      <xdr:rowOff>36737</xdr:rowOff>
    </xdr:from>
    <xdr:to>
      <xdr:col>35</xdr:col>
      <xdr:colOff>155120</xdr:colOff>
      <xdr:row>48</xdr:row>
      <xdr:rowOff>17318</xdr:rowOff>
    </xdr:to>
    <xdr:graphicFrame macro="">
      <xdr:nvGraphicFramePr>
        <xdr:cNvPr id="2" name="Grafiek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0</xdr:colOff>
      <xdr:row>81</xdr:row>
      <xdr:rowOff>0</xdr:rowOff>
    </xdr:from>
    <xdr:to>
      <xdr:col>45</xdr:col>
      <xdr:colOff>304799</xdr:colOff>
      <xdr:row>95</xdr:row>
      <xdr:rowOff>76200</xdr:rowOff>
    </xdr:to>
    <xdr:graphicFrame macro="">
      <xdr:nvGraphicFramePr>
        <xdr:cNvPr id="3" name="Grafiek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369792</xdr:colOff>
      <xdr:row>30</xdr:row>
      <xdr:rowOff>22412</xdr:rowOff>
    </xdr:from>
    <xdr:to>
      <xdr:col>20</xdr:col>
      <xdr:colOff>371474</xdr:colOff>
      <xdr:row>54</xdr:row>
      <xdr:rowOff>123825</xdr:rowOff>
    </xdr:to>
    <xdr:graphicFrame macro="">
      <xdr:nvGraphicFramePr>
        <xdr:cNvPr id="3" name="Grafiek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285750</xdr:colOff>
      <xdr:row>16</xdr:row>
      <xdr:rowOff>123825</xdr:rowOff>
    </xdr:from>
    <xdr:to>
      <xdr:col>16</xdr:col>
      <xdr:colOff>590550</xdr:colOff>
      <xdr:row>30</xdr:row>
      <xdr:rowOff>66675</xdr:rowOff>
    </xdr:to>
    <xdr:graphicFrame macro="">
      <xdr:nvGraphicFramePr>
        <xdr:cNvPr id="3" name="Grafiek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32</xdr:col>
      <xdr:colOff>0</xdr:colOff>
      <xdr:row>19</xdr:row>
      <xdr:rowOff>0</xdr:rowOff>
    </xdr:from>
    <xdr:to>
      <xdr:col>39</xdr:col>
      <xdr:colOff>304800</xdr:colOff>
      <xdr:row>32</xdr:row>
      <xdr:rowOff>142875</xdr:rowOff>
    </xdr:to>
    <xdr:graphicFrame macro="">
      <xdr:nvGraphicFramePr>
        <xdr:cNvPr id="3" name="Grafiek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59055</xdr:colOff>
      <xdr:row>1</xdr:row>
      <xdr:rowOff>95250</xdr:rowOff>
    </xdr:from>
    <xdr:ext cx="775335" cy="250139"/>
    <xdr:pic>
      <xdr:nvPicPr>
        <xdr:cNvPr id="3" name="Afbeelding 2" title="CE Delft">
          <a:hlinkClick xmlns:r="http://schemas.openxmlformats.org/officeDocument/2006/relationships" r:id="rId1"/>
          <a:extLst>
            <a:ext uri="{FF2B5EF4-FFF2-40B4-BE49-F238E27FC236}">
              <a16:creationId xmlns:a16="http://schemas.microsoft.com/office/drawing/2014/main" id="{B71E91BD-CD84-4515-93B9-4A2DC9359B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 y="285750"/>
          <a:ext cx="775335" cy="250139"/>
        </a:xfrm>
        <a:prstGeom prst="rect">
          <a:avLst/>
        </a:prstGeom>
      </xdr:spPr>
    </xdr:pic>
    <xdr:clientData/>
  </xdr:oneCellAnchor>
  <xdr:twoCellAnchor>
    <xdr:from>
      <xdr:col>0</xdr:col>
      <xdr:colOff>211621</xdr:colOff>
      <xdr:row>5</xdr:row>
      <xdr:rowOff>67916</xdr:rowOff>
    </xdr:from>
    <xdr:to>
      <xdr:col>15</xdr:col>
      <xdr:colOff>265043</xdr:colOff>
      <xdr:row>57</xdr:row>
      <xdr:rowOff>132520</xdr:rowOff>
    </xdr:to>
    <xdr:sp macro="" textlink="">
      <xdr:nvSpPr>
        <xdr:cNvPr id="48" name="Tekstvak 3">
          <a:extLst>
            <a:ext uri="{FF2B5EF4-FFF2-40B4-BE49-F238E27FC236}">
              <a16:creationId xmlns:a16="http://schemas.microsoft.com/office/drawing/2014/main" id="{DB3ED56E-6AA3-E78F-D126-F49380FFEF9B}"/>
            </a:ext>
          </a:extLst>
        </xdr:cNvPr>
        <xdr:cNvSpPr txBox="1"/>
      </xdr:nvSpPr>
      <xdr:spPr>
        <a:xfrm>
          <a:off x="211621" y="1439516"/>
          <a:ext cx="8819735" cy="9712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Beste taxichauffeur,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Voor chauffeurs is het vaak voordeliger om een elektrische taxi te rijden dan een taxi op fossiele brandstof. Dat komt door een lager energiegebruik van elektrische taxi’s. Omdat taxi’s veel rijden kunnen er aanzienlijke voordelen zijn.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Met deze </a:t>
          </a:r>
          <a:r>
            <a:rPr lang="nl-NL" sz="1100" i="1" kern="100">
              <a:effectLst/>
              <a:latin typeface="+mj-lt"/>
              <a:ea typeface="Aptos" panose="020B0004020202020204" pitchFamily="34" charset="0"/>
              <a:cs typeface="Times New Roman" panose="02020603050405020304" pitchFamily="18" charset="0"/>
            </a:rPr>
            <a:t>TCO-tool</a:t>
          </a:r>
          <a:r>
            <a:rPr lang="nl-NL" sz="1100" kern="100">
              <a:effectLst/>
              <a:latin typeface="+mj-lt"/>
              <a:ea typeface="Aptos" panose="020B0004020202020204" pitchFamily="34" charset="0"/>
              <a:cs typeface="Times New Roman" panose="02020603050405020304" pitchFamily="18" charset="0"/>
            </a:rPr>
            <a:t> (Total Cost of Ownership) kunt u de totale kosten over de gehele gebruiksduur van verschillende voertuigen met elkaar te vergelijken. Zo kunt u voor uw eigen situatie berekenen of een elektrische taxi of een fossiele taxi voordeliger is. U kunt maximaal 4 voertuigen met elkaar vergelijken. </a:t>
          </a:r>
          <a:r>
            <a:rPr lang="nl-NL" sz="1100" b="1">
              <a:solidFill>
                <a:schemeClr val="dk1"/>
              </a:solidFill>
              <a:effectLst/>
              <a:latin typeface="+mn-lt"/>
              <a:ea typeface="+mn-ea"/>
              <a:cs typeface="+mn-cs"/>
            </a:rPr>
            <a:t>Klik op het tabblad Keuzemenu onderin om de tool te starten.</a:t>
          </a:r>
          <a:r>
            <a:rPr lang="nl-NL" sz="1100">
              <a:solidFill>
                <a:schemeClr val="dk1"/>
              </a:solidFill>
              <a:effectLst/>
              <a:latin typeface="+mn-lt"/>
              <a:ea typeface="+mn-ea"/>
              <a:cs typeface="+mn-cs"/>
            </a:rPr>
            <a:t>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Om de tool te gebruiken, moet u een paar algemene gegevens invullen:</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In welk jaar u de taxi wilt kopen</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Hoeveel jaar u de taxi denkt te gebruiken</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Hoeveel kilometers u per werkdag en per jaar rijdt</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Hoe u de taxi financiert</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spcAft>
              <a:spcPts val="800"/>
            </a:spcAft>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Waar u een auto gaat laden</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We vragen ook een aantal gegevens per voertuig dat u wilt vergelijken.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b="1" kern="100">
              <a:effectLst/>
              <a:latin typeface="+mj-lt"/>
              <a:ea typeface="Aptos" panose="020B0004020202020204" pitchFamily="34" charset="0"/>
              <a:cs typeface="Times New Roman" panose="02020603050405020304" pitchFamily="18" charset="0"/>
            </a:rPr>
            <a:t>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b="1" kern="100">
              <a:effectLst/>
              <a:latin typeface="+mj-lt"/>
              <a:ea typeface="Aptos" panose="020B0004020202020204" pitchFamily="34" charset="0"/>
              <a:cs typeface="Times New Roman" panose="02020603050405020304" pitchFamily="18" charset="0"/>
            </a:rPr>
            <a:t>Totale kosten per voertuig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Op basis van de ingevulde gegevens krijgt u per soort kosten te zien welk voertuig voordeliger is. Ook krijgt u een overzicht van de totale kosten. Soort kosten: </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Kosten voertuig zelf </a:t>
          </a:r>
          <a:br>
            <a:rPr lang="nl-NL" sz="1100"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Het verschil tussen de aanschafwaarde en de restwaarde, met eventuele kosten voor leasen en koop van een thuislader</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Energie</a:t>
          </a:r>
          <a:br>
            <a:rPr lang="nl-NL" sz="1100"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Brandstoffen en elektriciteit</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Verzekering</a:t>
          </a:r>
          <a:br>
            <a:rPr lang="nl-NL" sz="1100" b="1"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Er is keuze tussen WA, WA+ en all-risk</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Wegenbelasting</a:t>
          </a:r>
          <a:br>
            <a:rPr lang="nl-NL" sz="1100"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Motorrijtuigenbelasting. Deze kan uitgezet worden als gebruik wordt gemaakt van de vrijstelling voor taxi’s. </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spcAft>
              <a:spcPts val="800"/>
            </a:spcAft>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Kosten van onderhoud</a:t>
          </a:r>
          <a:br>
            <a:rPr lang="nl-NL" sz="1100"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Zoals reparatie en nieuwe banden</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De TCO-tool maakt voor het inschatten van de kosten gebruik van bekende bronnen, zoals de ANWB, RDW en de Belastingdienst.</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b="1" kern="100">
              <a:effectLst/>
              <a:latin typeface="+mj-lt"/>
              <a:ea typeface="Aptos" panose="020B0004020202020204" pitchFamily="34" charset="0"/>
              <a:cs typeface="Times New Roman" panose="02020603050405020304" pitchFamily="18" charset="0"/>
            </a:rPr>
            <a:t>Voordelen elektrisch rijden</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Elektrische taxi’s stoten minder vervuilende stoffen uit en zijn stiller dan brandstof aangedreven taxi’s. Daarom moedigen overheden de overstap naar elektrische taxi’s aan. En geven zij voordelen aan chauffeurs die elektrisch rijden. Vanaf 2025 gaat het om de volgende voordelen:</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Voor nieuwe elektrische taxi’s betaalt u ongeveer € 200 (bpm). Voor diesel voertuigen zijn het vaak duizenden euro’s. Dit voordeel is onderdeel van de tool.</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Voor elektrische auto’s krijgt u korting op de maandelijkse wegenbelasting (mrb). De extra korting voor taxi’s is wel klein omdat alle typen taxi’s al recht hebben op een vrijstelling van de mrb. Dit voordeel zit</a:t>
          </a:r>
          <a:r>
            <a:rPr lang="nl-NL" sz="1100" kern="100" baseline="0">
              <a:effectLst/>
              <a:latin typeface="+mj-lt"/>
              <a:ea typeface="Aptos" panose="020B0004020202020204" pitchFamily="34" charset="0"/>
              <a:cs typeface="Times New Roman" panose="02020603050405020304" pitchFamily="18" charset="0"/>
            </a:rPr>
            <a:t> ook in de berekening</a:t>
          </a:r>
          <a:r>
            <a:rPr lang="nl-NL" sz="1100" kern="100">
              <a:effectLst/>
              <a:latin typeface="+mj-lt"/>
              <a:ea typeface="Aptos" panose="020B0004020202020204" pitchFamily="34" charset="0"/>
              <a:cs typeface="Times New Roman" panose="02020603050405020304" pitchFamily="18" charset="0"/>
            </a:rPr>
            <a:t> van de tool.</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spcAft>
              <a:spcPts val="800"/>
            </a:spcAft>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In de grote steden zijn er taxiverordeningen voor de opstapmarkt. Deze verordeningen geven voordelen voor elektrische auto’s, zoals alleen toegang voor elektrische taxi’s tot standplaatsen.     </a:t>
          </a:r>
          <a:endParaRPr lang="nl-NL" sz="1050" kern="100">
            <a:effectLst/>
            <a:latin typeface="+mj-lt"/>
            <a:ea typeface="Aptos" panose="020B0004020202020204" pitchFamily="34" charset="0"/>
            <a:cs typeface="Times New Roman" panose="02020603050405020304" pitchFamily="18" charset="0"/>
          </a:endParaRPr>
        </a:p>
        <a:p>
          <a:endParaRPr lang="nl-NL" sz="1100">
            <a:solidFill>
              <a:schemeClr val="dk1"/>
            </a:solidFill>
            <a:effectLst/>
            <a:latin typeface="+mj-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xdr:colOff>
      <xdr:row>1</xdr:row>
      <xdr:rowOff>123825</xdr:rowOff>
    </xdr:from>
    <xdr:to>
      <xdr:col>2</xdr:col>
      <xdr:colOff>22855</xdr:colOff>
      <xdr:row>1</xdr:row>
      <xdr:rowOff>360629</xdr:rowOff>
    </xdr:to>
    <xdr:pic>
      <xdr:nvPicPr>
        <xdr:cNvPr id="2" name="Afbeelding 1" title="CE Delft">
          <a:hlinkClick xmlns:r="http://schemas.openxmlformats.org/officeDocument/2006/relationships" r:id="rId1"/>
          <a:extLst>
            <a:ext uri="{FF2B5EF4-FFF2-40B4-BE49-F238E27FC236}">
              <a16:creationId xmlns:a16="http://schemas.microsoft.com/office/drawing/2014/main" id="{77C95E6F-F311-4223-BF16-8CEBA55395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 y="314325"/>
          <a:ext cx="775335" cy="250139"/>
        </a:xfrm>
        <a:prstGeom prst="rect">
          <a:avLst/>
        </a:prstGeom>
      </xdr:spPr>
    </xdr:pic>
    <xdr:clientData/>
  </xdr:twoCellAnchor>
  <xdr:twoCellAnchor>
    <xdr:from>
      <xdr:col>2</xdr:col>
      <xdr:colOff>1970942</xdr:colOff>
      <xdr:row>63</xdr:row>
      <xdr:rowOff>43962</xdr:rowOff>
    </xdr:from>
    <xdr:to>
      <xdr:col>10</xdr:col>
      <xdr:colOff>592754</xdr:colOff>
      <xdr:row>79</xdr:row>
      <xdr:rowOff>117760</xdr:rowOff>
    </xdr:to>
    <xdr:graphicFrame macro="">
      <xdr:nvGraphicFramePr>
        <xdr:cNvPr id="5" name="Grafiek 4">
          <a:extLst>
            <a:ext uri="{FF2B5EF4-FFF2-40B4-BE49-F238E27FC236}">
              <a16:creationId xmlns:a16="http://schemas.microsoft.com/office/drawing/2014/main" id="{81A531EB-8884-4E2E-B3E8-2C5F09ECB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0.9461</cdr:x>
      <cdr:y>0.9028</cdr:y>
    </cdr:from>
    <cdr:to>
      <cdr:x>0.98061</cdr:x>
      <cdr:y>0.9749</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054757" y="2803148"/>
          <a:ext cx="220853" cy="223867"/>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editAs="oneCell">
    <xdr:from>
      <xdr:col>1</xdr:col>
      <xdr:colOff>59055</xdr:colOff>
      <xdr:row>1</xdr:row>
      <xdr:rowOff>95250</xdr:rowOff>
    </xdr:from>
    <xdr:to>
      <xdr:col>1</xdr:col>
      <xdr:colOff>1047750</xdr:colOff>
      <xdr:row>1</xdr:row>
      <xdr:rowOff>415290</xdr:rowOff>
    </xdr:to>
    <xdr:pic>
      <xdr:nvPicPr>
        <xdr:cNvPr id="3" name="Afbeelding 2" title="CE Delft">
          <a:extLst>
            <a:ext uri="{FF2B5EF4-FFF2-40B4-BE49-F238E27FC236}">
              <a16:creationId xmlns:a16="http://schemas.microsoft.com/office/drawing/2014/main" id="{F16C8034-477E-4587-B8E1-E5429A685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655" y="285750"/>
          <a:ext cx="988695" cy="320040"/>
        </a:xfrm>
        <a:prstGeom prst="rect">
          <a:avLst/>
        </a:prstGeom>
      </xdr:spPr>
    </xdr:pic>
    <xdr:clientData/>
  </xdr:twoCellAnchor>
  <xdr:twoCellAnchor>
    <xdr:from>
      <xdr:col>1</xdr:col>
      <xdr:colOff>1362075</xdr:colOff>
      <xdr:row>23</xdr:row>
      <xdr:rowOff>56029</xdr:rowOff>
    </xdr:from>
    <xdr:to>
      <xdr:col>6</xdr:col>
      <xdr:colOff>107016</xdr:colOff>
      <xdr:row>39</xdr:row>
      <xdr:rowOff>163445</xdr:rowOff>
    </xdr:to>
    <xdr:graphicFrame macro="">
      <xdr:nvGraphicFramePr>
        <xdr:cNvPr id="2" name="Grafiek 1">
          <a:extLst>
            <a:ext uri="{FF2B5EF4-FFF2-40B4-BE49-F238E27FC236}">
              <a16:creationId xmlns:a16="http://schemas.microsoft.com/office/drawing/2014/main" id="{1F506DA0-E85A-4003-93C3-22CB7AA93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1457096</xdr:colOff>
      <xdr:row>50</xdr:row>
      <xdr:rowOff>42022</xdr:rowOff>
    </xdr:from>
    <xdr:to>
      <xdr:col>6</xdr:col>
      <xdr:colOff>123264</xdr:colOff>
      <xdr:row>66</xdr:row>
      <xdr:rowOff>115820</xdr:rowOff>
    </xdr:to>
    <xdr:graphicFrame macro="">
      <xdr:nvGraphicFramePr>
        <xdr:cNvPr id="7" name="Grafiek 5">
          <a:extLst>
            <a:ext uri="{FF2B5EF4-FFF2-40B4-BE49-F238E27FC236}">
              <a16:creationId xmlns:a16="http://schemas.microsoft.com/office/drawing/2014/main" id="{31AE6F92-5B62-4BEA-B7BD-9C028C879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1441481</xdr:colOff>
      <xdr:row>77</xdr:row>
      <xdr:rowOff>79560</xdr:rowOff>
    </xdr:from>
    <xdr:to>
      <xdr:col>6</xdr:col>
      <xdr:colOff>156881</xdr:colOff>
      <xdr:row>93</xdr:row>
      <xdr:rowOff>153358</xdr:rowOff>
    </xdr:to>
    <xdr:graphicFrame macro="">
      <xdr:nvGraphicFramePr>
        <xdr:cNvPr id="4" name="Grafiek 3">
          <a:extLst>
            <a:ext uri="{FF2B5EF4-FFF2-40B4-BE49-F238E27FC236}">
              <a16:creationId xmlns:a16="http://schemas.microsoft.com/office/drawing/2014/main" id="{F2A90D84-6FD4-4974-9294-659596F60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0.95597</cdr:x>
      <cdr:y>0.91574</cdr:y>
    </cdr:from>
    <cdr:to>
      <cdr:x>0.99048</cdr:x>
      <cdr:y>0.99354</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414311" y="2858742"/>
          <a:ext cx="231553" cy="242889"/>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0.95597</cdr:x>
      <cdr:y>0.92064</cdr:y>
    </cdr:from>
    <cdr:to>
      <cdr:x>0.99048</cdr:x>
      <cdr:y>0.99354</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384852" y="2874065"/>
          <a:ext cx="230490" cy="227566"/>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0.9461</cdr:x>
      <cdr:y>0.9028</cdr:y>
    </cdr:from>
    <cdr:to>
      <cdr:x>0.98061</cdr:x>
      <cdr:y>0.9749</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054757" y="2803148"/>
          <a:ext cx="220853" cy="223867"/>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xdr:from>
      <xdr:col>11</xdr:col>
      <xdr:colOff>151682</xdr:colOff>
      <xdr:row>200</xdr:row>
      <xdr:rowOff>172490</xdr:rowOff>
    </xdr:from>
    <xdr:to>
      <xdr:col>18</xdr:col>
      <xdr:colOff>40475</xdr:colOff>
      <xdr:row>218</xdr:row>
      <xdr:rowOff>66834</xdr:rowOff>
    </xdr:to>
    <xdr:graphicFrame macro="">
      <xdr:nvGraphicFramePr>
        <xdr:cNvPr id="3" name="Grafiek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159685</xdr:colOff>
      <xdr:row>2</xdr:row>
      <xdr:rowOff>24559</xdr:rowOff>
    </xdr:from>
    <xdr:to>
      <xdr:col>34</xdr:col>
      <xdr:colOff>464484</xdr:colOff>
      <xdr:row>16</xdr:row>
      <xdr:rowOff>136619</xdr:rowOff>
    </xdr:to>
    <xdr:graphicFrame macro="">
      <xdr:nvGraphicFramePr>
        <xdr:cNvPr id="5" name="Grafiek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239</xdr:row>
      <xdr:rowOff>0</xdr:rowOff>
    </xdr:from>
    <xdr:to>
      <xdr:col>15</xdr:col>
      <xdr:colOff>304800</xdr:colOff>
      <xdr:row>253</xdr:row>
      <xdr:rowOff>0</xdr:rowOff>
    </xdr:to>
    <xdr:graphicFrame macro="">
      <xdr:nvGraphicFramePr>
        <xdr:cNvPr id="9" name="Grafiek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111</xdr:row>
      <xdr:rowOff>0</xdr:rowOff>
    </xdr:from>
    <xdr:to>
      <xdr:col>17</xdr:col>
      <xdr:colOff>203200</xdr:colOff>
      <xdr:row>125</xdr:row>
      <xdr:rowOff>66115</xdr:rowOff>
    </xdr:to>
    <xdr:graphicFrame macro="">
      <xdr:nvGraphicFramePr>
        <xdr:cNvPr id="10" name="Grafiek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436685</xdr:colOff>
      <xdr:row>162</xdr:row>
      <xdr:rowOff>66675</xdr:rowOff>
    </xdr:from>
    <xdr:to>
      <xdr:col>16</xdr:col>
      <xdr:colOff>1000125</xdr:colOff>
      <xdr:row>176</xdr:row>
      <xdr:rowOff>142875</xdr:rowOff>
    </xdr:to>
    <xdr:graphicFrame macro="">
      <xdr:nvGraphicFramePr>
        <xdr:cNvPr id="6" name="Grafiek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304800</xdr:colOff>
      <xdr:row>190</xdr:row>
      <xdr:rowOff>9525</xdr:rowOff>
    </xdr:from>
    <xdr:to>
      <xdr:col>32</xdr:col>
      <xdr:colOff>533400</xdr:colOff>
      <xdr:row>204</xdr:row>
      <xdr:rowOff>85725</xdr:rowOff>
    </xdr:to>
    <xdr:graphicFrame macro="">
      <xdr:nvGraphicFramePr>
        <xdr:cNvPr id="2" name="Grafiek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238125</xdr:colOff>
      <xdr:row>201</xdr:row>
      <xdr:rowOff>66675</xdr:rowOff>
    </xdr:from>
    <xdr:to>
      <xdr:col>32</xdr:col>
      <xdr:colOff>466725</xdr:colOff>
      <xdr:row>215</xdr:row>
      <xdr:rowOff>142875</xdr:rowOff>
    </xdr:to>
    <xdr:graphicFrame macro="">
      <xdr:nvGraphicFramePr>
        <xdr:cNvPr id="7" name="Grafiek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17</xdr:col>
      <xdr:colOff>639055</xdr:colOff>
      <xdr:row>223</xdr:row>
      <xdr:rowOff>138472</xdr:rowOff>
    </xdr:from>
    <xdr:to>
      <xdr:col>27</xdr:col>
      <xdr:colOff>223084</xdr:colOff>
      <xdr:row>248</xdr:row>
      <xdr:rowOff>96850</xdr:rowOff>
    </xdr:to>
    <xdr:pic>
      <xdr:nvPicPr>
        <xdr:cNvPr id="8" name="Afbeelding 7">
          <a:extLst>
            <a:ext uri="{FF2B5EF4-FFF2-40B4-BE49-F238E27FC236}">
              <a16:creationId xmlns:a16="http://schemas.microsoft.com/office/drawing/2014/main" id="{2F03ECD3-E241-F1CE-CC8C-1F80FED39BBD}"/>
            </a:ext>
          </a:extLst>
        </xdr:cNvPr>
        <xdr:cNvPicPr>
          <a:picLocks noChangeAspect="1"/>
        </xdr:cNvPicPr>
      </xdr:nvPicPr>
      <xdr:blipFill>
        <a:blip xmlns:r="http://schemas.openxmlformats.org/officeDocument/2006/relationships" r:embed="rId8"/>
        <a:stretch>
          <a:fillRect/>
        </a:stretch>
      </xdr:blipFill>
      <xdr:spPr>
        <a:xfrm>
          <a:off x="14327841" y="44348079"/>
          <a:ext cx="7258457" cy="4884164"/>
        </a:xfrm>
        <a:prstGeom prst="rect">
          <a:avLst/>
        </a:prstGeom>
      </xdr:spPr>
    </xdr:pic>
    <xdr:clientData/>
  </xdr:twoCellAnchor>
  <xdr:twoCellAnchor>
    <xdr:from>
      <xdr:col>18</xdr:col>
      <xdr:colOff>154041</xdr:colOff>
      <xdr:row>223</xdr:row>
      <xdr:rowOff>20811</xdr:rowOff>
    </xdr:from>
    <xdr:to>
      <xdr:col>27</xdr:col>
      <xdr:colOff>124064</xdr:colOff>
      <xdr:row>244</xdr:row>
      <xdr:rowOff>42423</xdr:rowOff>
    </xdr:to>
    <xdr:graphicFrame macro="">
      <xdr:nvGraphicFramePr>
        <xdr:cNvPr id="4" name="Grafiek 3">
          <a:extLst>
            <a:ext uri="{FF2B5EF4-FFF2-40B4-BE49-F238E27FC236}">
              <a16:creationId xmlns:a16="http://schemas.microsoft.com/office/drawing/2014/main" id="{93199480-A803-865F-E1F0-839E74036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aan van Seters (CE Delft)" id="{ABA9ECDE-653D-4AFB-8493-2862E519A636}" userId="S::seters@ce.nl::690bfce4-3b85-4377-9e84-1108462f148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arten t Hoen (CE Delft)" refreshedDate="42601.532151851854" createdVersion="4" refreshedVersion="4" minRefreshableVersion="3" recordCount="36" xr:uid="{00000000-000A-0000-FFFF-FFFF00000000}">
  <cacheSource type="worksheet">
    <worksheetSource ref="B425:X461" sheet="voertuigen_module"/>
  </cacheSource>
  <cacheFields count="16">
    <cacheField name="scenario" numFmtId="0">
      <sharedItems/>
    </cacheField>
    <cacheField name="Id" numFmtId="0">
      <sharedItems containsSemiMixedTypes="0" containsString="0" containsNumber="1" containsInteger="1" minValue="1" maxValue="36" count="36">
        <n v="1"/>
        <n v="2"/>
        <n v="3"/>
        <n v="4"/>
        <n v="5"/>
        <n v="6"/>
        <n v="7"/>
        <n v="8"/>
        <n v="9"/>
        <n v="10"/>
        <n v="11"/>
        <n v="12"/>
        <n v="13"/>
        <n v="14"/>
        <n v="15"/>
        <n v="16"/>
        <n v="17"/>
        <n v="18"/>
        <n v="19"/>
        <n v="20"/>
        <n v="21"/>
        <n v="22"/>
        <n v="23"/>
        <n v="24"/>
        <n v="25"/>
        <n v="26"/>
        <n v="27"/>
        <n v="28"/>
        <n v="29"/>
        <n v="30"/>
        <n v="31"/>
        <n v="32"/>
        <n v="33"/>
        <n v="34"/>
        <n v="35"/>
        <n v="36"/>
      </sharedItems>
    </cacheField>
    <cacheField name="type" numFmtId="0">
      <sharedItems/>
    </cacheField>
    <cacheField name="Auto" numFmtId="0">
      <sharedItems count="12">
        <s v="Opel Ampera"/>
        <s v="Opel Astra 1,4 T"/>
        <s v="Toyota Prius PHEV"/>
        <s v="Toyota Prius"/>
        <s v="Mits Outl PHEV"/>
        <s v="Mits Outl 2,0 2WD"/>
        <s v="Citroën C-Zero"/>
        <s v="Citroën C1 1.0"/>
        <s v="Renault ZOE"/>
        <s v="Renault Clio 0.9"/>
        <s v="Nissan Leaf 30 kWh"/>
        <s v="Nissan Pulsar Aut"/>
      </sharedItems>
    </cacheField>
    <cacheField name="Segment" numFmtId="0">
      <sharedItems count="4">
        <s v="C"/>
        <s v="D"/>
        <s v="A"/>
        <s v="B"/>
      </sharedItems>
    </cacheField>
    <cacheField name="Basisprijs" numFmtId="0">
      <sharedItems containsString="0" containsBlank="1" containsNumber="1" containsInteger="1" minValue="11350" maxValue="48990"/>
    </cacheField>
    <cacheField name="BTW component" numFmtId="0">
      <sharedItems containsString="0" containsBlank="1" containsNumber="1" containsInteger="1" minValue="1899" maxValue="15400"/>
    </cacheField>
    <cacheField name="Aanschafwaarde" numFmtId="0">
      <sharedItems containsString="0" containsBlank="1" containsNumber="1" containsInteger="1" minValue="6200" maxValue="41990"/>
    </cacheField>
    <cacheField name="Restwaarde" numFmtId="0">
      <sharedItems containsString="0" containsBlank="1" containsNumber="1" containsInteger="1" minValue="1150" maxValue="20300"/>
    </cacheField>
    <cacheField name="Afschrijving" numFmtId="0">
      <sharedItems containsString="0" containsBlank="1" containsNumber="1" minValue="1164" maxValue="6060"/>
    </cacheField>
    <cacheField name="Totaal km" numFmtId="0">
      <sharedItems containsString="0" containsBlank="1" containsNumber="1" containsInteger="1" minValue="48000" maxValue="200000"/>
    </cacheField>
    <cacheField name="Leeftijd" numFmtId="0">
      <sharedItems containsSemiMixedTypes="0" containsString="0" containsNumber="1" containsInteger="1" minValue="4" maxValue="8"/>
    </cacheField>
    <cacheField name="Aanschafprijs" numFmtId="0">
      <sharedItems containsSemiMixedTypes="0" containsString="0" containsNumber="1" containsInteger="1" minValue="6200" maxValue="48990"/>
    </cacheField>
    <cacheField name="Jaarkm" numFmtId="0">
      <sharedItems containsString="0" containsBlank="1" containsNumber="1" containsInteger="1" minValue="12000" maxValue="35000"/>
    </cacheField>
    <cacheField name="Restwaarde2" numFmtId="0">
      <sharedItems containsSemiMixedTypes="0" containsString="0" containsNumber="1" containsInteger="1" minValue="1150" maxValue="20300"/>
    </cacheField>
    <cacheField name="Restwaarde%" numFmtId="9">
      <sharedItems containsSemiMixedTypes="0" containsString="0" containsNumber="1" minValue="0.10952380952380952" maxValue="0.601421541826134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s v="Scenario 1"/>
    <x v="0"/>
    <s v="PHEV's"/>
    <x v="0"/>
    <x v="0"/>
    <n v="34900"/>
    <n v="5999"/>
    <n v="34900"/>
    <n v="13350"/>
    <n v="5925"/>
    <n v="60000"/>
    <n v="4"/>
    <n v="34900"/>
    <n v="15000"/>
    <n v="13350"/>
    <n v="0.38252148997134672"/>
  </r>
  <r>
    <s v="Scenario 1"/>
    <x v="1"/>
    <s v="Benzine"/>
    <x v="1"/>
    <x v="0"/>
    <n v="25395"/>
    <n v="3735"/>
    <n v="25395"/>
    <n v="13750"/>
    <n v="3315"/>
    <n v="60000"/>
    <n v="4"/>
    <n v="25395"/>
    <n v="15000"/>
    <n v="13750"/>
    <n v="0.54144516637133289"/>
  </r>
  <r>
    <s v="Scenario 1"/>
    <x v="2"/>
    <s v="PHEV's"/>
    <x v="2"/>
    <x v="0"/>
    <n v="34450"/>
    <n v="5898"/>
    <n v="34450"/>
    <n v="13350"/>
    <n v="5745"/>
    <n v="60000"/>
    <n v="4"/>
    <n v="34450"/>
    <n v="15000"/>
    <n v="13350"/>
    <n v="0.38751814223512338"/>
  </r>
  <r>
    <s v="Scenario 1"/>
    <x v="3"/>
    <s v="Benzine"/>
    <x v="3"/>
    <x v="0"/>
    <n v="29550"/>
    <n v="4893"/>
    <n v="29550"/>
    <n v="11950"/>
    <n v="4815"/>
    <n v="60000"/>
    <n v="4"/>
    <n v="29550"/>
    <n v="15000"/>
    <n v="11950"/>
    <n v="0.40439932318104904"/>
  </r>
  <r>
    <s v="Scenario 1"/>
    <x v="4"/>
    <s v="PHEV's"/>
    <x v="4"/>
    <x v="1"/>
    <n v="41990"/>
    <n v="7213"/>
    <n v="41990"/>
    <n v="20300"/>
    <n v="6060"/>
    <n v="60000"/>
    <n v="4"/>
    <n v="41990"/>
    <n v="15000"/>
    <n v="20300"/>
    <n v="0.48344844010478688"/>
  </r>
  <r>
    <s v="Scenario 1"/>
    <x v="5"/>
    <s v="Benzine"/>
    <x v="5"/>
    <x v="1"/>
    <n v="32490"/>
    <n v="4493"/>
    <n v="32490"/>
    <n v="15100"/>
    <n v="4815"/>
    <n v="60000"/>
    <n v="4"/>
    <n v="32490"/>
    <n v="15000"/>
    <n v="15100"/>
    <n v="0.46475838719606033"/>
  </r>
  <r>
    <s v="Scenario 1"/>
    <x v="6"/>
    <s v="FEV's"/>
    <x v="6"/>
    <x v="2"/>
    <n v="28990"/>
    <n v="5031"/>
    <n v="28990"/>
    <n v="10100"/>
    <n v="5124"/>
    <n v="48000"/>
    <n v="4"/>
    <n v="28990"/>
    <n v="12000"/>
    <n v="10100"/>
    <n v="0.34839599862021386"/>
  </r>
  <r>
    <s v="Scenario 1"/>
    <x v="7"/>
    <s v="Benzine"/>
    <x v="7"/>
    <x v="2"/>
    <n v="12210"/>
    <n v="1899"/>
    <n v="12210"/>
    <n v="5700"/>
    <n v="1788"/>
    <n v="48000"/>
    <n v="4"/>
    <n v="12210"/>
    <n v="12000"/>
    <n v="5700"/>
    <n v="0.46683046683046681"/>
  </r>
  <r>
    <s v="Scenario 1"/>
    <x v="8"/>
    <s v="FEV's"/>
    <x v="8"/>
    <x v="3"/>
    <n v="20990"/>
    <n v="3643"/>
    <n v="20990"/>
    <n v="8600"/>
    <n v="3396"/>
    <n v="48000"/>
    <n v="4"/>
    <n v="20990"/>
    <n v="12000"/>
    <n v="8600"/>
    <n v="0.40971891376846115"/>
  </r>
  <r>
    <s v="Scenario 1"/>
    <x v="9"/>
    <s v="Benzine"/>
    <x v="9"/>
    <x v="3"/>
    <n v="18490"/>
    <n v="2797"/>
    <n v="18490"/>
    <n v="9700"/>
    <n v="2496"/>
    <n v="48000"/>
    <n v="4"/>
    <n v="18490"/>
    <n v="12000"/>
    <n v="9700"/>
    <n v="0.52460789616008652"/>
  </r>
  <r>
    <s v="Scenario 1"/>
    <x v="10"/>
    <s v="FEV's"/>
    <x v="10"/>
    <x v="0"/>
    <n v="35225"/>
    <n v="6113"/>
    <n v="35225"/>
    <n v="13350"/>
    <n v="5976"/>
    <n v="48000"/>
    <n v="4"/>
    <n v="35225"/>
    <n v="12000"/>
    <n v="13350"/>
    <n v="0.37899219304471254"/>
  </r>
  <r>
    <s v="Scenario 1"/>
    <x v="11"/>
    <s v="Benzine"/>
    <x v="11"/>
    <x v="0"/>
    <n v="26890"/>
    <n v="3951"/>
    <n v="26890"/>
    <n v="12350"/>
    <n v="4008"/>
    <n v="48000"/>
    <n v="4"/>
    <n v="26890"/>
    <n v="12000"/>
    <n v="12350"/>
    <n v="0.45927854220899961"/>
  </r>
  <r>
    <s v="Scenario 2"/>
    <x v="12"/>
    <s v="PHEV's"/>
    <x v="0"/>
    <x v="0"/>
    <n v="39900"/>
    <m/>
    <n v="12700"/>
    <n v="1950"/>
    <n v="2790"/>
    <n v="200000"/>
    <n v="8"/>
    <n v="12700"/>
    <m/>
    <n v="1950"/>
    <n v="0.15354330708661418"/>
  </r>
  <r>
    <s v="Scenario 2"/>
    <x v="13"/>
    <s v="Benzine"/>
    <x v="1"/>
    <x v="0"/>
    <n v="25595"/>
    <m/>
    <n v="12300"/>
    <n v="4000"/>
    <n v="2190"/>
    <n v="200000"/>
    <n v="8"/>
    <n v="12300"/>
    <m/>
    <n v="4000"/>
    <n v="0.32520325203252032"/>
  </r>
  <r>
    <s v="Scenario 2"/>
    <x v="14"/>
    <s v="PHEV's"/>
    <x v="2"/>
    <x v="0"/>
    <n v="39645"/>
    <m/>
    <n v="15200"/>
    <n v="3750"/>
    <n v="3000"/>
    <n v="200000"/>
    <n v="8"/>
    <n v="15200"/>
    <m/>
    <n v="3750"/>
    <n v="0.24671052631578946"/>
  </r>
  <r>
    <s v="Scenario 2"/>
    <x v="15"/>
    <s v="Benzine"/>
    <x v="3"/>
    <x v="0"/>
    <n v="30850"/>
    <m/>
    <n v="13400"/>
    <n v="3150"/>
    <n v="2685"/>
    <n v="200000"/>
    <n v="8"/>
    <n v="13400"/>
    <m/>
    <n v="3150"/>
    <n v="0.23507462686567165"/>
  </r>
  <r>
    <s v="Scenario 2"/>
    <x v="16"/>
    <s v="PHEV's"/>
    <x v="4"/>
    <x v="1"/>
    <n v="48990"/>
    <m/>
    <n v="17000"/>
    <n v="6900"/>
    <n v="2700"/>
    <n v="200000"/>
    <n v="8"/>
    <n v="17000"/>
    <m/>
    <n v="6900"/>
    <n v="0.40588235294117647"/>
  </r>
  <r>
    <s v="Scenario 2"/>
    <x v="17"/>
    <s v="Benzine"/>
    <x v="5"/>
    <x v="1"/>
    <n v="38690"/>
    <m/>
    <n v="16000"/>
    <n v="5650"/>
    <n v="2745"/>
    <n v="200000"/>
    <n v="8"/>
    <n v="16000"/>
    <m/>
    <n v="5650"/>
    <n v="0.35312500000000002"/>
  </r>
  <r>
    <s v="Scenario 2"/>
    <x v="18"/>
    <s v="FEV's"/>
    <x v="6"/>
    <x v="2"/>
    <n v="29990"/>
    <n v="10500"/>
    <n v="10500"/>
    <n v="1150"/>
    <n v="2424"/>
    <n v="128000"/>
    <n v="8"/>
    <n v="10500"/>
    <m/>
    <n v="1150"/>
    <n v="0.10952380952380952"/>
  </r>
  <r>
    <s v="Scenario 2"/>
    <x v="19"/>
    <s v="Benzine"/>
    <x v="7"/>
    <x v="2"/>
    <n v="11350"/>
    <n v="6200"/>
    <n v="6200"/>
    <n v="1800"/>
    <n v="1164"/>
    <n v="128000"/>
    <n v="8"/>
    <n v="6200"/>
    <m/>
    <n v="1800"/>
    <n v="0.29032258064516131"/>
  </r>
  <r>
    <s v="Scenario 2"/>
    <x v="20"/>
    <s v="FEV's"/>
    <x v="8"/>
    <x v="3"/>
    <n v="20990"/>
    <n v="9000"/>
    <n v="9000"/>
    <n v="1600"/>
    <n v="1932.0000000000002"/>
    <n v="128000"/>
    <n v="8"/>
    <n v="9000"/>
    <m/>
    <n v="1600"/>
    <n v="0.17777777777777778"/>
  </r>
  <r>
    <s v="Scenario 2"/>
    <x v="21"/>
    <s v="Benzine"/>
    <x v="9"/>
    <x v="3"/>
    <n v="18290"/>
    <n v="11000"/>
    <n v="11000"/>
    <n v="4050"/>
    <n v="1848"/>
    <n v="128000"/>
    <n v="8"/>
    <n v="11000"/>
    <m/>
    <n v="4050"/>
    <n v="0.36818181818181817"/>
  </r>
  <r>
    <s v="Scenario 2"/>
    <x v="22"/>
    <s v="FEV's"/>
    <x v="10"/>
    <x v="0"/>
    <n v="32590"/>
    <n v="15400"/>
    <n v="15400"/>
    <n v="2200"/>
    <n v="3432"/>
    <n v="128000"/>
    <n v="8"/>
    <n v="15400"/>
    <m/>
    <n v="2200"/>
    <n v="0.14285714285714285"/>
  </r>
  <r>
    <s v="Scenario 2"/>
    <x v="23"/>
    <s v="Benzine"/>
    <x v="11"/>
    <x v="0"/>
    <n v="22636"/>
    <n v="12400"/>
    <n v="12400"/>
    <n v="5350"/>
    <n v="1896"/>
    <n v="128000"/>
    <n v="8"/>
    <n v="12400"/>
    <m/>
    <n v="5350"/>
    <n v="0.43145161290322581"/>
  </r>
  <r>
    <s v="Scenario 2b"/>
    <x v="24"/>
    <s v="PHEV's"/>
    <x v="0"/>
    <x v="0"/>
    <m/>
    <m/>
    <m/>
    <m/>
    <m/>
    <m/>
    <n v="4"/>
    <n v="39900"/>
    <n v="35000"/>
    <n v="12700"/>
    <n v="0.31829573934837091"/>
  </r>
  <r>
    <s v="Scenario 2b"/>
    <x v="25"/>
    <s v="Benzine"/>
    <x v="1"/>
    <x v="0"/>
    <m/>
    <m/>
    <m/>
    <m/>
    <m/>
    <m/>
    <n v="4"/>
    <n v="25595"/>
    <n v="35000"/>
    <n v="12300"/>
    <n v="0.48056260988474314"/>
  </r>
  <r>
    <s v="Scenario 2b"/>
    <x v="26"/>
    <s v="PHEV's"/>
    <x v="2"/>
    <x v="0"/>
    <m/>
    <m/>
    <m/>
    <m/>
    <m/>
    <m/>
    <n v="4"/>
    <n v="39645"/>
    <n v="35000"/>
    <n v="15200"/>
    <n v="0.38340269895320972"/>
  </r>
  <r>
    <s v="Scenario 2b"/>
    <x v="27"/>
    <s v="Benzine"/>
    <x v="3"/>
    <x v="0"/>
    <m/>
    <m/>
    <m/>
    <m/>
    <m/>
    <m/>
    <n v="4"/>
    <n v="30850"/>
    <n v="35000"/>
    <n v="13400"/>
    <n v="0.43435980551053482"/>
  </r>
  <r>
    <s v="Scenario 2b"/>
    <x v="28"/>
    <s v="PHEV's"/>
    <x v="4"/>
    <x v="1"/>
    <m/>
    <m/>
    <m/>
    <m/>
    <m/>
    <m/>
    <n v="4"/>
    <n v="48990"/>
    <n v="35000"/>
    <n v="17000"/>
    <n v="0.34700959379465196"/>
  </r>
  <r>
    <s v="Scenario 2b"/>
    <x v="29"/>
    <s v="Benzine"/>
    <x v="5"/>
    <x v="1"/>
    <m/>
    <m/>
    <m/>
    <m/>
    <m/>
    <m/>
    <n v="4"/>
    <n v="38690"/>
    <n v="35000"/>
    <n v="16000"/>
    <n v="0.41354355130524684"/>
  </r>
  <r>
    <s v="Scenario 2b"/>
    <x v="30"/>
    <s v="FEV's"/>
    <x v="6"/>
    <x v="2"/>
    <m/>
    <m/>
    <m/>
    <m/>
    <m/>
    <m/>
    <n v="4"/>
    <n v="29990"/>
    <n v="20000"/>
    <n v="10500"/>
    <n v="0.35011670556852287"/>
  </r>
  <r>
    <s v="Scenario 2b"/>
    <x v="31"/>
    <s v="Benzine"/>
    <x v="7"/>
    <x v="2"/>
    <m/>
    <m/>
    <m/>
    <m/>
    <m/>
    <m/>
    <n v="4"/>
    <n v="11350"/>
    <n v="20000"/>
    <n v="6200"/>
    <n v="0.54625550660792954"/>
  </r>
  <r>
    <s v="Scenario 2b"/>
    <x v="32"/>
    <s v="FEV's"/>
    <x v="8"/>
    <x v="3"/>
    <m/>
    <m/>
    <m/>
    <m/>
    <m/>
    <m/>
    <n v="4"/>
    <n v="20990"/>
    <n v="20000"/>
    <n v="9000"/>
    <n v="0.42877560743211052"/>
  </r>
  <r>
    <s v="Scenario 2b"/>
    <x v="33"/>
    <s v="Benzine"/>
    <x v="9"/>
    <x v="3"/>
    <m/>
    <m/>
    <m/>
    <m/>
    <m/>
    <m/>
    <n v="4"/>
    <n v="18290"/>
    <n v="20000"/>
    <n v="11000"/>
    <n v="0.6014215418261345"/>
  </r>
  <r>
    <s v="Scenario 2b"/>
    <x v="34"/>
    <s v="FEV's"/>
    <x v="10"/>
    <x v="0"/>
    <m/>
    <m/>
    <m/>
    <m/>
    <m/>
    <m/>
    <n v="4"/>
    <n v="32590"/>
    <n v="20000"/>
    <n v="15400"/>
    <n v="0.47253758821724456"/>
  </r>
  <r>
    <s v="Scenario 2b"/>
    <x v="35"/>
    <s v="Benzine"/>
    <x v="11"/>
    <x v="0"/>
    <m/>
    <m/>
    <m/>
    <m/>
    <m/>
    <m/>
    <n v="4"/>
    <n v="22636"/>
    <n v="20000"/>
    <n v="12400"/>
    <n v="0.54779996465806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Draaitabel1" cacheId="0" applyNumberFormats="0" applyBorderFormats="0" applyFontFormats="0" applyPatternFormats="0" applyAlignmentFormats="0" applyWidthHeightFormats="1" dataCaption="Waarden" updatedVersion="4" minRefreshableVersion="3" itemPrintTitles="1" createdVersion="4" indent="0" compact="0" compactData="0" gridDropZones="1" multipleFieldFilters="0">
  <location ref="Y425:AD463" firstHeaderRow="1" firstDataRow="2" firstDataCol="1" rowPageCount="1" colPageCount="1"/>
  <pivotFields count="16">
    <pivotField compact="0" outline="0" showAll="0"/>
    <pivotField axis="axisRow" compact="0" outline="0" showAll="0" defaultSubtota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compact="0" outline="0" showAll="0"/>
    <pivotField axis="axisPage" compact="0" outline="0" showAll="0">
      <items count="13">
        <item x="7"/>
        <item x="6"/>
        <item x="5"/>
        <item x="4"/>
        <item x="10"/>
        <item x="11"/>
        <item x="0"/>
        <item x="1"/>
        <item x="9"/>
        <item x="8"/>
        <item x="3"/>
        <item x="2"/>
        <item t="default"/>
      </items>
    </pivotField>
    <pivotField axis="axisCol" compact="0" outline="0" showAll="0">
      <items count="5">
        <item x="2"/>
        <item x="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9" outline="0" showAl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4"/>
  </colFields>
  <colItems count="5">
    <i>
      <x/>
    </i>
    <i>
      <x v="1"/>
    </i>
    <i>
      <x v="2"/>
    </i>
    <i>
      <x v="3"/>
    </i>
    <i t="grand">
      <x/>
    </i>
  </colItems>
  <pageFields count="1">
    <pageField fld="3" hier="-1"/>
  </pageFields>
  <dataFields count="1">
    <dataField name="Som van Restwaarde%"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15FC4C-C8DD-4B96-98BF-1464565982F9}" name="kosten_thuislader" displayName="kosten_thuislader" ref="B253:C279" totalsRowShown="0" headerRowBorderDxfId="78" tableBorderDxfId="77">
  <autoFilter ref="B253:C279" xr:uid="{7015FC4C-C8DD-4B96-98BF-1464565982F9}"/>
  <tableColumns count="2">
    <tableColumn id="1" xr3:uid="{8097D602-4B36-4798-BB3E-7BA5D0443812}" name="Jaar" dataDxfId="76"/>
    <tableColumn id="2" xr3:uid="{688708E0-636F-44EF-B8F3-2001879E71EB}" name="Kosten" dataDxfId="75">
      <calculatedColumnFormula>$C$261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50E3650-FB0C-4089-9CB5-524BDE5A03B2}" name="Tabel3" displayName="Tabel3" ref="B27:T67" totalsRowShown="0" headerRowDxfId="74" dataDxfId="73" tableBorderDxfId="72">
  <autoFilter ref="B27:T67" xr:uid="{250E3650-FB0C-4089-9CB5-524BDE5A03B2}"/>
  <tableColumns count="19">
    <tableColumn id="1" xr3:uid="{95AF46CF-C46E-4E93-8D82-9836654B6CBE}" name="Type" dataDxfId="71"/>
    <tableColumn id="2" xr3:uid="{40960BE9-5AD3-41BD-B18F-CE3746123D01}" name="Bron" dataDxfId="70"/>
    <tableColumn id="3" xr3:uid="{54AA6805-7440-4F4C-8320-84035DADBD4A}" name="Naam voertuig" dataDxfId="69">
      <calculatedColumnFormula>G28&amp;" - "&amp;F28</calculatedColumnFormula>
    </tableColumn>
    <tableColumn id="4" xr3:uid="{1065B412-5F82-48E5-86FF-DD5AFEF7EF80}" name="Voertuigtype" dataDxfId="68"/>
    <tableColumn id="5" xr3:uid="{2E0E339F-ADDA-4E29-AB47-2B2E87C6F3BB}" name="Segment" dataDxfId="67"/>
    <tableColumn id="6" xr3:uid="{198F8C8F-0CF4-44E6-98ED-ECCCCFCD0C51}" name="Brandstoftype" dataDxfId="66"/>
    <tableColumn id="7" xr3:uid="{0CB6DBCD-63FB-47CB-AF9E-46BAC8383D1A}" name="Bouwjaar" dataDxfId="65"/>
    <tableColumn id="8" xr3:uid="{B1E977E0-4AAB-4ABB-9EA5-3179CAB7CC1E}" name="Consumentenprijs (incl btw, bpm)" dataDxfId="64"/>
    <tableColumn id="9" xr3:uid="{910A501C-E6D9-491D-A537-5E508CEB0DCF}" name="CO2 testwaarde" dataDxfId="63"/>
    <tableColumn id="10" xr3:uid="{73854F73-3E61-4B01-8609-38929FB2640E}" name="afschrijving na 6 jaar" dataDxfId="62"/>
    <tableColumn id="11" xr3:uid="{5CAE2146-31B9-4AC6-A7C2-670B80C1AA3F}" name="massa (kg)" dataDxfId="61"/>
    <tableColumn id="12" xr3:uid="{ACF7965F-94CB-4E37-AB31-8592CFE16ACE}" name="testverbruik Elektrisch" dataDxfId="60"/>
    <tableColumn id="13" xr3:uid="{32E755C6-5BF4-4B87-8D45-A556916CB75B}" name="reparatie en onderhoud" dataDxfId="59"/>
    <tableColumn id="14" xr3:uid="{DB0D5955-1133-4224-A134-E60D32D46FDF}" name="banden" dataDxfId="58"/>
    <tableColumn id="15" xr3:uid="{C89F0B31-13D1-42C2-83ED-B1DF0BA1D575}" name="verzekering" dataDxfId="57"/>
    <tableColumn id="16" xr3:uid="{FBC9BAE3-7C60-47CB-8916-C1F7EA153C84}" name="Looptijd in jaren" dataDxfId="56"/>
    <tableColumn id="17" xr3:uid="{737E7A21-57B3-4E3A-B424-26B732793474}" name="Jaarkilometrage" dataDxfId="55"/>
    <tableColumn id="18" xr3:uid="{512B93E0-EB89-422F-A9A3-8B366984133B}" name="Volume tank" dataDxfId="54"/>
    <tableColumn id="19" xr3:uid="{E81CC8A8-5461-4033-8801-CFBA68FF7C48}" name="Batterijcapaciteit" dataDxfId="5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B4:P83" totalsRowShown="0">
  <autoFilter ref="B4:P83" xr:uid="{00000000-0009-0000-0100-000001000000}"/>
  <sortState xmlns:xlrd2="http://schemas.microsoft.com/office/spreadsheetml/2017/richdata2" ref="B4:P82">
    <sortCondition ref="D3:D82"/>
  </sortState>
  <tableColumns count="15">
    <tableColumn id="1" xr3:uid="{00000000-0010-0000-0100-000001000000}" name="Segment"/>
    <tableColumn id="15" xr3:uid="{00000000-0010-0000-0100-00000F000000}" name="Bron"/>
    <tableColumn id="2" xr3:uid="{00000000-0010-0000-0100-000002000000}" name="Brandstof"/>
    <tableColumn id="3" xr3:uid="{00000000-0010-0000-0100-000003000000}" name="Naam"/>
    <tableColumn id="4" xr3:uid="{00000000-0010-0000-0100-000004000000}" name="Details"/>
    <tableColumn id="5" xr3:uid="{00000000-0010-0000-0100-000005000000}" name="prijs excl btw, bpm" dataDxfId="52"/>
    <tableColumn id="6" xr3:uid="{00000000-0010-0000-0100-000006000000}" name="Motorvermogen (kW)"/>
    <tableColumn id="7" xr3:uid="{00000000-0010-0000-0100-000007000000}" name="Acceleratie van 0-100 km/u"/>
    <tableColumn id="8" xr3:uid="{00000000-0010-0000-0100-000008000000}" name="Koffer-inhoud (l)"/>
    <tableColumn id="9" xr3:uid="{00000000-0010-0000-0100-000009000000}" name="Cilinderinhoud (cc)"/>
    <tableColumn id="10" xr3:uid="{00000000-0010-0000-0100-00000A000000}" name="Batterijcapaciteit (kWh)"/>
    <tableColumn id="11" xr3:uid="{00000000-0010-0000-0100-00000B000000}" name="Inhoud brandstoftank(s) (liter)"/>
    <tableColumn id="12" xr3:uid="{00000000-0010-0000-0100-00000C000000}" name="Berekend verbruik per 100 km (l)"/>
    <tableColumn id="13" xr3:uid="{00000000-0010-0000-0100-00000D000000}" name="Berekend verbruik per 100 km (kWh)"/>
    <tableColumn id="14" xr3:uid="{00000000-0010-0000-0100-00000E000000}" name="Berekend rijbereik (km)" dataDxfId="51">
      <calculatedColumnFormula>IFERROR(M5/N5*100,0)+IFERROR(L5/O5*100,0)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7EFD548-967E-4FC9-B101-246BA905D2F1}" name="Tabel15" displayName="Tabel15" ref="B148:W154" totalsRowShown="0">
  <autoFilter ref="B148:W154" xr:uid="{A7EFD548-967E-4FC9-B101-246BA905D2F1}"/>
  <tableColumns count="22">
    <tableColumn id="1" xr3:uid="{D2D00D0D-3F9C-41D9-8370-D1975C2CBACE}" name="Kolom1"/>
    <tableColumn id="11" xr3:uid="{37141129-3A9D-4EE2-BC60-E0B632584505}" name="jan-23"/>
    <tableColumn id="10" xr3:uid="{25EB1495-9278-4F59-B254-60C44F7F504C}" name="jul-23"/>
    <tableColumn id="2" xr3:uid="{76E88224-8DE9-4CB6-A50A-97DA6D898FA7}" name="2023 niet verlaagd " dataDxfId="50"/>
    <tableColumn id="12" xr3:uid="{2F71855A-921E-4CFA-AF90-C4ADC6C320DF}" name="2024" dataDxfId="49">
      <calculatedColumnFormula>Tabel15[[#This Row],[jul-23]]</calculatedColumnFormula>
    </tableColumn>
    <tableColumn id="3" xr3:uid="{B89E7413-4564-45BE-9A70-53E71A2103E5}" name="2024 niet verlaagd " dataDxfId="48"/>
    <tableColumn id="4" xr3:uid="{3D3BD775-A8A5-4A94-ABC1-80CFA7A46764}" name="2025" dataDxfId="47"/>
    <tableColumn id="5" xr3:uid="{F6468503-239A-47C7-962D-40CAE771749C}" name="2026" dataDxfId="46"/>
    <tableColumn id="6" xr3:uid="{C3070619-FCFB-4CA5-9878-3D3FF5C6A315}" name="2027" dataDxfId="45"/>
    <tableColumn id="7" xr3:uid="{8A9526AA-2B56-4232-ABAA-D5D88E358C18}" name="2028" dataDxfId="44"/>
    <tableColumn id="8" xr3:uid="{74F8644A-FDBD-4976-A7E4-9125171F14E2}" name="2029" dataDxfId="43"/>
    <tableColumn id="9" xr3:uid="{AD3F050E-8D23-4448-BF82-5C0999C77410}" name="2030" dataDxfId="42"/>
    <tableColumn id="14" xr3:uid="{313D56A3-4451-4C3C-BA62-60129508D621}" name="2031" dataDxfId="41"/>
    <tableColumn id="15" xr3:uid="{DBDC5FC6-634B-448E-97EC-2E1CD652C9E4}" name="2032" dataDxfId="40"/>
    <tableColumn id="16" xr3:uid="{7C3FE27A-1283-4896-AC5A-E8333EC7F101}" name="2033" dataDxfId="39"/>
    <tableColumn id="17" xr3:uid="{3F850C43-6B10-4E54-BCEC-8ADE894DB0A7}" name="2034" dataDxfId="38"/>
    <tableColumn id="18" xr3:uid="{D0502189-726A-41DF-AEE1-1F016380AB73}" name="2035" dataDxfId="37"/>
    <tableColumn id="19" xr3:uid="{AD0EF6BC-7133-454F-8572-09EDF7E43976}" name="2036" dataDxfId="36"/>
    <tableColumn id="20" xr3:uid="{5B621427-A959-452A-AAA1-A802C067E8D3}" name="2037" dataDxfId="35"/>
    <tableColumn id="21" xr3:uid="{157AED87-F299-4ED9-A519-C1E1427B13D5}" name="2038" dataDxfId="34"/>
    <tableColumn id="22" xr3:uid="{6CD05407-F0E3-4631-95E5-2F483445B3C6}" name="2039" dataDxfId="33"/>
    <tableColumn id="23" xr3:uid="{70CA2A1A-1D0F-41DC-A41E-BD824C5F2D93}" name="2040" dataDxfId="32"/>
  </tableColumns>
  <tableStyleInfo name="TableStyleMedium2" showFirstColumn="0" showLastColumn="0" showRowStripes="1" showColumnStripes="0"/>
</table>
</file>

<file path=xl/theme/theme1.xml><?xml version="1.0" encoding="utf-8"?>
<a:theme xmlns:a="http://schemas.openxmlformats.org/drawingml/2006/main" name="Thema CE Delft">
  <a:themeElements>
    <a:clrScheme name="Kleuren CE Delft">
      <a:dk1>
        <a:srgbClr val="000000"/>
      </a:dk1>
      <a:lt1>
        <a:srgbClr val="FFFFFF"/>
      </a:lt1>
      <a:dk2>
        <a:srgbClr val="000000"/>
      </a:dk2>
      <a:lt2>
        <a:srgbClr val="FFFFFF"/>
      </a:lt2>
      <a:accent1>
        <a:srgbClr val="009DD8"/>
      </a:accent1>
      <a:accent2>
        <a:srgbClr val="8DD3FF"/>
      </a:accent2>
      <a:accent3>
        <a:srgbClr val="FFDB00"/>
      </a:accent3>
      <a:accent4>
        <a:srgbClr val="009133"/>
      </a:accent4>
      <a:accent5>
        <a:srgbClr val="70C82F"/>
      </a:accent5>
      <a:accent6>
        <a:srgbClr val="344893"/>
      </a:accent6>
      <a:hlink>
        <a:srgbClr val="009DD8"/>
      </a:hlink>
      <a:folHlink>
        <a:srgbClr val="009DD8"/>
      </a:folHlink>
    </a:clrScheme>
    <a:fontScheme name="Lettertypen CE Delft">
      <a:majorFont>
        <a:latin typeface="Trebuchet MS"/>
        <a:ea typeface=""/>
        <a:cs typeface=""/>
      </a:majorFont>
      <a:minorFont>
        <a:latin typeface="Trebuchet MS"/>
        <a:ea typeface=""/>
        <a:cs typeface=""/>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Kleur 1">
      <a:srgbClr val="009DD8"/>
    </a:custClr>
    <a:custClr name="Kleur 2">
      <a:srgbClr val="8DD3FF"/>
    </a:custClr>
    <a:custClr name="Kleur 3">
      <a:srgbClr val="FFDB00"/>
    </a:custClr>
    <a:custClr name="Kleur 4">
      <a:srgbClr val="009133"/>
    </a:custClr>
    <a:custClr name="Kleur 5">
      <a:srgbClr val="70C82F"/>
    </a:custClr>
    <a:custClr name="Kleur 6">
      <a:srgbClr val="344893"/>
    </a:custClr>
    <a:custClr>
      <a:srgbClr val="FFFFFF"/>
    </a:custClr>
    <a:custClr>
      <a:srgbClr val="FFFFFF"/>
    </a:custClr>
    <a:custClr>
      <a:srgbClr val="FFFFFF"/>
    </a:custClr>
    <a:custClr>
      <a:srgbClr val="FFFFFF"/>
    </a:custClr>
    <a:custClr name="Rasterlijnen">
      <a:srgbClr val="D9D9D9"/>
    </a:custClr>
    <a:custClr name="Tekstvlakken">
      <a:srgbClr val="B9E4FF"/>
    </a:custClr>
    <a:custClr name="Pijlen">
      <a:srgbClr val="A6A6A6"/>
    </a:custClr>
    <a:custClr>
      <a:srgbClr val="FFFFFF"/>
    </a:custClr>
    <a:custClr>
      <a:srgbClr val="FFFFFF"/>
    </a:custClr>
    <a:custClr>
      <a:srgbClr val="FFFFFF"/>
    </a:custClr>
    <a:custClr>
      <a:srgbClr val="FFFFFF"/>
    </a:custClr>
    <a:custClr>
      <a:srgbClr val="FFFFFF"/>
    </a:custClr>
    <a:custClr>
      <a:srgbClr val="FFFFFF"/>
    </a:custClr>
    <a:custClr>
      <a:srgbClr val="FFFFFF"/>
    </a:custClr>
    <a:custClr name="Steunkleur 1">
      <a:srgbClr val="F79646"/>
    </a:custClr>
    <a:custClr name="Steunkleur 2">
      <a:srgbClr val="FF0000"/>
    </a:custClr>
    <a:custClr name="Steunkleur 3">
      <a:srgbClr val="009C9E"/>
    </a:custClr>
    <a:custClr name="Steunkleur 4">
      <a:srgbClr val="41C4B3"/>
    </a:custClr>
    <a:custClr name="Steunkleur 5">
      <a:srgbClr val="902B8F"/>
    </a:custClr>
    <a:custClr name="Steunkleur 6">
      <a:srgbClr val="B55CAA"/>
    </a:custClr>
    <a:custClr name="Steunkleur 7">
      <a:srgbClr val="F27221"/>
    </a:custClr>
    <a:custClr>
      <a:srgbClr val="FFFFFF"/>
    </a:custClr>
    <a:custClr>
      <a:srgbClr val="FFFFFF"/>
    </a:custClr>
    <a:custClr>
      <a:srgbClr val="FFFFFF"/>
    </a:custClr>
  </a:custClr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45" dT="2024-11-14T15:15:40.61" personId="{ABA9ECDE-653D-4AFB-8493-2862E519A636}" id="{634C4268-5FE9-4E24-A25B-E9FB2C0C4AE4}">
    <text>Bij een tweedehands auto wordt de kilometerstand bij aanschaf evenredig verdeeld over de jaren voor de aanschaf. Vanaf de aanschaf wordt hierbij het gegeven jaarkilometrage opgeteld.</text>
  </threadedComment>
  <threadedComment ref="B202" dT="2024-12-06T12:25:13.27" personId="{ABA9ECDE-653D-4AFB-8493-2862E519A636}" id="{4CEAC04F-75BB-47BF-8806-430BC791FCB8}">
    <text xml:space="preserve">Handreiking Total cost of ownership-berekening voor personenauto's 2024 </text>
    <extLst>
      <x:ext xmlns:xltc2="http://schemas.microsoft.com/office/spreadsheetml/2020/threadedcomments2" uri="{F7C98A9C-CBB3-438F-8F68-D28B6AF4A901}">
        <xltc2:checksum>3759218496</xltc2:checksum>
        <xltc2:hyperlink startIndex="0" length="71" url="https://www.rvo.nl/sites/default/files/2024-06/handreiking-total-cost-of-ownership-tco-berekening-voor-personenauto%27s-juni-2024.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T25" dT="2025-02-19T09:47:01.05" personId="{ABA9ECDE-653D-4AFB-8493-2862E519A636}" id="{F3AC2D4F-E343-4837-81A1-80A3DBD5653A}">
    <text xml:space="preserve">Handmatig gelijk aan 2025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www.transportenvironment.org/wp-content/uploads/2021/08/2021_05_05_Electric_vehicle_price_parity_and_adoption_in_Europe_Final.pdf" TargetMode="External"/><Relationship Id="rId7" Type="http://schemas.openxmlformats.org/officeDocument/2006/relationships/hyperlink" Target="https://publications.tno.nl/publication/34642358/YuUfgl/TNO-2023-R12726.pdf" TargetMode="External"/><Relationship Id="rId12" Type="http://schemas.openxmlformats.org/officeDocument/2006/relationships/comments" Target="../comments3.xml"/><Relationship Id="rId2" Type="http://schemas.openxmlformats.org/officeDocument/2006/relationships/hyperlink" Target="https://www.exchangerates.org.uk/EUR-USD-spot-exchange-rates-history-2023.html" TargetMode="External"/><Relationship Id="rId1" Type="http://schemas.openxmlformats.org/officeDocument/2006/relationships/hyperlink" Target="file:///C:\Users\dvs\AppData\Local\Microsoft\Excel\CE%20Delft\240279%20-%20TCO%20model%20taxi's%20-%20Intern\2.%20Literatuur\TNO-2022-R10409.pdf" TargetMode="External"/><Relationship Id="rId6" Type="http://schemas.openxmlformats.org/officeDocument/2006/relationships/hyperlink" Target="https://climate.ec.europa.eu/document/download/b644dafe-1385-4b56-98d9-21e7e9f3601b_en?filename=report.pdf" TargetMode="External"/><Relationship Id="rId11" Type="http://schemas.openxmlformats.org/officeDocument/2006/relationships/table" Target="../tables/table1.xml"/><Relationship Id="rId5" Type="http://schemas.openxmlformats.org/officeDocument/2006/relationships/hyperlink" Target="https://www.pbl.nl/system/files/document/2024-10/pbl-2024-revnext-achtergrondrapport-spark-modelanalyses-wagenpark-personenautos-kev-2024_5656.pdf" TargetMode="External"/><Relationship Id="rId10" Type="http://schemas.openxmlformats.org/officeDocument/2006/relationships/vmlDrawing" Target="../drawings/vmlDrawing3.vml"/><Relationship Id="rId4" Type="http://schemas.openxmlformats.org/officeDocument/2006/relationships/hyperlink" Target="https://www.pbl.nl/system/files/document/2024-10/pbl-2024-revnext-achtergrondrapport-spark-modelanalyses-wagenpark-personenautos-kev-2024_5656.pdf" TargetMode="External"/><Relationship Id="rId9"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hyperlink" Target="https://ev-database.nl/auto/1423/Hyundai-Kona-Electric-64-kWh" TargetMode="External"/><Relationship Id="rId13" Type="http://schemas.openxmlformats.org/officeDocument/2006/relationships/hyperlink" Target="https://www.rvo.nl/sites/default/files/2021/10/TrendrapportNederlandse-markt-personenautos-2021.pdf" TargetMode="External"/><Relationship Id="rId3" Type="http://schemas.openxmlformats.org/officeDocument/2006/relationships/hyperlink" Target="https://ev-database.nl/auto/1153/Audi-e-tron-GT-RS" TargetMode="External"/><Relationship Id="rId7" Type="http://schemas.openxmlformats.org/officeDocument/2006/relationships/hyperlink" Target="https://ev-database.nl/auto/1205/Renault-Zoe-ZE50-R135" TargetMode="External"/><Relationship Id="rId12" Type="http://schemas.openxmlformats.org/officeDocument/2006/relationships/hyperlink" Target="https://www.co2emissiefactoren.nl/wp-content/uploads/2020/01/20200121-Notitie-methodiek-CO2-emissiefactoren-personenautos.pdf" TargetMode="External"/><Relationship Id="rId2" Type="http://schemas.openxmlformats.org/officeDocument/2006/relationships/hyperlink" Target="https://ev-database.nl/auto/1555/Tesla-Model-3" TargetMode="External"/><Relationship Id="rId1" Type="http://schemas.openxmlformats.org/officeDocument/2006/relationships/hyperlink" Target="https://ev-database.nl/auto/1487/Polestar-2-Long-Range-Single-Motor" TargetMode="External"/><Relationship Id="rId6" Type="http://schemas.openxmlformats.org/officeDocument/2006/relationships/hyperlink" Target="https://ev-database.nl/auto/1666/Kia-Niro-EV" TargetMode="External"/><Relationship Id="rId11" Type="http://schemas.openxmlformats.org/officeDocument/2006/relationships/hyperlink" Target="https://ev-database.nl/auto/1153/Audi-e-tron-GT-RS" TargetMode="External"/><Relationship Id="rId5" Type="http://schemas.openxmlformats.org/officeDocument/2006/relationships/hyperlink" Target="https://ev-database.nl/auto/1530/Volkswagen-ID3-Pure-Performance" TargetMode="External"/><Relationship Id="rId15" Type="http://schemas.openxmlformats.org/officeDocument/2006/relationships/table" Target="../tables/table2.xml"/><Relationship Id="rId10" Type="http://schemas.openxmlformats.org/officeDocument/2006/relationships/hyperlink" Target="https://ev-database.nl/auto/1705/Dacia-Spring-Electric" TargetMode="External"/><Relationship Id="rId4" Type="http://schemas.openxmlformats.org/officeDocument/2006/relationships/hyperlink" Target="https://ev-database.nl/auto/1405/Tesla-Model-S-Plaid" TargetMode="External"/><Relationship Id="rId9" Type="http://schemas.openxmlformats.org/officeDocument/2006/relationships/hyperlink" Target="https://ev-database.nl/auto/1270/Renault-Twingo-Electric" TargetMode="External"/><Relationship Id="rId1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9.bin"/><Relationship Id="rId1" Type="http://schemas.openxmlformats.org/officeDocument/2006/relationships/pivotTable" Target="../pivotTables/pivotTable1.xml"/><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printerSettings" Target="../printerSettings/printerSettings21.bin"/><Relationship Id="rId7" Type="http://schemas.openxmlformats.org/officeDocument/2006/relationships/comments" Target="../comments6.xml"/><Relationship Id="rId2" Type="http://schemas.openxmlformats.org/officeDocument/2006/relationships/hyperlink" Target="https://www.pbl.nl/sites/default/files/downloads/revnext-2022-achtergrondrapport-modelactualisatie-carbontax-2022-5046.pdf" TargetMode="External"/><Relationship Id="rId1" Type="http://schemas.openxmlformats.org/officeDocument/2006/relationships/hyperlink" Target="https://nl.wikipedia.org/wiki/Benzineaccijns" TargetMode="External"/><Relationship Id="rId6" Type="http://schemas.openxmlformats.org/officeDocument/2006/relationships/table" Target="../tables/table4.xml"/><Relationship Id="rId5" Type="http://schemas.openxmlformats.org/officeDocument/2006/relationships/vmlDrawing" Target="../drawings/vmlDrawing6.vml"/><Relationship Id="rId4"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anwb.nl/auto/elektrisch-rijden/kosten/wegenbelasting-elektrische-auto" TargetMode="External"/><Relationship Id="rId2" Type="http://schemas.openxmlformats.org/officeDocument/2006/relationships/hyperlink" Target="file:///C:\Users\dvs\AppData\Local\Microsoft\:x:\s\220058\EbqUbD9eGelLmyFpLPCkaDQB_Qfv30omcJ2HgDVNs_WR_A" TargetMode="External"/><Relationship Id="rId1" Type="http://schemas.openxmlformats.org/officeDocument/2006/relationships/hyperlink" Target="file:///C:\Users\dvs\AppData\Local\Microsoft\Excel\AppData\Roaming\Microsoft\3.%20Data\Data%202022\MRBvergelijking2015_2022.xlsx" TargetMode="External"/><Relationship Id="rId5" Type="http://schemas.openxmlformats.org/officeDocument/2006/relationships/printerSettings" Target="../printerSettings/printerSettings23.bin"/><Relationship Id="rId4" Type="http://schemas.openxmlformats.org/officeDocument/2006/relationships/hyperlink" Target="https://www.anwb.nl/auto/elektrisch-rijden/kosten/wegenbelasting-elektrische-auto"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mijn.bovag.nl/downloads/onderzoek-cijfers/update-het-effect-van-elektrisch-aangedreven-perso/update-ev-onderzoek-2021.pdf"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D893F-C90F-480E-910A-EC0C7C412DFC}">
  <sheetPr codeName="Blad17"/>
  <dimension ref="A1:T99"/>
  <sheetViews>
    <sheetView topLeftCell="A5" workbookViewId="0">
      <selection activeCell="E27" sqref="E27:T27"/>
    </sheetView>
  </sheetViews>
  <sheetFormatPr defaultRowHeight="15" x14ac:dyDescent="0.3"/>
  <cols>
    <col min="2" max="2" width="9.42578125" customWidth="1"/>
    <col min="3" max="3" width="12" customWidth="1"/>
  </cols>
  <sheetData>
    <row r="1" spans="1:5" ht="16.5" x14ac:dyDescent="0.3">
      <c r="A1" s="538"/>
      <c r="B1" s="538"/>
      <c r="C1" s="538"/>
      <c r="D1" s="538"/>
      <c r="E1" s="538"/>
    </row>
    <row r="2" spans="1:5" ht="16.5" x14ac:dyDescent="0.3">
      <c r="A2" s="538"/>
      <c r="B2" s="538"/>
      <c r="C2" s="538"/>
      <c r="D2" s="538"/>
      <c r="E2" s="538"/>
    </row>
    <row r="3" spans="1:5" ht="16.5" x14ac:dyDescent="0.3">
      <c r="A3" s="538"/>
      <c r="B3" s="538"/>
      <c r="C3" s="538"/>
      <c r="D3" s="538"/>
      <c r="E3" s="538"/>
    </row>
    <row r="4" spans="1:5" ht="16.5" x14ac:dyDescent="0.3">
      <c r="A4" s="538"/>
      <c r="B4" s="538"/>
      <c r="C4" s="538"/>
      <c r="D4" s="538"/>
      <c r="E4" s="538"/>
    </row>
    <row r="5" spans="1:5" ht="16.5" x14ac:dyDescent="0.3">
      <c r="A5" s="538"/>
      <c r="B5" s="538"/>
      <c r="C5" s="538"/>
      <c r="D5" s="538"/>
      <c r="E5" s="538"/>
    </row>
    <row r="7" spans="1:5" ht="33.75" x14ac:dyDescent="0.5">
      <c r="B7" s="540" t="s">
        <v>1480</v>
      </c>
      <c r="C7" s="538"/>
      <c r="D7" s="538"/>
    </row>
    <row r="8" spans="1:5" ht="16.5" x14ac:dyDescent="0.3">
      <c r="B8" s="538">
        <v>240279</v>
      </c>
      <c r="C8" s="538"/>
      <c r="D8" s="538"/>
    </row>
    <row r="9" spans="1:5" ht="16.5" x14ac:dyDescent="0.3">
      <c r="B9" s="538"/>
      <c r="C9" s="538"/>
      <c r="D9" s="538"/>
    </row>
    <row r="10" spans="1:5" ht="16.5" x14ac:dyDescent="0.3">
      <c r="B10" s="538"/>
      <c r="C10" s="538"/>
      <c r="D10" s="538"/>
    </row>
    <row r="11" spans="1:5" ht="16.5" x14ac:dyDescent="0.3">
      <c r="B11" s="733" t="s">
        <v>1488</v>
      </c>
      <c r="C11" s="733"/>
      <c r="D11" s="733"/>
    </row>
    <row r="12" spans="1:5" ht="16.5" x14ac:dyDescent="0.3">
      <c r="B12" s="538"/>
      <c r="C12" s="538"/>
      <c r="D12" s="538"/>
    </row>
    <row r="13" spans="1:5" ht="16.5" x14ac:dyDescent="0.3">
      <c r="B13" s="539" t="s">
        <v>1490</v>
      </c>
      <c r="C13" s="538"/>
      <c r="D13" s="538"/>
    </row>
    <row r="14" spans="1:5" ht="16.5" x14ac:dyDescent="0.3">
      <c r="B14" s="539" t="s">
        <v>1491</v>
      </c>
      <c r="C14" s="538"/>
      <c r="D14" s="538"/>
    </row>
    <row r="15" spans="1:5" ht="16.5" x14ac:dyDescent="0.3">
      <c r="B15" s="539" t="s">
        <v>1487</v>
      </c>
      <c r="C15" s="538"/>
      <c r="D15" s="538"/>
    </row>
    <row r="16" spans="1:5" ht="16.5" x14ac:dyDescent="0.3">
      <c r="B16" s="538"/>
      <c r="C16" s="538"/>
      <c r="D16" s="538"/>
    </row>
    <row r="17" spans="2:20" x14ac:dyDescent="0.3">
      <c r="B17" s="534" t="s">
        <v>1486</v>
      </c>
      <c r="C17" s="537">
        <f ca="1">OFFSET($B$23,IF(COUNTA(B23:B99)=0,0,COUNTA(B23:B99)-1),0)</f>
        <v>4</v>
      </c>
      <c r="D17" s="536">
        <f ca="1">IF(OFFSET($C$23,COUNT(C23:C99)-1,0)=C22,NOW(),OFFSET($C$23,COUNT(C23:C99)-1,0))</f>
        <v>45667</v>
      </c>
    </row>
    <row r="18" spans="2:20" x14ac:dyDescent="0.3">
      <c r="B18" s="534"/>
      <c r="C18" s="534"/>
      <c r="D18" s="534"/>
    </row>
    <row r="19" spans="2:20" x14ac:dyDescent="0.3">
      <c r="B19" s="534" t="s">
        <v>1485</v>
      </c>
      <c r="C19" s="535">
        <f ca="1">IFERROR(YEAR(OFFSET($C$23,COUNT(C23:C99)-1,0)),YEAR(NOW()))</f>
        <v>2025</v>
      </c>
      <c r="D19" s="534"/>
    </row>
    <row r="20" spans="2:20" ht="15.75" thickBot="1" x14ac:dyDescent="0.35"/>
    <row r="21" spans="2:20" ht="15.75" thickBot="1" x14ac:dyDescent="0.35">
      <c r="B21" s="734" t="s">
        <v>1484</v>
      </c>
      <c r="C21" s="734"/>
      <c r="D21" s="734"/>
      <c r="E21" s="734"/>
      <c r="F21" s="734"/>
      <c r="G21" s="734"/>
      <c r="H21" s="734"/>
      <c r="I21" s="734"/>
      <c r="J21" s="734"/>
      <c r="K21" s="734"/>
      <c r="L21" s="734"/>
      <c r="M21" s="734"/>
      <c r="N21" s="734"/>
      <c r="O21" s="734"/>
      <c r="P21" s="734"/>
      <c r="Q21" s="734"/>
      <c r="R21" s="734"/>
      <c r="S21" s="734"/>
      <c r="T21" s="734"/>
    </row>
    <row r="22" spans="2:20" ht="15.75" thickBot="1" x14ac:dyDescent="0.35">
      <c r="B22" s="532" t="s">
        <v>1483</v>
      </c>
      <c r="C22" s="532" t="s">
        <v>1482</v>
      </c>
      <c r="D22" s="533" t="s">
        <v>450</v>
      </c>
      <c r="E22" s="532" t="s">
        <v>1481</v>
      </c>
      <c r="F22" s="531"/>
      <c r="G22" s="530"/>
      <c r="H22" s="530"/>
      <c r="I22" s="530"/>
      <c r="J22" s="530"/>
      <c r="K22" s="530"/>
      <c r="L22" s="530"/>
      <c r="M22" s="530"/>
      <c r="N22" s="530"/>
      <c r="O22" s="530"/>
      <c r="P22" s="530"/>
      <c r="Q22" s="530"/>
      <c r="R22" s="530"/>
      <c r="S22" s="530"/>
      <c r="T22" s="529"/>
    </row>
    <row r="23" spans="2:20" x14ac:dyDescent="0.3">
      <c r="B23" s="527">
        <v>0</v>
      </c>
      <c r="C23" s="528">
        <v>45566</v>
      </c>
      <c r="D23" s="527" t="s">
        <v>1492</v>
      </c>
      <c r="E23" s="735" t="s">
        <v>1493</v>
      </c>
      <c r="F23" s="735"/>
      <c r="G23" s="735"/>
      <c r="H23" s="735"/>
      <c r="I23" s="735"/>
      <c r="J23" s="735"/>
      <c r="K23" s="735"/>
      <c r="L23" s="735"/>
      <c r="M23" s="735"/>
      <c r="N23" s="735"/>
      <c r="O23" s="735"/>
      <c r="P23" s="735"/>
      <c r="Q23" s="735"/>
      <c r="R23" s="735"/>
      <c r="S23" s="735"/>
      <c r="T23" s="735"/>
    </row>
    <row r="24" spans="2:20" x14ac:dyDescent="0.3">
      <c r="B24" s="522">
        <v>1</v>
      </c>
      <c r="C24" s="526">
        <v>45603</v>
      </c>
      <c r="D24" s="525" t="s">
        <v>1509</v>
      </c>
      <c r="E24" s="736" t="s">
        <v>1510</v>
      </c>
      <c r="F24" s="736"/>
      <c r="G24" s="736"/>
      <c r="H24" s="736"/>
      <c r="I24" s="736"/>
      <c r="J24" s="736"/>
      <c r="K24" s="736"/>
      <c r="L24" s="736"/>
      <c r="M24" s="736"/>
      <c r="N24" s="736"/>
      <c r="O24" s="736"/>
      <c r="P24" s="736"/>
      <c r="Q24" s="736"/>
      <c r="R24" s="736"/>
      <c r="S24" s="736"/>
      <c r="T24" s="736"/>
    </row>
    <row r="25" spans="2:20" x14ac:dyDescent="0.3">
      <c r="B25" s="524">
        <v>2</v>
      </c>
      <c r="C25" s="523">
        <v>45604</v>
      </c>
      <c r="D25" s="522" t="s">
        <v>1492</v>
      </c>
      <c r="E25" s="732" t="s">
        <v>1523</v>
      </c>
      <c r="F25" s="732"/>
      <c r="G25" s="732"/>
      <c r="H25" s="732"/>
      <c r="I25" s="732"/>
      <c r="J25" s="732"/>
      <c r="K25" s="732"/>
      <c r="L25" s="732"/>
      <c r="M25" s="732"/>
      <c r="N25" s="732"/>
      <c r="O25" s="732"/>
      <c r="P25" s="732"/>
      <c r="Q25" s="732"/>
      <c r="R25" s="732"/>
      <c r="S25" s="732"/>
      <c r="T25" s="732"/>
    </row>
    <row r="26" spans="2:20" x14ac:dyDescent="0.3">
      <c r="B26" s="524">
        <v>3</v>
      </c>
      <c r="C26" s="523">
        <v>45667</v>
      </c>
      <c r="D26" s="522" t="s">
        <v>1492</v>
      </c>
      <c r="E26" s="732" t="s">
        <v>1984</v>
      </c>
      <c r="F26" s="732"/>
      <c r="G26" s="732"/>
      <c r="H26" s="732"/>
      <c r="I26" s="732"/>
      <c r="J26" s="732"/>
      <c r="K26" s="732"/>
      <c r="L26" s="732"/>
      <c r="M26" s="732"/>
      <c r="N26" s="732"/>
      <c r="O26" s="732"/>
      <c r="P26" s="732"/>
      <c r="Q26" s="732"/>
      <c r="R26" s="732"/>
      <c r="S26" s="732"/>
      <c r="T26" s="732"/>
    </row>
    <row r="27" spans="2:20" x14ac:dyDescent="0.3">
      <c r="B27" s="524">
        <v>4</v>
      </c>
      <c r="C27" s="523" t="s">
        <v>1992</v>
      </c>
      <c r="D27" s="522" t="s">
        <v>1509</v>
      </c>
      <c r="E27" s="732" t="s">
        <v>1993</v>
      </c>
      <c r="F27" s="732"/>
      <c r="G27" s="732"/>
      <c r="H27" s="732"/>
      <c r="I27" s="732"/>
      <c r="J27" s="732"/>
      <c r="K27" s="732"/>
      <c r="L27" s="732"/>
      <c r="M27" s="732"/>
      <c r="N27" s="732"/>
      <c r="O27" s="732"/>
      <c r="P27" s="732"/>
      <c r="Q27" s="732"/>
      <c r="R27" s="732"/>
      <c r="S27" s="732"/>
      <c r="T27" s="732"/>
    </row>
    <row r="28" spans="2:20" x14ac:dyDescent="0.3">
      <c r="B28" s="524"/>
      <c r="C28" s="523"/>
      <c r="D28" s="522"/>
      <c r="E28" s="732"/>
      <c r="F28" s="732"/>
      <c r="G28" s="732"/>
      <c r="H28" s="732"/>
      <c r="I28" s="732"/>
      <c r="J28" s="732"/>
      <c r="K28" s="732"/>
      <c r="L28" s="732"/>
      <c r="M28" s="732"/>
      <c r="N28" s="732"/>
      <c r="O28" s="732"/>
      <c r="P28" s="732"/>
      <c r="Q28" s="732"/>
      <c r="R28" s="732"/>
      <c r="S28" s="732"/>
      <c r="T28" s="732"/>
    </row>
    <row r="29" spans="2:20" x14ac:dyDescent="0.3">
      <c r="B29" s="524"/>
      <c r="C29" s="523"/>
      <c r="D29" s="522"/>
      <c r="E29" s="732"/>
      <c r="F29" s="732"/>
      <c r="G29" s="732"/>
      <c r="H29" s="732"/>
      <c r="I29" s="732"/>
      <c r="J29" s="732"/>
      <c r="K29" s="732"/>
      <c r="L29" s="732"/>
      <c r="M29" s="732"/>
      <c r="N29" s="732"/>
      <c r="O29" s="732"/>
      <c r="P29" s="732"/>
      <c r="Q29" s="732"/>
      <c r="R29" s="732"/>
      <c r="S29" s="732"/>
      <c r="T29" s="732"/>
    </row>
    <row r="30" spans="2:20" x14ac:dyDescent="0.3">
      <c r="B30" s="524"/>
      <c r="C30" s="523"/>
      <c r="D30" s="522"/>
      <c r="E30" s="732"/>
      <c r="F30" s="732"/>
      <c r="G30" s="732"/>
      <c r="H30" s="732"/>
      <c r="I30" s="732"/>
      <c r="J30" s="732"/>
      <c r="K30" s="732"/>
      <c r="L30" s="732"/>
      <c r="M30" s="732"/>
      <c r="N30" s="732"/>
      <c r="O30" s="732"/>
      <c r="P30" s="732"/>
      <c r="Q30" s="732"/>
      <c r="R30" s="732"/>
      <c r="S30" s="732"/>
      <c r="T30" s="732"/>
    </row>
    <row r="31" spans="2:20" x14ac:dyDescent="0.3">
      <c r="B31" s="524"/>
      <c r="C31" s="523"/>
      <c r="D31" s="522"/>
      <c r="E31" s="732"/>
      <c r="F31" s="732"/>
      <c r="G31" s="732"/>
      <c r="H31" s="732"/>
      <c r="I31" s="732"/>
      <c r="J31" s="732"/>
      <c r="K31" s="732"/>
      <c r="L31" s="732"/>
      <c r="M31" s="732"/>
      <c r="N31" s="732"/>
      <c r="O31" s="732"/>
      <c r="P31" s="732"/>
      <c r="Q31" s="732"/>
      <c r="R31" s="732"/>
      <c r="S31" s="732"/>
      <c r="T31" s="732"/>
    </row>
    <row r="32" spans="2:20" x14ac:dyDescent="0.3">
      <c r="B32" s="524"/>
      <c r="C32" s="523"/>
      <c r="D32" s="522"/>
      <c r="E32" s="732"/>
      <c r="F32" s="732"/>
      <c r="G32" s="732"/>
      <c r="H32" s="732"/>
      <c r="I32" s="732"/>
      <c r="J32" s="732"/>
      <c r="K32" s="732"/>
      <c r="L32" s="732"/>
      <c r="M32" s="732"/>
      <c r="N32" s="732"/>
      <c r="O32" s="732"/>
      <c r="P32" s="732"/>
      <c r="Q32" s="732"/>
      <c r="R32" s="732"/>
      <c r="S32" s="732"/>
      <c r="T32" s="732"/>
    </row>
    <row r="33" spans="2:20" x14ac:dyDescent="0.3">
      <c r="B33" s="524"/>
      <c r="C33" s="523"/>
      <c r="D33" s="522"/>
      <c r="E33" s="732"/>
      <c r="F33" s="732"/>
      <c r="G33" s="732"/>
      <c r="H33" s="732"/>
      <c r="I33" s="732"/>
      <c r="J33" s="732"/>
      <c r="K33" s="732"/>
      <c r="L33" s="732"/>
      <c r="M33" s="732"/>
      <c r="N33" s="732"/>
      <c r="O33" s="732"/>
      <c r="P33" s="732"/>
      <c r="Q33" s="732"/>
      <c r="R33" s="732"/>
      <c r="S33" s="732"/>
      <c r="T33" s="732"/>
    </row>
    <row r="34" spans="2:20" x14ac:dyDescent="0.3">
      <c r="B34" s="524"/>
      <c r="C34" s="523"/>
      <c r="D34" s="522"/>
      <c r="E34" s="732"/>
      <c r="F34" s="732"/>
      <c r="G34" s="732"/>
      <c r="H34" s="732"/>
      <c r="I34" s="732"/>
      <c r="J34" s="732"/>
      <c r="K34" s="732"/>
      <c r="L34" s="732"/>
      <c r="M34" s="732"/>
      <c r="N34" s="732"/>
      <c r="O34" s="732"/>
      <c r="P34" s="732"/>
      <c r="Q34" s="732"/>
      <c r="R34" s="732"/>
      <c r="S34" s="732"/>
      <c r="T34" s="732"/>
    </row>
    <row r="35" spans="2:20" x14ac:dyDescent="0.3">
      <c r="B35" s="524"/>
      <c r="C35" s="523"/>
      <c r="D35" s="522"/>
      <c r="E35" s="732"/>
      <c r="F35" s="732"/>
      <c r="G35" s="732"/>
      <c r="H35" s="732"/>
      <c r="I35" s="732"/>
      <c r="J35" s="732"/>
      <c r="K35" s="732"/>
      <c r="L35" s="732"/>
      <c r="M35" s="732"/>
      <c r="N35" s="732"/>
      <c r="O35" s="732"/>
      <c r="P35" s="732"/>
      <c r="Q35" s="732"/>
      <c r="R35" s="732"/>
      <c r="S35" s="732"/>
      <c r="T35" s="732"/>
    </row>
    <row r="36" spans="2:20" x14ac:dyDescent="0.3">
      <c r="B36" s="524"/>
      <c r="C36" s="523"/>
      <c r="D36" s="522"/>
      <c r="E36" s="732"/>
      <c r="F36" s="732"/>
      <c r="G36" s="732"/>
      <c r="H36" s="732"/>
      <c r="I36" s="732"/>
      <c r="J36" s="732"/>
      <c r="K36" s="732"/>
      <c r="L36" s="732"/>
      <c r="M36" s="732"/>
      <c r="N36" s="732"/>
      <c r="O36" s="732"/>
      <c r="P36" s="732"/>
      <c r="Q36" s="732"/>
      <c r="R36" s="732"/>
      <c r="S36" s="732"/>
      <c r="T36" s="732"/>
    </row>
    <row r="37" spans="2:20" x14ac:dyDescent="0.3">
      <c r="B37" s="524"/>
      <c r="C37" s="523"/>
      <c r="D37" s="522"/>
      <c r="E37" s="732"/>
      <c r="F37" s="732"/>
      <c r="G37" s="732"/>
      <c r="H37" s="732"/>
      <c r="I37" s="732"/>
      <c r="J37" s="732"/>
      <c r="K37" s="732"/>
      <c r="L37" s="732"/>
      <c r="M37" s="732"/>
      <c r="N37" s="732"/>
      <c r="O37" s="732"/>
      <c r="P37" s="732"/>
      <c r="Q37" s="732"/>
      <c r="R37" s="732"/>
      <c r="S37" s="732"/>
      <c r="T37" s="732"/>
    </row>
    <row r="38" spans="2:20" x14ac:dyDescent="0.3">
      <c r="B38" s="524"/>
      <c r="C38" s="523"/>
      <c r="D38" s="522"/>
      <c r="E38" s="732"/>
      <c r="F38" s="732"/>
      <c r="G38" s="732"/>
      <c r="H38" s="732"/>
      <c r="I38" s="732"/>
      <c r="J38" s="732"/>
      <c r="K38" s="732"/>
      <c r="L38" s="732"/>
      <c r="M38" s="732"/>
      <c r="N38" s="732"/>
      <c r="O38" s="732"/>
      <c r="P38" s="732"/>
      <c r="Q38" s="732"/>
      <c r="R38" s="732"/>
      <c r="S38" s="732"/>
      <c r="T38" s="732"/>
    </row>
    <row r="39" spans="2:20" x14ac:dyDescent="0.3">
      <c r="B39" s="524"/>
      <c r="C39" s="523"/>
      <c r="D39" s="522"/>
      <c r="E39" s="732"/>
      <c r="F39" s="732"/>
      <c r="G39" s="732"/>
      <c r="H39" s="732"/>
      <c r="I39" s="732"/>
      <c r="J39" s="732"/>
      <c r="K39" s="732"/>
      <c r="L39" s="732"/>
      <c r="M39" s="732"/>
      <c r="N39" s="732"/>
      <c r="O39" s="732"/>
      <c r="P39" s="732"/>
      <c r="Q39" s="732"/>
      <c r="R39" s="732"/>
      <c r="S39" s="732"/>
      <c r="T39" s="732"/>
    </row>
    <row r="40" spans="2:20" x14ac:dyDescent="0.3">
      <c r="B40" s="524"/>
      <c r="C40" s="523"/>
      <c r="D40" s="522"/>
      <c r="E40" s="732"/>
      <c r="F40" s="732"/>
      <c r="G40" s="732"/>
      <c r="H40" s="732"/>
      <c r="I40" s="732"/>
      <c r="J40" s="732"/>
      <c r="K40" s="732"/>
      <c r="L40" s="732"/>
      <c r="M40" s="732"/>
      <c r="N40" s="732"/>
      <c r="O40" s="732"/>
      <c r="P40" s="732"/>
      <c r="Q40" s="732"/>
      <c r="R40" s="732"/>
      <c r="S40" s="732"/>
      <c r="T40" s="732"/>
    </row>
    <row r="41" spans="2:20" x14ac:dyDescent="0.3">
      <c r="B41" s="524"/>
      <c r="C41" s="523"/>
      <c r="D41" s="522"/>
      <c r="E41" s="732"/>
      <c r="F41" s="732"/>
      <c r="G41" s="732"/>
      <c r="H41" s="732"/>
      <c r="I41" s="732"/>
      <c r="J41" s="732"/>
      <c r="K41" s="732"/>
      <c r="L41" s="732"/>
      <c r="M41" s="732"/>
      <c r="N41" s="732"/>
      <c r="O41" s="732"/>
      <c r="P41" s="732"/>
      <c r="Q41" s="732"/>
      <c r="R41" s="732"/>
      <c r="S41" s="732"/>
      <c r="T41" s="732"/>
    </row>
    <row r="42" spans="2:20" x14ac:dyDescent="0.3">
      <c r="B42" s="524"/>
      <c r="C42" s="523"/>
      <c r="D42" s="522"/>
      <c r="E42" s="732"/>
      <c r="F42" s="732"/>
      <c r="G42" s="732"/>
      <c r="H42" s="732"/>
      <c r="I42" s="732"/>
      <c r="J42" s="732"/>
      <c r="K42" s="732"/>
      <c r="L42" s="732"/>
      <c r="M42" s="732"/>
      <c r="N42" s="732"/>
      <c r="O42" s="732"/>
      <c r="P42" s="732"/>
      <c r="Q42" s="732"/>
      <c r="R42" s="732"/>
      <c r="S42" s="732"/>
      <c r="T42" s="732"/>
    </row>
    <row r="43" spans="2:20" x14ac:dyDescent="0.3">
      <c r="B43" s="524"/>
      <c r="C43" s="523"/>
      <c r="D43" s="522"/>
      <c r="E43" s="732"/>
      <c r="F43" s="732"/>
      <c r="G43" s="732"/>
      <c r="H43" s="732"/>
      <c r="I43" s="732"/>
      <c r="J43" s="732"/>
      <c r="K43" s="732"/>
      <c r="L43" s="732"/>
      <c r="M43" s="732"/>
      <c r="N43" s="732"/>
      <c r="O43" s="732"/>
      <c r="P43" s="732"/>
      <c r="Q43" s="732"/>
      <c r="R43" s="732"/>
      <c r="S43" s="732"/>
      <c r="T43" s="732"/>
    </row>
    <row r="44" spans="2:20" x14ac:dyDescent="0.3">
      <c r="B44" s="524"/>
      <c r="C44" s="523"/>
      <c r="D44" s="522"/>
      <c r="E44" s="732"/>
      <c r="F44" s="732"/>
      <c r="G44" s="732"/>
      <c r="H44" s="732"/>
      <c r="I44" s="732"/>
      <c r="J44" s="732"/>
      <c r="K44" s="732"/>
      <c r="L44" s="732"/>
      <c r="M44" s="732"/>
      <c r="N44" s="732"/>
      <c r="O44" s="732"/>
      <c r="P44" s="732"/>
      <c r="Q44" s="732"/>
      <c r="R44" s="732"/>
      <c r="S44" s="732"/>
      <c r="T44" s="732"/>
    </row>
    <row r="45" spans="2:20" x14ac:dyDescent="0.3">
      <c r="B45" s="524"/>
      <c r="C45" s="523"/>
      <c r="D45" s="522"/>
      <c r="E45" s="732"/>
      <c r="F45" s="732"/>
      <c r="G45" s="732"/>
      <c r="H45" s="732"/>
      <c r="I45" s="732"/>
      <c r="J45" s="732"/>
      <c r="K45" s="732"/>
      <c r="L45" s="732"/>
      <c r="M45" s="732"/>
      <c r="N45" s="732"/>
      <c r="O45" s="732"/>
      <c r="P45" s="732"/>
      <c r="Q45" s="732"/>
      <c r="R45" s="732"/>
      <c r="S45" s="732"/>
      <c r="T45" s="732"/>
    </row>
    <row r="46" spans="2:20" x14ac:dyDescent="0.3">
      <c r="B46" s="524"/>
      <c r="C46" s="523"/>
      <c r="D46" s="522"/>
      <c r="E46" s="732"/>
      <c r="F46" s="732"/>
      <c r="G46" s="732"/>
      <c r="H46" s="732"/>
      <c r="I46" s="732"/>
      <c r="J46" s="732"/>
      <c r="K46" s="732"/>
      <c r="L46" s="732"/>
      <c r="M46" s="732"/>
      <c r="N46" s="732"/>
      <c r="O46" s="732"/>
      <c r="P46" s="732"/>
      <c r="Q46" s="732"/>
      <c r="R46" s="732"/>
      <c r="S46" s="732"/>
      <c r="T46" s="732"/>
    </row>
    <row r="47" spans="2:20" x14ac:dyDescent="0.3">
      <c r="B47" s="524"/>
      <c r="C47" s="523"/>
      <c r="D47" s="522"/>
      <c r="E47" s="732"/>
      <c r="F47" s="732"/>
      <c r="G47" s="732"/>
      <c r="H47" s="732"/>
      <c r="I47" s="732"/>
      <c r="J47" s="732"/>
      <c r="K47" s="732"/>
      <c r="L47" s="732"/>
      <c r="M47" s="732"/>
      <c r="N47" s="732"/>
      <c r="O47" s="732"/>
      <c r="P47" s="732"/>
      <c r="Q47" s="732"/>
      <c r="R47" s="732"/>
      <c r="S47" s="732"/>
      <c r="T47" s="732"/>
    </row>
    <row r="48" spans="2:20" x14ac:dyDescent="0.3">
      <c r="B48" s="524"/>
      <c r="C48" s="523"/>
      <c r="D48" s="522"/>
      <c r="E48" s="732"/>
      <c r="F48" s="732"/>
      <c r="G48" s="732"/>
      <c r="H48" s="732"/>
      <c r="I48" s="732"/>
      <c r="J48" s="732"/>
      <c r="K48" s="732"/>
      <c r="L48" s="732"/>
      <c r="M48" s="732"/>
      <c r="N48" s="732"/>
      <c r="O48" s="732"/>
      <c r="P48" s="732"/>
      <c r="Q48" s="732"/>
      <c r="R48" s="732"/>
      <c r="S48" s="732"/>
      <c r="T48" s="732"/>
    </row>
    <row r="49" spans="2:20" x14ac:dyDescent="0.3">
      <c r="B49" s="524"/>
      <c r="C49" s="523"/>
      <c r="D49" s="522"/>
      <c r="E49" s="732"/>
      <c r="F49" s="732"/>
      <c r="G49" s="732"/>
      <c r="H49" s="732"/>
      <c r="I49" s="732"/>
      <c r="J49" s="732"/>
      <c r="K49" s="732"/>
      <c r="L49" s="732"/>
      <c r="M49" s="732"/>
      <c r="N49" s="732"/>
      <c r="O49" s="732"/>
      <c r="P49" s="732"/>
      <c r="Q49" s="732"/>
      <c r="R49" s="732"/>
      <c r="S49" s="732"/>
      <c r="T49" s="732"/>
    </row>
    <row r="50" spans="2:20" x14ac:dyDescent="0.3">
      <c r="B50" s="524"/>
      <c r="C50" s="523"/>
      <c r="D50" s="522"/>
      <c r="E50" s="732"/>
      <c r="F50" s="732"/>
      <c r="G50" s="732"/>
      <c r="H50" s="732"/>
      <c r="I50" s="732"/>
      <c r="J50" s="732"/>
      <c r="K50" s="732"/>
      <c r="L50" s="732"/>
      <c r="M50" s="732"/>
      <c r="N50" s="732"/>
      <c r="O50" s="732"/>
      <c r="P50" s="732"/>
      <c r="Q50" s="732"/>
      <c r="R50" s="732"/>
      <c r="S50" s="732"/>
      <c r="T50" s="732"/>
    </row>
    <row r="51" spans="2:20" x14ac:dyDescent="0.3">
      <c r="B51" s="524"/>
      <c r="C51" s="523"/>
      <c r="D51" s="522"/>
      <c r="E51" s="732"/>
      <c r="F51" s="732"/>
      <c r="G51" s="732"/>
      <c r="H51" s="732"/>
      <c r="I51" s="732"/>
      <c r="J51" s="732"/>
      <c r="K51" s="732"/>
      <c r="L51" s="732"/>
      <c r="M51" s="732"/>
      <c r="N51" s="732"/>
      <c r="O51" s="732"/>
      <c r="P51" s="732"/>
      <c r="Q51" s="732"/>
      <c r="R51" s="732"/>
      <c r="S51" s="732"/>
      <c r="T51" s="732"/>
    </row>
    <row r="52" spans="2:20" x14ac:dyDescent="0.3">
      <c r="B52" s="524"/>
      <c r="C52" s="523"/>
      <c r="D52" s="522"/>
      <c r="E52" s="732"/>
      <c r="F52" s="732"/>
      <c r="G52" s="732"/>
      <c r="H52" s="732"/>
      <c r="I52" s="732"/>
      <c r="J52" s="732"/>
      <c r="K52" s="732"/>
      <c r="L52" s="732"/>
      <c r="M52" s="732"/>
      <c r="N52" s="732"/>
      <c r="O52" s="732"/>
      <c r="P52" s="732"/>
      <c r="Q52" s="732"/>
      <c r="R52" s="732"/>
      <c r="S52" s="732"/>
      <c r="T52" s="732"/>
    </row>
    <row r="53" spans="2:20" x14ac:dyDescent="0.3">
      <c r="B53" s="524"/>
      <c r="C53" s="523"/>
      <c r="D53" s="522"/>
      <c r="E53" s="732"/>
      <c r="F53" s="732"/>
      <c r="G53" s="732"/>
      <c r="H53" s="732"/>
      <c r="I53" s="732"/>
      <c r="J53" s="732"/>
      <c r="K53" s="732"/>
      <c r="L53" s="732"/>
      <c r="M53" s="732"/>
      <c r="N53" s="732"/>
      <c r="O53" s="732"/>
      <c r="P53" s="732"/>
      <c r="Q53" s="732"/>
      <c r="R53" s="732"/>
      <c r="S53" s="732"/>
      <c r="T53" s="732"/>
    </row>
    <row r="54" spans="2:20" x14ac:dyDescent="0.3">
      <c r="B54" s="524"/>
      <c r="C54" s="523"/>
      <c r="D54" s="522"/>
      <c r="E54" s="732"/>
      <c r="F54" s="732"/>
      <c r="G54" s="732"/>
      <c r="H54" s="732"/>
      <c r="I54" s="732"/>
      <c r="J54" s="732"/>
      <c r="K54" s="732"/>
      <c r="L54" s="732"/>
      <c r="M54" s="732"/>
      <c r="N54" s="732"/>
      <c r="O54" s="732"/>
      <c r="P54" s="732"/>
      <c r="Q54" s="732"/>
      <c r="R54" s="732"/>
      <c r="S54" s="732"/>
      <c r="T54" s="732"/>
    </row>
    <row r="55" spans="2:20" x14ac:dyDescent="0.3">
      <c r="B55" s="524"/>
      <c r="C55" s="523"/>
      <c r="D55" s="522"/>
      <c r="E55" s="732"/>
      <c r="F55" s="732"/>
      <c r="G55" s="732"/>
      <c r="H55" s="732"/>
      <c r="I55" s="732"/>
      <c r="J55" s="732"/>
      <c r="K55" s="732"/>
      <c r="L55" s="732"/>
      <c r="M55" s="732"/>
      <c r="N55" s="732"/>
      <c r="O55" s="732"/>
      <c r="P55" s="732"/>
      <c r="Q55" s="732"/>
      <c r="R55" s="732"/>
      <c r="S55" s="732"/>
      <c r="T55" s="732"/>
    </row>
    <row r="56" spans="2:20" x14ac:dyDescent="0.3">
      <c r="B56" s="524"/>
      <c r="C56" s="523"/>
      <c r="D56" s="522"/>
      <c r="E56" s="732"/>
      <c r="F56" s="732"/>
      <c r="G56" s="732"/>
      <c r="H56" s="732"/>
      <c r="I56" s="732"/>
      <c r="J56" s="732"/>
      <c r="K56" s="732"/>
      <c r="L56" s="732"/>
      <c r="M56" s="732"/>
      <c r="N56" s="732"/>
      <c r="O56" s="732"/>
      <c r="P56" s="732"/>
      <c r="Q56" s="732"/>
      <c r="R56" s="732"/>
      <c r="S56" s="732"/>
      <c r="T56" s="732"/>
    </row>
    <row r="57" spans="2:20" x14ac:dyDescent="0.3">
      <c r="B57" s="524"/>
      <c r="C57" s="523"/>
      <c r="D57" s="522"/>
      <c r="E57" s="732"/>
      <c r="F57" s="732"/>
      <c r="G57" s="732"/>
      <c r="H57" s="732"/>
      <c r="I57" s="732"/>
      <c r="J57" s="732"/>
      <c r="K57" s="732"/>
      <c r="L57" s="732"/>
      <c r="M57" s="732"/>
      <c r="N57" s="732"/>
      <c r="O57" s="732"/>
      <c r="P57" s="732"/>
      <c r="Q57" s="732"/>
      <c r="R57" s="732"/>
      <c r="S57" s="732"/>
      <c r="T57" s="732"/>
    </row>
    <row r="58" spans="2:20" x14ac:dyDescent="0.3">
      <c r="B58" s="524"/>
      <c r="C58" s="523"/>
      <c r="D58" s="522"/>
      <c r="E58" s="732"/>
      <c r="F58" s="732"/>
      <c r="G58" s="732"/>
      <c r="H58" s="732"/>
      <c r="I58" s="732"/>
      <c r="J58" s="732"/>
      <c r="K58" s="732"/>
      <c r="L58" s="732"/>
      <c r="M58" s="732"/>
      <c r="N58" s="732"/>
      <c r="O58" s="732"/>
      <c r="P58" s="732"/>
      <c r="Q58" s="732"/>
      <c r="R58" s="732"/>
      <c r="S58" s="732"/>
      <c r="T58" s="732"/>
    </row>
    <row r="59" spans="2:20" x14ac:dyDescent="0.3">
      <c r="B59" s="524"/>
      <c r="C59" s="523"/>
      <c r="D59" s="522"/>
      <c r="E59" s="732"/>
      <c r="F59" s="732"/>
      <c r="G59" s="732"/>
      <c r="H59" s="732"/>
      <c r="I59" s="732"/>
      <c r="J59" s="732"/>
      <c r="K59" s="732"/>
      <c r="L59" s="732"/>
      <c r="M59" s="732"/>
      <c r="N59" s="732"/>
      <c r="O59" s="732"/>
      <c r="P59" s="732"/>
      <c r="Q59" s="732"/>
      <c r="R59" s="732"/>
      <c r="S59" s="732"/>
      <c r="T59" s="732"/>
    </row>
    <row r="60" spans="2:20" x14ac:dyDescent="0.3">
      <c r="B60" s="524"/>
      <c r="C60" s="523"/>
      <c r="D60" s="522"/>
      <c r="E60" s="732"/>
      <c r="F60" s="732"/>
      <c r="G60" s="732"/>
      <c r="H60" s="732"/>
      <c r="I60" s="732"/>
      <c r="J60" s="732"/>
      <c r="K60" s="732"/>
      <c r="L60" s="732"/>
      <c r="M60" s="732"/>
      <c r="N60" s="732"/>
      <c r="O60" s="732"/>
      <c r="P60" s="732"/>
      <c r="Q60" s="732"/>
      <c r="R60" s="732"/>
      <c r="S60" s="732"/>
      <c r="T60" s="732"/>
    </row>
    <row r="61" spans="2:20" x14ac:dyDescent="0.3">
      <c r="B61" s="524"/>
      <c r="C61" s="523"/>
      <c r="D61" s="522"/>
      <c r="E61" s="732"/>
      <c r="F61" s="732"/>
      <c r="G61" s="732"/>
      <c r="H61" s="732"/>
      <c r="I61" s="732"/>
      <c r="J61" s="732"/>
      <c r="K61" s="732"/>
      <c r="L61" s="732"/>
      <c r="M61" s="732"/>
      <c r="N61" s="732"/>
      <c r="O61" s="732"/>
      <c r="P61" s="732"/>
      <c r="Q61" s="732"/>
      <c r="R61" s="732"/>
      <c r="S61" s="732"/>
      <c r="T61" s="732"/>
    </row>
    <row r="62" spans="2:20" x14ac:dyDescent="0.3">
      <c r="B62" s="524"/>
      <c r="C62" s="523"/>
      <c r="D62" s="522"/>
      <c r="E62" s="732"/>
      <c r="F62" s="732"/>
      <c r="G62" s="732"/>
      <c r="H62" s="732"/>
      <c r="I62" s="732"/>
      <c r="J62" s="732"/>
      <c r="K62" s="732"/>
      <c r="L62" s="732"/>
      <c r="M62" s="732"/>
      <c r="N62" s="732"/>
      <c r="O62" s="732"/>
      <c r="P62" s="732"/>
      <c r="Q62" s="732"/>
      <c r="R62" s="732"/>
      <c r="S62" s="732"/>
      <c r="T62" s="732"/>
    </row>
    <row r="63" spans="2:20" x14ac:dyDescent="0.3">
      <c r="B63" s="524"/>
      <c r="C63" s="523"/>
      <c r="D63" s="522"/>
      <c r="E63" s="732"/>
      <c r="F63" s="732"/>
      <c r="G63" s="732"/>
      <c r="H63" s="732"/>
      <c r="I63" s="732"/>
      <c r="J63" s="732"/>
      <c r="K63" s="732"/>
      <c r="L63" s="732"/>
      <c r="M63" s="732"/>
      <c r="N63" s="732"/>
      <c r="O63" s="732"/>
      <c r="P63" s="732"/>
      <c r="Q63" s="732"/>
      <c r="R63" s="732"/>
      <c r="S63" s="732"/>
      <c r="T63" s="732"/>
    </row>
    <row r="64" spans="2:20" x14ac:dyDescent="0.3">
      <c r="B64" s="524"/>
      <c r="C64" s="523"/>
      <c r="D64" s="522"/>
      <c r="E64" s="732"/>
      <c r="F64" s="732"/>
      <c r="G64" s="732"/>
      <c r="H64" s="732"/>
      <c r="I64" s="732"/>
      <c r="J64" s="732"/>
      <c r="K64" s="732"/>
      <c r="L64" s="732"/>
      <c r="M64" s="732"/>
      <c r="N64" s="732"/>
      <c r="O64" s="732"/>
      <c r="P64" s="732"/>
      <c r="Q64" s="732"/>
      <c r="R64" s="732"/>
      <c r="S64" s="732"/>
      <c r="T64" s="732"/>
    </row>
    <row r="65" spans="2:20" x14ac:dyDescent="0.3">
      <c r="B65" s="524"/>
      <c r="C65" s="523"/>
      <c r="D65" s="522"/>
      <c r="E65" s="732"/>
      <c r="F65" s="732"/>
      <c r="G65" s="732"/>
      <c r="H65" s="732"/>
      <c r="I65" s="732"/>
      <c r="J65" s="732"/>
      <c r="K65" s="732"/>
      <c r="L65" s="732"/>
      <c r="M65" s="732"/>
      <c r="N65" s="732"/>
      <c r="O65" s="732"/>
      <c r="P65" s="732"/>
      <c r="Q65" s="732"/>
      <c r="R65" s="732"/>
      <c r="S65" s="732"/>
      <c r="T65" s="732"/>
    </row>
    <row r="66" spans="2:20" x14ac:dyDescent="0.3">
      <c r="B66" s="524"/>
      <c r="C66" s="523"/>
      <c r="D66" s="522"/>
      <c r="E66" s="732"/>
      <c r="F66" s="732"/>
      <c r="G66" s="732"/>
      <c r="H66" s="732"/>
      <c r="I66" s="732"/>
      <c r="J66" s="732"/>
      <c r="K66" s="732"/>
      <c r="L66" s="732"/>
      <c r="M66" s="732"/>
      <c r="N66" s="732"/>
      <c r="O66" s="732"/>
      <c r="P66" s="732"/>
      <c r="Q66" s="732"/>
      <c r="R66" s="732"/>
      <c r="S66" s="732"/>
      <c r="T66" s="732"/>
    </row>
    <row r="67" spans="2:20" x14ac:dyDescent="0.3">
      <c r="B67" s="524"/>
      <c r="C67" s="523"/>
      <c r="D67" s="522"/>
      <c r="E67" s="732"/>
      <c r="F67" s="732"/>
      <c r="G67" s="732"/>
      <c r="H67" s="732"/>
      <c r="I67" s="732"/>
      <c r="J67" s="732"/>
      <c r="K67" s="732"/>
      <c r="L67" s="732"/>
      <c r="M67" s="732"/>
      <c r="N67" s="732"/>
      <c r="O67" s="732"/>
      <c r="P67" s="732"/>
      <c r="Q67" s="732"/>
      <c r="R67" s="732"/>
      <c r="S67" s="732"/>
      <c r="T67" s="732"/>
    </row>
    <row r="68" spans="2:20" x14ac:dyDescent="0.3">
      <c r="B68" s="524"/>
      <c r="C68" s="523"/>
      <c r="D68" s="522"/>
      <c r="E68" s="732"/>
      <c r="F68" s="732"/>
      <c r="G68" s="732"/>
      <c r="H68" s="732"/>
      <c r="I68" s="732"/>
      <c r="J68" s="732"/>
      <c r="K68" s="732"/>
      <c r="L68" s="732"/>
      <c r="M68" s="732"/>
      <c r="N68" s="732"/>
      <c r="O68" s="732"/>
      <c r="P68" s="732"/>
      <c r="Q68" s="732"/>
      <c r="R68" s="732"/>
      <c r="S68" s="732"/>
      <c r="T68" s="732"/>
    </row>
    <row r="69" spans="2:20" x14ac:dyDescent="0.3">
      <c r="B69" s="524"/>
      <c r="C69" s="523"/>
      <c r="D69" s="522"/>
      <c r="E69" s="732"/>
      <c r="F69" s="732"/>
      <c r="G69" s="732"/>
      <c r="H69" s="732"/>
      <c r="I69" s="732"/>
      <c r="J69" s="732"/>
      <c r="K69" s="732"/>
      <c r="L69" s="732"/>
      <c r="M69" s="732"/>
      <c r="N69" s="732"/>
      <c r="O69" s="732"/>
      <c r="P69" s="732"/>
      <c r="Q69" s="732"/>
      <c r="R69" s="732"/>
      <c r="S69" s="732"/>
      <c r="T69" s="732"/>
    </row>
    <row r="70" spans="2:20" x14ac:dyDescent="0.3">
      <c r="B70" s="524"/>
      <c r="C70" s="523"/>
      <c r="D70" s="522"/>
      <c r="E70" s="732"/>
      <c r="F70" s="732"/>
      <c r="G70" s="732"/>
      <c r="H70" s="732"/>
      <c r="I70" s="732"/>
      <c r="J70" s="732"/>
      <c r="K70" s="732"/>
      <c r="L70" s="732"/>
      <c r="M70" s="732"/>
      <c r="N70" s="732"/>
      <c r="O70" s="732"/>
      <c r="P70" s="732"/>
      <c r="Q70" s="732"/>
      <c r="R70" s="732"/>
      <c r="S70" s="732"/>
      <c r="T70" s="732"/>
    </row>
    <row r="71" spans="2:20" x14ac:dyDescent="0.3">
      <c r="B71" s="524"/>
      <c r="C71" s="523"/>
      <c r="D71" s="522"/>
      <c r="E71" s="732"/>
      <c r="F71" s="732"/>
      <c r="G71" s="732"/>
      <c r="H71" s="732"/>
      <c r="I71" s="732"/>
      <c r="J71" s="732"/>
      <c r="K71" s="732"/>
      <c r="L71" s="732"/>
      <c r="M71" s="732"/>
      <c r="N71" s="732"/>
      <c r="O71" s="732"/>
      <c r="P71" s="732"/>
      <c r="Q71" s="732"/>
      <c r="R71" s="732"/>
      <c r="S71" s="732"/>
      <c r="T71" s="732"/>
    </row>
    <row r="72" spans="2:20" x14ac:dyDescent="0.3">
      <c r="B72" s="524"/>
      <c r="C72" s="523"/>
      <c r="D72" s="522"/>
      <c r="E72" s="732"/>
      <c r="F72" s="732"/>
      <c r="G72" s="732"/>
      <c r="H72" s="732"/>
      <c r="I72" s="732"/>
      <c r="J72" s="732"/>
      <c r="K72" s="732"/>
      <c r="L72" s="732"/>
      <c r="M72" s="732"/>
      <c r="N72" s="732"/>
      <c r="O72" s="732"/>
      <c r="P72" s="732"/>
      <c r="Q72" s="732"/>
      <c r="R72" s="732"/>
      <c r="S72" s="732"/>
      <c r="T72" s="732"/>
    </row>
    <row r="73" spans="2:20" x14ac:dyDescent="0.3">
      <c r="B73" s="524"/>
      <c r="C73" s="523"/>
      <c r="D73" s="522"/>
      <c r="E73" s="732"/>
      <c r="F73" s="732"/>
      <c r="G73" s="732"/>
      <c r="H73" s="732"/>
      <c r="I73" s="732"/>
      <c r="J73" s="732"/>
      <c r="K73" s="732"/>
      <c r="L73" s="732"/>
      <c r="M73" s="732"/>
      <c r="N73" s="732"/>
      <c r="O73" s="732"/>
      <c r="P73" s="732"/>
      <c r="Q73" s="732"/>
      <c r="R73" s="732"/>
      <c r="S73" s="732"/>
      <c r="T73" s="732"/>
    </row>
    <row r="74" spans="2:20" x14ac:dyDescent="0.3">
      <c r="B74" s="524"/>
      <c r="C74" s="523"/>
      <c r="D74" s="522"/>
      <c r="E74" s="732"/>
      <c r="F74" s="732"/>
      <c r="G74" s="732"/>
      <c r="H74" s="732"/>
      <c r="I74" s="732"/>
      <c r="J74" s="732"/>
      <c r="K74" s="732"/>
      <c r="L74" s="732"/>
      <c r="M74" s="732"/>
      <c r="N74" s="732"/>
      <c r="O74" s="732"/>
      <c r="P74" s="732"/>
      <c r="Q74" s="732"/>
      <c r="R74" s="732"/>
      <c r="S74" s="732"/>
      <c r="T74" s="732"/>
    </row>
    <row r="75" spans="2:20" x14ac:dyDescent="0.3">
      <c r="B75" s="524"/>
      <c r="C75" s="523"/>
      <c r="D75" s="522"/>
      <c r="E75" s="732"/>
      <c r="F75" s="732"/>
      <c r="G75" s="732"/>
      <c r="H75" s="732"/>
      <c r="I75" s="732"/>
      <c r="J75" s="732"/>
      <c r="K75" s="732"/>
      <c r="L75" s="732"/>
      <c r="M75" s="732"/>
      <c r="N75" s="732"/>
      <c r="O75" s="732"/>
      <c r="P75" s="732"/>
      <c r="Q75" s="732"/>
      <c r="R75" s="732"/>
      <c r="S75" s="732"/>
      <c r="T75" s="732"/>
    </row>
    <row r="76" spans="2:20" x14ac:dyDescent="0.3">
      <c r="B76" s="524"/>
      <c r="C76" s="523"/>
      <c r="D76" s="522"/>
      <c r="E76" s="732"/>
      <c r="F76" s="732"/>
      <c r="G76" s="732"/>
      <c r="H76" s="732"/>
      <c r="I76" s="732"/>
      <c r="J76" s="732"/>
      <c r="K76" s="732"/>
      <c r="L76" s="732"/>
      <c r="M76" s="732"/>
      <c r="N76" s="732"/>
      <c r="O76" s="732"/>
      <c r="P76" s="732"/>
      <c r="Q76" s="732"/>
      <c r="R76" s="732"/>
      <c r="S76" s="732"/>
      <c r="T76" s="732"/>
    </row>
    <row r="77" spans="2:20" x14ac:dyDescent="0.3">
      <c r="B77" s="524"/>
      <c r="C77" s="523"/>
      <c r="D77" s="522"/>
      <c r="E77" s="732"/>
      <c r="F77" s="732"/>
      <c r="G77" s="732"/>
      <c r="H77" s="732"/>
      <c r="I77" s="732"/>
      <c r="J77" s="732"/>
      <c r="K77" s="732"/>
      <c r="L77" s="732"/>
      <c r="M77" s="732"/>
      <c r="N77" s="732"/>
      <c r="O77" s="732"/>
      <c r="P77" s="732"/>
      <c r="Q77" s="732"/>
      <c r="R77" s="732"/>
      <c r="S77" s="732"/>
      <c r="T77" s="732"/>
    </row>
    <row r="78" spans="2:20" x14ac:dyDescent="0.3">
      <c r="B78" s="524"/>
      <c r="C78" s="523"/>
      <c r="D78" s="522"/>
      <c r="E78" s="732"/>
      <c r="F78" s="732"/>
      <c r="G78" s="732"/>
      <c r="H78" s="732"/>
      <c r="I78" s="732"/>
      <c r="J78" s="732"/>
      <c r="K78" s="732"/>
      <c r="L78" s="732"/>
      <c r="M78" s="732"/>
      <c r="N78" s="732"/>
      <c r="O78" s="732"/>
      <c r="P78" s="732"/>
      <c r="Q78" s="732"/>
      <c r="R78" s="732"/>
      <c r="S78" s="732"/>
      <c r="T78" s="732"/>
    </row>
    <row r="79" spans="2:20" x14ac:dyDescent="0.3">
      <c r="B79" s="524"/>
      <c r="C79" s="523"/>
      <c r="D79" s="522"/>
      <c r="E79" s="732"/>
      <c r="F79" s="732"/>
      <c r="G79" s="732"/>
      <c r="H79" s="732"/>
      <c r="I79" s="732"/>
      <c r="J79" s="732"/>
      <c r="K79" s="732"/>
      <c r="L79" s="732"/>
      <c r="M79" s="732"/>
      <c r="N79" s="732"/>
      <c r="O79" s="732"/>
      <c r="P79" s="732"/>
      <c r="Q79" s="732"/>
      <c r="R79" s="732"/>
      <c r="S79" s="732"/>
      <c r="T79" s="732"/>
    </row>
    <row r="80" spans="2:20" x14ac:dyDescent="0.3">
      <c r="B80" s="524"/>
      <c r="C80" s="523"/>
      <c r="D80" s="522"/>
      <c r="E80" s="732"/>
      <c r="F80" s="732"/>
      <c r="G80" s="732"/>
      <c r="H80" s="732"/>
      <c r="I80" s="732"/>
      <c r="J80" s="732"/>
      <c r="K80" s="732"/>
      <c r="L80" s="732"/>
      <c r="M80" s="732"/>
      <c r="N80" s="732"/>
      <c r="O80" s="732"/>
      <c r="P80" s="732"/>
      <c r="Q80" s="732"/>
      <c r="R80" s="732"/>
      <c r="S80" s="732"/>
      <c r="T80" s="732"/>
    </row>
    <row r="81" spans="2:20" x14ac:dyDescent="0.3">
      <c r="B81" s="524"/>
      <c r="C81" s="523"/>
      <c r="D81" s="522"/>
      <c r="E81" s="732"/>
      <c r="F81" s="732"/>
      <c r="G81" s="732"/>
      <c r="H81" s="732"/>
      <c r="I81" s="732"/>
      <c r="J81" s="732"/>
      <c r="K81" s="732"/>
      <c r="L81" s="732"/>
      <c r="M81" s="732"/>
      <c r="N81" s="732"/>
      <c r="O81" s="732"/>
      <c r="P81" s="732"/>
      <c r="Q81" s="732"/>
      <c r="R81" s="732"/>
      <c r="S81" s="732"/>
      <c r="T81" s="732"/>
    </row>
    <row r="82" spans="2:20" x14ac:dyDescent="0.3">
      <c r="B82" s="524"/>
      <c r="C82" s="523"/>
      <c r="D82" s="522"/>
      <c r="E82" s="732"/>
      <c r="F82" s="732"/>
      <c r="G82" s="732"/>
      <c r="H82" s="732"/>
      <c r="I82" s="732"/>
      <c r="J82" s="732"/>
      <c r="K82" s="732"/>
      <c r="L82" s="732"/>
      <c r="M82" s="732"/>
      <c r="N82" s="732"/>
      <c r="O82" s="732"/>
      <c r="P82" s="732"/>
      <c r="Q82" s="732"/>
      <c r="R82" s="732"/>
      <c r="S82" s="732"/>
      <c r="T82" s="732"/>
    </row>
    <row r="83" spans="2:20" x14ac:dyDescent="0.3">
      <c r="B83" s="524"/>
      <c r="C83" s="523"/>
      <c r="D83" s="522"/>
      <c r="E83" s="732"/>
      <c r="F83" s="732"/>
      <c r="G83" s="732"/>
      <c r="H83" s="732"/>
      <c r="I83" s="732"/>
      <c r="J83" s="732"/>
      <c r="K83" s="732"/>
      <c r="L83" s="732"/>
      <c r="M83" s="732"/>
      <c r="N83" s="732"/>
      <c r="O83" s="732"/>
      <c r="P83" s="732"/>
      <c r="Q83" s="732"/>
      <c r="R83" s="732"/>
      <c r="S83" s="732"/>
      <c r="T83" s="732"/>
    </row>
    <row r="84" spans="2:20" x14ac:dyDescent="0.3">
      <c r="B84" s="524"/>
      <c r="C84" s="523"/>
      <c r="D84" s="522"/>
      <c r="E84" s="732"/>
      <c r="F84" s="732"/>
      <c r="G84" s="732"/>
      <c r="H84" s="732"/>
      <c r="I84" s="732"/>
      <c r="J84" s="732"/>
      <c r="K84" s="732"/>
      <c r="L84" s="732"/>
      <c r="M84" s="732"/>
      <c r="N84" s="732"/>
      <c r="O84" s="732"/>
      <c r="P84" s="732"/>
      <c r="Q84" s="732"/>
      <c r="R84" s="732"/>
      <c r="S84" s="732"/>
      <c r="T84" s="732"/>
    </row>
    <row r="85" spans="2:20" x14ac:dyDescent="0.3">
      <c r="B85" s="524"/>
      <c r="C85" s="523"/>
      <c r="D85" s="522"/>
      <c r="E85" s="732"/>
      <c r="F85" s="732"/>
      <c r="G85" s="732"/>
      <c r="H85" s="732"/>
      <c r="I85" s="732"/>
      <c r="J85" s="732"/>
      <c r="K85" s="732"/>
      <c r="L85" s="732"/>
      <c r="M85" s="732"/>
      <c r="N85" s="732"/>
      <c r="O85" s="732"/>
      <c r="P85" s="732"/>
      <c r="Q85" s="732"/>
      <c r="R85" s="732"/>
      <c r="S85" s="732"/>
      <c r="T85" s="732"/>
    </row>
    <row r="86" spans="2:20" x14ac:dyDescent="0.3">
      <c r="B86" s="524"/>
      <c r="C86" s="523"/>
      <c r="D86" s="522"/>
      <c r="E86" s="732"/>
      <c r="F86" s="732"/>
      <c r="G86" s="732"/>
      <c r="H86" s="732"/>
      <c r="I86" s="732"/>
      <c r="J86" s="732"/>
      <c r="K86" s="732"/>
      <c r="L86" s="732"/>
      <c r="M86" s="732"/>
      <c r="N86" s="732"/>
      <c r="O86" s="732"/>
      <c r="P86" s="732"/>
      <c r="Q86" s="732"/>
      <c r="R86" s="732"/>
      <c r="S86" s="732"/>
      <c r="T86" s="732"/>
    </row>
    <row r="87" spans="2:20" x14ac:dyDescent="0.3">
      <c r="B87" s="524"/>
      <c r="C87" s="523"/>
      <c r="D87" s="522"/>
      <c r="E87" s="732"/>
      <c r="F87" s="732"/>
      <c r="G87" s="732"/>
      <c r="H87" s="732"/>
      <c r="I87" s="732"/>
      <c r="J87" s="732"/>
      <c r="K87" s="732"/>
      <c r="L87" s="732"/>
      <c r="M87" s="732"/>
      <c r="N87" s="732"/>
      <c r="O87" s="732"/>
      <c r="P87" s="732"/>
      <c r="Q87" s="732"/>
      <c r="R87" s="732"/>
      <c r="S87" s="732"/>
      <c r="T87" s="732"/>
    </row>
    <row r="88" spans="2:20" x14ac:dyDescent="0.3">
      <c r="B88" s="524"/>
      <c r="C88" s="523"/>
      <c r="D88" s="522"/>
      <c r="E88" s="732"/>
      <c r="F88" s="732"/>
      <c r="G88" s="732"/>
      <c r="H88" s="732"/>
      <c r="I88" s="732"/>
      <c r="J88" s="732"/>
      <c r="K88" s="732"/>
      <c r="L88" s="732"/>
      <c r="M88" s="732"/>
      <c r="N88" s="732"/>
      <c r="O88" s="732"/>
      <c r="P88" s="732"/>
      <c r="Q88" s="732"/>
      <c r="R88" s="732"/>
      <c r="S88" s="732"/>
      <c r="T88" s="732"/>
    </row>
    <row r="89" spans="2:20" x14ac:dyDescent="0.3">
      <c r="B89" s="524"/>
      <c r="C89" s="523"/>
      <c r="D89" s="522"/>
      <c r="E89" s="732"/>
      <c r="F89" s="732"/>
      <c r="G89" s="732"/>
      <c r="H89" s="732"/>
      <c r="I89" s="732"/>
      <c r="J89" s="732"/>
      <c r="K89" s="732"/>
      <c r="L89" s="732"/>
      <c r="M89" s="732"/>
      <c r="N89" s="732"/>
      <c r="O89" s="732"/>
      <c r="P89" s="732"/>
      <c r="Q89" s="732"/>
      <c r="R89" s="732"/>
      <c r="S89" s="732"/>
      <c r="T89" s="732"/>
    </row>
    <row r="90" spans="2:20" x14ac:dyDescent="0.3">
      <c r="B90" s="524"/>
      <c r="C90" s="523"/>
      <c r="D90" s="522"/>
      <c r="E90" s="732"/>
      <c r="F90" s="732"/>
      <c r="G90" s="732"/>
      <c r="H90" s="732"/>
      <c r="I90" s="732"/>
      <c r="J90" s="732"/>
      <c r="K90" s="732"/>
      <c r="L90" s="732"/>
      <c r="M90" s="732"/>
      <c r="N90" s="732"/>
      <c r="O90" s="732"/>
      <c r="P90" s="732"/>
      <c r="Q90" s="732"/>
      <c r="R90" s="732"/>
      <c r="S90" s="732"/>
      <c r="T90" s="732"/>
    </row>
    <row r="91" spans="2:20" x14ac:dyDescent="0.3">
      <c r="B91" s="524"/>
      <c r="C91" s="523"/>
      <c r="D91" s="522"/>
      <c r="E91" s="732"/>
      <c r="F91" s="732"/>
      <c r="G91" s="732"/>
      <c r="H91" s="732"/>
      <c r="I91" s="732"/>
      <c r="J91" s="732"/>
      <c r="K91" s="732"/>
      <c r="L91" s="732"/>
      <c r="M91" s="732"/>
      <c r="N91" s="732"/>
      <c r="O91" s="732"/>
      <c r="P91" s="732"/>
      <c r="Q91" s="732"/>
      <c r="R91" s="732"/>
      <c r="S91" s="732"/>
      <c r="T91" s="732"/>
    </row>
    <row r="92" spans="2:20" x14ac:dyDescent="0.3">
      <c r="B92" s="524"/>
      <c r="C92" s="523"/>
      <c r="D92" s="522"/>
      <c r="E92" s="732"/>
      <c r="F92" s="732"/>
      <c r="G92" s="732"/>
      <c r="H92" s="732"/>
      <c r="I92" s="732"/>
      <c r="J92" s="732"/>
      <c r="K92" s="732"/>
      <c r="L92" s="732"/>
      <c r="M92" s="732"/>
      <c r="N92" s="732"/>
      <c r="O92" s="732"/>
      <c r="P92" s="732"/>
      <c r="Q92" s="732"/>
      <c r="R92" s="732"/>
      <c r="S92" s="732"/>
      <c r="T92" s="732"/>
    </row>
    <row r="93" spans="2:20" x14ac:dyDescent="0.3">
      <c r="B93" s="524"/>
      <c r="C93" s="523"/>
      <c r="D93" s="522"/>
      <c r="E93" s="732"/>
      <c r="F93" s="732"/>
      <c r="G93" s="732"/>
      <c r="H93" s="732"/>
      <c r="I93" s="732"/>
      <c r="J93" s="732"/>
      <c r="K93" s="732"/>
      <c r="L93" s="732"/>
      <c r="M93" s="732"/>
      <c r="N93" s="732"/>
      <c r="O93" s="732"/>
      <c r="P93" s="732"/>
      <c r="Q93" s="732"/>
      <c r="R93" s="732"/>
      <c r="S93" s="732"/>
      <c r="T93" s="732"/>
    </row>
    <row r="94" spans="2:20" x14ac:dyDescent="0.3">
      <c r="B94" s="524"/>
      <c r="C94" s="523"/>
      <c r="D94" s="522"/>
      <c r="E94" s="732"/>
      <c r="F94" s="732"/>
      <c r="G94" s="732"/>
      <c r="H94" s="732"/>
      <c r="I94" s="732"/>
      <c r="J94" s="732"/>
      <c r="K94" s="732"/>
      <c r="L94" s="732"/>
      <c r="M94" s="732"/>
      <c r="N94" s="732"/>
      <c r="O94" s="732"/>
      <c r="P94" s="732"/>
      <c r="Q94" s="732"/>
      <c r="R94" s="732"/>
      <c r="S94" s="732"/>
      <c r="T94" s="732"/>
    </row>
    <row r="95" spans="2:20" x14ac:dyDescent="0.3">
      <c r="B95" s="524"/>
      <c r="C95" s="523"/>
      <c r="D95" s="522"/>
      <c r="E95" s="732"/>
      <c r="F95" s="732"/>
      <c r="G95" s="732"/>
      <c r="H95" s="732"/>
      <c r="I95" s="732"/>
      <c r="J95" s="732"/>
      <c r="K95" s="732"/>
      <c r="L95" s="732"/>
      <c r="M95" s="732"/>
      <c r="N95" s="732"/>
      <c r="O95" s="732"/>
      <c r="P95" s="732"/>
      <c r="Q95" s="732"/>
      <c r="R95" s="732"/>
      <c r="S95" s="732"/>
      <c r="T95" s="732"/>
    </row>
    <row r="96" spans="2:20" x14ac:dyDescent="0.3">
      <c r="B96" s="525"/>
      <c r="C96" s="523"/>
      <c r="D96" s="522"/>
      <c r="E96" s="732"/>
      <c r="F96" s="732"/>
      <c r="G96" s="732"/>
      <c r="H96" s="732"/>
      <c r="I96" s="732"/>
      <c r="J96" s="732"/>
      <c r="K96" s="732"/>
      <c r="L96" s="732"/>
      <c r="M96" s="732"/>
      <c r="N96" s="732"/>
      <c r="O96" s="732"/>
      <c r="P96" s="732"/>
      <c r="Q96" s="732"/>
      <c r="R96" s="732"/>
      <c r="S96" s="732"/>
      <c r="T96" s="732"/>
    </row>
    <row r="97" spans="2:20" x14ac:dyDescent="0.3">
      <c r="B97" s="522"/>
      <c r="C97" s="523"/>
      <c r="D97" s="522"/>
      <c r="E97" s="732"/>
      <c r="F97" s="732"/>
      <c r="G97" s="732"/>
      <c r="H97" s="732"/>
      <c r="I97" s="732"/>
      <c r="J97" s="732"/>
      <c r="K97" s="732"/>
      <c r="L97" s="732"/>
      <c r="M97" s="732"/>
      <c r="N97" s="732"/>
      <c r="O97" s="732"/>
      <c r="P97" s="732"/>
      <c r="Q97" s="732"/>
      <c r="R97" s="732"/>
      <c r="S97" s="732"/>
      <c r="T97" s="732"/>
    </row>
    <row r="98" spans="2:20" x14ac:dyDescent="0.3">
      <c r="B98" s="524"/>
      <c r="C98" s="523"/>
      <c r="D98" s="522"/>
      <c r="E98" s="732"/>
      <c r="F98" s="732"/>
      <c r="G98" s="732"/>
      <c r="H98" s="732"/>
      <c r="I98" s="732"/>
      <c r="J98" s="732"/>
      <c r="K98" s="732"/>
      <c r="L98" s="732"/>
      <c r="M98" s="732"/>
      <c r="N98" s="732"/>
      <c r="O98" s="732"/>
      <c r="P98" s="732"/>
      <c r="Q98" s="732"/>
      <c r="R98" s="732"/>
      <c r="S98" s="732"/>
      <c r="T98" s="732"/>
    </row>
    <row r="99" spans="2:20" ht="15.75" thickBot="1" x14ac:dyDescent="0.35">
      <c r="B99" s="520"/>
      <c r="C99" s="521"/>
      <c r="D99" s="520"/>
      <c r="E99" s="737"/>
      <c r="F99" s="738"/>
      <c r="G99" s="738"/>
      <c r="H99" s="738"/>
      <c r="I99" s="738"/>
      <c r="J99" s="738"/>
      <c r="K99" s="738"/>
      <c r="L99" s="738"/>
      <c r="M99" s="738"/>
      <c r="N99" s="738"/>
      <c r="O99" s="738"/>
      <c r="P99" s="738"/>
      <c r="Q99" s="738"/>
      <c r="R99" s="738"/>
      <c r="S99" s="738"/>
      <c r="T99" s="739"/>
    </row>
  </sheetData>
  <mergeCells count="79">
    <mergeCell ref="E99:T99"/>
    <mergeCell ref="E93:T93"/>
    <mergeCell ref="E94:T94"/>
    <mergeCell ref="E95:T95"/>
    <mergeCell ref="E96:T96"/>
    <mergeCell ref="E97:T97"/>
    <mergeCell ref="E98:T98"/>
    <mergeCell ref="E92:T92"/>
    <mergeCell ref="E81:T81"/>
    <mergeCell ref="E82:T82"/>
    <mergeCell ref="E83:T83"/>
    <mergeCell ref="E84:T84"/>
    <mergeCell ref="E85:T85"/>
    <mergeCell ref="E86:T86"/>
    <mergeCell ref="E87:T87"/>
    <mergeCell ref="E88:T88"/>
    <mergeCell ref="E89:T89"/>
    <mergeCell ref="E90:T90"/>
    <mergeCell ref="E91:T91"/>
    <mergeCell ref="E80:T80"/>
    <mergeCell ref="E69:T69"/>
    <mergeCell ref="E70:T70"/>
    <mergeCell ref="E71:T71"/>
    <mergeCell ref="E72:T72"/>
    <mergeCell ref="E73:T73"/>
    <mergeCell ref="E74:T74"/>
    <mergeCell ref="E75:T75"/>
    <mergeCell ref="E57:T57"/>
    <mergeCell ref="E58:T58"/>
    <mergeCell ref="E59:T59"/>
    <mergeCell ref="E60:T60"/>
    <mergeCell ref="E61:T61"/>
    <mergeCell ref="E67:T67"/>
    <mergeCell ref="E76:T76"/>
    <mergeCell ref="E77:T77"/>
    <mergeCell ref="E78:T78"/>
    <mergeCell ref="E79:T79"/>
    <mergeCell ref="E68:T68"/>
    <mergeCell ref="E62:T62"/>
    <mergeCell ref="E63:T63"/>
    <mergeCell ref="E64:T64"/>
    <mergeCell ref="E65:T65"/>
    <mergeCell ref="E66:T66"/>
    <mergeCell ref="E56:T56"/>
    <mergeCell ref="E45:T45"/>
    <mergeCell ref="E46:T46"/>
    <mergeCell ref="E47:T47"/>
    <mergeCell ref="E48:T48"/>
    <mergeCell ref="E49:T49"/>
    <mergeCell ref="E50:T50"/>
    <mergeCell ref="E51:T51"/>
    <mergeCell ref="E52:T52"/>
    <mergeCell ref="E53:T53"/>
    <mergeCell ref="E54:T54"/>
    <mergeCell ref="E55:T55"/>
    <mergeCell ref="E44:T44"/>
    <mergeCell ref="E33:T33"/>
    <mergeCell ref="E34:T34"/>
    <mergeCell ref="E35:T35"/>
    <mergeCell ref="E36:T36"/>
    <mergeCell ref="E37:T37"/>
    <mergeCell ref="E38:T38"/>
    <mergeCell ref="E39:T39"/>
    <mergeCell ref="B11:D11"/>
    <mergeCell ref="B21:T21"/>
    <mergeCell ref="E23:T23"/>
    <mergeCell ref="E24:T24"/>
    <mergeCell ref="E25:T25"/>
    <mergeCell ref="E31:T31"/>
    <mergeCell ref="E40:T40"/>
    <mergeCell ref="E41:T41"/>
    <mergeCell ref="E42:T42"/>
    <mergeCell ref="E43:T43"/>
    <mergeCell ref="E32:T32"/>
    <mergeCell ref="E26:T26"/>
    <mergeCell ref="E27:T27"/>
    <mergeCell ref="E28:T28"/>
    <mergeCell ref="E29:T29"/>
    <mergeCell ref="E30:T30"/>
  </mergeCells>
  <dataValidations count="1">
    <dataValidation type="list" allowBlank="1" showInputMessage="1" showErrorMessage="1" sqref="B11:D11" xr:uid="{00000000-0002-0000-0000-000000000000}">
      <formula1>"Werkversie,Concept,Eindconcept,Definitieve versie"</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F085A-2AEE-4295-AA32-333AE6B066A3}">
  <dimension ref="A1:AN230"/>
  <sheetViews>
    <sheetView zoomScale="55" zoomScaleNormal="55" workbookViewId="0">
      <selection activeCell="E33" sqref="E33"/>
    </sheetView>
  </sheetViews>
  <sheetFormatPr defaultRowHeight="15" x14ac:dyDescent="0.3"/>
  <cols>
    <col min="1" max="2" width="21.85546875" customWidth="1"/>
    <col min="3" max="3" width="34.5703125" customWidth="1"/>
    <col min="4" max="4" width="21.85546875" customWidth="1"/>
    <col min="5" max="21" width="16.140625" customWidth="1"/>
    <col min="25" max="40" width="16.140625" customWidth="1"/>
  </cols>
  <sheetData>
    <row r="1" spans="1:40" ht="16.5" x14ac:dyDescent="0.3">
      <c r="A1" s="513" t="s">
        <v>1367</v>
      </c>
      <c r="B1" s="513" t="s">
        <v>1368</v>
      </c>
      <c r="C1" s="513" t="s">
        <v>450</v>
      </c>
      <c r="D1" s="513" t="s">
        <v>39</v>
      </c>
      <c r="E1" s="513" t="s">
        <v>1528</v>
      </c>
      <c r="F1" s="620" t="s">
        <v>1535</v>
      </c>
      <c r="G1" s="513">
        <v>2024</v>
      </c>
      <c r="H1" s="513">
        <v>2023</v>
      </c>
      <c r="I1" s="513">
        <v>2022</v>
      </c>
      <c r="J1" s="513">
        <v>2021</v>
      </c>
      <c r="K1" s="513">
        <v>2020</v>
      </c>
      <c r="L1" s="513">
        <v>2019</v>
      </c>
      <c r="M1" s="513">
        <v>2018</v>
      </c>
      <c r="N1" s="513">
        <v>2017</v>
      </c>
      <c r="O1" s="513">
        <v>2016</v>
      </c>
      <c r="P1" s="513">
        <v>2015</v>
      </c>
      <c r="Q1" s="513">
        <v>2014</v>
      </c>
      <c r="R1" s="513">
        <v>2013</v>
      </c>
      <c r="S1" s="513">
        <v>2012</v>
      </c>
      <c r="T1" s="513">
        <v>2011</v>
      </c>
      <c r="U1" s="513">
        <v>2010</v>
      </c>
      <c r="V1" s="617"/>
      <c r="W1" t="s">
        <v>1791</v>
      </c>
      <c r="Y1" s="620" t="s">
        <v>1535</v>
      </c>
      <c r="Z1" s="513">
        <v>2024</v>
      </c>
      <c r="AA1" s="513">
        <v>2023</v>
      </c>
      <c r="AB1" s="513">
        <v>2022</v>
      </c>
      <c r="AC1" s="513">
        <v>2021</v>
      </c>
      <c r="AD1" s="513">
        <v>2020</v>
      </c>
      <c r="AE1" s="513">
        <v>2019</v>
      </c>
      <c r="AF1" s="513">
        <v>2018</v>
      </c>
      <c r="AG1" s="513">
        <v>2017</v>
      </c>
      <c r="AH1" s="513">
        <v>2016</v>
      </c>
      <c r="AI1" s="513">
        <v>2015</v>
      </c>
      <c r="AJ1" s="513">
        <v>2014</v>
      </c>
      <c r="AK1" s="513">
        <v>2013</v>
      </c>
      <c r="AL1" s="513">
        <v>2012</v>
      </c>
      <c r="AM1" s="513">
        <v>2011</v>
      </c>
      <c r="AN1" s="513">
        <v>2010</v>
      </c>
    </row>
    <row r="2" spans="1:40" x14ac:dyDescent="0.3">
      <c r="A2" s="489" t="s">
        <v>1414</v>
      </c>
      <c r="B2" s="489" t="s">
        <v>1430</v>
      </c>
      <c r="C2" s="489" t="s">
        <v>1431</v>
      </c>
      <c r="D2" s="489" t="s">
        <v>46</v>
      </c>
      <c r="E2" s="619">
        <v>4826</v>
      </c>
      <c r="F2" s="624">
        <f>Y2</f>
        <v>0</v>
      </c>
      <c r="G2" s="519">
        <f t="shared" ref="G2:U17" si="0">IF(Z2&gt;0,Z2,IF(H2&gt;0,H2,0))</f>
        <v>0</v>
      </c>
      <c r="H2" s="519">
        <f t="shared" si="0"/>
        <v>0</v>
      </c>
      <c r="I2" s="519">
        <f t="shared" si="0"/>
        <v>0</v>
      </c>
      <c r="J2" s="519">
        <f t="shared" si="0"/>
        <v>0</v>
      </c>
      <c r="K2" s="519">
        <f t="shared" si="0"/>
        <v>0</v>
      </c>
      <c r="L2" s="519">
        <f t="shared" si="0"/>
        <v>0</v>
      </c>
      <c r="M2" s="519">
        <f t="shared" si="0"/>
        <v>0</v>
      </c>
      <c r="N2" s="519">
        <f t="shared" si="0"/>
        <v>0</v>
      </c>
      <c r="O2" s="519">
        <f t="shared" si="0"/>
        <v>0</v>
      </c>
      <c r="P2" s="519">
        <f t="shared" si="0"/>
        <v>0</v>
      </c>
      <c r="Q2" s="519">
        <f t="shared" si="0"/>
        <v>0</v>
      </c>
      <c r="R2" s="519">
        <f t="shared" si="0"/>
        <v>0</v>
      </c>
      <c r="S2" s="519">
        <f t="shared" si="0"/>
        <v>0</v>
      </c>
      <c r="T2" s="519">
        <f t="shared" si="0"/>
        <v>0</v>
      </c>
      <c r="U2" s="519">
        <f t="shared" si="0"/>
        <v>0</v>
      </c>
      <c r="V2" s="618"/>
      <c r="W2" t="s">
        <v>1790</v>
      </c>
      <c r="Y2" s="624">
        <v>0</v>
      </c>
      <c r="Z2" s="519">
        <v>0</v>
      </c>
      <c r="AA2" s="519">
        <v>0</v>
      </c>
      <c r="AB2" s="519">
        <v>0</v>
      </c>
      <c r="AC2" s="519">
        <v>0</v>
      </c>
      <c r="AD2" s="519">
        <v>0</v>
      </c>
      <c r="AE2" s="519">
        <v>0</v>
      </c>
      <c r="AF2" s="519">
        <v>0</v>
      </c>
      <c r="AG2" s="519">
        <v>0</v>
      </c>
      <c r="AH2" s="519">
        <v>0</v>
      </c>
      <c r="AI2" s="519">
        <v>0</v>
      </c>
      <c r="AJ2" s="519">
        <v>0</v>
      </c>
      <c r="AK2" s="519">
        <v>0</v>
      </c>
      <c r="AL2" s="519">
        <v>0</v>
      </c>
      <c r="AM2" s="519">
        <v>0</v>
      </c>
      <c r="AN2" s="519">
        <v>0</v>
      </c>
    </row>
    <row r="3" spans="1:40" x14ac:dyDescent="0.3">
      <c r="A3" s="489" t="s">
        <v>1414</v>
      </c>
      <c r="B3" s="489" t="s">
        <v>1428</v>
      </c>
      <c r="C3" s="489" t="s">
        <v>1429</v>
      </c>
      <c r="D3" s="489" t="s">
        <v>46</v>
      </c>
      <c r="E3" s="619">
        <v>2174</v>
      </c>
      <c r="F3" s="624">
        <f t="shared" ref="F3:F66" si="1">Y3</f>
        <v>0</v>
      </c>
      <c r="G3" s="519">
        <f t="shared" si="0"/>
        <v>0</v>
      </c>
      <c r="H3" s="519">
        <f t="shared" si="0"/>
        <v>0</v>
      </c>
      <c r="I3" s="519">
        <f t="shared" si="0"/>
        <v>0</v>
      </c>
      <c r="J3" s="519">
        <f t="shared" si="0"/>
        <v>0</v>
      </c>
      <c r="K3" s="519">
        <f t="shared" si="0"/>
        <v>0</v>
      </c>
      <c r="L3" s="519">
        <f t="shared" si="0"/>
        <v>0</v>
      </c>
      <c r="M3" s="519">
        <f t="shared" si="0"/>
        <v>0</v>
      </c>
      <c r="N3" s="519">
        <f t="shared" si="0"/>
        <v>0</v>
      </c>
      <c r="O3" s="519">
        <f t="shared" si="0"/>
        <v>0</v>
      </c>
      <c r="P3" s="519">
        <f t="shared" si="0"/>
        <v>0</v>
      </c>
      <c r="Q3" s="519">
        <f t="shared" si="0"/>
        <v>0</v>
      </c>
      <c r="R3" s="519">
        <f t="shared" si="0"/>
        <v>0</v>
      </c>
      <c r="S3" s="519">
        <f t="shared" si="0"/>
        <v>0</v>
      </c>
      <c r="T3" s="519">
        <f t="shared" si="0"/>
        <v>0</v>
      </c>
      <c r="U3" s="519">
        <f t="shared" si="0"/>
        <v>0</v>
      </c>
      <c r="V3" s="618"/>
      <c r="Y3" s="624">
        <v>0</v>
      </c>
      <c r="Z3" s="519">
        <v>0</v>
      </c>
      <c r="AA3" s="519">
        <v>0</v>
      </c>
      <c r="AB3" s="519">
        <v>0</v>
      </c>
      <c r="AC3" s="519">
        <v>0</v>
      </c>
      <c r="AD3" s="519">
        <v>0</v>
      </c>
      <c r="AE3" s="519">
        <v>0</v>
      </c>
      <c r="AF3" s="519">
        <v>0</v>
      </c>
      <c r="AG3" s="519">
        <v>0</v>
      </c>
      <c r="AH3" s="519">
        <v>0</v>
      </c>
      <c r="AI3" s="519">
        <v>0</v>
      </c>
      <c r="AJ3" s="519">
        <v>0</v>
      </c>
      <c r="AK3" s="519">
        <v>0</v>
      </c>
      <c r="AL3" s="519">
        <v>0</v>
      </c>
      <c r="AM3" s="519">
        <v>0</v>
      </c>
      <c r="AN3" s="519">
        <v>0</v>
      </c>
    </row>
    <row r="4" spans="1:40" x14ac:dyDescent="0.3">
      <c r="A4" s="489" t="s">
        <v>1441</v>
      </c>
      <c r="B4" s="489" t="s">
        <v>1447</v>
      </c>
      <c r="C4" s="489" t="s">
        <v>1448</v>
      </c>
      <c r="D4" s="489" t="s">
        <v>46</v>
      </c>
      <c r="E4" s="619">
        <v>1174</v>
      </c>
      <c r="F4" s="624">
        <f t="shared" si="1"/>
        <v>0</v>
      </c>
      <c r="G4" s="519">
        <f t="shared" si="0"/>
        <v>0</v>
      </c>
      <c r="H4" s="519">
        <f t="shared" si="0"/>
        <v>0</v>
      </c>
      <c r="I4" s="519">
        <f t="shared" si="0"/>
        <v>0</v>
      </c>
      <c r="J4" s="519">
        <f t="shared" si="0"/>
        <v>0</v>
      </c>
      <c r="K4" s="519">
        <f t="shared" si="0"/>
        <v>0</v>
      </c>
      <c r="L4" s="519">
        <f t="shared" si="0"/>
        <v>0</v>
      </c>
      <c r="M4" s="519">
        <f t="shared" si="0"/>
        <v>0</v>
      </c>
      <c r="N4" s="519">
        <f t="shared" si="0"/>
        <v>0</v>
      </c>
      <c r="O4" s="519">
        <f t="shared" si="0"/>
        <v>0</v>
      </c>
      <c r="P4" s="519">
        <f t="shared" si="0"/>
        <v>0</v>
      </c>
      <c r="Q4" s="519">
        <f t="shared" si="0"/>
        <v>0</v>
      </c>
      <c r="R4" s="519">
        <f t="shared" si="0"/>
        <v>0</v>
      </c>
      <c r="S4" s="519">
        <f t="shared" si="0"/>
        <v>0</v>
      </c>
      <c r="T4" s="519">
        <f t="shared" si="0"/>
        <v>0</v>
      </c>
      <c r="U4" s="519">
        <f t="shared" si="0"/>
        <v>0</v>
      </c>
      <c r="V4" s="618"/>
      <c r="Y4" s="624">
        <v>0</v>
      </c>
      <c r="Z4" s="519">
        <v>0</v>
      </c>
      <c r="AA4" s="519">
        <v>0</v>
      </c>
      <c r="AB4" s="519">
        <v>0</v>
      </c>
      <c r="AC4" s="519">
        <v>0</v>
      </c>
      <c r="AD4" s="519">
        <v>0</v>
      </c>
      <c r="AE4" s="519">
        <v>0</v>
      </c>
      <c r="AF4" s="519">
        <v>0</v>
      </c>
      <c r="AG4" s="519">
        <v>0</v>
      </c>
      <c r="AH4" s="519">
        <v>0</v>
      </c>
      <c r="AI4" s="519">
        <v>0</v>
      </c>
      <c r="AJ4" s="519">
        <v>0</v>
      </c>
      <c r="AK4" s="519">
        <v>0</v>
      </c>
      <c r="AL4" s="519">
        <v>0</v>
      </c>
      <c r="AM4" s="519">
        <v>0</v>
      </c>
      <c r="AN4" s="519">
        <v>0</v>
      </c>
    </row>
    <row r="5" spans="1:40" x14ac:dyDescent="0.3">
      <c r="A5" s="489" t="s">
        <v>1417</v>
      </c>
      <c r="B5" s="489" t="s">
        <v>1418</v>
      </c>
      <c r="C5" s="489" t="s">
        <v>1232</v>
      </c>
      <c r="D5" s="489" t="s">
        <v>141</v>
      </c>
      <c r="E5" s="619">
        <v>1068</v>
      </c>
      <c r="F5" s="624">
        <f t="shared" si="1"/>
        <v>16.055399999999999</v>
      </c>
      <c r="G5" s="519">
        <f t="shared" si="0"/>
        <v>16.198765432098764</v>
      </c>
      <c r="H5" s="519">
        <f t="shared" si="0"/>
        <v>16.198255813953487</v>
      </c>
      <c r="I5" s="519">
        <f t="shared" si="0"/>
        <v>16.07445652173913</v>
      </c>
      <c r="J5" s="519">
        <f t="shared" si="0"/>
        <v>15.896954314720812</v>
      </c>
      <c r="K5" s="519">
        <f t="shared" si="0"/>
        <v>15.9</v>
      </c>
      <c r="L5" s="519">
        <f t="shared" si="0"/>
        <v>15.9</v>
      </c>
      <c r="M5" s="519">
        <f t="shared" si="0"/>
        <v>15.9</v>
      </c>
      <c r="N5" s="519">
        <f t="shared" si="0"/>
        <v>0</v>
      </c>
      <c r="O5" s="519">
        <f t="shared" si="0"/>
        <v>0</v>
      </c>
      <c r="P5" s="519">
        <f t="shared" si="0"/>
        <v>0</v>
      </c>
      <c r="Q5" s="519">
        <f t="shared" si="0"/>
        <v>0</v>
      </c>
      <c r="R5" s="519">
        <f t="shared" si="0"/>
        <v>0</v>
      </c>
      <c r="S5" s="519">
        <f t="shared" si="0"/>
        <v>0</v>
      </c>
      <c r="T5" s="519">
        <f t="shared" si="0"/>
        <v>0</v>
      </c>
      <c r="U5" s="519">
        <f t="shared" si="0"/>
        <v>0</v>
      </c>
      <c r="V5" s="618"/>
      <c r="Y5" s="624">
        <v>16.055399999999999</v>
      </c>
      <c r="Z5" s="519">
        <v>16.198765432098764</v>
      </c>
      <c r="AA5" s="519">
        <v>16.198255813953487</v>
      </c>
      <c r="AB5" s="519">
        <v>16.07445652173913</v>
      </c>
      <c r="AC5" s="519">
        <v>15.896954314720812</v>
      </c>
      <c r="AD5" s="519">
        <v>15.9</v>
      </c>
      <c r="AE5" s="519">
        <v>15.9</v>
      </c>
      <c r="AF5" s="519">
        <v>15.9</v>
      </c>
      <c r="AG5" s="519">
        <v>0</v>
      </c>
      <c r="AH5" s="519">
        <v>0</v>
      </c>
      <c r="AI5" s="519">
        <v>0</v>
      </c>
      <c r="AJ5" s="519">
        <v>0</v>
      </c>
      <c r="AK5" s="519">
        <v>0</v>
      </c>
      <c r="AL5" s="519">
        <v>0</v>
      </c>
      <c r="AM5" s="519">
        <v>0</v>
      </c>
      <c r="AN5" s="519">
        <v>0</v>
      </c>
    </row>
    <row r="6" spans="1:40" x14ac:dyDescent="0.3">
      <c r="A6" s="489" t="s">
        <v>1414</v>
      </c>
      <c r="B6" s="489" t="s">
        <v>1540</v>
      </c>
      <c r="C6" s="489" t="s">
        <v>1541</v>
      </c>
      <c r="D6" s="489" t="s">
        <v>46</v>
      </c>
      <c r="E6" s="619">
        <v>965</v>
      </c>
      <c r="F6" s="624">
        <f t="shared" si="1"/>
        <v>0</v>
      </c>
      <c r="G6" s="519">
        <f t="shared" si="0"/>
        <v>0</v>
      </c>
      <c r="H6" s="519">
        <f t="shared" si="0"/>
        <v>0</v>
      </c>
      <c r="I6" s="519">
        <f t="shared" si="0"/>
        <v>0</v>
      </c>
      <c r="J6" s="519">
        <f t="shared" si="0"/>
        <v>0</v>
      </c>
      <c r="K6" s="519">
        <f t="shared" si="0"/>
        <v>0</v>
      </c>
      <c r="L6" s="519">
        <f t="shared" si="0"/>
        <v>0</v>
      </c>
      <c r="M6" s="519">
        <f t="shared" si="0"/>
        <v>0</v>
      </c>
      <c r="N6" s="519">
        <f t="shared" si="0"/>
        <v>0</v>
      </c>
      <c r="O6" s="519">
        <f t="shared" si="0"/>
        <v>0</v>
      </c>
      <c r="P6" s="519">
        <f t="shared" si="0"/>
        <v>0</v>
      </c>
      <c r="Q6" s="519">
        <f t="shared" si="0"/>
        <v>0</v>
      </c>
      <c r="R6" s="519">
        <f t="shared" si="0"/>
        <v>0</v>
      </c>
      <c r="S6" s="519">
        <f t="shared" si="0"/>
        <v>0</v>
      </c>
      <c r="T6" s="519">
        <f t="shared" si="0"/>
        <v>0</v>
      </c>
      <c r="U6" s="519">
        <f t="shared" si="0"/>
        <v>0</v>
      </c>
      <c r="V6" s="618"/>
      <c r="Y6" s="624">
        <v>0</v>
      </c>
      <c r="Z6" s="519">
        <v>0</v>
      </c>
      <c r="AA6" s="519">
        <v>0</v>
      </c>
      <c r="AB6" s="519">
        <v>0</v>
      </c>
      <c r="AC6" s="519">
        <v>0</v>
      </c>
      <c r="AD6" s="519">
        <v>0</v>
      </c>
      <c r="AE6" s="519">
        <v>0</v>
      </c>
      <c r="AF6" s="519">
        <v>0</v>
      </c>
      <c r="AG6" s="519">
        <v>0</v>
      </c>
      <c r="AH6" s="519">
        <v>0</v>
      </c>
      <c r="AI6" s="519">
        <v>0</v>
      </c>
      <c r="AJ6" s="519">
        <v>0</v>
      </c>
      <c r="AK6" s="519">
        <v>0</v>
      </c>
      <c r="AL6" s="519">
        <v>0</v>
      </c>
      <c r="AM6" s="519">
        <v>0</v>
      </c>
      <c r="AN6" s="519">
        <v>0</v>
      </c>
    </row>
    <row r="7" spans="1:40" x14ac:dyDescent="0.3">
      <c r="A7" s="489" t="s">
        <v>1432</v>
      </c>
      <c r="B7" s="489" t="s">
        <v>1433</v>
      </c>
      <c r="C7" s="489" t="s">
        <v>1434</v>
      </c>
      <c r="D7" s="489" t="s">
        <v>141</v>
      </c>
      <c r="E7" s="619">
        <v>952</v>
      </c>
      <c r="F7" s="624">
        <f t="shared" si="1"/>
        <v>26.835294117647059</v>
      </c>
      <c r="G7" s="519">
        <f t="shared" si="0"/>
        <v>26.608256880733943</v>
      </c>
      <c r="H7" s="519">
        <f t="shared" si="0"/>
        <v>26.775492341356674</v>
      </c>
      <c r="I7" s="519">
        <f t="shared" si="0"/>
        <v>26.91529745042493</v>
      </c>
      <c r="J7" s="519">
        <f t="shared" si="0"/>
        <v>27.557575757575755</v>
      </c>
      <c r="K7" s="519">
        <f t="shared" si="0"/>
        <v>0</v>
      </c>
      <c r="L7" s="519">
        <f t="shared" si="0"/>
        <v>0</v>
      </c>
      <c r="M7" s="519">
        <f t="shared" si="0"/>
        <v>0</v>
      </c>
      <c r="N7" s="519">
        <f t="shared" si="0"/>
        <v>0</v>
      </c>
      <c r="O7" s="519">
        <f t="shared" si="0"/>
        <v>0</v>
      </c>
      <c r="P7" s="519">
        <f t="shared" si="0"/>
        <v>0</v>
      </c>
      <c r="Q7" s="519">
        <f t="shared" si="0"/>
        <v>0</v>
      </c>
      <c r="R7" s="519">
        <f t="shared" si="0"/>
        <v>0</v>
      </c>
      <c r="S7" s="519">
        <f t="shared" si="0"/>
        <v>0</v>
      </c>
      <c r="T7" s="519">
        <f t="shared" si="0"/>
        <v>0</v>
      </c>
      <c r="U7" s="519">
        <f t="shared" si="0"/>
        <v>0</v>
      </c>
      <c r="V7" s="618"/>
      <c r="Y7" s="624">
        <v>26.835294117647059</v>
      </c>
      <c r="Z7" s="519">
        <v>26.608256880733943</v>
      </c>
      <c r="AA7" s="519">
        <v>26.775492341356674</v>
      </c>
      <c r="AB7" s="519">
        <v>26.91529745042493</v>
      </c>
      <c r="AC7" s="519">
        <v>27.557575757575755</v>
      </c>
      <c r="AD7" s="519">
        <v>0</v>
      </c>
      <c r="AE7" s="519">
        <v>0</v>
      </c>
      <c r="AF7" s="519">
        <v>0</v>
      </c>
      <c r="AG7" s="519">
        <v>0</v>
      </c>
      <c r="AH7" s="519">
        <v>0</v>
      </c>
      <c r="AI7" s="519">
        <v>0</v>
      </c>
      <c r="AJ7" s="519">
        <v>0</v>
      </c>
      <c r="AK7" s="519">
        <v>0</v>
      </c>
      <c r="AL7" s="519">
        <v>0</v>
      </c>
      <c r="AM7" s="519">
        <v>0</v>
      </c>
      <c r="AN7" s="519">
        <v>0</v>
      </c>
    </row>
    <row r="8" spans="1:40" x14ac:dyDescent="0.3">
      <c r="A8" s="489" t="s">
        <v>1414</v>
      </c>
      <c r="B8" s="489" t="s">
        <v>1370</v>
      </c>
      <c r="C8" s="489" t="s">
        <v>1416</v>
      </c>
      <c r="D8" s="489" t="s">
        <v>46</v>
      </c>
      <c r="E8" s="619">
        <v>843</v>
      </c>
      <c r="F8" s="624">
        <f t="shared" si="1"/>
        <v>0</v>
      </c>
      <c r="G8" s="519">
        <f t="shared" si="0"/>
        <v>0</v>
      </c>
      <c r="H8" s="519">
        <f t="shared" si="0"/>
        <v>0</v>
      </c>
      <c r="I8" s="519">
        <f t="shared" si="0"/>
        <v>0</v>
      </c>
      <c r="J8" s="519">
        <f t="shared" si="0"/>
        <v>0</v>
      </c>
      <c r="K8" s="519">
        <f t="shared" si="0"/>
        <v>0</v>
      </c>
      <c r="L8" s="519">
        <f t="shared" si="0"/>
        <v>0</v>
      </c>
      <c r="M8" s="519">
        <f t="shared" si="0"/>
        <v>0</v>
      </c>
      <c r="N8" s="519">
        <f t="shared" si="0"/>
        <v>0</v>
      </c>
      <c r="O8" s="519">
        <f t="shared" si="0"/>
        <v>0</v>
      </c>
      <c r="P8" s="519">
        <f t="shared" si="0"/>
        <v>0</v>
      </c>
      <c r="Q8" s="519">
        <f t="shared" si="0"/>
        <v>0</v>
      </c>
      <c r="R8" s="519">
        <f t="shared" si="0"/>
        <v>0</v>
      </c>
      <c r="S8" s="519">
        <f t="shared" si="0"/>
        <v>0</v>
      </c>
      <c r="T8" s="519">
        <f t="shared" si="0"/>
        <v>0</v>
      </c>
      <c r="U8" s="519">
        <f t="shared" si="0"/>
        <v>0</v>
      </c>
      <c r="V8" s="618"/>
      <c r="Y8" s="624">
        <v>0</v>
      </c>
      <c r="Z8" s="519">
        <v>0</v>
      </c>
      <c r="AA8" s="519">
        <v>0</v>
      </c>
      <c r="AB8" s="519">
        <v>0</v>
      </c>
      <c r="AC8" s="519">
        <v>0</v>
      </c>
      <c r="AD8" s="519">
        <v>0</v>
      </c>
      <c r="AE8" s="519">
        <v>0</v>
      </c>
      <c r="AF8" s="519">
        <v>0</v>
      </c>
      <c r="AG8" s="519">
        <v>0</v>
      </c>
      <c r="AH8" s="519">
        <v>0</v>
      </c>
      <c r="AI8" s="519">
        <v>0</v>
      </c>
      <c r="AJ8" s="519">
        <v>0</v>
      </c>
      <c r="AK8" s="519">
        <v>0</v>
      </c>
      <c r="AL8" s="519">
        <v>0</v>
      </c>
      <c r="AM8" s="519">
        <v>0</v>
      </c>
      <c r="AN8" s="519">
        <v>0</v>
      </c>
    </row>
    <row r="9" spans="1:40" x14ac:dyDescent="0.3">
      <c r="A9" s="489" t="s">
        <v>1441</v>
      </c>
      <c r="B9" s="489" t="s">
        <v>1542</v>
      </c>
      <c r="C9" s="489" t="s">
        <v>1543</v>
      </c>
      <c r="D9" s="489" t="s">
        <v>46</v>
      </c>
      <c r="E9" s="619">
        <v>837</v>
      </c>
      <c r="F9" s="624">
        <f t="shared" si="1"/>
        <v>0</v>
      </c>
      <c r="G9" s="519">
        <f t="shared" si="0"/>
        <v>0</v>
      </c>
      <c r="H9" s="519">
        <f t="shared" si="0"/>
        <v>0</v>
      </c>
      <c r="I9" s="519">
        <f t="shared" si="0"/>
        <v>0</v>
      </c>
      <c r="J9" s="519">
        <f t="shared" si="0"/>
        <v>0</v>
      </c>
      <c r="K9" s="519">
        <f t="shared" si="0"/>
        <v>0</v>
      </c>
      <c r="L9" s="519">
        <f t="shared" si="0"/>
        <v>0</v>
      </c>
      <c r="M9" s="519">
        <f t="shared" si="0"/>
        <v>0</v>
      </c>
      <c r="N9" s="519">
        <f t="shared" si="0"/>
        <v>0</v>
      </c>
      <c r="O9" s="519">
        <f t="shared" si="0"/>
        <v>0</v>
      </c>
      <c r="P9" s="519">
        <f t="shared" si="0"/>
        <v>0</v>
      </c>
      <c r="Q9" s="519">
        <f t="shared" si="0"/>
        <v>0</v>
      </c>
      <c r="R9" s="519">
        <f t="shared" si="0"/>
        <v>0</v>
      </c>
      <c r="S9" s="519">
        <f t="shared" si="0"/>
        <v>0</v>
      </c>
      <c r="T9" s="519">
        <f t="shared" si="0"/>
        <v>0</v>
      </c>
      <c r="U9" s="519">
        <f t="shared" si="0"/>
        <v>0</v>
      </c>
      <c r="V9" s="618"/>
      <c r="Y9" s="624">
        <v>0</v>
      </c>
      <c r="Z9" s="519">
        <v>0</v>
      </c>
      <c r="AA9" s="519">
        <v>0</v>
      </c>
      <c r="AB9" s="519">
        <v>0</v>
      </c>
      <c r="AC9" s="519">
        <v>0</v>
      </c>
      <c r="AD9" s="519">
        <v>0</v>
      </c>
      <c r="AE9" s="519">
        <v>0</v>
      </c>
      <c r="AF9" s="519">
        <v>0</v>
      </c>
      <c r="AG9" s="519">
        <v>0</v>
      </c>
      <c r="AH9" s="519">
        <v>0</v>
      </c>
      <c r="AI9" s="519">
        <v>0</v>
      </c>
      <c r="AJ9" s="519">
        <v>0</v>
      </c>
      <c r="AK9" s="519">
        <v>0</v>
      </c>
      <c r="AL9" s="519">
        <v>0</v>
      </c>
      <c r="AM9" s="519">
        <v>0</v>
      </c>
      <c r="AN9" s="519">
        <v>0</v>
      </c>
    </row>
    <row r="10" spans="1:40" x14ac:dyDescent="0.3">
      <c r="A10" s="489" t="s">
        <v>1441</v>
      </c>
      <c r="B10" s="489" t="s">
        <v>1444</v>
      </c>
      <c r="C10" s="489" t="s">
        <v>870</v>
      </c>
      <c r="D10" s="489" t="s">
        <v>46</v>
      </c>
      <c r="E10" s="619">
        <v>837</v>
      </c>
      <c r="F10" s="624">
        <f t="shared" si="1"/>
        <v>0</v>
      </c>
      <c r="G10" s="519">
        <f t="shared" si="0"/>
        <v>0</v>
      </c>
      <c r="H10" s="519">
        <f t="shared" si="0"/>
        <v>0</v>
      </c>
      <c r="I10" s="519">
        <f t="shared" si="0"/>
        <v>0</v>
      </c>
      <c r="J10" s="519">
        <f t="shared" si="0"/>
        <v>0</v>
      </c>
      <c r="K10" s="519">
        <f t="shared" si="0"/>
        <v>0</v>
      </c>
      <c r="L10" s="519">
        <f t="shared" si="0"/>
        <v>0</v>
      </c>
      <c r="M10" s="519">
        <f t="shared" si="0"/>
        <v>0</v>
      </c>
      <c r="N10" s="519">
        <f t="shared" si="0"/>
        <v>0</v>
      </c>
      <c r="O10" s="519">
        <f t="shared" si="0"/>
        <v>0</v>
      </c>
      <c r="P10" s="519">
        <f t="shared" si="0"/>
        <v>0</v>
      </c>
      <c r="Q10" s="519">
        <f t="shared" si="0"/>
        <v>0</v>
      </c>
      <c r="R10" s="519">
        <f t="shared" si="0"/>
        <v>0</v>
      </c>
      <c r="S10" s="519">
        <f t="shared" si="0"/>
        <v>0</v>
      </c>
      <c r="T10" s="519">
        <f t="shared" si="0"/>
        <v>0</v>
      </c>
      <c r="U10" s="519">
        <f t="shared" si="0"/>
        <v>0</v>
      </c>
      <c r="V10" s="618"/>
      <c r="Y10" s="624">
        <v>0</v>
      </c>
      <c r="Z10" s="519">
        <v>0</v>
      </c>
      <c r="AA10" s="519">
        <v>0</v>
      </c>
      <c r="AB10" s="519">
        <v>0</v>
      </c>
      <c r="AC10" s="519">
        <v>0</v>
      </c>
      <c r="AD10" s="519">
        <v>0</v>
      </c>
      <c r="AE10" s="519">
        <v>0</v>
      </c>
      <c r="AF10" s="519">
        <v>0</v>
      </c>
      <c r="AG10" s="519">
        <v>0</v>
      </c>
      <c r="AH10" s="519">
        <v>0</v>
      </c>
      <c r="AI10" s="519">
        <v>0</v>
      </c>
      <c r="AJ10" s="519">
        <v>0</v>
      </c>
      <c r="AK10" s="519">
        <v>0</v>
      </c>
      <c r="AL10" s="519">
        <v>0</v>
      </c>
      <c r="AM10" s="519">
        <v>0</v>
      </c>
      <c r="AN10" s="519">
        <v>0</v>
      </c>
    </row>
    <row r="11" spans="1:40" x14ac:dyDescent="0.3">
      <c r="A11" s="489" t="s">
        <v>1544</v>
      </c>
      <c r="B11" s="489" t="s">
        <v>1545</v>
      </c>
      <c r="C11" s="489" t="s">
        <v>1546</v>
      </c>
      <c r="D11" s="489" t="s">
        <v>46</v>
      </c>
      <c r="E11" s="619">
        <v>837</v>
      </c>
      <c r="F11" s="624">
        <f t="shared" si="1"/>
        <v>0</v>
      </c>
      <c r="G11" s="519">
        <f t="shared" si="0"/>
        <v>0</v>
      </c>
      <c r="H11" s="519">
        <f t="shared" si="0"/>
        <v>0</v>
      </c>
      <c r="I11" s="519">
        <f t="shared" si="0"/>
        <v>0</v>
      </c>
      <c r="J11" s="519">
        <f t="shared" si="0"/>
        <v>0</v>
      </c>
      <c r="K11" s="519">
        <f t="shared" si="0"/>
        <v>0</v>
      </c>
      <c r="L11" s="519">
        <f t="shared" si="0"/>
        <v>0</v>
      </c>
      <c r="M11" s="519">
        <f t="shared" si="0"/>
        <v>0</v>
      </c>
      <c r="N11" s="519">
        <f t="shared" si="0"/>
        <v>0</v>
      </c>
      <c r="O11" s="519">
        <f t="shared" si="0"/>
        <v>0</v>
      </c>
      <c r="P11" s="519">
        <f t="shared" si="0"/>
        <v>0</v>
      </c>
      <c r="Q11" s="519">
        <f t="shared" si="0"/>
        <v>0</v>
      </c>
      <c r="R11" s="519">
        <f t="shared" si="0"/>
        <v>0</v>
      </c>
      <c r="S11" s="519">
        <f t="shared" si="0"/>
        <v>0</v>
      </c>
      <c r="T11" s="519">
        <f t="shared" si="0"/>
        <v>0</v>
      </c>
      <c r="U11" s="519">
        <f t="shared" si="0"/>
        <v>0</v>
      </c>
      <c r="V11" s="618"/>
      <c r="Y11" s="624">
        <v>0</v>
      </c>
      <c r="Z11" s="519">
        <v>0</v>
      </c>
      <c r="AA11" s="519">
        <v>0</v>
      </c>
      <c r="AB11" s="519">
        <v>0</v>
      </c>
      <c r="AC11" s="519">
        <v>0</v>
      </c>
      <c r="AD11" s="519">
        <v>0</v>
      </c>
      <c r="AE11" s="519">
        <v>0</v>
      </c>
      <c r="AF11" s="519">
        <v>0</v>
      </c>
      <c r="AG11" s="519">
        <v>0</v>
      </c>
      <c r="AH11" s="519">
        <v>0</v>
      </c>
      <c r="AI11" s="519">
        <v>0</v>
      </c>
      <c r="AJ11" s="519">
        <v>0</v>
      </c>
      <c r="AK11" s="519">
        <v>0</v>
      </c>
      <c r="AL11" s="519">
        <v>0</v>
      </c>
      <c r="AM11" s="519">
        <v>0</v>
      </c>
      <c r="AN11" s="519">
        <v>0</v>
      </c>
    </row>
    <row r="12" spans="1:40" x14ac:dyDescent="0.3">
      <c r="A12" s="489" t="s">
        <v>1414</v>
      </c>
      <c r="B12" s="489" t="s">
        <v>1369</v>
      </c>
      <c r="C12" s="489" t="s">
        <v>1415</v>
      </c>
      <c r="D12" s="489" t="s">
        <v>46</v>
      </c>
      <c r="E12" s="619">
        <v>806</v>
      </c>
      <c r="F12" s="624">
        <f t="shared" si="1"/>
        <v>0</v>
      </c>
      <c r="G12" s="519">
        <f t="shared" si="0"/>
        <v>0</v>
      </c>
      <c r="H12" s="519">
        <f t="shared" si="0"/>
        <v>0</v>
      </c>
      <c r="I12" s="519">
        <f t="shared" si="0"/>
        <v>0</v>
      </c>
      <c r="J12" s="519">
        <f t="shared" si="0"/>
        <v>0</v>
      </c>
      <c r="K12" s="519">
        <f t="shared" si="0"/>
        <v>0</v>
      </c>
      <c r="L12" s="519">
        <f t="shared" si="0"/>
        <v>0</v>
      </c>
      <c r="M12" s="519">
        <f t="shared" si="0"/>
        <v>0</v>
      </c>
      <c r="N12" s="519">
        <f t="shared" si="0"/>
        <v>0</v>
      </c>
      <c r="O12" s="519">
        <f t="shared" si="0"/>
        <v>0</v>
      </c>
      <c r="P12" s="519">
        <f t="shared" si="0"/>
        <v>0</v>
      </c>
      <c r="Q12" s="519">
        <f t="shared" si="0"/>
        <v>0</v>
      </c>
      <c r="R12" s="519">
        <f t="shared" si="0"/>
        <v>0</v>
      </c>
      <c r="S12" s="519">
        <f t="shared" si="0"/>
        <v>0</v>
      </c>
      <c r="T12" s="519">
        <f t="shared" si="0"/>
        <v>0</v>
      </c>
      <c r="U12" s="519">
        <f t="shared" si="0"/>
        <v>0</v>
      </c>
      <c r="V12" s="618"/>
      <c r="Y12" s="624">
        <v>0</v>
      </c>
      <c r="Z12" s="519">
        <v>0</v>
      </c>
      <c r="AA12" s="519">
        <v>0</v>
      </c>
      <c r="AB12" s="519">
        <v>0</v>
      </c>
      <c r="AC12" s="519">
        <v>0</v>
      </c>
      <c r="AD12" s="519">
        <v>0</v>
      </c>
      <c r="AE12" s="519">
        <v>0</v>
      </c>
      <c r="AF12" s="519">
        <v>0</v>
      </c>
      <c r="AG12" s="519">
        <v>0</v>
      </c>
      <c r="AH12" s="519">
        <v>0</v>
      </c>
      <c r="AI12" s="519">
        <v>0</v>
      </c>
      <c r="AJ12" s="519">
        <v>0</v>
      </c>
      <c r="AK12" s="519">
        <v>0</v>
      </c>
      <c r="AL12" s="519">
        <v>0</v>
      </c>
      <c r="AM12" s="519">
        <v>0</v>
      </c>
      <c r="AN12" s="519">
        <v>0</v>
      </c>
    </row>
    <row r="13" spans="1:40" x14ac:dyDescent="0.3">
      <c r="A13" s="489" t="s">
        <v>1414</v>
      </c>
      <c r="B13" s="489" t="s">
        <v>1435</v>
      </c>
      <c r="C13" s="489" t="s">
        <v>1436</v>
      </c>
      <c r="D13" s="489" t="s">
        <v>141</v>
      </c>
      <c r="E13" s="619">
        <v>771</v>
      </c>
      <c r="F13" s="624">
        <f t="shared" si="1"/>
        <v>28.604498680738789</v>
      </c>
      <c r="G13" s="519">
        <f t="shared" si="0"/>
        <v>28.535909090909097</v>
      </c>
      <c r="H13" s="519">
        <f t="shared" si="0"/>
        <v>28.572335766423492</v>
      </c>
      <c r="I13" s="519">
        <f t="shared" si="0"/>
        <v>28.301282051282037</v>
      </c>
      <c r="J13" s="519">
        <f t="shared" si="0"/>
        <v>28.298987341772182</v>
      </c>
      <c r="K13" s="519">
        <f t="shared" si="0"/>
        <v>28.496999999999968</v>
      </c>
      <c r="L13" s="519">
        <f t="shared" si="0"/>
        <v>30.229999999999979</v>
      </c>
      <c r="M13" s="519">
        <f t="shared" si="0"/>
        <v>0</v>
      </c>
      <c r="N13" s="519">
        <f t="shared" si="0"/>
        <v>0</v>
      </c>
      <c r="O13" s="519">
        <f t="shared" si="0"/>
        <v>0</v>
      </c>
      <c r="P13" s="519">
        <f t="shared" si="0"/>
        <v>0</v>
      </c>
      <c r="Q13" s="519">
        <f t="shared" si="0"/>
        <v>0</v>
      </c>
      <c r="R13" s="519">
        <f t="shared" si="0"/>
        <v>0</v>
      </c>
      <c r="S13" s="519">
        <f t="shared" si="0"/>
        <v>0</v>
      </c>
      <c r="T13" s="519">
        <f t="shared" si="0"/>
        <v>0</v>
      </c>
      <c r="U13" s="519">
        <f t="shared" si="0"/>
        <v>0</v>
      </c>
      <c r="V13" s="618"/>
      <c r="Y13" s="624">
        <v>28.604498680738789</v>
      </c>
      <c r="Z13" s="519">
        <v>28.535909090909097</v>
      </c>
      <c r="AA13" s="519">
        <v>28.572335766423492</v>
      </c>
      <c r="AB13" s="519">
        <v>28.301282051282037</v>
      </c>
      <c r="AC13" s="519">
        <v>28.298987341772182</v>
      </c>
      <c r="AD13" s="519">
        <v>28.496999999999968</v>
      </c>
      <c r="AE13" s="519">
        <v>30.229999999999979</v>
      </c>
      <c r="AF13" s="519">
        <v>0</v>
      </c>
      <c r="AG13" s="519">
        <v>0</v>
      </c>
      <c r="AH13" s="519">
        <v>0</v>
      </c>
      <c r="AI13" s="519">
        <v>0</v>
      </c>
      <c r="AJ13" s="519">
        <v>0</v>
      </c>
      <c r="AK13" s="519">
        <v>0</v>
      </c>
      <c r="AL13" s="519">
        <v>0</v>
      </c>
      <c r="AM13" s="519">
        <v>0</v>
      </c>
      <c r="AN13" s="519">
        <v>0</v>
      </c>
    </row>
    <row r="14" spans="1:40" x14ac:dyDescent="0.3">
      <c r="A14" s="489" t="s">
        <v>1441</v>
      </c>
      <c r="B14" s="489" t="s">
        <v>1445</v>
      </c>
      <c r="C14" s="489" t="s">
        <v>346</v>
      </c>
      <c r="D14" s="489" t="s">
        <v>46</v>
      </c>
      <c r="E14" s="619">
        <v>725</v>
      </c>
      <c r="F14" s="624">
        <f t="shared" si="1"/>
        <v>0</v>
      </c>
      <c r="G14" s="519">
        <f t="shared" si="0"/>
        <v>0</v>
      </c>
      <c r="H14" s="519">
        <f t="shared" si="0"/>
        <v>0</v>
      </c>
      <c r="I14" s="519">
        <f t="shared" si="0"/>
        <v>0</v>
      </c>
      <c r="J14" s="519">
        <f t="shared" si="0"/>
        <v>0</v>
      </c>
      <c r="K14" s="519">
        <f t="shared" si="0"/>
        <v>0</v>
      </c>
      <c r="L14" s="519">
        <f t="shared" si="0"/>
        <v>0</v>
      </c>
      <c r="M14" s="519">
        <f t="shared" si="0"/>
        <v>0</v>
      </c>
      <c r="N14" s="519">
        <f t="shared" si="0"/>
        <v>0</v>
      </c>
      <c r="O14" s="519">
        <f t="shared" si="0"/>
        <v>0</v>
      </c>
      <c r="P14" s="519">
        <f t="shared" si="0"/>
        <v>0</v>
      </c>
      <c r="Q14" s="519">
        <f t="shared" si="0"/>
        <v>0</v>
      </c>
      <c r="R14" s="519">
        <f t="shared" si="0"/>
        <v>0</v>
      </c>
      <c r="S14" s="519">
        <f t="shared" si="0"/>
        <v>0</v>
      </c>
      <c r="T14" s="519">
        <f t="shared" si="0"/>
        <v>0</v>
      </c>
      <c r="U14" s="519">
        <f t="shared" si="0"/>
        <v>0</v>
      </c>
      <c r="V14" s="618"/>
      <c r="Y14" s="624">
        <v>0</v>
      </c>
      <c r="Z14" s="519">
        <v>0</v>
      </c>
      <c r="AA14" s="519">
        <v>0</v>
      </c>
      <c r="AB14" s="519">
        <v>0</v>
      </c>
      <c r="AC14" s="519">
        <v>0</v>
      </c>
      <c r="AD14" s="519">
        <v>0</v>
      </c>
      <c r="AE14" s="519">
        <v>0</v>
      </c>
      <c r="AF14" s="519">
        <v>0</v>
      </c>
      <c r="AG14" s="519">
        <v>0</v>
      </c>
      <c r="AH14" s="519">
        <v>0</v>
      </c>
      <c r="AI14" s="519">
        <v>0</v>
      </c>
      <c r="AJ14" s="519">
        <v>0</v>
      </c>
      <c r="AK14" s="519">
        <v>0</v>
      </c>
      <c r="AL14" s="519">
        <v>0</v>
      </c>
      <c r="AM14" s="519">
        <v>0</v>
      </c>
      <c r="AN14" s="519">
        <v>0</v>
      </c>
    </row>
    <row r="15" spans="1:40" x14ac:dyDescent="0.3">
      <c r="A15" s="489" t="s">
        <v>1451</v>
      </c>
      <c r="B15" s="489" t="s">
        <v>1452</v>
      </c>
      <c r="C15" s="489" t="s">
        <v>1453</v>
      </c>
      <c r="D15" s="489" t="s">
        <v>141</v>
      </c>
      <c r="E15" s="619">
        <v>672</v>
      </c>
      <c r="F15" s="624">
        <f t="shared" si="1"/>
        <v>26.973770491803275</v>
      </c>
      <c r="G15" s="519">
        <f t="shared" si="0"/>
        <v>27</v>
      </c>
      <c r="H15" s="519">
        <f t="shared" si="0"/>
        <v>26.981586402266288</v>
      </c>
      <c r="I15" s="519">
        <f t="shared" si="0"/>
        <v>26.960616438356162</v>
      </c>
      <c r="J15" s="519">
        <f t="shared" si="0"/>
        <v>27.1</v>
      </c>
      <c r="K15" s="519">
        <f t="shared" si="0"/>
        <v>0</v>
      </c>
      <c r="L15" s="519">
        <f t="shared" si="0"/>
        <v>0</v>
      </c>
      <c r="M15" s="519">
        <f t="shared" si="0"/>
        <v>0</v>
      </c>
      <c r="N15" s="519">
        <f t="shared" si="0"/>
        <v>0</v>
      </c>
      <c r="O15" s="519">
        <f t="shared" si="0"/>
        <v>0</v>
      </c>
      <c r="P15" s="519">
        <f t="shared" si="0"/>
        <v>0</v>
      </c>
      <c r="Q15" s="519">
        <f t="shared" si="0"/>
        <v>0</v>
      </c>
      <c r="R15" s="519">
        <f t="shared" si="0"/>
        <v>0</v>
      </c>
      <c r="S15" s="519">
        <f t="shared" si="0"/>
        <v>0</v>
      </c>
      <c r="T15" s="519">
        <f t="shared" si="0"/>
        <v>0</v>
      </c>
      <c r="U15" s="519">
        <f t="shared" si="0"/>
        <v>0</v>
      </c>
      <c r="V15" s="618"/>
      <c r="Y15" s="624">
        <v>26.973770491803275</v>
      </c>
      <c r="Z15" s="519">
        <v>27</v>
      </c>
      <c r="AA15" s="519">
        <v>26.981586402266288</v>
      </c>
      <c r="AB15" s="519">
        <v>26.960616438356162</v>
      </c>
      <c r="AC15" s="519">
        <v>27.1</v>
      </c>
      <c r="AD15" s="519">
        <v>0</v>
      </c>
      <c r="AE15" s="519">
        <v>0</v>
      </c>
      <c r="AF15" s="519">
        <v>0</v>
      </c>
      <c r="AG15" s="519">
        <v>0</v>
      </c>
      <c r="AH15" s="519">
        <v>0</v>
      </c>
      <c r="AI15" s="519">
        <v>0</v>
      </c>
      <c r="AJ15" s="519">
        <v>0</v>
      </c>
      <c r="AK15" s="519">
        <v>0</v>
      </c>
      <c r="AL15" s="519">
        <v>0</v>
      </c>
      <c r="AM15" s="519">
        <v>0</v>
      </c>
      <c r="AN15" s="519">
        <v>0</v>
      </c>
    </row>
    <row r="16" spans="1:40" x14ac:dyDescent="0.3">
      <c r="A16" s="489" t="s">
        <v>1422</v>
      </c>
      <c r="B16" s="489" t="s">
        <v>1547</v>
      </c>
      <c r="C16" s="489" t="s">
        <v>1548</v>
      </c>
      <c r="D16" s="489" t="s">
        <v>46</v>
      </c>
      <c r="E16" s="619">
        <v>670</v>
      </c>
      <c r="F16" s="624">
        <f t="shared" si="1"/>
        <v>0</v>
      </c>
      <c r="G16" s="519">
        <f t="shared" si="0"/>
        <v>0</v>
      </c>
      <c r="H16" s="519">
        <f t="shared" si="0"/>
        <v>0</v>
      </c>
      <c r="I16" s="519">
        <f t="shared" si="0"/>
        <v>0</v>
      </c>
      <c r="J16" s="519">
        <f t="shared" si="0"/>
        <v>0</v>
      </c>
      <c r="K16" s="519">
        <f t="shared" si="0"/>
        <v>0</v>
      </c>
      <c r="L16" s="519">
        <f t="shared" si="0"/>
        <v>0</v>
      </c>
      <c r="M16" s="519">
        <f t="shared" si="0"/>
        <v>0</v>
      </c>
      <c r="N16" s="519">
        <f t="shared" si="0"/>
        <v>0</v>
      </c>
      <c r="O16" s="519">
        <f t="shared" si="0"/>
        <v>0</v>
      </c>
      <c r="P16" s="519">
        <f t="shared" si="0"/>
        <v>0</v>
      </c>
      <c r="Q16" s="519">
        <f t="shared" si="0"/>
        <v>0</v>
      </c>
      <c r="R16" s="519">
        <f t="shared" si="0"/>
        <v>0</v>
      </c>
      <c r="S16" s="519">
        <f t="shared" si="0"/>
        <v>0</v>
      </c>
      <c r="T16" s="519">
        <f t="shared" si="0"/>
        <v>0</v>
      </c>
      <c r="U16" s="519">
        <f t="shared" si="0"/>
        <v>0</v>
      </c>
      <c r="V16" s="618"/>
      <c r="Y16" s="624">
        <v>0</v>
      </c>
      <c r="Z16" s="519">
        <v>0</v>
      </c>
      <c r="AA16" s="519">
        <v>0</v>
      </c>
      <c r="AB16" s="519">
        <v>0</v>
      </c>
      <c r="AC16" s="519">
        <v>0</v>
      </c>
      <c r="AD16" s="519">
        <v>0</v>
      </c>
      <c r="AE16" s="519">
        <v>0</v>
      </c>
      <c r="AF16" s="519">
        <v>0</v>
      </c>
      <c r="AG16" s="519">
        <v>0</v>
      </c>
      <c r="AH16" s="519">
        <v>0</v>
      </c>
      <c r="AI16" s="519">
        <v>0</v>
      </c>
      <c r="AJ16" s="519">
        <v>0</v>
      </c>
      <c r="AK16" s="519">
        <v>0</v>
      </c>
      <c r="AL16" s="519">
        <v>0</v>
      </c>
      <c r="AM16" s="519">
        <v>0</v>
      </c>
      <c r="AN16" s="519">
        <v>0</v>
      </c>
    </row>
    <row r="17" spans="1:40" x14ac:dyDescent="0.3">
      <c r="A17" s="489" t="s">
        <v>1441</v>
      </c>
      <c r="B17" s="489" t="s">
        <v>1447</v>
      </c>
      <c r="C17" s="489" t="s">
        <v>1448</v>
      </c>
      <c r="D17" s="489" t="s">
        <v>1529</v>
      </c>
      <c r="E17" s="619">
        <v>484</v>
      </c>
      <c r="F17" s="624">
        <f t="shared" si="1"/>
        <v>0</v>
      </c>
      <c r="G17" s="519">
        <f t="shared" si="0"/>
        <v>0</v>
      </c>
      <c r="H17" s="519">
        <f t="shared" si="0"/>
        <v>0</v>
      </c>
      <c r="I17" s="519">
        <f t="shared" si="0"/>
        <v>0</v>
      </c>
      <c r="J17" s="519">
        <f t="shared" si="0"/>
        <v>0</v>
      </c>
      <c r="K17" s="519">
        <f t="shared" si="0"/>
        <v>0</v>
      </c>
      <c r="L17" s="519">
        <f t="shared" si="0"/>
        <v>0</v>
      </c>
      <c r="M17" s="519">
        <f t="shared" si="0"/>
        <v>0</v>
      </c>
      <c r="N17" s="519">
        <f t="shared" si="0"/>
        <v>0</v>
      </c>
      <c r="O17" s="519">
        <f t="shared" si="0"/>
        <v>0</v>
      </c>
      <c r="P17" s="519">
        <f t="shared" si="0"/>
        <v>0</v>
      </c>
      <c r="Q17" s="519">
        <f t="shared" si="0"/>
        <v>0</v>
      </c>
      <c r="R17" s="519">
        <f t="shared" si="0"/>
        <v>0</v>
      </c>
      <c r="S17" s="519">
        <f t="shared" si="0"/>
        <v>0</v>
      </c>
      <c r="T17" s="519">
        <f t="shared" si="0"/>
        <v>0</v>
      </c>
      <c r="U17" s="519">
        <f t="shared" si="0"/>
        <v>0</v>
      </c>
      <c r="V17" s="618"/>
      <c r="Y17" s="624">
        <v>0</v>
      </c>
      <c r="Z17" s="519">
        <v>0</v>
      </c>
      <c r="AA17" s="519">
        <v>0</v>
      </c>
      <c r="AB17" s="519">
        <v>0</v>
      </c>
      <c r="AC17" s="519">
        <v>0</v>
      </c>
      <c r="AD17" s="519">
        <v>0</v>
      </c>
      <c r="AE17" s="519">
        <v>0</v>
      </c>
      <c r="AF17" s="519">
        <v>0</v>
      </c>
      <c r="AG17" s="519">
        <v>0</v>
      </c>
      <c r="AH17" s="519">
        <v>0</v>
      </c>
      <c r="AI17" s="519">
        <v>0</v>
      </c>
      <c r="AJ17" s="519">
        <v>0</v>
      </c>
      <c r="AK17" s="519">
        <v>0</v>
      </c>
      <c r="AL17" s="519">
        <v>0</v>
      </c>
      <c r="AM17" s="519">
        <v>0</v>
      </c>
      <c r="AN17" s="519">
        <v>0</v>
      </c>
    </row>
    <row r="18" spans="1:40" x14ac:dyDescent="0.3">
      <c r="A18" s="489" t="s">
        <v>1419</v>
      </c>
      <c r="B18" s="489" t="s">
        <v>1420</v>
      </c>
      <c r="C18" s="489" t="s">
        <v>1421</v>
      </c>
      <c r="D18" s="489" t="s">
        <v>141</v>
      </c>
      <c r="E18" s="619">
        <v>436</v>
      </c>
      <c r="F18" s="624">
        <f t="shared" si="1"/>
        <v>16.299031476997577</v>
      </c>
      <c r="G18" s="519">
        <f t="shared" ref="G18:U33" si="2">IF(Z18&gt;0,Z18,IF(H18&gt;0,H18,0))</f>
        <v>15.977358490566038</v>
      </c>
      <c r="H18" s="519">
        <f t="shared" si="2"/>
        <v>16.498319327731092</v>
      </c>
      <c r="I18" s="519">
        <f t="shared" si="2"/>
        <v>16.030158730158728</v>
      </c>
      <c r="J18" s="519">
        <f t="shared" si="2"/>
        <v>16.899999999999999</v>
      </c>
      <c r="K18" s="519">
        <f t="shared" si="2"/>
        <v>0</v>
      </c>
      <c r="L18" s="519">
        <f t="shared" si="2"/>
        <v>0</v>
      </c>
      <c r="M18" s="519">
        <f t="shared" si="2"/>
        <v>0</v>
      </c>
      <c r="N18" s="519">
        <f t="shared" si="2"/>
        <v>0</v>
      </c>
      <c r="O18" s="519">
        <f t="shared" si="2"/>
        <v>0</v>
      </c>
      <c r="P18" s="519">
        <f t="shared" si="2"/>
        <v>0</v>
      </c>
      <c r="Q18" s="519">
        <f t="shared" si="2"/>
        <v>0</v>
      </c>
      <c r="R18" s="519">
        <f t="shared" si="2"/>
        <v>0</v>
      </c>
      <c r="S18" s="519">
        <f t="shared" si="2"/>
        <v>0</v>
      </c>
      <c r="T18" s="519">
        <f t="shared" si="2"/>
        <v>0</v>
      </c>
      <c r="U18" s="519">
        <f t="shared" si="2"/>
        <v>0</v>
      </c>
      <c r="V18" s="618"/>
      <c r="Y18" s="624">
        <v>16.299031476997577</v>
      </c>
      <c r="Z18" s="519">
        <v>15.977358490566038</v>
      </c>
      <c r="AA18" s="519">
        <v>16.498319327731092</v>
      </c>
      <c r="AB18" s="519">
        <v>16.030158730158728</v>
      </c>
      <c r="AC18" s="519">
        <v>16.899999999999999</v>
      </c>
      <c r="AD18" s="519">
        <v>0</v>
      </c>
      <c r="AE18" s="519">
        <v>0</v>
      </c>
      <c r="AF18" s="519">
        <v>0</v>
      </c>
      <c r="AG18" s="519">
        <v>0</v>
      </c>
      <c r="AH18" s="519">
        <v>0</v>
      </c>
      <c r="AI18" s="519">
        <v>0</v>
      </c>
      <c r="AJ18" s="519">
        <v>0</v>
      </c>
      <c r="AK18" s="519">
        <v>0</v>
      </c>
      <c r="AL18" s="519">
        <v>0</v>
      </c>
      <c r="AM18" s="519">
        <v>0</v>
      </c>
      <c r="AN18" s="519">
        <v>0</v>
      </c>
    </row>
    <row r="19" spans="1:40" x14ac:dyDescent="0.3">
      <c r="A19" s="489" t="s">
        <v>1426</v>
      </c>
      <c r="B19" s="489" t="s">
        <v>343</v>
      </c>
      <c r="C19" s="489" t="s">
        <v>343</v>
      </c>
      <c r="D19" s="489" t="s">
        <v>1929</v>
      </c>
      <c r="E19" s="619">
        <v>423</v>
      </c>
      <c r="F19" s="624">
        <f t="shared" si="1"/>
        <v>0</v>
      </c>
      <c r="G19" s="519">
        <f t="shared" si="2"/>
        <v>0</v>
      </c>
      <c r="H19" s="519">
        <f t="shared" si="2"/>
        <v>0</v>
      </c>
      <c r="I19" s="519">
        <f t="shared" si="2"/>
        <v>0</v>
      </c>
      <c r="J19" s="519">
        <f t="shared" si="2"/>
        <v>0</v>
      </c>
      <c r="K19" s="519">
        <f t="shared" si="2"/>
        <v>0</v>
      </c>
      <c r="L19" s="519">
        <f t="shared" si="2"/>
        <v>0</v>
      </c>
      <c r="M19" s="519">
        <f t="shared" si="2"/>
        <v>0</v>
      </c>
      <c r="N19" s="519">
        <f t="shared" si="2"/>
        <v>0</v>
      </c>
      <c r="O19" s="519">
        <f t="shared" si="2"/>
        <v>0</v>
      </c>
      <c r="P19" s="519">
        <f t="shared" si="2"/>
        <v>0</v>
      </c>
      <c r="Q19" s="519">
        <f t="shared" si="2"/>
        <v>0</v>
      </c>
      <c r="R19" s="519">
        <f t="shared" si="2"/>
        <v>0</v>
      </c>
      <c r="S19" s="519">
        <f t="shared" si="2"/>
        <v>0</v>
      </c>
      <c r="T19" s="519">
        <f t="shared" si="2"/>
        <v>0</v>
      </c>
      <c r="U19" s="519">
        <f t="shared" si="2"/>
        <v>0</v>
      </c>
      <c r="V19" s="618"/>
      <c r="Y19" s="624">
        <v>0</v>
      </c>
      <c r="Z19" s="519">
        <v>0</v>
      </c>
      <c r="AA19" s="519">
        <v>0</v>
      </c>
      <c r="AB19" s="519">
        <v>0</v>
      </c>
      <c r="AC19" s="519">
        <v>0</v>
      </c>
      <c r="AD19" s="519">
        <v>0</v>
      </c>
      <c r="AE19" s="519">
        <v>0</v>
      </c>
      <c r="AF19" s="519">
        <v>0</v>
      </c>
      <c r="AG19" s="519">
        <v>0</v>
      </c>
      <c r="AH19" s="519">
        <v>0</v>
      </c>
      <c r="AI19" s="519">
        <v>0</v>
      </c>
      <c r="AJ19" s="519">
        <v>0</v>
      </c>
      <c r="AK19" s="519">
        <v>0</v>
      </c>
      <c r="AL19" s="519">
        <v>0</v>
      </c>
      <c r="AM19" s="519">
        <v>0</v>
      </c>
      <c r="AN19" s="519">
        <v>0</v>
      </c>
    </row>
    <row r="20" spans="1:40" x14ac:dyDescent="0.3">
      <c r="A20" s="489" t="s">
        <v>1419</v>
      </c>
      <c r="B20" s="489" t="s">
        <v>1446</v>
      </c>
      <c r="C20" s="489" t="s">
        <v>1218</v>
      </c>
      <c r="D20" s="489" t="s">
        <v>141</v>
      </c>
      <c r="E20" s="619">
        <v>422</v>
      </c>
      <c r="F20" s="624">
        <f t="shared" si="1"/>
        <v>14.929620253164558</v>
      </c>
      <c r="G20" s="519">
        <f t="shared" si="2"/>
        <v>13.515789473684212</v>
      </c>
      <c r="H20" s="519">
        <f t="shared" si="2"/>
        <v>14.379670329670329</v>
      </c>
      <c r="I20" s="519">
        <f t="shared" si="2"/>
        <v>14.7</v>
      </c>
      <c r="J20" s="519">
        <f t="shared" si="2"/>
        <v>14.98</v>
      </c>
      <c r="K20" s="519">
        <f t="shared" si="2"/>
        <v>15.357142857142858</v>
      </c>
      <c r="L20" s="519">
        <f t="shared" si="2"/>
        <v>15.630057803468208</v>
      </c>
      <c r="M20" s="519">
        <f t="shared" si="2"/>
        <v>0</v>
      </c>
      <c r="N20" s="519">
        <f t="shared" si="2"/>
        <v>0</v>
      </c>
      <c r="O20" s="519">
        <f t="shared" si="2"/>
        <v>0</v>
      </c>
      <c r="P20" s="519">
        <f t="shared" si="2"/>
        <v>0</v>
      </c>
      <c r="Q20" s="519">
        <f t="shared" si="2"/>
        <v>0</v>
      </c>
      <c r="R20" s="519">
        <f t="shared" si="2"/>
        <v>0</v>
      </c>
      <c r="S20" s="519">
        <f t="shared" si="2"/>
        <v>0</v>
      </c>
      <c r="T20" s="519">
        <f t="shared" si="2"/>
        <v>0</v>
      </c>
      <c r="U20" s="519">
        <f t="shared" si="2"/>
        <v>0</v>
      </c>
      <c r="V20" s="618"/>
      <c r="Y20" s="624">
        <v>14.929620253164558</v>
      </c>
      <c r="Z20" s="519">
        <v>13.515789473684212</v>
      </c>
      <c r="AA20" s="519">
        <v>14.379670329670329</v>
      </c>
      <c r="AB20" s="519">
        <v>14.7</v>
      </c>
      <c r="AC20" s="519">
        <v>14.98</v>
      </c>
      <c r="AD20" s="519">
        <v>15.357142857142858</v>
      </c>
      <c r="AE20" s="519">
        <v>15.630057803468208</v>
      </c>
      <c r="AF20" s="519">
        <v>0</v>
      </c>
      <c r="AG20" s="519">
        <v>0</v>
      </c>
      <c r="AH20" s="519">
        <v>0</v>
      </c>
      <c r="AI20" s="519">
        <v>0</v>
      </c>
      <c r="AJ20" s="519">
        <v>0</v>
      </c>
      <c r="AK20" s="519">
        <v>0</v>
      </c>
      <c r="AL20" s="519">
        <v>0</v>
      </c>
      <c r="AM20" s="519">
        <v>0</v>
      </c>
      <c r="AN20" s="519">
        <v>0</v>
      </c>
    </row>
    <row r="21" spans="1:40" x14ac:dyDescent="0.3">
      <c r="A21" s="489" t="s">
        <v>1441</v>
      </c>
      <c r="B21" s="489" t="s">
        <v>1549</v>
      </c>
      <c r="C21" s="489" t="s">
        <v>1550</v>
      </c>
      <c r="D21" s="489" t="s">
        <v>46</v>
      </c>
      <c r="E21" s="619">
        <v>409</v>
      </c>
      <c r="F21" s="624">
        <f t="shared" si="1"/>
        <v>0</v>
      </c>
      <c r="G21" s="519">
        <f t="shared" si="2"/>
        <v>0</v>
      </c>
      <c r="H21" s="519">
        <f t="shared" si="2"/>
        <v>0</v>
      </c>
      <c r="I21" s="519">
        <f t="shared" si="2"/>
        <v>0</v>
      </c>
      <c r="J21" s="519">
        <f t="shared" si="2"/>
        <v>0</v>
      </c>
      <c r="K21" s="519">
        <f t="shared" si="2"/>
        <v>0</v>
      </c>
      <c r="L21" s="519">
        <f t="shared" si="2"/>
        <v>0</v>
      </c>
      <c r="M21" s="519">
        <f t="shared" si="2"/>
        <v>0</v>
      </c>
      <c r="N21" s="519">
        <f t="shared" si="2"/>
        <v>0</v>
      </c>
      <c r="O21" s="519">
        <f t="shared" si="2"/>
        <v>0</v>
      </c>
      <c r="P21" s="519">
        <f t="shared" si="2"/>
        <v>0</v>
      </c>
      <c r="Q21" s="519">
        <f t="shared" si="2"/>
        <v>0</v>
      </c>
      <c r="R21" s="519">
        <f t="shared" si="2"/>
        <v>0</v>
      </c>
      <c r="S21" s="519">
        <f t="shared" si="2"/>
        <v>0</v>
      </c>
      <c r="T21" s="519">
        <f t="shared" si="2"/>
        <v>0</v>
      </c>
      <c r="U21" s="519">
        <f t="shared" si="2"/>
        <v>0</v>
      </c>
      <c r="V21" s="618"/>
      <c r="Y21" s="624">
        <v>0</v>
      </c>
      <c r="Z21" s="519">
        <v>0</v>
      </c>
      <c r="AA21" s="519">
        <v>0</v>
      </c>
      <c r="AB21" s="519">
        <v>0</v>
      </c>
      <c r="AC21" s="519">
        <v>0</v>
      </c>
      <c r="AD21" s="519">
        <v>0</v>
      </c>
      <c r="AE21" s="519">
        <v>0</v>
      </c>
      <c r="AF21" s="519">
        <v>0</v>
      </c>
      <c r="AG21" s="519">
        <v>0</v>
      </c>
      <c r="AH21" s="519">
        <v>0</v>
      </c>
      <c r="AI21" s="519">
        <v>0</v>
      </c>
      <c r="AJ21" s="519">
        <v>0</v>
      </c>
      <c r="AK21" s="519">
        <v>0</v>
      </c>
      <c r="AL21" s="519">
        <v>0</v>
      </c>
      <c r="AM21" s="519">
        <v>0</v>
      </c>
      <c r="AN21" s="519">
        <v>0</v>
      </c>
    </row>
    <row r="22" spans="1:40" x14ac:dyDescent="0.3">
      <c r="A22" s="489" t="s">
        <v>1414</v>
      </c>
      <c r="B22" s="489" t="s">
        <v>1449</v>
      </c>
      <c r="C22" s="489" t="s">
        <v>1450</v>
      </c>
      <c r="D22" s="489" t="s">
        <v>141</v>
      </c>
      <c r="E22" s="619">
        <v>396</v>
      </c>
      <c r="F22" s="624">
        <f t="shared" si="1"/>
        <v>28.979750889679742</v>
      </c>
      <c r="G22" s="519">
        <f t="shared" si="2"/>
        <v>28.962000000000007</v>
      </c>
      <c r="H22" s="519">
        <f t="shared" si="2"/>
        <v>29.011237113402057</v>
      </c>
      <c r="I22" s="519">
        <f t="shared" si="2"/>
        <v>28.953461538461529</v>
      </c>
      <c r="J22" s="519">
        <f t="shared" si="2"/>
        <v>28.990666666666662</v>
      </c>
      <c r="K22" s="519">
        <f t="shared" si="2"/>
        <v>28.963125000000002</v>
      </c>
      <c r="L22" s="519">
        <f t="shared" si="2"/>
        <v>0</v>
      </c>
      <c r="M22" s="519">
        <f t="shared" si="2"/>
        <v>0</v>
      </c>
      <c r="N22" s="519">
        <f t="shared" si="2"/>
        <v>0</v>
      </c>
      <c r="O22" s="519">
        <f t="shared" si="2"/>
        <v>0</v>
      </c>
      <c r="P22" s="519">
        <f t="shared" si="2"/>
        <v>0</v>
      </c>
      <c r="Q22" s="519">
        <f t="shared" si="2"/>
        <v>0</v>
      </c>
      <c r="R22" s="519">
        <f t="shared" si="2"/>
        <v>0</v>
      </c>
      <c r="S22" s="519">
        <f t="shared" si="2"/>
        <v>0</v>
      </c>
      <c r="T22" s="519">
        <f t="shared" si="2"/>
        <v>0</v>
      </c>
      <c r="U22" s="519">
        <f t="shared" si="2"/>
        <v>0</v>
      </c>
      <c r="V22" s="618"/>
      <c r="Y22" s="624">
        <v>28.979750889679742</v>
      </c>
      <c r="Z22" s="519">
        <v>28.962000000000007</v>
      </c>
      <c r="AA22" s="519">
        <v>29.011237113402057</v>
      </c>
      <c r="AB22" s="519">
        <v>28.953461538461529</v>
      </c>
      <c r="AC22" s="519">
        <v>28.990666666666662</v>
      </c>
      <c r="AD22" s="519">
        <v>28.963125000000002</v>
      </c>
      <c r="AE22" s="519">
        <v>0</v>
      </c>
      <c r="AF22" s="519">
        <v>0</v>
      </c>
      <c r="AG22" s="519">
        <v>0</v>
      </c>
      <c r="AH22" s="519">
        <v>0</v>
      </c>
      <c r="AI22" s="519">
        <v>0</v>
      </c>
      <c r="AJ22" s="519">
        <v>0</v>
      </c>
      <c r="AK22" s="519">
        <v>0</v>
      </c>
      <c r="AL22" s="519">
        <v>0</v>
      </c>
      <c r="AM22" s="519">
        <v>0</v>
      </c>
      <c r="AN22" s="519">
        <v>0</v>
      </c>
    </row>
    <row r="23" spans="1:40" x14ac:dyDescent="0.3">
      <c r="A23" s="489" t="s">
        <v>1441</v>
      </c>
      <c r="B23" s="489" t="s">
        <v>1551</v>
      </c>
      <c r="C23" s="489" t="s">
        <v>1552</v>
      </c>
      <c r="D23" s="489" t="s">
        <v>46</v>
      </c>
      <c r="E23" s="619">
        <v>394</v>
      </c>
      <c r="F23" s="624">
        <f t="shared" si="1"/>
        <v>0</v>
      </c>
      <c r="G23" s="519">
        <f t="shared" si="2"/>
        <v>0</v>
      </c>
      <c r="H23" s="519">
        <f t="shared" si="2"/>
        <v>0</v>
      </c>
      <c r="I23" s="519">
        <f t="shared" si="2"/>
        <v>0</v>
      </c>
      <c r="J23" s="519">
        <f t="shared" si="2"/>
        <v>0</v>
      </c>
      <c r="K23" s="519">
        <f t="shared" si="2"/>
        <v>0</v>
      </c>
      <c r="L23" s="519">
        <f t="shared" si="2"/>
        <v>0</v>
      </c>
      <c r="M23" s="519">
        <f t="shared" si="2"/>
        <v>0</v>
      </c>
      <c r="N23" s="519">
        <f t="shared" si="2"/>
        <v>0</v>
      </c>
      <c r="O23" s="519">
        <f t="shared" si="2"/>
        <v>0</v>
      </c>
      <c r="P23" s="519">
        <f t="shared" si="2"/>
        <v>0</v>
      </c>
      <c r="Q23" s="519">
        <f t="shared" si="2"/>
        <v>0</v>
      </c>
      <c r="R23" s="519">
        <f t="shared" si="2"/>
        <v>0</v>
      </c>
      <c r="S23" s="519">
        <f t="shared" si="2"/>
        <v>0</v>
      </c>
      <c r="T23" s="519">
        <f t="shared" si="2"/>
        <v>0</v>
      </c>
      <c r="U23" s="519">
        <f t="shared" si="2"/>
        <v>0</v>
      </c>
      <c r="V23" s="618"/>
      <c r="Y23" s="624">
        <v>0</v>
      </c>
      <c r="Z23" s="519">
        <v>0</v>
      </c>
      <c r="AA23" s="519">
        <v>0</v>
      </c>
      <c r="AB23" s="519">
        <v>0</v>
      </c>
      <c r="AC23" s="519">
        <v>0</v>
      </c>
      <c r="AD23" s="519">
        <v>0</v>
      </c>
      <c r="AE23" s="519">
        <v>0</v>
      </c>
      <c r="AF23" s="519">
        <v>0</v>
      </c>
      <c r="AG23" s="519">
        <v>0</v>
      </c>
      <c r="AH23" s="519">
        <v>0</v>
      </c>
      <c r="AI23" s="519">
        <v>0</v>
      </c>
      <c r="AJ23" s="519">
        <v>0</v>
      </c>
      <c r="AK23" s="519">
        <v>0</v>
      </c>
      <c r="AL23" s="519">
        <v>0</v>
      </c>
      <c r="AM23" s="519">
        <v>0</v>
      </c>
      <c r="AN23" s="519">
        <v>0</v>
      </c>
    </row>
    <row r="24" spans="1:40" x14ac:dyDescent="0.3">
      <c r="A24" s="489" t="s">
        <v>1422</v>
      </c>
      <c r="B24" s="489" t="s">
        <v>1423</v>
      </c>
      <c r="C24" s="489" t="s">
        <v>1424</v>
      </c>
      <c r="D24" s="489" t="s">
        <v>46</v>
      </c>
      <c r="E24" s="619">
        <v>387</v>
      </c>
      <c r="F24" s="624">
        <f t="shared" si="1"/>
        <v>0</v>
      </c>
      <c r="G24" s="519">
        <f t="shared" si="2"/>
        <v>0</v>
      </c>
      <c r="H24" s="519">
        <f t="shared" si="2"/>
        <v>0</v>
      </c>
      <c r="I24" s="519">
        <f t="shared" si="2"/>
        <v>0</v>
      </c>
      <c r="J24" s="519">
        <f t="shared" si="2"/>
        <v>0</v>
      </c>
      <c r="K24" s="519">
        <f t="shared" si="2"/>
        <v>0</v>
      </c>
      <c r="L24" s="519">
        <f t="shared" si="2"/>
        <v>0</v>
      </c>
      <c r="M24" s="519">
        <f t="shared" si="2"/>
        <v>0</v>
      </c>
      <c r="N24" s="519">
        <f t="shared" si="2"/>
        <v>0</v>
      </c>
      <c r="O24" s="519">
        <f t="shared" si="2"/>
        <v>0</v>
      </c>
      <c r="P24" s="519">
        <f t="shared" si="2"/>
        <v>0</v>
      </c>
      <c r="Q24" s="519">
        <f t="shared" si="2"/>
        <v>0</v>
      </c>
      <c r="R24" s="519">
        <f t="shared" si="2"/>
        <v>0</v>
      </c>
      <c r="S24" s="519">
        <f t="shared" si="2"/>
        <v>0</v>
      </c>
      <c r="T24" s="519">
        <f t="shared" si="2"/>
        <v>0</v>
      </c>
      <c r="U24" s="519">
        <f t="shared" si="2"/>
        <v>0</v>
      </c>
      <c r="V24" s="618"/>
      <c r="Y24" s="624">
        <v>0</v>
      </c>
      <c r="Z24" s="519">
        <v>0</v>
      </c>
      <c r="AA24" s="519">
        <v>0</v>
      </c>
      <c r="AB24" s="519">
        <v>0</v>
      </c>
      <c r="AC24" s="519">
        <v>0</v>
      </c>
      <c r="AD24" s="519">
        <v>0</v>
      </c>
      <c r="AE24" s="519">
        <v>0</v>
      </c>
      <c r="AF24" s="519">
        <v>0</v>
      </c>
      <c r="AG24" s="519">
        <v>0</v>
      </c>
      <c r="AH24" s="519">
        <v>0</v>
      </c>
      <c r="AI24" s="519">
        <v>0</v>
      </c>
      <c r="AJ24" s="519">
        <v>0</v>
      </c>
      <c r="AK24" s="519">
        <v>0</v>
      </c>
      <c r="AL24" s="519">
        <v>0</v>
      </c>
      <c r="AM24" s="519">
        <v>0</v>
      </c>
      <c r="AN24" s="519">
        <v>0</v>
      </c>
    </row>
    <row r="25" spans="1:40" x14ac:dyDescent="0.3">
      <c r="A25" s="489" t="s">
        <v>1414</v>
      </c>
      <c r="B25" s="489" t="s">
        <v>1430</v>
      </c>
      <c r="C25" s="489" t="s">
        <v>1431</v>
      </c>
      <c r="D25" s="489" t="s">
        <v>1530</v>
      </c>
      <c r="E25" s="619">
        <v>373</v>
      </c>
      <c r="F25" s="624">
        <f t="shared" si="1"/>
        <v>0</v>
      </c>
      <c r="G25" s="519">
        <f t="shared" si="2"/>
        <v>0</v>
      </c>
      <c r="H25" s="519">
        <f t="shared" si="2"/>
        <v>0</v>
      </c>
      <c r="I25" s="519">
        <f t="shared" si="2"/>
        <v>0</v>
      </c>
      <c r="J25" s="519">
        <f t="shared" si="2"/>
        <v>0</v>
      </c>
      <c r="K25" s="519">
        <f t="shared" si="2"/>
        <v>0</v>
      </c>
      <c r="L25" s="519">
        <f t="shared" si="2"/>
        <v>0</v>
      </c>
      <c r="M25" s="519">
        <f t="shared" si="2"/>
        <v>0</v>
      </c>
      <c r="N25" s="519">
        <f t="shared" si="2"/>
        <v>0</v>
      </c>
      <c r="O25" s="519">
        <f t="shared" si="2"/>
        <v>0</v>
      </c>
      <c r="P25" s="519">
        <f t="shared" si="2"/>
        <v>0</v>
      </c>
      <c r="Q25" s="519">
        <f t="shared" si="2"/>
        <v>0</v>
      </c>
      <c r="R25" s="519">
        <f t="shared" si="2"/>
        <v>0</v>
      </c>
      <c r="S25" s="519">
        <f t="shared" si="2"/>
        <v>0</v>
      </c>
      <c r="T25" s="519">
        <f t="shared" si="2"/>
        <v>0</v>
      </c>
      <c r="U25" s="519">
        <f t="shared" si="2"/>
        <v>0</v>
      </c>
      <c r="V25" s="618"/>
      <c r="Y25" s="624">
        <v>0</v>
      </c>
      <c r="Z25" s="519">
        <v>0</v>
      </c>
      <c r="AA25" s="519">
        <v>0</v>
      </c>
      <c r="AB25" s="519">
        <v>0</v>
      </c>
      <c r="AC25" s="519">
        <v>0</v>
      </c>
      <c r="AD25" s="519">
        <v>0</v>
      </c>
      <c r="AE25" s="519">
        <v>0</v>
      </c>
      <c r="AF25" s="519">
        <v>0</v>
      </c>
      <c r="AG25" s="519">
        <v>0</v>
      </c>
      <c r="AH25" s="519">
        <v>0</v>
      </c>
      <c r="AI25" s="519">
        <v>0</v>
      </c>
      <c r="AJ25" s="519">
        <v>0</v>
      </c>
      <c r="AK25" s="519">
        <v>0</v>
      </c>
      <c r="AL25" s="519">
        <v>0</v>
      </c>
      <c r="AM25" s="519">
        <v>0</v>
      </c>
      <c r="AN25" s="519">
        <v>0</v>
      </c>
    </row>
    <row r="26" spans="1:40" x14ac:dyDescent="0.3">
      <c r="A26" s="489" t="s">
        <v>1454</v>
      </c>
      <c r="B26" s="489" t="s">
        <v>1553</v>
      </c>
      <c r="C26" s="489" t="s">
        <v>1554</v>
      </c>
      <c r="D26" s="489" t="s">
        <v>46</v>
      </c>
      <c r="E26" s="619">
        <v>344</v>
      </c>
      <c r="F26" s="624">
        <f t="shared" si="1"/>
        <v>0</v>
      </c>
      <c r="G26" s="519">
        <f t="shared" si="2"/>
        <v>0</v>
      </c>
      <c r="H26" s="519">
        <f t="shared" si="2"/>
        <v>0</v>
      </c>
      <c r="I26" s="519">
        <f t="shared" si="2"/>
        <v>0</v>
      </c>
      <c r="J26" s="519">
        <f t="shared" si="2"/>
        <v>0</v>
      </c>
      <c r="K26" s="519">
        <f t="shared" si="2"/>
        <v>0</v>
      </c>
      <c r="L26" s="519">
        <f t="shared" si="2"/>
        <v>0</v>
      </c>
      <c r="M26" s="519">
        <f t="shared" si="2"/>
        <v>0</v>
      </c>
      <c r="N26" s="519">
        <f t="shared" si="2"/>
        <v>0</v>
      </c>
      <c r="O26" s="519">
        <f t="shared" si="2"/>
        <v>0</v>
      </c>
      <c r="P26" s="519">
        <f t="shared" si="2"/>
        <v>0</v>
      </c>
      <c r="Q26" s="519">
        <f t="shared" si="2"/>
        <v>0</v>
      </c>
      <c r="R26" s="519">
        <f t="shared" si="2"/>
        <v>0</v>
      </c>
      <c r="S26" s="519">
        <f t="shared" si="2"/>
        <v>0</v>
      </c>
      <c r="T26" s="519">
        <f t="shared" si="2"/>
        <v>0</v>
      </c>
      <c r="U26" s="519">
        <f t="shared" si="2"/>
        <v>0</v>
      </c>
      <c r="V26" s="618"/>
      <c r="Y26" s="624">
        <v>0</v>
      </c>
      <c r="Z26" s="519">
        <v>0</v>
      </c>
      <c r="AA26" s="519">
        <v>0</v>
      </c>
      <c r="AB26" s="519">
        <v>0</v>
      </c>
      <c r="AC26" s="519">
        <v>0</v>
      </c>
      <c r="AD26" s="519">
        <v>0</v>
      </c>
      <c r="AE26" s="519">
        <v>0</v>
      </c>
      <c r="AF26" s="519">
        <v>0</v>
      </c>
      <c r="AG26" s="519">
        <v>0</v>
      </c>
      <c r="AH26" s="519">
        <v>0</v>
      </c>
      <c r="AI26" s="519">
        <v>0</v>
      </c>
      <c r="AJ26" s="519">
        <v>0</v>
      </c>
      <c r="AK26" s="519">
        <v>0</v>
      </c>
      <c r="AL26" s="519">
        <v>0</v>
      </c>
      <c r="AM26" s="519">
        <v>0</v>
      </c>
      <c r="AN26" s="519">
        <v>0</v>
      </c>
    </row>
    <row r="27" spans="1:40" x14ac:dyDescent="0.3">
      <c r="A27" s="489" t="s">
        <v>1432</v>
      </c>
      <c r="B27" s="489" t="s">
        <v>1555</v>
      </c>
      <c r="C27" s="489" t="s">
        <v>1556</v>
      </c>
      <c r="D27" s="489" t="s">
        <v>141</v>
      </c>
      <c r="E27" s="619">
        <v>341</v>
      </c>
      <c r="F27" s="624">
        <f t="shared" si="1"/>
        <v>26.721533923303831</v>
      </c>
      <c r="G27" s="519">
        <f t="shared" si="2"/>
        <v>26.539024390243902</v>
      </c>
      <c r="H27" s="519">
        <f t="shared" si="2"/>
        <v>26.804477611940296</v>
      </c>
      <c r="I27" s="519">
        <f t="shared" si="2"/>
        <v>26.480327868852459</v>
      </c>
      <c r="J27" s="519">
        <f t="shared" si="2"/>
        <v>27.009174311926603</v>
      </c>
      <c r="K27" s="519">
        <f t="shared" si="2"/>
        <v>0</v>
      </c>
      <c r="L27" s="519">
        <f t="shared" si="2"/>
        <v>0</v>
      </c>
      <c r="M27" s="519">
        <f t="shared" si="2"/>
        <v>0</v>
      </c>
      <c r="N27" s="519">
        <f t="shared" si="2"/>
        <v>0</v>
      </c>
      <c r="O27" s="519">
        <f t="shared" si="2"/>
        <v>0</v>
      </c>
      <c r="P27" s="519">
        <f t="shared" si="2"/>
        <v>0</v>
      </c>
      <c r="Q27" s="519">
        <f t="shared" si="2"/>
        <v>0</v>
      </c>
      <c r="R27" s="519">
        <f t="shared" si="2"/>
        <v>0</v>
      </c>
      <c r="S27" s="519">
        <f t="shared" si="2"/>
        <v>0</v>
      </c>
      <c r="T27" s="519">
        <f t="shared" si="2"/>
        <v>0</v>
      </c>
      <c r="U27" s="519">
        <f t="shared" si="2"/>
        <v>0</v>
      </c>
      <c r="V27" s="618"/>
      <c r="Y27" s="624">
        <v>26.721533923303831</v>
      </c>
      <c r="Z27" s="519">
        <v>26.539024390243902</v>
      </c>
      <c r="AA27" s="519">
        <v>26.804477611940296</v>
      </c>
      <c r="AB27" s="519">
        <v>26.480327868852459</v>
      </c>
      <c r="AC27" s="519">
        <v>27.009174311926603</v>
      </c>
      <c r="AD27" s="519">
        <v>0</v>
      </c>
      <c r="AE27" s="519">
        <v>0</v>
      </c>
      <c r="AF27" s="519">
        <v>0</v>
      </c>
      <c r="AG27" s="519">
        <v>0</v>
      </c>
      <c r="AH27" s="519">
        <v>0</v>
      </c>
      <c r="AI27" s="519">
        <v>0</v>
      </c>
      <c r="AJ27" s="519">
        <v>0</v>
      </c>
      <c r="AK27" s="519">
        <v>0</v>
      </c>
      <c r="AL27" s="519">
        <v>0</v>
      </c>
      <c r="AM27" s="519">
        <v>0</v>
      </c>
      <c r="AN27" s="519">
        <v>0</v>
      </c>
    </row>
    <row r="28" spans="1:40" x14ac:dyDescent="0.3">
      <c r="A28" s="489" t="s">
        <v>1426</v>
      </c>
      <c r="B28" s="489" t="s">
        <v>343</v>
      </c>
      <c r="C28" s="489" t="s">
        <v>343</v>
      </c>
      <c r="D28" s="489" t="s">
        <v>1936</v>
      </c>
      <c r="E28" s="619">
        <v>325</v>
      </c>
      <c r="F28" s="624">
        <f t="shared" si="1"/>
        <v>0</v>
      </c>
      <c r="G28" s="519">
        <f t="shared" si="2"/>
        <v>0</v>
      </c>
      <c r="H28" s="519">
        <f t="shared" si="2"/>
        <v>0</v>
      </c>
      <c r="I28" s="519">
        <f t="shared" si="2"/>
        <v>0</v>
      </c>
      <c r="J28" s="519">
        <f t="shared" si="2"/>
        <v>0</v>
      </c>
      <c r="K28" s="519">
        <f t="shared" si="2"/>
        <v>0</v>
      </c>
      <c r="L28" s="519">
        <f t="shared" si="2"/>
        <v>0</v>
      </c>
      <c r="M28" s="519">
        <f t="shared" si="2"/>
        <v>0</v>
      </c>
      <c r="N28" s="519">
        <f t="shared" si="2"/>
        <v>0</v>
      </c>
      <c r="O28" s="519">
        <f t="shared" si="2"/>
        <v>0</v>
      </c>
      <c r="P28" s="519">
        <f t="shared" si="2"/>
        <v>0</v>
      </c>
      <c r="Q28" s="519">
        <f t="shared" si="2"/>
        <v>0</v>
      </c>
      <c r="R28" s="519">
        <f t="shared" si="2"/>
        <v>0</v>
      </c>
      <c r="S28" s="519">
        <f t="shared" si="2"/>
        <v>0</v>
      </c>
      <c r="T28" s="519">
        <f t="shared" si="2"/>
        <v>0</v>
      </c>
      <c r="U28" s="519">
        <f t="shared" si="2"/>
        <v>0</v>
      </c>
      <c r="V28" s="618"/>
      <c r="Y28" s="624">
        <v>0</v>
      </c>
      <c r="Z28" s="519">
        <v>0</v>
      </c>
      <c r="AA28" s="519">
        <v>0</v>
      </c>
      <c r="AB28" s="519">
        <v>0</v>
      </c>
      <c r="AC28" s="519">
        <v>0</v>
      </c>
      <c r="AD28" s="519">
        <v>0</v>
      </c>
      <c r="AE28" s="519">
        <v>0</v>
      </c>
      <c r="AF28" s="519">
        <v>0</v>
      </c>
      <c r="AG28" s="519">
        <v>0</v>
      </c>
      <c r="AH28" s="519">
        <v>0</v>
      </c>
      <c r="AI28" s="519">
        <v>0</v>
      </c>
      <c r="AJ28" s="519">
        <v>0</v>
      </c>
      <c r="AK28" s="519">
        <v>0</v>
      </c>
      <c r="AL28" s="519">
        <v>0</v>
      </c>
      <c r="AM28" s="519">
        <v>0</v>
      </c>
      <c r="AN28" s="519">
        <v>0</v>
      </c>
    </row>
    <row r="29" spans="1:40" x14ac:dyDescent="0.3">
      <c r="A29" s="489" t="s">
        <v>1441</v>
      </c>
      <c r="B29" s="489" t="s">
        <v>1447</v>
      </c>
      <c r="C29" s="489" t="s">
        <v>1448</v>
      </c>
      <c r="D29" s="489" t="s">
        <v>1530</v>
      </c>
      <c r="E29" s="619">
        <v>313</v>
      </c>
      <c r="F29" s="624">
        <f t="shared" si="1"/>
        <v>0</v>
      </c>
      <c r="G29" s="519">
        <f t="shared" si="2"/>
        <v>0</v>
      </c>
      <c r="H29" s="519">
        <f t="shared" si="2"/>
        <v>0</v>
      </c>
      <c r="I29" s="519">
        <f t="shared" si="2"/>
        <v>0</v>
      </c>
      <c r="J29" s="519">
        <f t="shared" si="2"/>
        <v>0</v>
      </c>
      <c r="K29" s="519">
        <f t="shared" si="2"/>
        <v>0</v>
      </c>
      <c r="L29" s="519">
        <f t="shared" si="2"/>
        <v>0</v>
      </c>
      <c r="M29" s="519">
        <f t="shared" si="2"/>
        <v>0</v>
      </c>
      <c r="N29" s="519">
        <f t="shared" si="2"/>
        <v>0</v>
      </c>
      <c r="O29" s="519">
        <f t="shared" si="2"/>
        <v>0</v>
      </c>
      <c r="P29" s="519">
        <f t="shared" si="2"/>
        <v>0</v>
      </c>
      <c r="Q29" s="519">
        <f t="shared" si="2"/>
        <v>0</v>
      </c>
      <c r="R29" s="519">
        <f t="shared" si="2"/>
        <v>0</v>
      </c>
      <c r="S29" s="519">
        <f t="shared" si="2"/>
        <v>0</v>
      </c>
      <c r="T29" s="519">
        <f t="shared" si="2"/>
        <v>0</v>
      </c>
      <c r="U29" s="519">
        <f t="shared" si="2"/>
        <v>0</v>
      </c>
      <c r="V29" s="618"/>
      <c r="Y29" s="624">
        <v>0</v>
      </c>
      <c r="Z29" s="519">
        <v>0</v>
      </c>
      <c r="AA29" s="519">
        <v>0</v>
      </c>
      <c r="AB29" s="519">
        <v>0</v>
      </c>
      <c r="AC29" s="519">
        <v>0</v>
      </c>
      <c r="AD29" s="519">
        <v>0</v>
      </c>
      <c r="AE29" s="519">
        <v>0</v>
      </c>
      <c r="AF29" s="519">
        <v>0</v>
      </c>
      <c r="AG29" s="519">
        <v>0</v>
      </c>
      <c r="AH29" s="519">
        <v>0</v>
      </c>
      <c r="AI29" s="519">
        <v>0</v>
      </c>
      <c r="AJ29" s="519">
        <v>0</v>
      </c>
      <c r="AK29" s="519">
        <v>0</v>
      </c>
      <c r="AL29" s="519">
        <v>0</v>
      </c>
      <c r="AM29" s="519">
        <v>0</v>
      </c>
      <c r="AN29" s="519">
        <v>0</v>
      </c>
    </row>
    <row r="30" spans="1:40" x14ac:dyDescent="0.3">
      <c r="A30" s="489" t="s">
        <v>1426</v>
      </c>
      <c r="B30" s="489" t="s">
        <v>1427</v>
      </c>
      <c r="C30" s="489" t="s">
        <v>1427</v>
      </c>
      <c r="D30" s="489" t="s">
        <v>1936</v>
      </c>
      <c r="E30" s="619">
        <v>303</v>
      </c>
      <c r="F30" s="624">
        <f t="shared" si="1"/>
        <v>0</v>
      </c>
      <c r="G30" s="519">
        <f t="shared" si="2"/>
        <v>0</v>
      </c>
      <c r="H30" s="519">
        <f t="shared" si="2"/>
        <v>0</v>
      </c>
      <c r="I30" s="519">
        <f t="shared" si="2"/>
        <v>0</v>
      </c>
      <c r="J30" s="519">
        <f t="shared" si="2"/>
        <v>0</v>
      </c>
      <c r="K30" s="519">
        <f t="shared" si="2"/>
        <v>0</v>
      </c>
      <c r="L30" s="519">
        <f t="shared" si="2"/>
        <v>0</v>
      </c>
      <c r="M30" s="519">
        <f t="shared" si="2"/>
        <v>0</v>
      </c>
      <c r="N30" s="519">
        <f t="shared" si="2"/>
        <v>0</v>
      </c>
      <c r="O30" s="519">
        <f t="shared" si="2"/>
        <v>0</v>
      </c>
      <c r="P30" s="519">
        <f t="shared" si="2"/>
        <v>0</v>
      </c>
      <c r="Q30" s="519">
        <f t="shared" si="2"/>
        <v>0</v>
      </c>
      <c r="R30" s="519">
        <f t="shared" si="2"/>
        <v>0</v>
      </c>
      <c r="S30" s="519">
        <f t="shared" si="2"/>
        <v>0</v>
      </c>
      <c r="T30" s="519">
        <f t="shared" si="2"/>
        <v>0</v>
      </c>
      <c r="U30" s="519">
        <f t="shared" si="2"/>
        <v>0</v>
      </c>
      <c r="V30" s="618"/>
      <c r="Y30" s="624">
        <v>0</v>
      </c>
      <c r="Z30" s="519">
        <v>0</v>
      </c>
      <c r="AA30" s="519">
        <v>0</v>
      </c>
      <c r="AB30" s="519">
        <v>0</v>
      </c>
      <c r="AC30" s="519">
        <v>0</v>
      </c>
      <c r="AD30" s="519">
        <v>0</v>
      </c>
      <c r="AE30" s="519">
        <v>0</v>
      </c>
      <c r="AF30" s="519">
        <v>0</v>
      </c>
      <c r="AG30" s="519">
        <v>0</v>
      </c>
      <c r="AH30" s="519">
        <v>0</v>
      </c>
      <c r="AI30" s="519">
        <v>0</v>
      </c>
      <c r="AJ30" s="519">
        <v>0</v>
      </c>
      <c r="AK30" s="519">
        <v>0</v>
      </c>
      <c r="AL30" s="519">
        <v>0</v>
      </c>
      <c r="AM30" s="519">
        <v>0</v>
      </c>
      <c r="AN30" s="519">
        <v>0</v>
      </c>
    </row>
    <row r="31" spans="1:40" x14ac:dyDescent="0.3">
      <c r="A31" s="489" t="s">
        <v>1451</v>
      </c>
      <c r="B31" s="489" t="s">
        <v>1557</v>
      </c>
      <c r="C31" s="489" t="s">
        <v>1558</v>
      </c>
      <c r="D31" s="489" t="s">
        <v>141</v>
      </c>
      <c r="E31" s="619">
        <v>289</v>
      </c>
      <c r="F31" s="624">
        <f t="shared" si="1"/>
        <v>28.283333333333331</v>
      </c>
      <c r="G31" s="519">
        <f t="shared" si="2"/>
        <v>26.7</v>
      </c>
      <c r="H31" s="519">
        <f t="shared" si="2"/>
        <v>26.7</v>
      </c>
      <c r="I31" s="519">
        <f t="shared" si="2"/>
        <v>28.343214285714289</v>
      </c>
      <c r="J31" s="519">
        <f t="shared" si="2"/>
        <v>28.343214285714289</v>
      </c>
      <c r="K31" s="519">
        <f t="shared" si="2"/>
        <v>26.114285714285717</v>
      </c>
      <c r="L31" s="519">
        <f t="shared" si="2"/>
        <v>0</v>
      </c>
      <c r="M31" s="519">
        <f t="shared" si="2"/>
        <v>0</v>
      </c>
      <c r="N31" s="519">
        <f t="shared" si="2"/>
        <v>0</v>
      </c>
      <c r="O31" s="519">
        <f t="shared" si="2"/>
        <v>0</v>
      </c>
      <c r="P31" s="519">
        <f t="shared" si="2"/>
        <v>0</v>
      </c>
      <c r="Q31" s="519">
        <f t="shared" si="2"/>
        <v>0</v>
      </c>
      <c r="R31" s="519">
        <f t="shared" si="2"/>
        <v>0</v>
      </c>
      <c r="S31" s="519">
        <f t="shared" si="2"/>
        <v>0</v>
      </c>
      <c r="T31" s="519">
        <f t="shared" si="2"/>
        <v>0</v>
      </c>
      <c r="U31" s="519">
        <f t="shared" si="2"/>
        <v>0</v>
      </c>
      <c r="V31" s="618"/>
      <c r="Y31" s="624">
        <v>28.283333333333331</v>
      </c>
      <c r="Z31" s="519">
        <v>0</v>
      </c>
      <c r="AA31" s="519">
        <v>26.7</v>
      </c>
      <c r="AB31" s="519">
        <v>0</v>
      </c>
      <c r="AC31" s="519">
        <v>28.343214285714289</v>
      </c>
      <c r="AD31" s="519">
        <v>26.114285714285717</v>
      </c>
      <c r="AE31" s="519">
        <v>0</v>
      </c>
      <c r="AF31" s="519">
        <v>0</v>
      </c>
      <c r="AG31" s="519">
        <v>0</v>
      </c>
      <c r="AH31" s="519">
        <v>0</v>
      </c>
      <c r="AI31" s="519">
        <v>0</v>
      </c>
      <c r="AJ31" s="519">
        <v>0</v>
      </c>
      <c r="AK31" s="519">
        <v>0</v>
      </c>
      <c r="AL31" s="519">
        <v>0</v>
      </c>
      <c r="AM31" s="519">
        <v>0</v>
      </c>
      <c r="AN31" s="519">
        <v>0</v>
      </c>
    </row>
    <row r="32" spans="1:40" x14ac:dyDescent="0.3">
      <c r="A32" s="489" t="s">
        <v>1414</v>
      </c>
      <c r="B32" s="489" t="s">
        <v>1559</v>
      </c>
      <c r="C32" s="489" t="s">
        <v>1560</v>
      </c>
      <c r="D32" s="489" t="s">
        <v>46</v>
      </c>
      <c r="E32" s="619">
        <v>281</v>
      </c>
      <c r="F32" s="624">
        <f t="shared" si="1"/>
        <v>0</v>
      </c>
      <c r="G32" s="519">
        <f t="shared" si="2"/>
        <v>0</v>
      </c>
      <c r="H32" s="519">
        <f t="shared" si="2"/>
        <v>0</v>
      </c>
      <c r="I32" s="519">
        <f t="shared" si="2"/>
        <v>0</v>
      </c>
      <c r="J32" s="519">
        <f t="shared" si="2"/>
        <v>0</v>
      </c>
      <c r="K32" s="519">
        <f t="shared" si="2"/>
        <v>0</v>
      </c>
      <c r="L32" s="519">
        <f t="shared" si="2"/>
        <v>0</v>
      </c>
      <c r="M32" s="519">
        <f t="shared" si="2"/>
        <v>0</v>
      </c>
      <c r="N32" s="519">
        <f t="shared" si="2"/>
        <v>0</v>
      </c>
      <c r="O32" s="519">
        <f t="shared" si="2"/>
        <v>0</v>
      </c>
      <c r="P32" s="519">
        <f t="shared" si="2"/>
        <v>0</v>
      </c>
      <c r="Q32" s="519">
        <f t="shared" si="2"/>
        <v>0</v>
      </c>
      <c r="R32" s="519">
        <f t="shared" si="2"/>
        <v>0</v>
      </c>
      <c r="S32" s="519">
        <f t="shared" si="2"/>
        <v>0</v>
      </c>
      <c r="T32" s="519">
        <f t="shared" si="2"/>
        <v>0</v>
      </c>
      <c r="U32" s="519">
        <f t="shared" si="2"/>
        <v>0</v>
      </c>
      <c r="V32" s="618"/>
      <c r="Y32" s="624">
        <v>0</v>
      </c>
      <c r="Z32" s="519">
        <v>0</v>
      </c>
      <c r="AA32" s="519">
        <v>0</v>
      </c>
      <c r="AB32" s="519">
        <v>0</v>
      </c>
      <c r="AC32" s="519">
        <v>0</v>
      </c>
      <c r="AD32" s="519">
        <v>0</v>
      </c>
      <c r="AE32" s="519">
        <v>0</v>
      </c>
      <c r="AF32" s="519">
        <v>0</v>
      </c>
      <c r="AG32" s="519">
        <v>0</v>
      </c>
      <c r="AH32" s="519">
        <v>0</v>
      </c>
      <c r="AI32" s="519">
        <v>0</v>
      </c>
      <c r="AJ32" s="519">
        <v>0</v>
      </c>
      <c r="AK32" s="519">
        <v>0</v>
      </c>
      <c r="AL32" s="519">
        <v>0</v>
      </c>
      <c r="AM32" s="519">
        <v>0</v>
      </c>
      <c r="AN32" s="519">
        <v>0</v>
      </c>
    </row>
    <row r="33" spans="1:40" x14ac:dyDescent="0.3">
      <c r="A33" s="489" t="s">
        <v>1426</v>
      </c>
      <c r="B33" s="489" t="s">
        <v>816</v>
      </c>
      <c r="C33" s="489" t="s">
        <v>816</v>
      </c>
      <c r="D33" s="489" t="s">
        <v>1929</v>
      </c>
      <c r="E33" s="619">
        <v>238</v>
      </c>
      <c r="F33" s="624">
        <f t="shared" si="1"/>
        <v>0</v>
      </c>
      <c r="G33" s="519">
        <f t="shared" si="2"/>
        <v>0</v>
      </c>
      <c r="H33" s="519">
        <f t="shared" si="2"/>
        <v>0</v>
      </c>
      <c r="I33" s="519">
        <f t="shared" si="2"/>
        <v>0</v>
      </c>
      <c r="J33" s="519">
        <f t="shared" si="2"/>
        <v>0</v>
      </c>
      <c r="K33" s="519">
        <f t="shared" si="2"/>
        <v>0</v>
      </c>
      <c r="L33" s="519">
        <f t="shared" si="2"/>
        <v>0</v>
      </c>
      <c r="M33" s="519">
        <f t="shared" si="2"/>
        <v>0</v>
      </c>
      <c r="N33" s="519">
        <f t="shared" si="2"/>
        <v>0</v>
      </c>
      <c r="O33" s="519">
        <f t="shared" si="2"/>
        <v>0</v>
      </c>
      <c r="P33" s="519">
        <f t="shared" si="2"/>
        <v>0</v>
      </c>
      <c r="Q33" s="519">
        <f t="shared" si="2"/>
        <v>0</v>
      </c>
      <c r="R33" s="519">
        <f t="shared" si="2"/>
        <v>0</v>
      </c>
      <c r="S33" s="519">
        <f t="shared" si="2"/>
        <v>0</v>
      </c>
      <c r="T33" s="519">
        <f t="shared" si="2"/>
        <v>0</v>
      </c>
      <c r="U33" s="519">
        <f t="shared" si="2"/>
        <v>0</v>
      </c>
      <c r="V33" s="618"/>
      <c r="Y33" s="624">
        <v>0</v>
      </c>
      <c r="Z33" s="519">
        <v>0</v>
      </c>
      <c r="AA33" s="519">
        <v>0</v>
      </c>
      <c r="AB33" s="519">
        <v>0</v>
      </c>
      <c r="AC33" s="519">
        <v>0</v>
      </c>
      <c r="AD33" s="519">
        <v>0</v>
      </c>
      <c r="AE33" s="519">
        <v>0</v>
      </c>
      <c r="AF33" s="519">
        <v>0</v>
      </c>
      <c r="AG33" s="519">
        <v>0</v>
      </c>
      <c r="AH33" s="519">
        <v>0</v>
      </c>
      <c r="AI33" s="519">
        <v>0</v>
      </c>
      <c r="AJ33" s="519">
        <v>0</v>
      </c>
      <c r="AK33" s="519">
        <v>0</v>
      </c>
      <c r="AL33" s="519">
        <v>0</v>
      </c>
      <c r="AM33" s="519">
        <v>0</v>
      </c>
      <c r="AN33" s="519">
        <v>0</v>
      </c>
    </row>
    <row r="34" spans="1:40" x14ac:dyDescent="0.3">
      <c r="A34" s="489" t="s">
        <v>1561</v>
      </c>
      <c r="B34" s="489" t="s">
        <v>1562</v>
      </c>
      <c r="C34" s="489" t="s">
        <v>1563</v>
      </c>
      <c r="D34" s="489" t="s">
        <v>141</v>
      </c>
      <c r="E34" s="619">
        <v>237</v>
      </c>
      <c r="F34" s="624">
        <f t="shared" si="1"/>
        <v>13.8</v>
      </c>
      <c r="G34" s="519">
        <f t="shared" ref="G34:U49" si="3">IF(Z34&gt;0,Z34,IF(H34&gt;0,H34,0))</f>
        <v>13.8</v>
      </c>
      <c r="H34" s="519">
        <f t="shared" si="3"/>
        <v>13.8</v>
      </c>
      <c r="I34" s="519">
        <f t="shared" si="3"/>
        <v>13.8</v>
      </c>
      <c r="J34" s="519">
        <f t="shared" si="3"/>
        <v>13.8</v>
      </c>
      <c r="K34" s="519">
        <f t="shared" si="3"/>
        <v>13.8</v>
      </c>
      <c r="L34" s="519">
        <f t="shared" si="3"/>
        <v>13.8</v>
      </c>
      <c r="M34" s="519">
        <f t="shared" si="3"/>
        <v>0</v>
      </c>
      <c r="N34" s="519">
        <f t="shared" si="3"/>
        <v>0</v>
      </c>
      <c r="O34" s="519">
        <f t="shared" si="3"/>
        <v>0</v>
      </c>
      <c r="P34" s="519">
        <f t="shared" si="3"/>
        <v>0</v>
      </c>
      <c r="Q34" s="519">
        <f t="shared" si="3"/>
        <v>0</v>
      </c>
      <c r="R34" s="519">
        <f t="shared" si="3"/>
        <v>0</v>
      </c>
      <c r="S34" s="519">
        <f t="shared" si="3"/>
        <v>0</v>
      </c>
      <c r="T34" s="519">
        <f t="shared" si="3"/>
        <v>0</v>
      </c>
      <c r="U34" s="519">
        <f t="shared" si="3"/>
        <v>0</v>
      </c>
      <c r="V34" s="618"/>
      <c r="Y34" s="624">
        <v>13.8</v>
      </c>
      <c r="Z34" s="519">
        <v>0</v>
      </c>
      <c r="AA34" s="519">
        <v>0</v>
      </c>
      <c r="AB34" s="519">
        <v>0</v>
      </c>
      <c r="AC34" s="519">
        <v>13.8</v>
      </c>
      <c r="AD34" s="519">
        <v>13.8</v>
      </c>
      <c r="AE34" s="519">
        <v>13.8</v>
      </c>
      <c r="AF34" s="519">
        <v>0</v>
      </c>
      <c r="AG34" s="519">
        <v>0</v>
      </c>
      <c r="AH34" s="519">
        <v>0</v>
      </c>
      <c r="AI34" s="519">
        <v>0</v>
      </c>
      <c r="AJ34" s="519">
        <v>0</v>
      </c>
      <c r="AK34" s="519">
        <v>0</v>
      </c>
      <c r="AL34" s="519">
        <v>0</v>
      </c>
      <c r="AM34" s="519">
        <v>0</v>
      </c>
      <c r="AN34" s="519">
        <v>0</v>
      </c>
    </row>
    <row r="35" spans="1:40" x14ac:dyDescent="0.3">
      <c r="A35" s="489" t="s">
        <v>1564</v>
      </c>
      <c r="B35" s="489" t="s">
        <v>1565</v>
      </c>
      <c r="C35" s="489" t="s">
        <v>1566</v>
      </c>
      <c r="D35" s="489" t="s">
        <v>141</v>
      </c>
      <c r="E35" s="619">
        <v>237</v>
      </c>
      <c r="F35" s="624">
        <f t="shared" si="1"/>
        <v>16</v>
      </c>
      <c r="G35" s="519">
        <f t="shared" si="3"/>
        <v>16</v>
      </c>
      <c r="H35" s="519">
        <f t="shared" si="3"/>
        <v>16</v>
      </c>
      <c r="I35" s="519">
        <f t="shared" si="3"/>
        <v>0</v>
      </c>
      <c r="J35" s="519">
        <f t="shared" si="3"/>
        <v>0</v>
      </c>
      <c r="K35" s="519">
        <f t="shared" si="3"/>
        <v>0</v>
      </c>
      <c r="L35" s="519">
        <f t="shared" si="3"/>
        <v>0</v>
      </c>
      <c r="M35" s="519">
        <f t="shared" si="3"/>
        <v>0</v>
      </c>
      <c r="N35" s="519">
        <f t="shared" si="3"/>
        <v>0</v>
      </c>
      <c r="O35" s="519">
        <f t="shared" si="3"/>
        <v>0</v>
      </c>
      <c r="P35" s="519">
        <f t="shared" si="3"/>
        <v>0</v>
      </c>
      <c r="Q35" s="519">
        <f t="shared" si="3"/>
        <v>0</v>
      </c>
      <c r="R35" s="519">
        <f t="shared" si="3"/>
        <v>0</v>
      </c>
      <c r="S35" s="519">
        <f t="shared" si="3"/>
        <v>0</v>
      </c>
      <c r="T35" s="519">
        <f t="shared" si="3"/>
        <v>0</v>
      </c>
      <c r="U35" s="519">
        <f t="shared" si="3"/>
        <v>0</v>
      </c>
      <c r="V35" s="618"/>
      <c r="Y35" s="624">
        <v>16</v>
      </c>
      <c r="Z35" s="519">
        <v>16</v>
      </c>
      <c r="AA35" s="519">
        <v>16</v>
      </c>
      <c r="AB35" s="519">
        <v>0</v>
      </c>
      <c r="AC35" s="519">
        <v>0</v>
      </c>
      <c r="AD35" s="519">
        <v>0</v>
      </c>
      <c r="AE35" s="519">
        <v>0</v>
      </c>
      <c r="AF35" s="519">
        <v>0</v>
      </c>
      <c r="AG35" s="519">
        <v>0</v>
      </c>
      <c r="AH35" s="519">
        <v>0</v>
      </c>
      <c r="AI35" s="519">
        <v>0</v>
      </c>
      <c r="AJ35" s="519">
        <v>0</v>
      </c>
      <c r="AK35" s="519">
        <v>0</v>
      </c>
      <c r="AL35" s="519">
        <v>0</v>
      </c>
      <c r="AM35" s="519">
        <v>0</v>
      </c>
      <c r="AN35" s="519">
        <v>0</v>
      </c>
    </row>
    <row r="36" spans="1:40" x14ac:dyDescent="0.3">
      <c r="A36" s="489" t="s">
        <v>1567</v>
      </c>
      <c r="B36" s="489">
        <v>508</v>
      </c>
      <c r="C36" s="489" t="s">
        <v>865</v>
      </c>
      <c r="D36" s="489" t="s">
        <v>46</v>
      </c>
      <c r="E36" s="619">
        <v>234</v>
      </c>
      <c r="F36" s="624">
        <f t="shared" si="1"/>
        <v>0</v>
      </c>
      <c r="G36" s="519">
        <f t="shared" si="3"/>
        <v>0</v>
      </c>
      <c r="H36" s="519">
        <f t="shared" si="3"/>
        <v>0</v>
      </c>
      <c r="I36" s="519">
        <f t="shared" si="3"/>
        <v>0</v>
      </c>
      <c r="J36" s="519">
        <f t="shared" si="3"/>
        <v>0</v>
      </c>
      <c r="K36" s="519">
        <f t="shared" si="3"/>
        <v>0</v>
      </c>
      <c r="L36" s="519">
        <f t="shared" si="3"/>
        <v>0</v>
      </c>
      <c r="M36" s="519">
        <f t="shared" si="3"/>
        <v>0</v>
      </c>
      <c r="N36" s="519">
        <f t="shared" si="3"/>
        <v>0</v>
      </c>
      <c r="O36" s="519">
        <f t="shared" si="3"/>
        <v>0</v>
      </c>
      <c r="P36" s="519">
        <f t="shared" si="3"/>
        <v>0</v>
      </c>
      <c r="Q36" s="519">
        <f t="shared" si="3"/>
        <v>0</v>
      </c>
      <c r="R36" s="519">
        <f t="shared" si="3"/>
        <v>0</v>
      </c>
      <c r="S36" s="519">
        <f t="shared" si="3"/>
        <v>0</v>
      </c>
      <c r="T36" s="519">
        <f t="shared" si="3"/>
        <v>0</v>
      </c>
      <c r="U36" s="519">
        <f t="shared" si="3"/>
        <v>0</v>
      </c>
      <c r="V36" s="618"/>
      <c r="Y36" s="624">
        <v>0</v>
      </c>
      <c r="Z36" s="519">
        <v>0</v>
      </c>
      <c r="AA36" s="519">
        <v>0</v>
      </c>
      <c r="AB36" s="519">
        <v>0</v>
      </c>
      <c r="AC36" s="519">
        <v>0</v>
      </c>
      <c r="AD36" s="519">
        <v>0</v>
      </c>
      <c r="AE36" s="519">
        <v>0</v>
      </c>
      <c r="AF36" s="519">
        <v>0</v>
      </c>
      <c r="AG36" s="519">
        <v>0</v>
      </c>
      <c r="AH36" s="519">
        <v>0</v>
      </c>
      <c r="AI36" s="519">
        <v>0</v>
      </c>
      <c r="AJ36" s="519">
        <v>0</v>
      </c>
      <c r="AK36" s="519">
        <v>0</v>
      </c>
      <c r="AL36" s="519">
        <v>0</v>
      </c>
      <c r="AM36" s="519">
        <v>0</v>
      </c>
      <c r="AN36" s="519">
        <v>0</v>
      </c>
    </row>
    <row r="37" spans="1:40" x14ac:dyDescent="0.3">
      <c r="A37" s="489" t="s">
        <v>1414</v>
      </c>
      <c r="B37" s="489" t="s">
        <v>1568</v>
      </c>
      <c r="C37" s="489" t="s">
        <v>1569</v>
      </c>
      <c r="D37" s="489" t="s">
        <v>46</v>
      </c>
      <c r="E37" s="619">
        <v>225</v>
      </c>
      <c r="F37" s="624">
        <f t="shared" si="1"/>
        <v>0</v>
      </c>
      <c r="G37" s="519">
        <f t="shared" si="3"/>
        <v>0</v>
      </c>
      <c r="H37" s="519">
        <f t="shared" si="3"/>
        <v>0</v>
      </c>
      <c r="I37" s="519">
        <f t="shared" si="3"/>
        <v>0</v>
      </c>
      <c r="J37" s="519">
        <f t="shared" si="3"/>
        <v>0</v>
      </c>
      <c r="K37" s="519">
        <f t="shared" si="3"/>
        <v>0</v>
      </c>
      <c r="L37" s="519">
        <f t="shared" si="3"/>
        <v>0</v>
      </c>
      <c r="M37" s="519">
        <f t="shared" si="3"/>
        <v>0</v>
      </c>
      <c r="N37" s="519">
        <f t="shared" si="3"/>
        <v>0</v>
      </c>
      <c r="O37" s="519">
        <f t="shared" si="3"/>
        <v>0</v>
      </c>
      <c r="P37" s="519">
        <f t="shared" si="3"/>
        <v>0</v>
      </c>
      <c r="Q37" s="519">
        <f t="shared" si="3"/>
        <v>0</v>
      </c>
      <c r="R37" s="519">
        <f t="shared" si="3"/>
        <v>0</v>
      </c>
      <c r="S37" s="519">
        <f t="shared" si="3"/>
        <v>0</v>
      </c>
      <c r="T37" s="519">
        <f t="shared" si="3"/>
        <v>0</v>
      </c>
      <c r="U37" s="519">
        <f t="shared" si="3"/>
        <v>0</v>
      </c>
      <c r="V37" s="618"/>
      <c r="Y37" s="624">
        <v>0</v>
      </c>
      <c r="Z37" s="519">
        <v>0</v>
      </c>
      <c r="AA37" s="519">
        <v>0</v>
      </c>
      <c r="AB37" s="519">
        <v>0</v>
      </c>
      <c r="AC37" s="519">
        <v>0</v>
      </c>
      <c r="AD37" s="519">
        <v>0</v>
      </c>
      <c r="AE37" s="519">
        <v>0</v>
      </c>
      <c r="AF37" s="519">
        <v>0</v>
      </c>
      <c r="AG37" s="519">
        <v>0</v>
      </c>
      <c r="AH37" s="519">
        <v>0</v>
      </c>
      <c r="AI37" s="519">
        <v>0</v>
      </c>
      <c r="AJ37" s="519">
        <v>0</v>
      </c>
      <c r="AK37" s="519">
        <v>0</v>
      </c>
      <c r="AL37" s="519">
        <v>0</v>
      </c>
      <c r="AM37" s="519">
        <v>0</v>
      </c>
      <c r="AN37" s="519">
        <v>0</v>
      </c>
    </row>
    <row r="38" spans="1:40" x14ac:dyDescent="0.3">
      <c r="A38" s="489" t="s">
        <v>1414</v>
      </c>
      <c r="B38" s="489" t="s">
        <v>1570</v>
      </c>
      <c r="C38" s="489" t="s">
        <v>1571</v>
      </c>
      <c r="D38" s="489" t="s">
        <v>46</v>
      </c>
      <c r="E38" s="619">
        <v>222</v>
      </c>
      <c r="F38" s="624">
        <f t="shared" si="1"/>
        <v>0</v>
      </c>
      <c r="G38" s="519">
        <f t="shared" si="3"/>
        <v>0</v>
      </c>
      <c r="H38" s="519">
        <f t="shared" si="3"/>
        <v>0</v>
      </c>
      <c r="I38" s="519">
        <f t="shared" si="3"/>
        <v>0</v>
      </c>
      <c r="J38" s="519">
        <f t="shared" si="3"/>
        <v>0</v>
      </c>
      <c r="K38" s="519">
        <f t="shared" si="3"/>
        <v>0</v>
      </c>
      <c r="L38" s="519">
        <f t="shared" si="3"/>
        <v>0</v>
      </c>
      <c r="M38" s="519">
        <f t="shared" si="3"/>
        <v>0</v>
      </c>
      <c r="N38" s="519">
        <f t="shared" si="3"/>
        <v>0</v>
      </c>
      <c r="O38" s="519">
        <f t="shared" si="3"/>
        <v>0</v>
      </c>
      <c r="P38" s="519">
        <f t="shared" si="3"/>
        <v>0</v>
      </c>
      <c r="Q38" s="519">
        <f t="shared" si="3"/>
        <v>0</v>
      </c>
      <c r="R38" s="519">
        <f t="shared" si="3"/>
        <v>0</v>
      </c>
      <c r="S38" s="519">
        <f t="shared" si="3"/>
        <v>0</v>
      </c>
      <c r="T38" s="519">
        <f t="shared" si="3"/>
        <v>0</v>
      </c>
      <c r="U38" s="519">
        <f t="shared" si="3"/>
        <v>0</v>
      </c>
      <c r="V38" s="618"/>
      <c r="Y38" s="624">
        <v>0</v>
      </c>
      <c r="Z38" s="519">
        <v>0</v>
      </c>
      <c r="AA38" s="519">
        <v>0</v>
      </c>
      <c r="AB38" s="519">
        <v>0</v>
      </c>
      <c r="AC38" s="519">
        <v>0</v>
      </c>
      <c r="AD38" s="519">
        <v>0</v>
      </c>
      <c r="AE38" s="519">
        <v>0</v>
      </c>
      <c r="AF38" s="519">
        <v>0</v>
      </c>
      <c r="AG38" s="519">
        <v>0</v>
      </c>
      <c r="AH38" s="519">
        <v>0</v>
      </c>
      <c r="AI38" s="519">
        <v>0</v>
      </c>
      <c r="AJ38" s="519">
        <v>0</v>
      </c>
      <c r="AK38" s="519">
        <v>0</v>
      </c>
      <c r="AL38" s="519">
        <v>0</v>
      </c>
      <c r="AM38" s="519">
        <v>0</v>
      </c>
      <c r="AN38" s="519">
        <v>0</v>
      </c>
    </row>
    <row r="39" spans="1:40" x14ac:dyDescent="0.3">
      <c r="A39" s="489" t="s">
        <v>1572</v>
      </c>
      <c r="B39" s="489" t="s">
        <v>1573</v>
      </c>
      <c r="C39" s="489" t="s">
        <v>1834</v>
      </c>
      <c r="D39" s="489" t="s">
        <v>1530</v>
      </c>
      <c r="E39" s="619">
        <v>221</v>
      </c>
      <c r="F39" s="624">
        <f t="shared" si="1"/>
        <v>0</v>
      </c>
      <c r="G39" s="519">
        <f t="shared" si="3"/>
        <v>0</v>
      </c>
      <c r="H39" s="519">
        <f t="shared" si="3"/>
        <v>0</v>
      </c>
      <c r="I39" s="519">
        <f t="shared" si="3"/>
        <v>0</v>
      </c>
      <c r="J39" s="519">
        <f t="shared" si="3"/>
        <v>0</v>
      </c>
      <c r="K39" s="519">
        <f t="shared" si="3"/>
        <v>0</v>
      </c>
      <c r="L39" s="519">
        <f t="shared" si="3"/>
        <v>0</v>
      </c>
      <c r="M39" s="519">
        <f t="shared" si="3"/>
        <v>0</v>
      </c>
      <c r="N39" s="519">
        <f t="shared" si="3"/>
        <v>0</v>
      </c>
      <c r="O39" s="519">
        <f t="shared" si="3"/>
        <v>0</v>
      </c>
      <c r="P39" s="519">
        <f t="shared" si="3"/>
        <v>0</v>
      </c>
      <c r="Q39" s="519">
        <f t="shared" si="3"/>
        <v>0</v>
      </c>
      <c r="R39" s="519">
        <f t="shared" si="3"/>
        <v>0</v>
      </c>
      <c r="S39" s="519">
        <f t="shared" si="3"/>
        <v>0</v>
      </c>
      <c r="T39" s="519">
        <f t="shared" si="3"/>
        <v>0</v>
      </c>
      <c r="U39" s="519">
        <f t="shared" si="3"/>
        <v>0</v>
      </c>
      <c r="V39" s="618"/>
      <c r="Y39" s="624">
        <v>0</v>
      </c>
      <c r="Z39" s="519">
        <v>0</v>
      </c>
      <c r="AA39" s="519">
        <v>0</v>
      </c>
      <c r="AB39" s="519">
        <v>0</v>
      </c>
      <c r="AC39" s="519">
        <v>0</v>
      </c>
      <c r="AD39" s="519">
        <v>0</v>
      </c>
      <c r="AE39" s="519">
        <v>0</v>
      </c>
      <c r="AF39" s="519">
        <v>0</v>
      </c>
      <c r="AG39" s="519">
        <v>0</v>
      </c>
      <c r="AH39" s="519">
        <v>0</v>
      </c>
      <c r="AI39" s="519">
        <v>0</v>
      </c>
      <c r="AJ39" s="519">
        <v>0</v>
      </c>
      <c r="AK39" s="519">
        <v>0</v>
      </c>
      <c r="AL39" s="519">
        <v>0</v>
      </c>
      <c r="AM39" s="519">
        <v>0</v>
      </c>
      <c r="AN39" s="519">
        <v>0</v>
      </c>
    </row>
    <row r="40" spans="1:40" x14ac:dyDescent="0.3">
      <c r="A40" s="489" t="s">
        <v>1544</v>
      </c>
      <c r="B40" s="489" t="s">
        <v>1574</v>
      </c>
      <c r="C40" s="489" t="s">
        <v>1575</v>
      </c>
      <c r="D40" s="489" t="s">
        <v>141</v>
      </c>
      <c r="E40" s="619">
        <v>211</v>
      </c>
      <c r="F40" s="624">
        <f t="shared" si="1"/>
        <v>30.926540284360193</v>
      </c>
      <c r="G40" s="519">
        <f t="shared" si="3"/>
        <v>30.746511627906976</v>
      </c>
      <c r="H40" s="519">
        <f t="shared" si="3"/>
        <v>30.992307692307691</v>
      </c>
      <c r="I40" s="519">
        <f t="shared" si="3"/>
        <v>30.927450980392155</v>
      </c>
      <c r="J40" s="519">
        <f t="shared" si="3"/>
        <v>0</v>
      </c>
      <c r="K40" s="519">
        <f t="shared" si="3"/>
        <v>0</v>
      </c>
      <c r="L40" s="519">
        <f t="shared" si="3"/>
        <v>0</v>
      </c>
      <c r="M40" s="519">
        <f t="shared" si="3"/>
        <v>0</v>
      </c>
      <c r="N40" s="519">
        <f t="shared" si="3"/>
        <v>0</v>
      </c>
      <c r="O40" s="519">
        <f t="shared" si="3"/>
        <v>0</v>
      </c>
      <c r="P40" s="519">
        <f t="shared" si="3"/>
        <v>0</v>
      </c>
      <c r="Q40" s="519">
        <f t="shared" si="3"/>
        <v>0</v>
      </c>
      <c r="R40" s="519">
        <f t="shared" si="3"/>
        <v>0</v>
      </c>
      <c r="S40" s="519">
        <f t="shared" si="3"/>
        <v>0</v>
      </c>
      <c r="T40" s="519">
        <f t="shared" si="3"/>
        <v>0</v>
      </c>
      <c r="U40" s="519">
        <f t="shared" si="3"/>
        <v>0</v>
      </c>
      <c r="V40" s="618"/>
      <c r="Y40" s="624">
        <v>30.926540284360193</v>
      </c>
      <c r="Z40" s="519">
        <v>30.746511627906976</v>
      </c>
      <c r="AA40" s="519">
        <v>30.992307692307691</v>
      </c>
      <c r="AB40" s="519">
        <v>30.927450980392155</v>
      </c>
      <c r="AC40" s="519">
        <v>0</v>
      </c>
      <c r="AD40" s="519">
        <v>0</v>
      </c>
      <c r="AE40" s="519">
        <v>0</v>
      </c>
      <c r="AF40" s="519">
        <v>0</v>
      </c>
      <c r="AG40" s="519">
        <v>0</v>
      </c>
      <c r="AH40" s="519">
        <v>0</v>
      </c>
      <c r="AI40" s="519">
        <v>0</v>
      </c>
      <c r="AJ40" s="519">
        <v>0</v>
      </c>
      <c r="AK40" s="519">
        <v>0</v>
      </c>
      <c r="AL40" s="519">
        <v>0</v>
      </c>
      <c r="AM40" s="519">
        <v>0</v>
      </c>
      <c r="AN40" s="519">
        <v>0</v>
      </c>
    </row>
    <row r="41" spans="1:40" x14ac:dyDescent="0.3">
      <c r="A41" s="489" t="s">
        <v>1451</v>
      </c>
      <c r="B41" s="489" t="s">
        <v>1576</v>
      </c>
      <c r="C41" s="489" t="s">
        <v>1577</v>
      </c>
      <c r="D41" s="489" t="s">
        <v>46</v>
      </c>
      <c r="E41" s="619">
        <v>201</v>
      </c>
      <c r="F41" s="624">
        <f t="shared" si="1"/>
        <v>0</v>
      </c>
      <c r="G41" s="519">
        <f t="shared" si="3"/>
        <v>0</v>
      </c>
      <c r="H41" s="519">
        <f t="shared" si="3"/>
        <v>0</v>
      </c>
      <c r="I41" s="519">
        <f t="shared" si="3"/>
        <v>0</v>
      </c>
      <c r="J41" s="519">
        <f t="shared" si="3"/>
        <v>0</v>
      </c>
      <c r="K41" s="519">
        <f t="shared" si="3"/>
        <v>0</v>
      </c>
      <c r="L41" s="519">
        <f t="shared" si="3"/>
        <v>0</v>
      </c>
      <c r="M41" s="519">
        <f t="shared" si="3"/>
        <v>0</v>
      </c>
      <c r="N41" s="519">
        <f t="shared" si="3"/>
        <v>0</v>
      </c>
      <c r="O41" s="519">
        <f t="shared" si="3"/>
        <v>0</v>
      </c>
      <c r="P41" s="519">
        <f t="shared" si="3"/>
        <v>0</v>
      </c>
      <c r="Q41" s="519">
        <f t="shared" si="3"/>
        <v>0</v>
      </c>
      <c r="R41" s="519">
        <f t="shared" si="3"/>
        <v>0</v>
      </c>
      <c r="S41" s="519">
        <f t="shared" si="3"/>
        <v>0</v>
      </c>
      <c r="T41" s="519">
        <f t="shared" si="3"/>
        <v>0</v>
      </c>
      <c r="U41" s="519">
        <f t="shared" si="3"/>
        <v>0</v>
      </c>
      <c r="V41" s="618"/>
      <c r="Y41" s="624">
        <v>0</v>
      </c>
      <c r="Z41" s="519">
        <v>0</v>
      </c>
      <c r="AA41" s="519">
        <v>0</v>
      </c>
      <c r="AB41" s="519">
        <v>0</v>
      </c>
      <c r="AC41" s="519">
        <v>0</v>
      </c>
      <c r="AD41" s="519">
        <v>0</v>
      </c>
      <c r="AE41" s="519">
        <v>0</v>
      </c>
      <c r="AF41" s="519">
        <v>0</v>
      </c>
      <c r="AG41" s="519">
        <v>0</v>
      </c>
      <c r="AH41" s="519">
        <v>0</v>
      </c>
      <c r="AI41" s="519">
        <v>0</v>
      </c>
      <c r="AJ41" s="519">
        <v>0</v>
      </c>
      <c r="AK41" s="519">
        <v>0</v>
      </c>
      <c r="AL41" s="519">
        <v>0</v>
      </c>
      <c r="AM41" s="519">
        <v>0</v>
      </c>
      <c r="AN41" s="519">
        <v>0</v>
      </c>
    </row>
    <row r="42" spans="1:40" x14ac:dyDescent="0.3">
      <c r="A42" s="489" t="s">
        <v>1544</v>
      </c>
      <c r="B42" s="489" t="s">
        <v>1578</v>
      </c>
      <c r="C42" s="489" t="s">
        <v>337</v>
      </c>
      <c r="D42" s="489" t="s">
        <v>46</v>
      </c>
      <c r="E42" s="619">
        <v>200</v>
      </c>
      <c r="F42" s="624">
        <f t="shared" si="1"/>
        <v>0</v>
      </c>
      <c r="G42" s="519">
        <f t="shared" si="3"/>
        <v>0</v>
      </c>
      <c r="H42" s="519">
        <f t="shared" si="3"/>
        <v>0</v>
      </c>
      <c r="I42" s="519">
        <f t="shared" si="3"/>
        <v>0</v>
      </c>
      <c r="J42" s="519">
        <f t="shared" si="3"/>
        <v>0</v>
      </c>
      <c r="K42" s="519">
        <f t="shared" si="3"/>
        <v>0</v>
      </c>
      <c r="L42" s="519">
        <f t="shared" si="3"/>
        <v>0</v>
      </c>
      <c r="M42" s="519">
        <f t="shared" si="3"/>
        <v>0</v>
      </c>
      <c r="N42" s="519">
        <f t="shared" si="3"/>
        <v>0</v>
      </c>
      <c r="O42" s="519">
        <f t="shared" si="3"/>
        <v>0</v>
      </c>
      <c r="P42" s="519">
        <f t="shared" si="3"/>
        <v>0</v>
      </c>
      <c r="Q42" s="519">
        <f t="shared" si="3"/>
        <v>0</v>
      </c>
      <c r="R42" s="519">
        <f t="shared" si="3"/>
        <v>0</v>
      </c>
      <c r="S42" s="519">
        <f t="shared" si="3"/>
        <v>0</v>
      </c>
      <c r="T42" s="519">
        <f t="shared" si="3"/>
        <v>0</v>
      </c>
      <c r="U42" s="519">
        <f t="shared" si="3"/>
        <v>0</v>
      </c>
      <c r="V42" s="618"/>
      <c r="Y42" s="624">
        <v>0</v>
      </c>
      <c r="Z42" s="519">
        <v>0</v>
      </c>
      <c r="AA42" s="519">
        <v>0</v>
      </c>
      <c r="AB42" s="519">
        <v>0</v>
      </c>
      <c r="AC42" s="519">
        <v>0</v>
      </c>
      <c r="AD42" s="519">
        <v>0</v>
      </c>
      <c r="AE42" s="519">
        <v>0</v>
      </c>
      <c r="AF42" s="519">
        <v>0</v>
      </c>
      <c r="AG42" s="519">
        <v>0</v>
      </c>
      <c r="AH42" s="519">
        <v>0</v>
      </c>
      <c r="AI42" s="519">
        <v>0</v>
      </c>
      <c r="AJ42" s="519">
        <v>0</v>
      </c>
      <c r="AK42" s="519">
        <v>0</v>
      </c>
      <c r="AL42" s="519">
        <v>0</v>
      </c>
      <c r="AM42" s="519">
        <v>0</v>
      </c>
      <c r="AN42" s="519">
        <v>0</v>
      </c>
    </row>
    <row r="43" spans="1:40" x14ac:dyDescent="0.3">
      <c r="A43" s="489" t="s">
        <v>1426</v>
      </c>
      <c r="B43" s="489" t="s">
        <v>1579</v>
      </c>
      <c r="C43" s="489" t="s">
        <v>1580</v>
      </c>
      <c r="D43" s="489" t="s">
        <v>46</v>
      </c>
      <c r="E43" s="619">
        <v>199</v>
      </c>
      <c r="F43" s="624">
        <f t="shared" si="1"/>
        <v>0</v>
      </c>
      <c r="G43" s="519">
        <f t="shared" si="3"/>
        <v>0</v>
      </c>
      <c r="H43" s="519">
        <f t="shared" si="3"/>
        <v>0</v>
      </c>
      <c r="I43" s="519">
        <f t="shared" si="3"/>
        <v>0</v>
      </c>
      <c r="J43" s="519">
        <f t="shared" si="3"/>
        <v>0</v>
      </c>
      <c r="K43" s="519">
        <f t="shared" si="3"/>
        <v>0</v>
      </c>
      <c r="L43" s="519">
        <f t="shared" si="3"/>
        <v>0</v>
      </c>
      <c r="M43" s="519">
        <f t="shared" si="3"/>
        <v>0</v>
      </c>
      <c r="N43" s="519">
        <f t="shared" si="3"/>
        <v>0</v>
      </c>
      <c r="O43" s="519">
        <f t="shared" si="3"/>
        <v>0</v>
      </c>
      <c r="P43" s="519">
        <f t="shared" si="3"/>
        <v>0</v>
      </c>
      <c r="Q43" s="519">
        <f t="shared" si="3"/>
        <v>0</v>
      </c>
      <c r="R43" s="519">
        <f t="shared" si="3"/>
        <v>0</v>
      </c>
      <c r="S43" s="519">
        <f t="shared" si="3"/>
        <v>0</v>
      </c>
      <c r="T43" s="519">
        <f t="shared" si="3"/>
        <v>0</v>
      </c>
      <c r="U43" s="519">
        <f t="shared" si="3"/>
        <v>0</v>
      </c>
      <c r="V43" s="618"/>
      <c r="Y43" s="624">
        <v>0</v>
      </c>
      <c r="Z43" s="519">
        <v>0</v>
      </c>
      <c r="AA43" s="519">
        <v>0</v>
      </c>
      <c r="AB43" s="519">
        <v>0</v>
      </c>
      <c r="AC43" s="519">
        <v>0</v>
      </c>
      <c r="AD43" s="519">
        <v>0</v>
      </c>
      <c r="AE43" s="519">
        <v>0</v>
      </c>
      <c r="AF43" s="519">
        <v>0</v>
      </c>
      <c r="AG43" s="519">
        <v>0</v>
      </c>
      <c r="AH43" s="519">
        <v>0</v>
      </c>
      <c r="AI43" s="519">
        <v>0</v>
      </c>
      <c r="AJ43" s="519">
        <v>0</v>
      </c>
      <c r="AK43" s="519">
        <v>0</v>
      </c>
      <c r="AL43" s="519">
        <v>0</v>
      </c>
      <c r="AM43" s="519">
        <v>0</v>
      </c>
      <c r="AN43" s="519">
        <v>0</v>
      </c>
    </row>
    <row r="44" spans="1:40" x14ac:dyDescent="0.3">
      <c r="A44" s="489" t="s">
        <v>1441</v>
      </c>
      <c r="B44" s="489" t="s">
        <v>1549</v>
      </c>
      <c r="C44" s="489" t="s">
        <v>1550</v>
      </c>
      <c r="D44" s="489" t="s">
        <v>1530</v>
      </c>
      <c r="E44" s="619">
        <v>189</v>
      </c>
      <c r="F44" s="624">
        <f t="shared" si="1"/>
        <v>0</v>
      </c>
      <c r="G44" s="519">
        <f t="shared" si="3"/>
        <v>0</v>
      </c>
      <c r="H44" s="519">
        <f t="shared" si="3"/>
        <v>0</v>
      </c>
      <c r="I44" s="519">
        <f t="shared" si="3"/>
        <v>0</v>
      </c>
      <c r="J44" s="519">
        <f t="shared" si="3"/>
        <v>0</v>
      </c>
      <c r="K44" s="519">
        <f t="shared" si="3"/>
        <v>0</v>
      </c>
      <c r="L44" s="519">
        <f t="shared" si="3"/>
        <v>0</v>
      </c>
      <c r="M44" s="519">
        <f t="shared" si="3"/>
        <v>0</v>
      </c>
      <c r="N44" s="519">
        <f t="shared" si="3"/>
        <v>0</v>
      </c>
      <c r="O44" s="519">
        <f t="shared" si="3"/>
        <v>0</v>
      </c>
      <c r="P44" s="519">
        <f t="shared" si="3"/>
        <v>0</v>
      </c>
      <c r="Q44" s="519">
        <f t="shared" si="3"/>
        <v>0</v>
      </c>
      <c r="R44" s="519">
        <f t="shared" si="3"/>
        <v>0</v>
      </c>
      <c r="S44" s="519">
        <f t="shared" si="3"/>
        <v>0</v>
      </c>
      <c r="T44" s="519">
        <f t="shared" si="3"/>
        <v>0</v>
      </c>
      <c r="U44" s="519">
        <f t="shared" si="3"/>
        <v>0</v>
      </c>
      <c r="V44" s="618"/>
      <c r="Y44" s="624">
        <v>0</v>
      </c>
      <c r="Z44" s="519">
        <v>0</v>
      </c>
      <c r="AA44" s="519">
        <v>0</v>
      </c>
      <c r="AB44" s="519">
        <v>0</v>
      </c>
      <c r="AC44" s="519">
        <v>0</v>
      </c>
      <c r="AD44" s="519">
        <v>0</v>
      </c>
      <c r="AE44" s="519">
        <v>0</v>
      </c>
      <c r="AF44" s="519">
        <v>0</v>
      </c>
      <c r="AG44" s="519">
        <v>0</v>
      </c>
      <c r="AH44" s="519">
        <v>0</v>
      </c>
      <c r="AI44" s="519">
        <v>0</v>
      </c>
      <c r="AJ44" s="519">
        <v>0</v>
      </c>
      <c r="AK44" s="519">
        <v>0</v>
      </c>
      <c r="AL44" s="519">
        <v>0</v>
      </c>
      <c r="AM44" s="519">
        <v>0</v>
      </c>
      <c r="AN44" s="519">
        <v>0</v>
      </c>
    </row>
    <row r="45" spans="1:40" x14ac:dyDescent="0.3">
      <c r="A45" s="489" t="s">
        <v>1426</v>
      </c>
      <c r="B45" s="489" t="s">
        <v>1579</v>
      </c>
      <c r="C45" s="489" t="s">
        <v>1580</v>
      </c>
      <c r="D45" s="489" t="s">
        <v>141</v>
      </c>
      <c r="E45" s="619">
        <v>188</v>
      </c>
      <c r="F45" s="624">
        <f t="shared" si="1"/>
        <v>27.461497326203208</v>
      </c>
      <c r="G45" s="519">
        <f t="shared" si="3"/>
        <v>27.5</v>
      </c>
      <c r="H45" s="519">
        <f t="shared" si="3"/>
        <v>27.5</v>
      </c>
      <c r="I45" s="519">
        <f t="shared" si="3"/>
        <v>27.269230769230766</v>
      </c>
      <c r="J45" s="519">
        <f t="shared" si="3"/>
        <v>27.564999999999998</v>
      </c>
      <c r="K45" s="519">
        <f t="shared" si="3"/>
        <v>0</v>
      </c>
      <c r="L45" s="519">
        <f t="shared" si="3"/>
        <v>0</v>
      </c>
      <c r="M45" s="519">
        <f t="shared" si="3"/>
        <v>0</v>
      </c>
      <c r="N45" s="519">
        <f t="shared" si="3"/>
        <v>0</v>
      </c>
      <c r="O45" s="519">
        <f t="shared" si="3"/>
        <v>0</v>
      </c>
      <c r="P45" s="519">
        <f t="shared" si="3"/>
        <v>0</v>
      </c>
      <c r="Q45" s="519">
        <f t="shared" si="3"/>
        <v>0</v>
      </c>
      <c r="R45" s="519">
        <f t="shared" si="3"/>
        <v>0</v>
      </c>
      <c r="S45" s="519">
        <f t="shared" si="3"/>
        <v>0</v>
      </c>
      <c r="T45" s="519">
        <f t="shared" si="3"/>
        <v>0</v>
      </c>
      <c r="U45" s="519">
        <f t="shared" si="3"/>
        <v>0</v>
      </c>
      <c r="V45" s="618"/>
      <c r="Y45" s="624">
        <v>27.461497326203208</v>
      </c>
      <c r="Z45" s="519">
        <v>0</v>
      </c>
      <c r="AA45" s="519">
        <v>27.5</v>
      </c>
      <c r="AB45" s="519">
        <v>27.269230769230766</v>
      </c>
      <c r="AC45" s="519">
        <v>27.564999999999998</v>
      </c>
      <c r="AD45" s="519">
        <v>0</v>
      </c>
      <c r="AE45" s="519">
        <v>0</v>
      </c>
      <c r="AF45" s="519">
        <v>0</v>
      </c>
      <c r="AG45" s="519">
        <v>0</v>
      </c>
      <c r="AH45" s="519">
        <v>0</v>
      </c>
      <c r="AI45" s="519">
        <v>0</v>
      </c>
      <c r="AJ45" s="519">
        <v>0</v>
      </c>
      <c r="AK45" s="519">
        <v>0</v>
      </c>
      <c r="AL45" s="519">
        <v>0</v>
      </c>
      <c r="AM45" s="519">
        <v>0</v>
      </c>
      <c r="AN45" s="519">
        <v>0</v>
      </c>
    </row>
    <row r="46" spans="1:40" x14ac:dyDescent="0.3">
      <c r="A46" s="489" t="s">
        <v>1414</v>
      </c>
      <c r="B46" s="489" t="s">
        <v>1581</v>
      </c>
      <c r="C46" s="489" t="s">
        <v>1582</v>
      </c>
      <c r="D46" s="489" t="s">
        <v>46</v>
      </c>
      <c r="E46" s="619">
        <v>185</v>
      </c>
      <c r="F46" s="624">
        <f t="shared" si="1"/>
        <v>0</v>
      </c>
      <c r="G46" s="519">
        <f t="shared" si="3"/>
        <v>0</v>
      </c>
      <c r="H46" s="519">
        <f t="shared" si="3"/>
        <v>0</v>
      </c>
      <c r="I46" s="519">
        <f t="shared" si="3"/>
        <v>0</v>
      </c>
      <c r="J46" s="519">
        <f t="shared" si="3"/>
        <v>0</v>
      </c>
      <c r="K46" s="519">
        <f t="shared" si="3"/>
        <v>0</v>
      </c>
      <c r="L46" s="519">
        <f t="shared" si="3"/>
        <v>0</v>
      </c>
      <c r="M46" s="519">
        <f t="shared" si="3"/>
        <v>0</v>
      </c>
      <c r="N46" s="519">
        <f t="shared" si="3"/>
        <v>0</v>
      </c>
      <c r="O46" s="519">
        <f t="shared" si="3"/>
        <v>0</v>
      </c>
      <c r="P46" s="519">
        <f t="shared" si="3"/>
        <v>0</v>
      </c>
      <c r="Q46" s="519">
        <f t="shared" si="3"/>
        <v>0</v>
      </c>
      <c r="R46" s="519">
        <f t="shared" si="3"/>
        <v>0</v>
      </c>
      <c r="S46" s="519">
        <f t="shared" si="3"/>
        <v>0</v>
      </c>
      <c r="T46" s="519">
        <f t="shared" si="3"/>
        <v>0</v>
      </c>
      <c r="U46" s="519">
        <f t="shared" si="3"/>
        <v>0</v>
      </c>
      <c r="V46" s="618"/>
      <c r="Y46" s="624">
        <v>0</v>
      </c>
      <c r="Z46" s="519">
        <v>0</v>
      </c>
      <c r="AA46" s="519">
        <v>0</v>
      </c>
      <c r="AB46" s="519">
        <v>0</v>
      </c>
      <c r="AC46" s="519">
        <v>0</v>
      </c>
      <c r="AD46" s="519">
        <v>0</v>
      </c>
      <c r="AE46" s="519">
        <v>0</v>
      </c>
      <c r="AF46" s="519">
        <v>0</v>
      </c>
      <c r="AG46" s="519">
        <v>0</v>
      </c>
      <c r="AH46" s="519">
        <v>0</v>
      </c>
      <c r="AI46" s="519">
        <v>0</v>
      </c>
      <c r="AJ46" s="519">
        <v>0</v>
      </c>
      <c r="AK46" s="519">
        <v>0</v>
      </c>
      <c r="AL46" s="519">
        <v>0</v>
      </c>
      <c r="AM46" s="519">
        <v>0</v>
      </c>
      <c r="AN46" s="519">
        <v>0</v>
      </c>
    </row>
    <row r="47" spans="1:40" x14ac:dyDescent="0.3">
      <c r="A47" s="489" t="s">
        <v>1422</v>
      </c>
      <c r="B47" s="489" t="s">
        <v>1583</v>
      </c>
      <c r="C47" s="489" t="s">
        <v>1584</v>
      </c>
      <c r="D47" s="489" t="s">
        <v>141</v>
      </c>
      <c r="E47" s="619">
        <v>183</v>
      </c>
      <c r="F47" s="624">
        <f t="shared" si="1"/>
        <v>16.220520231213875</v>
      </c>
      <c r="G47" s="519">
        <f t="shared" si="3"/>
        <v>15.9</v>
      </c>
      <c r="H47" s="519">
        <f t="shared" si="3"/>
        <v>15.859756097560975</v>
      </c>
      <c r="I47" s="519">
        <f t="shared" si="3"/>
        <v>16.460769230769223</v>
      </c>
      <c r="J47" s="519">
        <f t="shared" si="3"/>
        <v>17.150833333333331</v>
      </c>
      <c r="K47" s="519">
        <f t="shared" si="3"/>
        <v>0</v>
      </c>
      <c r="L47" s="519">
        <f t="shared" si="3"/>
        <v>0</v>
      </c>
      <c r="M47" s="519">
        <f t="shared" si="3"/>
        <v>0</v>
      </c>
      <c r="N47" s="519">
        <f t="shared" si="3"/>
        <v>0</v>
      </c>
      <c r="O47" s="519">
        <f t="shared" si="3"/>
        <v>0</v>
      </c>
      <c r="P47" s="519">
        <f t="shared" si="3"/>
        <v>0</v>
      </c>
      <c r="Q47" s="519">
        <f t="shared" si="3"/>
        <v>0</v>
      </c>
      <c r="R47" s="519">
        <f t="shared" si="3"/>
        <v>0</v>
      </c>
      <c r="S47" s="519">
        <f t="shared" si="3"/>
        <v>0</v>
      </c>
      <c r="T47" s="519">
        <f t="shared" si="3"/>
        <v>0</v>
      </c>
      <c r="U47" s="519">
        <f t="shared" si="3"/>
        <v>0</v>
      </c>
      <c r="V47" s="618"/>
      <c r="Y47" s="624">
        <v>16.220520231213875</v>
      </c>
      <c r="Z47" s="519">
        <v>15.9</v>
      </c>
      <c r="AA47" s="519">
        <v>15.859756097560975</v>
      </c>
      <c r="AB47" s="519">
        <v>16.460769230769223</v>
      </c>
      <c r="AC47" s="519">
        <v>17.150833333333331</v>
      </c>
      <c r="AD47" s="519">
        <v>0</v>
      </c>
      <c r="AE47" s="519">
        <v>0</v>
      </c>
      <c r="AF47" s="519">
        <v>0</v>
      </c>
      <c r="AG47" s="519">
        <v>0</v>
      </c>
      <c r="AH47" s="519">
        <v>0</v>
      </c>
      <c r="AI47" s="519">
        <v>0</v>
      </c>
      <c r="AJ47" s="519">
        <v>0</v>
      </c>
      <c r="AK47" s="519">
        <v>0</v>
      </c>
      <c r="AL47" s="519">
        <v>0</v>
      </c>
      <c r="AM47" s="519">
        <v>0</v>
      </c>
      <c r="AN47" s="519">
        <v>0</v>
      </c>
    </row>
    <row r="48" spans="1:40" x14ac:dyDescent="0.3">
      <c r="A48" s="489" t="s">
        <v>1414</v>
      </c>
      <c r="B48" s="489" t="s">
        <v>1585</v>
      </c>
      <c r="C48" s="489" t="s">
        <v>1586</v>
      </c>
      <c r="D48" s="489" t="s">
        <v>46</v>
      </c>
      <c r="E48" s="619">
        <v>179</v>
      </c>
      <c r="F48" s="624">
        <f t="shared" si="1"/>
        <v>0</v>
      </c>
      <c r="G48" s="519">
        <f t="shared" si="3"/>
        <v>0</v>
      </c>
      <c r="H48" s="519">
        <f t="shared" si="3"/>
        <v>0</v>
      </c>
      <c r="I48" s="519">
        <f t="shared" si="3"/>
        <v>0</v>
      </c>
      <c r="J48" s="519">
        <f t="shared" si="3"/>
        <v>0</v>
      </c>
      <c r="K48" s="519">
        <f t="shared" si="3"/>
        <v>0</v>
      </c>
      <c r="L48" s="519">
        <f t="shared" si="3"/>
        <v>0</v>
      </c>
      <c r="M48" s="519">
        <f t="shared" si="3"/>
        <v>0</v>
      </c>
      <c r="N48" s="519">
        <f t="shared" si="3"/>
        <v>0</v>
      </c>
      <c r="O48" s="519">
        <f t="shared" si="3"/>
        <v>0</v>
      </c>
      <c r="P48" s="519">
        <f t="shared" si="3"/>
        <v>0</v>
      </c>
      <c r="Q48" s="519">
        <f t="shared" si="3"/>
        <v>0</v>
      </c>
      <c r="R48" s="519">
        <f t="shared" si="3"/>
        <v>0</v>
      </c>
      <c r="S48" s="519">
        <f t="shared" si="3"/>
        <v>0</v>
      </c>
      <c r="T48" s="519">
        <f t="shared" si="3"/>
        <v>0</v>
      </c>
      <c r="U48" s="519">
        <f t="shared" si="3"/>
        <v>0</v>
      </c>
      <c r="V48" s="618"/>
      <c r="Y48" s="624">
        <v>0</v>
      </c>
      <c r="Z48" s="519">
        <v>0</v>
      </c>
      <c r="AA48" s="519">
        <v>0</v>
      </c>
      <c r="AB48" s="519">
        <v>0</v>
      </c>
      <c r="AC48" s="519">
        <v>0</v>
      </c>
      <c r="AD48" s="519">
        <v>0</v>
      </c>
      <c r="AE48" s="519">
        <v>0</v>
      </c>
      <c r="AF48" s="519">
        <v>0</v>
      </c>
      <c r="AG48" s="519">
        <v>0</v>
      </c>
      <c r="AH48" s="519">
        <v>0</v>
      </c>
      <c r="AI48" s="519">
        <v>0</v>
      </c>
      <c r="AJ48" s="519">
        <v>0</v>
      </c>
      <c r="AK48" s="519">
        <v>0</v>
      </c>
      <c r="AL48" s="519">
        <v>0</v>
      </c>
      <c r="AM48" s="519">
        <v>0</v>
      </c>
      <c r="AN48" s="519">
        <v>0</v>
      </c>
    </row>
    <row r="49" spans="1:40" x14ac:dyDescent="0.3">
      <c r="A49" s="489" t="s">
        <v>1451</v>
      </c>
      <c r="B49" s="489" t="s">
        <v>1587</v>
      </c>
      <c r="C49" s="489" t="s">
        <v>1588</v>
      </c>
      <c r="D49" s="489" t="s">
        <v>46</v>
      </c>
      <c r="E49" s="619">
        <v>173</v>
      </c>
      <c r="F49" s="624">
        <f t="shared" si="1"/>
        <v>0</v>
      </c>
      <c r="G49" s="519">
        <f t="shared" si="3"/>
        <v>0</v>
      </c>
      <c r="H49" s="519">
        <f t="shared" si="3"/>
        <v>0</v>
      </c>
      <c r="I49" s="519">
        <f t="shared" si="3"/>
        <v>0</v>
      </c>
      <c r="J49" s="519">
        <f t="shared" si="3"/>
        <v>0</v>
      </c>
      <c r="K49" s="519">
        <f t="shared" si="3"/>
        <v>0</v>
      </c>
      <c r="L49" s="519">
        <f t="shared" si="3"/>
        <v>0</v>
      </c>
      <c r="M49" s="519">
        <f t="shared" si="3"/>
        <v>0</v>
      </c>
      <c r="N49" s="519">
        <f t="shared" si="3"/>
        <v>0</v>
      </c>
      <c r="O49" s="519">
        <f t="shared" si="3"/>
        <v>0</v>
      </c>
      <c r="P49" s="519">
        <f t="shared" si="3"/>
        <v>0</v>
      </c>
      <c r="Q49" s="519">
        <f t="shared" si="3"/>
        <v>0</v>
      </c>
      <c r="R49" s="519">
        <f t="shared" si="3"/>
        <v>0</v>
      </c>
      <c r="S49" s="519">
        <f t="shared" si="3"/>
        <v>0</v>
      </c>
      <c r="T49" s="519">
        <f t="shared" si="3"/>
        <v>0</v>
      </c>
      <c r="U49" s="519">
        <f t="shared" si="3"/>
        <v>0</v>
      </c>
      <c r="V49" s="618"/>
      <c r="Y49" s="624">
        <v>0</v>
      </c>
      <c r="Z49" s="519">
        <v>0</v>
      </c>
      <c r="AA49" s="519">
        <v>0</v>
      </c>
      <c r="AB49" s="519">
        <v>0</v>
      </c>
      <c r="AC49" s="519">
        <v>0</v>
      </c>
      <c r="AD49" s="519">
        <v>0</v>
      </c>
      <c r="AE49" s="519">
        <v>0</v>
      </c>
      <c r="AF49" s="519">
        <v>0</v>
      </c>
      <c r="AG49" s="519">
        <v>0</v>
      </c>
      <c r="AH49" s="519">
        <v>0</v>
      </c>
      <c r="AI49" s="519">
        <v>0</v>
      </c>
      <c r="AJ49" s="519">
        <v>0</v>
      </c>
      <c r="AK49" s="519">
        <v>0</v>
      </c>
      <c r="AL49" s="519">
        <v>0</v>
      </c>
      <c r="AM49" s="519">
        <v>0</v>
      </c>
      <c r="AN49" s="519">
        <v>0</v>
      </c>
    </row>
    <row r="50" spans="1:40" x14ac:dyDescent="0.3">
      <c r="A50" s="489" t="s">
        <v>1454</v>
      </c>
      <c r="B50" s="489" t="s">
        <v>1589</v>
      </c>
      <c r="C50" s="489" t="s">
        <v>1590</v>
      </c>
      <c r="D50" s="489" t="s">
        <v>46</v>
      </c>
      <c r="E50" s="619">
        <v>169</v>
      </c>
      <c r="F50" s="624">
        <f t="shared" si="1"/>
        <v>0</v>
      </c>
      <c r="G50" s="519">
        <f t="shared" ref="G50:U65" si="4">IF(Z50&gt;0,Z50,IF(H50&gt;0,H50,0))</f>
        <v>0</v>
      </c>
      <c r="H50" s="519">
        <f t="shared" si="4"/>
        <v>0</v>
      </c>
      <c r="I50" s="519">
        <f t="shared" si="4"/>
        <v>0</v>
      </c>
      <c r="J50" s="519">
        <f t="shared" si="4"/>
        <v>0</v>
      </c>
      <c r="K50" s="519">
        <f t="shared" si="4"/>
        <v>0</v>
      </c>
      <c r="L50" s="519">
        <f t="shared" si="4"/>
        <v>0</v>
      </c>
      <c r="M50" s="519">
        <f t="shared" si="4"/>
        <v>0</v>
      </c>
      <c r="N50" s="519">
        <f t="shared" si="4"/>
        <v>0</v>
      </c>
      <c r="O50" s="519">
        <f t="shared" si="4"/>
        <v>0</v>
      </c>
      <c r="P50" s="519">
        <f t="shared" si="4"/>
        <v>0</v>
      </c>
      <c r="Q50" s="519">
        <f t="shared" si="4"/>
        <v>0</v>
      </c>
      <c r="R50" s="519">
        <f t="shared" si="4"/>
        <v>0</v>
      </c>
      <c r="S50" s="519">
        <f t="shared" si="4"/>
        <v>0</v>
      </c>
      <c r="T50" s="519">
        <f t="shared" si="4"/>
        <v>0</v>
      </c>
      <c r="U50" s="519">
        <f t="shared" si="4"/>
        <v>0</v>
      </c>
      <c r="V50" s="618"/>
      <c r="Y50" s="624">
        <v>0</v>
      </c>
      <c r="Z50" s="519">
        <v>0</v>
      </c>
      <c r="AA50" s="519">
        <v>0</v>
      </c>
      <c r="AB50" s="519">
        <v>0</v>
      </c>
      <c r="AC50" s="519">
        <v>0</v>
      </c>
      <c r="AD50" s="519">
        <v>0</v>
      </c>
      <c r="AE50" s="519">
        <v>0</v>
      </c>
      <c r="AF50" s="519">
        <v>0</v>
      </c>
      <c r="AG50" s="519">
        <v>0</v>
      </c>
      <c r="AH50" s="519">
        <v>0</v>
      </c>
      <c r="AI50" s="519">
        <v>0</v>
      </c>
      <c r="AJ50" s="519">
        <v>0</v>
      </c>
      <c r="AK50" s="519">
        <v>0</v>
      </c>
      <c r="AL50" s="519">
        <v>0</v>
      </c>
      <c r="AM50" s="519">
        <v>0</v>
      </c>
      <c r="AN50" s="519">
        <v>0</v>
      </c>
    </row>
    <row r="51" spans="1:40" x14ac:dyDescent="0.3">
      <c r="A51" s="489" t="s">
        <v>1417</v>
      </c>
      <c r="B51" s="489" t="s">
        <v>1418</v>
      </c>
      <c r="C51" s="489" t="s">
        <v>1232</v>
      </c>
      <c r="D51" s="489" t="s">
        <v>1936</v>
      </c>
      <c r="E51" s="619">
        <v>169</v>
      </c>
      <c r="F51" s="624">
        <f t="shared" si="1"/>
        <v>0</v>
      </c>
      <c r="G51" s="519">
        <f t="shared" si="4"/>
        <v>0</v>
      </c>
      <c r="H51" s="519">
        <f t="shared" si="4"/>
        <v>0</v>
      </c>
      <c r="I51" s="519">
        <f t="shared" si="4"/>
        <v>0</v>
      </c>
      <c r="J51" s="519">
        <f t="shared" si="4"/>
        <v>0</v>
      </c>
      <c r="K51" s="519">
        <f t="shared" si="4"/>
        <v>0</v>
      </c>
      <c r="L51" s="519">
        <f t="shared" si="4"/>
        <v>0</v>
      </c>
      <c r="M51" s="519">
        <f t="shared" si="4"/>
        <v>0</v>
      </c>
      <c r="N51" s="519">
        <f t="shared" si="4"/>
        <v>0</v>
      </c>
      <c r="O51" s="519">
        <f t="shared" si="4"/>
        <v>0</v>
      </c>
      <c r="P51" s="519">
        <f t="shared" si="4"/>
        <v>0</v>
      </c>
      <c r="Q51" s="519">
        <f t="shared" si="4"/>
        <v>0</v>
      </c>
      <c r="R51" s="519">
        <f t="shared" si="4"/>
        <v>0</v>
      </c>
      <c r="S51" s="519">
        <f t="shared" si="4"/>
        <v>0</v>
      </c>
      <c r="T51" s="519">
        <f t="shared" si="4"/>
        <v>0</v>
      </c>
      <c r="U51" s="519">
        <f t="shared" si="4"/>
        <v>0</v>
      </c>
      <c r="V51" s="618"/>
      <c r="Y51" s="624">
        <v>0</v>
      </c>
      <c r="Z51" s="519">
        <v>0</v>
      </c>
      <c r="AA51" s="519">
        <v>0</v>
      </c>
      <c r="AB51" s="519">
        <v>0</v>
      </c>
      <c r="AC51" s="519">
        <v>0</v>
      </c>
      <c r="AD51" s="519">
        <v>0</v>
      </c>
      <c r="AE51" s="519">
        <v>0</v>
      </c>
      <c r="AF51" s="519">
        <v>0</v>
      </c>
      <c r="AG51" s="519">
        <v>0</v>
      </c>
      <c r="AH51" s="519">
        <v>0</v>
      </c>
      <c r="AI51" s="519">
        <v>0</v>
      </c>
      <c r="AJ51" s="519">
        <v>0</v>
      </c>
      <c r="AK51" s="519">
        <v>0</v>
      </c>
      <c r="AL51" s="519">
        <v>0</v>
      </c>
      <c r="AM51" s="519">
        <v>0</v>
      </c>
      <c r="AN51" s="519">
        <v>0</v>
      </c>
    </row>
    <row r="52" spans="1:40" x14ac:dyDescent="0.3">
      <c r="A52" s="489" t="s">
        <v>1591</v>
      </c>
      <c r="B52" s="489" t="s">
        <v>1592</v>
      </c>
      <c r="C52" s="489" t="s">
        <v>1592</v>
      </c>
      <c r="D52" s="489" t="s">
        <v>141</v>
      </c>
      <c r="E52" s="619">
        <v>168</v>
      </c>
      <c r="F52" s="624">
        <f t="shared" si="1"/>
        <v>20.459036144578313</v>
      </c>
      <c r="G52" s="519">
        <f t="shared" si="4"/>
        <v>16.8</v>
      </c>
      <c r="H52" s="519">
        <f t="shared" si="4"/>
        <v>16.8</v>
      </c>
      <c r="I52" s="519">
        <f t="shared" si="4"/>
        <v>16.8</v>
      </c>
      <c r="J52" s="519">
        <f t="shared" si="4"/>
        <v>17.100000000000001</v>
      </c>
      <c r="K52" s="519">
        <f t="shared" si="4"/>
        <v>19.433333333333334</v>
      </c>
      <c r="L52" s="519">
        <f t="shared" si="4"/>
        <v>20.6</v>
      </c>
      <c r="M52" s="519">
        <f t="shared" si="4"/>
        <v>20.579661016949153</v>
      </c>
      <c r="N52" s="519">
        <f t="shared" si="4"/>
        <v>0</v>
      </c>
      <c r="O52" s="519">
        <f t="shared" si="4"/>
        <v>0</v>
      </c>
      <c r="P52" s="519">
        <f t="shared" si="4"/>
        <v>0</v>
      </c>
      <c r="Q52" s="519">
        <f t="shared" si="4"/>
        <v>0</v>
      </c>
      <c r="R52" s="519">
        <f t="shared" si="4"/>
        <v>0</v>
      </c>
      <c r="S52" s="519">
        <f t="shared" si="4"/>
        <v>0</v>
      </c>
      <c r="T52" s="519">
        <f t="shared" si="4"/>
        <v>0</v>
      </c>
      <c r="U52" s="519">
        <f t="shared" si="4"/>
        <v>0</v>
      </c>
      <c r="V52" s="618"/>
      <c r="Y52" s="624">
        <v>20.459036144578313</v>
      </c>
      <c r="Z52" s="519">
        <v>16.8</v>
      </c>
      <c r="AA52" s="519">
        <v>0</v>
      </c>
      <c r="AB52" s="519">
        <v>16.8</v>
      </c>
      <c r="AC52" s="519">
        <v>17.100000000000001</v>
      </c>
      <c r="AD52" s="519">
        <v>19.433333333333334</v>
      </c>
      <c r="AE52" s="519">
        <v>20.6</v>
      </c>
      <c r="AF52" s="519">
        <v>20.579661016949153</v>
      </c>
      <c r="AG52" s="519">
        <v>0</v>
      </c>
      <c r="AH52" s="519">
        <v>0</v>
      </c>
      <c r="AI52" s="519">
        <v>0</v>
      </c>
      <c r="AJ52" s="519">
        <v>0</v>
      </c>
      <c r="AK52" s="519">
        <v>0</v>
      </c>
      <c r="AL52" s="519">
        <v>0</v>
      </c>
      <c r="AM52" s="519">
        <v>0</v>
      </c>
      <c r="AN52" s="519">
        <v>0</v>
      </c>
    </row>
    <row r="53" spans="1:40" x14ac:dyDescent="0.3">
      <c r="A53" s="489" t="s">
        <v>1441</v>
      </c>
      <c r="B53" s="489" t="s">
        <v>1593</v>
      </c>
      <c r="C53" s="489" t="s">
        <v>1594</v>
      </c>
      <c r="D53" s="489" t="s">
        <v>141</v>
      </c>
      <c r="E53" s="619">
        <v>167</v>
      </c>
      <c r="F53" s="624">
        <f t="shared" si="1"/>
        <v>15.43443859649123</v>
      </c>
      <c r="G53" s="519">
        <f t="shared" si="4"/>
        <v>15.3</v>
      </c>
      <c r="H53" s="519">
        <f t="shared" si="4"/>
        <v>15.3</v>
      </c>
      <c r="I53" s="519">
        <f t="shared" si="4"/>
        <v>15.286000000000005</v>
      </c>
      <c r="J53" s="519">
        <f t="shared" si="4"/>
        <v>15.427363636363634</v>
      </c>
      <c r="K53" s="519">
        <f t="shared" si="4"/>
        <v>15.560722222222225</v>
      </c>
      <c r="L53" s="519">
        <f t="shared" si="4"/>
        <v>0</v>
      </c>
      <c r="M53" s="519">
        <f t="shared" si="4"/>
        <v>0</v>
      </c>
      <c r="N53" s="519">
        <f t="shared" si="4"/>
        <v>0</v>
      </c>
      <c r="O53" s="519">
        <f t="shared" si="4"/>
        <v>0</v>
      </c>
      <c r="P53" s="519">
        <f t="shared" si="4"/>
        <v>0</v>
      </c>
      <c r="Q53" s="519">
        <f t="shared" si="4"/>
        <v>0</v>
      </c>
      <c r="R53" s="519">
        <f t="shared" si="4"/>
        <v>0</v>
      </c>
      <c r="S53" s="519">
        <f t="shared" si="4"/>
        <v>0</v>
      </c>
      <c r="T53" s="519">
        <f t="shared" si="4"/>
        <v>0</v>
      </c>
      <c r="U53" s="519">
        <f t="shared" si="4"/>
        <v>0</v>
      </c>
      <c r="V53" s="618"/>
      <c r="Y53" s="624">
        <v>15.43443859649123</v>
      </c>
      <c r="Z53" s="519">
        <v>0</v>
      </c>
      <c r="AA53" s="519">
        <v>15.3</v>
      </c>
      <c r="AB53" s="519">
        <v>15.286000000000005</v>
      </c>
      <c r="AC53" s="519">
        <v>15.427363636363634</v>
      </c>
      <c r="AD53" s="519">
        <v>15.560722222222225</v>
      </c>
      <c r="AE53" s="519">
        <v>0</v>
      </c>
      <c r="AF53" s="519">
        <v>0</v>
      </c>
      <c r="AG53" s="519">
        <v>0</v>
      </c>
      <c r="AH53" s="519">
        <v>0</v>
      </c>
      <c r="AI53" s="519">
        <v>0</v>
      </c>
      <c r="AJ53" s="519">
        <v>0</v>
      </c>
      <c r="AK53" s="519">
        <v>0</v>
      </c>
      <c r="AL53" s="519">
        <v>0</v>
      </c>
      <c r="AM53" s="519">
        <v>0</v>
      </c>
      <c r="AN53" s="519">
        <v>0</v>
      </c>
    </row>
    <row r="54" spans="1:40" x14ac:dyDescent="0.3">
      <c r="A54" s="489" t="s">
        <v>1544</v>
      </c>
      <c r="B54" s="489" t="s">
        <v>1574</v>
      </c>
      <c r="C54" s="489" t="s">
        <v>1575</v>
      </c>
      <c r="D54" s="489" t="s">
        <v>46</v>
      </c>
      <c r="E54" s="619">
        <v>160</v>
      </c>
      <c r="F54" s="624">
        <f t="shared" si="1"/>
        <v>0</v>
      </c>
      <c r="G54" s="519">
        <f t="shared" si="4"/>
        <v>0</v>
      </c>
      <c r="H54" s="519">
        <f t="shared" si="4"/>
        <v>0</v>
      </c>
      <c r="I54" s="519">
        <f t="shared" si="4"/>
        <v>0</v>
      </c>
      <c r="J54" s="519">
        <f t="shared" si="4"/>
        <v>0</v>
      </c>
      <c r="K54" s="519">
        <f t="shared" si="4"/>
        <v>0</v>
      </c>
      <c r="L54" s="519">
        <f t="shared" si="4"/>
        <v>0</v>
      </c>
      <c r="M54" s="519">
        <f t="shared" si="4"/>
        <v>0</v>
      </c>
      <c r="N54" s="519">
        <f t="shared" si="4"/>
        <v>0</v>
      </c>
      <c r="O54" s="519">
        <f t="shared" si="4"/>
        <v>0</v>
      </c>
      <c r="P54" s="519">
        <f t="shared" si="4"/>
        <v>0</v>
      </c>
      <c r="Q54" s="519">
        <f t="shared" si="4"/>
        <v>0</v>
      </c>
      <c r="R54" s="519">
        <f t="shared" si="4"/>
        <v>0</v>
      </c>
      <c r="S54" s="519">
        <f t="shared" si="4"/>
        <v>0</v>
      </c>
      <c r="T54" s="519">
        <f t="shared" si="4"/>
        <v>0</v>
      </c>
      <c r="U54" s="519">
        <f t="shared" si="4"/>
        <v>0</v>
      </c>
      <c r="V54" s="618"/>
      <c r="Y54" s="624">
        <v>0</v>
      </c>
      <c r="Z54" s="519">
        <v>0</v>
      </c>
      <c r="AA54" s="519">
        <v>0</v>
      </c>
      <c r="AB54" s="519">
        <v>0</v>
      </c>
      <c r="AC54" s="519">
        <v>0</v>
      </c>
      <c r="AD54" s="519">
        <v>0</v>
      </c>
      <c r="AE54" s="519">
        <v>0</v>
      </c>
      <c r="AF54" s="519">
        <v>0</v>
      </c>
      <c r="AG54" s="519">
        <v>0</v>
      </c>
      <c r="AH54" s="519">
        <v>0</v>
      </c>
      <c r="AI54" s="519">
        <v>0</v>
      </c>
      <c r="AJ54" s="519">
        <v>0</v>
      </c>
      <c r="AK54" s="519">
        <v>0</v>
      </c>
      <c r="AL54" s="519">
        <v>0</v>
      </c>
      <c r="AM54" s="519">
        <v>0</v>
      </c>
      <c r="AN54" s="519">
        <v>0</v>
      </c>
    </row>
    <row r="55" spans="1:40" x14ac:dyDescent="0.3">
      <c r="A55" s="489" t="s">
        <v>1451</v>
      </c>
      <c r="B55" s="489" t="s">
        <v>1595</v>
      </c>
      <c r="C55" s="489" t="s">
        <v>1596</v>
      </c>
      <c r="D55" s="489" t="s">
        <v>46</v>
      </c>
      <c r="E55" s="619">
        <v>150</v>
      </c>
      <c r="F55" s="624">
        <f t="shared" si="1"/>
        <v>0</v>
      </c>
      <c r="G55" s="519">
        <f t="shared" si="4"/>
        <v>0</v>
      </c>
      <c r="H55" s="519">
        <f t="shared" si="4"/>
        <v>0</v>
      </c>
      <c r="I55" s="519">
        <f t="shared" si="4"/>
        <v>0</v>
      </c>
      <c r="J55" s="519">
        <f t="shared" si="4"/>
        <v>0</v>
      </c>
      <c r="K55" s="519">
        <f t="shared" si="4"/>
        <v>0</v>
      </c>
      <c r="L55" s="519">
        <f t="shared" si="4"/>
        <v>0</v>
      </c>
      <c r="M55" s="519">
        <f t="shared" si="4"/>
        <v>0</v>
      </c>
      <c r="N55" s="519">
        <f t="shared" si="4"/>
        <v>0</v>
      </c>
      <c r="O55" s="519">
        <f t="shared" si="4"/>
        <v>0</v>
      </c>
      <c r="P55" s="519">
        <f t="shared" si="4"/>
        <v>0</v>
      </c>
      <c r="Q55" s="519">
        <f t="shared" si="4"/>
        <v>0</v>
      </c>
      <c r="R55" s="519">
        <f t="shared" si="4"/>
        <v>0</v>
      </c>
      <c r="S55" s="519">
        <f t="shared" si="4"/>
        <v>0</v>
      </c>
      <c r="T55" s="519">
        <f t="shared" si="4"/>
        <v>0</v>
      </c>
      <c r="U55" s="519">
        <f t="shared" si="4"/>
        <v>0</v>
      </c>
      <c r="V55" s="618"/>
      <c r="Y55" s="624">
        <v>0</v>
      </c>
      <c r="Z55" s="519">
        <v>0</v>
      </c>
      <c r="AA55" s="519">
        <v>0</v>
      </c>
      <c r="AB55" s="519">
        <v>0</v>
      </c>
      <c r="AC55" s="519">
        <v>0</v>
      </c>
      <c r="AD55" s="519">
        <v>0</v>
      </c>
      <c r="AE55" s="519">
        <v>0</v>
      </c>
      <c r="AF55" s="519">
        <v>0</v>
      </c>
      <c r="AG55" s="519">
        <v>0</v>
      </c>
      <c r="AH55" s="519">
        <v>0</v>
      </c>
      <c r="AI55" s="519">
        <v>0</v>
      </c>
      <c r="AJ55" s="519">
        <v>0</v>
      </c>
      <c r="AK55" s="519">
        <v>0</v>
      </c>
      <c r="AL55" s="519">
        <v>0</v>
      </c>
      <c r="AM55" s="519">
        <v>0</v>
      </c>
      <c r="AN55" s="519">
        <v>0</v>
      </c>
    </row>
    <row r="56" spans="1:40" x14ac:dyDescent="0.3">
      <c r="A56" s="489" t="s">
        <v>1567</v>
      </c>
      <c r="B56" s="489">
        <v>308</v>
      </c>
      <c r="C56" s="489" t="s">
        <v>366</v>
      </c>
      <c r="D56" s="489" t="s">
        <v>46</v>
      </c>
      <c r="E56" s="619">
        <v>146</v>
      </c>
      <c r="F56" s="624">
        <f t="shared" si="1"/>
        <v>0</v>
      </c>
      <c r="G56" s="519">
        <f t="shared" si="4"/>
        <v>0</v>
      </c>
      <c r="H56" s="519">
        <f t="shared" si="4"/>
        <v>0</v>
      </c>
      <c r="I56" s="519">
        <f t="shared" si="4"/>
        <v>0</v>
      </c>
      <c r="J56" s="519">
        <f t="shared" si="4"/>
        <v>0</v>
      </c>
      <c r="K56" s="519">
        <f t="shared" si="4"/>
        <v>0</v>
      </c>
      <c r="L56" s="519">
        <f t="shared" si="4"/>
        <v>0</v>
      </c>
      <c r="M56" s="519">
        <f t="shared" si="4"/>
        <v>0</v>
      </c>
      <c r="N56" s="519">
        <f t="shared" si="4"/>
        <v>0</v>
      </c>
      <c r="O56" s="519">
        <f t="shared" si="4"/>
        <v>0</v>
      </c>
      <c r="P56" s="519">
        <f t="shared" si="4"/>
        <v>0</v>
      </c>
      <c r="Q56" s="519">
        <f t="shared" si="4"/>
        <v>0</v>
      </c>
      <c r="R56" s="519">
        <f t="shared" si="4"/>
        <v>0</v>
      </c>
      <c r="S56" s="519">
        <f t="shared" si="4"/>
        <v>0</v>
      </c>
      <c r="T56" s="519">
        <f t="shared" si="4"/>
        <v>0</v>
      </c>
      <c r="U56" s="519">
        <f t="shared" si="4"/>
        <v>0</v>
      </c>
      <c r="V56" s="618"/>
      <c r="Y56" s="624">
        <v>0</v>
      </c>
      <c r="Z56" s="519">
        <v>0</v>
      </c>
      <c r="AA56" s="519">
        <v>0</v>
      </c>
      <c r="AB56" s="519">
        <v>0</v>
      </c>
      <c r="AC56" s="519">
        <v>0</v>
      </c>
      <c r="AD56" s="519">
        <v>0</v>
      </c>
      <c r="AE56" s="519">
        <v>0</v>
      </c>
      <c r="AF56" s="519">
        <v>0</v>
      </c>
      <c r="AG56" s="519">
        <v>0</v>
      </c>
      <c r="AH56" s="519">
        <v>0</v>
      </c>
      <c r="AI56" s="519">
        <v>0</v>
      </c>
      <c r="AJ56" s="519">
        <v>0</v>
      </c>
      <c r="AK56" s="519">
        <v>0</v>
      </c>
      <c r="AL56" s="519">
        <v>0</v>
      </c>
      <c r="AM56" s="519">
        <v>0</v>
      </c>
      <c r="AN56" s="519">
        <v>0</v>
      </c>
    </row>
    <row r="57" spans="1:40" x14ac:dyDescent="0.3">
      <c r="A57" s="489" t="s">
        <v>1426</v>
      </c>
      <c r="B57" s="489" t="s">
        <v>1597</v>
      </c>
      <c r="C57" s="489" t="s">
        <v>1598</v>
      </c>
      <c r="D57" s="489" t="s">
        <v>141</v>
      </c>
      <c r="E57" s="619">
        <v>145</v>
      </c>
      <c r="F57" s="624">
        <f t="shared" si="1"/>
        <v>27.3</v>
      </c>
      <c r="G57" s="519">
        <f t="shared" si="4"/>
        <v>27.3</v>
      </c>
      <c r="H57" s="519">
        <f t="shared" si="4"/>
        <v>27.3</v>
      </c>
      <c r="I57" s="519">
        <f t="shared" si="4"/>
        <v>27.3</v>
      </c>
      <c r="J57" s="519">
        <f t="shared" si="4"/>
        <v>0</v>
      </c>
      <c r="K57" s="519">
        <f t="shared" si="4"/>
        <v>0</v>
      </c>
      <c r="L57" s="519">
        <f t="shared" si="4"/>
        <v>0</v>
      </c>
      <c r="M57" s="519">
        <f t="shared" si="4"/>
        <v>0</v>
      </c>
      <c r="N57" s="519">
        <f t="shared" si="4"/>
        <v>0</v>
      </c>
      <c r="O57" s="519">
        <f t="shared" si="4"/>
        <v>0</v>
      </c>
      <c r="P57" s="519">
        <f t="shared" si="4"/>
        <v>0</v>
      </c>
      <c r="Q57" s="519">
        <f t="shared" si="4"/>
        <v>0</v>
      </c>
      <c r="R57" s="519">
        <f t="shared" si="4"/>
        <v>0</v>
      </c>
      <c r="S57" s="519">
        <f t="shared" si="4"/>
        <v>0</v>
      </c>
      <c r="T57" s="519">
        <f t="shared" si="4"/>
        <v>0</v>
      </c>
      <c r="U57" s="519">
        <f t="shared" si="4"/>
        <v>0</v>
      </c>
      <c r="V57" s="618"/>
      <c r="Y57" s="624">
        <v>27.3</v>
      </c>
      <c r="Z57" s="519">
        <v>27.3</v>
      </c>
      <c r="AA57" s="519">
        <v>27.3</v>
      </c>
      <c r="AB57" s="519">
        <v>27.3</v>
      </c>
      <c r="AC57" s="519">
        <v>0</v>
      </c>
      <c r="AD57" s="519">
        <v>0</v>
      </c>
      <c r="AE57" s="519">
        <v>0</v>
      </c>
      <c r="AF57" s="519">
        <v>0</v>
      </c>
      <c r="AG57" s="519">
        <v>0</v>
      </c>
      <c r="AH57" s="519">
        <v>0</v>
      </c>
      <c r="AI57" s="519">
        <v>0</v>
      </c>
      <c r="AJ57" s="519">
        <v>0</v>
      </c>
      <c r="AK57" s="519">
        <v>0</v>
      </c>
      <c r="AL57" s="519">
        <v>0</v>
      </c>
      <c r="AM57" s="519">
        <v>0</v>
      </c>
      <c r="AN57" s="519">
        <v>0</v>
      </c>
    </row>
    <row r="58" spans="1:40" x14ac:dyDescent="0.3">
      <c r="A58" s="489" t="s">
        <v>1414</v>
      </c>
      <c r="B58" s="489" t="s">
        <v>1599</v>
      </c>
      <c r="C58" s="489" t="s">
        <v>1600</v>
      </c>
      <c r="D58" s="489" t="s">
        <v>141</v>
      </c>
      <c r="E58" s="619">
        <v>140</v>
      </c>
      <c r="F58" s="624">
        <f t="shared" si="1"/>
        <v>16.928358208955224</v>
      </c>
      <c r="G58" s="519">
        <f t="shared" si="4"/>
        <v>17.080000000000002</v>
      </c>
      <c r="H58" s="519">
        <f t="shared" si="4"/>
        <v>16.855056179775282</v>
      </c>
      <c r="I58" s="519">
        <f t="shared" si="4"/>
        <v>17.05</v>
      </c>
      <c r="J58" s="519">
        <f t="shared" si="4"/>
        <v>0</v>
      </c>
      <c r="K58" s="519">
        <f t="shared" si="4"/>
        <v>0</v>
      </c>
      <c r="L58" s="519">
        <f t="shared" si="4"/>
        <v>0</v>
      </c>
      <c r="M58" s="519">
        <f t="shared" si="4"/>
        <v>0</v>
      </c>
      <c r="N58" s="519">
        <f t="shared" si="4"/>
        <v>0</v>
      </c>
      <c r="O58" s="519">
        <f t="shared" si="4"/>
        <v>0</v>
      </c>
      <c r="P58" s="519">
        <f t="shared" si="4"/>
        <v>0</v>
      </c>
      <c r="Q58" s="519">
        <f t="shared" si="4"/>
        <v>0</v>
      </c>
      <c r="R58" s="519">
        <f t="shared" si="4"/>
        <v>0</v>
      </c>
      <c r="S58" s="519">
        <f t="shared" si="4"/>
        <v>0</v>
      </c>
      <c r="T58" s="519">
        <f t="shared" si="4"/>
        <v>0</v>
      </c>
      <c r="U58" s="519">
        <f t="shared" si="4"/>
        <v>0</v>
      </c>
      <c r="V58" s="618"/>
      <c r="Y58" s="624">
        <v>16.928358208955224</v>
      </c>
      <c r="Z58" s="519">
        <v>17.080000000000002</v>
      </c>
      <c r="AA58" s="519">
        <v>16.855056179775282</v>
      </c>
      <c r="AB58" s="519">
        <v>17.05</v>
      </c>
      <c r="AC58" s="519">
        <v>0</v>
      </c>
      <c r="AD58" s="519">
        <v>0</v>
      </c>
      <c r="AE58" s="519">
        <v>0</v>
      </c>
      <c r="AF58" s="519">
        <v>0</v>
      </c>
      <c r="AG58" s="519">
        <v>0</v>
      </c>
      <c r="AH58" s="519">
        <v>0</v>
      </c>
      <c r="AI58" s="519">
        <v>0</v>
      </c>
      <c r="AJ58" s="519">
        <v>0</v>
      </c>
      <c r="AK58" s="519">
        <v>0</v>
      </c>
      <c r="AL58" s="519">
        <v>0</v>
      </c>
      <c r="AM58" s="519">
        <v>0</v>
      </c>
      <c r="AN58" s="519">
        <v>0</v>
      </c>
    </row>
    <row r="59" spans="1:40" x14ac:dyDescent="0.3">
      <c r="A59" s="489" t="s">
        <v>1414</v>
      </c>
      <c r="B59" s="489" t="s">
        <v>1601</v>
      </c>
      <c r="C59" s="489" t="s">
        <v>1602</v>
      </c>
      <c r="D59" s="489" t="s">
        <v>46</v>
      </c>
      <c r="E59" s="619">
        <v>136</v>
      </c>
      <c r="F59" s="624">
        <f t="shared" si="1"/>
        <v>0</v>
      </c>
      <c r="G59" s="519">
        <f t="shared" si="4"/>
        <v>0</v>
      </c>
      <c r="H59" s="519">
        <f t="shared" si="4"/>
        <v>0</v>
      </c>
      <c r="I59" s="519">
        <f t="shared" si="4"/>
        <v>0</v>
      </c>
      <c r="J59" s="519">
        <f t="shared" si="4"/>
        <v>0</v>
      </c>
      <c r="K59" s="519">
        <f t="shared" si="4"/>
        <v>0</v>
      </c>
      <c r="L59" s="519">
        <f t="shared" si="4"/>
        <v>0</v>
      </c>
      <c r="M59" s="519">
        <f t="shared" si="4"/>
        <v>0</v>
      </c>
      <c r="N59" s="519">
        <f t="shared" si="4"/>
        <v>0</v>
      </c>
      <c r="O59" s="519">
        <f t="shared" si="4"/>
        <v>0</v>
      </c>
      <c r="P59" s="519">
        <f t="shared" si="4"/>
        <v>0</v>
      </c>
      <c r="Q59" s="519">
        <f t="shared" si="4"/>
        <v>0</v>
      </c>
      <c r="R59" s="519">
        <f t="shared" si="4"/>
        <v>0</v>
      </c>
      <c r="S59" s="519">
        <f t="shared" si="4"/>
        <v>0</v>
      </c>
      <c r="T59" s="519">
        <f t="shared" si="4"/>
        <v>0</v>
      </c>
      <c r="U59" s="519">
        <f t="shared" si="4"/>
        <v>0</v>
      </c>
      <c r="V59" s="618"/>
      <c r="Y59" s="624">
        <v>0</v>
      </c>
      <c r="Z59" s="519">
        <v>0</v>
      </c>
      <c r="AA59" s="519">
        <v>0</v>
      </c>
      <c r="AB59" s="519">
        <v>0</v>
      </c>
      <c r="AC59" s="519">
        <v>0</v>
      </c>
      <c r="AD59" s="519">
        <v>0</v>
      </c>
      <c r="AE59" s="519">
        <v>0</v>
      </c>
      <c r="AF59" s="519">
        <v>0</v>
      </c>
      <c r="AG59" s="519">
        <v>0</v>
      </c>
      <c r="AH59" s="519">
        <v>0</v>
      </c>
      <c r="AI59" s="519">
        <v>0</v>
      </c>
      <c r="AJ59" s="519">
        <v>0</v>
      </c>
      <c r="AK59" s="519">
        <v>0</v>
      </c>
      <c r="AL59" s="519">
        <v>0</v>
      </c>
      <c r="AM59" s="519">
        <v>0</v>
      </c>
      <c r="AN59" s="519">
        <v>0</v>
      </c>
    </row>
    <row r="60" spans="1:40" x14ac:dyDescent="0.3">
      <c r="A60" s="489" t="s">
        <v>1417</v>
      </c>
      <c r="B60" s="489" t="s">
        <v>1603</v>
      </c>
      <c r="C60" s="489" t="s">
        <v>1604</v>
      </c>
      <c r="D60" s="489" t="s">
        <v>141</v>
      </c>
      <c r="E60" s="619">
        <v>128</v>
      </c>
      <c r="F60" s="624">
        <f t="shared" si="1"/>
        <v>16.830833333333334</v>
      </c>
      <c r="G60" s="519">
        <f t="shared" si="4"/>
        <v>16.930769230769233</v>
      </c>
      <c r="H60" s="519">
        <f t="shared" si="4"/>
        <v>16.874418604651162</v>
      </c>
      <c r="I60" s="519">
        <f t="shared" si="4"/>
        <v>16.81964285714286</v>
      </c>
      <c r="J60" s="519">
        <f t="shared" si="4"/>
        <v>16.512499999999999</v>
      </c>
      <c r="K60" s="519">
        <f t="shared" si="4"/>
        <v>0</v>
      </c>
      <c r="L60" s="519">
        <f t="shared" si="4"/>
        <v>0</v>
      </c>
      <c r="M60" s="519">
        <f t="shared" si="4"/>
        <v>0</v>
      </c>
      <c r="N60" s="519">
        <f t="shared" si="4"/>
        <v>0</v>
      </c>
      <c r="O60" s="519">
        <f t="shared" si="4"/>
        <v>0</v>
      </c>
      <c r="P60" s="519">
        <f t="shared" si="4"/>
        <v>0</v>
      </c>
      <c r="Q60" s="519">
        <f t="shared" si="4"/>
        <v>0</v>
      </c>
      <c r="R60" s="519">
        <f t="shared" si="4"/>
        <v>0</v>
      </c>
      <c r="S60" s="519">
        <f t="shared" si="4"/>
        <v>0</v>
      </c>
      <c r="T60" s="519">
        <f t="shared" si="4"/>
        <v>0</v>
      </c>
      <c r="U60" s="519">
        <f t="shared" si="4"/>
        <v>0</v>
      </c>
      <c r="V60" s="618"/>
      <c r="Y60" s="624">
        <v>16.830833333333334</v>
      </c>
      <c r="Z60" s="519">
        <v>16.930769230769233</v>
      </c>
      <c r="AA60" s="519">
        <v>16.874418604651162</v>
      </c>
      <c r="AB60" s="519">
        <v>16.81964285714286</v>
      </c>
      <c r="AC60" s="519">
        <v>16.512499999999999</v>
      </c>
      <c r="AD60" s="519">
        <v>0</v>
      </c>
      <c r="AE60" s="519">
        <v>0</v>
      </c>
      <c r="AF60" s="519">
        <v>0</v>
      </c>
      <c r="AG60" s="519">
        <v>0</v>
      </c>
      <c r="AH60" s="519">
        <v>0</v>
      </c>
      <c r="AI60" s="519">
        <v>0</v>
      </c>
      <c r="AJ60" s="519">
        <v>0</v>
      </c>
      <c r="AK60" s="519">
        <v>0</v>
      </c>
      <c r="AL60" s="519">
        <v>0</v>
      </c>
      <c r="AM60" s="519">
        <v>0</v>
      </c>
      <c r="AN60" s="519">
        <v>0</v>
      </c>
    </row>
    <row r="61" spans="1:40" x14ac:dyDescent="0.3">
      <c r="A61" s="489" t="s">
        <v>1422</v>
      </c>
      <c r="B61" s="489" t="s">
        <v>1547</v>
      </c>
      <c r="C61" s="489" t="s">
        <v>1548</v>
      </c>
      <c r="D61" s="489" t="s">
        <v>1529</v>
      </c>
      <c r="E61" s="619">
        <v>125</v>
      </c>
      <c r="F61" s="624">
        <f t="shared" si="1"/>
        <v>0</v>
      </c>
      <c r="G61" s="519">
        <f t="shared" si="4"/>
        <v>0</v>
      </c>
      <c r="H61" s="519">
        <f t="shared" si="4"/>
        <v>0</v>
      </c>
      <c r="I61" s="519">
        <f t="shared" si="4"/>
        <v>0</v>
      </c>
      <c r="J61" s="519">
        <f t="shared" si="4"/>
        <v>0</v>
      </c>
      <c r="K61" s="519">
        <f t="shared" si="4"/>
        <v>0</v>
      </c>
      <c r="L61" s="519">
        <f t="shared" si="4"/>
        <v>0</v>
      </c>
      <c r="M61" s="519">
        <f t="shared" si="4"/>
        <v>0</v>
      </c>
      <c r="N61" s="519">
        <f t="shared" si="4"/>
        <v>0</v>
      </c>
      <c r="O61" s="519">
        <f t="shared" si="4"/>
        <v>0</v>
      </c>
      <c r="P61" s="519">
        <f t="shared" si="4"/>
        <v>0</v>
      </c>
      <c r="Q61" s="519">
        <f t="shared" si="4"/>
        <v>0</v>
      </c>
      <c r="R61" s="519">
        <f t="shared" si="4"/>
        <v>0</v>
      </c>
      <c r="S61" s="519">
        <f t="shared" si="4"/>
        <v>0</v>
      </c>
      <c r="T61" s="519">
        <f t="shared" si="4"/>
        <v>0</v>
      </c>
      <c r="U61" s="519">
        <f t="shared" si="4"/>
        <v>0</v>
      </c>
      <c r="V61" s="618"/>
      <c r="Y61" s="624">
        <v>0</v>
      </c>
      <c r="Z61" s="519">
        <v>0</v>
      </c>
      <c r="AA61" s="519">
        <v>0</v>
      </c>
      <c r="AB61" s="519">
        <v>0</v>
      </c>
      <c r="AC61" s="519">
        <v>0</v>
      </c>
      <c r="AD61" s="519">
        <v>0</v>
      </c>
      <c r="AE61" s="519">
        <v>0</v>
      </c>
      <c r="AF61" s="519">
        <v>0</v>
      </c>
      <c r="AG61" s="519">
        <v>0</v>
      </c>
      <c r="AH61" s="519">
        <v>0</v>
      </c>
      <c r="AI61" s="519">
        <v>0</v>
      </c>
      <c r="AJ61" s="519">
        <v>0</v>
      </c>
      <c r="AK61" s="519">
        <v>0</v>
      </c>
      <c r="AL61" s="519">
        <v>0</v>
      </c>
      <c r="AM61" s="519">
        <v>0</v>
      </c>
      <c r="AN61" s="519">
        <v>0</v>
      </c>
    </row>
    <row r="62" spans="1:40" x14ac:dyDescent="0.3">
      <c r="A62" s="489" t="s">
        <v>1605</v>
      </c>
      <c r="B62" s="489" t="s">
        <v>1531</v>
      </c>
      <c r="C62" s="489" t="s">
        <v>873</v>
      </c>
      <c r="D62" s="489" t="s">
        <v>46</v>
      </c>
      <c r="E62" s="619">
        <v>123</v>
      </c>
      <c r="F62" s="624">
        <f t="shared" si="1"/>
        <v>0</v>
      </c>
      <c r="G62" s="519">
        <f t="shared" si="4"/>
        <v>0</v>
      </c>
      <c r="H62" s="519">
        <f t="shared" si="4"/>
        <v>0</v>
      </c>
      <c r="I62" s="519">
        <f t="shared" si="4"/>
        <v>0</v>
      </c>
      <c r="J62" s="519">
        <f t="shared" si="4"/>
        <v>0</v>
      </c>
      <c r="K62" s="519">
        <f t="shared" si="4"/>
        <v>0</v>
      </c>
      <c r="L62" s="519">
        <f t="shared" si="4"/>
        <v>0</v>
      </c>
      <c r="M62" s="519">
        <f t="shared" si="4"/>
        <v>0</v>
      </c>
      <c r="N62" s="519">
        <f t="shared" si="4"/>
        <v>0</v>
      </c>
      <c r="O62" s="519">
        <f t="shared" si="4"/>
        <v>0</v>
      </c>
      <c r="P62" s="519">
        <f t="shared" si="4"/>
        <v>0</v>
      </c>
      <c r="Q62" s="519">
        <f t="shared" si="4"/>
        <v>0</v>
      </c>
      <c r="R62" s="519">
        <f t="shared" si="4"/>
        <v>0</v>
      </c>
      <c r="S62" s="519">
        <f t="shared" si="4"/>
        <v>0</v>
      </c>
      <c r="T62" s="519">
        <f t="shared" si="4"/>
        <v>0</v>
      </c>
      <c r="U62" s="519">
        <f t="shared" si="4"/>
        <v>0</v>
      </c>
      <c r="V62" s="618"/>
      <c r="Y62" s="624">
        <v>0</v>
      </c>
      <c r="Z62" s="519">
        <v>0</v>
      </c>
      <c r="AA62" s="519">
        <v>0</v>
      </c>
      <c r="AB62" s="519">
        <v>0</v>
      </c>
      <c r="AC62" s="519">
        <v>0</v>
      </c>
      <c r="AD62" s="519">
        <v>0</v>
      </c>
      <c r="AE62" s="519">
        <v>0</v>
      </c>
      <c r="AF62" s="519">
        <v>0</v>
      </c>
      <c r="AG62" s="519">
        <v>0</v>
      </c>
      <c r="AH62" s="519">
        <v>0</v>
      </c>
      <c r="AI62" s="519">
        <v>0</v>
      </c>
      <c r="AJ62" s="519">
        <v>0</v>
      </c>
      <c r="AK62" s="519">
        <v>0</v>
      </c>
      <c r="AL62" s="519">
        <v>0</v>
      </c>
      <c r="AM62" s="519">
        <v>0</v>
      </c>
      <c r="AN62" s="519">
        <v>0</v>
      </c>
    </row>
    <row r="63" spans="1:40" x14ac:dyDescent="0.3">
      <c r="A63" s="489" t="s">
        <v>1414</v>
      </c>
      <c r="B63" s="489" t="s">
        <v>1532</v>
      </c>
      <c r="C63" s="489" t="s">
        <v>1606</v>
      </c>
      <c r="D63" s="489" t="s">
        <v>46</v>
      </c>
      <c r="E63" s="619">
        <v>123</v>
      </c>
      <c r="F63" s="624">
        <f t="shared" si="1"/>
        <v>0</v>
      </c>
      <c r="G63" s="519">
        <f t="shared" si="4"/>
        <v>0</v>
      </c>
      <c r="H63" s="519">
        <f t="shared" si="4"/>
        <v>0</v>
      </c>
      <c r="I63" s="519">
        <f t="shared" si="4"/>
        <v>0</v>
      </c>
      <c r="J63" s="519">
        <f t="shared" si="4"/>
        <v>0</v>
      </c>
      <c r="K63" s="519">
        <f t="shared" si="4"/>
        <v>0</v>
      </c>
      <c r="L63" s="519">
        <f t="shared" si="4"/>
        <v>0</v>
      </c>
      <c r="M63" s="519">
        <f t="shared" si="4"/>
        <v>0</v>
      </c>
      <c r="N63" s="519">
        <f t="shared" si="4"/>
        <v>0</v>
      </c>
      <c r="O63" s="519">
        <f t="shared" si="4"/>
        <v>0</v>
      </c>
      <c r="P63" s="519">
        <f t="shared" si="4"/>
        <v>0</v>
      </c>
      <c r="Q63" s="519">
        <f t="shared" si="4"/>
        <v>0</v>
      </c>
      <c r="R63" s="519">
        <f t="shared" si="4"/>
        <v>0</v>
      </c>
      <c r="S63" s="519">
        <f t="shared" si="4"/>
        <v>0</v>
      </c>
      <c r="T63" s="519">
        <f t="shared" si="4"/>
        <v>0</v>
      </c>
      <c r="U63" s="519">
        <f t="shared" si="4"/>
        <v>0</v>
      </c>
      <c r="V63" s="618"/>
      <c r="Y63" s="624">
        <v>0</v>
      </c>
      <c r="Z63" s="519">
        <v>0</v>
      </c>
      <c r="AA63" s="519">
        <v>0</v>
      </c>
      <c r="AB63" s="519">
        <v>0</v>
      </c>
      <c r="AC63" s="519">
        <v>0</v>
      </c>
      <c r="AD63" s="519">
        <v>0</v>
      </c>
      <c r="AE63" s="519">
        <v>0</v>
      </c>
      <c r="AF63" s="519">
        <v>0</v>
      </c>
      <c r="AG63" s="519">
        <v>0</v>
      </c>
      <c r="AH63" s="519">
        <v>0</v>
      </c>
      <c r="AI63" s="519">
        <v>0</v>
      </c>
      <c r="AJ63" s="519">
        <v>0</v>
      </c>
      <c r="AK63" s="519">
        <v>0</v>
      </c>
      <c r="AL63" s="519">
        <v>0</v>
      </c>
      <c r="AM63" s="519">
        <v>0</v>
      </c>
      <c r="AN63" s="519">
        <v>0</v>
      </c>
    </row>
    <row r="64" spans="1:40" x14ac:dyDescent="0.3">
      <c r="A64" s="489" t="s">
        <v>1607</v>
      </c>
      <c r="B64" s="489" t="s">
        <v>1608</v>
      </c>
      <c r="C64" s="489" t="s">
        <v>1609</v>
      </c>
      <c r="D64" s="489" t="s">
        <v>46</v>
      </c>
      <c r="E64" s="619">
        <v>121</v>
      </c>
      <c r="F64" s="624">
        <f t="shared" si="1"/>
        <v>0</v>
      </c>
      <c r="G64" s="519">
        <f t="shared" si="4"/>
        <v>0</v>
      </c>
      <c r="H64" s="519">
        <f t="shared" si="4"/>
        <v>0</v>
      </c>
      <c r="I64" s="519">
        <f t="shared" si="4"/>
        <v>0</v>
      </c>
      <c r="J64" s="519">
        <f t="shared" si="4"/>
        <v>0</v>
      </c>
      <c r="K64" s="519">
        <f t="shared" si="4"/>
        <v>0</v>
      </c>
      <c r="L64" s="519">
        <f t="shared" si="4"/>
        <v>0</v>
      </c>
      <c r="M64" s="519">
        <f t="shared" si="4"/>
        <v>0</v>
      </c>
      <c r="N64" s="519">
        <f t="shared" si="4"/>
        <v>0</v>
      </c>
      <c r="O64" s="519">
        <f t="shared" si="4"/>
        <v>0</v>
      </c>
      <c r="P64" s="519">
        <f t="shared" si="4"/>
        <v>0</v>
      </c>
      <c r="Q64" s="519">
        <f t="shared" si="4"/>
        <v>0</v>
      </c>
      <c r="R64" s="519">
        <f t="shared" si="4"/>
        <v>0</v>
      </c>
      <c r="S64" s="519">
        <f t="shared" si="4"/>
        <v>0</v>
      </c>
      <c r="T64" s="519">
        <f t="shared" si="4"/>
        <v>0</v>
      </c>
      <c r="U64" s="519">
        <f t="shared" si="4"/>
        <v>0</v>
      </c>
      <c r="V64" s="618"/>
      <c r="Y64" s="624">
        <v>0</v>
      </c>
      <c r="Z64" s="519">
        <v>0</v>
      </c>
      <c r="AA64" s="519">
        <v>0</v>
      </c>
      <c r="AB64" s="519">
        <v>0</v>
      </c>
      <c r="AC64" s="519">
        <v>0</v>
      </c>
      <c r="AD64" s="519">
        <v>0</v>
      </c>
      <c r="AE64" s="519">
        <v>0</v>
      </c>
      <c r="AF64" s="519">
        <v>0</v>
      </c>
      <c r="AG64" s="519">
        <v>0</v>
      </c>
      <c r="AH64" s="519">
        <v>0</v>
      </c>
      <c r="AI64" s="519">
        <v>0</v>
      </c>
      <c r="AJ64" s="519">
        <v>0</v>
      </c>
      <c r="AK64" s="519">
        <v>0</v>
      </c>
      <c r="AL64" s="519">
        <v>0</v>
      </c>
      <c r="AM64" s="519">
        <v>0</v>
      </c>
      <c r="AN64" s="519">
        <v>0</v>
      </c>
    </row>
    <row r="65" spans="1:40" x14ac:dyDescent="0.3">
      <c r="A65" s="489" t="s">
        <v>1414</v>
      </c>
      <c r="B65" s="489" t="s">
        <v>1533</v>
      </c>
      <c r="C65" s="489" t="s">
        <v>1610</v>
      </c>
      <c r="D65" s="489" t="s">
        <v>46</v>
      </c>
      <c r="E65" s="619">
        <v>113</v>
      </c>
      <c r="F65" s="624">
        <f t="shared" si="1"/>
        <v>0</v>
      </c>
      <c r="G65" s="519">
        <f t="shared" si="4"/>
        <v>0</v>
      </c>
      <c r="H65" s="519">
        <f t="shared" si="4"/>
        <v>0</v>
      </c>
      <c r="I65" s="519">
        <f t="shared" si="4"/>
        <v>0</v>
      </c>
      <c r="J65" s="519">
        <f t="shared" si="4"/>
        <v>0</v>
      </c>
      <c r="K65" s="519">
        <f t="shared" si="4"/>
        <v>0</v>
      </c>
      <c r="L65" s="519">
        <f t="shared" si="4"/>
        <v>0</v>
      </c>
      <c r="M65" s="519">
        <f t="shared" si="4"/>
        <v>0</v>
      </c>
      <c r="N65" s="519">
        <f t="shared" si="4"/>
        <v>0</v>
      </c>
      <c r="O65" s="519">
        <f t="shared" si="4"/>
        <v>0</v>
      </c>
      <c r="P65" s="519">
        <f t="shared" si="4"/>
        <v>0</v>
      </c>
      <c r="Q65" s="519">
        <f t="shared" si="4"/>
        <v>0</v>
      </c>
      <c r="R65" s="519">
        <f t="shared" si="4"/>
        <v>0</v>
      </c>
      <c r="S65" s="519">
        <f t="shared" si="4"/>
        <v>0</v>
      </c>
      <c r="T65" s="519">
        <f t="shared" si="4"/>
        <v>0</v>
      </c>
      <c r="U65" s="519">
        <f t="shared" si="4"/>
        <v>0</v>
      </c>
      <c r="V65" s="618"/>
      <c r="Y65" s="624">
        <v>0</v>
      </c>
      <c r="Z65" s="519">
        <v>0</v>
      </c>
      <c r="AA65" s="519">
        <v>0</v>
      </c>
      <c r="AB65" s="519">
        <v>0</v>
      </c>
      <c r="AC65" s="519">
        <v>0</v>
      </c>
      <c r="AD65" s="519">
        <v>0</v>
      </c>
      <c r="AE65" s="519">
        <v>0</v>
      </c>
      <c r="AF65" s="519">
        <v>0</v>
      </c>
      <c r="AG65" s="519">
        <v>0</v>
      </c>
      <c r="AH65" s="519">
        <v>0</v>
      </c>
      <c r="AI65" s="519">
        <v>0</v>
      </c>
      <c r="AJ65" s="519">
        <v>0</v>
      </c>
      <c r="AK65" s="519">
        <v>0</v>
      </c>
      <c r="AL65" s="519">
        <v>0</v>
      </c>
      <c r="AM65" s="519">
        <v>0</v>
      </c>
      <c r="AN65" s="519">
        <v>0</v>
      </c>
    </row>
    <row r="66" spans="1:40" x14ac:dyDescent="0.3">
      <c r="A66" s="489" t="s">
        <v>1591</v>
      </c>
      <c r="B66" s="489" t="s">
        <v>1611</v>
      </c>
      <c r="C66" s="489" t="s">
        <v>1611</v>
      </c>
      <c r="D66" s="489" t="s">
        <v>141</v>
      </c>
      <c r="E66" s="619">
        <v>109</v>
      </c>
      <c r="F66" s="624">
        <f t="shared" si="1"/>
        <v>18.409259259259258</v>
      </c>
      <c r="G66" s="519">
        <f t="shared" ref="G66:U81" si="5">IF(Z66&gt;0,Z66,IF(H66&gt;0,H66,0))</f>
        <v>17.8</v>
      </c>
      <c r="H66" s="519">
        <f t="shared" si="5"/>
        <v>17.8</v>
      </c>
      <c r="I66" s="519">
        <f t="shared" si="5"/>
        <v>17.8</v>
      </c>
      <c r="J66" s="519">
        <f t="shared" si="5"/>
        <v>18.5</v>
      </c>
      <c r="K66" s="519">
        <f t="shared" si="5"/>
        <v>18.5</v>
      </c>
      <c r="L66" s="519">
        <f t="shared" si="5"/>
        <v>18.5</v>
      </c>
      <c r="M66" s="519">
        <f t="shared" si="5"/>
        <v>0</v>
      </c>
      <c r="N66" s="519">
        <f t="shared" si="5"/>
        <v>0</v>
      </c>
      <c r="O66" s="519">
        <f t="shared" si="5"/>
        <v>0</v>
      </c>
      <c r="P66" s="519">
        <f t="shared" si="5"/>
        <v>0</v>
      </c>
      <c r="Q66" s="519">
        <f t="shared" si="5"/>
        <v>0</v>
      </c>
      <c r="R66" s="519">
        <f t="shared" si="5"/>
        <v>0</v>
      </c>
      <c r="S66" s="519">
        <f t="shared" si="5"/>
        <v>0</v>
      </c>
      <c r="T66" s="519">
        <f t="shared" si="5"/>
        <v>0</v>
      </c>
      <c r="U66" s="519">
        <f t="shared" si="5"/>
        <v>0</v>
      </c>
      <c r="V66" s="618"/>
      <c r="Y66" s="624">
        <v>18.409259259259258</v>
      </c>
      <c r="Z66" s="519">
        <v>0</v>
      </c>
      <c r="AA66" s="519">
        <v>17.8</v>
      </c>
      <c r="AB66" s="519">
        <v>17.8</v>
      </c>
      <c r="AC66" s="519">
        <v>18.5</v>
      </c>
      <c r="AD66" s="519">
        <v>18.5</v>
      </c>
      <c r="AE66" s="519">
        <v>18.5</v>
      </c>
      <c r="AF66" s="519">
        <v>0</v>
      </c>
      <c r="AG66" s="519">
        <v>0</v>
      </c>
      <c r="AH66" s="519">
        <v>0</v>
      </c>
      <c r="AI66" s="519">
        <v>0</v>
      </c>
      <c r="AJ66" s="519">
        <v>0</v>
      </c>
      <c r="AK66" s="519">
        <v>0</v>
      </c>
      <c r="AL66" s="519">
        <v>0</v>
      </c>
      <c r="AM66" s="519">
        <v>0</v>
      </c>
      <c r="AN66" s="519">
        <v>0</v>
      </c>
    </row>
    <row r="67" spans="1:40" x14ac:dyDescent="0.3">
      <c r="A67" s="489" t="s">
        <v>1417</v>
      </c>
      <c r="B67" s="489" t="s">
        <v>1612</v>
      </c>
      <c r="C67" s="489" t="s">
        <v>1613</v>
      </c>
      <c r="D67" s="489" t="s">
        <v>141</v>
      </c>
      <c r="E67" s="619">
        <v>107</v>
      </c>
      <c r="F67" s="624">
        <f t="shared" ref="F67:F130" si="6">Y67</f>
        <v>15.7</v>
      </c>
      <c r="G67" s="519">
        <f t="shared" si="5"/>
        <v>15.7</v>
      </c>
      <c r="H67" s="519">
        <f t="shared" si="5"/>
        <v>15.7</v>
      </c>
      <c r="I67" s="519">
        <f t="shared" si="5"/>
        <v>15.7</v>
      </c>
      <c r="J67" s="519">
        <f t="shared" si="5"/>
        <v>15.7</v>
      </c>
      <c r="K67" s="519">
        <f t="shared" si="5"/>
        <v>15.7</v>
      </c>
      <c r="L67" s="519">
        <f t="shared" si="5"/>
        <v>0</v>
      </c>
      <c r="M67" s="519">
        <f t="shared" si="5"/>
        <v>0</v>
      </c>
      <c r="N67" s="519">
        <f t="shared" si="5"/>
        <v>0</v>
      </c>
      <c r="O67" s="519">
        <f t="shared" si="5"/>
        <v>0</v>
      </c>
      <c r="P67" s="519">
        <f t="shared" si="5"/>
        <v>0</v>
      </c>
      <c r="Q67" s="519">
        <f t="shared" si="5"/>
        <v>0</v>
      </c>
      <c r="R67" s="519">
        <f t="shared" si="5"/>
        <v>0</v>
      </c>
      <c r="S67" s="519">
        <f t="shared" si="5"/>
        <v>0</v>
      </c>
      <c r="T67" s="519">
        <f t="shared" si="5"/>
        <v>0</v>
      </c>
      <c r="U67" s="519">
        <f t="shared" si="5"/>
        <v>0</v>
      </c>
      <c r="V67" s="618"/>
      <c r="Y67" s="624">
        <v>15.7</v>
      </c>
      <c r="Z67" s="519">
        <v>0</v>
      </c>
      <c r="AA67" s="519">
        <v>0</v>
      </c>
      <c r="AB67" s="519">
        <v>15.7</v>
      </c>
      <c r="AC67" s="519">
        <v>15.7</v>
      </c>
      <c r="AD67" s="519">
        <v>15.7</v>
      </c>
      <c r="AE67" s="519">
        <v>0</v>
      </c>
      <c r="AF67" s="519">
        <v>0</v>
      </c>
      <c r="AG67" s="519">
        <v>0</v>
      </c>
      <c r="AH67" s="519">
        <v>0</v>
      </c>
      <c r="AI67" s="519">
        <v>0</v>
      </c>
      <c r="AJ67" s="519">
        <v>0</v>
      </c>
      <c r="AK67" s="519">
        <v>0</v>
      </c>
      <c r="AL67" s="519">
        <v>0</v>
      </c>
      <c r="AM67" s="519">
        <v>0</v>
      </c>
      <c r="AN67" s="519">
        <v>0</v>
      </c>
    </row>
    <row r="68" spans="1:40" x14ac:dyDescent="0.3">
      <c r="A68" s="489" t="s">
        <v>1931</v>
      </c>
      <c r="B68" s="489" t="s">
        <v>1616</v>
      </c>
      <c r="C68" s="489" t="s">
        <v>1932</v>
      </c>
      <c r="D68" s="489" t="s">
        <v>141</v>
      </c>
      <c r="E68" s="619">
        <v>106</v>
      </c>
      <c r="F68" s="624">
        <f t="shared" si="6"/>
        <v>19.399999999999999</v>
      </c>
      <c r="G68" s="519">
        <f t="shared" si="5"/>
        <v>19.399999999999999</v>
      </c>
      <c r="H68" s="519">
        <f t="shared" si="5"/>
        <v>19.399999999999999</v>
      </c>
      <c r="I68" s="519">
        <f t="shared" si="5"/>
        <v>19.399999999999999</v>
      </c>
      <c r="J68" s="519">
        <f t="shared" si="5"/>
        <v>19.399999999999999</v>
      </c>
      <c r="K68" s="519">
        <f t="shared" si="5"/>
        <v>19.399999999999999</v>
      </c>
      <c r="L68" s="519">
        <f t="shared" si="5"/>
        <v>19.399999999999999</v>
      </c>
      <c r="M68" s="519">
        <f t="shared" si="5"/>
        <v>0</v>
      </c>
      <c r="N68" s="519">
        <f t="shared" si="5"/>
        <v>0</v>
      </c>
      <c r="O68" s="519">
        <f t="shared" si="5"/>
        <v>0</v>
      </c>
      <c r="P68" s="519">
        <f t="shared" si="5"/>
        <v>0</v>
      </c>
      <c r="Q68" s="519">
        <f t="shared" si="5"/>
        <v>0</v>
      </c>
      <c r="R68" s="519">
        <f t="shared" si="5"/>
        <v>0</v>
      </c>
      <c r="S68" s="519">
        <f t="shared" si="5"/>
        <v>0</v>
      </c>
      <c r="T68" s="519">
        <f t="shared" si="5"/>
        <v>0</v>
      </c>
      <c r="U68" s="519">
        <f t="shared" si="5"/>
        <v>0</v>
      </c>
      <c r="V68" s="618"/>
      <c r="Y68" s="624">
        <v>19.399999999999999</v>
      </c>
      <c r="Z68" s="519">
        <v>0</v>
      </c>
      <c r="AA68" s="519">
        <v>0</v>
      </c>
      <c r="AB68" s="519">
        <v>0</v>
      </c>
      <c r="AC68" s="519">
        <v>0</v>
      </c>
      <c r="AD68" s="519">
        <v>0</v>
      </c>
      <c r="AE68" s="519">
        <v>19.399999999999999</v>
      </c>
      <c r="AF68" s="519">
        <v>0</v>
      </c>
      <c r="AG68" s="519">
        <v>0</v>
      </c>
      <c r="AH68" s="519">
        <v>0</v>
      </c>
      <c r="AI68" s="519">
        <v>0</v>
      </c>
      <c r="AJ68" s="519">
        <v>0</v>
      </c>
      <c r="AK68" s="519">
        <v>0</v>
      </c>
      <c r="AL68" s="519">
        <v>0</v>
      </c>
      <c r="AM68" s="519">
        <v>0</v>
      </c>
      <c r="AN68" s="519">
        <v>0</v>
      </c>
    </row>
    <row r="69" spans="1:40" x14ac:dyDescent="0.3">
      <c r="A69" s="489" t="s">
        <v>1561</v>
      </c>
      <c r="B69" s="489" t="s">
        <v>1614</v>
      </c>
      <c r="C69" s="489" t="s">
        <v>1615</v>
      </c>
      <c r="D69" s="489" t="s">
        <v>141</v>
      </c>
      <c r="E69" s="619">
        <v>105</v>
      </c>
      <c r="F69" s="624">
        <f t="shared" si="6"/>
        <v>15.082022471910113</v>
      </c>
      <c r="G69" s="519">
        <f t="shared" si="5"/>
        <v>15</v>
      </c>
      <c r="H69" s="519">
        <f t="shared" si="5"/>
        <v>14.3</v>
      </c>
      <c r="I69" s="519">
        <f t="shared" si="5"/>
        <v>14.7</v>
      </c>
      <c r="J69" s="519">
        <f t="shared" si="5"/>
        <v>14.7</v>
      </c>
      <c r="K69" s="519">
        <f t="shared" si="5"/>
        <v>14.76</v>
      </c>
      <c r="L69" s="519">
        <f t="shared" si="5"/>
        <v>15.4</v>
      </c>
      <c r="M69" s="519">
        <f t="shared" si="5"/>
        <v>15.4</v>
      </c>
      <c r="N69" s="519">
        <f t="shared" si="5"/>
        <v>0</v>
      </c>
      <c r="O69" s="519">
        <f t="shared" si="5"/>
        <v>0</v>
      </c>
      <c r="P69" s="519">
        <f t="shared" si="5"/>
        <v>0</v>
      </c>
      <c r="Q69" s="519">
        <f t="shared" si="5"/>
        <v>0</v>
      </c>
      <c r="R69" s="519">
        <f t="shared" si="5"/>
        <v>0</v>
      </c>
      <c r="S69" s="519">
        <f t="shared" si="5"/>
        <v>0</v>
      </c>
      <c r="T69" s="519">
        <f t="shared" si="5"/>
        <v>0</v>
      </c>
      <c r="U69" s="519">
        <f t="shared" si="5"/>
        <v>0</v>
      </c>
      <c r="V69" s="618"/>
      <c r="Y69" s="624">
        <v>15.082022471910113</v>
      </c>
      <c r="Z69" s="519">
        <v>15</v>
      </c>
      <c r="AA69" s="519">
        <v>14.3</v>
      </c>
      <c r="AB69" s="519">
        <v>14.7</v>
      </c>
      <c r="AC69" s="519">
        <v>14.7</v>
      </c>
      <c r="AD69" s="519">
        <v>14.76</v>
      </c>
      <c r="AE69" s="519">
        <v>15.4</v>
      </c>
      <c r="AF69" s="519">
        <v>15.4</v>
      </c>
      <c r="AG69" s="519">
        <v>0</v>
      </c>
      <c r="AH69" s="519">
        <v>0</v>
      </c>
      <c r="AI69" s="519">
        <v>0</v>
      </c>
      <c r="AJ69" s="519">
        <v>0</v>
      </c>
      <c r="AK69" s="519">
        <v>0</v>
      </c>
      <c r="AL69" s="519">
        <v>0</v>
      </c>
      <c r="AM69" s="519">
        <v>0</v>
      </c>
      <c r="AN69" s="519">
        <v>0</v>
      </c>
    </row>
    <row r="70" spans="1:40" x14ac:dyDescent="0.3">
      <c r="A70" s="489" t="s">
        <v>1419</v>
      </c>
      <c r="B70" s="489" t="s">
        <v>1616</v>
      </c>
      <c r="C70" s="489" t="s">
        <v>1222</v>
      </c>
      <c r="D70" s="489" t="s">
        <v>141</v>
      </c>
      <c r="E70" s="619">
        <v>104</v>
      </c>
      <c r="F70" s="624">
        <f t="shared" si="6"/>
        <v>19.399999999999999</v>
      </c>
      <c r="G70" s="519">
        <f t="shared" si="5"/>
        <v>19.399999999999999</v>
      </c>
      <c r="H70" s="519">
        <f t="shared" si="5"/>
        <v>19.399999999999999</v>
      </c>
      <c r="I70" s="519">
        <f t="shared" si="5"/>
        <v>19.399999999999999</v>
      </c>
      <c r="J70" s="519">
        <f t="shared" si="5"/>
        <v>19.399999999999999</v>
      </c>
      <c r="K70" s="519">
        <f t="shared" si="5"/>
        <v>19.399999999999999</v>
      </c>
      <c r="L70" s="519">
        <f t="shared" si="5"/>
        <v>19.399999999999999</v>
      </c>
      <c r="M70" s="519">
        <f t="shared" si="5"/>
        <v>0</v>
      </c>
      <c r="N70" s="519">
        <f t="shared" si="5"/>
        <v>0</v>
      </c>
      <c r="O70" s="519">
        <f t="shared" si="5"/>
        <v>0</v>
      </c>
      <c r="P70" s="519">
        <f t="shared" si="5"/>
        <v>0</v>
      </c>
      <c r="Q70" s="519">
        <f t="shared" si="5"/>
        <v>0</v>
      </c>
      <c r="R70" s="519">
        <f t="shared" si="5"/>
        <v>0</v>
      </c>
      <c r="S70" s="519">
        <f t="shared" si="5"/>
        <v>0</v>
      </c>
      <c r="T70" s="519">
        <f t="shared" si="5"/>
        <v>0</v>
      </c>
      <c r="U70" s="519">
        <f t="shared" si="5"/>
        <v>0</v>
      </c>
      <c r="V70" s="618"/>
      <c r="Y70" s="624">
        <v>19.399999999999999</v>
      </c>
      <c r="Z70" s="519">
        <v>0</v>
      </c>
      <c r="AA70" s="519">
        <v>0</v>
      </c>
      <c r="AB70" s="519">
        <v>0</v>
      </c>
      <c r="AC70" s="519">
        <v>0</v>
      </c>
      <c r="AD70" s="519">
        <v>0</v>
      </c>
      <c r="AE70" s="519">
        <v>19.399999999999999</v>
      </c>
      <c r="AF70" s="519">
        <v>0</v>
      </c>
      <c r="AG70" s="519">
        <v>0</v>
      </c>
      <c r="AH70" s="519">
        <v>0</v>
      </c>
      <c r="AI70" s="519">
        <v>0</v>
      </c>
      <c r="AJ70" s="519">
        <v>0</v>
      </c>
      <c r="AK70" s="519">
        <v>0</v>
      </c>
      <c r="AL70" s="519">
        <v>0</v>
      </c>
      <c r="AM70" s="519">
        <v>0</v>
      </c>
      <c r="AN70" s="519">
        <v>0</v>
      </c>
    </row>
    <row r="71" spans="1:40" x14ac:dyDescent="0.3">
      <c r="A71" s="489" t="s">
        <v>1414</v>
      </c>
      <c r="B71" s="489" t="s">
        <v>1534</v>
      </c>
      <c r="C71" s="489" t="s">
        <v>1617</v>
      </c>
      <c r="D71" s="489" t="s">
        <v>46</v>
      </c>
      <c r="E71" s="619">
        <v>103</v>
      </c>
      <c r="F71" s="624">
        <f t="shared" si="6"/>
        <v>0</v>
      </c>
      <c r="G71" s="519">
        <f t="shared" si="5"/>
        <v>0</v>
      </c>
      <c r="H71" s="519">
        <f t="shared" si="5"/>
        <v>0</v>
      </c>
      <c r="I71" s="519">
        <f t="shared" si="5"/>
        <v>0</v>
      </c>
      <c r="J71" s="519">
        <f t="shared" si="5"/>
        <v>0</v>
      </c>
      <c r="K71" s="519">
        <f t="shared" si="5"/>
        <v>0</v>
      </c>
      <c r="L71" s="519">
        <f t="shared" si="5"/>
        <v>0</v>
      </c>
      <c r="M71" s="519">
        <f t="shared" si="5"/>
        <v>0</v>
      </c>
      <c r="N71" s="519">
        <f t="shared" si="5"/>
        <v>0</v>
      </c>
      <c r="O71" s="519">
        <f t="shared" si="5"/>
        <v>0</v>
      </c>
      <c r="P71" s="519">
        <f t="shared" si="5"/>
        <v>0</v>
      </c>
      <c r="Q71" s="519">
        <f t="shared" si="5"/>
        <v>0</v>
      </c>
      <c r="R71" s="519">
        <f t="shared" si="5"/>
        <v>0</v>
      </c>
      <c r="S71" s="519">
        <f t="shared" si="5"/>
        <v>0</v>
      </c>
      <c r="T71" s="519">
        <f t="shared" si="5"/>
        <v>0</v>
      </c>
      <c r="U71" s="519">
        <f t="shared" si="5"/>
        <v>0</v>
      </c>
      <c r="Y71" s="624">
        <v>0</v>
      </c>
      <c r="Z71" s="519">
        <v>0</v>
      </c>
      <c r="AA71" s="519">
        <v>0</v>
      </c>
      <c r="AB71" s="519">
        <v>0</v>
      </c>
      <c r="AC71" s="519">
        <v>0</v>
      </c>
      <c r="AD71" s="519">
        <v>0</v>
      </c>
      <c r="AE71" s="519">
        <v>0</v>
      </c>
      <c r="AF71" s="519">
        <v>0</v>
      </c>
      <c r="AG71" s="519">
        <v>0</v>
      </c>
      <c r="AH71" s="519">
        <v>0</v>
      </c>
      <c r="AI71" s="519">
        <v>0</v>
      </c>
      <c r="AJ71" s="519">
        <v>0</v>
      </c>
      <c r="AK71" s="519">
        <v>0</v>
      </c>
      <c r="AL71" s="519">
        <v>0</v>
      </c>
      <c r="AM71" s="519">
        <v>0</v>
      </c>
      <c r="AN71" s="519">
        <v>0</v>
      </c>
    </row>
    <row r="72" spans="1:40" x14ac:dyDescent="0.3">
      <c r="A72" s="489" t="s">
        <v>1544</v>
      </c>
      <c r="B72" s="489" t="s">
        <v>1676</v>
      </c>
      <c r="C72" s="489" t="s">
        <v>1802</v>
      </c>
      <c r="D72" s="489" t="s">
        <v>46</v>
      </c>
      <c r="E72" s="619">
        <v>91</v>
      </c>
      <c r="F72" s="624">
        <f t="shared" si="6"/>
        <v>0</v>
      </c>
      <c r="G72" s="519">
        <f t="shared" si="5"/>
        <v>0</v>
      </c>
      <c r="H72" s="519">
        <f t="shared" si="5"/>
        <v>0</v>
      </c>
      <c r="I72" s="519">
        <f t="shared" si="5"/>
        <v>0</v>
      </c>
      <c r="J72" s="519">
        <f t="shared" si="5"/>
        <v>0</v>
      </c>
      <c r="K72" s="519">
        <f t="shared" si="5"/>
        <v>0</v>
      </c>
      <c r="L72" s="519">
        <f t="shared" si="5"/>
        <v>0</v>
      </c>
      <c r="M72" s="519">
        <f t="shared" si="5"/>
        <v>0</v>
      </c>
      <c r="N72" s="519">
        <f t="shared" si="5"/>
        <v>0</v>
      </c>
      <c r="O72" s="519">
        <f t="shared" si="5"/>
        <v>0</v>
      </c>
      <c r="P72" s="519">
        <f t="shared" si="5"/>
        <v>0</v>
      </c>
      <c r="Q72" s="519">
        <f t="shared" si="5"/>
        <v>0</v>
      </c>
      <c r="R72" s="519">
        <f t="shared" si="5"/>
        <v>0</v>
      </c>
      <c r="S72" s="519">
        <f t="shared" si="5"/>
        <v>0</v>
      </c>
      <c r="T72" s="519">
        <f t="shared" si="5"/>
        <v>0</v>
      </c>
      <c r="U72" s="519">
        <f t="shared" si="5"/>
        <v>0</v>
      </c>
      <c r="Y72" s="624">
        <v>0</v>
      </c>
      <c r="Z72" s="519">
        <v>0</v>
      </c>
      <c r="AA72" s="519">
        <v>0</v>
      </c>
      <c r="AB72" s="519">
        <v>0</v>
      </c>
      <c r="AC72" s="519">
        <v>0</v>
      </c>
      <c r="AD72" s="519">
        <v>0</v>
      </c>
      <c r="AE72" s="519">
        <v>0</v>
      </c>
      <c r="AF72" s="519">
        <v>0</v>
      </c>
      <c r="AG72" s="519">
        <v>0</v>
      </c>
      <c r="AH72" s="519">
        <v>0</v>
      </c>
      <c r="AI72" s="519">
        <v>0</v>
      </c>
      <c r="AJ72" s="519">
        <v>0</v>
      </c>
      <c r="AK72" s="519">
        <v>0</v>
      </c>
      <c r="AL72" s="519">
        <v>0</v>
      </c>
      <c r="AM72" s="519">
        <v>0</v>
      </c>
      <c r="AN72" s="519">
        <v>0</v>
      </c>
    </row>
    <row r="73" spans="1:40" x14ac:dyDescent="0.3">
      <c r="A73" s="489" t="s">
        <v>1677</v>
      </c>
      <c r="B73" s="489" t="s">
        <v>1678</v>
      </c>
      <c r="C73" s="489" t="s">
        <v>1803</v>
      </c>
      <c r="D73" s="489" t="s">
        <v>46</v>
      </c>
      <c r="E73" s="619">
        <v>89</v>
      </c>
      <c r="F73" s="624">
        <f t="shared" si="6"/>
        <v>0</v>
      </c>
      <c r="G73" s="519">
        <f t="shared" si="5"/>
        <v>0</v>
      </c>
      <c r="H73" s="519">
        <f t="shared" si="5"/>
        <v>0</v>
      </c>
      <c r="I73" s="519">
        <f t="shared" si="5"/>
        <v>0</v>
      </c>
      <c r="J73" s="519">
        <f t="shared" si="5"/>
        <v>0</v>
      </c>
      <c r="K73" s="519">
        <f t="shared" si="5"/>
        <v>0</v>
      </c>
      <c r="L73" s="519">
        <f t="shared" si="5"/>
        <v>0</v>
      </c>
      <c r="M73" s="519">
        <f t="shared" si="5"/>
        <v>0</v>
      </c>
      <c r="N73" s="519">
        <f t="shared" si="5"/>
        <v>0</v>
      </c>
      <c r="O73" s="519">
        <f t="shared" si="5"/>
        <v>0</v>
      </c>
      <c r="P73" s="519">
        <f t="shared" si="5"/>
        <v>0</v>
      </c>
      <c r="Q73" s="519">
        <f t="shared" si="5"/>
        <v>0</v>
      </c>
      <c r="R73" s="519">
        <f t="shared" si="5"/>
        <v>0</v>
      </c>
      <c r="S73" s="519">
        <f t="shared" si="5"/>
        <v>0</v>
      </c>
      <c r="T73" s="519">
        <f t="shared" si="5"/>
        <v>0</v>
      </c>
      <c r="U73" s="519">
        <f t="shared" si="5"/>
        <v>0</v>
      </c>
      <c r="Y73" s="624">
        <v>0</v>
      </c>
      <c r="Z73" s="519">
        <v>0</v>
      </c>
      <c r="AA73" s="519">
        <v>0</v>
      </c>
      <c r="AB73" s="519">
        <v>0</v>
      </c>
      <c r="AC73" s="519">
        <v>0</v>
      </c>
      <c r="AD73" s="519">
        <v>0</v>
      </c>
      <c r="AE73" s="519">
        <v>0</v>
      </c>
      <c r="AF73" s="519">
        <v>0</v>
      </c>
      <c r="AG73" s="519">
        <v>0</v>
      </c>
      <c r="AH73" s="519">
        <v>0</v>
      </c>
      <c r="AI73" s="519">
        <v>0</v>
      </c>
      <c r="AJ73" s="519">
        <v>0</v>
      </c>
      <c r="AK73" s="519">
        <v>0</v>
      </c>
      <c r="AL73" s="519">
        <v>0</v>
      </c>
      <c r="AM73" s="519">
        <v>0</v>
      </c>
      <c r="AN73" s="519">
        <v>0</v>
      </c>
    </row>
    <row r="74" spans="1:40" x14ac:dyDescent="0.3">
      <c r="A74" s="489" t="s">
        <v>1441</v>
      </c>
      <c r="B74" s="489" t="s">
        <v>1679</v>
      </c>
      <c r="C74" s="489" t="s">
        <v>1804</v>
      </c>
      <c r="D74" s="489" t="s">
        <v>46</v>
      </c>
      <c r="E74" s="619">
        <v>85</v>
      </c>
      <c r="F74" s="624">
        <f t="shared" si="6"/>
        <v>0</v>
      </c>
      <c r="G74" s="519">
        <f t="shared" si="5"/>
        <v>0</v>
      </c>
      <c r="H74" s="519">
        <f t="shared" si="5"/>
        <v>0</v>
      </c>
      <c r="I74" s="519">
        <f t="shared" si="5"/>
        <v>0</v>
      </c>
      <c r="J74" s="519">
        <f t="shared" si="5"/>
        <v>0</v>
      </c>
      <c r="K74" s="519">
        <f t="shared" si="5"/>
        <v>0</v>
      </c>
      <c r="L74" s="519">
        <f t="shared" si="5"/>
        <v>0</v>
      </c>
      <c r="M74" s="519">
        <f t="shared" si="5"/>
        <v>0</v>
      </c>
      <c r="N74" s="519">
        <f t="shared" si="5"/>
        <v>0</v>
      </c>
      <c r="O74" s="519">
        <f t="shared" si="5"/>
        <v>0</v>
      </c>
      <c r="P74" s="519">
        <f t="shared" si="5"/>
        <v>0</v>
      </c>
      <c r="Q74" s="519">
        <f t="shared" si="5"/>
        <v>0</v>
      </c>
      <c r="R74" s="519">
        <f t="shared" si="5"/>
        <v>0</v>
      </c>
      <c r="S74" s="519">
        <f t="shared" si="5"/>
        <v>0</v>
      </c>
      <c r="T74" s="519">
        <f t="shared" si="5"/>
        <v>0</v>
      </c>
      <c r="U74" s="519">
        <f t="shared" si="5"/>
        <v>0</v>
      </c>
      <c r="Y74" s="624">
        <v>0</v>
      </c>
      <c r="Z74" s="519">
        <v>0</v>
      </c>
      <c r="AA74" s="519">
        <v>0</v>
      </c>
      <c r="AB74" s="519">
        <v>0</v>
      </c>
      <c r="AC74" s="519">
        <v>0</v>
      </c>
      <c r="AD74" s="519">
        <v>0</v>
      </c>
      <c r="AE74" s="519">
        <v>0</v>
      </c>
      <c r="AF74" s="519">
        <v>0</v>
      </c>
      <c r="AG74" s="519">
        <v>0</v>
      </c>
      <c r="AH74" s="519">
        <v>0</v>
      </c>
      <c r="AI74" s="519">
        <v>0</v>
      </c>
      <c r="AJ74" s="519">
        <v>0</v>
      </c>
      <c r="AK74" s="519">
        <v>0</v>
      </c>
      <c r="AL74" s="519">
        <v>0</v>
      </c>
      <c r="AM74" s="519">
        <v>0</v>
      </c>
      <c r="AN74" s="519">
        <v>0</v>
      </c>
    </row>
    <row r="75" spans="1:40" x14ac:dyDescent="0.3">
      <c r="A75" s="489" t="s">
        <v>1414</v>
      </c>
      <c r="B75" s="489" t="s">
        <v>1657</v>
      </c>
      <c r="C75" s="489" t="s">
        <v>1805</v>
      </c>
      <c r="D75" s="489" t="s">
        <v>46</v>
      </c>
      <c r="E75" s="619">
        <v>79</v>
      </c>
      <c r="F75" s="624">
        <f t="shared" si="6"/>
        <v>0</v>
      </c>
      <c r="G75" s="519">
        <f t="shared" si="5"/>
        <v>0</v>
      </c>
      <c r="H75" s="519">
        <f t="shared" si="5"/>
        <v>0</v>
      </c>
      <c r="I75" s="519">
        <f t="shared" si="5"/>
        <v>0</v>
      </c>
      <c r="J75" s="519">
        <f t="shared" si="5"/>
        <v>0</v>
      </c>
      <c r="K75" s="519">
        <f t="shared" si="5"/>
        <v>0</v>
      </c>
      <c r="L75" s="519">
        <f t="shared" si="5"/>
        <v>0</v>
      </c>
      <c r="M75" s="519">
        <f t="shared" si="5"/>
        <v>0</v>
      </c>
      <c r="N75" s="519">
        <f t="shared" si="5"/>
        <v>0</v>
      </c>
      <c r="O75" s="519">
        <f t="shared" si="5"/>
        <v>0</v>
      </c>
      <c r="P75" s="519">
        <f t="shared" si="5"/>
        <v>0</v>
      </c>
      <c r="Q75" s="519">
        <f t="shared" si="5"/>
        <v>0</v>
      </c>
      <c r="R75" s="519">
        <f t="shared" si="5"/>
        <v>0</v>
      </c>
      <c r="S75" s="519">
        <f t="shared" si="5"/>
        <v>0</v>
      </c>
      <c r="T75" s="519">
        <f t="shared" si="5"/>
        <v>0</v>
      </c>
      <c r="U75" s="519">
        <f t="shared" si="5"/>
        <v>0</v>
      </c>
      <c r="Y75" s="624">
        <v>0</v>
      </c>
      <c r="Z75" s="519">
        <v>0</v>
      </c>
      <c r="AA75" s="519">
        <v>0</v>
      </c>
      <c r="AB75" s="519">
        <v>0</v>
      </c>
      <c r="AC75" s="519">
        <v>0</v>
      </c>
      <c r="AD75" s="519">
        <v>0</v>
      </c>
      <c r="AE75" s="519">
        <v>0</v>
      </c>
      <c r="AF75" s="519">
        <v>0</v>
      </c>
      <c r="AG75" s="519">
        <v>0</v>
      </c>
      <c r="AH75" s="519">
        <v>0</v>
      </c>
      <c r="AI75" s="519">
        <v>0</v>
      </c>
      <c r="AJ75" s="519">
        <v>0</v>
      </c>
      <c r="AK75" s="519">
        <v>0</v>
      </c>
      <c r="AL75" s="519">
        <v>0</v>
      </c>
      <c r="AM75" s="519">
        <v>0</v>
      </c>
      <c r="AN75" s="519">
        <v>0</v>
      </c>
    </row>
    <row r="76" spans="1:40" x14ac:dyDescent="0.3">
      <c r="A76" s="489" t="s">
        <v>1544</v>
      </c>
      <c r="B76" s="489" t="s">
        <v>1680</v>
      </c>
      <c r="C76" s="489" t="s">
        <v>1806</v>
      </c>
      <c r="D76" s="489" t="s">
        <v>141</v>
      </c>
      <c r="E76" s="619">
        <v>79</v>
      </c>
      <c r="F76" s="624">
        <f t="shared" si="6"/>
        <v>17.27948717948718</v>
      </c>
      <c r="G76" s="519">
        <f t="shared" si="5"/>
        <v>19.25</v>
      </c>
      <c r="H76" s="519">
        <f t="shared" si="5"/>
        <v>17.208333333333336</v>
      </c>
      <c r="I76" s="519">
        <f t="shared" si="5"/>
        <v>17.186</v>
      </c>
      <c r="J76" s="519">
        <f t="shared" si="5"/>
        <v>17.392857142857142</v>
      </c>
      <c r="K76" s="519">
        <f t="shared" si="5"/>
        <v>0</v>
      </c>
      <c r="L76" s="519">
        <f t="shared" si="5"/>
        <v>0</v>
      </c>
      <c r="M76" s="519">
        <f t="shared" si="5"/>
        <v>0</v>
      </c>
      <c r="N76" s="519">
        <f t="shared" si="5"/>
        <v>0</v>
      </c>
      <c r="O76" s="519">
        <f t="shared" si="5"/>
        <v>0</v>
      </c>
      <c r="P76" s="519">
        <f t="shared" si="5"/>
        <v>0</v>
      </c>
      <c r="Q76" s="519">
        <f t="shared" si="5"/>
        <v>0</v>
      </c>
      <c r="R76" s="519">
        <f t="shared" si="5"/>
        <v>0</v>
      </c>
      <c r="S76" s="519">
        <f t="shared" si="5"/>
        <v>0</v>
      </c>
      <c r="T76" s="519">
        <f t="shared" si="5"/>
        <v>0</v>
      </c>
      <c r="U76" s="519">
        <f t="shared" si="5"/>
        <v>0</v>
      </c>
      <c r="Y76" s="624">
        <v>17.27948717948718</v>
      </c>
      <c r="Z76" s="519">
        <v>19.25</v>
      </c>
      <c r="AA76" s="519">
        <v>17.208333333333336</v>
      </c>
      <c r="AB76" s="519">
        <v>17.186</v>
      </c>
      <c r="AC76" s="519">
        <v>17.392857142857142</v>
      </c>
      <c r="AD76" s="519">
        <v>0</v>
      </c>
      <c r="AE76" s="519">
        <v>0</v>
      </c>
      <c r="AF76" s="519">
        <v>0</v>
      </c>
      <c r="AG76" s="519">
        <v>0</v>
      </c>
      <c r="AH76" s="519">
        <v>0</v>
      </c>
      <c r="AI76" s="519">
        <v>0</v>
      </c>
      <c r="AJ76" s="519">
        <v>0</v>
      </c>
      <c r="AK76" s="519">
        <v>0</v>
      </c>
      <c r="AL76" s="519">
        <v>0</v>
      </c>
      <c r="AM76" s="519">
        <v>0</v>
      </c>
      <c r="AN76" s="519">
        <v>0</v>
      </c>
    </row>
    <row r="77" spans="1:40" x14ac:dyDescent="0.3">
      <c r="A77" s="489" t="s">
        <v>1561</v>
      </c>
      <c r="B77" s="489" t="s">
        <v>1681</v>
      </c>
      <c r="C77" s="489" t="s">
        <v>1807</v>
      </c>
      <c r="D77" s="489" t="s">
        <v>141</v>
      </c>
      <c r="E77" s="619">
        <v>79</v>
      </c>
      <c r="F77" s="624">
        <f t="shared" si="6"/>
        <v>16.910666666666664</v>
      </c>
      <c r="G77" s="519">
        <f t="shared" si="5"/>
        <v>17</v>
      </c>
      <c r="H77" s="519">
        <f t="shared" si="5"/>
        <v>16.842592592592592</v>
      </c>
      <c r="I77" s="519">
        <f t="shared" si="5"/>
        <v>17.266666666666666</v>
      </c>
      <c r="J77" s="519">
        <f t="shared" si="5"/>
        <v>16.766666666666666</v>
      </c>
      <c r="K77" s="519">
        <f t="shared" si="5"/>
        <v>0</v>
      </c>
      <c r="L77" s="519">
        <f t="shared" si="5"/>
        <v>0</v>
      </c>
      <c r="M77" s="519">
        <f t="shared" si="5"/>
        <v>0</v>
      </c>
      <c r="N77" s="519">
        <f t="shared" si="5"/>
        <v>0</v>
      </c>
      <c r="O77" s="519">
        <f t="shared" si="5"/>
        <v>0</v>
      </c>
      <c r="P77" s="519">
        <f t="shared" si="5"/>
        <v>0</v>
      </c>
      <c r="Q77" s="519">
        <f t="shared" si="5"/>
        <v>0</v>
      </c>
      <c r="R77" s="519">
        <f t="shared" si="5"/>
        <v>0</v>
      </c>
      <c r="S77" s="519">
        <f t="shared" si="5"/>
        <v>0</v>
      </c>
      <c r="T77" s="519">
        <f t="shared" si="5"/>
        <v>0</v>
      </c>
      <c r="U77" s="519">
        <f t="shared" si="5"/>
        <v>0</v>
      </c>
      <c r="Y77" s="624">
        <v>16.910666666666664</v>
      </c>
      <c r="Z77" s="519">
        <v>17</v>
      </c>
      <c r="AA77" s="519">
        <v>16.842592592592592</v>
      </c>
      <c r="AB77" s="519">
        <v>17.266666666666666</v>
      </c>
      <c r="AC77" s="519">
        <v>16.766666666666666</v>
      </c>
      <c r="AD77" s="519">
        <v>0</v>
      </c>
      <c r="AE77" s="519">
        <v>0</v>
      </c>
      <c r="AF77" s="519">
        <v>0</v>
      </c>
      <c r="AG77" s="519">
        <v>0</v>
      </c>
      <c r="AH77" s="519">
        <v>0</v>
      </c>
      <c r="AI77" s="519">
        <v>0</v>
      </c>
      <c r="AJ77" s="519">
        <v>0</v>
      </c>
      <c r="AK77" s="519">
        <v>0</v>
      </c>
      <c r="AL77" s="519">
        <v>0</v>
      </c>
      <c r="AM77" s="519">
        <v>0</v>
      </c>
      <c r="AN77" s="519">
        <v>0</v>
      </c>
    </row>
    <row r="78" spans="1:40" x14ac:dyDescent="0.3">
      <c r="A78" s="489" t="s">
        <v>1426</v>
      </c>
      <c r="B78" s="489" t="s">
        <v>1440</v>
      </c>
      <c r="C78" s="489" t="s">
        <v>1440</v>
      </c>
      <c r="D78" s="489" t="s">
        <v>1929</v>
      </c>
      <c r="E78" s="619">
        <v>78</v>
      </c>
      <c r="F78" s="624">
        <f t="shared" si="6"/>
        <v>0</v>
      </c>
      <c r="G78" s="519">
        <f t="shared" si="5"/>
        <v>0</v>
      </c>
      <c r="H78" s="519">
        <f t="shared" si="5"/>
        <v>0</v>
      </c>
      <c r="I78" s="519">
        <f t="shared" si="5"/>
        <v>0</v>
      </c>
      <c r="J78" s="519">
        <f t="shared" si="5"/>
        <v>0</v>
      </c>
      <c r="K78" s="519">
        <f t="shared" si="5"/>
        <v>0</v>
      </c>
      <c r="L78" s="519">
        <f t="shared" si="5"/>
        <v>0</v>
      </c>
      <c r="M78" s="519">
        <f t="shared" si="5"/>
        <v>0</v>
      </c>
      <c r="N78" s="519">
        <f t="shared" si="5"/>
        <v>0</v>
      </c>
      <c r="O78" s="519">
        <f t="shared" si="5"/>
        <v>0</v>
      </c>
      <c r="P78" s="519">
        <f t="shared" si="5"/>
        <v>0</v>
      </c>
      <c r="Q78" s="519">
        <f t="shared" si="5"/>
        <v>0</v>
      </c>
      <c r="R78" s="519">
        <f t="shared" si="5"/>
        <v>0</v>
      </c>
      <c r="S78" s="519">
        <f t="shared" si="5"/>
        <v>0</v>
      </c>
      <c r="T78" s="519">
        <f t="shared" si="5"/>
        <v>0</v>
      </c>
      <c r="U78" s="519">
        <f t="shared" si="5"/>
        <v>0</v>
      </c>
      <c r="Y78" s="624">
        <v>0</v>
      </c>
      <c r="Z78" s="519">
        <v>0</v>
      </c>
      <c r="AA78" s="519">
        <v>0</v>
      </c>
      <c r="AB78" s="519">
        <v>0</v>
      </c>
      <c r="AC78" s="519">
        <v>0</v>
      </c>
      <c r="AD78" s="519">
        <v>0</v>
      </c>
      <c r="AE78" s="519">
        <v>0</v>
      </c>
      <c r="AF78" s="519">
        <v>0</v>
      </c>
      <c r="AG78" s="519">
        <v>0</v>
      </c>
      <c r="AH78" s="519">
        <v>0</v>
      </c>
      <c r="AI78" s="519">
        <v>0</v>
      </c>
      <c r="AJ78" s="519">
        <v>0</v>
      </c>
      <c r="AK78" s="519">
        <v>0</v>
      </c>
      <c r="AL78" s="519">
        <v>0</v>
      </c>
      <c r="AM78" s="519">
        <v>0</v>
      </c>
      <c r="AN78" s="519">
        <v>0</v>
      </c>
    </row>
    <row r="79" spans="1:40" x14ac:dyDescent="0.3">
      <c r="A79" s="489" t="s">
        <v>1426</v>
      </c>
      <c r="B79" s="489" t="s">
        <v>1427</v>
      </c>
      <c r="C79" s="489" t="s">
        <v>1427</v>
      </c>
      <c r="D79" s="489" t="s">
        <v>1929</v>
      </c>
      <c r="E79" s="619">
        <v>77</v>
      </c>
      <c r="F79" s="624">
        <f t="shared" si="6"/>
        <v>0</v>
      </c>
      <c r="G79" s="519">
        <f t="shared" si="5"/>
        <v>0</v>
      </c>
      <c r="H79" s="519">
        <f t="shared" si="5"/>
        <v>0</v>
      </c>
      <c r="I79" s="519">
        <f t="shared" si="5"/>
        <v>0</v>
      </c>
      <c r="J79" s="519">
        <f t="shared" si="5"/>
        <v>0</v>
      </c>
      <c r="K79" s="519">
        <f t="shared" si="5"/>
        <v>0</v>
      </c>
      <c r="L79" s="519">
        <f t="shared" si="5"/>
        <v>0</v>
      </c>
      <c r="M79" s="519">
        <f t="shared" si="5"/>
        <v>0</v>
      </c>
      <c r="N79" s="519">
        <f t="shared" si="5"/>
        <v>0</v>
      </c>
      <c r="O79" s="519">
        <f t="shared" si="5"/>
        <v>0</v>
      </c>
      <c r="P79" s="519">
        <f t="shared" si="5"/>
        <v>0</v>
      </c>
      <c r="Q79" s="519">
        <f t="shared" si="5"/>
        <v>0</v>
      </c>
      <c r="R79" s="519">
        <f t="shared" si="5"/>
        <v>0</v>
      </c>
      <c r="S79" s="519">
        <f t="shared" si="5"/>
        <v>0</v>
      </c>
      <c r="T79" s="519">
        <f t="shared" si="5"/>
        <v>0</v>
      </c>
      <c r="U79" s="519">
        <f t="shared" si="5"/>
        <v>0</v>
      </c>
      <c r="Y79" s="624">
        <v>0</v>
      </c>
      <c r="Z79" s="519">
        <v>0</v>
      </c>
      <c r="AA79" s="519">
        <v>0</v>
      </c>
      <c r="AB79" s="519">
        <v>0</v>
      </c>
      <c r="AC79" s="519">
        <v>0</v>
      </c>
      <c r="AD79" s="519">
        <v>0</v>
      </c>
      <c r="AE79" s="519">
        <v>0</v>
      </c>
      <c r="AF79" s="519">
        <v>0</v>
      </c>
      <c r="AG79" s="519">
        <v>0</v>
      </c>
      <c r="AH79" s="519">
        <v>0</v>
      </c>
      <c r="AI79" s="519">
        <v>0</v>
      </c>
      <c r="AJ79" s="519">
        <v>0</v>
      </c>
      <c r="AK79" s="519">
        <v>0</v>
      </c>
      <c r="AL79" s="519">
        <v>0</v>
      </c>
      <c r="AM79" s="519">
        <v>0</v>
      </c>
      <c r="AN79" s="519">
        <v>0</v>
      </c>
    </row>
    <row r="80" spans="1:40" x14ac:dyDescent="0.3">
      <c r="A80" s="489" t="s">
        <v>1419</v>
      </c>
      <c r="B80" s="489" t="s">
        <v>1682</v>
      </c>
      <c r="C80" s="489" t="s">
        <v>1808</v>
      </c>
      <c r="D80" s="489" t="s">
        <v>141</v>
      </c>
      <c r="E80" s="619">
        <v>76</v>
      </c>
      <c r="F80" s="624">
        <f t="shared" si="6"/>
        <v>20.85</v>
      </c>
      <c r="G80" s="519">
        <f t="shared" si="5"/>
        <v>19.100000000000001</v>
      </c>
      <c r="H80" s="519">
        <f t="shared" si="5"/>
        <v>19.100000000000001</v>
      </c>
      <c r="I80" s="519">
        <f t="shared" si="5"/>
        <v>22.6</v>
      </c>
      <c r="J80" s="519">
        <f t="shared" si="5"/>
        <v>22.6</v>
      </c>
      <c r="K80" s="519">
        <f t="shared" si="5"/>
        <v>22.6</v>
      </c>
      <c r="L80" s="519">
        <f t="shared" si="5"/>
        <v>22.6</v>
      </c>
      <c r="M80" s="519">
        <f t="shared" si="5"/>
        <v>0</v>
      </c>
      <c r="N80" s="519">
        <f t="shared" si="5"/>
        <v>0</v>
      </c>
      <c r="O80" s="519">
        <f t="shared" si="5"/>
        <v>0</v>
      </c>
      <c r="P80" s="519">
        <f t="shared" si="5"/>
        <v>0</v>
      </c>
      <c r="Q80" s="519">
        <f t="shared" si="5"/>
        <v>0</v>
      </c>
      <c r="R80" s="519">
        <f t="shared" si="5"/>
        <v>0</v>
      </c>
      <c r="S80" s="519">
        <f t="shared" si="5"/>
        <v>0</v>
      </c>
      <c r="T80" s="519">
        <f t="shared" si="5"/>
        <v>0</v>
      </c>
      <c r="U80" s="519">
        <f t="shared" si="5"/>
        <v>0</v>
      </c>
      <c r="Y80" s="624">
        <v>20.85</v>
      </c>
      <c r="Z80" s="519">
        <v>0</v>
      </c>
      <c r="AA80" s="519">
        <v>19.100000000000001</v>
      </c>
      <c r="AB80" s="519">
        <v>0</v>
      </c>
      <c r="AC80" s="519">
        <v>0</v>
      </c>
      <c r="AD80" s="519">
        <v>0</v>
      </c>
      <c r="AE80" s="519">
        <v>22.6</v>
      </c>
      <c r="AF80" s="519">
        <v>0</v>
      </c>
      <c r="AG80" s="519">
        <v>0</v>
      </c>
      <c r="AH80" s="519">
        <v>0</v>
      </c>
      <c r="AI80" s="519">
        <v>0</v>
      </c>
      <c r="AJ80" s="519">
        <v>0</v>
      </c>
      <c r="AK80" s="519">
        <v>0</v>
      </c>
      <c r="AL80" s="519">
        <v>0</v>
      </c>
      <c r="AM80" s="519">
        <v>0</v>
      </c>
      <c r="AN80" s="519">
        <v>0</v>
      </c>
    </row>
    <row r="81" spans="1:40" x14ac:dyDescent="0.3">
      <c r="A81" s="489" t="s">
        <v>1441</v>
      </c>
      <c r="B81" s="489" t="s">
        <v>1683</v>
      </c>
      <c r="C81" s="489" t="s">
        <v>1809</v>
      </c>
      <c r="D81" s="489" t="s">
        <v>141</v>
      </c>
      <c r="E81" s="619">
        <v>75</v>
      </c>
      <c r="F81" s="624">
        <f t="shared" si="6"/>
        <v>17.24640322580645</v>
      </c>
      <c r="G81" s="519">
        <f t="shared" si="5"/>
        <v>16.772222222222222</v>
      </c>
      <c r="H81" s="519">
        <f t="shared" si="5"/>
        <v>16.772222222222222</v>
      </c>
      <c r="I81" s="519">
        <f t="shared" si="5"/>
        <v>17.137999999999998</v>
      </c>
      <c r="J81" s="519">
        <f t="shared" si="5"/>
        <v>17.549703703703706</v>
      </c>
      <c r="K81" s="519">
        <f t="shared" si="5"/>
        <v>18.232499999999998</v>
      </c>
      <c r="L81" s="519">
        <f t="shared" si="5"/>
        <v>0</v>
      </c>
      <c r="M81" s="519">
        <f t="shared" si="5"/>
        <v>0</v>
      </c>
      <c r="N81" s="519">
        <f t="shared" si="5"/>
        <v>0</v>
      </c>
      <c r="O81" s="519">
        <f t="shared" si="5"/>
        <v>0</v>
      </c>
      <c r="P81" s="519">
        <f t="shared" si="5"/>
        <v>0</v>
      </c>
      <c r="Q81" s="519">
        <f t="shared" si="5"/>
        <v>0</v>
      </c>
      <c r="R81" s="519">
        <f t="shared" si="5"/>
        <v>0</v>
      </c>
      <c r="S81" s="519">
        <f t="shared" si="5"/>
        <v>0</v>
      </c>
      <c r="T81" s="519">
        <f t="shared" si="5"/>
        <v>0</v>
      </c>
      <c r="U81" s="519">
        <f t="shared" si="5"/>
        <v>0</v>
      </c>
      <c r="Y81" s="624">
        <v>17.24640322580645</v>
      </c>
      <c r="Z81" s="519">
        <v>0</v>
      </c>
      <c r="AA81" s="519">
        <v>16.772222222222222</v>
      </c>
      <c r="AB81" s="519">
        <v>17.137999999999998</v>
      </c>
      <c r="AC81" s="519">
        <v>17.549703703703706</v>
      </c>
      <c r="AD81" s="519">
        <v>18.232499999999998</v>
      </c>
      <c r="AE81" s="519">
        <v>0</v>
      </c>
      <c r="AF81" s="519">
        <v>0</v>
      </c>
      <c r="AG81" s="519">
        <v>0</v>
      </c>
      <c r="AH81" s="519">
        <v>0</v>
      </c>
      <c r="AI81" s="519">
        <v>0</v>
      </c>
      <c r="AJ81" s="519">
        <v>0</v>
      </c>
      <c r="AK81" s="519">
        <v>0</v>
      </c>
      <c r="AL81" s="519">
        <v>0</v>
      </c>
      <c r="AM81" s="519">
        <v>0</v>
      </c>
      <c r="AN81" s="519">
        <v>0</v>
      </c>
    </row>
    <row r="82" spans="1:40" x14ac:dyDescent="0.3">
      <c r="A82" s="489" t="s">
        <v>1605</v>
      </c>
      <c r="B82" s="489" t="s">
        <v>1658</v>
      </c>
      <c r="C82" s="489" t="s">
        <v>1810</v>
      </c>
      <c r="D82" s="489" t="s">
        <v>46</v>
      </c>
      <c r="E82" s="619">
        <v>68</v>
      </c>
      <c r="F82" s="624">
        <f t="shared" si="6"/>
        <v>0</v>
      </c>
      <c r="G82" s="519">
        <f t="shared" ref="G82:U97" si="7">IF(Z82&gt;0,Z82,IF(H82&gt;0,H82,0))</f>
        <v>0</v>
      </c>
      <c r="H82" s="519">
        <f t="shared" si="7"/>
        <v>0</v>
      </c>
      <c r="I82" s="519">
        <f t="shared" si="7"/>
        <v>0</v>
      </c>
      <c r="J82" s="519">
        <f t="shared" si="7"/>
        <v>0</v>
      </c>
      <c r="K82" s="519">
        <f t="shared" si="7"/>
        <v>0</v>
      </c>
      <c r="L82" s="519">
        <f t="shared" si="7"/>
        <v>0</v>
      </c>
      <c r="M82" s="519">
        <f t="shared" si="7"/>
        <v>0</v>
      </c>
      <c r="N82" s="519">
        <f t="shared" si="7"/>
        <v>0</v>
      </c>
      <c r="O82" s="519">
        <f t="shared" si="7"/>
        <v>0</v>
      </c>
      <c r="P82" s="519">
        <f t="shared" si="7"/>
        <v>0</v>
      </c>
      <c r="Q82" s="519">
        <f t="shared" si="7"/>
        <v>0</v>
      </c>
      <c r="R82" s="519">
        <f t="shared" si="7"/>
        <v>0</v>
      </c>
      <c r="S82" s="519">
        <f t="shared" si="7"/>
        <v>0</v>
      </c>
      <c r="T82" s="519">
        <f t="shared" si="7"/>
        <v>0</v>
      </c>
      <c r="U82" s="519">
        <f t="shared" si="7"/>
        <v>0</v>
      </c>
      <c r="Y82" s="624">
        <v>0</v>
      </c>
      <c r="Z82" s="519">
        <v>0</v>
      </c>
      <c r="AA82" s="519">
        <v>0</v>
      </c>
      <c r="AB82" s="519">
        <v>0</v>
      </c>
      <c r="AC82" s="519">
        <v>0</v>
      </c>
      <c r="AD82" s="519">
        <v>0</v>
      </c>
      <c r="AE82" s="519">
        <v>0</v>
      </c>
      <c r="AF82" s="519">
        <v>0</v>
      </c>
      <c r="AG82" s="519">
        <v>0</v>
      </c>
      <c r="AH82" s="519">
        <v>0</v>
      </c>
      <c r="AI82" s="519">
        <v>0</v>
      </c>
      <c r="AJ82" s="519">
        <v>0</v>
      </c>
      <c r="AK82" s="519">
        <v>0</v>
      </c>
      <c r="AL82" s="519">
        <v>0</v>
      </c>
      <c r="AM82" s="519">
        <v>0</v>
      </c>
      <c r="AN82" s="519">
        <v>0</v>
      </c>
    </row>
    <row r="83" spans="1:40" x14ac:dyDescent="0.3">
      <c r="A83" s="489" t="s">
        <v>1414</v>
      </c>
      <c r="B83" s="489" t="s">
        <v>1684</v>
      </c>
      <c r="C83" s="489" t="s">
        <v>1811</v>
      </c>
      <c r="D83" s="489" t="s">
        <v>141</v>
      </c>
      <c r="E83" s="619">
        <v>68</v>
      </c>
      <c r="F83" s="624">
        <f t="shared" si="6"/>
        <v>17.55</v>
      </c>
      <c r="G83" s="519">
        <f t="shared" si="7"/>
        <v>17.55</v>
      </c>
      <c r="H83" s="519">
        <f t="shared" si="7"/>
        <v>17.494999999999997</v>
      </c>
      <c r="I83" s="519">
        <f t="shared" si="7"/>
        <v>17.59</v>
      </c>
      <c r="J83" s="519">
        <f t="shared" si="7"/>
        <v>17.5</v>
      </c>
      <c r="K83" s="519">
        <f t="shared" si="7"/>
        <v>0</v>
      </c>
      <c r="L83" s="519">
        <f t="shared" si="7"/>
        <v>0</v>
      </c>
      <c r="M83" s="519">
        <f t="shared" si="7"/>
        <v>0</v>
      </c>
      <c r="N83" s="519">
        <f t="shared" si="7"/>
        <v>0</v>
      </c>
      <c r="O83" s="519">
        <f t="shared" si="7"/>
        <v>0</v>
      </c>
      <c r="P83" s="519">
        <f t="shared" si="7"/>
        <v>0</v>
      </c>
      <c r="Q83" s="519">
        <f t="shared" si="7"/>
        <v>0</v>
      </c>
      <c r="R83" s="519">
        <f t="shared" si="7"/>
        <v>0</v>
      </c>
      <c r="S83" s="519">
        <f t="shared" si="7"/>
        <v>0</v>
      </c>
      <c r="T83" s="519">
        <f t="shared" si="7"/>
        <v>0</v>
      </c>
      <c r="U83" s="519">
        <f t="shared" si="7"/>
        <v>0</v>
      </c>
      <c r="Y83" s="624">
        <v>17.55</v>
      </c>
      <c r="Z83" s="519">
        <v>17.55</v>
      </c>
      <c r="AA83" s="519">
        <v>17.494999999999997</v>
      </c>
      <c r="AB83" s="519">
        <v>17.59</v>
      </c>
      <c r="AC83" s="519">
        <v>17.5</v>
      </c>
      <c r="AD83" s="519">
        <v>0</v>
      </c>
      <c r="AE83" s="519">
        <v>0</v>
      </c>
      <c r="AF83" s="519">
        <v>0</v>
      </c>
      <c r="AG83" s="519">
        <v>0</v>
      </c>
      <c r="AH83" s="519">
        <v>0</v>
      </c>
      <c r="AI83" s="519">
        <v>0</v>
      </c>
      <c r="AJ83" s="519">
        <v>0</v>
      </c>
      <c r="AK83" s="519">
        <v>0</v>
      </c>
      <c r="AL83" s="519">
        <v>0</v>
      </c>
      <c r="AM83" s="519">
        <v>0</v>
      </c>
      <c r="AN83" s="519">
        <v>0</v>
      </c>
    </row>
    <row r="84" spans="1:40" x14ac:dyDescent="0.3">
      <c r="A84" s="489" t="s">
        <v>1441</v>
      </c>
      <c r="B84" s="489" t="s">
        <v>1542</v>
      </c>
      <c r="C84" s="489" t="s">
        <v>1543</v>
      </c>
      <c r="D84" s="489" t="s">
        <v>141</v>
      </c>
      <c r="E84" s="619">
        <v>66</v>
      </c>
      <c r="F84" s="624">
        <f t="shared" si="6"/>
        <v>29.121818181818178</v>
      </c>
      <c r="G84" s="519">
        <f t="shared" si="7"/>
        <v>29.139999999999997</v>
      </c>
      <c r="H84" s="519">
        <f t="shared" si="7"/>
        <v>29.139999999999997</v>
      </c>
      <c r="I84" s="519">
        <f t="shared" si="7"/>
        <v>29.139999999999997</v>
      </c>
      <c r="J84" s="519">
        <f t="shared" si="7"/>
        <v>29.119999999999994</v>
      </c>
      <c r="K84" s="519">
        <f t="shared" si="7"/>
        <v>29.119999999999994</v>
      </c>
      <c r="L84" s="519">
        <f t="shared" si="7"/>
        <v>0</v>
      </c>
      <c r="M84" s="519">
        <f t="shared" si="7"/>
        <v>0</v>
      </c>
      <c r="N84" s="519">
        <f t="shared" si="7"/>
        <v>0</v>
      </c>
      <c r="O84" s="519">
        <f t="shared" si="7"/>
        <v>0</v>
      </c>
      <c r="P84" s="519">
        <f t="shared" si="7"/>
        <v>0</v>
      </c>
      <c r="Q84" s="519">
        <f t="shared" si="7"/>
        <v>0</v>
      </c>
      <c r="R84" s="519">
        <f t="shared" si="7"/>
        <v>0</v>
      </c>
      <c r="S84" s="519">
        <f t="shared" si="7"/>
        <v>0</v>
      </c>
      <c r="T84" s="519">
        <f t="shared" si="7"/>
        <v>0</v>
      </c>
      <c r="U84" s="519">
        <f t="shared" si="7"/>
        <v>0</v>
      </c>
      <c r="Y84" s="624">
        <v>29.121818181818178</v>
      </c>
      <c r="Z84" s="519">
        <v>0</v>
      </c>
      <c r="AA84" s="519">
        <v>0</v>
      </c>
      <c r="AB84" s="519">
        <v>29.139999999999997</v>
      </c>
      <c r="AC84" s="519">
        <v>0</v>
      </c>
      <c r="AD84" s="519">
        <v>29.119999999999994</v>
      </c>
      <c r="AE84" s="519">
        <v>0</v>
      </c>
      <c r="AF84" s="519">
        <v>0</v>
      </c>
      <c r="AG84" s="519">
        <v>0</v>
      </c>
      <c r="AH84" s="519">
        <v>0</v>
      </c>
      <c r="AI84" s="519">
        <v>0</v>
      </c>
      <c r="AJ84" s="519">
        <v>0</v>
      </c>
      <c r="AK84" s="519">
        <v>0</v>
      </c>
      <c r="AL84" s="519">
        <v>0</v>
      </c>
      <c r="AM84" s="519">
        <v>0</v>
      </c>
      <c r="AN84" s="519">
        <v>0</v>
      </c>
    </row>
    <row r="85" spans="1:40" x14ac:dyDescent="0.3">
      <c r="A85" s="489" t="s">
        <v>1414</v>
      </c>
      <c r="B85" s="489" t="s">
        <v>1685</v>
      </c>
      <c r="C85" s="489" t="s">
        <v>1812</v>
      </c>
      <c r="D85" s="489" t="s">
        <v>141</v>
      </c>
      <c r="E85" s="619">
        <v>64</v>
      </c>
      <c r="F85" s="624">
        <f t="shared" si="6"/>
        <v>16.438095238095237</v>
      </c>
      <c r="G85" s="519">
        <f t="shared" si="7"/>
        <v>16.008000000000003</v>
      </c>
      <c r="H85" s="519">
        <f t="shared" si="7"/>
        <v>16.721052631578949</v>
      </c>
      <c r="I85" s="519">
        <f t="shared" si="7"/>
        <v>0</v>
      </c>
      <c r="J85" s="519">
        <f t="shared" si="7"/>
        <v>0</v>
      </c>
      <c r="K85" s="519">
        <f t="shared" si="7"/>
        <v>0</v>
      </c>
      <c r="L85" s="519">
        <f t="shared" si="7"/>
        <v>0</v>
      </c>
      <c r="M85" s="519">
        <f t="shared" si="7"/>
        <v>0</v>
      </c>
      <c r="N85" s="519">
        <f t="shared" si="7"/>
        <v>0</v>
      </c>
      <c r="O85" s="519">
        <f t="shared" si="7"/>
        <v>0</v>
      </c>
      <c r="P85" s="519">
        <f t="shared" si="7"/>
        <v>0</v>
      </c>
      <c r="Q85" s="519">
        <f t="shared" si="7"/>
        <v>0</v>
      </c>
      <c r="R85" s="519">
        <f t="shared" si="7"/>
        <v>0</v>
      </c>
      <c r="S85" s="519">
        <f t="shared" si="7"/>
        <v>0</v>
      </c>
      <c r="T85" s="519">
        <f t="shared" si="7"/>
        <v>0</v>
      </c>
      <c r="U85" s="519">
        <f t="shared" si="7"/>
        <v>0</v>
      </c>
      <c r="Y85" s="624">
        <v>16.438095238095237</v>
      </c>
      <c r="Z85" s="519">
        <v>16.008000000000003</v>
      </c>
      <c r="AA85" s="519">
        <v>16.721052631578949</v>
      </c>
      <c r="AB85" s="519">
        <v>0</v>
      </c>
      <c r="AC85" s="519">
        <v>0</v>
      </c>
      <c r="AD85" s="519">
        <v>0</v>
      </c>
      <c r="AE85" s="519">
        <v>0</v>
      </c>
      <c r="AF85" s="519">
        <v>0</v>
      </c>
      <c r="AG85" s="519">
        <v>0</v>
      </c>
      <c r="AH85" s="519">
        <v>0</v>
      </c>
      <c r="AI85" s="519">
        <v>0</v>
      </c>
      <c r="AJ85" s="519">
        <v>0</v>
      </c>
      <c r="AK85" s="519">
        <v>0</v>
      </c>
      <c r="AL85" s="519">
        <v>0</v>
      </c>
      <c r="AM85" s="519">
        <v>0</v>
      </c>
      <c r="AN85" s="519">
        <v>0</v>
      </c>
    </row>
    <row r="86" spans="1:40" x14ac:dyDescent="0.3">
      <c r="A86" s="489" t="s">
        <v>1454</v>
      </c>
      <c r="B86" s="489" t="s">
        <v>1686</v>
      </c>
      <c r="C86" s="489" t="s">
        <v>1813</v>
      </c>
      <c r="D86" s="489" t="s">
        <v>46</v>
      </c>
      <c r="E86" s="619">
        <v>63</v>
      </c>
      <c r="F86" s="624">
        <f t="shared" si="6"/>
        <v>0</v>
      </c>
      <c r="G86" s="519">
        <f t="shared" si="7"/>
        <v>0</v>
      </c>
      <c r="H86" s="519">
        <f t="shared" si="7"/>
        <v>0</v>
      </c>
      <c r="I86" s="519">
        <f t="shared" si="7"/>
        <v>0</v>
      </c>
      <c r="J86" s="519">
        <f t="shared" si="7"/>
        <v>0</v>
      </c>
      <c r="K86" s="519">
        <f t="shared" si="7"/>
        <v>0</v>
      </c>
      <c r="L86" s="519">
        <f t="shared" si="7"/>
        <v>0</v>
      </c>
      <c r="M86" s="519">
        <f t="shared" si="7"/>
        <v>0</v>
      </c>
      <c r="N86" s="519">
        <f t="shared" si="7"/>
        <v>0</v>
      </c>
      <c r="O86" s="519">
        <f t="shared" si="7"/>
        <v>0</v>
      </c>
      <c r="P86" s="519">
        <f t="shared" si="7"/>
        <v>0</v>
      </c>
      <c r="Q86" s="519">
        <f t="shared" si="7"/>
        <v>0</v>
      </c>
      <c r="R86" s="519">
        <f t="shared" si="7"/>
        <v>0</v>
      </c>
      <c r="S86" s="519">
        <f t="shared" si="7"/>
        <v>0</v>
      </c>
      <c r="T86" s="519">
        <f t="shared" si="7"/>
        <v>0</v>
      </c>
      <c r="U86" s="519">
        <f t="shared" si="7"/>
        <v>0</v>
      </c>
      <c r="Y86" s="624">
        <v>0</v>
      </c>
      <c r="Z86" s="519">
        <v>0</v>
      </c>
      <c r="AA86" s="519">
        <v>0</v>
      </c>
      <c r="AB86" s="519">
        <v>0</v>
      </c>
      <c r="AC86" s="519">
        <v>0</v>
      </c>
      <c r="AD86" s="519">
        <v>0</v>
      </c>
      <c r="AE86" s="519">
        <v>0</v>
      </c>
      <c r="AF86" s="519">
        <v>0</v>
      </c>
      <c r="AG86" s="519">
        <v>0</v>
      </c>
      <c r="AH86" s="519">
        <v>0</v>
      </c>
      <c r="AI86" s="519">
        <v>0</v>
      </c>
      <c r="AJ86" s="519">
        <v>0</v>
      </c>
      <c r="AK86" s="519">
        <v>0</v>
      </c>
      <c r="AL86" s="519">
        <v>0</v>
      </c>
      <c r="AM86" s="519">
        <v>0</v>
      </c>
      <c r="AN86" s="519">
        <v>0</v>
      </c>
    </row>
    <row r="87" spans="1:40" x14ac:dyDescent="0.3">
      <c r="A87" s="489" t="s">
        <v>1432</v>
      </c>
      <c r="B87" s="489" t="s">
        <v>1687</v>
      </c>
      <c r="C87" s="489" t="s">
        <v>1814</v>
      </c>
      <c r="D87" s="489" t="s">
        <v>46</v>
      </c>
      <c r="E87" s="619">
        <v>61</v>
      </c>
      <c r="F87" s="624">
        <f t="shared" si="6"/>
        <v>0</v>
      </c>
      <c r="G87" s="519">
        <f t="shared" si="7"/>
        <v>0</v>
      </c>
      <c r="H87" s="519">
        <f t="shared" si="7"/>
        <v>0</v>
      </c>
      <c r="I87" s="519">
        <f t="shared" si="7"/>
        <v>0</v>
      </c>
      <c r="J87" s="519">
        <f t="shared" si="7"/>
        <v>0</v>
      </c>
      <c r="K87" s="519">
        <f t="shared" si="7"/>
        <v>0</v>
      </c>
      <c r="L87" s="519">
        <f t="shared" si="7"/>
        <v>0</v>
      </c>
      <c r="M87" s="519">
        <f t="shared" si="7"/>
        <v>0</v>
      </c>
      <c r="N87" s="519">
        <f t="shared" si="7"/>
        <v>0</v>
      </c>
      <c r="O87" s="519">
        <f t="shared" si="7"/>
        <v>0</v>
      </c>
      <c r="P87" s="519">
        <f t="shared" si="7"/>
        <v>0</v>
      </c>
      <c r="Q87" s="519">
        <f t="shared" si="7"/>
        <v>0</v>
      </c>
      <c r="R87" s="519">
        <f t="shared" si="7"/>
        <v>0</v>
      </c>
      <c r="S87" s="519">
        <f t="shared" si="7"/>
        <v>0</v>
      </c>
      <c r="T87" s="519">
        <f t="shared" si="7"/>
        <v>0</v>
      </c>
      <c r="U87" s="519">
        <f t="shared" si="7"/>
        <v>0</v>
      </c>
      <c r="Y87" s="624">
        <v>0</v>
      </c>
      <c r="Z87" s="519">
        <v>0</v>
      </c>
      <c r="AA87" s="519">
        <v>0</v>
      </c>
      <c r="AB87" s="519">
        <v>0</v>
      </c>
      <c r="AC87" s="519">
        <v>0</v>
      </c>
      <c r="AD87" s="519">
        <v>0</v>
      </c>
      <c r="AE87" s="519">
        <v>0</v>
      </c>
      <c r="AF87" s="519">
        <v>0</v>
      </c>
      <c r="AG87" s="519">
        <v>0</v>
      </c>
      <c r="AH87" s="519">
        <v>0</v>
      </c>
      <c r="AI87" s="519">
        <v>0</v>
      </c>
      <c r="AJ87" s="519">
        <v>0</v>
      </c>
      <c r="AK87" s="519">
        <v>0</v>
      </c>
      <c r="AL87" s="519">
        <v>0</v>
      </c>
      <c r="AM87" s="519">
        <v>0</v>
      </c>
      <c r="AN87" s="519">
        <v>0</v>
      </c>
    </row>
    <row r="88" spans="1:40" x14ac:dyDescent="0.3">
      <c r="A88" s="489" t="s">
        <v>1677</v>
      </c>
      <c r="B88" s="489" t="s">
        <v>1688</v>
      </c>
      <c r="C88" s="489" t="s">
        <v>1815</v>
      </c>
      <c r="D88" s="489" t="s">
        <v>141</v>
      </c>
      <c r="E88" s="619">
        <v>59</v>
      </c>
      <c r="F88" s="624">
        <f t="shared" si="6"/>
        <v>15.4</v>
      </c>
      <c r="G88" s="519">
        <f t="shared" si="7"/>
        <v>15.4</v>
      </c>
      <c r="H88" s="519">
        <f t="shared" si="7"/>
        <v>0</v>
      </c>
      <c r="I88" s="519">
        <f t="shared" si="7"/>
        <v>0</v>
      </c>
      <c r="J88" s="519">
        <f t="shared" si="7"/>
        <v>0</v>
      </c>
      <c r="K88" s="519">
        <f t="shared" si="7"/>
        <v>0</v>
      </c>
      <c r="L88" s="519">
        <f t="shared" si="7"/>
        <v>0</v>
      </c>
      <c r="M88" s="519">
        <f t="shared" si="7"/>
        <v>0</v>
      </c>
      <c r="N88" s="519">
        <f t="shared" si="7"/>
        <v>0</v>
      </c>
      <c r="O88" s="519">
        <f t="shared" si="7"/>
        <v>0</v>
      </c>
      <c r="P88" s="519">
        <f t="shared" si="7"/>
        <v>0</v>
      </c>
      <c r="Q88" s="519">
        <f t="shared" si="7"/>
        <v>0</v>
      </c>
      <c r="R88" s="519">
        <f t="shared" si="7"/>
        <v>0</v>
      </c>
      <c r="S88" s="519">
        <f t="shared" si="7"/>
        <v>0</v>
      </c>
      <c r="T88" s="519">
        <f t="shared" si="7"/>
        <v>0</v>
      </c>
      <c r="U88" s="519">
        <f t="shared" si="7"/>
        <v>0</v>
      </c>
      <c r="Y88" s="624">
        <v>15.4</v>
      </c>
      <c r="Z88" s="519">
        <v>15.4</v>
      </c>
      <c r="AA88" s="519">
        <v>0</v>
      </c>
      <c r="AB88" s="519">
        <v>0</v>
      </c>
      <c r="AC88" s="519">
        <v>0</v>
      </c>
      <c r="AD88" s="519">
        <v>0</v>
      </c>
      <c r="AE88" s="519">
        <v>0</v>
      </c>
      <c r="AF88" s="519">
        <v>0</v>
      </c>
      <c r="AG88" s="519">
        <v>0</v>
      </c>
      <c r="AH88" s="519">
        <v>0</v>
      </c>
      <c r="AI88" s="519">
        <v>0</v>
      </c>
      <c r="AJ88" s="519">
        <v>0</v>
      </c>
      <c r="AK88" s="519">
        <v>0</v>
      </c>
      <c r="AL88" s="519">
        <v>0</v>
      </c>
      <c r="AM88" s="519">
        <v>0</v>
      </c>
      <c r="AN88" s="519">
        <v>0</v>
      </c>
    </row>
    <row r="89" spans="1:40" x14ac:dyDescent="0.3">
      <c r="A89" s="489" t="s">
        <v>1414</v>
      </c>
      <c r="B89" s="489" t="s">
        <v>1689</v>
      </c>
      <c r="C89" s="489" t="s">
        <v>1816</v>
      </c>
      <c r="D89" s="489" t="s">
        <v>1929</v>
      </c>
      <c r="E89" s="619">
        <v>58</v>
      </c>
      <c r="F89" s="624">
        <f t="shared" si="6"/>
        <v>0</v>
      </c>
      <c r="G89" s="519">
        <f t="shared" si="7"/>
        <v>0</v>
      </c>
      <c r="H89" s="519">
        <f t="shared" si="7"/>
        <v>0</v>
      </c>
      <c r="I89" s="519">
        <f t="shared" si="7"/>
        <v>0</v>
      </c>
      <c r="J89" s="519">
        <f t="shared" si="7"/>
        <v>0</v>
      </c>
      <c r="K89" s="519">
        <f t="shared" si="7"/>
        <v>0</v>
      </c>
      <c r="L89" s="519">
        <f t="shared" si="7"/>
        <v>0</v>
      </c>
      <c r="M89" s="519">
        <f t="shared" si="7"/>
        <v>0</v>
      </c>
      <c r="N89" s="519">
        <f t="shared" si="7"/>
        <v>0</v>
      </c>
      <c r="O89" s="519">
        <f t="shared" si="7"/>
        <v>0</v>
      </c>
      <c r="P89" s="519">
        <f t="shared" si="7"/>
        <v>0</v>
      </c>
      <c r="Q89" s="519">
        <f t="shared" si="7"/>
        <v>0</v>
      </c>
      <c r="R89" s="519">
        <f t="shared" si="7"/>
        <v>0</v>
      </c>
      <c r="S89" s="519">
        <f t="shared" si="7"/>
        <v>0</v>
      </c>
      <c r="T89" s="519">
        <f t="shared" si="7"/>
        <v>0</v>
      </c>
      <c r="U89" s="519">
        <f t="shared" si="7"/>
        <v>0</v>
      </c>
      <c r="Y89" s="624">
        <v>0</v>
      </c>
      <c r="Z89" s="519">
        <v>0</v>
      </c>
      <c r="AA89" s="519">
        <v>0</v>
      </c>
      <c r="AB89" s="519">
        <v>0</v>
      </c>
      <c r="AC89" s="519">
        <v>0</v>
      </c>
      <c r="AD89" s="519">
        <v>0</v>
      </c>
      <c r="AE89" s="519">
        <v>0</v>
      </c>
      <c r="AF89" s="519">
        <v>0</v>
      </c>
      <c r="AG89" s="519">
        <v>0</v>
      </c>
      <c r="AH89" s="519">
        <v>0</v>
      </c>
      <c r="AI89" s="519">
        <v>0</v>
      </c>
      <c r="AJ89" s="519">
        <v>0</v>
      </c>
      <c r="AK89" s="519">
        <v>0</v>
      </c>
      <c r="AL89" s="519">
        <v>0</v>
      </c>
      <c r="AM89" s="519">
        <v>0</v>
      </c>
      <c r="AN89" s="519">
        <v>0</v>
      </c>
    </row>
    <row r="90" spans="1:40" x14ac:dyDescent="0.3">
      <c r="A90" s="489" t="s">
        <v>1414</v>
      </c>
      <c r="B90" s="489" t="s">
        <v>1690</v>
      </c>
      <c r="C90" s="489" t="s">
        <v>1817</v>
      </c>
      <c r="D90" s="489" t="s">
        <v>46</v>
      </c>
      <c r="E90" s="619">
        <v>58</v>
      </c>
      <c r="F90" s="624">
        <f t="shared" si="6"/>
        <v>0</v>
      </c>
      <c r="G90" s="519">
        <f t="shared" si="7"/>
        <v>0</v>
      </c>
      <c r="H90" s="519">
        <f t="shared" si="7"/>
        <v>0</v>
      </c>
      <c r="I90" s="519">
        <f t="shared" si="7"/>
        <v>0</v>
      </c>
      <c r="J90" s="519">
        <f t="shared" si="7"/>
        <v>0</v>
      </c>
      <c r="K90" s="519">
        <f t="shared" si="7"/>
        <v>0</v>
      </c>
      <c r="L90" s="519">
        <f t="shared" si="7"/>
        <v>0</v>
      </c>
      <c r="M90" s="519">
        <f t="shared" si="7"/>
        <v>0</v>
      </c>
      <c r="N90" s="519">
        <f t="shared" si="7"/>
        <v>0</v>
      </c>
      <c r="O90" s="519">
        <f t="shared" si="7"/>
        <v>0</v>
      </c>
      <c r="P90" s="519">
        <f t="shared" si="7"/>
        <v>0</v>
      </c>
      <c r="Q90" s="519">
        <f t="shared" si="7"/>
        <v>0</v>
      </c>
      <c r="R90" s="519">
        <f t="shared" si="7"/>
        <v>0</v>
      </c>
      <c r="S90" s="519">
        <f t="shared" si="7"/>
        <v>0</v>
      </c>
      <c r="T90" s="519">
        <f t="shared" si="7"/>
        <v>0</v>
      </c>
      <c r="U90" s="519">
        <f t="shared" si="7"/>
        <v>0</v>
      </c>
      <c r="Y90" s="624">
        <v>0</v>
      </c>
      <c r="Z90" s="519">
        <v>0</v>
      </c>
      <c r="AA90" s="519">
        <v>0</v>
      </c>
      <c r="AB90" s="519">
        <v>0</v>
      </c>
      <c r="AC90" s="519">
        <v>0</v>
      </c>
      <c r="AD90" s="519">
        <v>0</v>
      </c>
      <c r="AE90" s="519">
        <v>0</v>
      </c>
      <c r="AF90" s="519">
        <v>0</v>
      </c>
      <c r="AG90" s="519">
        <v>0</v>
      </c>
      <c r="AH90" s="519">
        <v>0</v>
      </c>
      <c r="AI90" s="519">
        <v>0</v>
      </c>
      <c r="AJ90" s="519">
        <v>0</v>
      </c>
      <c r="AK90" s="519">
        <v>0</v>
      </c>
      <c r="AL90" s="519">
        <v>0</v>
      </c>
      <c r="AM90" s="519">
        <v>0</v>
      </c>
      <c r="AN90" s="519">
        <v>0</v>
      </c>
    </row>
    <row r="91" spans="1:40" x14ac:dyDescent="0.3">
      <c r="A91" s="489" t="s">
        <v>1414</v>
      </c>
      <c r="B91" s="489" t="s">
        <v>1691</v>
      </c>
      <c r="C91" s="489" t="s">
        <v>1818</v>
      </c>
      <c r="D91" s="489" t="s">
        <v>46</v>
      </c>
      <c r="E91" s="619">
        <v>57</v>
      </c>
      <c r="F91" s="624">
        <f t="shared" si="6"/>
        <v>0</v>
      </c>
      <c r="G91" s="519">
        <f t="shared" si="7"/>
        <v>0</v>
      </c>
      <c r="H91" s="519">
        <f t="shared" si="7"/>
        <v>0</v>
      </c>
      <c r="I91" s="519">
        <f t="shared" si="7"/>
        <v>0</v>
      </c>
      <c r="J91" s="519">
        <f t="shared" si="7"/>
        <v>0</v>
      </c>
      <c r="K91" s="519">
        <f t="shared" si="7"/>
        <v>0</v>
      </c>
      <c r="L91" s="519">
        <f t="shared" si="7"/>
        <v>0</v>
      </c>
      <c r="M91" s="519">
        <f t="shared" si="7"/>
        <v>0</v>
      </c>
      <c r="N91" s="519">
        <f t="shared" si="7"/>
        <v>0</v>
      </c>
      <c r="O91" s="519">
        <f t="shared" si="7"/>
        <v>0</v>
      </c>
      <c r="P91" s="519">
        <f t="shared" si="7"/>
        <v>0</v>
      </c>
      <c r="Q91" s="519">
        <f t="shared" si="7"/>
        <v>0</v>
      </c>
      <c r="R91" s="519">
        <f t="shared" si="7"/>
        <v>0</v>
      </c>
      <c r="S91" s="519">
        <f t="shared" si="7"/>
        <v>0</v>
      </c>
      <c r="T91" s="519">
        <f t="shared" si="7"/>
        <v>0</v>
      </c>
      <c r="U91" s="519">
        <f t="shared" si="7"/>
        <v>0</v>
      </c>
      <c r="Y91" s="624">
        <v>0</v>
      </c>
      <c r="Z91" s="519">
        <v>0</v>
      </c>
      <c r="AA91" s="519">
        <v>0</v>
      </c>
      <c r="AB91" s="519">
        <v>0</v>
      </c>
      <c r="AC91" s="519">
        <v>0</v>
      </c>
      <c r="AD91" s="519">
        <v>0</v>
      </c>
      <c r="AE91" s="519">
        <v>0</v>
      </c>
      <c r="AF91" s="519">
        <v>0</v>
      </c>
      <c r="AG91" s="519">
        <v>0</v>
      </c>
      <c r="AH91" s="519">
        <v>0</v>
      </c>
      <c r="AI91" s="519">
        <v>0</v>
      </c>
      <c r="AJ91" s="519">
        <v>0</v>
      </c>
      <c r="AK91" s="519">
        <v>0</v>
      </c>
      <c r="AL91" s="519">
        <v>0</v>
      </c>
      <c r="AM91" s="519">
        <v>0</v>
      </c>
      <c r="AN91" s="519">
        <v>0</v>
      </c>
    </row>
    <row r="92" spans="1:40" x14ac:dyDescent="0.3">
      <c r="A92" s="489" t="s">
        <v>1605</v>
      </c>
      <c r="B92" s="489" t="s">
        <v>1659</v>
      </c>
      <c r="C92" s="489" t="s">
        <v>1819</v>
      </c>
      <c r="D92" s="489" t="s">
        <v>46</v>
      </c>
      <c r="E92" s="619">
        <v>56</v>
      </c>
      <c r="F92" s="624">
        <f t="shared" si="6"/>
        <v>0</v>
      </c>
      <c r="G92" s="519">
        <f t="shared" si="7"/>
        <v>0</v>
      </c>
      <c r="H92" s="519">
        <f t="shared" si="7"/>
        <v>0</v>
      </c>
      <c r="I92" s="519">
        <f t="shared" si="7"/>
        <v>0</v>
      </c>
      <c r="J92" s="519">
        <f t="shared" si="7"/>
        <v>0</v>
      </c>
      <c r="K92" s="519">
        <f t="shared" si="7"/>
        <v>0</v>
      </c>
      <c r="L92" s="519">
        <f t="shared" si="7"/>
        <v>0</v>
      </c>
      <c r="M92" s="519">
        <f t="shared" si="7"/>
        <v>0</v>
      </c>
      <c r="N92" s="519">
        <f t="shared" si="7"/>
        <v>0</v>
      </c>
      <c r="O92" s="519">
        <f t="shared" si="7"/>
        <v>0</v>
      </c>
      <c r="P92" s="519">
        <f t="shared" si="7"/>
        <v>0</v>
      </c>
      <c r="Q92" s="519">
        <f t="shared" si="7"/>
        <v>0</v>
      </c>
      <c r="R92" s="519">
        <f t="shared" si="7"/>
        <v>0</v>
      </c>
      <c r="S92" s="519">
        <f t="shared" si="7"/>
        <v>0</v>
      </c>
      <c r="T92" s="519">
        <f t="shared" si="7"/>
        <v>0</v>
      </c>
      <c r="U92" s="519">
        <f t="shared" si="7"/>
        <v>0</v>
      </c>
      <c r="Y92" s="624">
        <v>0</v>
      </c>
      <c r="Z92" s="519">
        <v>0</v>
      </c>
      <c r="AA92" s="519">
        <v>0</v>
      </c>
      <c r="AB92" s="519">
        <v>0</v>
      </c>
      <c r="AC92" s="519">
        <v>0</v>
      </c>
      <c r="AD92" s="519">
        <v>0</v>
      </c>
      <c r="AE92" s="519">
        <v>0</v>
      </c>
      <c r="AF92" s="519">
        <v>0</v>
      </c>
      <c r="AG92" s="519">
        <v>0</v>
      </c>
      <c r="AH92" s="519">
        <v>0</v>
      </c>
      <c r="AI92" s="519">
        <v>0</v>
      </c>
      <c r="AJ92" s="519">
        <v>0</v>
      </c>
      <c r="AK92" s="519">
        <v>0</v>
      </c>
      <c r="AL92" s="519">
        <v>0</v>
      </c>
      <c r="AM92" s="519">
        <v>0</v>
      </c>
      <c r="AN92" s="519">
        <v>0</v>
      </c>
    </row>
    <row r="93" spans="1:40" x14ac:dyDescent="0.3">
      <c r="A93" s="489" t="s">
        <v>1422</v>
      </c>
      <c r="B93" s="489" t="s">
        <v>1692</v>
      </c>
      <c r="C93" s="489" t="s">
        <v>1820</v>
      </c>
      <c r="D93" s="489" t="s">
        <v>46</v>
      </c>
      <c r="E93" s="619">
        <v>55</v>
      </c>
      <c r="F93" s="624">
        <f t="shared" si="6"/>
        <v>0</v>
      </c>
      <c r="G93" s="519">
        <f t="shared" si="7"/>
        <v>0</v>
      </c>
      <c r="H93" s="519">
        <f t="shared" si="7"/>
        <v>0</v>
      </c>
      <c r="I93" s="519">
        <f t="shared" si="7"/>
        <v>0</v>
      </c>
      <c r="J93" s="519">
        <f t="shared" si="7"/>
        <v>0</v>
      </c>
      <c r="K93" s="519">
        <f t="shared" si="7"/>
        <v>0</v>
      </c>
      <c r="L93" s="519">
        <f t="shared" si="7"/>
        <v>0</v>
      </c>
      <c r="M93" s="519">
        <f t="shared" si="7"/>
        <v>0</v>
      </c>
      <c r="N93" s="519">
        <f t="shared" si="7"/>
        <v>0</v>
      </c>
      <c r="O93" s="519">
        <f t="shared" si="7"/>
        <v>0</v>
      </c>
      <c r="P93" s="519">
        <f t="shared" si="7"/>
        <v>0</v>
      </c>
      <c r="Q93" s="519">
        <f t="shared" si="7"/>
        <v>0</v>
      </c>
      <c r="R93" s="519">
        <f t="shared" si="7"/>
        <v>0</v>
      </c>
      <c r="S93" s="519">
        <f t="shared" si="7"/>
        <v>0</v>
      </c>
      <c r="T93" s="519">
        <f t="shared" si="7"/>
        <v>0</v>
      </c>
      <c r="U93" s="519">
        <f t="shared" si="7"/>
        <v>0</v>
      </c>
      <c r="Y93" s="624">
        <v>0</v>
      </c>
      <c r="Z93" s="519">
        <v>0</v>
      </c>
      <c r="AA93" s="519">
        <v>0</v>
      </c>
      <c r="AB93" s="519">
        <v>0</v>
      </c>
      <c r="AC93" s="519">
        <v>0</v>
      </c>
      <c r="AD93" s="519">
        <v>0</v>
      </c>
      <c r="AE93" s="519">
        <v>0</v>
      </c>
      <c r="AF93" s="519">
        <v>0</v>
      </c>
      <c r="AG93" s="519">
        <v>0</v>
      </c>
      <c r="AH93" s="519">
        <v>0</v>
      </c>
      <c r="AI93" s="519">
        <v>0</v>
      </c>
      <c r="AJ93" s="519">
        <v>0</v>
      </c>
      <c r="AK93" s="519">
        <v>0</v>
      </c>
      <c r="AL93" s="519">
        <v>0</v>
      </c>
      <c r="AM93" s="519">
        <v>0</v>
      </c>
      <c r="AN93" s="519">
        <v>0</v>
      </c>
    </row>
    <row r="94" spans="1:40" x14ac:dyDescent="0.3">
      <c r="A94" s="489" t="s">
        <v>1451</v>
      </c>
      <c r="B94" s="489" t="s">
        <v>1693</v>
      </c>
      <c r="C94" s="489" t="s">
        <v>1821</v>
      </c>
      <c r="D94" s="489" t="s">
        <v>141</v>
      </c>
      <c r="E94" s="619">
        <v>54</v>
      </c>
      <c r="F94" s="624">
        <f t="shared" si="6"/>
        <v>15.8</v>
      </c>
      <c r="G94" s="519">
        <f t="shared" si="7"/>
        <v>15.8</v>
      </c>
      <c r="H94" s="519">
        <f t="shared" si="7"/>
        <v>15.8</v>
      </c>
      <c r="I94" s="519">
        <f t="shared" si="7"/>
        <v>15.8</v>
      </c>
      <c r="J94" s="519">
        <f t="shared" si="7"/>
        <v>15.8</v>
      </c>
      <c r="K94" s="519">
        <f t="shared" si="7"/>
        <v>15.8</v>
      </c>
      <c r="L94" s="519">
        <f t="shared" si="7"/>
        <v>15.8</v>
      </c>
      <c r="M94" s="519">
        <f t="shared" si="7"/>
        <v>0</v>
      </c>
      <c r="N94" s="519">
        <f t="shared" si="7"/>
        <v>0</v>
      </c>
      <c r="O94" s="519">
        <f t="shared" si="7"/>
        <v>0</v>
      </c>
      <c r="P94" s="519">
        <f t="shared" si="7"/>
        <v>0</v>
      </c>
      <c r="Q94" s="519">
        <f t="shared" si="7"/>
        <v>0</v>
      </c>
      <c r="R94" s="519">
        <f t="shared" si="7"/>
        <v>0</v>
      </c>
      <c r="S94" s="519">
        <f t="shared" si="7"/>
        <v>0</v>
      </c>
      <c r="T94" s="519">
        <f t="shared" si="7"/>
        <v>0</v>
      </c>
      <c r="U94" s="519">
        <f t="shared" si="7"/>
        <v>0</v>
      </c>
      <c r="Y94" s="624">
        <v>15.8</v>
      </c>
      <c r="Z94" s="519">
        <v>0</v>
      </c>
      <c r="AA94" s="519">
        <v>0</v>
      </c>
      <c r="AB94" s="519">
        <v>0</v>
      </c>
      <c r="AC94" s="519">
        <v>0</v>
      </c>
      <c r="AD94" s="519">
        <v>15.8</v>
      </c>
      <c r="AE94" s="519">
        <v>15.8</v>
      </c>
      <c r="AF94" s="519">
        <v>0</v>
      </c>
      <c r="AG94" s="519">
        <v>0</v>
      </c>
      <c r="AH94" s="519">
        <v>0</v>
      </c>
      <c r="AI94" s="519">
        <v>0</v>
      </c>
      <c r="AJ94" s="519">
        <v>0</v>
      </c>
      <c r="AK94" s="519">
        <v>0</v>
      </c>
      <c r="AL94" s="519">
        <v>0</v>
      </c>
      <c r="AM94" s="519">
        <v>0</v>
      </c>
      <c r="AN94" s="519">
        <v>0</v>
      </c>
    </row>
    <row r="95" spans="1:40" x14ac:dyDescent="0.3">
      <c r="A95" s="489" t="s">
        <v>1694</v>
      </c>
      <c r="B95" s="489" t="s">
        <v>1695</v>
      </c>
      <c r="C95" s="489" t="s">
        <v>1822</v>
      </c>
      <c r="D95" s="489" t="s">
        <v>46</v>
      </c>
      <c r="E95" s="619">
        <v>51</v>
      </c>
      <c r="F95" s="624">
        <f t="shared" si="6"/>
        <v>0</v>
      </c>
      <c r="G95" s="519">
        <f t="shared" si="7"/>
        <v>0</v>
      </c>
      <c r="H95" s="519">
        <f t="shared" si="7"/>
        <v>0</v>
      </c>
      <c r="I95" s="519">
        <f t="shared" si="7"/>
        <v>0</v>
      </c>
      <c r="J95" s="519">
        <f t="shared" si="7"/>
        <v>0</v>
      </c>
      <c r="K95" s="519">
        <f t="shared" si="7"/>
        <v>0</v>
      </c>
      <c r="L95" s="519">
        <f t="shared" si="7"/>
        <v>0</v>
      </c>
      <c r="M95" s="519">
        <f t="shared" si="7"/>
        <v>0</v>
      </c>
      <c r="N95" s="519">
        <f t="shared" si="7"/>
        <v>0</v>
      </c>
      <c r="O95" s="519">
        <f t="shared" si="7"/>
        <v>0</v>
      </c>
      <c r="P95" s="519">
        <f t="shared" si="7"/>
        <v>0</v>
      </c>
      <c r="Q95" s="519">
        <f t="shared" si="7"/>
        <v>0</v>
      </c>
      <c r="R95" s="519">
        <f t="shared" si="7"/>
        <v>0</v>
      </c>
      <c r="S95" s="519">
        <f t="shared" si="7"/>
        <v>0</v>
      </c>
      <c r="T95" s="519">
        <f t="shared" si="7"/>
        <v>0</v>
      </c>
      <c r="U95" s="519">
        <f t="shared" si="7"/>
        <v>0</v>
      </c>
      <c r="Y95" s="624">
        <v>0</v>
      </c>
      <c r="Z95" s="519">
        <v>0</v>
      </c>
      <c r="AA95" s="519">
        <v>0</v>
      </c>
      <c r="AB95" s="519">
        <v>0</v>
      </c>
      <c r="AC95" s="519">
        <v>0</v>
      </c>
      <c r="AD95" s="519">
        <v>0</v>
      </c>
      <c r="AE95" s="519">
        <v>0</v>
      </c>
      <c r="AF95" s="519">
        <v>0</v>
      </c>
      <c r="AG95" s="519">
        <v>0</v>
      </c>
      <c r="AH95" s="519">
        <v>0</v>
      </c>
      <c r="AI95" s="519">
        <v>0</v>
      </c>
      <c r="AJ95" s="519">
        <v>0</v>
      </c>
      <c r="AK95" s="519">
        <v>0</v>
      </c>
      <c r="AL95" s="519">
        <v>0</v>
      </c>
      <c r="AM95" s="519">
        <v>0</v>
      </c>
      <c r="AN95" s="519">
        <v>0</v>
      </c>
    </row>
    <row r="96" spans="1:40" x14ac:dyDescent="0.3">
      <c r="A96" s="489" t="s">
        <v>1544</v>
      </c>
      <c r="B96" s="489" t="s">
        <v>1696</v>
      </c>
      <c r="C96" s="489" t="s">
        <v>1823</v>
      </c>
      <c r="D96" s="489" t="s">
        <v>46</v>
      </c>
      <c r="E96" s="619">
        <v>50</v>
      </c>
      <c r="F96" s="624">
        <f t="shared" si="6"/>
        <v>0</v>
      </c>
      <c r="G96" s="519">
        <f t="shared" si="7"/>
        <v>0</v>
      </c>
      <c r="H96" s="519">
        <f t="shared" si="7"/>
        <v>0</v>
      </c>
      <c r="I96" s="519">
        <f t="shared" si="7"/>
        <v>0</v>
      </c>
      <c r="J96" s="519">
        <f t="shared" si="7"/>
        <v>0</v>
      </c>
      <c r="K96" s="519">
        <f t="shared" si="7"/>
        <v>0</v>
      </c>
      <c r="L96" s="519">
        <f t="shared" si="7"/>
        <v>0</v>
      </c>
      <c r="M96" s="519">
        <f t="shared" si="7"/>
        <v>0</v>
      </c>
      <c r="N96" s="519">
        <f t="shared" si="7"/>
        <v>0</v>
      </c>
      <c r="O96" s="519">
        <f t="shared" si="7"/>
        <v>0</v>
      </c>
      <c r="P96" s="519">
        <f t="shared" si="7"/>
        <v>0</v>
      </c>
      <c r="Q96" s="519">
        <f t="shared" si="7"/>
        <v>0</v>
      </c>
      <c r="R96" s="519">
        <f t="shared" si="7"/>
        <v>0</v>
      </c>
      <c r="S96" s="519">
        <f t="shared" si="7"/>
        <v>0</v>
      </c>
      <c r="T96" s="519">
        <f t="shared" si="7"/>
        <v>0</v>
      </c>
      <c r="U96" s="519">
        <f t="shared" si="7"/>
        <v>0</v>
      </c>
      <c r="Y96" s="624">
        <v>0</v>
      </c>
      <c r="Z96" s="519">
        <v>0</v>
      </c>
      <c r="AA96" s="519">
        <v>0</v>
      </c>
      <c r="AB96" s="519">
        <v>0</v>
      </c>
      <c r="AC96" s="519">
        <v>0</v>
      </c>
      <c r="AD96" s="519">
        <v>0</v>
      </c>
      <c r="AE96" s="519">
        <v>0</v>
      </c>
      <c r="AF96" s="519">
        <v>0</v>
      </c>
      <c r="AG96" s="519">
        <v>0</v>
      </c>
      <c r="AH96" s="519">
        <v>0</v>
      </c>
      <c r="AI96" s="519">
        <v>0</v>
      </c>
      <c r="AJ96" s="519">
        <v>0</v>
      </c>
      <c r="AK96" s="519">
        <v>0</v>
      </c>
      <c r="AL96" s="519">
        <v>0</v>
      </c>
      <c r="AM96" s="519">
        <v>0</v>
      </c>
      <c r="AN96" s="519">
        <v>0</v>
      </c>
    </row>
    <row r="97" spans="1:40" x14ac:dyDescent="0.3">
      <c r="A97" s="489" t="s">
        <v>1544</v>
      </c>
      <c r="B97" s="489" t="s">
        <v>1697</v>
      </c>
      <c r="C97" s="489" t="s">
        <v>1824</v>
      </c>
      <c r="D97" s="489" t="s">
        <v>46</v>
      </c>
      <c r="E97" s="619">
        <v>50</v>
      </c>
      <c r="F97" s="624">
        <f t="shared" si="6"/>
        <v>0</v>
      </c>
      <c r="G97" s="519">
        <f t="shared" si="7"/>
        <v>0</v>
      </c>
      <c r="H97" s="519">
        <f t="shared" si="7"/>
        <v>0</v>
      </c>
      <c r="I97" s="519">
        <f t="shared" si="7"/>
        <v>0</v>
      </c>
      <c r="J97" s="519">
        <f t="shared" si="7"/>
        <v>0</v>
      </c>
      <c r="K97" s="519">
        <f t="shared" si="7"/>
        <v>0</v>
      </c>
      <c r="L97" s="519">
        <f t="shared" si="7"/>
        <v>0</v>
      </c>
      <c r="M97" s="519">
        <f t="shared" si="7"/>
        <v>0</v>
      </c>
      <c r="N97" s="519">
        <f t="shared" si="7"/>
        <v>0</v>
      </c>
      <c r="O97" s="519">
        <f t="shared" si="7"/>
        <v>0</v>
      </c>
      <c r="P97" s="519">
        <f t="shared" si="7"/>
        <v>0</v>
      </c>
      <c r="Q97" s="519">
        <f t="shared" si="7"/>
        <v>0</v>
      </c>
      <c r="R97" s="519">
        <f t="shared" si="7"/>
        <v>0</v>
      </c>
      <c r="S97" s="519">
        <f t="shared" si="7"/>
        <v>0</v>
      </c>
      <c r="T97" s="519">
        <f t="shared" si="7"/>
        <v>0</v>
      </c>
      <c r="U97" s="519">
        <f t="shared" si="7"/>
        <v>0</v>
      </c>
      <c r="Y97" s="624">
        <v>0</v>
      </c>
      <c r="Z97" s="519">
        <v>0</v>
      </c>
      <c r="AA97" s="519">
        <v>0</v>
      </c>
      <c r="AB97" s="519">
        <v>0</v>
      </c>
      <c r="AC97" s="519">
        <v>0</v>
      </c>
      <c r="AD97" s="519">
        <v>0</v>
      </c>
      <c r="AE97" s="519">
        <v>0</v>
      </c>
      <c r="AF97" s="519">
        <v>0</v>
      </c>
      <c r="AG97" s="519">
        <v>0</v>
      </c>
      <c r="AH97" s="519">
        <v>0</v>
      </c>
      <c r="AI97" s="519">
        <v>0</v>
      </c>
      <c r="AJ97" s="519">
        <v>0</v>
      </c>
      <c r="AK97" s="519">
        <v>0</v>
      </c>
      <c r="AL97" s="519">
        <v>0</v>
      </c>
      <c r="AM97" s="519">
        <v>0</v>
      </c>
      <c r="AN97" s="519">
        <v>0</v>
      </c>
    </row>
    <row r="98" spans="1:40" x14ac:dyDescent="0.3">
      <c r="A98" s="489" t="s">
        <v>1417</v>
      </c>
      <c r="B98" s="489" t="s">
        <v>1698</v>
      </c>
      <c r="C98" s="489" t="s">
        <v>1825</v>
      </c>
      <c r="D98" s="489" t="s">
        <v>46</v>
      </c>
      <c r="E98" s="619">
        <v>49</v>
      </c>
      <c r="F98" s="624">
        <f t="shared" si="6"/>
        <v>0</v>
      </c>
      <c r="G98" s="519">
        <f t="shared" ref="G98:U113" si="8">IF(Z98&gt;0,Z98,IF(H98&gt;0,H98,0))</f>
        <v>0</v>
      </c>
      <c r="H98" s="519">
        <f t="shared" si="8"/>
        <v>0</v>
      </c>
      <c r="I98" s="519">
        <f t="shared" si="8"/>
        <v>0</v>
      </c>
      <c r="J98" s="519">
        <f t="shared" si="8"/>
        <v>0</v>
      </c>
      <c r="K98" s="519">
        <f t="shared" si="8"/>
        <v>0</v>
      </c>
      <c r="L98" s="519">
        <f t="shared" si="8"/>
        <v>0</v>
      </c>
      <c r="M98" s="519">
        <f t="shared" si="8"/>
        <v>0</v>
      </c>
      <c r="N98" s="519">
        <f t="shared" si="8"/>
        <v>0</v>
      </c>
      <c r="O98" s="519">
        <f t="shared" si="8"/>
        <v>0</v>
      </c>
      <c r="P98" s="519">
        <f t="shared" si="8"/>
        <v>0</v>
      </c>
      <c r="Q98" s="519">
        <f t="shared" si="8"/>
        <v>0</v>
      </c>
      <c r="R98" s="519">
        <f t="shared" si="8"/>
        <v>0</v>
      </c>
      <c r="S98" s="519">
        <f t="shared" si="8"/>
        <v>0</v>
      </c>
      <c r="T98" s="519">
        <f t="shared" si="8"/>
        <v>0</v>
      </c>
      <c r="U98" s="519">
        <f t="shared" si="8"/>
        <v>0</v>
      </c>
      <c r="Y98" s="624">
        <v>0</v>
      </c>
      <c r="Z98" s="519">
        <v>0</v>
      </c>
      <c r="AA98" s="519">
        <v>0</v>
      </c>
      <c r="AB98" s="519">
        <v>0</v>
      </c>
      <c r="AC98" s="519">
        <v>0</v>
      </c>
      <c r="AD98" s="519">
        <v>0</v>
      </c>
      <c r="AE98" s="519">
        <v>0</v>
      </c>
      <c r="AF98" s="519">
        <v>0</v>
      </c>
      <c r="AG98" s="519">
        <v>0</v>
      </c>
      <c r="AH98" s="519">
        <v>0</v>
      </c>
      <c r="AI98" s="519">
        <v>0</v>
      </c>
      <c r="AJ98" s="519">
        <v>0</v>
      </c>
      <c r="AK98" s="519">
        <v>0</v>
      </c>
      <c r="AL98" s="519">
        <v>0</v>
      </c>
      <c r="AM98" s="519">
        <v>0</v>
      </c>
      <c r="AN98" s="519">
        <v>0</v>
      </c>
    </row>
    <row r="99" spans="1:40" x14ac:dyDescent="0.3">
      <c r="A99" s="489" t="s">
        <v>1544</v>
      </c>
      <c r="B99" s="489" t="s">
        <v>1699</v>
      </c>
      <c r="C99" s="489" t="s">
        <v>1826</v>
      </c>
      <c r="D99" s="489" t="s">
        <v>46</v>
      </c>
      <c r="E99" s="619">
        <v>48</v>
      </c>
      <c r="F99" s="624">
        <f t="shared" si="6"/>
        <v>0</v>
      </c>
      <c r="G99" s="519">
        <f t="shared" si="8"/>
        <v>0</v>
      </c>
      <c r="H99" s="519">
        <f t="shared" si="8"/>
        <v>0</v>
      </c>
      <c r="I99" s="519">
        <f t="shared" si="8"/>
        <v>0</v>
      </c>
      <c r="J99" s="519">
        <f t="shared" si="8"/>
        <v>0</v>
      </c>
      <c r="K99" s="519">
        <f t="shared" si="8"/>
        <v>0</v>
      </c>
      <c r="L99" s="519">
        <f t="shared" si="8"/>
        <v>0</v>
      </c>
      <c r="M99" s="519">
        <f t="shared" si="8"/>
        <v>0</v>
      </c>
      <c r="N99" s="519">
        <f t="shared" si="8"/>
        <v>0</v>
      </c>
      <c r="O99" s="519">
        <f t="shared" si="8"/>
        <v>0</v>
      </c>
      <c r="P99" s="519">
        <f t="shared" si="8"/>
        <v>0</v>
      </c>
      <c r="Q99" s="519">
        <f t="shared" si="8"/>
        <v>0</v>
      </c>
      <c r="R99" s="519">
        <f t="shared" si="8"/>
        <v>0</v>
      </c>
      <c r="S99" s="519">
        <f t="shared" si="8"/>
        <v>0</v>
      </c>
      <c r="T99" s="519">
        <f t="shared" si="8"/>
        <v>0</v>
      </c>
      <c r="U99" s="519">
        <f t="shared" si="8"/>
        <v>0</v>
      </c>
      <c r="Y99" s="624">
        <v>0</v>
      </c>
      <c r="Z99" s="519">
        <v>0</v>
      </c>
      <c r="AA99" s="519">
        <v>0</v>
      </c>
      <c r="AB99" s="519">
        <v>0</v>
      </c>
      <c r="AC99" s="519">
        <v>0</v>
      </c>
      <c r="AD99" s="519">
        <v>0</v>
      </c>
      <c r="AE99" s="519">
        <v>0</v>
      </c>
      <c r="AF99" s="519">
        <v>0</v>
      </c>
      <c r="AG99" s="519">
        <v>0</v>
      </c>
      <c r="AH99" s="519">
        <v>0</v>
      </c>
      <c r="AI99" s="519">
        <v>0</v>
      </c>
      <c r="AJ99" s="519">
        <v>0</v>
      </c>
      <c r="AK99" s="519">
        <v>0</v>
      </c>
      <c r="AL99" s="519">
        <v>0</v>
      </c>
      <c r="AM99" s="519">
        <v>0</v>
      </c>
      <c r="AN99" s="519">
        <v>0</v>
      </c>
    </row>
    <row r="100" spans="1:40" x14ac:dyDescent="0.3">
      <c r="A100" s="489" t="s">
        <v>1451</v>
      </c>
      <c r="B100" s="489" t="s">
        <v>1452</v>
      </c>
      <c r="C100" s="489" t="s">
        <v>1453</v>
      </c>
      <c r="D100" s="489" t="s">
        <v>46</v>
      </c>
      <c r="E100" s="619">
        <v>48</v>
      </c>
      <c r="F100" s="624">
        <f t="shared" si="6"/>
        <v>0</v>
      </c>
      <c r="G100" s="519">
        <f t="shared" si="8"/>
        <v>0</v>
      </c>
      <c r="H100" s="519">
        <f t="shared" si="8"/>
        <v>0</v>
      </c>
      <c r="I100" s="519">
        <f t="shared" si="8"/>
        <v>0</v>
      </c>
      <c r="J100" s="519">
        <f t="shared" si="8"/>
        <v>0</v>
      </c>
      <c r="K100" s="519">
        <f t="shared" si="8"/>
        <v>0</v>
      </c>
      <c r="L100" s="519">
        <f t="shared" si="8"/>
        <v>0</v>
      </c>
      <c r="M100" s="519">
        <f t="shared" si="8"/>
        <v>0</v>
      </c>
      <c r="N100" s="519">
        <f t="shared" si="8"/>
        <v>0</v>
      </c>
      <c r="O100" s="519">
        <f t="shared" si="8"/>
        <v>0</v>
      </c>
      <c r="P100" s="519">
        <f t="shared" si="8"/>
        <v>0</v>
      </c>
      <c r="Q100" s="519">
        <f t="shared" si="8"/>
        <v>0</v>
      </c>
      <c r="R100" s="519">
        <f t="shared" si="8"/>
        <v>0</v>
      </c>
      <c r="S100" s="519">
        <f t="shared" si="8"/>
        <v>0</v>
      </c>
      <c r="T100" s="519">
        <f t="shared" si="8"/>
        <v>0</v>
      </c>
      <c r="U100" s="519">
        <f t="shared" si="8"/>
        <v>0</v>
      </c>
      <c r="Y100" s="624">
        <v>0</v>
      </c>
      <c r="Z100" s="519">
        <v>0</v>
      </c>
      <c r="AA100" s="519">
        <v>0</v>
      </c>
      <c r="AB100" s="519">
        <v>0</v>
      </c>
      <c r="AC100" s="519">
        <v>0</v>
      </c>
      <c r="AD100" s="519">
        <v>0</v>
      </c>
      <c r="AE100" s="519">
        <v>0</v>
      </c>
      <c r="AF100" s="519">
        <v>0</v>
      </c>
      <c r="AG100" s="519">
        <v>0</v>
      </c>
      <c r="AH100" s="519">
        <v>0</v>
      </c>
      <c r="AI100" s="519">
        <v>0</v>
      </c>
      <c r="AJ100" s="519">
        <v>0</v>
      </c>
      <c r="AK100" s="519">
        <v>0</v>
      </c>
      <c r="AL100" s="519">
        <v>0</v>
      </c>
      <c r="AM100" s="519">
        <v>0</v>
      </c>
      <c r="AN100" s="519">
        <v>0</v>
      </c>
    </row>
    <row r="101" spans="1:40" x14ac:dyDescent="0.3">
      <c r="A101" s="489" t="s">
        <v>1605</v>
      </c>
      <c r="B101" s="489" t="s">
        <v>1660</v>
      </c>
      <c r="C101" s="489" t="s">
        <v>435</v>
      </c>
      <c r="D101" s="489" t="s">
        <v>46</v>
      </c>
      <c r="E101" s="619">
        <v>47</v>
      </c>
      <c r="F101" s="624">
        <f t="shared" si="6"/>
        <v>0</v>
      </c>
      <c r="G101" s="519">
        <f t="shared" si="8"/>
        <v>0</v>
      </c>
      <c r="H101" s="519">
        <f t="shared" si="8"/>
        <v>0</v>
      </c>
      <c r="I101" s="519">
        <f t="shared" si="8"/>
        <v>0</v>
      </c>
      <c r="J101" s="519">
        <f t="shared" si="8"/>
        <v>0</v>
      </c>
      <c r="K101" s="519">
        <f t="shared" si="8"/>
        <v>0</v>
      </c>
      <c r="L101" s="519">
        <f t="shared" si="8"/>
        <v>0</v>
      </c>
      <c r="M101" s="519">
        <f t="shared" si="8"/>
        <v>0</v>
      </c>
      <c r="N101" s="519">
        <f t="shared" si="8"/>
        <v>0</v>
      </c>
      <c r="O101" s="519">
        <f t="shared" si="8"/>
        <v>0</v>
      </c>
      <c r="P101" s="519">
        <f t="shared" si="8"/>
        <v>0</v>
      </c>
      <c r="Q101" s="519">
        <f t="shared" si="8"/>
        <v>0</v>
      </c>
      <c r="R101" s="519">
        <f t="shared" si="8"/>
        <v>0</v>
      </c>
      <c r="S101" s="519">
        <f t="shared" si="8"/>
        <v>0</v>
      </c>
      <c r="T101" s="519">
        <f t="shared" si="8"/>
        <v>0</v>
      </c>
      <c r="U101" s="519">
        <f t="shared" si="8"/>
        <v>0</v>
      </c>
      <c r="Y101" s="624">
        <v>0</v>
      </c>
      <c r="Z101" s="519">
        <v>0</v>
      </c>
      <c r="AA101" s="519">
        <v>0</v>
      </c>
      <c r="AB101" s="519">
        <v>0</v>
      </c>
      <c r="AC101" s="519">
        <v>0</v>
      </c>
      <c r="AD101" s="519">
        <v>0</v>
      </c>
      <c r="AE101" s="519">
        <v>0</v>
      </c>
      <c r="AF101" s="519">
        <v>0</v>
      </c>
      <c r="AG101" s="519">
        <v>0</v>
      </c>
      <c r="AH101" s="519">
        <v>0</v>
      </c>
      <c r="AI101" s="519">
        <v>0</v>
      </c>
      <c r="AJ101" s="519">
        <v>0</v>
      </c>
      <c r="AK101" s="519">
        <v>0</v>
      </c>
      <c r="AL101" s="519">
        <v>0</v>
      </c>
      <c r="AM101" s="519">
        <v>0</v>
      </c>
      <c r="AN101" s="519">
        <v>0</v>
      </c>
    </row>
    <row r="102" spans="1:40" x14ac:dyDescent="0.3">
      <c r="A102" s="489" t="s">
        <v>1422</v>
      </c>
      <c r="B102" s="489" t="s">
        <v>1700</v>
      </c>
      <c r="C102" s="489" t="s">
        <v>1827</v>
      </c>
      <c r="D102" s="489" t="s">
        <v>141</v>
      </c>
      <c r="E102" s="619">
        <v>47</v>
      </c>
      <c r="F102" s="624">
        <f t="shared" si="6"/>
        <v>15.819772727272731</v>
      </c>
      <c r="G102" s="519">
        <f t="shared" si="8"/>
        <v>15.95</v>
      </c>
      <c r="H102" s="519">
        <f t="shared" si="8"/>
        <v>15.95</v>
      </c>
      <c r="I102" s="519">
        <f t="shared" si="8"/>
        <v>15.916923076923075</v>
      </c>
      <c r="J102" s="519">
        <f t="shared" si="8"/>
        <v>15.75370370370371</v>
      </c>
      <c r="K102" s="519">
        <f t="shared" si="8"/>
        <v>0</v>
      </c>
      <c r="L102" s="519">
        <f t="shared" si="8"/>
        <v>0</v>
      </c>
      <c r="M102" s="519">
        <f t="shared" si="8"/>
        <v>0</v>
      </c>
      <c r="N102" s="519">
        <f t="shared" si="8"/>
        <v>0</v>
      </c>
      <c r="O102" s="519">
        <f t="shared" si="8"/>
        <v>0</v>
      </c>
      <c r="P102" s="519">
        <f t="shared" si="8"/>
        <v>0</v>
      </c>
      <c r="Q102" s="519">
        <f t="shared" si="8"/>
        <v>0</v>
      </c>
      <c r="R102" s="519">
        <f t="shared" si="8"/>
        <v>0</v>
      </c>
      <c r="S102" s="519">
        <f t="shared" si="8"/>
        <v>0</v>
      </c>
      <c r="T102" s="519">
        <f t="shared" si="8"/>
        <v>0</v>
      </c>
      <c r="U102" s="519">
        <f t="shared" si="8"/>
        <v>0</v>
      </c>
      <c r="Y102" s="624">
        <v>15.819772727272731</v>
      </c>
      <c r="Z102" s="519">
        <v>0</v>
      </c>
      <c r="AA102" s="519">
        <v>15.95</v>
      </c>
      <c r="AB102" s="519">
        <v>15.916923076923075</v>
      </c>
      <c r="AC102" s="519">
        <v>15.75370370370371</v>
      </c>
      <c r="AD102" s="519">
        <v>0</v>
      </c>
      <c r="AE102" s="519">
        <v>0</v>
      </c>
      <c r="AF102" s="519">
        <v>0</v>
      </c>
      <c r="AG102" s="519">
        <v>0</v>
      </c>
      <c r="AH102" s="519">
        <v>0</v>
      </c>
      <c r="AI102" s="519">
        <v>0</v>
      </c>
      <c r="AJ102" s="519">
        <v>0</v>
      </c>
      <c r="AK102" s="519">
        <v>0</v>
      </c>
      <c r="AL102" s="519">
        <v>0</v>
      </c>
      <c r="AM102" s="519">
        <v>0</v>
      </c>
      <c r="AN102" s="519">
        <v>0</v>
      </c>
    </row>
    <row r="103" spans="1:40" x14ac:dyDescent="0.3">
      <c r="A103" s="489" t="s">
        <v>1605</v>
      </c>
      <c r="B103" s="489" t="s">
        <v>1661</v>
      </c>
      <c r="C103" s="489" t="s">
        <v>1828</v>
      </c>
      <c r="D103" s="489" t="s">
        <v>46</v>
      </c>
      <c r="E103" s="619">
        <v>46</v>
      </c>
      <c r="F103" s="624">
        <f t="shared" si="6"/>
        <v>0</v>
      </c>
      <c r="G103" s="519">
        <f t="shared" si="8"/>
        <v>0</v>
      </c>
      <c r="H103" s="519">
        <f t="shared" si="8"/>
        <v>0</v>
      </c>
      <c r="I103" s="519">
        <f t="shared" si="8"/>
        <v>0</v>
      </c>
      <c r="J103" s="519">
        <f t="shared" si="8"/>
        <v>0</v>
      </c>
      <c r="K103" s="519">
        <f t="shared" si="8"/>
        <v>0</v>
      </c>
      <c r="L103" s="519">
        <f t="shared" si="8"/>
        <v>0</v>
      </c>
      <c r="M103" s="519">
        <f t="shared" si="8"/>
        <v>0</v>
      </c>
      <c r="N103" s="519">
        <f t="shared" si="8"/>
        <v>0</v>
      </c>
      <c r="O103" s="519">
        <f t="shared" si="8"/>
        <v>0</v>
      </c>
      <c r="P103" s="519">
        <f t="shared" si="8"/>
        <v>0</v>
      </c>
      <c r="Q103" s="519">
        <f t="shared" si="8"/>
        <v>0</v>
      </c>
      <c r="R103" s="519">
        <f t="shared" si="8"/>
        <v>0</v>
      </c>
      <c r="S103" s="519">
        <f t="shared" si="8"/>
        <v>0</v>
      </c>
      <c r="T103" s="519">
        <f t="shared" si="8"/>
        <v>0</v>
      </c>
      <c r="U103" s="519">
        <f t="shared" si="8"/>
        <v>0</v>
      </c>
      <c r="Y103" s="624">
        <v>0</v>
      </c>
      <c r="Z103" s="519">
        <v>0</v>
      </c>
      <c r="AA103" s="519">
        <v>0</v>
      </c>
      <c r="AB103" s="519">
        <v>0</v>
      </c>
      <c r="AC103" s="519">
        <v>0</v>
      </c>
      <c r="AD103" s="519">
        <v>0</v>
      </c>
      <c r="AE103" s="519">
        <v>0</v>
      </c>
      <c r="AF103" s="519">
        <v>0</v>
      </c>
      <c r="AG103" s="519">
        <v>0</v>
      </c>
      <c r="AH103" s="519">
        <v>0</v>
      </c>
      <c r="AI103" s="519">
        <v>0</v>
      </c>
      <c r="AJ103" s="519">
        <v>0</v>
      </c>
      <c r="AK103" s="519">
        <v>0</v>
      </c>
      <c r="AL103" s="519">
        <v>0</v>
      </c>
      <c r="AM103" s="519">
        <v>0</v>
      </c>
      <c r="AN103" s="519">
        <v>0</v>
      </c>
    </row>
    <row r="104" spans="1:40" x14ac:dyDescent="0.3">
      <c r="A104" s="489" t="s">
        <v>1544</v>
      </c>
      <c r="B104" s="489" t="s">
        <v>1701</v>
      </c>
      <c r="C104" s="489" t="s">
        <v>1829</v>
      </c>
      <c r="D104" s="489" t="s">
        <v>46</v>
      </c>
      <c r="E104" s="619">
        <v>45</v>
      </c>
      <c r="F104" s="624">
        <f t="shared" si="6"/>
        <v>0</v>
      </c>
      <c r="G104" s="519">
        <f t="shared" si="8"/>
        <v>0</v>
      </c>
      <c r="H104" s="519">
        <f t="shared" si="8"/>
        <v>0</v>
      </c>
      <c r="I104" s="519">
        <f t="shared" si="8"/>
        <v>0</v>
      </c>
      <c r="J104" s="519">
        <f t="shared" si="8"/>
        <v>0</v>
      </c>
      <c r="K104" s="519">
        <f t="shared" si="8"/>
        <v>0</v>
      </c>
      <c r="L104" s="519">
        <f t="shared" si="8"/>
        <v>0</v>
      </c>
      <c r="M104" s="519">
        <f t="shared" si="8"/>
        <v>0</v>
      </c>
      <c r="N104" s="519">
        <f t="shared" si="8"/>
        <v>0</v>
      </c>
      <c r="O104" s="519">
        <f t="shared" si="8"/>
        <v>0</v>
      </c>
      <c r="P104" s="519">
        <f t="shared" si="8"/>
        <v>0</v>
      </c>
      <c r="Q104" s="519">
        <f t="shared" si="8"/>
        <v>0</v>
      </c>
      <c r="R104" s="519">
        <f t="shared" si="8"/>
        <v>0</v>
      </c>
      <c r="S104" s="519">
        <f t="shared" si="8"/>
        <v>0</v>
      </c>
      <c r="T104" s="519">
        <f t="shared" si="8"/>
        <v>0</v>
      </c>
      <c r="U104" s="519">
        <f t="shared" si="8"/>
        <v>0</v>
      </c>
      <c r="Y104" s="624">
        <v>0</v>
      </c>
      <c r="Z104" s="519">
        <v>0</v>
      </c>
      <c r="AA104" s="519">
        <v>0</v>
      </c>
      <c r="AB104" s="519">
        <v>0</v>
      </c>
      <c r="AC104" s="519">
        <v>0</v>
      </c>
      <c r="AD104" s="519">
        <v>0</v>
      </c>
      <c r="AE104" s="519">
        <v>0</v>
      </c>
      <c r="AF104" s="519">
        <v>0</v>
      </c>
      <c r="AG104" s="519">
        <v>0</v>
      </c>
      <c r="AH104" s="519">
        <v>0</v>
      </c>
      <c r="AI104" s="519">
        <v>0</v>
      </c>
      <c r="AJ104" s="519">
        <v>0</v>
      </c>
      <c r="AK104" s="519">
        <v>0</v>
      </c>
      <c r="AL104" s="519">
        <v>0</v>
      </c>
      <c r="AM104" s="519">
        <v>0</v>
      </c>
      <c r="AN104" s="519">
        <v>0</v>
      </c>
    </row>
    <row r="105" spans="1:40" x14ac:dyDescent="0.3">
      <c r="A105" s="489" t="s">
        <v>1414</v>
      </c>
      <c r="B105" s="489" t="s">
        <v>1702</v>
      </c>
      <c r="C105" s="489" t="s">
        <v>1830</v>
      </c>
      <c r="D105" s="489" t="s">
        <v>1937</v>
      </c>
      <c r="E105" s="619">
        <v>44</v>
      </c>
      <c r="F105" s="624">
        <f t="shared" si="6"/>
        <v>19.981249999999999</v>
      </c>
      <c r="G105" s="519">
        <f t="shared" si="8"/>
        <v>20.85</v>
      </c>
      <c r="H105" s="519">
        <f t="shared" si="8"/>
        <v>17.938461538461539</v>
      </c>
      <c r="I105" s="519">
        <f t="shared" si="8"/>
        <v>19.78</v>
      </c>
      <c r="J105" s="519">
        <f t="shared" si="8"/>
        <v>22.774999999999999</v>
      </c>
      <c r="K105" s="519">
        <f t="shared" si="8"/>
        <v>0</v>
      </c>
      <c r="L105" s="519">
        <f t="shared" si="8"/>
        <v>0</v>
      </c>
      <c r="M105" s="519">
        <f t="shared" si="8"/>
        <v>0</v>
      </c>
      <c r="N105" s="519">
        <f t="shared" si="8"/>
        <v>0</v>
      </c>
      <c r="O105" s="519">
        <f t="shared" si="8"/>
        <v>0</v>
      </c>
      <c r="P105" s="519">
        <f t="shared" si="8"/>
        <v>0</v>
      </c>
      <c r="Q105" s="519">
        <f t="shared" si="8"/>
        <v>0</v>
      </c>
      <c r="R105" s="519">
        <f t="shared" si="8"/>
        <v>0</v>
      </c>
      <c r="S105" s="519">
        <f t="shared" si="8"/>
        <v>0</v>
      </c>
      <c r="T105" s="519">
        <f t="shared" si="8"/>
        <v>0</v>
      </c>
      <c r="U105" s="519">
        <f t="shared" si="8"/>
        <v>0</v>
      </c>
      <c r="Y105" s="624">
        <v>19.981249999999999</v>
      </c>
      <c r="Z105" s="519">
        <v>20.85</v>
      </c>
      <c r="AA105" s="519">
        <v>17.938461538461539</v>
      </c>
      <c r="AB105" s="519">
        <v>19.78</v>
      </c>
      <c r="AC105" s="519">
        <v>22.774999999999999</v>
      </c>
      <c r="AD105" s="519">
        <v>0</v>
      </c>
      <c r="AE105" s="519">
        <v>0</v>
      </c>
      <c r="AF105" s="519">
        <v>0</v>
      </c>
      <c r="AG105" s="519">
        <v>0</v>
      </c>
      <c r="AH105" s="519">
        <v>0</v>
      </c>
      <c r="AI105" s="519">
        <v>0</v>
      </c>
      <c r="AJ105" s="519">
        <v>0</v>
      </c>
      <c r="AK105" s="519">
        <v>0</v>
      </c>
      <c r="AL105" s="519">
        <v>0</v>
      </c>
      <c r="AM105" s="519">
        <v>0</v>
      </c>
      <c r="AN105" s="519">
        <v>0</v>
      </c>
    </row>
    <row r="106" spans="1:40" x14ac:dyDescent="0.3">
      <c r="A106" s="489" t="s">
        <v>1414</v>
      </c>
      <c r="B106" s="489" t="s">
        <v>1662</v>
      </c>
      <c r="C106" s="489" t="s">
        <v>1831</v>
      </c>
      <c r="D106" s="489" t="s">
        <v>46</v>
      </c>
      <c r="E106" s="619">
        <v>44</v>
      </c>
      <c r="F106" s="624">
        <f t="shared" si="6"/>
        <v>0</v>
      </c>
      <c r="G106" s="519">
        <f t="shared" si="8"/>
        <v>0</v>
      </c>
      <c r="H106" s="519">
        <f t="shared" si="8"/>
        <v>0</v>
      </c>
      <c r="I106" s="519">
        <f t="shared" si="8"/>
        <v>0</v>
      </c>
      <c r="J106" s="519">
        <f t="shared" si="8"/>
        <v>0</v>
      </c>
      <c r="K106" s="519">
        <f t="shared" si="8"/>
        <v>0</v>
      </c>
      <c r="L106" s="519">
        <f t="shared" si="8"/>
        <v>0</v>
      </c>
      <c r="M106" s="519">
        <f t="shared" si="8"/>
        <v>0</v>
      </c>
      <c r="N106" s="519">
        <f t="shared" si="8"/>
        <v>0</v>
      </c>
      <c r="O106" s="519">
        <f t="shared" si="8"/>
        <v>0</v>
      </c>
      <c r="P106" s="519">
        <f t="shared" si="8"/>
        <v>0</v>
      </c>
      <c r="Q106" s="519">
        <f t="shared" si="8"/>
        <v>0</v>
      </c>
      <c r="R106" s="519">
        <f t="shared" si="8"/>
        <v>0</v>
      </c>
      <c r="S106" s="519">
        <f t="shared" si="8"/>
        <v>0</v>
      </c>
      <c r="T106" s="519">
        <f t="shared" si="8"/>
        <v>0</v>
      </c>
      <c r="U106" s="519">
        <f t="shared" si="8"/>
        <v>0</v>
      </c>
      <c r="Y106" s="624">
        <v>0</v>
      </c>
      <c r="Z106" s="519">
        <v>0</v>
      </c>
      <c r="AA106" s="519">
        <v>0</v>
      </c>
      <c r="AB106" s="519">
        <v>0</v>
      </c>
      <c r="AC106" s="519">
        <v>0</v>
      </c>
      <c r="AD106" s="519">
        <v>0</v>
      </c>
      <c r="AE106" s="519">
        <v>0</v>
      </c>
      <c r="AF106" s="519">
        <v>0</v>
      </c>
      <c r="AG106" s="519">
        <v>0</v>
      </c>
      <c r="AH106" s="519">
        <v>0</v>
      </c>
      <c r="AI106" s="519">
        <v>0</v>
      </c>
      <c r="AJ106" s="519">
        <v>0</v>
      </c>
      <c r="AK106" s="519">
        <v>0</v>
      </c>
      <c r="AL106" s="519">
        <v>0</v>
      </c>
      <c r="AM106" s="519">
        <v>0</v>
      </c>
      <c r="AN106" s="519">
        <v>0</v>
      </c>
    </row>
    <row r="107" spans="1:40" x14ac:dyDescent="0.3">
      <c r="A107" s="489" t="s">
        <v>1607</v>
      </c>
      <c r="B107" s="489" t="s">
        <v>1703</v>
      </c>
      <c r="C107" s="489" t="s">
        <v>1832</v>
      </c>
      <c r="D107" s="489" t="s">
        <v>46</v>
      </c>
      <c r="E107" s="619">
        <v>43</v>
      </c>
      <c r="F107" s="624">
        <f t="shared" si="6"/>
        <v>0</v>
      </c>
      <c r="G107" s="519">
        <f t="shared" si="8"/>
        <v>0</v>
      </c>
      <c r="H107" s="519">
        <f t="shared" si="8"/>
        <v>0</v>
      </c>
      <c r="I107" s="519">
        <f t="shared" si="8"/>
        <v>0</v>
      </c>
      <c r="J107" s="519">
        <f t="shared" si="8"/>
        <v>0</v>
      </c>
      <c r="K107" s="519">
        <f t="shared" si="8"/>
        <v>0</v>
      </c>
      <c r="L107" s="519">
        <f t="shared" si="8"/>
        <v>0</v>
      </c>
      <c r="M107" s="519">
        <f t="shared" si="8"/>
        <v>0</v>
      </c>
      <c r="N107" s="519">
        <f t="shared" si="8"/>
        <v>0</v>
      </c>
      <c r="O107" s="519">
        <f t="shared" si="8"/>
        <v>0</v>
      </c>
      <c r="P107" s="519">
        <f t="shared" si="8"/>
        <v>0</v>
      </c>
      <c r="Q107" s="519">
        <f t="shared" si="8"/>
        <v>0</v>
      </c>
      <c r="R107" s="519">
        <f t="shared" si="8"/>
        <v>0</v>
      </c>
      <c r="S107" s="519">
        <f t="shared" si="8"/>
        <v>0</v>
      </c>
      <c r="T107" s="519">
        <f t="shared" si="8"/>
        <v>0</v>
      </c>
      <c r="U107" s="519">
        <f t="shared" si="8"/>
        <v>0</v>
      </c>
      <c r="Y107" s="624">
        <v>0</v>
      </c>
      <c r="Z107" s="519">
        <v>0</v>
      </c>
      <c r="AA107" s="519">
        <v>0</v>
      </c>
      <c r="AB107" s="519">
        <v>0</v>
      </c>
      <c r="AC107" s="519">
        <v>0</v>
      </c>
      <c r="AD107" s="519">
        <v>0</v>
      </c>
      <c r="AE107" s="519">
        <v>0</v>
      </c>
      <c r="AF107" s="519">
        <v>0</v>
      </c>
      <c r="AG107" s="519">
        <v>0</v>
      </c>
      <c r="AH107" s="519">
        <v>0</v>
      </c>
      <c r="AI107" s="519">
        <v>0</v>
      </c>
      <c r="AJ107" s="519">
        <v>0</v>
      </c>
      <c r="AK107" s="519">
        <v>0</v>
      </c>
      <c r="AL107" s="519">
        <v>0</v>
      </c>
      <c r="AM107" s="519">
        <v>0</v>
      </c>
      <c r="AN107" s="519">
        <v>0</v>
      </c>
    </row>
    <row r="108" spans="1:40" x14ac:dyDescent="0.3">
      <c r="A108" s="489" t="s">
        <v>1451</v>
      </c>
      <c r="B108" s="489" t="s">
        <v>1704</v>
      </c>
      <c r="C108" s="489" t="s">
        <v>1833</v>
      </c>
      <c r="D108" s="489" t="s">
        <v>46</v>
      </c>
      <c r="E108" s="619">
        <v>42</v>
      </c>
      <c r="F108" s="624">
        <f t="shared" si="6"/>
        <v>0</v>
      </c>
      <c r="G108" s="519">
        <f t="shared" si="8"/>
        <v>0</v>
      </c>
      <c r="H108" s="519">
        <f t="shared" si="8"/>
        <v>0</v>
      </c>
      <c r="I108" s="519">
        <f t="shared" si="8"/>
        <v>0</v>
      </c>
      <c r="J108" s="519">
        <f t="shared" si="8"/>
        <v>0</v>
      </c>
      <c r="K108" s="519">
        <f t="shared" si="8"/>
        <v>0</v>
      </c>
      <c r="L108" s="519">
        <f t="shared" si="8"/>
        <v>0</v>
      </c>
      <c r="M108" s="519">
        <f t="shared" si="8"/>
        <v>0</v>
      </c>
      <c r="N108" s="519">
        <f t="shared" si="8"/>
        <v>0</v>
      </c>
      <c r="O108" s="519">
        <f t="shared" si="8"/>
        <v>0</v>
      </c>
      <c r="P108" s="519">
        <f t="shared" si="8"/>
        <v>0</v>
      </c>
      <c r="Q108" s="519">
        <f t="shared" si="8"/>
        <v>0</v>
      </c>
      <c r="R108" s="519">
        <f t="shared" si="8"/>
        <v>0</v>
      </c>
      <c r="S108" s="519">
        <f t="shared" si="8"/>
        <v>0</v>
      </c>
      <c r="T108" s="519">
        <f t="shared" si="8"/>
        <v>0</v>
      </c>
      <c r="U108" s="519">
        <f t="shared" si="8"/>
        <v>0</v>
      </c>
      <c r="Y108" s="624">
        <v>0</v>
      </c>
      <c r="Z108" s="519">
        <v>0</v>
      </c>
      <c r="AA108" s="519">
        <v>0</v>
      </c>
      <c r="AB108" s="519">
        <v>0</v>
      </c>
      <c r="AC108" s="519">
        <v>0</v>
      </c>
      <c r="AD108" s="519">
        <v>0</v>
      </c>
      <c r="AE108" s="519">
        <v>0</v>
      </c>
      <c r="AF108" s="519">
        <v>0</v>
      </c>
      <c r="AG108" s="519">
        <v>0</v>
      </c>
      <c r="AH108" s="519">
        <v>0</v>
      </c>
      <c r="AI108" s="519">
        <v>0</v>
      </c>
      <c r="AJ108" s="519">
        <v>0</v>
      </c>
      <c r="AK108" s="519">
        <v>0</v>
      </c>
      <c r="AL108" s="519">
        <v>0</v>
      </c>
      <c r="AM108" s="519">
        <v>0</v>
      </c>
      <c r="AN108" s="519">
        <v>0</v>
      </c>
    </row>
    <row r="109" spans="1:40" x14ac:dyDescent="0.3">
      <c r="A109" s="489" t="s">
        <v>1572</v>
      </c>
      <c r="B109" s="489" t="s">
        <v>1573</v>
      </c>
      <c r="C109" s="489" t="s">
        <v>1834</v>
      </c>
      <c r="D109" s="489" t="s">
        <v>46</v>
      </c>
      <c r="E109" s="619">
        <v>42</v>
      </c>
      <c r="F109" s="624">
        <f t="shared" si="6"/>
        <v>0</v>
      </c>
      <c r="G109" s="519">
        <f t="shared" si="8"/>
        <v>0</v>
      </c>
      <c r="H109" s="519">
        <f t="shared" si="8"/>
        <v>0</v>
      </c>
      <c r="I109" s="519">
        <f t="shared" si="8"/>
        <v>0</v>
      </c>
      <c r="J109" s="519">
        <f t="shared" si="8"/>
        <v>0</v>
      </c>
      <c r="K109" s="519">
        <f t="shared" si="8"/>
        <v>0</v>
      </c>
      <c r="L109" s="519">
        <f t="shared" si="8"/>
        <v>0</v>
      </c>
      <c r="M109" s="519">
        <f t="shared" si="8"/>
        <v>0</v>
      </c>
      <c r="N109" s="519">
        <f t="shared" si="8"/>
        <v>0</v>
      </c>
      <c r="O109" s="519">
        <f t="shared" si="8"/>
        <v>0</v>
      </c>
      <c r="P109" s="519">
        <f t="shared" si="8"/>
        <v>0</v>
      </c>
      <c r="Q109" s="519">
        <f t="shared" si="8"/>
        <v>0</v>
      </c>
      <c r="R109" s="519">
        <f t="shared" si="8"/>
        <v>0</v>
      </c>
      <c r="S109" s="519">
        <f t="shared" si="8"/>
        <v>0</v>
      </c>
      <c r="T109" s="519">
        <f t="shared" si="8"/>
        <v>0</v>
      </c>
      <c r="U109" s="519">
        <f t="shared" si="8"/>
        <v>0</v>
      </c>
      <c r="Y109" s="624">
        <v>0</v>
      </c>
      <c r="Z109" s="519">
        <v>0</v>
      </c>
      <c r="AA109" s="519">
        <v>0</v>
      </c>
      <c r="AB109" s="519">
        <v>0</v>
      </c>
      <c r="AC109" s="519">
        <v>0</v>
      </c>
      <c r="AD109" s="519">
        <v>0</v>
      </c>
      <c r="AE109" s="519">
        <v>0</v>
      </c>
      <c r="AF109" s="519">
        <v>0</v>
      </c>
      <c r="AG109" s="519">
        <v>0</v>
      </c>
      <c r="AH109" s="519">
        <v>0</v>
      </c>
      <c r="AI109" s="519">
        <v>0</v>
      </c>
      <c r="AJ109" s="519">
        <v>0</v>
      </c>
      <c r="AK109" s="519">
        <v>0</v>
      </c>
      <c r="AL109" s="519">
        <v>0</v>
      </c>
      <c r="AM109" s="519">
        <v>0</v>
      </c>
      <c r="AN109" s="519">
        <v>0</v>
      </c>
    </row>
    <row r="110" spans="1:40" x14ac:dyDescent="0.3">
      <c r="A110" s="489" t="s">
        <v>1451</v>
      </c>
      <c r="B110" s="489" t="s">
        <v>1705</v>
      </c>
      <c r="C110" s="489" t="s">
        <v>1835</v>
      </c>
      <c r="D110" s="489" t="s">
        <v>46</v>
      </c>
      <c r="E110" s="619">
        <v>42</v>
      </c>
      <c r="F110" s="624">
        <f t="shared" si="6"/>
        <v>0</v>
      </c>
      <c r="G110" s="519">
        <f t="shared" si="8"/>
        <v>0</v>
      </c>
      <c r="H110" s="519">
        <f t="shared" si="8"/>
        <v>0</v>
      </c>
      <c r="I110" s="519">
        <f t="shared" si="8"/>
        <v>0</v>
      </c>
      <c r="J110" s="519">
        <f t="shared" si="8"/>
        <v>0</v>
      </c>
      <c r="K110" s="519">
        <f t="shared" si="8"/>
        <v>0</v>
      </c>
      <c r="L110" s="519">
        <f t="shared" si="8"/>
        <v>0</v>
      </c>
      <c r="M110" s="519">
        <f t="shared" si="8"/>
        <v>0</v>
      </c>
      <c r="N110" s="519">
        <f t="shared" si="8"/>
        <v>0</v>
      </c>
      <c r="O110" s="519">
        <f t="shared" si="8"/>
        <v>0</v>
      </c>
      <c r="P110" s="519">
        <f t="shared" si="8"/>
        <v>0</v>
      </c>
      <c r="Q110" s="519">
        <f t="shared" si="8"/>
        <v>0</v>
      </c>
      <c r="R110" s="519">
        <f t="shared" si="8"/>
        <v>0</v>
      </c>
      <c r="S110" s="519">
        <f t="shared" si="8"/>
        <v>0</v>
      </c>
      <c r="T110" s="519">
        <f t="shared" si="8"/>
        <v>0</v>
      </c>
      <c r="U110" s="519">
        <f t="shared" si="8"/>
        <v>0</v>
      </c>
      <c r="Y110" s="624">
        <v>0</v>
      </c>
      <c r="Z110" s="519">
        <v>0</v>
      </c>
      <c r="AA110" s="519">
        <v>0</v>
      </c>
      <c r="AB110" s="519">
        <v>0</v>
      </c>
      <c r="AC110" s="519">
        <v>0</v>
      </c>
      <c r="AD110" s="519">
        <v>0</v>
      </c>
      <c r="AE110" s="519">
        <v>0</v>
      </c>
      <c r="AF110" s="519">
        <v>0</v>
      </c>
      <c r="AG110" s="519">
        <v>0</v>
      </c>
      <c r="AH110" s="519">
        <v>0</v>
      </c>
      <c r="AI110" s="519">
        <v>0</v>
      </c>
      <c r="AJ110" s="519">
        <v>0</v>
      </c>
      <c r="AK110" s="519">
        <v>0</v>
      </c>
      <c r="AL110" s="519">
        <v>0</v>
      </c>
      <c r="AM110" s="519">
        <v>0</v>
      </c>
      <c r="AN110" s="519">
        <v>0</v>
      </c>
    </row>
    <row r="111" spans="1:40" x14ac:dyDescent="0.3">
      <c r="A111" s="489" t="s">
        <v>1414</v>
      </c>
      <c r="B111" s="489" t="s">
        <v>1706</v>
      </c>
      <c r="C111" s="489" t="s">
        <v>1836</v>
      </c>
      <c r="D111" s="489" t="s">
        <v>46</v>
      </c>
      <c r="E111" s="619">
        <v>42</v>
      </c>
      <c r="F111" s="624">
        <f t="shared" si="6"/>
        <v>0</v>
      </c>
      <c r="G111" s="519">
        <f t="shared" si="8"/>
        <v>0</v>
      </c>
      <c r="H111" s="519">
        <f t="shared" si="8"/>
        <v>0</v>
      </c>
      <c r="I111" s="519">
        <f t="shared" si="8"/>
        <v>0</v>
      </c>
      <c r="J111" s="519">
        <f t="shared" si="8"/>
        <v>0</v>
      </c>
      <c r="K111" s="519">
        <f t="shared" si="8"/>
        <v>0</v>
      </c>
      <c r="L111" s="519">
        <f t="shared" si="8"/>
        <v>0</v>
      </c>
      <c r="M111" s="519">
        <f t="shared" si="8"/>
        <v>0</v>
      </c>
      <c r="N111" s="519">
        <f t="shared" si="8"/>
        <v>0</v>
      </c>
      <c r="O111" s="519">
        <f t="shared" si="8"/>
        <v>0</v>
      </c>
      <c r="P111" s="519">
        <f t="shared" si="8"/>
        <v>0</v>
      </c>
      <c r="Q111" s="519">
        <f t="shared" si="8"/>
        <v>0</v>
      </c>
      <c r="R111" s="519">
        <f t="shared" si="8"/>
        <v>0</v>
      </c>
      <c r="S111" s="519">
        <f t="shared" si="8"/>
        <v>0</v>
      </c>
      <c r="T111" s="519">
        <f t="shared" si="8"/>
        <v>0</v>
      </c>
      <c r="U111" s="519">
        <f t="shared" si="8"/>
        <v>0</v>
      </c>
      <c r="Y111" s="624">
        <v>0</v>
      </c>
      <c r="Z111" s="519">
        <v>0</v>
      </c>
      <c r="AA111" s="519">
        <v>0</v>
      </c>
      <c r="AB111" s="519">
        <v>0</v>
      </c>
      <c r="AC111" s="519">
        <v>0</v>
      </c>
      <c r="AD111" s="519">
        <v>0</v>
      </c>
      <c r="AE111" s="519">
        <v>0</v>
      </c>
      <c r="AF111" s="519">
        <v>0</v>
      </c>
      <c r="AG111" s="519">
        <v>0</v>
      </c>
      <c r="AH111" s="519">
        <v>0</v>
      </c>
      <c r="AI111" s="519">
        <v>0</v>
      </c>
      <c r="AJ111" s="519">
        <v>0</v>
      </c>
      <c r="AK111" s="519">
        <v>0</v>
      </c>
      <c r="AL111" s="519">
        <v>0</v>
      </c>
      <c r="AM111" s="519">
        <v>0</v>
      </c>
      <c r="AN111" s="519">
        <v>0</v>
      </c>
    </row>
    <row r="112" spans="1:40" x14ac:dyDescent="0.3">
      <c r="A112" s="489" t="s">
        <v>1414</v>
      </c>
      <c r="B112" s="489" t="s">
        <v>1702</v>
      </c>
      <c r="C112" s="489" t="s">
        <v>1830</v>
      </c>
      <c r="D112" s="489" t="s">
        <v>1930</v>
      </c>
      <c r="E112" s="619">
        <v>42</v>
      </c>
      <c r="F112" s="624">
        <f t="shared" si="6"/>
        <v>0</v>
      </c>
      <c r="G112" s="519">
        <f t="shared" si="8"/>
        <v>0</v>
      </c>
      <c r="H112" s="519">
        <f t="shared" si="8"/>
        <v>0</v>
      </c>
      <c r="I112" s="519">
        <f t="shared" si="8"/>
        <v>0</v>
      </c>
      <c r="J112" s="519">
        <f t="shared" si="8"/>
        <v>0</v>
      </c>
      <c r="K112" s="519">
        <f t="shared" si="8"/>
        <v>0</v>
      </c>
      <c r="L112" s="519">
        <f t="shared" si="8"/>
        <v>0</v>
      </c>
      <c r="M112" s="519">
        <f t="shared" si="8"/>
        <v>0</v>
      </c>
      <c r="N112" s="519">
        <f t="shared" si="8"/>
        <v>0</v>
      </c>
      <c r="O112" s="519">
        <f t="shared" si="8"/>
        <v>0</v>
      </c>
      <c r="P112" s="519">
        <f t="shared" si="8"/>
        <v>0</v>
      </c>
      <c r="Q112" s="519">
        <f t="shared" si="8"/>
        <v>0</v>
      </c>
      <c r="R112" s="519">
        <f t="shared" si="8"/>
        <v>0</v>
      </c>
      <c r="S112" s="519">
        <f t="shared" si="8"/>
        <v>0</v>
      </c>
      <c r="T112" s="519">
        <f t="shared" si="8"/>
        <v>0</v>
      </c>
      <c r="U112" s="519">
        <f t="shared" si="8"/>
        <v>0</v>
      </c>
      <c r="Y112" s="624">
        <v>0</v>
      </c>
      <c r="Z112" s="519">
        <v>0</v>
      </c>
      <c r="AA112" s="519">
        <v>0</v>
      </c>
      <c r="AB112" s="519">
        <v>0</v>
      </c>
      <c r="AC112" s="519">
        <v>0</v>
      </c>
      <c r="AD112" s="519">
        <v>0</v>
      </c>
      <c r="AE112" s="519">
        <v>0</v>
      </c>
      <c r="AF112" s="519">
        <v>0</v>
      </c>
      <c r="AG112" s="519">
        <v>0</v>
      </c>
      <c r="AH112" s="519">
        <v>0</v>
      </c>
      <c r="AI112" s="519">
        <v>0</v>
      </c>
      <c r="AJ112" s="519">
        <v>0</v>
      </c>
      <c r="AK112" s="519">
        <v>0</v>
      </c>
      <c r="AL112" s="519">
        <v>0</v>
      </c>
      <c r="AM112" s="519">
        <v>0</v>
      </c>
      <c r="AN112" s="519">
        <v>0</v>
      </c>
    </row>
    <row r="113" spans="1:40" x14ac:dyDescent="0.3">
      <c r="A113" s="489" t="s">
        <v>1561</v>
      </c>
      <c r="B113" s="489" t="s">
        <v>1562</v>
      </c>
      <c r="C113" s="489" t="s">
        <v>1563</v>
      </c>
      <c r="D113" s="489" t="s">
        <v>1936</v>
      </c>
      <c r="E113" s="619">
        <v>42</v>
      </c>
      <c r="F113" s="624">
        <f t="shared" si="6"/>
        <v>0</v>
      </c>
      <c r="G113" s="519">
        <f t="shared" si="8"/>
        <v>0</v>
      </c>
      <c r="H113" s="519">
        <f t="shared" si="8"/>
        <v>0</v>
      </c>
      <c r="I113" s="519">
        <f t="shared" si="8"/>
        <v>0</v>
      </c>
      <c r="J113" s="519">
        <f t="shared" si="8"/>
        <v>0</v>
      </c>
      <c r="K113" s="519">
        <f t="shared" si="8"/>
        <v>0</v>
      </c>
      <c r="L113" s="519">
        <f t="shared" si="8"/>
        <v>0</v>
      </c>
      <c r="M113" s="519">
        <f t="shared" si="8"/>
        <v>0</v>
      </c>
      <c r="N113" s="519">
        <f t="shared" si="8"/>
        <v>0</v>
      </c>
      <c r="O113" s="519">
        <f t="shared" si="8"/>
        <v>0</v>
      </c>
      <c r="P113" s="519">
        <f t="shared" si="8"/>
        <v>0</v>
      </c>
      <c r="Q113" s="519">
        <f t="shared" si="8"/>
        <v>0</v>
      </c>
      <c r="R113" s="519">
        <f t="shared" si="8"/>
        <v>0</v>
      </c>
      <c r="S113" s="519">
        <f t="shared" si="8"/>
        <v>0</v>
      </c>
      <c r="T113" s="519">
        <f t="shared" si="8"/>
        <v>0</v>
      </c>
      <c r="U113" s="519">
        <f t="shared" si="8"/>
        <v>0</v>
      </c>
      <c r="Y113" s="624">
        <v>0</v>
      </c>
      <c r="Z113" s="519">
        <v>0</v>
      </c>
      <c r="AA113" s="519">
        <v>0</v>
      </c>
      <c r="AB113" s="519">
        <v>0</v>
      </c>
      <c r="AC113" s="519">
        <v>0</v>
      </c>
      <c r="AD113" s="519">
        <v>0</v>
      </c>
      <c r="AE113" s="519">
        <v>0</v>
      </c>
      <c r="AF113" s="519">
        <v>0</v>
      </c>
      <c r="AG113" s="519">
        <v>0</v>
      </c>
      <c r="AH113" s="519">
        <v>0</v>
      </c>
      <c r="AI113" s="519">
        <v>0</v>
      </c>
      <c r="AJ113" s="519">
        <v>0</v>
      </c>
      <c r="AK113" s="519">
        <v>0</v>
      </c>
      <c r="AL113" s="519">
        <v>0</v>
      </c>
      <c r="AM113" s="519">
        <v>0</v>
      </c>
      <c r="AN113" s="519">
        <v>0</v>
      </c>
    </row>
    <row r="114" spans="1:40" x14ac:dyDescent="0.3">
      <c r="A114" s="489" t="s">
        <v>1414</v>
      </c>
      <c r="B114" s="489" t="s">
        <v>1707</v>
      </c>
      <c r="C114" s="489" t="s">
        <v>1837</v>
      </c>
      <c r="D114" s="489" t="s">
        <v>46</v>
      </c>
      <c r="E114" s="619">
        <v>41</v>
      </c>
      <c r="F114" s="624">
        <f t="shared" si="6"/>
        <v>0</v>
      </c>
      <c r="G114" s="519">
        <f t="shared" ref="G114:U129" si="9">IF(Z114&gt;0,Z114,IF(H114&gt;0,H114,0))</f>
        <v>0</v>
      </c>
      <c r="H114" s="519">
        <f t="shared" si="9"/>
        <v>0</v>
      </c>
      <c r="I114" s="519">
        <f t="shared" si="9"/>
        <v>0</v>
      </c>
      <c r="J114" s="519">
        <f t="shared" si="9"/>
        <v>0</v>
      </c>
      <c r="K114" s="519">
        <f t="shared" si="9"/>
        <v>0</v>
      </c>
      <c r="L114" s="519">
        <f t="shared" si="9"/>
        <v>0</v>
      </c>
      <c r="M114" s="519">
        <f t="shared" si="9"/>
        <v>0</v>
      </c>
      <c r="N114" s="519">
        <f t="shared" si="9"/>
        <v>0</v>
      </c>
      <c r="O114" s="519">
        <f t="shared" si="9"/>
        <v>0</v>
      </c>
      <c r="P114" s="519">
        <f t="shared" si="9"/>
        <v>0</v>
      </c>
      <c r="Q114" s="519">
        <f t="shared" si="9"/>
        <v>0</v>
      </c>
      <c r="R114" s="519">
        <f t="shared" si="9"/>
        <v>0</v>
      </c>
      <c r="S114" s="519">
        <f t="shared" si="9"/>
        <v>0</v>
      </c>
      <c r="T114" s="519">
        <f t="shared" si="9"/>
        <v>0</v>
      </c>
      <c r="U114" s="519">
        <f t="shared" si="9"/>
        <v>0</v>
      </c>
      <c r="Y114" s="624">
        <v>0</v>
      </c>
      <c r="Z114" s="519">
        <v>0</v>
      </c>
      <c r="AA114" s="519">
        <v>0</v>
      </c>
      <c r="AB114" s="519">
        <v>0</v>
      </c>
      <c r="AC114" s="519">
        <v>0</v>
      </c>
      <c r="AD114" s="519">
        <v>0</v>
      </c>
      <c r="AE114" s="519">
        <v>0</v>
      </c>
      <c r="AF114" s="519">
        <v>0</v>
      </c>
      <c r="AG114" s="519">
        <v>0</v>
      </c>
      <c r="AH114" s="519">
        <v>0</v>
      </c>
      <c r="AI114" s="519">
        <v>0</v>
      </c>
      <c r="AJ114" s="519">
        <v>0</v>
      </c>
      <c r="AK114" s="519">
        <v>0</v>
      </c>
      <c r="AL114" s="519">
        <v>0</v>
      </c>
      <c r="AM114" s="519">
        <v>0</v>
      </c>
      <c r="AN114" s="519">
        <v>0</v>
      </c>
    </row>
    <row r="115" spans="1:40" x14ac:dyDescent="0.3">
      <c r="A115" s="489" t="s">
        <v>1426</v>
      </c>
      <c r="B115" s="489" t="s">
        <v>1708</v>
      </c>
      <c r="C115" s="489" t="s">
        <v>1708</v>
      </c>
      <c r="D115" s="489" t="s">
        <v>1938</v>
      </c>
      <c r="E115" s="619">
        <v>41</v>
      </c>
      <c r="F115" s="624">
        <f t="shared" si="6"/>
        <v>0</v>
      </c>
      <c r="G115" s="519">
        <f t="shared" si="9"/>
        <v>0</v>
      </c>
      <c r="H115" s="519">
        <f t="shared" si="9"/>
        <v>0</v>
      </c>
      <c r="I115" s="519">
        <f t="shared" si="9"/>
        <v>0</v>
      </c>
      <c r="J115" s="519">
        <f t="shared" si="9"/>
        <v>0</v>
      </c>
      <c r="K115" s="519">
        <f t="shared" si="9"/>
        <v>0</v>
      </c>
      <c r="L115" s="519">
        <f t="shared" si="9"/>
        <v>0</v>
      </c>
      <c r="M115" s="519">
        <f t="shared" si="9"/>
        <v>0</v>
      </c>
      <c r="N115" s="519">
        <f t="shared" si="9"/>
        <v>0</v>
      </c>
      <c r="O115" s="519">
        <f t="shared" si="9"/>
        <v>0</v>
      </c>
      <c r="P115" s="519">
        <f t="shared" si="9"/>
        <v>0</v>
      </c>
      <c r="Q115" s="519">
        <f t="shared" si="9"/>
        <v>0</v>
      </c>
      <c r="R115" s="519">
        <f t="shared" si="9"/>
        <v>0</v>
      </c>
      <c r="S115" s="519">
        <f t="shared" si="9"/>
        <v>0</v>
      </c>
      <c r="T115" s="519">
        <f t="shared" si="9"/>
        <v>0</v>
      </c>
      <c r="U115" s="519">
        <f t="shared" si="9"/>
        <v>0</v>
      </c>
      <c r="Y115" s="624">
        <v>0</v>
      </c>
      <c r="Z115" s="519">
        <v>0</v>
      </c>
      <c r="AA115" s="519">
        <v>0</v>
      </c>
      <c r="AB115" s="519">
        <v>0</v>
      </c>
      <c r="AC115" s="519">
        <v>0</v>
      </c>
      <c r="AD115" s="519">
        <v>0</v>
      </c>
      <c r="AE115" s="519">
        <v>0</v>
      </c>
      <c r="AF115" s="519">
        <v>0</v>
      </c>
      <c r="AG115" s="519">
        <v>0</v>
      </c>
      <c r="AH115" s="519">
        <v>0</v>
      </c>
      <c r="AI115" s="519">
        <v>0</v>
      </c>
      <c r="AJ115" s="519">
        <v>0</v>
      </c>
      <c r="AK115" s="519">
        <v>0</v>
      </c>
      <c r="AL115" s="519">
        <v>0</v>
      </c>
      <c r="AM115" s="519">
        <v>0</v>
      </c>
      <c r="AN115" s="519">
        <v>0</v>
      </c>
    </row>
    <row r="116" spans="1:40" x14ac:dyDescent="0.3">
      <c r="A116" s="489" t="s">
        <v>1422</v>
      </c>
      <c r="B116" s="489" t="s">
        <v>1423</v>
      </c>
      <c r="C116" s="489" t="s">
        <v>1424</v>
      </c>
      <c r="D116" s="489" t="s">
        <v>45</v>
      </c>
      <c r="E116" s="619">
        <v>40</v>
      </c>
      <c r="F116" s="624">
        <f t="shared" si="6"/>
        <v>0</v>
      </c>
      <c r="G116" s="519">
        <f t="shared" si="9"/>
        <v>0</v>
      </c>
      <c r="H116" s="519">
        <f t="shared" si="9"/>
        <v>0</v>
      </c>
      <c r="I116" s="519">
        <f t="shared" si="9"/>
        <v>0</v>
      </c>
      <c r="J116" s="519">
        <f t="shared" si="9"/>
        <v>0</v>
      </c>
      <c r="K116" s="519">
        <f t="shared" si="9"/>
        <v>0</v>
      </c>
      <c r="L116" s="519">
        <f t="shared" si="9"/>
        <v>0</v>
      </c>
      <c r="M116" s="519">
        <f t="shared" si="9"/>
        <v>0</v>
      </c>
      <c r="N116" s="519">
        <f t="shared" si="9"/>
        <v>0</v>
      </c>
      <c r="O116" s="519">
        <f t="shared" si="9"/>
        <v>0</v>
      </c>
      <c r="P116" s="519">
        <f t="shared" si="9"/>
        <v>0</v>
      </c>
      <c r="Q116" s="519">
        <f t="shared" si="9"/>
        <v>0</v>
      </c>
      <c r="R116" s="519">
        <f t="shared" si="9"/>
        <v>0</v>
      </c>
      <c r="S116" s="519">
        <f t="shared" si="9"/>
        <v>0</v>
      </c>
      <c r="T116" s="519">
        <f t="shared" si="9"/>
        <v>0</v>
      </c>
      <c r="U116" s="519">
        <f t="shared" si="9"/>
        <v>0</v>
      </c>
      <c r="Y116" s="624">
        <v>0</v>
      </c>
      <c r="Z116" s="519">
        <v>0</v>
      </c>
      <c r="AA116" s="519">
        <v>0</v>
      </c>
      <c r="AB116" s="519">
        <v>0</v>
      </c>
      <c r="AC116" s="519">
        <v>0</v>
      </c>
      <c r="AD116" s="519">
        <v>0</v>
      </c>
      <c r="AE116" s="519">
        <v>0</v>
      </c>
      <c r="AF116" s="519">
        <v>0</v>
      </c>
      <c r="AG116" s="519">
        <v>0</v>
      </c>
      <c r="AH116" s="519">
        <v>0</v>
      </c>
      <c r="AI116" s="519">
        <v>0</v>
      </c>
      <c r="AJ116" s="519">
        <v>0</v>
      </c>
      <c r="AK116" s="519">
        <v>0</v>
      </c>
      <c r="AL116" s="519">
        <v>0</v>
      </c>
      <c r="AM116" s="519">
        <v>0</v>
      </c>
      <c r="AN116" s="519">
        <v>0</v>
      </c>
    </row>
    <row r="117" spans="1:40" x14ac:dyDescent="0.3">
      <c r="A117" s="489" t="s">
        <v>1561</v>
      </c>
      <c r="B117" s="489" t="s">
        <v>1709</v>
      </c>
      <c r="C117" s="489" t="s">
        <v>1838</v>
      </c>
      <c r="D117" s="489" t="s">
        <v>1938</v>
      </c>
      <c r="E117" s="619">
        <v>40</v>
      </c>
      <c r="F117" s="624">
        <f t="shared" si="6"/>
        <v>0</v>
      </c>
      <c r="G117" s="519">
        <f t="shared" si="9"/>
        <v>0</v>
      </c>
      <c r="H117" s="519">
        <f t="shared" si="9"/>
        <v>0</v>
      </c>
      <c r="I117" s="519">
        <f t="shared" si="9"/>
        <v>0</v>
      </c>
      <c r="J117" s="519">
        <f t="shared" si="9"/>
        <v>0</v>
      </c>
      <c r="K117" s="519">
        <f t="shared" si="9"/>
        <v>0</v>
      </c>
      <c r="L117" s="519">
        <f t="shared" si="9"/>
        <v>0</v>
      </c>
      <c r="M117" s="519">
        <f t="shared" si="9"/>
        <v>0</v>
      </c>
      <c r="N117" s="519">
        <f t="shared" si="9"/>
        <v>0</v>
      </c>
      <c r="O117" s="519">
        <f t="shared" si="9"/>
        <v>0</v>
      </c>
      <c r="P117" s="519">
        <f t="shared" si="9"/>
        <v>0</v>
      </c>
      <c r="Q117" s="519">
        <f t="shared" si="9"/>
        <v>0</v>
      </c>
      <c r="R117" s="519">
        <f t="shared" si="9"/>
        <v>0</v>
      </c>
      <c r="S117" s="519">
        <f t="shared" si="9"/>
        <v>0</v>
      </c>
      <c r="T117" s="519">
        <f t="shared" si="9"/>
        <v>0</v>
      </c>
      <c r="U117" s="519">
        <f t="shared" si="9"/>
        <v>0</v>
      </c>
      <c r="Y117" s="624">
        <v>0</v>
      </c>
      <c r="Z117" s="519">
        <v>0</v>
      </c>
      <c r="AA117" s="519">
        <v>0</v>
      </c>
      <c r="AB117" s="519">
        <v>0</v>
      </c>
      <c r="AC117" s="519">
        <v>0</v>
      </c>
      <c r="AD117" s="519">
        <v>0</v>
      </c>
      <c r="AE117" s="519">
        <v>0</v>
      </c>
      <c r="AF117" s="519">
        <v>0</v>
      </c>
      <c r="AG117" s="519">
        <v>0</v>
      </c>
      <c r="AH117" s="519">
        <v>0</v>
      </c>
      <c r="AI117" s="519">
        <v>0</v>
      </c>
      <c r="AJ117" s="519">
        <v>0</v>
      </c>
      <c r="AK117" s="519">
        <v>0</v>
      </c>
      <c r="AL117" s="519">
        <v>0</v>
      </c>
      <c r="AM117" s="519">
        <v>0</v>
      </c>
      <c r="AN117" s="519">
        <v>0</v>
      </c>
    </row>
    <row r="118" spans="1:40" x14ac:dyDescent="0.3">
      <c r="A118" s="489" t="s">
        <v>1607</v>
      </c>
      <c r="B118" s="489" t="s">
        <v>1710</v>
      </c>
      <c r="C118" s="489" t="s">
        <v>1839</v>
      </c>
      <c r="D118" s="489" t="s">
        <v>46</v>
      </c>
      <c r="E118" s="619">
        <v>39</v>
      </c>
      <c r="F118" s="624">
        <f t="shared" si="6"/>
        <v>0</v>
      </c>
      <c r="G118" s="519">
        <f t="shared" si="9"/>
        <v>0</v>
      </c>
      <c r="H118" s="519">
        <f t="shared" si="9"/>
        <v>0</v>
      </c>
      <c r="I118" s="519">
        <f t="shared" si="9"/>
        <v>0</v>
      </c>
      <c r="J118" s="519">
        <f t="shared" si="9"/>
        <v>0</v>
      </c>
      <c r="K118" s="519">
        <f t="shared" si="9"/>
        <v>0</v>
      </c>
      <c r="L118" s="519">
        <f t="shared" si="9"/>
        <v>0</v>
      </c>
      <c r="M118" s="519">
        <f t="shared" si="9"/>
        <v>0</v>
      </c>
      <c r="N118" s="519">
        <f t="shared" si="9"/>
        <v>0</v>
      </c>
      <c r="O118" s="519">
        <f t="shared" si="9"/>
        <v>0</v>
      </c>
      <c r="P118" s="519">
        <f t="shared" si="9"/>
        <v>0</v>
      </c>
      <c r="Q118" s="519">
        <f t="shared" si="9"/>
        <v>0</v>
      </c>
      <c r="R118" s="519">
        <f t="shared" si="9"/>
        <v>0</v>
      </c>
      <c r="S118" s="519">
        <f t="shared" si="9"/>
        <v>0</v>
      </c>
      <c r="T118" s="519">
        <f t="shared" si="9"/>
        <v>0</v>
      </c>
      <c r="U118" s="519">
        <f t="shared" si="9"/>
        <v>0</v>
      </c>
      <c r="Y118" s="624">
        <v>0</v>
      </c>
      <c r="Z118" s="519">
        <v>0</v>
      </c>
      <c r="AA118" s="519">
        <v>0</v>
      </c>
      <c r="AB118" s="519">
        <v>0</v>
      </c>
      <c r="AC118" s="519">
        <v>0</v>
      </c>
      <c r="AD118" s="519">
        <v>0</v>
      </c>
      <c r="AE118" s="519">
        <v>0</v>
      </c>
      <c r="AF118" s="519">
        <v>0</v>
      </c>
      <c r="AG118" s="519">
        <v>0</v>
      </c>
      <c r="AH118" s="519">
        <v>0</v>
      </c>
      <c r="AI118" s="519">
        <v>0</v>
      </c>
      <c r="AJ118" s="519">
        <v>0</v>
      </c>
      <c r="AK118" s="519">
        <v>0</v>
      </c>
      <c r="AL118" s="519">
        <v>0</v>
      </c>
      <c r="AM118" s="519">
        <v>0</v>
      </c>
      <c r="AN118" s="519">
        <v>0</v>
      </c>
    </row>
    <row r="119" spans="1:40" x14ac:dyDescent="0.3">
      <c r="A119" s="489" t="s">
        <v>1414</v>
      </c>
      <c r="B119" s="489" t="s">
        <v>1711</v>
      </c>
      <c r="C119" s="489" t="s">
        <v>1840</v>
      </c>
      <c r="D119" s="489" t="s">
        <v>46</v>
      </c>
      <c r="E119" s="619">
        <v>39</v>
      </c>
      <c r="F119" s="624">
        <f t="shared" si="6"/>
        <v>0</v>
      </c>
      <c r="G119" s="519">
        <f t="shared" si="9"/>
        <v>0</v>
      </c>
      <c r="H119" s="519">
        <f t="shared" si="9"/>
        <v>0</v>
      </c>
      <c r="I119" s="519">
        <f t="shared" si="9"/>
        <v>0</v>
      </c>
      <c r="J119" s="519">
        <f t="shared" si="9"/>
        <v>0</v>
      </c>
      <c r="K119" s="519">
        <f t="shared" si="9"/>
        <v>0</v>
      </c>
      <c r="L119" s="519">
        <f t="shared" si="9"/>
        <v>0</v>
      </c>
      <c r="M119" s="519">
        <f t="shared" si="9"/>
        <v>0</v>
      </c>
      <c r="N119" s="519">
        <f t="shared" si="9"/>
        <v>0</v>
      </c>
      <c r="O119" s="519">
        <f t="shared" si="9"/>
        <v>0</v>
      </c>
      <c r="P119" s="519">
        <f t="shared" si="9"/>
        <v>0</v>
      </c>
      <c r="Q119" s="519">
        <f t="shared" si="9"/>
        <v>0</v>
      </c>
      <c r="R119" s="519">
        <f t="shared" si="9"/>
        <v>0</v>
      </c>
      <c r="S119" s="519">
        <f t="shared" si="9"/>
        <v>0</v>
      </c>
      <c r="T119" s="519">
        <f t="shared" si="9"/>
        <v>0</v>
      </c>
      <c r="U119" s="519">
        <f t="shared" si="9"/>
        <v>0</v>
      </c>
      <c r="Y119" s="624">
        <v>0</v>
      </c>
      <c r="Z119" s="519">
        <v>0</v>
      </c>
      <c r="AA119" s="519">
        <v>0</v>
      </c>
      <c r="AB119" s="519">
        <v>0</v>
      </c>
      <c r="AC119" s="519">
        <v>0</v>
      </c>
      <c r="AD119" s="519">
        <v>0</v>
      </c>
      <c r="AE119" s="519">
        <v>0</v>
      </c>
      <c r="AF119" s="519">
        <v>0</v>
      </c>
      <c r="AG119" s="519">
        <v>0</v>
      </c>
      <c r="AH119" s="519">
        <v>0</v>
      </c>
      <c r="AI119" s="519">
        <v>0</v>
      </c>
      <c r="AJ119" s="519">
        <v>0</v>
      </c>
      <c r="AK119" s="519">
        <v>0</v>
      </c>
      <c r="AL119" s="519">
        <v>0</v>
      </c>
      <c r="AM119" s="519">
        <v>0</v>
      </c>
      <c r="AN119" s="519">
        <v>0</v>
      </c>
    </row>
    <row r="120" spans="1:40" x14ac:dyDescent="0.3">
      <c r="A120" s="489" t="s">
        <v>1591</v>
      </c>
      <c r="B120" s="489" t="s">
        <v>1712</v>
      </c>
      <c r="C120" s="489" t="s">
        <v>1712</v>
      </c>
      <c r="D120" s="489" t="s">
        <v>141</v>
      </c>
      <c r="E120" s="619">
        <v>39</v>
      </c>
      <c r="F120" s="624">
        <f t="shared" si="6"/>
        <v>25.9</v>
      </c>
      <c r="G120" s="519">
        <f t="shared" si="9"/>
        <v>25.9</v>
      </c>
      <c r="H120" s="519">
        <f t="shared" si="9"/>
        <v>25.9</v>
      </c>
      <c r="I120" s="519">
        <f t="shared" si="9"/>
        <v>25.9</v>
      </c>
      <c r="J120" s="519">
        <f t="shared" si="9"/>
        <v>25.9</v>
      </c>
      <c r="K120" s="519">
        <f t="shared" si="9"/>
        <v>25.9</v>
      </c>
      <c r="L120" s="519">
        <f t="shared" si="9"/>
        <v>25.9</v>
      </c>
      <c r="M120" s="519">
        <f t="shared" si="9"/>
        <v>25.9</v>
      </c>
      <c r="N120" s="519">
        <f t="shared" si="9"/>
        <v>0</v>
      </c>
      <c r="O120" s="519">
        <f t="shared" si="9"/>
        <v>0</v>
      </c>
      <c r="P120" s="519">
        <f t="shared" si="9"/>
        <v>0</v>
      </c>
      <c r="Q120" s="519">
        <f t="shared" si="9"/>
        <v>0</v>
      </c>
      <c r="R120" s="519">
        <f t="shared" si="9"/>
        <v>0</v>
      </c>
      <c r="S120" s="519">
        <f t="shared" si="9"/>
        <v>0</v>
      </c>
      <c r="T120" s="519">
        <f t="shared" si="9"/>
        <v>0</v>
      </c>
      <c r="U120" s="519">
        <f t="shared" si="9"/>
        <v>0</v>
      </c>
      <c r="Y120" s="624">
        <v>25.9</v>
      </c>
      <c r="Z120" s="519">
        <v>0</v>
      </c>
      <c r="AA120" s="519">
        <v>0</v>
      </c>
      <c r="AB120" s="519">
        <v>0</v>
      </c>
      <c r="AC120" s="519">
        <v>0</v>
      </c>
      <c r="AD120" s="519">
        <v>25.9</v>
      </c>
      <c r="AE120" s="519">
        <v>25.9</v>
      </c>
      <c r="AF120" s="519">
        <v>25.9</v>
      </c>
      <c r="AG120" s="519">
        <v>0</v>
      </c>
      <c r="AH120" s="519">
        <v>0</v>
      </c>
      <c r="AI120" s="519">
        <v>0</v>
      </c>
      <c r="AJ120" s="519">
        <v>0</v>
      </c>
      <c r="AK120" s="519">
        <v>0</v>
      </c>
      <c r="AL120" s="519">
        <v>0</v>
      </c>
      <c r="AM120" s="519">
        <v>0</v>
      </c>
      <c r="AN120" s="519">
        <v>0</v>
      </c>
    </row>
    <row r="121" spans="1:40" x14ac:dyDescent="0.3">
      <c r="A121" s="489" t="s">
        <v>1417</v>
      </c>
      <c r="B121" s="489" t="s">
        <v>1418</v>
      </c>
      <c r="C121" s="489" t="s">
        <v>1232</v>
      </c>
      <c r="D121" s="489" t="s">
        <v>1929</v>
      </c>
      <c r="E121" s="619">
        <v>39</v>
      </c>
      <c r="F121" s="624">
        <f t="shared" si="6"/>
        <v>0</v>
      </c>
      <c r="G121" s="519">
        <f t="shared" si="9"/>
        <v>0</v>
      </c>
      <c r="H121" s="519">
        <f t="shared" si="9"/>
        <v>0</v>
      </c>
      <c r="I121" s="519">
        <f t="shared" si="9"/>
        <v>0</v>
      </c>
      <c r="J121" s="519">
        <f t="shared" si="9"/>
        <v>0</v>
      </c>
      <c r="K121" s="519">
        <f t="shared" si="9"/>
        <v>0</v>
      </c>
      <c r="L121" s="519">
        <f t="shared" si="9"/>
        <v>0</v>
      </c>
      <c r="M121" s="519">
        <f t="shared" si="9"/>
        <v>0</v>
      </c>
      <c r="N121" s="519">
        <f t="shared" si="9"/>
        <v>0</v>
      </c>
      <c r="O121" s="519">
        <f t="shared" si="9"/>
        <v>0</v>
      </c>
      <c r="P121" s="519">
        <f t="shared" si="9"/>
        <v>0</v>
      </c>
      <c r="Q121" s="519">
        <f t="shared" si="9"/>
        <v>0</v>
      </c>
      <c r="R121" s="519">
        <f t="shared" si="9"/>
        <v>0</v>
      </c>
      <c r="S121" s="519">
        <f t="shared" si="9"/>
        <v>0</v>
      </c>
      <c r="T121" s="519">
        <f t="shared" si="9"/>
        <v>0</v>
      </c>
      <c r="U121" s="519">
        <f t="shared" si="9"/>
        <v>0</v>
      </c>
      <c r="Y121" s="624">
        <v>0</v>
      </c>
      <c r="Z121" s="519">
        <v>0</v>
      </c>
      <c r="AA121" s="519">
        <v>0</v>
      </c>
      <c r="AB121" s="519">
        <v>0</v>
      </c>
      <c r="AC121" s="519">
        <v>0</v>
      </c>
      <c r="AD121" s="519">
        <v>0</v>
      </c>
      <c r="AE121" s="519">
        <v>0</v>
      </c>
      <c r="AF121" s="519">
        <v>0</v>
      </c>
      <c r="AG121" s="519">
        <v>0</v>
      </c>
      <c r="AH121" s="519">
        <v>0</v>
      </c>
      <c r="AI121" s="519">
        <v>0</v>
      </c>
      <c r="AJ121" s="519">
        <v>0</v>
      </c>
      <c r="AK121" s="519">
        <v>0</v>
      </c>
      <c r="AL121" s="519">
        <v>0</v>
      </c>
      <c r="AM121" s="519">
        <v>0</v>
      </c>
      <c r="AN121" s="519">
        <v>0</v>
      </c>
    </row>
    <row r="122" spans="1:40" x14ac:dyDescent="0.3">
      <c r="A122" s="489" t="s">
        <v>1713</v>
      </c>
      <c r="B122" s="489" t="s">
        <v>1714</v>
      </c>
      <c r="C122" s="489" t="s">
        <v>1841</v>
      </c>
      <c r="D122" s="489" t="s">
        <v>1929</v>
      </c>
      <c r="E122" s="619">
        <v>38</v>
      </c>
      <c r="F122" s="624">
        <f t="shared" si="6"/>
        <v>0</v>
      </c>
      <c r="G122" s="519">
        <f t="shared" si="9"/>
        <v>0</v>
      </c>
      <c r="H122" s="519">
        <f t="shared" si="9"/>
        <v>0</v>
      </c>
      <c r="I122" s="519">
        <f t="shared" si="9"/>
        <v>0</v>
      </c>
      <c r="J122" s="519">
        <f t="shared" si="9"/>
        <v>0</v>
      </c>
      <c r="K122" s="519">
        <f t="shared" si="9"/>
        <v>0</v>
      </c>
      <c r="L122" s="519">
        <f t="shared" si="9"/>
        <v>0</v>
      </c>
      <c r="M122" s="519">
        <f t="shared" si="9"/>
        <v>0</v>
      </c>
      <c r="N122" s="519">
        <f t="shared" si="9"/>
        <v>0</v>
      </c>
      <c r="O122" s="519">
        <f t="shared" si="9"/>
        <v>0</v>
      </c>
      <c r="P122" s="519">
        <f t="shared" si="9"/>
        <v>0</v>
      </c>
      <c r="Q122" s="519">
        <f t="shared" si="9"/>
        <v>0</v>
      </c>
      <c r="R122" s="519">
        <f t="shared" si="9"/>
        <v>0</v>
      </c>
      <c r="S122" s="519">
        <f t="shared" si="9"/>
        <v>0</v>
      </c>
      <c r="T122" s="519">
        <f t="shared" si="9"/>
        <v>0</v>
      </c>
      <c r="U122" s="519">
        <f t="shared" si="9"/>
        <v>0</v>
      </c>
      <c r="Y122" s="624">
        <v>0</v>
      </c>
      <c r="Z122" s="519">
        <v>0</v>
      </c>
      <c r="AA122" s="519">
        <v>0</v>
      </c>
      <c r="AB122" s="519">
        <v>0</v>
      </c>
      <c r="AC122" s="519">
        <v>0</v>
      </c>
      <c r="AD122" s="519">
        <v>0</v>
      </c>
      <c r="AE122" s="519">
        <v>0</v>
      </c>
      <c r="AF122" s="519">
        <v>0</v>
      </c>
      <c r="AG122" s="519">
        <v>0</v>
      </c>
      <c r="AH122" s="519">
        <v>0</v>
      </c>
      <c r="AI122" s="519">
        <v>0</v>
      </c>
      <c r="AJ122" s="519">
        <v>0</v>
      </c>
      <c r="AK122" s="519">
        <v>0</v>
      </c>
      <c r="AL122" s="519">
        <v>0</v>
      </c>
      <c r="AM122" s="519">
        <v>0</v>
      </c>
      <c r="AN122" s="519">
        <v>0</v>
      </c>
    </row>
    <row r="123" spans="1:40" x14ac:dyDescent="0.3">
      <c r="A123" s="489" t="s">
        <v>1715</v>
      </c>
      <c r="B123" s="489" t="s">
        <v>1716</v>
      </c>
      <c r="C123" s="489" t="s">
        <v>1716</v>
      </c>
      <c r="D123" s="489" t="s">
        <v>141</v>
      </c>
      <c r="E123" s="619">
        <v>38</v>
      </c>
      <c r="F123" s="624">
        <f t="shared" si="6"/>
        <v>17.840540540540541</v>
      </c>
      <c r="G123" s="519">
        <f t="shared" si="9"/>
        <v>17.8</v>
      </c>
      <c r="H123" s="519">
        <f t="shared" si="9"/>
        <v>17.8</v>
      </c>
      <c r="I123" s="519">
        <f t="shared" si="9"/>
        <v>17.587499999999999</v>
      </c>
      <c r="J123" s="519">
        <f t="shared" si="9"/>
        <v>18.600000000000001</v>
      </c>
      <c r="K123" s="519">
        <f t="shared" si="9"/>
        <v>18.600000000000001</v>
      </c>
      <c r="L123" s="519">
        <f t="shared" si="9"/>
        <v>18.600000000000001</v>
      </c>
      <c r="M123" s="519">
        <f t="shared" si="9"/>
        <v>0</v>
      </c>
      <c r="N123" s="519">
        <f t="shared" si="9"/>
        <v>0</v>
      </c>
      <c r="O123" s="519">
        <f t="shared" si="9"/>
        <v>0</v>
      </c>
      <c r="P123" s="519">
        <f t="shared" si="9"/>
        <v>0</v>
      </c>
      <c r="Q123" s="519">
        <f t="shared" si="9"/>
        <v>0</v>
      </c>
      <c r="R123" s="519">
        <f t="shared" si="9"/>
        <v>0</v>
      </c>
      <c r="S123" s="519">
        <f t="shared" si="9"/>
        <v>0</v>
      </c>
      <c r="T123" s="519">
        <f t="shared" si="9"/>
        <v>0</v>
      </c>
      <c r="U123" s="519">
        <f t="shared" si="9"/>
        <v>0</v>
      </c>
      <c r="Y123" s="624">
        <v>17.840540540540541</v>
      </c>
      <c r="Z123" s="519">
        <v>17.8</v>
      </c>
      <c r="AA123" s="519">
        <v>17.8</v>
      </c>
      <c r="AB123" s="519">
        <v>17.587499999999999</v>
      </c>
      <c r="AC123" s="519">
        <v>18.600000000000001</v>
      </c>
      <c r="AD123" s="519">
        <v>18.600000000000001</v>
      </c>
      <c r="AE123" s="519">
        <v>18.600000000000001</v>
      </c>
      <c r="AF123" s="519">
        <v>0</v>
      </c>
      <c r="AG123" s="519">
        <v>0</v>
      </c>
      <c r="AH123" s="519">
        <v>0</v>
      </c>
      <c r="AI123" s="519">
        <v>0</v>
      </c>
      <c r="AJ123" s="519">
        <v>0</v>
      </c>
      <c r="AK123" s="519">
        <v>0</v>
      </c>
      <c r="AL123" s="519">
        <v>0</v>
      </c>
      <c r="AM123" s="519">
        <v>0</v>
      </c>
      <c r="AN123" s="519">
        <v>0</v>
      </c>
    </row>
    <row r="124" spans="1:40" x14ac:dyDescent="0.3">
      <c r="A124" s="489" t="s">
        <v>1414</v>
      </c>
      <c r="B124" s="489" t="s">
        <v>1717</v>
      </c>
      <c r="C124" s="489" t="s">
        <v>1842</v>
      </c>
      <c r="D124" s="489" t="s">
        <v>141</v>
      </c>
      <c r="E124" s="619">
        <v>38</v>
      </c>
      <c r="F124" s="624">
        <f t="shared" si="6"/>
        <v>17.266666666666666</v>
      </c>
      <c r="G124" s="519">
        <f t="shared" si="9"/>
        <v>18.3</v>
      </c>
      <c r="H124" s="519">
        <f t="shared" si="9"/>
        <v>16.964285714285715</v>
      </c>
      <c r="I124" s="519">
        <f t="shared" si="9"/>
        <v>17.066666666666666</v>
      </c>
      <c r="J124" s="519">
        <f t="shared" si="9"/>
        <v>0</v>
      </c>
      <c r="K124" s="519">
        <f t="shared" si="9"/>
        <v>0</v>
      </c>
      <c r="L124" s="519">
        <f t="shared" si="9"/>
        <v>0</v>
      </c>
      <c r="M124" s="519">
        <f t="shared" si="9"/>
        <v>0</v>
      </c>
      <c r="N124" s="519">
        <f t="shared" si="9"/>
        <v>0</v>
      </c>
      <c r="O124" s="519">
        <f t="shared" si="9"/>
        <v>0</v>
      </c>
      <c r="P124" s="519">
        <f t="shared" si="9"/>
        <v>0</v>
      </c>
      <c r="Q124" s="519">
        <f t="shared" si="9"/>
        <v>0</v>
      </c>
      <c r="R124" s="519">
        <f t="shared" si="9"/>
        <v>0</v>
      </c>
      <c r="S124" s="519">
        <f t="shared" si="9"/>
        <v>0</v>
      </c>
      <c r="T124" s="519">
        <f t="shared" si="9"/>
        <v>0</v>
      </c>
      <c r="U124" s="519">
        <f t="shared" si="9"/>
        <v>0</v>
      </c>
      <c r="Y124" s="624">
        <v>17.266666666666666</v>
      </c>
      <c r="Z124" s="519">
        <v>18.3</v>
      </c>
      <c r="AA124" s="519">
        <v>16.964285714285715</v>
      </c>
      <c r="AB124" s="519">
        <v>17.066666666666666</v>
      </c>
      <c r="AC124" s="519">
        <v>0</v>
      </c>
      <c r="AD124" s="519">
        <v>0</v>
      </c>
      <c r="AE124" s="519">
        <v>0</v>
      </c>
      <c r="AF124" s="519">
        <v>0</v>
      </c>
      <c r="AG124" s="519">
        <v>0</v>
      </c>
      <c r="AH124" s="519">
        <v>0</v>
      </c>
      <c r="AI124" s="519">
        <v>0</v>
      </c>
      <c r="AJ124" s="519">
        <v>0</v>
      </c>
      <c r="AK124" s="519">
        <v>0</v>
      </c>
      <c r="AL124" s="519">
        <v>0</v>
      </c>
      <c r="AM124" s="519">
        <v>0</v>
      </c>
      <c r="AN124" s="519">
        <v>0</v>
      </c>
    </row>
    <row r="125" spans="1:40" x14ac:dyDescent="0.3">
      <c r="A125" s="489" t="s">
        <v>1441</v>
      </c>
      <c r="B125" s="489" t="s">
        <v>1718</v>
      </c>
      <c r="C125" s="489" t="s">
        <v>1843</v>
      </c>
      <c r="D125" s="489" t="s">
        <v>46</v>
      </c>
      <c r="E125" s="619">
        <v>37</v>
      </c>
      <c r="F125" s="624">
        <f t="shared" si="6"/>
        <v>0</v>
      </c>
      <c r="G125" s="519">
        <f t="shared" si="9"/>
        <v>0</v>
      </c>
      <c r="H125" s="519">
        <f t="shared" si="9"/>
        <v>0</v>
      </c>
      <c r="I125" s="519">
        <f t="shared" si="9"/>
        <v>0</v>
      </c>
      <c r="J125" s="519">
        <f t="shared" si="9"/>
        <v>0</v>
      </c>
      <c r="K125" s="519">
        <f t="shared" si="9"/>
        <v>0</v>
      </c>
      <c r="L125" s="519">
        <f t="shared" si="9"/>
        <v>0</v>
      </c>
      <c r="M125" s="519">
        <f t="shared" si="9"/>
        <v>0</v>
      </c>
      <c r="N125" s="519">
        <f t="shared" si="9"/>
        <v>0</v>
      </c>
      <c r="O125" s="519">
        <f t="shared" si="9"/>
        <v>0</v>
      </c>
      <c r="P125" s="519">
        <f t="shared" si="9"/>
        <v>0</v>
      </c>
      <c r="Q125" s="519">
        <f t="shared" si="9"/>
        <v>0</v>
      </c>
      <c r="R125" s="519">
        <f t="shared" si="9"/>
        <v>0</v>
      </c>
      <c r="S125" s="519">
        <f t="shared" si="9"/>
        <v>0</v>
      </c>
      <c r="T125" s="519">
        <f t="shared" si="9"/>
        <v>0</v>
      </c>
      <c r="U125" s="519">
        <f t="shared" si="9"/>
        <v>0</v>
      </c>
      <c r="Y125" s="624">
        <v>0</v>
      </c>
      <c r="Z125" s="519">
        <v>0</v>
      </c>
      <c r="AA125" s="519">
        <v>0</v>
      </c>
      <c r="AB125" s="519">
        <v>0</v>
      </c>
      <c r="AC125" s="519">
        <v>0</v>
      </c>
      <c r="AD125" s="519">
        <v>0</v>
      </c>
      <c r="AE125" s="519">
        <v>0</v>
      </c>
      <c r="AF125" s="519">
        <v>0</v>
      </c>
      <c r="AG125" s="519">
        <v>0</v>
      </c>
      <c r="AH125" s="519">
        <v>0</v>
      </c>
      <c r="AI125" s="519">
        <v>0</v>
      </c>
      <c r="AJ125" s="519">
        <v>0</v>
      </c>
      <c r="AK125" s="519">
        <v>0</v>
      </c>
      <c r="AL125" s="519">
        <v>0</v>
      </c>
      <c r="AM125" s="519">
        <v>0</v>
      </c>
      <c r="AN125" s="519">
        <v>0</v>
      </c>
    </row>
    <row r="126" spans="1:40" x14ac:dyDescent="0.3">
      <c r="A126" s="489" t="s">
        <v>1694</v>
      </c>
      <c r="B126" s="489" t="s">
        <v>1719</v>
      </c>
      <c r="C126" s="489" t="s">
        <v>1844</v>
      </c>
      <c r="D126" s="489" t="s">
        <v>46</v>
      </c>
      <c r="E126" s="619">
        <v>36</v>
      </c>
      <c r="F126" s="624">
        <f t="shared" si="6"/>
        <v>0</v>
      </c>
      <c r="G126" s="519">
        <f t="shared" si="9"/>
        <v>0</v>
      </c>
      <c r="H126" s="519">
        <f t="shared" si="9"/>
        <v>0</v>
      </c>
      <c r="I126" s="519">
        <f t="shared" si="9"/>
        <v>0</v>
      </c>
      <c r="J126" s="519">
        <f t="shared" si="9"/>
        <v>0</v>
      </c>
      <c r="K126" s="519">
        <f t="shared" si="9"/>
        <v>0</v>
      </c>
      <c r="L126" s="519">
        <f t="shared" si="9"/>
        <v>0</v>
      </c>
      <c r="M126" s="519">
        <f t="shared" si="9"/>
        <v>0</v>
      </c>
      <c r="N126" s="519">
        <f t="shared" si="9"/>
        <v>0</v>
      </c>
      <c r="O126" s="519">
        <f t="shared" si="9"/>
        <v>0</v>
      </c>
      <c r="P126" s="519">
        <f t="shared" si="9"/>
        <v>0</v>
      </c>
      <c r="Q126" s="519">
        <f t="shared" si="9"/>
        <v>0</v>
      </c>
      <c r="R126" s="519">
        <f t="shared" si="9"/>
        <v>0</v>
      </c>
      <c r="S126" s="519">
        <f t="shared" si="9"/>
        <v>0</v>
      </c>
      <c r="T126" s="519">
        <f t="shared" si="9"/>
        <v>0</v>
      </c>
      <c r="U126" s="519">
        <f t="shared" si="9"/>
        <v>0</v>
      </c>
      <c r="Y126" s="624">
        <v>0</v>
      </c>
      <c r="Z126" s="519">
        <v>0</v>
      </c>
      <c r="AA126" s="519">
        <v>0</v>
      </c>
      <c r="AB126" s="519">
        <v>0</v>
      </c>
      <c r="AC126" s="519">
        <v>0</v>
      </c>
      <c r="AD126" s="519">
        <v>0</v>
      </c>
      <c r="AE126" s="519">
        <v>0</v>
      </c>
      <c r="AF126" s="519">
        <v>0</v>
      </c>
      <c r="AG126" s="519">
        <v>0</v>
      </c>
      <c r="AH126" s="519">
        <v>0</v>
      </c>
      <c r="AI126" s="519">
        <v>0</v>
      </c>
      <c r="AJ126" s="519">
        <v>0</v>
      </c>
      <c r="AK126" s="519">
        <v>0</v>
      </c>
      <c r="AL126" s="519">
        <v>0</v>
      </c>
      <c r="AM126" s="519">
        <v>0</v>
      </c>
      <c r="AN126" s="519">
        <v>0</v>
      </c>
    </row>
    <row r="127" spans="1:40" x14ac:dyDescent="0.3">
      <c r="A127" s="489" t="s">
        <v>1544</v>
      </c>
      <c r="B127" s="489" t="s">
        <v>1720</v>
      </c>
      <c r="C127" s="489" t="s">
        <v>1845</v>
      </c>
      <c r="D127" s="489" t="s">
        <v>46</v>
      </c>
      <c r="E127" s="619">
        <v>36</v>
      </c>
      <c r="F127" s="624">
        <f t="shared" si="6"/>
        <v>0</v>
      </c>
      <c r="G127" s="519">
        <f t="shared" si="9"/>
        <v>0</v>
      </c>
      <c r="H127" s="519">
        <f t="shared" si="9"/>
        <v>0</v>
      </c>
      <c r="I127" s="519">
        <f t="shared" si="9"/>
        <v>0</v>
      </c>
      <c r="J127" s="519">
        <f t="shared" si="9"/>
        <v>0</v>
      </c>
      <c r="K127" s="519">
        <f t="shared" si="9"/>
        <v>0</v>
      </c>
      <c r="L127" s="519">
        <f t="shared" si="9"/>
        <v>0</v>
      </c>
      <c r="M127" s="519">
        <f t="shared" si="9"/>
        <v>0</v>
      </c>
      <c r="N127" s="519">
        <f t="shared" si="9"/>
        <v>0</v>
      </c>
      <c r="O127" s="519">
        <f t="shared" si="9"/>
        <v>0</v>
      </c>
      <c r="P127" s="519">
        <f t="shared" si="9"/>
        <v>0</v>
      </c>
      <c r="Q127" s="519">
        <f t="shared" si="9"/>
        <v>0</v>
      </c>
      <c r="R127" s="519">
        <f t="shared" si="9"/>
        <v>0</v>
      </c>
      <c r="S127" s="519">
        <f t="shared" si="9"/>
        <v>0</v>
      </c>
      <c r="T127" s="519">
        <f t="shared" si="9"/>
        <v>0</v>
      </c>
      <c r="U127" s="519">
        <f t="shared" si="9"/>
        <v>0</v>
      </c>
      <c r="Y127" s="624">
        <v>0</v>
      </c>
      <c r="Z127" s="519">
        <v>0</v>
      </c>
      <c r="AA127" s="519">
        <v>0</v>
      </c>
      <c r="AB127" s="519">
        <v>0</v>
      </c>
      <c r="AC127" s="519">
        <v>0</v>
      </c>
      <c r="AD127" s="519">
        <v>0</v>
      </c>
      <c r="AE127" s="519">
        <v>0</v>
      </c>
      <c r="AF127" s="519">
        <v>0</v>
      </c>
      <c r="AG127" s="519">
        <v>0</v>
      </c>
      <c r="AH127" s="519">
        <v>0</v>
      </c>
      <c r="AI127" s="519">
        <v>0</v>
      </c>
      <c r="AJ127" s="519">
        <v>0</v>
      </c>
      <c r="AK127" s="519">
        <v>0</v>
      </c>
      <c r="AL127" s="519">
        <v>0</v>
      </c>
      <c r="AM127" s="519">
        <v>0</v>
      </c>
      <c r="AN127" s="519">
        <v>0</v>
      </c>
    </row>
    <row r="128" spans="1:40" x14ac:dyDescent="0.3">
      <c r="A128" s="489" t="s">
        <v>1414</v>
      </c>
      <c r="B128" s="489" t="s">
        <v>1721</v>
      </c>
      <c r="C128" s="489" t="s">
        <v>1846</v>
      </c>
      <c r="D128" s="489" t="s">
        <v>46</v>
      </c>
      <c r="E128" s="619">
        <v>35</v>
      </c>
      <c r="F128" s="624">
        <f t="shared" si="6"/>
        <v>0</v>
      </c>
      <c r="G128" s="519">
        <f t="shared" si="9"/>
        <v>0</v>
      </c>
      <c r="H128" s="519">
        <f t="shared" si="9"/>
        <v>0</v>
      </c>
      <c r="I128" s="519">
        <f t="shared" si="9"/>
        <v>0</v>
      </c>
      <c r="J128" s="519">
        <f t="shared" si="9"/>
        <v>0</v>
      </c>
      <c r="K128" s="519">
        <f t="shared" si="9"/>
        <v>0</v>
      </c>
      <c r="L128" s="519">
        <f t="shared" si="9"/>
        <v>0</v>
      </c>
      <c r="M128" s="519">
        <f t="shared" si="9"/>
        <v>0</v>
      </c>
      <c r="N128" s="519">
        <f t="shared" si="9"/>
        <v>0</v>
      </c>
      <c r="O128" s="519">
        <f t="shared" si="9"/>
        <v>0</v>
      </c>
      <c r="P128" s="519">
        <f t="shared" si="9"/>
        <v>0</v>
      </c>
      <c r="Q128" s="519">
        <f t="shared" si="9"/>
        <v>0</v>
      </c>
      <c r="R128" s="519">
        <f t="shared" si="9"/>
        <v>0</v>
      </c>
      <c r="S128" s="519">
        <f t="shared" si="9"/>
        <v>0</v>
      </c>
      <c r="T128" s="519">
        <f t="shared" si="9"/>
        <v>0</v>
      </c>
      <c r="U128" s="519">
        <f t="shared" si="9"/>
        <v>0</v>
      </c>
      <c r="Y128" s="624">
        <v>0</v>
      </c>
      <c r="Z128" s="519">
        <v>0</v>
      </c>
      <c r="AA128" s="519">
        <v>0</v>
      </c>
      <c r="AB128" s="519">
        <v>0</v>
      </c>
      <c r="AC128" s="519">
        <v>0</v>
      </c>
      <c r="AD128" s="519">
        <v>0</v>
      </c>
      <c r="AE128" s="519">
        <v>0</v>
      </c>
      <c r="AF128" s="519">
        <v>0</v>
      </c>
      <c r="AG128" s="519">
        <v>0</v>
      </c>
      <c r="AH128" s="519">
        <v>0</v>
      </c>
      <c r="AI128" s="519">
        <v>0</v>
      </c>
      <c r="AJ128" s="519">
        <v>0</v>
      </c>
      <c r="AK128" s="519">
        <v>0</v>
      </c>
      <c r="AL128" s="519">
        <v>0</v>
      </c>
      <c r="AM128" s="519">
        <v>0</v>
      </c>
      <c r="AN128" s="519">
        <v>0</v>
      </c>
    </row>
    <row r="129" spans="1:40" x14ac:dyDescent="0.3">
      <c r="A129" s="489" t="s">
        <v>1677</v>
      </c>
      <c r="B129" s="489" t="s">
        <v>1722</v>
      </c>
      <c r="C129" s="489" t="s">
        <v>1847</v>
      </c>
      <c r="D129" s="489" t="s">
        <v>46</v>
      </c>
      <c r="E129" s="619">
        <v>35</v>
      </c>
      <c r="F129" s="624">
        <f t="shared" si="6"/>
        <v>0</v>
      </c>
      <c r="G129" s="519">
        <f t="shared" si="9"/>
        <v>0</v>
      </c>
      <c r="H129" s="519">
        <f t="shared" si="9"/>
        <v>0</v>
      </c>
      <c r="I129" s="519">
        <f t="shared" si="9"/>
        <v>0</v>
      </c>
      <c r="J129" s="519">
        <f t="shared" si="9"/>
        <v>0</v>
      </c>
      <c r="K129" s="519">
        <f t="shared" si="9"/>
        <v>0</v>
      </c>
      <c r="L129" s="519">
        <f t="shared" si="9"/>
        <v>0</v>
      </c>
      <c r="M129" s="519">
        <f t="shared" si="9"/>
        <v>0</v>
      </c>
      <c r="N129" s="519">
        <f t="shared" si="9"/>
        <v>0</v>
      </c>
      <c r="O129" s="519">
        <f t="shared" si="9"/>
        <v>0</v>
      </c>
      <c r="P129" s="519">
        <f t="shared" si="9"/>
        <v>0</v>
      </c>
      <c r="Q129" s="519">
        <f t="shared" si="9"/>
        <v>0</v>
      </c>
      <c r="R129" s="519">
        <f t="shared" si="9"/>
        <v>0</v>
      </c>
      <c r="S129" s="519">
        <f t="shared" si="9"/>
        <v>0</v>
      </c>
      <c r="T129" s="519">
        <f t="shared" si="9"/>
        <v>0</v>
      </c>
      <c r="U129" s="519">
        <f t="shared" si="9"/>
        <v>0</v>
      </c>
      <c r="Y129" s="624">
        <v>0</v>
      </c>
      <c r="Z129" s="519">
        <v>0</v>
      </c>
      <c r="AA129" s="519">
        <v>0</v>
      </c>
      <c r="AB129" s="519">
        <v>0</v>
      </c>
      <c r="AC129" s="519">
        <v>0</v>
      </c>
      <c r="AD129" s="519">
        <v>0</v>
      </c>
      <c r="AE129" s="519">
        <v>0</v>
      </c>
      <c r="AF129" s="519">
        <v>0</v>
      </c>
      <c r="AG129" s="519">
        <v>0</v>
      </c>
      <c r="AH129" s="519">
        <v>0</v>
      </c>
      <c r="AI129" s="519">
        <v>0</v>
      </c>
      <c r="AJ129" s="519">
        <v>0</v>
      </c>
      <c r="AK129" s="519">
        <v>0</v>
      </c>
      <c r="AL129" s="519">
        <v>0</v>
      </c>
      <c r="AM129" s="519">
        <v>0</v>
      </c>
      <c r="AN129" s="519">
        <v>0</v>
      </c>
    </row>
    <row r="130" spans="1:40" x14ac:dyDescent="0.3">
      <c r="A130" s="489" t="s">
        <v>1694</v>
      </c>
      <c r="B130" s="489" t="s">
        <v>1723</v>
      </c>
      <c r="C130" s="489" t="s">
        <v>1848</v>
      </c>
      <c r="D130" s="489" t="s">
        <v>46</v>
      </c>
      <c r="E130" s="619">
        <v>35</v>
      </c>
      <c r="F130" s="624">
        <f t="shared" si="6"/>
        <v>0</v>
      </c>
      <c r="G130" s="519">
        <f t="shared" ref="G130:U145" si="10">IF(Z130&gt;0,Z130,IF(H130&gt;0,H130,0))</f>
        <v>0</v>
      </c>
      <c r="H130" s="519">
        <f t="shared" si="10"/>
        <v>0</v>
      </c>
      <c r="I130" s="519">
        <f t="shared" si="10"/>
        <v>0</v>
      </c>
      <c r="J130" s="519">
        <f t="shared" si="10"/>
        <v>0</v>
      </c>
      <c r="K130" s="519">
        <f t="shared" si="10"/>
        <v>0</v>
      </c>
      <c r="L130" s="519">
        <f t="shared" si="10"/>
        <v>0</v>
      </c>
      <c r="M130" s="519">
        <f t="shared" si="10"/>
        <v>0</v>
      </c>
      <c r="N130" s="519">
        <f t="shared" si="10"/>
        <v>0</v>
      </c>
      <c r="O130" s="519">
        <f t="shared" si="10"/>
        <v>0</v>
      </c>
      <c r="P130" s="519">
        <f t="shared" si="10"/>
        <v>0</v>
      </c>
      <c r="Q130" s="519">
        <f t="shared" si="10"/>
        <v>0</v>
      </c>
      <c r="R130" s="519">
        <f t="shared" si="10"/>
        <v>0</v>
      </c>
      <c r="S130" s="519">
        <f t="shared" si="10"/>
        <v>0</v>
      </c>
      <c r="T130" s="519">
        <f t="shared" si="10"/>
        <v>0</v>
      </c>
      <c r="U130" s="519">
        <f t="shared" si="10"/>
        <v>0</v>
      </c>
      <c r="Y130" s="624">
        <v>0</v>
      </c>
      <c r="Z130" s="519">
        <v>0</v>
      </c>
      <c r="AA130" s="519">
        <v>0</v>
      </c>
      <c r="AB130" s="519">
        <v>0</v>
      </c>
      <c r="AC130" s="519">
        <v>0</v>
      </c>
      <c r="AD130" s="519">
        <v>0</v>
      </c>
      <c r="AE130" s="519">
        <v>0</v>
      </c>
      <c r="AF130" s="519">
        <v>0</v>
      </c>
      <c r="AG130" s="519">
        <v>0</v>
      </c>
      <c r="AH130" s="519">
        <v>0</v>
      </c>
      <c r="AI130" s="519">
        <v>0</v>
      </c>
      <c r="AJ130" s="519">
        <v>0</v>
      </c>
      <c r="AK130" s="519">
        <v>0</v>
      </c>
      <c r="AL130" s="519">
        <v>0</v>
      </c>
      <c r="AM130" s="519">
        <v>0</v>
      </c>
      <c r="AN130" s="519">
        <v>0</v>
      </c>
    </row>
    <row r="131" spans="1:40" x14ac:dyDescent="0.3">
      <c r="A131" s="489" t="s">
        <v>1414</v>
      </c>
      <c r="B131" s="489" t="s">
        <v>1724</v>
      </c>
      <c r="C131" s="489" t="s">
        <v>1849</v>
      </c>
      <c r="D131" s="489" t="s">
        <v>46</v>
      </c>
      <c r="E131" s="619">
        <v>34</v>
      </c>
      <c r="F131" s="624">
        <f t="shared" ref="F131:F194" si="11">Y131</f>
        <v>0</v>
      </c>
      <c r="G131" s="519">
        <f t="shared" si="10"/>
        <v>0</v>
      </c>
      <c r="H131" s="519">
        <f t="shared" si="10"/>
        <v>0</v>
      </c>
      <c r="I131" s="519">
        <f t="shared" si="10"/>
        <v>0</v>
      </c>
      <c r="J131" s="519">
        <f t="shared" si="10"/>
        <v>0</v>
      </c>
      <c r="K131" s="519">
        <f t="shared" si="10"/>
        <v>0</v>
      </c>
      <c r="L131" s="519">
        <f t="shared" si="10"/>
        <v>0</v>
      </c>
      <c r="M131" s="519">
        <f t="shared" si="10"/>
        <v>0</v>
      </c>
      <c r="N131" s="519">
        <f t="shared" si="10"/>
        <v>0</v>
      </c>
      <c r="O131" s="519">
        <f t="shared" si="10"/>
        <v>0</v>
      </c>
      <c r="P131" s="519">
        <f t="shared" si="10"/>
        <v>0</v>
      </c>
      <c r="Q131" s="519">
        <f t="shared" si="10"/>
        <v>0</v>
      </c>
      <c r="R131" s="519">
        <f t="shared" si="10"/>
        <v>0</v>
      </c>
      <c r="S131" s="519">
        <f t="shared" si="10"/>
        <v>0</v>
      </c>
      <c r="T131" s="519">
        <f t="shared" si="10"/>
        <v>0</v>
      </c>
      <c r="U131" s="519">
        <f t="shared" si="10"/>
        <v>0</v>
      </c>
      <c r="Y131" s="624">
        <v>0</v>
      </c>
      <c r="Z131" s="519">
        <v>0</v>
      </c>
      <c r="AA131" s="519">
        <v>0</v>
      </c>
      <c r="AB131" s="519">
        <v>0</v>
      </c>
      <c r="AC131" s="519">
        <v>0</v>
      </c>
      <c r="AD131" s="519">
        <v>0</v>
      </c>
      <c r="AE131" s="519">
        <v>0</v>
      </c>
      <c r="AF131" s="519">
        <v>0</v>
      </c>
      <c r="AG131" s="519">
        <v>0</v>
      </c>
      <c r="AH131" s="519">
        <v>0</v>
      </c>
      <c r="AI131" s="519">
        <v>0</v>
      </c>
      <c r="AJ131" s="519">
        <v>0</v>
      </c>
      <c r="AK131" s="519">
        <v>0</v>
      </c>
      <c r="AL131" s="519">
        <v>0</v>
      </c>
      <c r="AM131" s="519">
        <v>0</v>
      </c>
      <c r="AN131" s="519">
        <v>0</v>
      </c>
    </row>
    <row r="132" spans="1:40" x14ac:dyDescent="0.3">
      <c r="A132" s="489" t="s">
        <v>1414</v>
      </c>
      <c r="B132" s="489" t="s">
        <v>1725</v>
      </c>
      <c r="C132" s="489" t="s">
        <v>1850</v>
      </c>
      <c r="D132" s="489" t="s">
        <v>141</v>
      </c>
      <c r="E132" s="619">
        <v>34</v>
      </c>
      <c r="F132" s="624">
        <f t="shared" si="11"/>
        <v>17.524999999999999</v>
      </c>
      <c r="G132" s="519">
        <f t="shared" si="10"/>
        <v>15.725</v>
      </c>
      <c r="H132" s="519">
        <f t="shared" si="10"/>
        <v>15.725</v>
      </c>
      <c r="I132" s="519">
        <f t="shared" si="10"/>
        <v>17.537500000000001</v>
      </c>
      <c r="J132" s="519">
        <f t="shared" si="10"/>
        <v>17.96875</v>
      </c>
      <c r="K132" s="519">
        <f t="shared" si="10"/>
        <v>0</v>
      </c>
      <c r="L132" s="519">
        <f t="shared" si="10"/>
        <v>0</v>
      </c>
      <c r="M132" s="519">
        <f t="shared" si="10"/>
        <v>0</v>
      </c>
      <c r="N132" s="519">
        <f t="shared" si="10"/>
        <v>0</v>
      </c>
      <c r="O132" s="519">
        <f t="shared" si="10"/>
        <v>0</v>
      </c>
      <c r="P132" s="519">
        <f t="shared" si="10"/>
        <v>0</v>
      </c>
      <c r="Q132" s="519">
        <f t="shared" si="10"/>
        <v>0</v>
      </c>
      <c r="R132" s="519">
        <f t="shared" si="10"/>
        <v>0</v>
      </c>
      <c r="S132" s="519">
        <f t="shared" si="10"/>
        <v>0</v>
      </c>
      <c r="T132" s="519">
        <f t="shared" si="10"/>
        <v>0</v>
      </c>
      <c r="U132" s="519">
        <f t="shared" si="10"/>
        <v>0</v>
      </c>
      <c r="Y132" s="624">
        <v>17.524999999999999</v>
      </c>
      <c r="Z132" s="519">
        <v>0</v>
      </c>
      <c r="AA132" s="519">
        <v>15.725</v>
      </c>
      <c r="AB132" s="519">
        <v>17.537500000000001</v>
      </c>
      <c r="AC132" s="519">
        <v>17.96875</v>
      </c>
      <c r="AD132" s="519">
        <v>0</v>
      </c>
      <c r="AE132" s="519">
        <v>0</v>
      </c>
      <c r="AF132" s="519">
        <v>0</v>
      </c>
      <c r="AG132" s="519">
        <v>0</v>
      </c>
      <c r="AH132" s="519">
        <v>0</v>
      </c>
      <c r="AI132" s="519">
        <v>0</v>
      </c>
      <c r="AJ132" s="519">
        <v>0</v>
      </c>
      <c r="AK132" s="519">
        <v>0</v>
      </c>
      <c r="AL132" s="519">
        <v>0</v>
      </c>
      <c r="AM132" s="519">
        <v>0</v>
      </c>
      <c r="AN132" s="519">
        <v>0</v>
      </c>
    </row>
    <row r="133" spans="1:40" x14ac:dyDescent="0.3">
      <c r="A133" s="489" t="s">
        <v>1426</v>
      </c>
      <c r="B133" s="489" t="s">
        <v>1726</v>
      </c>
      <c r="C133" s="489" t="s">
        <v>1726</v>
      </c>
      <c r="D133" s="489" t="s">
        <v>46</v>
      </c>
      <c r="E133" s="619">
        <v>33</v>
      </c>
      <c r="F133" s="624">
        <f t="shared" si="11"/>
        <v>0</v>
      </c>
      <c r="G133" s="519">
        <f t="shared" si="10"/>
        <v>0</v>
      </c>
      <c r="H133" s="519">
        <f t="shared" si="10"/>
        <v>0</v>
      </c>
      <c r="I133" s="519">
        <f t="shared" si="10"/>
        <v>0</v>
      </c>
      <c r="J133" s="519">
        <f t="shared" si="10"/>
        <v>0</v>
      </c>
      <c r="K133" s="519">
        <f t="shared" si="10"/>
        <v>0</v>
      </c>
      <c r="L133" s="519">
        <f t="shared" si="10"/>
        <v>0</v>
      </c>
      <c r="M133" s="519">
        <f t="shared" si="10"/>
        <v>0</v>
      </c>
      <c r="N133" s="519">
        <f t="shared" si="10"/>
        <v>0</v>
      </c>
      <c r="O133" s="519">
        <f t="shared" si="10"/>
        <v>0</v>
      </c>
      <c r="P133" s="519">
        <f t="shared" si="10"/>
        <v>0</v>
      </c>
      <c r="Q133" s="519">
        <f t="shared" si="10"/>
        <v>0</v>
      </c>
      <c r="R133" s="519">
        <f t="shared" si="10"/>
        <v>0</v>
      </c>
      <c r="S133" s="519">
        <f t="shared" si="10"/>
        <v>0</v>
      </c>
      <c r="T133" s="519">
        <f t="shared" si="10"/>
        <v>0</v>
      </c>
      <c r="U133" s="519">
        <f t="shared" si="10"/>
        <v>0</v>
      </c>
      <c r="Y133" s="624">
        <v>0</v>
      </c>
      <c r="Z133" s="519">
        <v>0</v>
      </c>
      <c r="AA133" s="519">
        <v>0</v>
      </c>
      <c r="AB133" s="519">
        <v>0</v>
      </c>
      <c r="AC133" s="519">
        <v>0</v>
      </c>
      <c r="AD133" s="519">
        <v>0</v>
      </c>
      <c r="AE133" s="519">
        <v>0</v>
      </c>
      <c r="AF133" s="519">
        <v>0</v>
      </c>
      <c r="AG133" s="519">
        <v>0</v>
      </c>
      <c r="AH133" s="519">
        <v>0</v>
      </c>
      <c r="AI133" s="519">
        <v>0</v>
      </c>
      <c r="AJ133" s="519">
        <v>0</v>
      </c>
      <c r="AK133" s="519">
        <v>0</v>
      </c>
      <c r="AL133" s="519">
        <v>0</v>
      </c>
      <c r="AM133" s="519">
        <v>0</v>
      </c>
      <c r="AN133" s="519">
        <v>0</v>
      </c>
    </row>
    <row r="134" spans="1:40" x14ac:dyDescent="0.3">
      <c r="A134" s="489" t="s">
        <v>1414</v>
      </c>
      <c r="B134" s="489" t="s">
        <v>1727</v>
      </c>
      <c r="C134" s="489" t="s">
        <v>1851</v>
      </c>
      <c r="D134" s="489" t="s">
        <v>46</v>
      </c>
      <c r="E134" s="619">
        <v>33</v>
      </c>
      <c r="F134" s="624">
        <f t="shared" si="11"/>
        <v>0</v>
      </c>
      <c r="G134" s="519">
        <f t="shared" si="10"/>
        <v>0</v>
      </c>
      <c r="H134" s="519">
        <f t="shared" si="10"/>
        <v>0</v>
      </c>
      <c r="I134" s="519">
        <f t="shared" si="10"/>
        <v>0</v>
      </c>
      <c r="J134" s="519">
        <f t="shared" si="10"/>
        <v>0</v>
      </c>
      <c r="K134" s="519">
        <f t="shared" si="10"/>
        <v>0</v>
      </c>
      <c r="L134" s="519">
        <f t="shared" si="10"/>
        <v>0</v>
      </c>
      <c r="M134" s="519">
        <f t="shared" si="10"/>
        <v>0</v>
      </c>
      <c r="N134" s="519">
        <f t="shared" si="10"/>
        <v>0</v>
      </c>
      <c r="O134" s="519">
        <f t="shared" si="10"/>
        <v>0</v>
      </c>
      <c r="P134" s="519">
        <f t="shared" si="10"/>
        <v>0</v>
      </c>
      <c r="Q134" s="519">
        <f t="shared" si="10"/>
        <v>0</v>
      </c>
      <c r="R134" s="519">
        <f t="shared" si="10"/>
        <v>0</v>
      </c>
      <c r="S134" s="519">
        <f t="shared" si="10"/>
        <v>0</v>
      </c>
      <c r="T134" s="519">
        <f t="shared" si="10"/>
        <v>0</v>
      </c>
      <c r="U134" s="519">
        <f t="shared" si="10"/>
        <v>0</v>
      </c>
      <c r="Y134" s="624">
        <v>0</v>
      </c>
      <c r="Z134" s="519">
        <v>0</v>
      </c>
      <c r="AA134" s="519">
        <v>0</v>
      </c>
      <c r="AB134" s="519">
        <v>0</v>
      </c>
      <c r="AC134" s="519">
        <v>0</v>
      </c>
      <c r="AD134" s="519">
        <v>0</v>
      </c>
      <c r="AE134" s="519">
        <v>0</v>
      </c>
      <c r="AF134" s="519">
        <v>0</v>
      </c>
      <c r="AG134" s="519">
        <v>0</v>
      </c>
      <c r="AH134" s="519">
        <v>0</v>
      </c>
      <c r="AI134" s="519">
        <v>0</v>
      </c>
      <c r="AJ134" s="519">
        <v>0</v>
      </c>
      <c r="AK134" s="519">
        <v>0</v>
      </c>
      <c r="AL134" s="519">
        <v>0</v>
      </c>
      <c r="AM134" s="519">
        <v>0</v>
      </c>
      <c r="AN134" s="519">
        <v>0</v>
      </c>
    </row>
    <row r="135" spans="1:40" x14ac:dyDescent="0.3">
      <c r="A135" s="489" t="s">
        <v>1414</v>
      </c>
      <c r="B135" s="489" t="s">
        <v>1728</v>
      </c>
      <c r="C135" s="489" t="s">
        <v>1852</v>
      </c>
      <c r="D135" s="489" t="s">
        <v>46</v>
      </c>
      <c r="E135" s="619">
        <v>33</v>
      </c>
      <c r="F135" s="624">
        <f t="shared" si="11"/>
        <v>0</v>
      </c>
      <c r="G135" s="519">
        <f t="shared" si="10"/>
        <v>0</v>
      </c>
      <c r="H135" s="519">
        <f t="shared" si="10"/>
        <v>0</v>
      </c>
      <c r="I135" s="519">
        <f t="shared" si="10"/>
        <v>0</v>
      </c>
      <c r="J135" s="519">
        <f t="shared" si="10"/>
        <v>0</v>
      </c>
      <c r="K135" s="519">
        <f t="shared" si="10"/>
        <v>0</v>
      </c>
      <c r="L135" s="519">
        <f t="shared" si="10"/>
        <v>0</v>
      </c>
      <c r="M135" s="519">
        <f t="shared" si="10"/>
        <v>0</v>
      </c>
      <c r="N135" s="519">
        <f t="shared" si="10"/>
        <v>0</v>
      </c>
      <c r="O135" s="519">
        <f t="shared" si="10"/>
        <v>0</v>
      </c>
      <c r="P135" s="519">
        <f t="shared" si="10"/>
        <v>0</v>
      </c>
      <c r="Q135" s="519">
        <f t="shared" si="10"/>
        <v>0</v>
      </c>
      <c r="R135" s="519">
        <f t="shared" si="10"/>
        <v>0</v>
      </c>
      <c r="S135" s="519">
        <f t="shared" si="10"/>
        <v>0</v>
      </c>
      <c r="T135" s="519">
        <f t="shared" si="10"/>
        <v>0</v>
      </c>
      <c r="U135" s="519">
        <f t="shared" si="10"/>
        <v>0</v>
      </c>
      <c r="Y135" s="624">
        <v>0</v>
      </c>
      <c r="Z135" s="519">
        <v>0</v>
      </c>
      <c r="AA135" s="519">
        <v>0</v>
      </c>
      <c r="AB135" s="519">
        <v>0</v>
      </c>
      <c r="AC135" s="519">
        <v>0</v>
      </c>
      <c r="AD135" s="519">
        <v>0</v>
      </c>
      <c r="AE135" s="519">
        <v>0</v>
      </c>
      <c r="AF135" s="519">
        <v>0</v>
      </c>
      <c r="AG135" s="519">
        <v>0</v>
      </c>
      <c r="AH135" s="519">
        <v>0</v>
      </c>
      <c r="AI135" s="519">
        <v>0</v>
      </c>
      <c r="AJ135" s="519">
        <v>0</v>
      </c>
      <c r="AK135" s="519">
        <v>0</v>
      </c>
      <c r="AL135" s="519">
        <v>0</v>
      </c>
      <c r="AM135" s="519">
        <v>0</v>
      </c>
      <c r="AN135" s="519">
        <v>0</v>
      </c>
    </row>
    <row r="136" spans="1:40" x14ac:dyDescent="0.3">
      <c r="A136" s="489" t="s">
        <v>1414</v>
      </c>
      <c r="B136" s="489" t="s">
        <v>1729</v>
      </c>
      <c r="C136" s="489" t="s">
        <v>1853</v>
      </c>
      <c r="D136" s="489" t="s">
        <v>46</v>
      </c>
      <c r="E136" s="619">
        <v>33</v>
      </c>
      <c r="F136" s="624">
        <f t="shared" si="11"/>
        <v>0</v>
      </c>
      <c r="G136" s="519">
        <f t="shared" si="10"/>
        <v>0</v>
      </c>
      <c r="H136" s="519">
        <f t="shared" si="10"/>
        <v>0</v>
      </c>
      <c r="I136" s="519">
        <f t="shared" si="10"/>
        <v>0</v>
      </c>
      <c r="J136" s="519">
        <f t="shared" si="10"/>
        <v>0</v>
      </c>
      <c r="K136" s="519">
        <f t="shared" si="10"/>
        <v>0</v>
      </c>
      <c r="L136" s="519">
        <f t="shared" si="10"/>
        <v>0</v>
      </c>
      <c r="M136" s="519">
        <f t="shared" si="10"/>
        <v>0</v>
      </c>
      <c r="N136" s="519">
        <f t="shared" si="10"/>
        <v>0</v>
      </c>
      <c r="O136" s="519">
        <f t="shared" si="10"/>
        <v>0</v>
      </c>
      <c r="P136" s="519">
        <f t="shared" si="10"/>
        <v>0</v>
      </c>
      <c r="Q136" s="519">
        <f t="shared" si="10"/>
        <v>0</v>
      </c>
      <c r="R136" s="519">
        <f t="shared" si="10"/>
        <v>0</v>
      </c>
      <c r="S136" s="519">
        <f t="shared" si="10"/>
        <v>0</v>
      </c>
      <c r="T136" s="519">
        <f t="shared" si="10"/>
        <v>0</v>
      </c>
      <c r="U136" s="519">
        <f t="shared" si="10"/>
        <v>0</v>
      </c>
      <c r="Y136" s="624">
        <v>0</v>
      </c>
      <c r="Z136" s="519">
        <v>0</v>
      </c>
      <c r="AA136" s="519">
        <v>0</v>
      </c>
      <c r="AB136" s="519">
        <v>0</v>
      </c>
      <c r="AC136" s="519">
        <v>0</v>
      </c>
      <c r="AD136" s="519">
        <v>0</v>
      </c>
      <c r="AE136" s="519">
        <v>0</v>
      </c>
      <c r="AF136" s="519">
        <v>0</v>
      </c>
      <c r="AG136" s="519">
        <v>0</v>
      </c>
      <c r="AH136" s="519">
        <v>0</v>
      </c>
      <c r="AI136" s="519">
        <v>0</v>
      </c>
      <c r="AJ136" s="519">
        <v>0</v>
      </c>
      <c r="AK136" s="519">
        <v>0</v>
      </c>
      <c r="AL136" s="519">
        <v>0</v>
      </c>
      <c r="AM136" s="519">
        <v>0</v>
      </c>
      <c r="AN136" s="519">
        <v>0</v>
      </c>
    </row>
    <row r="137" spans="1:40" x14ac:dyDescent="0.3">
      <c r="A137" s="489" t="s">
        <v>1605</v>
      </c>
      <c r="B137" s="489" t="s">
        <v>1730</v>
      </c>
      <c r="C137" s="489" t="s">
        <v>1854</v>
      </c>
      <c r="D137" s="489" t="s">
        <v>46</v>
      </c>
      <c r="E137" s="619">
        <v>32</v>
      </c>
      <c r="F137" s="624">
        <f t="shared" si="11"/>
        <v>0</v>
      </c>
      <c r="G137" s="519">
        <f t="shared" si="10"/>
        <v>0</v>
      </c>
      <c r="H137" s="519">
        <f t="shared" si="10"/>
        <v>0</v>
      </c>
      <c r="I137" s="519">
        <f t="shared" si="10"/>
        <v>0</v>
      </c>
      <c r="J137" s="519">
        <f t="shared" si="10"/>
        <v>0</v>
      </c>
      <c r="K137" s="519">
        <f t="shared" si="10"/>
        <v>0</v>
      </c>
      <c r="L137" s="519">
        <f t="shared" si="10"/>
        <v>0</v>
      </c>
      <c r="M137" s="519">
        <f t="shared" si="10"/>
        <v>0</v>
      </c>
      <c r="N137" s="519">
        <f t="shared" si="10"/>
        <v>0</v>
      </c>
      <c r="O137" s="519">
        <f t="shared" si="10"/>
        <v>0</v>
      </c>
      <c r="P137" s="519">
        <f t="shared" si="10"/>
        <v>0</v>
      </c>
      <c r="Q137" s="519">
        <f t="shared" si="10"/>
        <v>0</v>
      </c>
      <c r="R137" s="519">
        <f t="shared" si="10"/>
        <v>0</v>
      </c>
      <c r="S137" s="519">
        <f t="shared" si="10"/>
        <v>0</v>
      </c>
      <c r="T137" s="519">
        <f t="shared" si="10"/>
        <v>0</v>
      </c>
      <c r="U137" s="519">
        <f t="shared" si="10"/>
        <v>0</v>
      </c>
      <c r="Y137" s="624">
        <v>0</v>
      </c>
      <c r="Z137" s="519">
        <v>0</v>
      </c>
      <c r="AA137" s="519">
        <v>0</v>
      </c>
      <c r="AB137" s="519">
        <v>0</v>
      </c>
      <c r="AC137" s="519">
        <v>0</v>
      </c>
      <c r="AD137" s="519">
        <v>0</v>
      </c>
      <c r="AE137" s="519">
        <v>0</v>
      </c>
      <c r="AF137" s="519">
        <v>0</v>
      </c>
      <c r="AG137" s="519">
        <v>0</v>
      </c>
      <c r="AH137" s="519">
        <v>0</v>
      </c>
      <c r="AI137" s="519">
        <v>0</v>
      </c>
      <c r="AJ137" s="519">
        <v>0</v>
      </c>
      <c r="AK137" s="519">
        <v>0</v>
      </c>
      <c r="AL137" s="519">
        <v>0</v>
      </c>
      <c r="AM137" s="519">
        <v>0</v>
      </c>
      <c r="AN137" s="519">
        <v>0</v>
      </c>
    </row>
    <row r="138" spans="1:40" x14ac:dyDescent="0.3">
      <c r="A138" s="489" t="s">
        <v>1451</v>
      </c>
      <c r="B138" s="489" t="s">
        <v>1731</v>
      </c>
      <c r="C138" s="489" t="s">
        <v>1855</v>
      </c>
      <c r="D138" s="489" t="s">
        <v>46</v>
      </c>
      <c r="E138" s="619">
        <v>32</v>
      </c>
      <c r="F138" s="624">
        <f t="shared" si="11"/>
        <v>0</v>
      </c>
      <c r="G138" s="519">
        <f t="shared" si="10"/>
        <v>0</v>
      </c>
      <c r="H138" s="519">
        <f t="shared" si="10"/>
        <v>0</v>
      </c>
      <c r="I138" s="519">
        <f t="shared" si="10"/>
        <v>0</v>
      </c>
      <c r="J138" s="519">
        <f t="shared" si="10"/>
        <v>0</v>
      </c>
      <c r="K138" s="519">
        <f t="shared" si="10"/>
        <v>0</v>
      </c>
      <c r="L138" s="519">
        <f t="shared" si="10"/>
        <v>0</v>
      </c>
      <c r="M138" s="519">
        <f t="shared" si="10"/>
        <v>0</v>
      </c>
      <c r="N138" s="519">
        <f t="shared" si="10"/>
        <v>0</v>
      </c>
      <c r="O138" s="519">
        <f t="shared" si="10"/>
        <v>0</v>
      </c>
      <c r="P138" s="519">
        <f t="shared" si="10"/>
        <v>0</v>
      </c>
      <c r="Q138" s="519">
        <f t="shared" si="10"/>
        <v>0</v>
      </c>
      <c r="R138" s="519">
        <f t="shared" si="10"/>
        <v>0</v>
      </c>
      <c r="S138" s="519">
        <f t="shared" si="10"/>
        <v>0</v>
      </c>
      <c r="T138" s="519">
        <f t="shared" si="10"/>
        <v>0</v>
      </c>
      <c r="U138" s="519">
        <f t="shared" si="10"/>
        <v>0</v>
      </c>
      <c r="Y138" s="624">
        <v>0</v>
      </c>
      <c r="Z138" s="519">
        <v>0</v>
      </c>
      <c r="AA138" s="519">
        <v>0</v>
      </c>
      <c r="AB138" s="519">
        <v>0</v>
      </c>
      <c r="AC138" s="519">
        <v>0</v>
      </c>
      <c r="AD138" s="519">
        <v>0</v>
      </c>
      <c r="AE138" s="519">
        <v>0</v>
      </c>
      <c r="AF138" s="519">
        <v>0</v>
      </c>
      <c r="AG138" s="519">
        <v>0</v>
      </c>
      <c r="AH138" s="519">
        <v>0</v>
      </c>
      <c r="AI138" s="519">
        <v>0</v>
      </c>
      <c r="AJ138" s="519">
        <v>0</v>
      </c>
      <c r="AK138" s="519">
        <v>0</v>
      </c>
      <c r="AL138" s="519">
        <v>0</v>
      </c>
      <c r="AM138" s="519">
        <v>0</v>
      </c>
      <c r="AN138" s="519">
        <v>0</v>
      </c>
    </row>
    <row r="139" spans="1:40" x14ac:dyDescent="0.3">
      <c r="A139" s="489" t="s">
        <v>1414</v>
      </c>
      <c r="B139" s="489" t="s">
        <v>1732</v>
      </c>
      <c r="C139" s="489" t="s">
        <v>1856</v>
      </c>
      <c r="D139" s="489" t="s">
        <v>46</v>
      </c>
      <c r="E139" s="619">
        <v>31</v>
      </c>
      <c r="F139" s="624">
        <f t="shared" si="11"/>
        <v>0</v>
      </c>
      <c r="G139" s="519">
        <f t="shared" si="10"/>
        <v>0</v>
      </c>
      <c r="H139" s="519">
        <f t="shared" si="10"/>
        <v>0</v>
      </c>
      <c r="I139" s="519">
        <f t="shared" si="10"/>
        <v>0</v>
      </c>
      <c r="J139" s="519">
        <f t="shared" si="10"/>
        <v>0</v>
      </c>
      <c r="K139" s="519">
        <f t="shared" si="10"/>
        <v>0</v>
      </c>
      <c r="L139" s="519">
        <f t="shared" si="10"/>
        <v>0</v>
      </c>
      <c r="M139" s="519">
        <f t="shared" si="10"/>
        <v>0</v>
      </c>
      <c r="N139" s="519">
        <f t="shared" si="10"/>
        <v>0</v>
      </c>
      <c r="O139" s="519">
        <f t="shared" si="10"/>
        <v>0</v>
      </c>
      <c r="P139" s="519">
        <f t="shared" si="10"/>
        <v>0</v>
      </c>
      <c r="Q139" s="519">
        <f t="shared" si="10"/>
        <v>0</v>
      </c>
      <c r="R139" s="519">
        <f t="shared" si="10"/>
        <v>0</v>
      </c>
      <c r="S139" s="519">
        <f t="shared" si="10"/>
        <v>0</v>
      </c>
      <c r="T139" s="519">
        <f t="shared" si="10"/>
        <v>0</v>
      </c>
      <c r="U139" s="519">
        <f t="shared" si="10"/>
        <v>0</v>
      </c>
      <c r="Y139" s="624">
        <v>0</v>
      </c>
      <c r="Z139" s="519">
        <v>0</v>
      </c>
      <c r="AA139" s="519">
        <v>0</v>
      </c>
      <c r="AB139" s="519">
        <v>0</v>
      </c>
      <c r="AC139" s="519">
        <v>0</v>
      </c>
      <c r="AD139" s="519">
        <v>0</v>
      </c>
      <c r="AE139" s="519">
        <v>0</v>
      </c>
      <c r="AF139" s="519">
        <v>0</v>
      </c>
      <c r="AG139" s="519">
        <v>0</v>
      </c>
      <c r="AH139" s="519">
        <v>0</v>
      </c>
      <c r="AI139" s="519">
        <v>0</v>
      </c>
      <c r="AJ139" s="519">
        <v>0</v>
      </c>
      <c r="AK139" s="519">
        <v>0</v>
      </c>
      <c r="AL139" s="519">
        <v>0</v>
      </c>
      <c r="AM139" s="519">
        <v>0</v>
      </c>
      <c r="AN139" s="519">
        <v>0</v>
      </c>
    </row>
    <row r="140" spans="1:40" x14ac:dyDescent="0.3">
      <c r="A140" s="489" t="s">
        <v>1567</v>
      </c>
      <c r="B140" s="489">
        <v>5008</v>
      </c>
      <c r="C140" s="489" t="s">
        <v>1857</v>
      </c>
      <c r="D140" s="489" t="s">
        <v>46</v>
      </c>
      <c r="E140" s="619">
        <v>30</v>
      </c>
      <c r="F140" s="624">
        <f t="shared" si="11"/>
        <v>0</v>
      </c>
      <c r="G140" s="519">
        <f t="shared" si="10"/>
        <v>0</v>
      </c>
      <c r="H140" s="519">
        <f t="shared" si="10"/>
        <v>0</v>
      </c>
      <c r="I140" s="519">
        <f t="shared" si="10"/>
        <v>0</v>
      </c>
      <c r="J140" s="519">
        <f t="shared" si="10"/>
        <v>0</v>
      </c>
      <c r="K140" s="519">
        <f t="shared" si="10"/>
        <v>0</v>
      </c>
      <c r="L140" s="519">
        <f t="shared" si="10"/>
        <v>0</v>
      </c>
      <c r="M140" s="519">
        <f t="shared" si="10"/>
        <v>0</v>
      </c>
      <c r="N140" s="519">
        <f t="shared" si="10"/>
        <v>0</v>
      </c>
      <c r="O140" s="519">
        <f t="shared" si="10"/>
        <v>0</v>
      </c>
      <c r="P140" s="519">
        <f t="shared" si="10"/>
        <v>0</v>
      </c>
      <c r="Q140" s="519">
        <f t="shared" si="10"/>
        <v>0</v>
      </c>
      <c r="R140" s="519">
        <f t="shared" si="10"/>
        <v>0</v>
      </c>
      <c r="S140" s="519">
        <f t="shared" si="10"/>
        <v>0</v>
      </c>
      <c r="T140" s="519">
        <f t="shared" si="10"/>
        <v>0</v>
      </c>
      <c r="U140" s="519">
        <f t="shared" si="10"/>
        <v>0</v>
      </c>
      <c r="Y140" s="624">
        <v>0</v>
      </c>
      <c r="Z140" s="519">
        <v>0</v>
      </c>
      <c r="AA140" s="519">
        <v>0</v>
      </c>
      <c r="AB140" s="519">
        <v>0</v>
      </c>
      <c r="AC140" s="519">
        <v>0</v>
      </c>
      <c r="AD140" s="519">
        <v>0</v>
      </c>
      <c r="AE140" s="519">
        <v>0</v>
      </c>
      <c r="AF140" s="519">
        <v>0</v>
      </c>
      <c r="AG140" s="519">
        <v>0</v>
      </c>
      <c r="AH140" s="519">
        <v>0</v>
      </c>
      <c r="AI140" s="519">
        <v>0</v>
      </c>
      <c r="AJ140" s="519">
        <v>0</v>
      </c>
      <c r="AK140" s="519">
        <v>0</v>
      </c>
      <c r="AL140" s="519">
        <v>0</v>
      </c>
      <c r="AM140" s="519">
        <v>0</v>
      </c>
      <c r="AN140" s="519">
        <v>0</v>
      </c>
    </row>
    <row r="141" spans="1:40" x14ac:dyDescent="0.3">
      <c r="A141" s="489" t="s">
        <v>1414</v>
      </c>
      <c r="B141" s="489" t="s">
        <v>1371</v>
      </c>
      <c r="C141" s="489" t="s">
        <v>1425</v>
      </c>
      <c r="D141" s="489" t="s">
        <v>45</v>
      </c>
      <c r="E141" s="619">
        <v>30</v>
      </c>
      <c r="F141" s="624">
        <f t="shared" si="11"/>
        <v>0</v>
      </c>
      <c r="G141" s="519">
        <f t="shared" si="10"/>
        <v>0</v>
      </c>
      <c r="H141" s="519">
        <f t="shared" si="10"/>
        <v>0</v>
      </c>
      <c r="I141" s="519">
        <f t="shared" si="10"/>
        <v>0</v>
      </c>
      <c r="J141" s="519">
        <f t="shared" si="10"/>
        <v>0</v>
      </c>
      <c r="K141" s="519">
        <f t="shared" si="10"/>
        <v>0</v>
      </c>
      <c r="L141" s="519">
        <f t="shared" si="10"/>
        <v>0</v>
      </c>
      <c r="M141" s="519">
        <f t="shared" si="10"/>
        <v>0</v>
      </c>
      <c r="N141" s="519">
        <f t="shared" si="10"/>
        <v>0</v>
      </c>
      <c r="O141" s="519">
        <f t="shared" si="10"/>
        <v>0</v>
      </c>
      <c r="P141" s="519">
        <f t="shared" si="10"/>
        <v>0</v>
      </c>
      <c r="Q141" s="519">
        <f t="shared" si="10"/>
        <v>0</v>
      </c>
      <c r="R141" s="519">
        <f t="shared" si="10"/>
        <v>0</v>
      </c>
      <c r="S141" s="519">
        <f t="shared" si="10"/>
        <v>0</v>
      </c>
      <c r="T141" s="519">
        <f t="shared" si="10"/>
        <v>0</v>
      </c>
      <c r="U141" s="519">
        <f t="shared" si="10"/>
        <v>0</v>
      </c>
      <c r="Y141" s="624">
        <v>0</v>
      </c>
      <c r="Z141" s="519">
        <v>0</v>
      </c>
      <c r="AA141" s="519">
        <v>0</v>
      </c>
      <c r="AB141" s="519">
        <v>0</v>
      </c>
      <c r="AC141" s="519">
        <v>0</v>
      </c>
      <c r="AD141" s="519">
        <v>0</v>
      </c>
      <c r="AE141" s="519">
        <v>0</v>
      </c>
      <c r="AF141" s="519">
        <v>0</v>
      </c>
      <c r="AG141" s="519">
        <v>0</v>
      </c>
      <c r="AH141" s="519">
        <v>0</v>
      </c>
      <c r="AI141" s="519">
        <v>0</v>
      </c>
      <c r="AJ141" s="519">
        <v>0</v>
      </c>
      <c r="AK141" s="519">
        <v>0</v>
      </c>
      <c r="AL141" s="519">
        <v>0</v>
      </c>
      <c r="AM141" s="519">
        <v>0</v>
      </c>
      <c r="AN141" s="519">
        <v>0</v>
      </c>
    </row>
    <row r="142" spans="1:40" x14ac:dyDescent="0.3">
      <c r="A142" s="489" t="s">
        <v>1432</v>
      </c>
      <c r="B142" s="489" t="s">
        <v>1663</v>
      </c>
      <c r="C142" s="489" t="s">
        <v>1858</v>
      </c>
      <c r="D142" s="489" t="s">
        <v>46</v>
      </c>
      <c r="E142" s="619">
        <v>29</v>
      </c>
      <c r="F142" s="624">
        <f t="shared" si="11"/>
        <v>0</v>
      </c>
      <c r="G142" s="519">
        <f t="shared" si="10"/>
        <v>0</v>
      </c>
      <c r="H142" s="519">
        <f t="shared" si="10"/>
        <v>0</v>
      </c>
      <c r="I142" s="519">
        <f t="shared" si="10"/>
        <v>0</v>
      </c>
      <c r="J142" s="519">
        <f t="shared" si="10"/>
        <v>0</v>
      </c>
      <c r="K142" s="519">
        <f t="shared" si="10"/>
        <v>0</v>
      </c>
      <c r="L142" s="519">
        <f t="shared" si="10"/>
        <v>0</v>
      </c>
      <c r="M142" s="519">
        <f t="shared" si="10"/>
        <v>0</v>
      </c>
      <c r="N142" s="519">
        <f t="shared" si="10"/>
        <v>0</v>
      </c>
      <c r="O142" s="519">
        <f t="shared" si="10"/>
        <v>0</v>
      </c>
      <c r="P142" s="519">
        <f t="shared" si="10"/>
        <v>0</v>
      </c>
      <c r="Q142" s="519">
        <f t="shared" si="10"/>
        <v>0</v>
      </c>
      <c r="R142" s="519">
        <f t="shared" si="10"/>
        <v>0</v>
      </c>
      <c r="S142" s="519">
        <f t="shared" si="10"/>
        <v>0</v>
      </c>
      <c r="T142" s="519">
        <f t="shared" si="10"/>
        <v>0</v>
      </c>
      <c r="U142" s="519">
        <f t="shared" si="10"/>
        <v>0</v>
      </c>
      <c r="Y142" s="624">
        <v>0</v>
      </c>
      <c r="Z142" s="519">
        <v>0</v>
      </c>
      <c r="AA142" s="519">
        <v>0</v>
      </c>
      <c r="AB142" s="519">
        <v>0</v>
      </c>
      <c r="AC142" s="519">
        <v>0</v>
      </c>
      <c r="AD142" s="519">
        <v>0</v>
      </c>
      <c r="AE142" s="519">
        <v>0</v>
      </c>
      <c r="AF142" s="519">
        <v>0</v>
      </c>
      <c r="AG142" s="519">
        <v>0</v>
      </c>
      <c r="AH142" s="519">
        <v>0</v>
      </c>
      <c r="AI142" s="519">
        <v>0</v>
      </c>
      <c r="AJ142" s="519">
        <v>0</v>
      </c>
      <c r="AK142" s="519">
        <v>0</v>
      </c>
      <c r="AL142" s="519">
        <v>0</v>
      </c>
      <c r="AM142" s="519">
        <v>0</v>
      </c>
      <c r="AN142" s="519">
        <v>0</v>
      </c>
    </row>
    <row r="143" spans="1:40" x14ac:dyDescent="0.3">
      <c r="A143" s="489" t="s">
        <v>1414</v>
      </c>
      <c r="B143" s="489" t="s">
        <v>1664</v>
      </c>
      <c r="C143" s="489" t="s">
        <v>1859</v>
      </c>
      <c r="D143" s="489" t="s">
        <v>46</v>
      </c>
      <c r="E143" s="619">
        <v>29</v>
      </c>
      <c r="F143" s="624">
        <f t="shared" si="11"/>
        <v>0</v>
      </c>
      <c r="G143" s="519">
        <f t="shared" si="10"/>
        <v>0</v>
      </c>
      <c r="H143" s="519">
        <f t="shared" si="10"/>
        <v>0</v>
      </c>
      <c r="I143" s="519">
        <f t="shared" si="10"/>
        <v>0</v>
      </c>
      <c r="J143" s="519">
        <f t="shared" si="10"/>
        <v>0</v>
      </c>
      <c r="K143" s="519">
        <f t="shared" si="10"/>
        <v>0</v>
      </c>
      <c r="L143" s="519">
        <f t="shared" si="10"/>
        <v>0</v>
      </c>
      <c r="M143" s="519">
        <f t="shared" si="10"/>
        <v>0</v>
      </c>
      <c r="N143" s="519">
        <f t="shared" si="10"/>
        <v>0</v>
      </c>
      <c r="O143" s="519">
        <f t="shared" si="10"/>
        <v>0</v>
      </c>
      <c r="P143" s="519">
        <f t="shared" si="10"/>
        <v>0</v>
      </c>
      <c r="Q143" s="519">
        <f t="shared" si="10"/>
        <v>0</v>
      </c>
      <c r="R143" s="519">
        <f t="shared" si="10"/>
        <v>0</v>
      </c>
      <c r="S143" s="519">
        <f t="shared" si="10"/>
        <v>0</v>
      </c>
      <c r="T143" s="519">
        <f t="shared" si="10"/>
        <v>0</v>
      </c>
      <c r="U143" s="519">
        <f t="shared" si="10"/>
        <v>0</v>
      </c>
      <c r="Y143" s="624">
        <v>0</v>
      </c>
      <c r="Z143" s="519">
        <v>0</v>
      </c>
      <c r="AA143" s="519">
        <v>0</v>
      </c>
      <c r="AB143" s="519">
        <v>0</v>
      </c>
      <c r="AC143" s="519">
        <v>0</v>
      </c>
      <c r="AD143" s="519">
        <v>0</v>
      </c>
      <c r="AE143" s="519">
        <v>0</v>
      </c>
      <c r="AF143" s="519">
        <v>0</v>
      </c>
      <c r="AG143" s="519">
        <v>0</v>
      </c>
      <c r="AH143" s="519">
        <v>0</v>
      </c>
      <c r="AI143" s="519">
        <v>0</v>
      </c>
      <c r="AJ143" s="519">
        <v>0</v>
      </c>
      <c r="AK143" s="519">
        <v>0</v>
      </c>
      <c r="AL143" s="519">
        <v>0</v>
      </c>
      <c r="AM143" s="519">
        <v>0</v>
      </c>
      <c r="AN143" s="519">
        <v>0</v>
      </c>
    </row>
    <row r="144" spans="1:40" x14ac:dyDescent="0.3">
      <c r="A144" s="489" t="s">
        <v>1441</v>
      </c>
      <c r="B144" s="489" t="s">
        <v>1733</v>
      </c>
      <c r="C144" s="489" t="s">
        <v>1860</v>
      </c>
      <c r="D144" s="489" t="s">
        <v>46</v>
      </c>
      <c r="E144" s="619">
        <v>28</v>
      </c>
      <c r="F144" s="624">
        <f t="shared" si="11"/>
        <v>0</v>
      </c>
      <c r="G144" s="519">
        <f t="shared" si="10"/>
        <v>0</v>
      </c>
      <c r="H144" s="519">
        <f t="shared" si="10"/>
        <v>0</v>
      </c>
      <c r="I144" s="519">
        <f t="shared" si="10"/>
        <v>0</v>
      </c>
      <c r="J144" s="519">
        <f t="shared" si="10"/>
        <v>0</v>
      </c>
      <c r="K144" s="519">
        <f t="shared" si="10"/>
        <v>0</v>
      </c>
      <c r="L144" s="519">
        <f t="shared" si="10"/>
        <v>0</v>
      </c>
      <c r="M144" s="519">
        <f t="shared" si="10"/>
        <v>0</v>
      </c>
      <c r="N144" s="519">
        <f t="shared" si="10"/>
        <v>0</v>
      </c>
      <c r="O144" s="519">
        <f t="shared" si="10"/>
        <v>0</v>
      </c>
      <c r="P144" s="519">
        <f t="shared" si="10"/>
        <v>0</v>
      </c>
      <c r="Q144" s="519">
        <f t="shared" si="10"/>
        <v>0</v>
      </c>
      <c r="R144" s="519">
        <f t="shared" si="10"/>
        <v>0</v>
      </c>
      <c r="S144" s="519">
        <f t="shared" si="10"/>
        <v>0</v>
      </c>
      <c r="T144" s="519">
        <f t="shared" si="10"/>
        <v>0</v>
      </c>
      <c r="U144" s="519">
        <f t="shared" si="10"/>
        <v>0</v>
      </c>
      <c r="Y144" s="624">
        <v>0</v>
      </c>
      <c r="Z144" s="519">
        <v>0</v>
      </c>
      <c r="AA144" s="519">
        <v>0</v>
      </c>
      <c r="AB144" s="519">
        <v>0</v>
      </c>
      <c r="AC144" s="519">
        <v>0</v>
      </c>
      <c r="AD144" s="519">
        <v>0</v>
      </c>
      <c r="AE144" s="519">
        <v>0</v>
      </c>
      <c r="AF144" s="519">
        <v>0</v>
      </c>
      <c r="AG144" s="519">
        <v>0</v>
      </c>
      <c r="AH144" s="519">
        <v>0</v>
      </c>
      <c r="AI144" s="519">
        <v>0</v>
      </c>
      <c r="AJ144" s="519">
        <v>0</v>
      </c>
      <c r="AK144" s="519">
        <v>0</v>
      </c>
      <c r="AL144" s="519">
        <v>0</v>
      </c>
      <c r="AM144" s="519">
        <v>0</v>
      </c>
      <c r="AN144" s="519">
        <v>0</v>
      </c>
    </row>
    <row r="145" spans="1:40" x14ac:dyDescent="0.3">
      <c r="A145" s="489" t="s">
        <v>1605</v>
      </c>
      <c r="B145" s="489" t="s">
        <v>1734</v>
      </c>
      <c r="C145" s="489" t="s">
        <v>1861</v>
      </c>
      <c r="D145" s="489" t="s">
        <v>1930</v>
      </c>
      <c r="E145" s="619">
        <v>28</v>
      </c>
      <c r="F145" s="624">
        <f t="shared" si="11"/>
        <v>0</v>
      </c>
      <c r="G145" s="519">
        <f t="shared" si="10"/>
        <v>0</v>
      </c>
      <c r="H145" s="519">
        <f t="shared" si="10"/>
        <v>0</v>
      </c>
      <c r="I145" s="519">
        <f t="shared" si="10"/>
        <v>0</v>
      </c>
      <c r="J145" s="519">
        <f t="shared" si="10"/>
        <v>0</v>
      </c>
      <c r="K145" s="519">
        <f t="shared" si="10"/>
        <v>0</v>
      </c>
      <c r="L145" s="519">
        <f t="shared" si="10"/>
        <v>0</v>
      </c>
      <c r="M145" s="519">
        <f t="shared" si="10"/>
        <v>0</v>
      </c>
      <c r="N145" s="519">
        <f t="shared" si="10"/>
        <v>0</v>
      </c>
      <c r="O145" s="519">
        <f t="shared" si="10"/>
        <v>0</v>
      </c>
      <c r="P145" s="519">
        <f t="shared" si="10"/>
        <v>0</v>
      </c>
      <c r="Q145" s="519">
        <f t="shared" si="10"/>
        <v>0</v>
      </c>
      <c r="R145" s="519">
        <f t="shared" si="10"/>
        <v>0</v>
      </c>
      <c r="S145" s="519">
        <f t="shared" si="10"/>
        <v>0</v>
      </c>
      <c r="T145" s="519">
        <f t="shared" si="10"/>
        <v>0</v>
      </c>
      <c r="U145" s="519">
        <f t="shared" si="10"/>
        <v>0</v>
      </c>
      <c r="Y145" s="624">
        <v>0</v>
      </c>
      <c r="Z145" s="519">
        <v>0</v>
      </c>
      <c r="AA145" s="519">
        <v>0</v>
      </c>
      <c r="AB145" s="519">
        <v>0</v>
      </c>
      <c r="AC145" s="519">
        <v>0</v>
      </c>
      <c r="AD145" s="519">
        <v>0</v>
      </c>
      <c r="AE145" s="519">
        <v>0</v>
      </c>
      <c r="AF145" s="519">
        <v>0</v>
      </c>
      <c r="AG145" s="519">
        <v>0</v>
      </c>
      <c r="AH145" s="519">
        <v>0</v>
      </c>
      <c r="AI145" s="519">
        <v>0</v>
      </c>
      <c r="AJ145" s="519">
        <v>0</v>
      </c>
      <c r="AK145" s="519">
        <v>0</v>
      </c>
      <c r="AL145" s="519">
        <v>0</v>
      </c>
      <c r="AM145" s="519">
        <v>0</v>
      </c>
      <c r="AN145" s="519">
        <v>0</v>
      </c>
    </row>
    <row r="146" spans="1:40" x14ac:dyDescent="0.3">
      <c r="A146" s="489" t="s">
        <v>1414</v>
      </c>
      <c r="B146" s="489" t="s">
        <v>1735</v>
      </c>
      <c r="C146" s="489" t="s">
        <v>1862</v>
      </c>
      <c r="D146" s="489" t="s">
        <v>141</v>
      </c>
      <c r="E146" s="619">
        <v>28</v>
      </c>
      <c r="F146" s="624">
        <f t="shared" si="11"/>
        <v>16.934615384615384</v>
      </c>
      <c r="G146" s="519">
        <f t="shared" ref="G146:U161" si="12">IF(Z146&gt;0,Z146,IF(H146&gt;0,H146,0))</f>
        <v>16.7</v>
      </c>
      <c r="H146" s="519">
        <f t="shared" si="12"/>
        <v>16.977777777777778</v>
      </c>
      <c r="I146" s="519">
        <f t="shared" si="12"/>
        <v>16.976923076923079</v>
      </c>
      <c r="J146" s="519">
        <f t="shared" si="12"/>
        <v>0</v>
      </c>
      <c r="K146" s="519">
        <f t="shared" si="12"/>
        <v>0</v>
      </c>
      <c r="L146" s="519">
        <f t="shared" si="12"/>
        <v>0</v>
      </c>
      <c r="M146" s="519">
        <f t="shared" si="12"/>
        <v>0</v>
      </c>
      <c r="N146" s="519">
        <f t="shared" si="12"/>
        <v>0</v>
      </c>
      <c r="O146" s="519">
        <f t="shared" si="12"/>
        <v>0</v>
      </c>
      <c r="P146" s="519">
        <f t="shared" si="12"/>
        <v>0</v>
      </c>
      <c r="Q146" s="519">
        <f t="shared" si="12"/>
        <v>0</v>
      </c>
      <c r="R146" s="519">
        <f t="shared" si="12"/>
        <v>0</v>
      </c>
      <c r="S146" s="519">
        <f t="shared" si="12"/>
        <v>0</v>
      </c>
      <c r="T146" s="519">
        <f t="shared" si="12"/>
        <v>0</v>
      </c>
      <c r="U146" s="519">
        <f t="shared" si="12"/>
        <v>0</v>
      </c>
      <c r="Y146" s="624">
        <v>16.934615384615384</v>
      </c>
      <c r="Z146" s="519">
        <v>16.7</v>
      </c>
      <c r="AA146" s="519">
        <v>16.977777777777778</v>
      </c>
      <c r="AB146" s="519">
        <v>16.976923076923079</v>
      </c>
      <c r="AC146" s="519">
        <v>0</v>
      </c>
      <c r="AD146" s="519">
        <v>0</v>
      </c>
      <c r="AE146" s="519">
        <v>0</v>
      </c>
      <c r="AF146" s="519">
        <v>0</v>
      </c>
      <c r="AG146" s="519">
        <v>0</v>
      </c>
      <c r="AH146" s="519">
        <v>0</v>
      </c>
      <c r="AI146" s="519">
        <v>0</v>
      </c>
      <c r="AJ146" s="519">
        <v>0</v>
      </c>
      <c r="AK146" s="519">
        <v>0</v>
      </c>
      <c r="AL146" s="519">
        <v>0</v>
      </c>
      <c r="AM146" s="519">
        <v>0</v>
      </c>
      <c r="AN146" s="519">
        <v>0</v>
      </c>
    </row>
    <row r="147" spans="1:40" x14ac:dyDescent="0.3">
      <c r="A147" s="489" t="s">
        <v>1605</v>
      </c>
      <c r="B147" s="489" t="s">
        <v>1730</v>
      </c>
      <c r="C147" s="489" t="s">
        <v>1854</v>
      </c>
      <c r="D147" s="489" t="s">
        <v>1936</v>
      </c>
      <c r="E147" s="619">
        <v>27</v>
      </c>
      <c r="F147" s="624">
        <f t="shared" si="11"/>
        <v>18.933333333333334</v>
      </c>
      <c r="G147" s="519">
        <f t="shared" si="12"/>
        <v>19.2</v>
      </c>
      <c r="H147" s="519">
        <f t="shared" si="12"/>
        <v>19.2</v>
      </c>
      <c r="I147" s="519">
        <f t="shared" si="12"/>
        <v>19.2</v>
      </c>
      <c r="J147" s="519">
        <f t="shared" si="12"/>
        <v>15.6</v>
      </c>
      <c r="K147" s="519">
        <f t="shared" si="12"/>
        <v>0</v>
      </c>
      <c r="L147" s="519">
        <f t="shared" si="12"/>
        <v>0</v>
      </c>
      <c r="M147" s="519">
        <f t="shared" si="12"/>
        <v>0</v>
      </c>
      <c r="N147" s="519">
        <f t="shared" si="12"/>
        <v>0</v>
      </c>
      <c r="O147" s="519">
        <f t="shared" si="12"/>
        <v>0</v>
      </c>
      <c r="P147" s="519">
        <f t="shared" si="12"/>
        <v>0</v>
      </c>
      <c r="Q147" s="519">
        <f t="shared" si="12"/>
        <v>0</v>
      </c>
      <c r="R147" s="519">
        <f t="shared" si="12"/>
        <v>0</v>
      </c>
      <c r="S147" s="519">
        <f t="shared" si="12"/>
        <v>0</v>
      </c>
      <c r="T147" s="519">
        <f t="shared" si="12"/>
        <v>0</v>
      </c>
      <c r="U147" s="519">
        <f t="shared" si="12"/>
        <v>0</v>
      </c>
      <c r="Y147" s="624">
        <v>18.933333333333334</v>
      </c>
      <c r="Z147" s="519">
        <v>19.2</v>
      </c>
      <c r="AA147" s="519">
        <v>19.2</v>
      </c>
      <c r="AB147" s="519">
        <v>19.2</v>
      </c>
      <c r="AC147" s="519">
        <v>15.6</v>
      </c>
      <c r="AD147" s="519">
        <v>0</v>
      </c>
      <c r="AE147" s="519">
        <v>0</v>
      </c>
      <c r="AF147" s="519">
        <v>0</v>
      </c>
      <c r="AG147" s="519">
        <v>0</v>
      </c>
      <c r="AH147" s="519">
        <v>0</v>
      </c>
      <c r="AI147" s="519">
        <v>0</v>
      </c>
      <c r="AJ147" s="519">
        <v>0</v>
      </c>
      <c r="AK147" s="519">
        <v>0</v>
      </c>
      <c r="AL147" s="519">
        <v>0</v>
      </c>
      <c r="AM147" s="519">
        <v>0</v>
      </c>
      <c r="AN147" s="519">
        <v>0</v>
      </c>
    </row>
    <row r="148" spans="1:40" x14ac:dyDescent="0.3">
      <c r="A148" s="489" t="s">
        <v>1677</v>
      </c>
      <c r="B148" s="489" t="s">
        <v>1736</v>
      </c>
      <c r="C148" s="489" t="s">
        <v>1863</v>
      </c>
      <c r="D148" s="489" t="s">
        <v>46</v>
      </c>
      <c r="E148" s="619">
        <v>26</v>
      </c>
      <c r="F148" s="624">
        <f t="shared" si="11"/>
        <v>0</v>
      </c>
      <c r="G148" s="519">
        <f t="shared" si="12"/>
        <v>0</v>
      </c>
      <c r="H148" s="519">
        <f t="shared" si="12"/>
        <v>0</v>
      </c>
      <c r="I148" s="519">
        <f t="shared" si="12"/>
        <v>0</v>
      </c>
      <c r="J148" s="519">
        <f t="shared" si="12"/>
        <v>0</v>
      </c>
      <c r="K148" s="519">
        <f t="shared" si="12"/>
        <v>0</v>
      </c>
      <c r="L148" s="519">
        <f t="shared" si="12"/>
        <v>0</v>
      </c>
      <c r="M148" s="519">
        <f t="shared" si="12"/>
        <v>0</v>
      </c>
      <c r="N148" s="519">
        <f t="shared" si="12"/>
        <v>0</v>
      </c>
      <c r="O148" s="519">
        <f t="shared" si="12"/>
        <v>0</v>
      </c>
      <c r="P148" s="519">
        <f t="shared" si="12"/>
        <v>0</v>
      </c>
      <c r="Q148" s="519">
        <f t="shared" si="12"/>
        <v>0</v>
      </c>
      <c r="R148" s="519">
        <f t="shared" si="12"/>
        <v>0</v>
      </c>
      <c r="S148" s="519">
        <f t="shared" si="12"/>
        <v>0</v>
      </c>
      <c r="T148" s="519">
        <f t="shared" si="12"/>
        <v>0</v>
      </c>
      <c r="U148" s="519">
        <f t="shared" si="12"/>
        <v>0</v>
      </c>
      <c r="Y148" s="624">
        <v>0</v>
      </c>
      <c r="Z148" s="519">
        <v>0</v>
      </c>
      <c r="AA148" s="519">
        <v>0</v>
      </c>
      <c r="AB148" s="519">
        <v>0</v>
      </c>
      <c r="AC148" s="519">
        <v>0</v>
      </c>
      <c r="AD148" s="519">
        <v>0</v>
      </c>
      <c r="AE148" s="519">
        <v>0</v>
      </c>
      <c r="AF148" s="519">
        <v>0</v>
      </c>
      <c r="AG148" s="519">
        <v>0</v>
      </c>
      <c r="AH148" s="519">
        <v>0</v>
      </c>
      <c r="AI148" s="519">
        <v>0</v>
      </c>
      <c r="AJ148" s="519">
        <v>0</v>
      </c>
      <c r="AK148" s="519">
        <v>0</v>
      </c>
      <c r="AL148" s="519">
        <v>0</v>
      </c>
      <c r="AM148" s="519">
        <v>0</v>
      </c>
      <c r="AN148" s="519">
        <v>0</v>
      </c>
    </row>
    <row r="149" spans="1:40" x14ac:dyDescent="0.3">
      <c r="A149" s="489" t="s">
        <v>1414</v>
      </c>
      <c r="B149" s="489" t="s">
        <v>1737</v>
      </c>
      <c r="C149" s="489" t="s">
        <v>1864</v>
      </c>
      <c r="D149" s="489" t="s">
        <v>46</v>
      </c>
      <c r="E149" s="619">
        <v>26</v>
      </c>
      <c r="F149" s="624">
        <f t="shared" si="11"/>
        <v>0</v>
      </c>
      <c r="G149" s="519">
        <f t="shared" si="12"/>
        <v>0</v>
      </c>
      <c r="H149" s="519">
        <f t="shared" si="12"/>
        <v>0</v>
      </c>
      <c r="I149" s="519">
        <f t="shared" si="12"/>
        <v>0</v>
      </c>
      <c r="J149" s="519">
        <f t="shared" si="12"/>
        <v>0</v>
      </c>
      <c r="K149" s="519">
        <f t="shared" si="12"/>
        <v>0</v>
      </c>
      <c r="L149" s="519">
        <f t="shared" si="12"/>
        <v>0</v>
      </c>
      <c r="M149" s="519">
        <f t="shared" si="12"/>
        <v>0</v>
      </c>
      <c r="N149" s="519">
        <f t="shared" si="12"/>
        <v>0</v>
      </c>
      <c r="O149" s="519">
        <f t="shared" si="12"/>
        <v>0</v>
      </c>
      <c r="P149" s="519">
        <f t="shared" si="12"/>
        <v>0</v>
      </c>
      <c r="Q149" s="519">
        <f t="shared" si="12"/>
        <v>0</v>
      </c>
      <c r="R149" s="519">
        <f t="shared" si="12"/>
        <v>0</v>
      </c>
      <c r="S149" s="519">
        <f t="shared" si="12"/>
        <v>0</v>
      </c>
      <c r="T149" s="519">
        <f t="shared" si="12"/>
        <v>0</v>
      </c>
      <c r="U149" s="519">
        <f t="shared" si="12"/>
        <v>0</v>
      </c>
      <c r="Y149" s="624">
        <v>0</v>
      </c>
      <c r="Z149" s="519">
        <v>0</v>
      </c>
      <c r="AA149" s="519">
        <v>0</v>
      </c>
      <c r="AB149" s="519">
        <v>0</v>
      </c>
      <c r="AC149" s="519">
        <v>0</v>
      </c>
      <c r="AD149" s="519">
        <v>0</v>
      </c>
      <c r="AE149" s="519">
        <v>0</v>
      </c>
      <c r="AF149" s="519">
        <v>0</v>
      </c>
      <c r="AG149" s="519">
        <v>0</v>
      </c>
      <c r="AH149" s="519">
        <v>0</v>
      </c>
      <c r="AI149" s="519">
        <v>0</v>
      </c>
      <c r="AJ149" s="519">
        <v>0</v>
      </c>
      <c r="AK149" s="519">
        <v>0</v>
      </c>
      <c r="AL149" s="519">
        <v>0</v>
      </c>
      <c r="AM149" s="519">
        <v>0</v>
      </c>
      <c r="AN149" s="519">
        <v>0</v>
      </c>
    </row>
    <row r="150" spans="1:40" x14ac:dyDescent="0.3">
      <c r="A150" s="489" t="s">
        <v>1414</v>
      </c>
      <c r="B150" s="489" t="s">
        <v>1430</v>
      </c>
      <c r="C150" s="489" t="s">
        <v>1431</v>
      </c>
      <c r="D150" s="489" t="s">
        <v>1665</v>
      </c>
      <c r="E150" s="619">
        <v>25</v>
      </c>
      <c r="F150" s="624">
        <f t="shared" si="11"/>
        <v>0</v>
      </c>
      <c r="G150" s="519">
        <f t="shared" si="12"/>
        <v>0</v>
      </c>
      <c r="H150" s="519">
        <f t="shared" si="12"/>
        <v>0</v>
      </c>
      <c r="I150" s="519">
        <f t="shared" si="12"/>
        <v>0</v>
      </c>
      <c r="J150" s="519">
        <f t="shared" si="12"/>
        <v>0</v>
      </c>
      <c r="K150" s="519">
        <f t="shared" si="12"/>
        <v>0</v>
      </c>
      <c r="L150" s="519">
        <f t="shared" si="12"/>
        <v>0</v>
      </c>
      <c r="M150" s="519">
        <f t="shared" si="12"/>
        <v>0</v>
      </c>
      <c r="N150" s="519">
        <f t="shared" si="12"/>
        <v>0</v>
      </c>
      <c r="O150" s="519">
        <f t="shared" si="12"/>
        <v>0</v>
      </c>
      <c r="P150" s="519">
        <f t="shared" si="12"/>
        <v>0</v>
      </c>
      <c r="Q150" s="519">
        <f t="shared" si="12"/>
        <v>0</v>
      </c>
      <c r="R150" s="519">
        <f t="shared" si="12"/>
        <v>0</v>
      </c>
      <c r="S150" s="519">
        <f t="shared" si="12"/>
        <v>0</v>
      </c>
      <c r="T150" s="519">
        <f t="shared" si="12"/>
        <v>0</v>
      </c>
      <c r="U150" s="519">
        <f t="shared" si="12"/>
        <v>0</v>
      </c>
      <c r="Y150" s="624">
        <v>0</v>
      </c>
      <c r="Z150" s="519">
        <v>0</v>
      </c>
      <c r="AA150" s="519">
        <v>0</v>
      </c>
      <c r="AB150" s="519">
        <v>0</v>
      </c>
      <c r="AC150" s="519">
        <v>0</v>
      </c>
      <c r="AD150" s="519">
        <v>0</v>
      </c>
      <c r="AE150" s="519">
        <v>0</v>
      </c>
      <c r="AF150" s="519">
        <v>0</v>
      </c>
      <c r="AG150" s="519">
        <v>0</v>
      </c>
      <c r="AH150" s="519">
        <v>0</v>
      </c>
      <c r="AI150" s="519">
        <v>0</v>
      </c>
      <c r="AJ150" s="519">
        <v>0</v>
      </c>
      <c r="AK150" s="519">
        <v>0</v>
      </c>
      <c r="AL150" s="519">
        <v>0</v>
      </c>
      <c r="AM150" s="519">
        <v>0</v>
      </c>
      <c r="AN150" s="519">
        <v>0</v>
      </c>
    </row>
    <row r="151" spans="1:40" x14ac:dyDescent="0.3">
      <c r="A151" s="489" t="s">
        <v>1414</v>
      </c>
      <c r="B151" s="489" t="s">
        <v>1738</v>
      </c>
      <c r="C151" s="489" t="s">
        <v>1865</v>
      </c>
      <c r="D151" s="489" t="s">
        <v>46</v>
      </c>
      <c r="E151" s="619">
        <v>25</v>
      </c>
      <c r="F151" s="624">
        <f t="shared" si="11"/>
        <v>0</v>
      </c>
      <c r="G151" s="519">
        <f t="shared" si="12"/>
        <v>0</v>
      </c>
      <c r="H151" s="519">
        <f t="shared" si="12"/>
        <v>0</v>
      </c>
      <c r="I151" s="519">
        <f t="shared" si="12"/>
        <v>0</v>
      </c>
      <c r="J151" s="519">
        <f t="shared" si="12"/>
        <v>0</v>
      </c>
      <c r="K151" s="519">
        <f t="shared" si="12"/>
        <v>0</v>
      </c>
      <c r="L151" s="519">
        <f t="shared" si="12"/>
        <v>0</v>
      </c>
      <c r="M151" s="519">
        <f t="shared" si="12"/>
        <v>0</v>
      </c>
      <c r="N151" s="519">
        <f t="shared" si="12"/>
        <v>0</v>
      </c>
      <c r="O151" s="519">
        <f t="shared" si="12"/>
        <v>0</v>
      </c>
      <c r="P151" s="519">
        <f t="shared" si="12"/>
        <v>0</v>
      </c>
      <c r="Q151" s="519">
        <f t="shared" si="12"/>
        <v>0</v>
      </c>
      <c r="R151" s="519">
        <f t="shared" si="12"/>
        <v>0</v>
      </c>
      <c r="S151" s="519">
        <f t="shared" si="12"/>
        <v>0</v>
      </c>
      <c r="T151" s="519">
        <f t="shared" si="12"/>
        <v>0</v>
      </c>
      <c r="U151" s="519">
        <f t="shared" si="12"/>
        <v>0</v>
      </c>
      <c r="Y151" s="624">
        <v>0</v>
      </c>
      <c r="Z151" s="519">
        <v>0</v>
      </c>
      <c r="AA151" s="519">
        <v>0</v>
      </c>
      <c r="AB151" s="519">
        <v>0</v>
      </c>
      <c r="AC151" s="519">
        <v>0</v>
      </c>
      <c r="AD151" s="519">
        <v>0</v>
      </c>
      <c r="AE151" s="519">
        <v>0</v>
      </c>
      <c r="AF151" s="519">
        <v>0</v>
      </c>
      <c r="AG151" s="519">
        <v>0</v>
      </c>
      <c r="AH151" s="519">
        <v>0</v>
      </c>
      <c r="AI151" s="519">
        <v>0</v>
      </c>
      <c r="AJ151" s="519">
        <v>0</v>
      </c>
      <c r="AK151" s="519">
        <v>0</v>
      </c>
      <c r="AL151" s="519">
        <v>0</v>
      </c>
      <c r="AM151" s="519">
        <v>0</v>
      </c>
      <c r="AN151" s="519">
        <v>0</v>
      </c>
    </row>
    <row r="152" spans="1:40" x14ac:dyDescent="0.3">
      <c r="A152" s="489" t="s">
        <v>1273</v>
      </c>
      <c r="B152" s="489" t="s">
        <v>1739</v>
      </c>
      <c r="C152" s="489" t="s">
        <v>1739</v>
      </c>
      <c r="D152" s="489" t="s">
        <v>141</v>
      </c>
      <c r="E152" s="619">
        <v>25</v>
      </c>
      <c r="F152" s="624">
        <f t="shared" si="11"/>
        <v>16.895454545454548</v>
      </c>
      <c r="G152" s="519">
        <f t="shared" si="12"/>
        <v>16.88095238095238</v>
      </c>
      <c r="H152" s="519">
        <f t="shared" si="12"/>
        <v>16.88095238095238</v>
      </c>
      <c r="I152" s="519">
        <f t="shared" si="12"/>
        <v>17.2</v>
      </c>
      <c r="J152" s="519">
        <f t="shared" si="12"/>
        <v>0</v>
      </c>
      <c r="K152" s="519">
        <f t="shared" si="12"/>
        <v>0</v>
      </c>
      <c r="L152" s="519">
        <f t="shared" si="12"/>
        <v>0</v>
      </c>
      <c r="M152" s="519">
        <f t="shared" si="12"/>
        <v>0</v>
      </c>
      <c r="N152" s="519">
        <f t="shared" si="12"/>
        <v>0</v>
      </c>
      <c r="O152" s="519">
        <f t="shared" si="12"/>
        <v>0</v>
      </c>
      <c r="P152" s="519">
        <f t="shared" si="12"/>
        <v>0</v>
      </c>
      <c r="Q152" s="519">
        <f t="shared" si="12"/>
        <v>0</v>
      </c>
      <c r="R152" s="519">
        <f t="shared" si="12"/>
        <v>0</v>
      </c>
      <c r="S152" s="519">
        <f t="shared" si="12"/>
        <v>0</v>
      </c>
      <c r="T152" s="519">
        <f t="shared" si="12"/>
        <v>0</v>
      </c>
      <c r="U152" s="519">
        <f t="shared" si="12"/>
        <v>0</v>
      </c>
      <c r="Y152" s="624">
        <v>16.895454545454548</v>
      </c>
      <c r="Z152" s="519">
        <v>0</v>
      </c>
      <c r="AA152" s="519">
        <v>16.88095238095238</v>
      </c>
      <c r="AB152" s="519">
        <v>17.2</v>
      </c>
      <c r="AC152" s="519">
        <v>0</v>
      </c>
      <c r="AD152" s="519">
        <v>0</v>
      </c>
      <c r="AE152" s="519">
        <v>0</v>
      </c>
      <c r="AF152" s="519">
        <v>0</v>
      </c>
      <c r="AG152" s="519">
        <v>0</v>
      </c>
      <c r="AH152" s="519">
        <v>0</v>
      </c>
      <c r="AI152" s="519">
        <v>0</v>
      </c>
      <c r="AJ152" s="519">
        <v>0</v>
      </c>
      <c r="AK152" s="519">
        <v>0</v>
      </c>
      <c r="AL152" s="519">
        <v>0</v>
      </c>
      <c r="AM152" s="519">
        <v>0</v>
      </c>
      <c r="AN152" s="519">
        <v>0</v>
      </c>
    </row>
    <row r="153" spans="1:40" x14ac:dyDescent="0.3">
      <c r="A153" s="489" t="s">
        <v>1454</v>
      </c>
      <c r="B153" s="489" t="s">
        <v>1740</v>
      </c>
      <c r="C153" s="489" t="s">
        <v>304</v>
      </c>
      <c r="D153" s="489" t="s">
        <v>46</v>
      </c>
      <c r="E153" s="619">
        <v>24</v>
      </c>
      <c r="F153" s="624">
        <f t="shared" si="11"/>
        <v>0</v>
      </c>
      <c r="G153" s="519">
        <f t="shared" si="12"/>
        <v>0</v>
      </c>
      <c r="H153" s="519">
        <f t="shared" si="12"/>
        <v>0</v>
      </c>
      <c r="I153" s="519">
        <f t="shared" si="12"/>
        <v>0</v>
      </c>
      <c r="J153" s="519">
        <f t="shared" si="12"/>
        <v>0</v>
      </c>
      <c r="K153" s="519">
        <f t="shared" si="12"/>
        <v>0</v>
      </c>
      <c r="L153" s="519">
        <f t="shared" si="12"/>
        <v>0</v>
      </c>
      <c r="M153" s="519">
        <f t="shared" si="12"/>
        <v>0</v>
      </c>
      <c r="N153" s="519">
        <f t="shared" si="12"/>
        <v>0</v>
      </c>
      <c r="O153" s="519">
        <f t="shared" si="12"/>
        <v>0</v>
      </c>
      <c r="P153" s="519">
        <f t="shared" si="12"/>
        <v>0</v>
      </c>
      <c r="Q153" s="519">
        <f t="shared" si="12"/>
        <v>0</v>
      </c>
      <c r="R153" s="519">
        <f t="shared" si="12"/>
        <v>0</v>
      </c>
      <c r="S153" s="519">
        <f t="shared" si="12"/>
        <v>0</v>
      </c>
      <c r="T153" s="519">
        <f t="shared" si="12"/>
        <v>0</v>
      </c>
      <c r="U153" s="519">
        <f t="shared" si="12"/>
        <v>0</v>
      </c>
      <c r="Y153" s="624">
        <v>0</v>
      </c>
      <c r="Z153" s="519">
        <v>0</v>
      </c>
      <c r="AA153" s="519">
        <v>0</v>
      </c>
      <c r="AB153" s="519">
        <v>0</v>
      </c>
      <c r="AC153" s="519">
        <v>0</v>
      </c>
      <c r="AD153" s="519">
        <v>0</v>
      </c>
      <c r="AE153" s="519">
        <v>0</v>
      </c>
      <c r="AF153" s="519">
        <v>0</v>
      </c>
      <c r="AG153" s="519">
        <v>0</v>
      </c>
      <c r="AH153" s="519">
        <v>0</v>
      </c>
      <c r="AI153" s="519">
        <v>0</v>
      </c>
      <c r="AJ153" s="519">
        <v>0</v>
      </c>
      <c r="AK153" s="519">
        <v>0</v>
      </c>
      <c r="AL153" s="519">
        <v>0</v>
      </c>
      <c r="AM153" s="519">
        <v>0</v>
      </c>
      <c r="AN153" s="519">
        <v>0</v>
      </c>
    </row>
    <row r="154" spans="1:40" x14ac:dyDescent="0.3">
      <c r="A154" s="489" t="s">
        <v>1561</v>
      </c>
      <c r="B154" s="489" t="s">
        <v>1562</v>
      </c>
      <c r="C154" s="489" t="s">
        <v>1563</v>
      </c>
      <c r="D154" s="489" t="s">
        <v>1929</v>
      </c>
      <c r="E154" s="619">
        <v>24</v>
      </c>
      <c r="F154" s="624">
        <f t="shared" si="11"/>
        <v>0</v>
      </c>
      <c r="G154" s="519">
        <f t="shared" si="12"/>
        <v>0</v>
      </c>
      <c r="H154" s="519">
        <f t="shared" si="12"/>
        <v>0</v>
      </c>
      <c r="I154" s="519">
        <f t="shared" si="12"/>
        <v>0</v>
      </c>
      <c r="J154" s="519">
        <f t="shared" si="12"/>
        <v>0</v>
      </c>
      <c r="K154" s="519">
        <f t="shared" si="12"/>
        <v>0</v>
      </c>
      <c r="L154" s="519">
        <f t="shared" si="12"/>
        <v>0</v>
      </c>
      <c r="M154" s="519">
        <f t="shared" si="12"/>
        <v>0</v>
      </c>
      <c r="N154" s="519">
        <f t="shared" si="12"/>
        <v>0</v>
      </c>
      <c r="O154" s="519">
        <f t="shared" si="12"/>
        <v>0</v>
      </c>
      <c r="P154" s="519">
        <f t="shared" si="12"/>
        <v>0</v>
      </c>
      <c r="Q154" s="519">
        <f t="shared" si="12"/>
        <v>0</v>
      </c>
      <c r="R154" s="519">
        <f t="shared" si="12"/>
        <v>0</v>
      </c>
      <c r="S154" s="519">
        <f t="shared" si="12"/>
        <v>0</v>
      </c>
      <c r="T154" s="519">
        <f t="shared" si="12"/>
        <v>0</v>
      </c>
      <c r="U154" s="519">
        <f t="shared" si="12"/>
        <v>0</v>
      </c>
      <c r="Y154" s="624">
        <v>0</v>
      </c>
      <c r="Z154" s="519">
        <v>0</v>
      </c>
      <c r="AA154" s="519">
        <v>0</v>
      </c>
      <c r="AB154" s="519">
        <v>0</v>
      </c>
      <c r="AC154" s="519">
        <v>0</v>
      </c>
      <c r="AD154" s="519">
        <v>0</v>
      </c>
      <c r="AE154" s="519">
        <v>0</v>
      </c>
      <c r="AF154" s="519">
        <v>0</v>
      </c>
      <c r="AG154" s="519">
        <v>0</v>
      </c>
      <c r="AH154" s="519">
        <v>0</v>
      </c>
      <c r="AI154" s="519">
        <v>0</v>
      </c>
      <c r="AJ154" s="519">
        <v>0</v>
      </c>
      <c r="AK154" s="519">
        <v>0</v>
      </c>
      <c r="AL154" s="519">
        <v>0</v>
      </c>
      <c r="AM154" s="519">
        <v>0</v>
      </c>
      <c r="AN154" s="519">
        <v>0</v>
      </c>
    </row>
    <row r="155" spans="1:40" x14ac:dyDescent="0.3">
      <c r="A155" s="489" t="s">
        <v>1422</v>
      </c>
      <c r="B155" s="489" t="s">
        <v>1741</v>
      </c>
      <c r="C155" s="489" t="s">
        <v>1866</v>
      </c>
      <c r="D155" s="489" t="s">
        <v>46</v>
      </c>
      <c r="E155" s="619">
        <v>24</v>
      </c>
      <c r="F155" s="624">
        <f t="shared" si="11"/>
        <v>0</v>
      </c>
      <c r="G155" s="519">
        <f t="shared" si="12"/>
        <v>0</v>
      </c>
      <c r="H155" s="519">
        <f t="shared" si="12"/>
        <v>0</v>
      </c>
      <c r="I155" s="519">
        <f t="shared" si="12"/>
        <v>0</v>
      </c>
      <c r="J155" s="519">
        <f t="shared" si="12"/>
        <v>0</v>
      </c>
      <c r="K155" s="519">
        <f t="shared" si="12"/>
        <v>0</v>
      </c>
      <c r="L155" s="519">
        <f t="shared" si="12"/>
        <v>0</v>
      </c>
      <c r="M155" s="519">
        <f t="shared" si="12"/>
        <v>0</v>
      </c>
      <c r="N155" s="519">
        <f t="shared" si="12"/>
        <v>0</v>
      </c>
      <c r="O155" s="519">
        <f t="shared" si="12"/>
        <v>0</v>
      </c>
      <c r="P155" s="519">
        <f t="shared" si="12"/>
        <v>0</v>
      </c>
      <c r="Q155" s="519">
        <f t="shared" si="12"/>
        <v>0</v>
      </c>
      <c r="R155" s="519">
        <f t="shared" si="12"/>
        <v>0</v>
      </c>
      <c r="S155" s="519">
        <f t="shared" si="12"/>
        <v>0</v>
      </c>
      <c r="T155" s="519">
        <f t="shared" si="12"/>
        <v>0</v>
      </c>
      <c r="U155" s="519">
        <f t="shared" si="12"/>
        <v>0</v>
      </c>
      <c r="Y155" s="624">
        <v>0</v>
      </c>
      <c r="Z155" s="519">
        <v>0</v>
      </c>
      <c r="AA155" s="519">
        <v>0</v>
      </c>
      <c r="AB155" s="519">
        <v>0</v>
      </c>
      <c r="AC155" s="519">
        <v>0</v>
      </c>
      <c r="AD155" s="519">
        <v>0</v>
      </c>
      <c r="AE155" s="519">
        <v>0</v>
      </c>
      <c r="AF155" s="519">
        <v>0</v>
      </c>
      <c r="AG155" s="519">
        <v>0</v>
      </c>
      <c r="AH155" s="519">
        <v>0</v>
      </c>
      <c r="AI155" s="519">
        <v>0</v>
      </c>
      <c r="AJ155" s="519">
        <v>0</v>
      </c>
      <c r="AK155" s="519">
        <v>0</v>
      </c>
      <c r="AL155" s="519">
        <v>0</v>
      </c>
      <c r="AM155" s="519">
        <v>0</v>
      </c>
      <c r="AN155" s="519">
        <v>0</v>
      </c>
    </row>
    <row r="156" spans="1:40" x14ac:dyDescent="0.3">
      <c r="A156" s="489" t="s">
        <v>1414</v>
      </c>
      <c r="B156" s="489" t="s">
        <v>1666</v>
      </c>
      <c r="C156" s="489" t="s">
        <v>1867</v>
      </c>
      <c r="D156" s="489" t="s">
        <v>46</v>
      </c>
      <c r="E156" s="619">
        <v>24</v>
      </c>
      <c r="F156" s="624">
        <f t="shared" si="11"/>
        <v>0</v>
      </c>
      <c r="G156" s="519">
        <f t="shared" si="12"/>
        <v>0</v>
      </c>
      <c r="H156" s="519">
        <f t="shared" si="12"/>
        <v>0</v>
      </c>
      <c r="I156" s="519">
        <f t="shared" si="12"/>
        <v>0</v>
      </c>
      <c r="J156" s="519">
        <f t="shared" si="12"/>
        <v>0</v>
      </c>
      <c r="K156" s="519">
        <f t="shared" si="12"/>
        <v>0</v>
      </c>
      <c r="L156" s="519">
        <f t="shared" si="12"/>
        <v>0</v>
      </c>
      <c r="M156" s="519">
        <f t="shared" si="12"/>
        <v>0</v>
      </c>
      <c r="N156" s="519">
        <f t="shared" si="12"/>
        <v>0</v>
      </c>
      <c r="O156" s="519">
        <f t="shared" si="12"/>
        <v>0</v>
      </c>
      <c r="P156" s="519">
        <f t="shared" si="12"/>
        <v>0</v>
      </c>
      <c r="Q156" s="519">
        <f t="shared" si="12"/>
        <v>0</v>
      </c>
      <c r="R156" s="519">
        <f t="shared" si="12"/>
        <v>0</v>
      </c>
      <c r="S156" s="519">
        <f t="shared" si="12"/>
        <v>0</v>
      </c>
      <c r="T156" s="519">
        <f t="shared" si="12"/>
        <v>0</v>
      </c>
      <c r="U156" s="519">
        <f t="shared" si="12"/>
        <v>0</v>
      </c>
      <c r="Y156" s="624">
        <v>0</v>
      </c>
      <c r="Z156" s="519">
        <v>0</v>
      </c>
      <c r="AA156" s="519">
        <v>0</v>
      </c>
      <c r="AB156" s="519">
        <v>0</v>
      </c>
      <c r="AC156" s="519">
        <v>0</v>
      </c>
      <c r="AD156" s="519">
        <v>0</v>
      </c>
      <c r="AE156" s="519">
        <v>0</v>
      </c>
      <c r="AF156" s="519">
        <v>0</v>
      </c>
      <c r="AG156" s="519">
        <v>0</v>
      </c>
      <c r="AH156" s="519">
        <v>0</v>
      </c>
      <c r="AI156" s="519">
        <v>0</v>
      </c>
      <c r="AJ156" s="519">
        <v>0</v>
      </c>
      <c r="AK156" s="519">
        <v>0</v>
      </c>
      <c r="AL156" s="519">
        <v>0</v>
      </c>
      <c r="AM156" s="519">
        <v>0</v>
      </c>
      <c r="AN156" s="519">
        <v>0</v>
      </c>
    </row>
    <row r="157" spans="1:40" x14ac:dyDescent="0.3">
      <c r="A157" s="489" t="s">
        <v>1742</v>
      </c>
      <c r="B157" s="489" t="s">
        <v>1743</v>
      </c>
      <c r="C157" s="489" t="s">
        <v>1868</v>
      </c>
      <c r="D157" s="489" t="s">
        <v>141</v>
      </c>
      <c r="E157" s="619">
        <v>24</v>
      </c>
      <c r="F157" s="624">
        <f t="shared" si="11"/>
        <v>19.583333333333336</v>
      </c>
      <c r="G157" s="519">
        <f t="shared" si="12"/>
        <v>19.7</v>
      </c>
      <c r="H157" s="519">
        <f t="shared" si="12"/>
        <v>19</v>
      </c>
      <c r="I157" s="519">
        <f t="shared" si="12"/>
        <v>0</v>
      </c>
      <c r="J157" s="519">
        <f t="shared" si="12"/>
        <v>0</v>
      </c>
      <c r="K157" s="519">
        <f t="shared" si="12"/>
        <v>0</v>
      </c>
      <c r="L157" s="519">
        <f t="shared" si="12"/>
        <v>0</v>
      </c>
      <c r="M157" s="519">
        <f t="shared" si="12"/>
        <v>0</v>
      </c>
      <c r="N157" s="519">
        <f t="shared" si="12"/>
        <v>0</v>
      </c>
      <c r="O157" s="519">
        <f t="shared" si="12"/>
        <v>0</v>
      </c>
      <c r="P157" s="519">
        <f t="shared" si="12"/>
        <v>0</v>
      </c>
      <c r="Q157" s="519">
        <f t="shared" si="12"/>
        <v>0</v>
      </c>
      <c r="R157" s="519">
        <f t="shared" si="12"/>
        <v>0</v>
      </c>
      <c r="S157" s="519">
        <f t="shared" si="12"/>
        <v>0</v>
      </c>
      <c r="T157" s="519">
        <f t="shared" si="12"/>
        <v>0</v>
      </c>
      <c r="U157" s="519">
        <f t="shared" si="12"/>
        <v>0</v>
      </c>
      <c r="Y157" s="624">
        <v>19.583333333333336</v>
      </c>
      <c r="Z157" s="519">
        <v>19.7</v>
      </c>
      <c r="AA157" s="519">
        <v>19</v>
      </c>
      <c r="AB157" s="519">
        <v>0</v>
      </c>
      <c r="AC157" s="519">
        <v>0</v>
      </c>
      <c r="AD157" s="519">
        <v>0</v>
      </c>
      <c r="AE157" s="519">
        <v>0</v>
      </c>
      <c r="AF157" s="519">
        <v>0</v>
      </c>
      <c r="AG157" s="519">
        <v>0</v>
      </c>
      <c r="AH157" s="519">
        <v>0</v>
      </c>
      <c r="AI157" s="519">
        <v>0</v>
      </c>
      <c r="AJ157" s="519">
        <v>0</v>
      </c>
      <c r="AK157" s="519">
        <v>0</v>
      </c>
      <c r="AL157" s="519">
        <v>0</v>
      </c>
      <c r="AM157" s="519">
        <v>0</v>
      </c>
      <c r="AN157" s="519">
        <v>0</v>
      </c>
    </row>
    <row r="158" spans="1:40" x14ac:dyDescent="0.3">
      <c r="A158" s="489" t="s">
        <v>1605</v>
      </c>
      <c r="B158" s="489" t="s">
        <v>1744</v>
      </c>
      <c r="C158" s="489" t="s">
        <v>1869</v>
      </c>
      <c r="D158" s="489" t="s">
        <v>1936</v>
      </c>
      <c r="E158" s="619">
        <v>24</v>
      </c>
      <c r="F158" s="624">
        <f t="shared" si="11"/>
        <v>15.3</v>
      </c>
      <c r="G158" s="519">
        <f t="shared" si="12"/>
        <v>15.4</v>
      </c>
      <c r="H158" s="519">
        <f t="shared" si="12"/>
        <v>15.4</v>
      </c>
      <c r="I158" s="519">
        <f t="shared" si="12"/>
        <v>15.333333333333334</v>
      </c>
      <c r="J158" s="519">
        <f t="shared" si="12"/>
        <v>15.2</v>
      </c>
      <c r="K158" s="519">
        <f t="shared" si="12"/>
        <v>0</v>
      </c>
      <c r="L158" s="519">
        <f t="shared" si="12"/>
        <v>0</v>
      </c>
      <c r="M158" s="519">
        <f t="shared" si="12"/>
        <v>0</v>
      </c>
      <c r="N158" s="519">
        <f t="shared" si="12"/>
        <v>0</v>
      </c>
      <c r="O158" s="519">
        <f t="shared" si="12"/>
        <v>0</v>
      </c>
      <c r="P158" s="519">
        <f t="shared" si="12"/>
        <v>0</v>
      </c>
      <c r="Q158" s="519">
        <f t="shared" si="12"/>
        <v>0</v>
      </c>
      <c r="R158" s="519">
        <f t="shared" si="12"/>
        <v>0</v>
      </c>
      <c r="S158" s="519">
        <f t="shared" si="12"/>
        <v>0</v>
      </c>
      <c r="T158" s="519">
        <f t="shared" si="12"/>
        <v>0</v>
      </c>
      <c r="U158" s="519">
        <f t="shared" si="12"/>
        <v>0</v>
      </c>
      <c r="Y158" s="624">
        <v>15.3</v>
      </c>
      <c r="Z158" s="519">
        <v>15.4</v>
      </c>
      <c r="AA158" s="519">
        <v>15.4</v>
      </c>
      <c r="AB158" s="519">
        <v>15.333333333333334</v>
      </c>
      <c r="AC158" s="519">
        <v>15.2</v>
      </c>
      <c r="AD158" s="519">
        <v>0</v>
      </c>
      <c r="AE158" s="519">
        <v>0</v>
      </c>
      <c r="AF158" s="519">
        <v>0</v>
      </c>
      <c r="AG158" s="519">
        <v>0</v>
      </c>
      <c r="AH158" s="519">
        <v>0</v>
      </c>
      <c r="AI158" s="519">
        <v>0</v>
      </c>
      <c r="AJ158" s="519">
        <v>0</v>
      </c>
      <c r="AK158" s="519">
        <v>0</v>
      </c>
      <c r="AL158" s="519">
        <v>0</v>
      </c>
      <c r="AM158" s="519">
        <v>0</v>
      </c>
      <c r="AN158" s="519">
        <v>0</v>
      </c>
    </row>
    <row r="159" spans="1:40" x14ac:dyDescent="0.3">
      <c r="A159" s="489" t="s">
        <v>1605</v>
      </c>
      <c r="B159" s="489" t="s">
        <v>1667</v>
      </c>
      <c r="C159" s="489" t="s">
        <v>349</v>
      </c>
      <c r="D159" s="489" t="s">
        <v>46</v>
      </c>
      <c r="E159" s="619">
        <v>23</v>
      </c>
      <c r="F159" s="624">
        <f t="shared" si="11"/>
        <v>0</v>
      </c>
      <c r="G159" s="519">
        <f t="shared" si="12"/>
        <v>0</v>
      </c>
      <c r="H159" s="519">
        <f t="shared" si="12"/>
        <v>0</v>
      </c>
      <c r="I159" s="519">
        <f t="shared" si="12"/>
        <v>0</v>
      </c>
      <c r="J159" s="519">
        <f t="shared" si="12"/>
        <v>0</v>
      </c>
      <c r="K159" s="519">
        <f t="shared" si="12"/>
        <v>0</v>
      </c>
      <c r="L159" s="519">
        <f t="shared" si="12"/>
        <v>0</v>
      </c>
      <c r="M159" s="519">
        <f t="shared" si="12"/>
        <v>0</v>
      </c>
      <c r="N159" s="519">
        <f t="shared" si="12"/>
        <v>0</v>
      </c>
      <c r="O159" s="519">
        <f t="shared" si="12"/>
        <v>0</v>
      </c>
      <c r="P159" s="519">
        <f t="shared" si="12"/>
        <v>0</v>
      </c>
      <c r="Q159" s="519">
        <f t="shared" si="12"/>
        <v>0</v>
      </c>
      <c r="R159" s="519">
        <f t="shared" si="12"/>
        <v>0</v>
      </c>
      <c r="S159" s="519">
        <f t="shared" si="12"/>
        <v>0</v>
      </c>
      <c r="T159" s="519">
        <f t="shared" si="12"/>
        <v>0</v>
      </c>
      <c r="U159" s="519">
        <f t="shared" si="12"/>
        <v>0</v>
      </c>
      <c r="Y159" s="624">
        <v>0</v>
      </c>
      <c r="Z159" s="519">
        <v>0</v>
      </c>
      <c r="AA159" s="519">
        <v>0</v>
      </c>
      <c r="AB159" s="519">
        <v>0</v>
      </c>
      <c r="AC159" s="519">
        <v>0</v>
      </c>
      <c r="AD159" s="519">
        <v>0</v>
      </c>
      <c r="AE159" s="519">
        <v>0</v>
      </c>
      <c r="AF159" s="519">
        <v>0</v>
      </c>
      <c r="AG159" s="519">
        <v>0</v>
      </c>
      <c r="AH159" s="519">
        <v>0</v>
      </c>
      <c r="AI159" s="519">
        <v>0</v>
      </c>
      <c r="AJ159" s="519">
        <v>0</v>
      </c>
      <c r="AK159" s="519">
        <v>0</v>
      </c>
      <c r="AL159" s="519">
        <v>0</v>
      </c>
      <c r="AM159" s="519">
        <v>0</v>
      </c>
      <c r="AN159" s="519">
        <v>0</v>
      </c>
    </row>
    <row r="160" spans="1:40" x14ac:dyDescent="0.3">
      <c r="A160" s="489" t="s">
        <v>1605</v>
      </c>
      <c r="B160" s="489" t="s">
        <v>1744</v>
      </c>
      <c r="C160" s="489" t="s">
        <v>1869</v>
      </c>
      <c r="D160" s="489" t="s">
        <v>46</v>
      </c>
      <c r="E160" s="619">
        <v>23</v>
      </c>
      <c r="F160" s="624">
        <f t="shared" si="11"/>
        <v>0</v>
      </c>
      <c r="G160" s="519">
        <f t="shared" si="12"/>
        <v>0</v>
      </c>
      <c r="H160" s="519">
        <f t="shared" si="12"/>
        <v>0</v>
      </c>
      <c r="I160" s="519">
        <f t="shared" si="12"/>
        <v>0</v>
      </c>
      <c r="J160" s="519">
        <f t="shared" si="12"/>
        <v>0</v>
      </c>
      <c r="K160" s="519">
        <f t="shared" si="12"/>
        <v>0</v>
      </c>
      <c r="L160" s="519">
        <f t="shared" si="12"/>
        <v>0</v>
      </c>
      <c r="M160" s="519">
        <f t="shared" si="12"/>
        <v>0</v>
      </c>
      <c r="N160" s="519">
        <f t="shared" si="12"/>
        <v>0</v>
      </c>
      <c r="O160" s="519">
        <f t="shared" si="12"/>
        <v>0</v>
      </c>
      <c r="P160" s="519">
        <f t="shared" si="12"/>
        <v>0</v>
      </c>
      <c r="Q160" s="519">
        <f t="shared" si="12"/>
        <v>0</v>
      </c>
      <c r="R160" s="519">
        <f t="shared" si="12"/>
        <v>0</v>
      </c>
      <c r="S160" s="519">
        <f t="shared" si="12"/>
        <v>0</v>
      </c>
      <c r="T160" s="519">
        <f t="shared" si="12"/>
        <v>0</v>
      </c>
      <c r="U160" s="519">
        <f t="shared" si="12"/>
        <v>0</v>
      </c>
      <c r="Y160" s="624">
        <v>0</v>
      </c>
      <c r="Z160" s="519">
        <v>0</v>
      </c>
      <c r="AA160" s="519">
        <v>0</v>
      </c>
      <c r="AB160" s="519">
        <v>0</v>
      </c>
      <c r="AC160" s="519">
        <v>0</v>
      </c>
      <c r="AD160" s="519">
        <v>0</v>
      </c>
      <c r="AE160" s="519">
        <v>0</v>
      </c>
      <c r="AF160" s="519">
        <v>0</v>
      </c>
      <c r="AG160" s="519">
        <v>0</v>
      </c>
      <c r="AH160" s="519">
        <v>0</v>
      </c>
      <c r="AI160" s="519">
        <v>0</v>
      </c>
      <c r="AJ160" s="519">
        <v>0</v>
      </c>
      <c r="AK160" s="519">
        <v>0</v>
      </c>
      <c r="AL160" s="519">
        <v>0</v>
      </c>
      <c r="AM160" s="519">
        <v>0</v>
      </c>
      <c r="AN160" s="519">
        <v>0</v>
      </c>
    </row>
    <row r="161" spans="1:40" x14ac:dyDescent="0.3">
      <c r="A161" s="489" t="s">
        <v>1414</v>
      </c>
      <c r="B161" s="489" t="s">
        <v>1745</v>
      </c>
      <c r="C161" s="489" t="s">
        <v>1870</v>
      </c>
      <c r="D161" s="489" t="s">
        <v>46</v>
      </c>
      <c r="E161" s="619">
        <v>23</v>
      </c>
      <c r="F161" s="624">
        <f t="shared" si="11"/>
        <v>0</v>
      </c>
      <c r="G161" s="519">
        <f t="shared" si="12"/>
        <v>0</v>
      </c>
      <c r="H161" s="519">
        <f t="shared" si="12"/>
        <v>0</v>
      </c>
      <c r="I161" s="519">
        <f t="shared" si="12"/>
        <v>0</v>
      </c>
      <c r="J161" s="519">
        <f t="shared" si="12"/>
        <v>0</v>
      </c>
      <c r="K161" s="519">
        <f t="shared" si="12"/>
        <v>0</v>
      </c>
      <c r="L161" s="519">
        <f t="shared" si="12"/>
        <v>0</v>
      </c>
      <c r="M161" s="519">
        <f t="shared" si="12"/>
        <v>0</v>
      </c>
      <c r="N161" s="519">
        <f t="shared" si="12"/>
        <v>0</v>
      </c>
      <c r="O161" s="519">
        <f t="shared" si="12"/>
        <v>0</v>
      </c>
      <c r="P161" s="519">
        <f t="shared" si="12"/>
        <v>0</v>
      </c>
      <c r="Q161" s="519">
        <f t="shared" si="12"/>
        <v>0</v>
      </c>
      <c r="R161" s="519">
        <f t="shared" si="12"/>
        <v>0</v>
      </c>
      <c r="S161" s="519">
        <f t="shared" si="12"/>
        <v>0</v>
      </c>
      <c r="T161" s="519">
        <f t="shared" si="12"/>
        <v>0</v>
      </c>
      <c r="U161" s="519">
        <f t="shared" si="12"/>
        <v>0</v>
      </c>
      <c r="Y161" s="624">
        <v>0</v>
      </c>
      <c r="Z161" s="519">
        <v>0</v>
      </c>
      <c r="AA161" s="519">
        <v>0</v>
      </c>
      <c r="AB161" s="519">
        <v>0</v>
      </c>
      <c r="AC161" s="519">
        <v>0</v>
      </c>
      <c r="AD161" s="519">
        <v>0</v>
      </c>
      <c r="AE161" s="519">
        <v>0</v>
      </c>
      <c r="AF161" s="519">
        <v>0</v>
      </c>
      <c r="AG161" s="519">
        <v>0</v>
      </c>
      <c r="AH161" s="519">
        <v>0</v>
      </c>
      <c r="AI161" s="519">
        <v>0</v>
      </c>
      <c r="AJ161" s="519">
        <v>0</v>
      </c>
      <c r="AK161" s="519">
        <v>0</v>
      </c>
      <c r="AL161" s="519">
        <v>0</v>
      </c>
      <c r="AM161" s="519">
        <v>0</v>
      </c>
      <c r="AN161" s="519">
        <v>0</v>
      </c>
    </row>
    <row r="162" spans="1:40" x14ac:dyDescent="0.3">
      <c r="A162" s="489" t="s">
        <v>1454</v>
      </c>
      <c r="B162" s="489" t="s">
        <v>1746</v>
      </c>
      <c r="C162" s="489" t="s">
        <v>1871</v>
      </c>
      <c r="D162" s="489" t="s">
        <v>46</v>
      </c>
      <c r="E162" s="619">
        <v>22</v>
      </c>
      <c r="F162" s="624">
        <f t="shared" si="11"/>
        <v>0</v>
      </c>
      <c r="G162" s="519">
        <f t="shared" ref="G162:U177" si="13">IF(Z162&gt;0,Z162,IF(H162&gt;0,H162,0))</f>
        <v>0</v>
      </c>
      <c r="H162" s="519">
        <f t="shared" si="13"/>
        <v>0</v>
      </c>
      <c r="I162" s="519">
        <f t="shared" si="13"/>
        <v>0</v>
      </c>
      <c r="J162" s="519">
        <f t="shared" si="13"/>
        <v>0</v>
      </c>
      <c r="K162" s="519">
        <f t="shared" si="13"/>
        <v>0</v>
      </c>
      <c r="L162" s="519">
        <f t="shared" si="13"/>
        <v>0</v>
      </c>
      <c r="M162" s="519">
        <f t="shared" si="13"/>
        <v>0</v>
      </c>
      <c r="N162" s="519">
        <f t="shared" si="13"/>
        <v>0</v>
      </c>
      <c r="O162" s="519">
        <f t="shared" si="13"/>
        <v>0</v>
      </c>
      <c r="P162" s="519">
        <f t="shared" si="13"/>
        <v>0</v>
      </c>
      <c r="Q162" s="519">
        <f t="shared" si="13"/>
        <v>0</v>
      </c>
      <c r="R162" s="519">
        <f t="shared" si="13"/>
        <v>0</v>
      </c>
      <c r="S162" s="519">
        <f t="shared" si="13"/>
        <v>0</v>
      </c>
      <c r="T162" s="519">
        <f t="shared" si="13"/>
        <v>0</v>
      </c>
      <c r="U162" s="519">
        <f t="shared" si="13"/>
        <v>0</v>
      </c>
      <c r="Y162" s="624">
        <v>0</v>
      </c>
      <c r="Z162" s="519">
        <v>0</v>
      </c>
      <c r="AA162" s="519">
        <v>0</v>
      </c>
      <c r="AB162" s="519">
        <v>0</v>
      </c>
      <c r="AC162" s="519">
        <v>0</v>
      </c>
      <c r="AD162" s="519">
        <v>0</v>
      </c>
      <c r="AE162" s="519">
        <v>0</v>
      </c>
      <c r="AF162" s="519">
        <v>0</v>
      </c>
      <c r="AG162" s="519">
        <v>0</v>
      </c>
      <c r="AH162" s="519">
        <v>0</v>
      </c>
      <c r="AI162" s="519">
        <v>0</v>
      </c>
      <c r="AJ162" s="519">
        <v>0</v>
      </c>
      <c r="AK162" s="519">
        <v>0</v>
      </c>
      <c r="AL162" s="519">
        <v>0</v>
      </c>
      <c r="AM162" s="519">
        <v>0</v>
      </c>
      <c r="AN162" s="519">
        <v>0</v>
      </c>
    </row>
    <row r="163" spans="1:40" x14ac:dyDescent="0.3">
      <c r="A163" s="489" t="s">
        <v>1454</v>
      </c>
      <c r="B163" s="489" t="s">
        <v>1455</v>
      </c>
      <c r="C163" s="489" t="s">
        <v>1456</v>
      </c>
      <c r="D163" s="489" t="s">
        <v>46</v>
      </c>
      <c r="E163" s="619">
        <v>22</v>
      </c>
      <c r="F163" s="624">
        <f t="shared" si="11"/>
        <v>0</v>
      </c>
      <c r="G163" s="519">
        <f t="shared" si="13"/>
        <v>0</v>
      </c>
      <c r="H163" s="519">
        <f t="shared" si="13"/>
        <v>0</v>
      </c>
      <c r="I163" s="519">
        <f t="shared" si="13"/>
        <v>0</v>
      </c>
      <c r="J163" s="519">
        <f t="shared" si="13"/>
        <v>0</v>
      </c>
      <c r="K163" s="519">
        <f t="shared" si="13"/>
        <v>0</v>
      </c>
      <c r="L163" s="519">
        <f t="shared" si="13"/>
        <v>0</v>
      </c>
      <c r="M163" s="519">
        <f t="shared" si="13"/>
        <v>0</v>
      </c>
      <c r="N163" s="519">
        <f t="shared" si="13"/>
        <v>0</v>
      </c>
      <c r="O163" s="519">
        <f t="shared" si="13"/>
        <v>0</v>
      </c>
      <c r="P163" s="519">
        <f t="shared" si="13"/>
        <v>0</v>
      </c>
      <c r="Q163" s="519">
        <f t="shared" si="13"/>
        <v>0</v>
      </c>
      <c r="R163" s="519">
        <f t="shared" si="13"/>
        <v>0</v>
      </c>
      <c r="S163" s="519">
        <f t="shared" si="13"/>
        <v>0</v>
      </c>
      <c r="T163" s="519">
        <f t="shared" si="13"/>
        <v>0</v>
      </c>
      <c r="U163" s="519">
        <f t="shared" si="13"/>
        <v>0</v>
      </c>
      <c r="Y163" s="624">
        <v>0</v>
      </c>
      <c r="Z163" s="519">
        <v>0</v>
      </c>
      <c r="AA163" s="519">
        <v>0</v>
      </c>
      <c r="AB163" s="519">
        <v>0</v>
      </c>
      <c r="AC163" s="519">
        <v>0</v>
      </c>
      <c r="AD163" s="519">
        <v>0</v>
      </c>
      <c r="AE163" s="519">
        <v>0</v>
      </c>
      <c r="AF163" s="519">
        <v>0</v>
      </c>
      <c r="AG163" s="519">
        <v>0</v>
      </c>
      <c r="AH163" s="519">
        <v>0</v>
      </c>
      <c r="AI163" s="519">
        <v>0</v>
      </c>
      <c r="AJ163" s="519">
        <v>0</v>
      </c>
      <c r="AK163" s="519">
        <v>0</v>
      </c>
      <c r="AL163" s="519">
        <v>0</v>
      </c>
      <c r="AM163" s="519">
        <v>0</v>
      </c>
      <c r="AN163" s="519">
        <v>0</v>
      </c>
    </row>
    <row r="164" spans="1:40" x14ac:dyDescent="0.3">
      <c r="A164" s="489" t="s">
        <v>1414</v>
      </c>
      <c r="B164" s="489" t="s">
        <v>1668</v>
      </c>
      <c r="C164" s="489" t="s">
        <v>1872</v>
      </c>
      <c r="D164" s="489" t="s">
        <v>1936</v>
      </c>
      <c r="E164" s="619">
        <v>22</v>
      </c>
      <c r="F164" s="624">
        <f t="shared" si="11"/>
        <v>18.54</v>
      </c>
      <c r="G164" s="519">
        <f t="shared" si="13"/>
        <v>19.149999999999999</v>
      </c>
      <c r="H164" s="519">
        <f t="shared" si="13"/>
        <v>16.433333333333334</v>
      </c>
      <c r="I164" s="519">
        <f t="shared" si="13"/>
        <v>19.399999999999999</v>
      </c>
      <c r="J164" s="519">
        <f t="shared" si="13"/>
        <v>23.25</v>
      </c>
      <c r="K164" s="519">
        <f t="shared" si="13"/>
        <v>22.7</v>
      </c>
      <c r="L164" s="519">
        <f t="shared" si="13"/>
        <v>0</v>
      </c>
      <c r="M164" s="519">
        <f t="shared" si="13"/>
        <v>0</v>
      </c>
      <c r="N164" s="519">
        <f t="shared" si="13"/>
        <v>0</v>
      </c>
      <c r="O164" s="519">
        <f t="shared" si="13"/>
        <v>0</v>
      </c>
      <c r="P164" s="519">
        <f t="shared" si="13"/>
        <v>0</v>
      </c>
      <c r="Q164" s="519">
        <f t="shared" si="13"/>
        <v>0</v>
      </c>
      <c r="R164" s="519">
        <f t="shared" si="13"/>
        <v>0</v>
      </c>
      <c r="S164" s="519">
        <f t="shared" si="13"/>
        <v>0</v>
      </c>
      <c r="T164" s="519">
        <f t="shared" si="13"/>
        <v>0</v>
      </c>
      <c r="U164" s="519">
        <f t="shared" si="13"/>
        <v>0</v>
      </c>
      <c r="Y164" s="624">
        <v>18.54</v>
      </c>
      <c r="Z164" s="519">
        <v>19.149999999999999</v>
      </c>
      <c r="AA164" s="519">
        <v>16.433333333333334</v>
      </c>
      <c r="AB164" s="519">
        <v>19.399999999999999</v>
      </c>
      <c r="AC164" s="519">
        <v>23.25</v>
      </c>
      <c r="AD164" s="519">
        <v>22.7</v>
      </c>
      <c r="AE164" s="519">
        <v>0</v>
      </c>
      <c r="AF164" s="519">
        <v>0</v>
      </c>
      <c r="AG164" s="519">
        <v>0</v>
      </c>
      <c r="AH164" s="519">
        <v>0</v>
      </c>
      <c r="AI164" s="519">
        <v>0</v>
      </c>
      <c r="AJ164" s="519">
        <v>0</v>
      </c>
      <c r="AK164" s="519">
        <v>0</v>
      </c>
      <c r="AL164" s="519">
        <v>0</v>
      </c>
      <c r="AM164" s="519">
        <v>0</v>
      </c>
      <c r="AN164" s="519">
        <v>0</v>
      </c>
    </row>
    <row r="165" spans="1:40" x14ac:dyDescent="0.3">
      <c r="A165" s="489" t="s">
        <v>1451</v>
      </c>
      <c r="B165" s="489" t="s">
        <v>1747</v>
      </c>
      <c r="C165" s="489" t="s">
        <v>1873</v>
      </c>
      <c r="D165" s="489" t="s">
        <v>46</v>
      </c>
      <c r="E165" s="619">
        <v>21</v>
      </c>
      <c r="F165" s="624">
        <f t="shared" si="11"/>
        <v>0</v>
      </c>
      <c r="G165" s="519">
        <f t="shared" si="13"/>
        <v>0</v>
      </c>
      <c r="H165" s="519">
        <f t="shared" si="13"/>
        <v>0</v>
      </c>
      <c r="I165" s="519">
        <f t="shared" si="13"/>
        <v>0</v>
      </c>
      <c r="J165" s="519">
        <f t="shared" si="13"/>
        <v>0</v>
      </c>
      <c r="K165" s="519">
        <f t="shared" si="13"/>
        <v>0</v>
      </c>
      <c r="L165" s="519">
        <f t="shared" si="13"/>
        <v>0</v>
      </c>
      <c r="M165" s="519">
        <f t="shared" si="13"/>
        <v>0</v>
      </c>
      <c r="N165" s="519">
        <f t="shared" si="13"/>
        <v>0</v>
      </c>
      <c r="O165" s="519">
        <f t="shared" si="13"/>
        <v>0</v>
      </c>
      <c r="P165" s="519">
        <f t="shared" si="13"/>
        <v>0</v>
      </c>
      <c r="Q165" s="519">
        <f t="shared" si="13"/>
        <v>0</v>
      </c>
      <c r="R165" s="519">
        <f t="shared" si="13"/>
        <v>0</v>
      </c>
      <c r="S165" s="519">
        <f t="shared" si="13"/>
        <v>0</v>
      </c>
      <c r="T165" s="519">
        <f t="shared" si="13"/>
        <v>0</v>
      </c>
      <c r="U165" s="519">
        <f t="shared" si="13"/>
        <v>0</v>
      </c>
      <c r="Y165" s="624">
        <v>0</v>
      </c>
      <c r="Z165" s="519">
        <v>0</v>
      </c>
      <c r="AA165" s="519">
        <v>0</v>
      </c>
      <c r="AB165" s="519">
        <v>0</v>
      </c>
      <c r="AC165" s="519">
        <v>0</v>
      </c>
      <c r="AD165" s="519">
        <v>0</v>
      </c>
      <c r="AE165" s="519">
        <v>0</v>
      </c>
      <c r="AF165" s="519">
        <v>0</v>
      </c>
      <c r="AG165" s="519">
        <v>0</v>
      </c>
      <c r="AH165" s="519">
        <v>0</v>
      </c>
      <c r="AI165" s="519">
        <v>0</v>
      </c>
      <c r="AJ165" s="519">
        <v>0</v>
      </c>
      <c r="AK165" s="519">
        <v>0</v>
      </c>
      <c r="AL165" s="519">
        <v>0</v>
      </c>
      <c r="AM165" s="519">
        <v>0</v>
      </c>
      <c r="AN165" s="519">
        <v>0</v>
      </c>
    </row>
    <row r="166" spans="1:40" x14ac:dyDescent="0.3">
      <c r="A166" s="489" t="s">
        <v>1567</v>
      </c>
      <c r="B166" s="489">
        <v>508</v>
      </c>
      <c r="C166" s="489" t="s">
        <v>865</v>
      </c>
      <c r="D166" s="489" t="s">
        <v>1929</v>
      </c>
      <c r="E166" s="619">
        <v>21</v>
      </c>
      <c r="F166" s="624">
        <f t="shared" si="11"/>
        <v>0</v>
      </c>
      <c r="G166" s="519">
        <f t="shared" si="13"/>
        <v>0</v>
      </c>
      <c r="H166" s="519">
        <f t="shared" si="13"/>
        <v>0</v>
      </c>
      <c r="I166" s="519">
        <f t="shared" si="13"/>
        <v>0</v>
      </c>
      <c r="J166" s="519">
        <f t="shared" si="13"/>
        <v>0</v>
      </c>
      <c r="K166" s="519">
        <f t="shared" si="13"/>
        <v>0</v>
      </c>
      <c r="L166" s="519">
        <f t="shared" si="13"/>
        <v>0</v>
      </c>
      <c r="M166" s="519">
        <f t="shared" si="13"/>
        <v>0</v>
      </c>
      <c r="N166" s="519">
        <f t="shared" si="13"/>
        <v>0</v>
      </c>
      <c r="O166" s="519">
        <f t="shared" si="13"/>
        <v>0</v>
      </c>
      <c r="P166" s="519">
        <f t="shared" si="13"/>
        <v>0</v>
      </c>
      <c r="Q166" s="519">
        <f t="shared" si="13"/>
        <v>0</v>
      </c>
      <c r="R166" s="519">
        <f t="shared" si="13"/>
        <v>0</v>
      </c>
      <c r="S166" s="519">
        <f t="shared" si="13"/>
        <v>0</v>
      </c>
      <c r="T166" s="519">
        <f t="shared" si="13"/>
        <v>0</v>
      </c>
      <c r="U166" s="519">
        <f t="shared" si="13"/>
        <v>0</v>
      </c>
      <c r="Y166" s="624">
        <v>0</v>
      </c>
      <c r="Z166" s="519">
        <v>0</v>
      </c>
      <c r="AA166" s="519">
        <v>0</v>
      </c>
      <c r="AB166" s="519">
        <v>0</v>
      </c>
      <c r="AC166" s="519">
        <v>0</v>
      </c>
      <c r="AD166" s="519">
        <v>0</v>
      </c>
      <c r="AE166" s="519">
        <v>0</v>
      </c>
      <c r="AF166" s="519">
        <v>0</v>
      </c>
      <c r="AG166" s="519">
        <v>0</v>
      </c>
      <c r="AH166" s="519">
        <v>0</v>
      </c>
      <c r="AI166" s="519">
        <v>0</v>
      </c>
      <c r="AJ166" s="519">
        <v>0</v>
      </c>
      <c r="AK166" s="519">
        <v>0</v>
      </c>
      <c r="AL166" s="519">
        <v>0</v>
      </c>
      <c r="AM166" s="519">
        <v>0</v>
      </c>
      <c r="AN166" s="519">
        <v>0</v>
      </c>
    </row>
    <row r="167" spans="1:40" x14ac:dyDescent="0.3">
      <c r="A167" s="489" t="s">
        <v>1414</v>
      </c>
      <c r="B167" s="489" t="s">
        <v>1748</v>
      </c>
      <c r="C167" s="489" t="s">
        <v>1874</v>
      </c>
      <c r="D167" s="489" t="s">
        <v>46</v>
      </c>
      <c r="E167" s="619">
        <v>21</v>
      </c>
      <c r="F167" s="624">
        <f t="shared" si="11"/>
        <v>0</v>
      </c>
      <c r="G167" s="519">
        <f t="shared" si="13"/>
        <v>0</v>
      </c>
      <c r="H167" s="519">
        <f t="shared" si="13"/>
        <v>0</v>
      </c>
      <c r="I167" s="519">
        <f t="shared" si="13"/>
        <v>0</v>
      </c>
      <c r="J167" s="519">
        <f t="shared" si="13"/>
        <v>0</v>
      </c>
      <c r="K167" s="519">
        <f t="shared" si="13"/>
        <v>0</v>
      </c>
      <c r="L167" s="519">
        <f t="shared" si="13"/>
        <v>0</v>
      </c>
      <c r="M167" s="519">
        <f t="shared" si="13"/>
        <v>0</v>
      </c>
      <c r="N167" s="519">
        <f t="shared" si="13"/>
        <v>0</v>
      </c>
      <c r="O167" s="519">
        <f t="shared" si="13"/>
        <v>0</v>
      </c>
      <c r="P167" s="519">
        <f t="shared" si="13"/>
        <v>0</v>
      </c>
      <c r="Q167" s="519">
        <f t="shared" si="13"/>
        <v>0</v>
      </c>
      <c r="R167" s="519">
        <f t="shared" si="13"/>
        <v>0</v>
      </c>
      <c r="S167" s="519">
        <f t="shared" si="13"/>
        <v>0</v>
      </c>
      <c r="T167" s="519">
        <f t="shared" si="13"/>
        <v>0</v>
      </c>
      <c r="U167" s="519">
        <f t="shared" si="13"/>
        <v>0</v>
      </c>
      <c r="Y167" s="624">
        <v>0</v>
      </c>
      <c r="Z167" s="519">
        <v>0</v>
      </c>
      <c r="AA167" s="519">
        <v>0</v>
      </c>
      <c r="AB167" s="519">
        <v>0</v>
      </c>
      <c r="AC167" s="519">
        <v>0</v>
      </c>
      <c r="AD167" s="519">
        <v>0</v>
      </c>
      <c r="AE167" s="519">
        <v>0</v>
      </c>
      <c r="AF167" s="519">
        <v>0</v>
      </c>
      <c r="AG167" s="519">
        <v>0</v>
      </c>
      <c r="AH167" s="519">
        <v>0</v>
      </c>
      <c r="AI167" s="519">
        <v>0</v>
      </c>
      <c r="AJ167" s="519">
        <v>0</v>
      </c>
      <c r="AK167" s="519">
        <v>0</v>
      </c>
      <c r="AL167" s="519">
        <v>0</v>
      </c>
      <c r="AM167" s="519">
        <v>0</v>
      </c>
      <c r="AN167" s="519">
        <v>0</v>
      </c>
    </row>
    <row r="168" spans="1:40" x14ac:dyDescent="0.3">
      <c r="A168" s="489" t="s">
        <v>1426</v>
      </c>
      <c r="B168" s="489" t="s">
        <v>1749</v>
      </c>
      <c r="C168" s="489" t="s">
        <v>1749</v>
      </c>
      <c r="D168" s="489" t="s">
        <v>1930</v>
      </c>
      <c r="E168" s="619">
        <v>21</v>
      </c>
      <c r="F168" s="624">
        <f t="shared" si="11"/>
        <v>0</v>
      </c>
      <c r="G168" s="519">
        <f t="shared" si="13"/>
        <v>0</v>
      </c>
      <c r="H168" s="519">
        <f t="shared" si="13"/>
        <v>0</v>
      </c>
      <c r="I168" s="519">
        <f t="shared" si="13"/>
        <v>0</v>
      </c>
      <c r="J168" s="519">
        <f t="shared" si="13"/>
        <v>0</v>
      </c>
      <c r="K168" s="519">
        <f t="shared" si="13"/>
        <v>0</v>
      </c>
      <c r="L168" s="519">
        <f t="shared" si="13"/>
        <v>0</v>
      </c>
      <c r="M168" s="519">
        <f t="shared" si="13"/>
        <v>0</v>
      </c>
      <c r="N168" s="519">
        <f t="shared" si="13"/>
        <v>0</v>
      </c>
      <c r="O168" s="519">
        <f t="shared" si="13"/>
        <v>0</v>
      </c>
      <c r="P168" s="519">
        <f t="shared" si="13"/>
        <v>0</v>
      </c>
      <c r="Q168" s="519">
        <f t="shared" si="13"/>
        <v>0</v>
      </c>
      <c r="R168" s="519">
        <f t="shared" si="13"/>
        <v>0</v>
      </c>
      <c r="S168" s="519">
        <f t="shared" si="13"/>
        <v>0</v>
      </c>
      <c r="T168" s="519">
        <f t="shared" si="13"/>
        <v>0</v>
      </c>
      <c r="U168" s="519">
        <f t="shared" si="13"/>
        <v>0</v>
      </c>
      <c r="Y168" s="624">
        <v>0</v>
      </c>
      <c r="Z168" s="519">
        <v>0</v>
      </c>
      <c r="AA168" s="519">
        <v>0</v>
      </c>
      <c r="AB168" s="519">
        <v>0</v>
      </c>
      <c r="AC168" s="519">
        <v>0</v>
      </c>
      <c r="AD168" s="519">
        <v>0</v>
      </c>
      <c r="AE168" s="519">
        <v>0</v>
      </c>
      <c r="AF168" s="519">
        <v>0</v>
      </c>
      <c r="AG168" s="519">
        <v>0</v>
      </c>
      <c r="AH168" s="519">
        <v>0</v>
      </c>
      <c r="AI168" s="519">
        <v>0</v>
      </c>
      <c r="AJ168" s="519">
        <v>0</v>
      </c>
      <c r="AK168" s="519">
        <v>0</v>
      </c>
      <c r="AL168" s="519">
        <v>0</v>
      </c>
      <c r="AM168" s="519">
        <v>0</v>
      </c>
      <c r="AN168" s="519">
        <v>0</v>
      </c>
    </row>
    <row r="169" spans="1:40" x14ac:dyDescent="0.3">
      <c r="A169" s="489" t="s">
        <v>1750</v>
      </c>
      <c r="B169" s="489" t="s">
        <v>1751</v>
      </c>
      <c r="C169" s="489" t="s">
        <v>1875</v>
      </c>
      <c r="D169" s="489" t="s">
        <v>46</v>
      </c>
      <c r="E169" s="619">
        <v>21</v>
      </c>
      <c r="F169" s="624">
        <f t="shared" si="11"/>
        <v>0</v>
      </c>
      <c r="G169" s="519">
        <f t="shared" si="13"/>
        <v>0</v>
      </c>
      <c r="H169" s="519">
        <f t="shared" si="13"/>
        <v>0</v>
      </c>
      <c r="I169" s="519">
        <f t="shared" si="13"/>
        <v>0</v>
      </c>
      <c r="J169" s="519">
        <f t="shared" si="13"/>
        <v>0</v>
      </c>
      <c r="K169" s="519">
        <f t="shared" si="13"/>
        <v>0</v>
      </c>
      <c r="L169" s="519">
        <f t="shared" si="13"/>
        <v>0</v>
      </c>
      <c r="M169" s="519">
        <f t="shared" si="13"/>
        <v>0</v>
      </c>
      <c r="N169" s="519">
        <f t="shared" si="13"/>
        <v>0</v>
      </c>
      <c r="O169" s="519">
        <f t="shared" si="13"/>
        <v>0</v>
      </c>
      <c r="P169" s="519">
        <f t="shared" si="13"/>
        <v>0</v>
      </c>
      <c r="Q169" s="519">
        <f t="shared" si="13"/>
        <v>0</v>
      </c>
      <c r="R169" s="519">
        <f t="shared" si="13"/>
        <v>0</v>
      </c>
      <c r="S169" s="519">
        <f t="shared" si="13"/>
        <v>0</v>
      </c>
      <c r="T169" s="519">
        <f t="shared" si="13"/>
        <v>0</v>
      </c>
      <c r="U169" s="519">
        <f t="shared" si="13"/>
        <v>0</v>
      </c>
      <c r="Y169" s="624">
        <v>0</v>
      </c>
      <c r="Z169" s="519">
        <v>0</v>
      </c>
      <c r="AA169" s="519">
        <v>0</v>
      </c>
      <c r="AB169" s="519">
        <v>0</v>
      </c>
      <c r="AC169" s="519">
        <v>0</v>
      </c>
      <c r="AD169" s="519">
        <v>0</v>
      </c>
      <c r="AE169" s="519">
        <v>0</v>
      </c>
      <c r="AF169" s="519">
        <v>0</v>
      </c>
      <c r="AG169" s="519">
        <v>0</v>
      </c>
      <c r="AH169" s="519">
        <v>0</v>
      </c>
      <c r="AI169" s="519">
        <v>0</v>
      </c>
      <c r="AJ169" s="519">
        <v>0</v>
      </c>
      <c r="AK169" s="519">
        <v>0</v>
      </c>
      <c r="AL169" s="519">
        <v>0</v>
      </c>
      <c r="AM169" s="519">
        <v>0</v>
      </c>
      <c r="AN169" s="519">
        <v>0</v>
      </c>
    </row>
    <row r="170" spans="1:40" x14ac:dyDescent="0.3">
      <c r="A170" s="489" t="s">
        <v>1422</v>
      </c>
      <c r="B170" s="489" t="s">
        <v>1752</v>
      </c>
      <c r="C170" s="489" t="s">
        <v>1876</v>
      </c>
      <c r="D170" s="489" t="s">
        <v>46</v>
      </c>
      <c r="E170" s="619">
        <v>21</v>
      </c>
      <c r="F170" s="624">
        <f t="shared" si="11"/>
        <v>0</v>
      </c>
      <c r="G170" s="519">
        <f t="shared" si="13"/>
        <v>0</v>
      </c>
      <c r="H170" s="519">
        <f t="shared" si="13"/>
        <v>0</v>
      </c>
      <c r="I170" s="519">
        <f t="shared" si="13"/>
        <v>0</v>
      </c>
      <c r="J170" s="519">
        <f t="shared" si="13"/>
        <v>0</v>
      </c>
      <c r="K170" s="519">
        <f t="shared" si="13"/>
        <v>0</v>
      </c>
      <c r="L170" s="519">
        <f t="shared" si="13"/>
        <v>0</v>
      </c>
      <c r="M170" s="519">
        <f t="shared" si="13"/>
        <v>0</v>
      </c>
      <c r="N170" s="519">
        <f t="shared" si="13"/>
        <v>0</v>
      </c>
      <c r="O170" s="519">
        <f t="shared" si="13"/>
        <v>0</v>
      </c>
      <c r="P170" s="519">
        <f t="shared" si="13"/>
        <v>0</v>
      </c>
      <c r="Q170" s="519">
        <f t="shared" si="13"/>
        <v>0</v>
      </c>
      <c r="R170" s="519">
        <f t="shared" si="13"/>
        <v>0</v>
      </c>
      <c r="S170" s="519">
        <f t="shared" si="13"/>
        <v>0</v>
      </c>
      <c r="T170" s="519">
        <f t="shared" si="13"/>
        <v>0</v>
      </c>
      <c r="U170" s="519">
        <f t="shared" si="13"/>
        <v>0</v>
      </c>
      <c r="Y170" s="624">
        <v>0</v>
      </c>
      <c r="Z170" s="519">
        <v>0</v>
      </c>
      <c r="AA170" s="519">
        <v>0</v>
      </c>
      <c r="AB170" s="519">
        <v>0</v>
      </c>
      <c r="AC170" s="519">
        <v>0</v>
      </c>
      <c r="AD170" s="519">
        <v>0</v>
      </c>
      <c r="AE170" s="519">
        <v>0</v>
      </c>
      <c r="AF170" s="519">
        <v>0</v>
      </c>
      <c r="AG170" s="519">
        <v>0</v>
      </c>
      <c r="AH170" s="519">
        <v>0</v>
      </c>
      <c r="AI170" s="519">
        <v>0</v>
      </c>
      <c r="AJ170" s="519">
        <v>0</v>
      </c>
      <c r="AK170" s="519">
        <v>0</v>
      </c>
      <c r="AL170" s="519">
        <v>0</v>
      </c>
      <c r="AM170" s="519">
        <v>0</v>
      </c>
      <c r="AN170" s="519">
        <v>0</v>
      </c>
    </row>
    <row r="171" spans="1:40" x14ac:dyDescent="0.3">
      <c r="A171" s="489" t="s">
        <v>1605</v>
      </c>
      <c r="B171" s="489" t="s">
        <v>1669</v>
      </c>
      <c r="C171" s="489" t="s">
        <v>1877</v>
      </c>
      <c r="D171" s="489" t="s">
        <v>46</v>
      </c>
      <c r="E171" s="619">
        <v>20</v>
      </c>
      <c r="F171" s="624">
        <f t="shared" si="11"/>
        <v>0</v>
      </c>
      <c r="G171" s="519">
        <f t="shared" si="13"/>
        <v>0</v>
      </c>
      <c r="H171" s="519">
        <f t="shared" si="13"/>
        <v>0</v>
      </c>
      <c r="I171" s="519">
        <f t="shared" si="13"/>
        <v>0</v>
      </c>
      <c r="J171" s="519">
        <f t="shared" si="13"/>
        <v>0</v>
      </c>
      <c r="K171" s="519">
        <f t="shared" si="13"/>
        <v>0</v>
      </c>
      <c r="L171" s="519">
        <f t="shared" si="13"/>
        <v>0</v>
      </c>
      <c r="M171" s="519">
        <f t="shared" si="13"/>
        <v>0</v>
      </c>
      <c r="N171" s="519">
        <f t="shared" si="13"/>
        <v>0</v>
      </c>
      <c r="O171" s="519">
        <f t="shared" si="13"/>
        <v>0</v>
      </c>
      <c r="P171" s="519">
        <f t="shared" si="13"/>
        <v>0</v>
      </c>
      <c r="Q171" s="519">
        <f t="shared" si="13"/>
        <v>0</v>
      </c>
      <c r="R171" s="519">
        <f t="shared" si="13"/>
        <v>0</v>
      </c>
      <c r="S171" s="519">
        <f t="shared" si="13"/>
        <v>0</v>
      </c>
      <c r="T171" s="519">
        <f t="shared" si="13"/>
        <v>0</v>
      </c>
      <c r="U171" s="519">
        <f t="shared" si="13"/>
        <v>0</v>
      </c>
      <c r="Y171" s="624">
        <v>0</v>
      </c>
      <c r="Z171" s="519">
        <v>0</v>
      </c>
      <c r="AA171" s="519">
        <v>0</v>
      </c>
      <c r="AB171" s="519">
        <v>0</v>
      </c>
      <c r="AC171" s="519">
        <v>0</v>
      </c>
      <c r="AD171" s="519">
        <v>0</v>
      </c>
      <c r="AE171" s="519">
        <v>0</v>
      </c>
      <c r="AF171" s="519">
        <v>0</v>
      </c>
      <c r="AG171" s="519">
        <v>0</v>
      </c>
      <c r="AH171" s="519">
        <v>0</v>
      </c>
      <c r="AI171" s="519">
        <v>0</v>
      </c>
      <c r="AJ171" s="519">
        <v>0</v>
      </c>
      <c r="AK171" s="519">
        <v>0</v>
      </c>
      <c r="AL171" s="519">
        <v>0</v>
      </c>
      <c r="AM171" s="519">
        <v>0</v>
      </c>
      <c r="AN171" s="519">
        <v>0</v>
      </c>
    </row>
    <row r="172" spans="1:40" x14ac:dyDescent="0.3">
      <c r="A172" s="489" t="s">
        <v>1677</v>
      </c>
      <c r="B172" s="489" t="s">
        <v>1753</v>
      </c>
      <c r="C172" s="489" t="s">
        <v>1878</v>
      </c>
      <c r="D172" s="489" t="s">
        <v>46</v>
      </c>
      <c r="E172" s="619">
        <v>20</v>
      </c>
      <c r="F172" s="624">
        <f t="shared" si="11"/>
        <v>0</v>
      </c>
      <c r="G172" s="519">
        <f t="shared" si="13"/>
        <v>0</v>
      </c>
      <c r="H172" s="519">
        <f t="shared" si="13"/>
        <v>0</v>
      </c>
      <c r="I172" s="519">
        <f t="shared" si="13"/>
        <v>0</v>
      </c>
      <c r="J172" s="519">
        <f t="shared" si="13"/>
        <v>0</v>
      </c>
      <c r="K172" s="519">
        <f t="shared" si="13"/>
        <v>0</v>
      </c>
      <c r="L172" s="519">
        <f t="shared" si="13"/>
        <v>0</v>
      </c>
      <c r="M172" s="519">
        <f t="shared" si="13"/>
        <v>0</v>
      </c>
      <c r="N172" s="519">
        <f t="shared" si="13"/>
        <v>0</v>
      </c>
      <c r="O172" s="519">
        <f t="shared" si="13"/>
        <v>0</v>
      </c>
      <c r="P172" s="519">
        <f t="shared" si="13"/>
        <v>0</v>
      </c>
      <c r="Q172" s="519">
        <f t="shared" si="13"/>
        <v>0</v>
      </c>
      <c r="R172" s="519">
        <f t="shared" si="13"/>
        <v>0</v>
      </c>
      <c r="S172" s="519">
        <f t="shared" si="13"/>
        <v>0</v>
      </c>
      <c r="T172" s="519">
        <f t="shared" si="13"/>
        <v>0</v>
      </c>
      <c r="U172" s="519">
        <f t="shared" si="13"/>
        <v>0</v>
      </c>
      <c r="Y172" s="624">
        <v>0</v>
      </c>
      <c r="Z172" s="519">
        <v>0</v>
      </c>
      <c r="AA172" s="519">
        <v>0</v>
      </c>
      <c r="AB172" s="519">
        <v>0</v>
      </c>
      <c r="AC172" s="519">
        <v>0</v>
      </c>
      <c r="AD172" s="519">
        <v>0</v>
      </c>
      <c r="AE172" s="519">
        <v>0</v>
      </c>
      <c r="AF172" s="519">
        <v>0</v>
      </c>
      <c r="AG172" s="519">
        <v>0</v>
      </c>
      <c r="AH172" s="519">
        <v>0</v>
      </c>
      <c r="AI172" s="519">
        <v>0</v>
      </c>
      <c r="AJ172" s="519">
        <v>0</v>
      </c>
      <c r="AK172" s="519">
        <v>0</v>
      </c>
      <c r="AL172" s="519">
        <v>0</v>
      </c>
      <c r="AM172" s="519">
        <v>0</v>
      </c>
      <c r="AN172" s="519">
        <v>0</v>
      </c>
    </row>
    <row r="173" spans="1:40" x14ac:dyDescent="0.3">
      <c r="A173" s="489" t="s">
        <v>1441</v>
      </c>
      <c r="B173" s="489" t="s">
        <v>1444</v>
      </c>
      <c r="C173" s="489" t="s">
        <v>870</v>
      </c>
      <c r="D173" s="489" t="s">
        <v>45</v>
      </c>
      <c r="E173" s="619">
        <v>20</v>
      </c>
      <c r="F173" s="624">
        <f t="shared" si="11"/>
        <v>0</v>
      </c>
      <c r="G173" s="519">
        <f t="shared" si="13"/>
        <v>0</v>
      </c>
      <c r="H173" s="519">
        <f t="shared" si="13"/>
        <v>0</v>
      </c>
      <c r="I173" s="519">
        <f t="shared" si="13"/>
        <v>0</v>
      </c>
      <c r="J173" s="519">
        <f t="shared" si="13"/>
        <v>0</v>
      </c>
      <c r="K173" s="519">
        <f t="shared" si="13"/>
        <v>0</v>
      </c>
      <c r="L173" s="519">
        <f t="shared" si="13"/>
        <v>0</v>
      </c>
      <c r="M173" s="519">
        <f t="shared" si="13"/>
        <v>0</v>
      </c>
      <c r="N173" s="519">
        <f t="shared" si="13"/>
        <v>0</v>
      </c>
      <c r="O173" s="519">
        <f t="shared" si="13"/>
        <v>0</v>
      </c>
      <c r="P173" s="519">
        <f t="shared" si="13"/>
        <v>0</v>
      </c>
      <c r="Q173" s="519">
        <f t="shared" si="13"/>
        <v>0</v>
      </c>
      <c r="R173" s="519">
        <f t="shared" si="13"/>
        <v>0</v>
      </c>
      <c r="S173" s="519">
        <f t="shared" si="13"/>
        <v>0</v>
      </c>
      <c r="T173" s="519">
        <f t="shared" si="13"/>
        <v>0</v>
      </c>
      <c r="U173" s="519">
        <f t="shared" si="13"/>
        <v>0</v>
      </c>
      <c r="Y173" s="624">
        <v>0</v>
      </c>
      <c r="Z173" s="519">
        <v>0</v>
      </c>
      <c r="AA173" s="519">
        <v>0</v>
      </c>
      <c r="AB173" s="519">
        <v>0</v>
      </c>
      <c r="AC173" s="519">
        <v>0</v>
      </c>
      <c r="AD173" s="519">
        <v>0</v>
      </c>
      <c r="AE173" s="519">
        <v>0</v>
      </c>
      <c r="AF173" s="519">
        <v>0</v>
      </c>
      <c r="AG173" s="519">
        <v>0</v>
      </c>
      <c r="AH173" s="519">
        <v>0</v>
      </c>
      <c r="AI173" s="519">
        <v>0</v>
      </c>
      <c r="AJ173" s="519">
        <v>0</v>
      </c>
      <c r="AK173" s="519">
        <v>0</v>
      </c>
      <c r="AL173" s="519">
        <v>0</v>
      </c>
      <c r="AM173" s="519">
        <v>0</v>
      </c>
      <c r="AN173" s="519">
        <v>0</v>
      </c>
    </row>
    <row r="174" spans="1:40" x14ac:dyDescent="0.3">
      <c r="A174" s="489" t="s">
        <v>1544</v>
      </c>
      <c r="B174" s="489" t="s">
        <v>1754</v>
      </c>
      <c r="C174" s="489" t="s">
        <v>1879</v>
      </c>
      <c r="D174" s="489" t="s">
        <v>46</v>
      </c>
      <c r="E174" s="619">
        <v>20</v>
      </c>
      <c r="F174" s="624">
        <f t="shared" si="11"/>
        <v>0</v>
      </c>
      <c r="G174" s="519">
        <f t="shared" si="13"/>
        <v>0</v>
      </c>
      <c r="H174" s="519">
        <f t="shared" si="13"/>
        <v>0</v>
      </c>
      <c r="I174" s="519">
        <f t="shared" si="13"/>
        <v>0</v>
      </c>
      <c r="J174" s="519">
        <f t="shared" si="13"/>
        <v>0</v>
      </c>
      <c r="K174" s="519">
        <f t="shared" si="13"/>
        <v>0</v>
      </c>
      <c r="L174" s="519">
        <f t="shared" si="13"/>
        <v>0</v>
      </c>
      <c r="M174" s="519">
        <f t="shared" si="13"/>
        <v>0</v>
      </c>
      <c r="N174" s="519">
        <f t="shared" si="13"/>
        <v>0</v>
      </c>
      <c r="O174" s="519">
        <f t="shared" si="13"/>
        <v>0</v>
      </c>
      <c r="P174" s="519">
        <f t="shared" si="13"/>
        <v>0</v>
      </c>
      <c r="Q174" s="519">
        <f t="shared" si="13"/>
        <v>0</v>
      </c>
      <c r="R174" s="519">
        <f t="shared" si="13"/>
        <v>0</v>
      </c>
      <c r="S174" s="519">
        <f t="shared" si="13"/>
        <v>0</v>
      </c>
      <c r="T174" s="519">
        <f t="shared" si="13"/>
        <v>0</v>
      </c>
      <c r="U174" s="519">
        <f t="shared" si="13"/>
        <v>0</v>
      </c>
      <c r="Y174" s="624">
        <v>0</v>
      </c>
      <c r="Z174" s="519">
        <v>0</v>
      </c>
      <c r="AA174" s="519">
        <v>0</v>
      </c>
      <c r="AB174" s="519">
        <v>0</v>
      </c>
      <c r="AC174" s="519">
        <v>0</v>
      </c>
      <c r="AD174" s="519">
        <v>0</v>
      </c>
      <c r="AE174" s="519">
        <v>0</v>
      </c>
      <c r="AF174" s="519">
        <v>0</v>
      </c>
      <c r="AG174" s="519">
        <v>0</v>
      </c>
      <c r="AH174" s="519">
        <v>0</v>
      </c>
      <c r="AI174" s="519">
        <v>0</v>
      </c>
      <c r="AJ174" s="519">
        <v>0</v>
      </c>
      <c r="AK174" s="519">
        <v>0</v>
      </c>
      <c r="AL174" s="519">
        <v>0</v>
      </c>
      <c r="AM174" s="519">
        <v>0</v>
      </c>
      <c r="AN174" s="519">
        <v>0</v>
      </c>
    </row>
    <row r="175" spans="1:40" x14ac:dyDescent="0.3">
      <c r="A175" s="489" t="s">
        <v>1694</v>
      </c>
      <c r="B175" s="489" t="s">
        <v>1719</v>
      </c>
      <c r="C175" s="489" t="s">
        <v>1844</v>
      </c>
      <c r="D175" s="489" t="s">
        <v>1929</v>
      </c>
      <c r="E175" s="619">
        <v>20</v>
      </c>
      <c r="F175" s="624">
        <f t="shared" si="11"/>
        <v>0</v>
      </c>
      <c r="G175" s="519">
        <f t="shared" si="13"/>
        <v>0</v>
      </c>
      <c r="H175" s="519">
        <f t="shared" si="13"/>
        <v>0</v>
      </c>
      <c r="I175" s="519">
        <f t="shared" si="13"/>
        <v>0</v>
      </c>
      <c r="J175" s="519">
        <f t="shared" si="13"/>
        <v>0</v>
      </c>
      <c r="K175" s="519">
        <f t="shared" si="13"/>
        <v>0</v>
      </c>
      <c r="L175" s="519">
        <f t="shared" si="13"/>
        <v>0</v>
      </c>
      <c r="M175" s="519">
        <f t="shared" si="13"/>
        <v>0</v>
      </c>
      <c r="N175" s="519">
        <f t="shared" si="13"/>
        <v>0</v>
      </c>
      <c r="O175" s="519">
        <f t="shared" si="13"/>
        <v>0</v>
      </c>
      <c r="P175" s="519">
        <f t="shared" si="13"/>
        <v>0</v>
      </c>
      <c r="Q175" s="519">
        <f t="shared" si="13"/>
        <v>0</v>
      </c>
      <c r="R175" s="519">
        <f t="shared" si="13"/>
        <v>0</v>
      </c>
      <c r="S175" s="519">
        <f t="shared" si="13"/>
        <v>0</v>
      </c>
      <c r="T175" s="519">
        <f t="shared" si="13"/>
        <v>0</v>
      </c>
      <c r="U175" s="519">
        <f t="shared" si="13"/>
        <v>0</v>
      </c>
      <c r="Y175" s="624">
        <v>0</v>
      </c>
      <c r="Z175" s="519">
        <v>0</v>
      </c>
      <c r="AA175" s="519">
        <v>0</v>
      </c>
      <c r="AB175" s="519">
        <v>0</v>
      </c>
      <c r="AC175" s="519">
        <v>0</v>
      </c>
      <c r="AD175" s="519">
        <v>0</v>
      </c>
      <c r="AE175" s="519">
        <v>0</v>
      </c>
      <c r="AF175" s="519">
        <v>0</v>
      </c>
      <c r="AG175" s="519">
        <v>0</v>
      </c>
      <c r="AH175" s="519">
        <v>0</v>
      </c>
      <c r="AI175" s="519">
        <v>0</v>
      </c>
      <c r="AJ175" s="519">
        <v>0</v>
      </c>
      <c r="AK175" s="519">
        <v>0</v>
      </c>
      <c r="AL175" s="519">
        <v>0</v>
      </c>
      <c r="AM175" s="519">
        <v>0</v>
      </c>
      <c r="AN175" s="519">
        <v>0</v>
      </c>
    </row>
    <row r="176" spans="1:40" x14ac:dyDescent="0.3">
      <c r="A176" s="489" t="s">
        <v>1414</v>
      </c>
      <c r="B176" s="489" t="s">
        <v>1755</v>
      </c>
      <c r="C176" s="489" t="s">
        <v>1880</v>
      </c>
      <c r="D176" s="489" t="s">
        <v>46</v>
      </c>
      <c r="E176" s="619">
        <v>19</v>
      </c>
      <c r="F176" s="624">
        <f t="shared" si="11"/>
        <v>0</v>
      </c>
      <c r="G176" s="519">
        <f t="shared" si="13"/>
        <v>0</v>
      </c>
      <c r="H176" s="519">
        <f t="shared" si="13"/>
        <v>0</v>
      </c>
      <c r="I176" s="519">
        <f t="shared" si="13"/>
        <v>0</v>
      </c>
      <c r="J176" s="519">
        <f t="shared" si="13"/>
        <v>0</v>
      </c>
      <c r="K176" s="519">
        <f t="shared" si="13"/>
        <v>0</v>
      </c>
      <c r="L176" s="519">
        <f t="shared" si="13"/>
        <v>0</v>
      </c>
      <c r="M176" s="519">
        <f t="shared" si="13"/>
        <v>0</v>
      </c>
      <c r="N176" s="519">
        <f t="shared" si="13"/>
        <v>0</v>
      </c>
      <c r="O176" s="519">
        <f t="shared" si="13"/>
        <v>0</v>
      </c>
      <c r="P176" s="519">
        <f t="shared" si="13"/>
        <v>0</v>
      </c>
      <c r="Q176" s="519">
        <f t="shared" si="13"/>
        <v>0</v>
      </c>
      <c r="R176" s="519">
        <f t="shared" si="13"/>
        <v>0</v>
      </c>
      <c r="S176" s="519">
        <f t="shared" si="13"/>
        <v>0</v>
      </c>
      <c r="T176" s="519">
        <f t="shared" si="13"/>
        <v>0</v>
      </c>
      <c r="U176" s="519">
        <f t="shared" si="13"/>
        <v>0</v>
      </c>
      <c r="Y176" s="624">
        <v>0</v>
      </c>
      <c r="Z176" s="519">
        <v>0</v>
      </c>
      <c r="AA176" s="519">
        <v>0</v>
      </c>
      <c r="AB176" s="519">
        <v>0</v>
      </c>
      <c r="AC176" s="519">
        <v>0</v>
      </c>
      <c r="AD176" s="519">
        <v>0</v>
      </c>
      <c r="AE176" s="519">
        <v>0</v>
      </c>
      <c r="AF176" s="519">
        <v>0</v>
      </c>
      <c r="AG176" s="519">
        <v>0</v>
      </c>
      <c r="AH176" s="519">
        <v>0</v>
      </c>
      <c r="AI176" s="519">
        <v>0</v>
      </c>
      <c r="AJ176" s="519">
        <v>0</v>
      </c>
      <c r="AK176" s="519">
        <v>0</v>
      </c>
      <c r="AL176" s="519">
        <v>0</v>
      </c>
      <c r="AM176" s="519">
        <v>0</v>
      </c>
      <c r="AN176" s="519">
        <v>0</v>
      </c>
    </row>
    <row r="177" spans="1:40" x14ac:dyDescent="0.3">
      <c r="A177" s="489" t="s">
        <v>1437</v>
      </c>
      <c r="B177" s="489" t="s">
        <v>1438</v>
      </c>
      <c r="C177" s="489" t="s">
        <v>1439</v>
      </c>
      <c r="D177" s="489" t="s">
        <v>46</v>
      </c>
      <c r="E177" s="619">
        <v>19</v>
      </c>
      <c r="F177" s="624">
        <f t="shared" si="11"/>
        <v>0</v>
      </c>
      <c r="G177" s="519">
        <f t="shared" si="13"/>
        <v>0</v>
      </c>
      <c r="H177" s="519">
        <f t="shared" si="13"/>
        <v>0</v>
      </c>
      <c r="I177" s="519">
        <f t="shared" si="13"/>
        <v>0</v>
      </c>
      <c r="J177" s="519">
        <f t="shared" si="13"/>
        <v>0</v>
      </c>
      <c r="K177" s="519">
        <f t="shared" si="13"/>
        <v>0</v>
      </c>
      <c r="L177" s="519">
        <f t="shared" si="13"/>
        <v>0</v>
      </c>
      <c r="M177" s="519">
        <f t="shared" si="13"/>
        <v>0</v>
      </c>
      <c r="N177" s="519">
        <f t="shared" si="13"/>
        <v>0</v>
      </c>
      <c r="O177" s="519">
        <f t="shared" si="13"/>
        <v>0</v>
      </c>
      <c r="P177" s="519">
        <f t="shared" si="13"/>
        <v>0</v>
      </c>
      <c r="Q177" s="519">
        <f t="shared" si="13"/>
        <v>0</v>
      </c>
      <c r="R177" s="519">
        <f t="shared" si="13"/>
        <v>0</v>
      </c>
      <c r="S177" s="519">
        <f t="shared" si="13"/>
        <v>0</v>
      </c>
      <c r="T177" s="519">
        <f t="shared" si="13"/>
        <v>0</v>
      </c>
      <c r="U177" s="519">
        <f t="shared" si="13"/>
        <v>0</v>
      </c>
      <c r="Y177" s="624">
        <v>0</v>
      </c>
      <c r="Z177" s="519">
        <v>0</v>
      </c>
      <c r="AA177" s="519">
        <v>0</v>
      </c>
      <c r="AB177" s="519">
        <v>0</v>
      </c>
      <c r="AC177" s="519">
        <v>0</v>
      </c>
      <c r="AD177" s="519">
        <v>0</v>
      </c>
      <c r="AE177" s="519">
        <v>0</v>
      </c>
      <c r="AF177" s="519">
        <v>0</v>
      </c>
      <c r="AG177" s="519">
        <v>0</v>
      </c>
      <c r="AH177" s="519">
        <v>0</v>
      </c>
      <c r="AI177" s="519">
        <v>0</v>
      </c>
      <c r="AJ177" s="519">
        <v>0</v>
      </c>
      <c r="AK177" s="519">
        <v>0</v>
      </c>
      <c r="AL177" s="519">
        <v>0</v>
      </c>
      <c r="AM177" s="519">
        <v>0</v>
      </c>
      <c r="AN177" s="519">
        <v>0</v>
      </c>
    </row>
    <row r="178" spans="1:40" x14ac:dyDescent="0.3">
      <c r="A178" s="489" t="s">
        <v>1713</v>
      </c>
      <c r="B178" s="489" t="s">
        <v>1756</v>
      </c>
      <c r="C178" s="489" t="s">
        <v>1881</v>
      </c>
      <c r="D178" s="489" t="s">
        <v>1929</v>
      </c>
      <c r="E178" s="619">
        <v>19</v>
      </c>
      <c r="F178" s="624">
        <f t="shared" si="11"/>
        <v>0</v>
      </c>
      <c r="G178" s="519">
        <f t="shared" ref="G178:U193" si="14">IF(Z178&gt;0,Z178,IF(H178&gt;0,H178,0))</f>
        <v>0</v>
      </c>
      <c r="H178" s="519">
        <f t="shared" si="14"/>
        <v>0</v>
      </c>
      <c r="I178" s="519">
        <f t="shared" si="14"/>
        <v>0</v>
      </c>
      <c r="J178" s="519">
        <f t="shared" si="14"/>
        <v>0</v>
      </c>
      <c r="K178" s="519">
        <f t="shared" si="14"/>
        <v>0</v>
      </c>
      <c r="L178" s="519">
        <f t="shared" si="14"/>
        <v>0</v>
      </c>
      <c r="M178" s="519">
        <f t="shared" si="14"/>
        <v>0</v>
      </c>
      <c r="N178" s="519">
        <f t="shared" si="14"/>
        <v>0</v>
      </c>
      <c r="O178" s="519">
        <f t="shared" si="14"/>
        <v>0</v>
      </c>
      <c r="P178" s="519">
        <f t="shared" si="14"/>
        <v>0</v>
      </c>
      <c r="Q178" s="519">
        <f t="shared" si="14"/>
        <v>0</v>
      </c>
      <c r="R178" s="519">
        <f t="shared" si="14"/>
        <v>0</v>
      </c>
      <c r="S178" s="519">
        <f t="shared" si="14"/>
        <v>0</v>
      </c>
      <c r="T178" s="519">
        <f t="shared" si="14"/>
        <v>0</v>
      </c>
      <c r="U178" s="519">
        <f t="shared" si="14"/>
        <v>0</v>
      </c>
      <c r="Y178" s="624">
        <v>0</v>
      </c>
      <c r="Z178" s="519">
        <v>0</v>
      </c>
      <c r="AA178" s="519">
        <v>0</v>
      </c>
      <c r="AB178" s="519">
        <v>0</v>
      </c>
      <c r="AC178" s="519">
        <v>0</v>
      </c>
      <c r="AD178" s="519">
        <v>0</v>
      </c>
      <c r="AE178" s="519">
        <v>0</v>
      </c>
      <c r="AF178" s="519">
        <v>0</v>
      </c>
      <c r="AG178" s="519">
        <v>0</v>
      </c>
      <c r="AH178" s="519">
        <v>0</v>
      </c>
      <c r="AI178" s="519">
        <v>0</v>
      </c>
      <c r="AJ178" s="519">
        <v>0</v>
      </c>
      <c r="AK178" s="519">
        <v>0</v>
      </c>
      <c r="AL178" s="519">
        <v>0</v>
      </c>
      <c r="AM178" s="519">
        <v>0</v>
      </c>
      <c r="AN178" s="519">
        <v>0</v>
      </c>
    </row>
    <row r="179" spans="1:40" x14ac:dyDescent="0.3">
      <c r="A179" s="489" t="s">
        <v>1426</v>
      </c>
      <c r="B179" s="489" t="s">
        <v>816</v>
      </c>
      <c r="C179" s="489" t="s">
        <v>816</v>
      </c>
      <c r="D179" s="489" t="s">
        <v>1936</v>
      </c>
      <c r="E179" s="619">
        <v>19</v>
      </c>
      <c r="F179" s="624">
        <f t="shared" si="11"/>
        <v>0</v>
      </c>
      <c r="G179" s="519">
        <f t="shared" si="14"/>
        <v>0</v>
      </c>
      <c r="H179" s="519">
        <f t="shared" si="14"/>
        <v>0</v>
      </c>
      <c r="I179" s="519">
        <f t="shared" si="14"/>
        <v>0</v>
      </c>
      <c r="J179" s="519">
        <f t="shared" si="14"/>
        <v>0</v>
      </c>
      <c r="K179" s="519">
        <f t="shared" si="14"/>
        <v>0</v>
      </c>
      <c r="L179" s="519">
        <f t="shared" si="14"/>
        <v>0</v>
      </c>
      <c r="M179" s="519">
        <f t="shared" si="14"/>
        <v>0</v>
      </c>
      <c r="N179" s="519">
        <f t="shared" si="14"/>
        <v>0</v>
      </c>
      <c r="O179" s="519">
        <f t="shared" si="14"/>
        <v>0</v>
      </c>
      <c r="P179" s="519">
        <f t="shared" si="14"/>
        <v>0</v>
      </c>
      <c r="Q179" s="519">
        <f t="shared" si="14"/>
        <v>0</v>
      </c>
      <c r="R179" s="519">
        <f t="shared" si="14"/>
        <v>0</v>
      </c>
      <c r="S179" s="519">
        <f t="shared" si="14"/>
        <v>0</v>
      </c>
      <c r="T179" s="519">
        <f t="shared" si="14"/>
        <v>0</v>
      </c>
      <c r="U179" s="519">
        <f t="shared" si="14"/>
        <v>0</v>
      </c>
      <c r="Y179" s="624">
        <v>0</v>
      </c>
      <c r="Z179" s="519">
        <v>0</v>
      </c>
      <c r="AA179" s="519">
        <v>0</v>
      </c>
      <c r="AB179" s="519">
        <v>0</v>
      </c>
      <c r="AC179" s="519">
        <v>0</v>
      </c>
      <c r="AD179" s="519">
        <v>0</v>
      </c>
      <c r="AE179" s="519">
        <v>0</v>
      </c>
      <c r="AF179" s="519">
        <v>0</v>
      </c>
      <c r="AG179" s="519">
        <v>0</v>
      </c>
      <c r="AH179" s="519">
        <v>0</v>
      </c>
      <c r="AI179" s="519">
        <v>0</v>
      </c>
      <c r="AJ179" s="519">
        <v>0</v>
      </c>
      <c r="AK179" s="519">
        <v>0</v>
      </c>
      <c r="AL179" s="519">
        <v>0</v>
      </c>
      <c r="AM179" s="519">
        <v>0</v>
      </c>
      <c r="AN179" s="519">
        <v>0</v>
      </c>
    </row>
    <row r="180" spans="1:40" x14ac:dyDescent="0.3">
      <c r="A180" s="489" t="s">
        <v>1715</v>
      </c>
      <c r="B180" s="489" t="s">
        <v>1757</v>
      </c>
      <c r="C180" s="489" t="s">
        <v>1757</v>
      </c>
      <c r="D180" s="489" t="s">
        <v>141</v>
      </c>
      <c r="E180" s="619">
        <v>19</v>
      </c>
      <c r="F180" s="624">
        <f t="shared" si="11"/>
        <v>17.666666666666664</v>
      </c>
      <c r="G180" s="519">
        <f t="shared" si="14"/>
        <v>17.5</v>
      </c>
      <c r="H180" s="519">
        <f t="shared" si="14"/>
        <v>17.561538461538461</v>
      </c>
      <c r="I180" s="519">
        <f t="shared" si="14"/>
        <v>18.233333333333334</v>
      </c>
      <c r="J180" s="519">
        <f t="shared" si="14"/>
        <v>0</v>
      </c>
      <c r="K180" s="519">
        <f t="shared" si="14"/>
        <v>0</v>
      </c>
      <c r="L180" s="519">
        <f t="shared" si="14"/>
        <v>0</v>
      </c>
      <c r="M180" s="519">
        <f t="shared" si="14"/>
        <v>0</v>
      </c>
      <c r="N180" s="519">
        <f t="shared" si="14"/>
        <v>0</v>
      </c>
      <c r="O180" s="519">
        <f t="shared" si="14"/>
        <v>0</v>
      </c>
      <c r="P180" s="519">
        <f t="shared" si="14"/>
        <v>0</v>
      </c>
      <c r="Q180" s="519">
        <f t="shared" si="14"/>
        <v>0</v>
      </c>
      <c r="R180" s="519">
        <f t="shared" si="14"/>
        <v>0</v>
      </c>
      <c r="S180" s="519">
        <f t="shared" si="14"/>
        <v>0</v>
      </c>
      <c r="T180" s="519">
        <f t="shared" si="14"/>
        <v>0</v>
      </c>
      <c r="U180" s="519">
        <f t="shared" si="14"/>
        <v>0</v>
      </c>
      <c r="Y180" s="624">
        <v>17.666666666666664</v>
      </c>
      <c r="Z180" s="519">
        <v>17.5</v>
      </c>
      <c r="AA180" s="519">
        <v>17.561538461538461</v>
      </c>
      <c r="AB180" s="519">
        <v>18.233333333333334</v>
      </c>
      <c r="AC180" s="519">
        <v>0</v>
      </c>
      <c r="AD180" s="519">
        <v>0</v>
      </c>
      <c r="AE180" s="519">
        <v>0</v>
      </c>
      <c r="AF180" s="519">
        <v>0</v>
      </c>
      <c r="AG180" s="519">
        <v>0</v>
      </c>
      <c r="AH180" s="519">
        <v>0</v>
      </c>
      <c r="AI180" s="519">
        <v>0</v>
      </c>
      <c r="AJ180" s="519">
        <v>0</v>
      </c>
      <c r="AK180" s="519">
        <v>0</v>
      </c>
      <c r="AL180" s="519">
        <v>0</v>
      </c>
      <c r="AM180" s="519">
        <v>0</v>
      </c>
      <c r="AN180" s="519">
        <v>0</v>
      </c>
    </row>
    <row r="181" spans="1:40" x14ac:dyDescent="0.3">
      <c r="A181" s="489" t="s">
        <v>1441</v>
      </c>
      <c r="B181" s="489" t="s">
        <v>1445</v>
      </c>
      <c r="C181" s="489" t="s">
        <v>346</v>
      </c>
      <c r="D181" s="489" t="s">
        <v>141</v>
      </c>
      <c r="E181" s="619">
        <v>19</v>
      </c>
      <c r="F181" s="624">
        <f t="shared" si="11"/>
        <v>15.409000000000002</v>
      </c>
      <c r="G181" s="519">
        <f t="shared" si="14"/>
        <v>15.409000000000002</v>
      </c>
      <c r="H181" s="519">
        <f t="shared" si="14"/>
        <v>15.409000000000002</v>
      </c>
      <c r="I181" s="519">
        <f t="shared" si="14"/>
        <v>15.409000000000002</v>
      </c>
      <c r="J181" s="519">
        <f t="shared" si="14"/>
        <v>15.409000000000002</v>
      </c>
      <c r="K181" s="519">
        <f t="shared" si="14"/>
        <v>15.409000000000002</v>
      </c>
      <c r="L181" s="519">
        <f t="shared" si="14"/>
        <v>0</v>
      </c>
      <c r="M181" s="519">
        <f t="shared" si="14"/>
        <v>0</v>
      </c>
      <c r="N181" s="519">
        <f t="shared" si="14"/>
        <v>0</v>
      </c>
      <c r="O181" s="519">
        <f t="shared" si="14"/>
        <v>0</v>
      </c>
      <c r="P181" s="519">
        <f t="shared" si="14"/>
        <v>0</v>
      </c>
      <c r="Q181" s="519">
        <f t="shared" si="14"/>
        <v>0</v>
      </c>
      <c r="R181" s="519">
        <f t="shared" si="14"/>
        <v>0</v>
      </c>
      <c r="S181" s="519">
        <f t="shared" si="14"/>
        <v>0</v>
      </c>
      <c r="T181" s="519">
        <f t="shared" si="14"/>
        <v>0</v>
      </c>
      <c r="U181" s="519">
        <f t="shared" si="14"/>
        <v>0</v>
      </c>
      <c r="Y181" s="624">
        <v>15.409000000000002</v>
      </c>
      <c r="Z181" s="519">
        <v>0</v>
      </c>
      <c r="AA181" s="519">
        <v>0</v>
      </c>
      <c r="AB181" s="519">
        <v>0</v>
      </c>
      <c r="AC181" s="519">
        <v>0</v>
      </c>
      <c r="AD181" s="519">
        <v>15.409000000000002</v>
      </c>
      <c r="AE181" s="519">
        <v>0</v>
      </c>
      <c r="AF181" s="519">
        <v>0</v>
      </c>
      <c r="AG181" s="519">
        <v>0</v>
      </c>
      <c r="AH181" s="519">
        <v>0</v>
      </c>
      <c r="AI181" s="519">
        <v>0</v>
      </c>
      <c r="AJ181" s="519">
        <v>0</v>
      </c>
      <c r="AK181" s="519">
        <v>0</v>
      </c>
      <c r="AL181" s="519">
        <v>0</v>
      </c>
      <c r="AM181" s="519">
        <v>0</v>
      </c>
      <c r="AN181" s="519">
        <v>0</v>
      </c>
    </row>
    <row r="182" spans="1:40" x14ac:dyDescent="0.3">
      <c r="A182" s="489" t="s">
        <v>1426</v>
      </c>
      <c r="B182" s="489" t="s">
        <v>307</v>
      </c>
      <c r="C182" s="489" t="s">
        <v>307</v>
      </c>
      <c r="D182" s="489" t="s">
        <v>46</v>
      </c>
      <c r="E182" s="619">
        <v>18</v>
      </c>
      <c r="F182" s="624">
        <f t="shared" si="11"/>
        <v>0</v>
      </c>
      <c r="G182" s="519">
        <f t="shared" si="14"/>
        <v>0</v>
      </c>
      <c r="H182" s="519">
        <f t="shared" si="14"/>
        <v>0</v>
      </c>
      <c r="I182" s="519">
        <f t="shared" si="14"/>
        <v>0</v>
      </c>
      <c r="J182" s="519">
        <f t="shared" si="14"/>
        <v>0</v>
      </c>
      <c r="K182" s="519">
        <f t="shared" si="14"/>
        <v>0</v>
      </c>
      <c r="L182" s="519">
        <f t="shared" si="14"/>
        <v>0</v>
      </c>
      <c r="M182" s="519">
        <f t="shared" si="14"/>
        <v>0</v>
      </c>
      <c r="N182" s="519">
        <f t="shared" si="14"/>
        <v>0</v>
      </c>
      <c r="O182" s="519">
        <f t="shared" si="14"/>
        <v>0</v>
      </c>
      <c r="P182" s="519">
        <f t="shared" si="14"/>
        <v>0</v>
      </c>
      <c r="Q182" s="519">
        <f t="shared" si="14"/>
        <v>0</v>
      </c>
      <c r="R182" s="519">
        <f t="shared" si="14"/>
        <v>0</v>
      </c>
      <c r="S182" s="519">
        <f t="shared" si="14"/>
        <v>0</v>
      </c>
      <c r="T182" s="519">
        <f t="shared" si="14"/>
        <v>0</v>
      </c>
      <c r="U182" s="519">
        <f t="shared" si="14"/>
        <v>0</v>
      </c>
      <c r="Y182" s="624">
        <v>0</v>
      </c>
      <c r="Z182" s="519">
        <v>0</v>
      </c>
      <c r="AA182" s="519">
        <v>0</v>
      </c>
      <c r="AB182" s="519">
        <v>0</v>
      </c>
      <c r="AC182" s="519">
        <v>0</v>
      </c>
      <c r="AD182" s="519">
        <v>0</v>
      </c>
      <c r="AE182" s="519">
        <v>0</v>
      </c>
      <c r="AF182" s="519">
        <v>0</v>
      </c>
      <c r="AG182" s="519">
        <v>0</v>
      </c>
      <c r="AH182" s="519">
        <v>0</v>
      </c>
      <c r="AI182" s="519">
        <v>0</v>
      </c>
      <c r="AJ182" s="519">
        <v>0</v>
      </c>
      <c r="AK182" s="519">
        <v>0</v>
      </c>
      <c r="AL182" s="519">
        <v>0</v>
      </c>
      <c r="AM182" s="519">
        <v>0</v>
      </c>
      <c r="AN182" s="519">
        <v>0</v>
      </c>
    </row>
    <row r="183" spans="1:40" x14ac:dyDescent="0.3">
      <c r="A183" s="489" t="s">
        <v>1426</v>
      </c>
      <c r="B183" s="489" t="s">
        <v>1758</v>
      </c>
      <c r="C183" s="489" t="s">
        <v>1758</v>
      </c>
      <c r="D183" s="489" t="s">
        <v>1929</v>
      </c>
      <c r="E183" s="619">
        <v>18</v>
      </c>
      <c r="F183" s="624">
        <f t="shared" si="11"/>
        <v>0</v>
      </c>
      <c r="G183" s="519">
        <f t="shared" si="14"/>
        <v>0</v>
      </c>
      <c r="H183" s="519">
        <f t="shared" si="14"/>
        <v>0</v>
      </c>
      <c r="I183" s="519">
        <f t="shared" si="14"/>
        <v>0</v>
      </c>
      <c r="J183" s="519">
        <f t="shared" si="14"/>
        <v>0</v>
      </c>
      <c r="K183" s="519">
        <f t="shared" si="14"/>
        <v>0</v>
      </c>
      <c r="L183" s="519">
        <f t="shared" si="14"/>
        <v>0</v>
      </c>
      <c r="M183" s="519">
        <f t="shared" si="14"/>
        <v>0</v>
      </c>
      <c r="N183" s="519">
        <f t="shared" si="14"/>
        <v>0</v>
      </c>
      <c r="O183" s="519">
        <f t="shared" si="14"/>
        <v>0</v>
      </c>
      <c r="P183" s="519">
        <f t="shared" si="14"/>
        <v>0</v>
      </c>
      <c r="Q183" s="519">
        <f t="shared" si="14"/>
        <v>0</v>
      </c>
      <c r="R183" s="519">
        <f t="shared" si="14"/>
        <v>0</v>
      </c>
      <c r="S183" s="519">
        <f t="shared" si="14"/>
        <v>0</v>
      </c>
      <c r="T183" s="519">
        <f t="shared" si="14"/>
        <v>0</v>
      </c>
      <c r="U183" s="519">
        <f t="shared" si="14"/>
        <v>0</v>
      </c>
      <c r="Y183" s="624">
        <v>0</v>
      </c>
      <c r="Z183" s="519">
        <v>0</v>
      </c>
      <c r="AA183" s="519">
        <v>0</v>
      </c>
      <c r="AB183" s="519">
        <v>0</v>
      </c>
      <c r="AC183" s="519">
        <v>0</v>
      </c>
      <c r="AD183" s="519">
        <v>0</v>
      </c>
      <c r="AE183" s="519">
        <v>0</v>
      </c>
      <c r="AF183" s="519">
        <v>0</v>
      </c>
      <c r="AG183" s="519">
        <v>0</v>
      </c>
      <c r="AH183" s="519">
        <v>0</v>
      </c>
      <c r="AI183" s="519">
        <v>0</v>
      </c>
      <c r="AJ183" s="519">
        <v>0</v>
      </c>
      <c r="AK183" s="519">
        <v>0</v>
      </c>
      <c r="AL183" s="519">
        <v>0</v>
      </c>
      <c r="AM183" s="519">
        <v>0</v>
      </c>
      <c r="AN183" s="519">
        <v>0</v>
      </c>
    </row>
    <row r="184" spans="1:40" x14ac:dyDescent="0.3">
      <c r="A184" s="489" t="s">
        <v>1426</v>
      </c>
      <c r="B184" s="489" t="s">
        <v>1440</v>
      </c>
      <c r="C184" s="489" t="s">
        <v>1440</v>
      </c>
      <c r="D184" s="489" t="s">
        <v>1936</v>
      </c>
      <c r="E184" s="619">
        <v>17</v>
      </c>
      <c r="F184" s="624">
        <f t="shared" si="11"/>
        <v>0</v>
      </c>
      <c r="G184" s="519">
        <f t="shared" si="14"/>
        <v>0</v>
      </c>
      <c r="H184" s="519">
        <f t="shared" si="14"/>
        <v>0</v>
      </c>
      <c r="I184" s="519">
        <f t="shared" si="14"/>
        <v>0</v>
      </c>
      <c r="J184" s="519">
        <f t="shared" si="14"/>
        <v>0</v>
      </c>
      <c r="K184" s="519">
        <f t="shared" si="14"/>
        <v>0</v>
      </c>
      <c r="L184" s="519">
        <f t="shared" si="14"/>
        <v>0</v>
      </c>
      <c r="M184" s="519">
        <f t="shared" si="14"/>
        <v>0</v>
      </c>
      <c r="N184" s="519">
        <f t="shared" si="14"/>
        <v>0</v>
      </c>
      <c r="O184" s="519">
        <f t="shared" si="14"/>
        <v>0</v>
      </c>
      <c r="P184" s="519">
        <f t="shared" si="14"/>
        <v>0</v>
      </c>
      <c r="Q184" s="519">
        <f t="shared" si="14"/>
        <v>0</v>
      </c>
      <c r="R184" s="519">
        <f t="shared" si="14"/>
        <v>0</v>
      </c>
      <c r="S184" s="519">
        <f t="shared" si="14"/>
        <v>0</v>
      </c>
      <c r="T184" s="519">
        <f t="shared" si="14"/>
        <v>0</v>
      </c>
      <c r="U184" s="519">
        <f t="shared" si="14"/>
        <v>0</v>
      </c>
      <c r="Y184" s="624">
        <v>0</v>
      </c>
      <c r="Z184" s="519">
        <v>0</v>
      </c>
      <c r="AA184" s="519">
        <v>0</v>
      </c>
      <c r="AB184" s="519">
        <v>0</v>
      </c>
      <c r="AC184" s="519">
        <v>0</v>
      </c>
      <c r="AD184" s="519">
        <v>0</v>
      </c>
      <c r="AE184" s="519">
        <v>0</v>
      </c>
      <c r="AF184" s="519">
        <v>0</v>
      </c>
      <c r="AG184" s="519">
        <v>0</v>
      </c>
      <c r="AH184" s="519">
        <v>0</v>
      </c>
      <c r="AI184" s="519">
        <v>0</v>
      </c>
      <c r="AJ184" s="519">
        <v>0</v>
      </c>
      <c r="AK184" s="519">
        <v>0</v>
      </c>
      <c r="AL184" s="519">
        <v>0</v>
      </c>
      <c r="AM184" s="519">
        <v>0</v>
      </c>
      <c r="AN184" s="519">
        <v>0</v>
      </c>
    </row>
    <row r="185" spans="1:40" x14ac:dyDescent="0.3">
      <c r="A185" s="489" t="s">
        <v>1441</v>
      </c>
      <c r="B185" s="489" t="s">
        <v>1444</v>
      </c>
      <c r="C185" s="489" t="s">
        <v>870</v>
      </c>
      <c r="D185" s="489" t="s">
        <v>1936</v>
      </c>
      <c r="E185" s="619">
        <v>17</v>
      </c>
      <c r="F185" s="624">
        <f t="shared" si="11"/>
        <v>0</v>
      </c>
      <c r="G185" s="519">
        <f t="shared" si="14"/>
        <v>0</v>
      </c>
      <c r="H185" s="519">
        <f t="shared" si="14"/>
        <v>0</v>
      </c>
      <c r="I185" s="519">
        <f t="shared" si="14"/>
        <v>0</v>
      </c>
      <c r="J185" s="519">
        <f t="shared" si="14"/>
        <v>0</v>
      </c>
      <c r="K185" s="519">
        <f t="shared" si="14"/>
        <v>0</v>
      </c>
      <c r="L185" s="519">
        <f t="shared" si="14"/>
        <v>0</v>
      </c>
      <c r="M185" s="519">
        <f t="shared" si="14"/>
        <v>0</v>
      </c>
      <c r="N185" s="519">
        <f t="shared" si="14"/>
        <v>0</v>
      </c>
      <c r="O185" s="519">
        <f t="shared" si="14"/>
        <v>0</v>
      </c>
      <c r="P185" s="519">
        <f t="shared" si="14"/>
        <v>0</v>
      </c>
      <c r="Q185" s="519">
        <f t="shared" si="14"/>
        <v>0</v>
      </c>
      <c r="R185" s="519">
        <f t="shared" si="14"/>
        <v>0</v>
      </c>
      <c r="S185" s="519">
        <f t="shared" si="14"/>
        <v>0</v>
      </c>
      <c r="T185" s="519">
        <f t="shared" si="14"/>
        <v>0</v>
      </c>
      <c r="U185" s="519">
        <f t="shared" si="14"/>
        <v>0</v>
      </c>
      <c r="Y185" s="624">
        <v>0</v>
      </c>
      <c r="Z185" s="519">
        <v>0</v>
      </c>
      <c r="AA185" s="519">
        <v>0</v>
      </c>
      <c r="AB185" s="519">
        <v>0</v>
      </c>
      <c r="AC185" s="519">
        <v>0</v>
      </c>
      <c r="AD185" s="519">
        <v>0</v>
      </c>
      <c r="AE185" s="519">
        <v>0</v>
      </c>
      <c r="AF185" s="519">
        <v>0</v>
      </c>
      <c r="AG185" s="519">
        <v>0</v>
      </c>
      <c r="AH185" s="519">
        <v>0</v>
      </c>
      <c r="AI185" s="519">
        <v>0</v>
      </c>
      <c r="AJ185" s="519">
        <v>0</v>
      </c>
      <c r="AK185" s="519">
        <v>0</v>
      </c>
      <c r="AL185" s="519">
        <v>0</v>
      </c>
      <c r="AM185" s="519">
        <v>0</v>
      </c>
      <c r="AN185" s="519">
        <v>0</v>
      </c>
    </row>
    <row r="186" spans="1:40" x14ac:dyDescent="0.3">
      <c r="A186" s="489" t="s">
        <v>1694</v>
      </c>
      <c r="B186" s="489" t="s">
        <v>1759</v>
      </c>
      <c r="C186" s="489" t="s">
        <v>1882</v>
      </c>
      <c r="D186" s="489" t="s">
        <v>141</v>
      </c>
      <c r="E186" s="619">
        <v>17</v>
      </c>
      <c r="F186" s="624">
        <f t="shared" si="11"/>
        <v>17.464312499999998</v>
      </c>
      <c r="G186" s="519">
        <f t="shared" si="14"/>
        <v>17</v>
      </c>
      <c r="H186" s="519">
        <f t="shared" si="14"/>
        <v>17</v>
      </c>
      <c r="I186" s="519">
        <f t="shared" si="14"/>
        <v>17.619083333333332</v>
      </c>
      <c r="J186" s="519">
        <f t="shared" si="14"/>
        <v>0</v>
      </c>
      <c r="K186" s="519">
        <f t="shared" si="14"/>
        <v>0</v>
      </c>
      <c r="L186" s="519">
        <f t="shared" si="14"/>
        <v>0</v>
      </c>
      <c r="M186" s="519">
        <f t="shared" si="14"/>
        <v>0</v>
      </c>
      <c r="N186" s="519">
        <f t="shared" si="14"/>
        <v>0</v>
      </c>
      <c r="O186" s="519">
        <f t="shared" si="14"/>
        <v>0</v>
      </c>
      <c r="P186" s="519">
        <f t="shared" si="14"/>
        <v>0</v>
      </c>
      <c r="Q186" s="519">
        <f t="shared" si="14"/>
        <v>0</v>
      </c>
      <c r="R186" s="519">
        <f t="shared" si="14"/>
        <v>0</v>
      </c>
      <c r="S186" s="519">
        <f t="shared" si="14"/>
        <v>0</v>
      </c>
      <c r="T186" s="519">
        <f t="shared" si="14"/>
        <v>0</v>
      </c>
      <c r="U186" s="519">
        <f t="shared" si="14"/>
        <v>0</v>
      </c>
      <c r="Y186" s="624">
        <v>17.464312499999998</v>
      </c>
      <c r="Z186" s="519">
        <v>0</v>
      </c>
      <c r="AA186" s="519">
        <v>17</v>
      </c>
      <c r="AB186" s="519">
        <v>17.619083333333332</v>
      </c>
      <c r="AC186" s="519">
        <v>0</v>
      </c>
      <c r="AD186" s="519">
        <v>0</v>
      </c>
      <c r="AE186" s="519">
        <v>0</v>
      </c>
      <c r="AF186" s="519">
        <v>0</v>
      </c>
      <c r="AG186" s="519">
        <v>0</v>
      </c>
      <c r="AH186" s="519">
        <v>0</v>
      </c>
      <c r="AI186" s="519">
        <v>0</v>
      </c>
      <c r="AJ186" s="519">
        <v>0</v>
      </c>
      <c r="AK186" s="519">
        <v>0</v>
      </c>
      <c r="AL186" s="519">
        <v>0</v>
      </c>
      <c r="AM186" s="519">
        <v>0</v>
      </c>
      <c r="AN186" s="519">
        <v>0</v>
      </c>
    </row>
    <row r="187" spans="1:40" x14ac:dyDescent="0.3">
      <c r="A187" s="489" t="s">
        <v>1454</v>
      </c>
      <c r="B187" s="489" t="s">
        <v>1760</v>
      </c>
      <c r="C187" s="489" t="s">
        <v>1883</v>
      </c>
      <c r="D187" s="489" t="s">
        <v>46</v>
      </c>
      <c r="E187" s="619">
        <v>16</v>
      </c>
      <c r="F187" s="624">
        <f t="shared" si="11"/>
        <v>0</v>
      </c>
      <c r="G187" s="519">
        <f t="shared" si="14"/>
        <v>0</v>
      </c>
      <c r="H187" s="519">
        <f t="shared" si="14"/>
        <v>0</v>
      </c>
      <c r="I187" s="519">
        <f t="shared" si="14"/>
        <v>0</v>
      </c>
      <c r="J187" s="519">
        <f t="shared" si="14"/>
        <v>0</v>
      </c>
      <c r="K187" s="519">
        <f t="shared" si="14"/>
        <v>0</v>
      </c>
      <c r="L187" s="519">
        <f t="shared" si="14"/>
        <v>0</v>
      </c>
      <c r="M187" s="519">
        <f t="shared" si="14"/>
        <v>0</v>
      </c>
      <c r="N187" s="519">
        <f t="shared" si="14"/>
        <v>0</v>
      </c>
      <c r="O187" s="519">
        <f t="shared" si="14"/>
        <v>0</v>
      </c>
      <c r="P187" s="519">
        <f t="shared" si="14"/>
        <v>0</v>
      </c>
      <c r="Q187" s="519">
        <f t="shared" si="14"/>
        <v>0</v>
      </c>
      <c r="R187" s="519">
        <f t="shared" si="14"/>
        <v>0</v>
      </c>
      <c r="S187" s="519">
        <f t="shared" si="14"/>
        <v>0</v>
      </c>
      <c r="T187" s="519">
        <f t="shared" si="14"/>
        <v>0</v>
      </c>
      <c r="U187" s="519">
        <f t="shared" si="14"/>
        <v>0</v>
      </c>
      <c r="Y187" s="624">
        <v>0</v>
      </c>
      <c r="Z187" s="519">
        <v>0</v>
      </c>
      <c r="AA187" s="519">
        <v>0</v>
      </c>
      <c r="AB187" s="519">
        <v>0</v>
      </c>
      <c r="AC187" s="519">
        <v>0</v>
      </c>
      <c r="AD187" s="519">
        <v>0</v>
      </c>
      <c r="AE187" s="519">
        <v>0</v>
      </c>
      <c r="AF187" s="519">
        <v>0</v>
      </c>
      <c r="AG187" s="519">
        <v>0</v>
      </c>
      <c r="AH187" s="519">
        <v>0</v>
      </c>
      <c r="AI187" s="519">
        <v>0</v>
      </c>
      <c r="AJ187" s="519">
        <v>0</v>
      </c>
      <c r="AK187" s="519">
        <v>0</v>
      </c>
      <c r="AL187" s="519">
        <v>0</v>
      </c>
      <c r="AM187" s="519">
        <v>0</v>
      </c>
      <c r="AN187" s="519">
        <v>0</v>
      </c>
    </row>
    <row r="188" spans="1:40" x14ac:dyDescent="0.3">
      <c r="A188" s="489" t="s">
        <v>1441</v>
      </c>
      <c r="B188" s="489" t="s">
        <v>1445</v>
      </c>
      <c r="C188" s="489" t="s">
        <v>346</v>
      </c>
      <c r="D188" s="489" t="s">
        <v>45</v>
      </c>
      <c r="E188" s="619">
        <v>16</v>
      </c>
      <c r="F188" s="624">
        <f t="shared" si="11"/>
        <v>0</v>
      </c>
      <c r="G188" s="519">
        <f t="shared" si="14"/>
        <v>0</v>
      </c>
      <c r="H188" s="519">
        <f t="shared" si="14"/>
        <v>0</v>
      </c>
      <c r="I188" s="519">
        <f t="shared" si="14"/>
        <v>0</v>
      </c>
      <c r="J188" s="519">
        <f t="shared" si="14"/>
        <v>0</v>
      </c>
      <c r="K188" s="519">
        <f t="shared" si="14"/>
        <v>0</v>
      </c>
      <c r="L188" s="519">
        <f t="shared" si="14"/>
        <v>0</v>
      </c>
      <c r="M188" s="519">
        <f t="shared" si="14"/>
        <v>0</v>
      </c>
      <c r="N188" s="519">
        <f t="shared" si="14"/>
        <v>0</v>
      </c>
      <c r="O188" s="519">
        <f t="shared" si="14"/>
        <v>0</v>
      </c>
      <c r="P188" s="519">
        <f t="shared" si="14"/>
        <v>0</v>
      </c>
      <c r="Q188" s="519">
        <f t="shared" si="14"/>
        <v>0</v>
      </c>
      <c r="R188" s="519">
        <f t="shared" si="14"/>
        <v>0</v>
      </c>
      <c r="S188" s="519">
        <f t="shared" si="14"/>
        <v>0</v>
      </c>
      <c r="T188" s="519">
        <f t="shared" si="14"/>
        <v>0</v>
      </c>
      <c r="U188" s="519">
        <f t="shared" si="14"/>
        <v>0</v>
      </c>
      <c r="Y188" s="624">
        <v>0</v>
      </c>
      <c r="Z188" s="519">
        <v>0</v>
      </c>
      <c r="AA188" s="519">
        <v>0</v>
      </c>
      <c r="AB188" s="519">
        <v>0</v>
      </c>
      <c r="AC188" s="519">
        <v>0</v>
      </c>
      <c r="AD188" s="519">
        <v>0</v>
      </c>
      <c r="AE188" s="519">
        <v>0</v>
      </c>
      <c r="AF188" s="519">
        <v>0</v>
      </c>
      <c r="AG188" s="519">
        <v>0</v>
      </c>
      <c r="AH188" s="519">
        <v>0</v>
      </c>
      <c r="AI188" s="519">
        <v>0</v>
      </c>
      <c r="AJ188" s="519">
        <v>0</v>
      </c>
      <c r="AK188" s="519">
        <v>0</v>
      </c>
      <c r="AL188" s="519">
        <v>0</v>
      </c>
      <c r="AM188" s="519">
        <v>0</v>
      </c>
      <c r="AN188" s="519">
        <v>0</v>
      </c>
    </row>
    <row r="189" spans="1:40" x14ac:dyDescent="0.3">
      <c r="A189" s="489" t="s">
        <v>1432</v>
      </c>
      <c r="B189" s="489" t="s">
        <v>1761</v>
      </c>
      <c r="C189" s="489" t="s">
        <v>1884</v>
      </c>
      <c r="D189" s="489" t="s">
        <v>141</v>
      </c>
      <c r="E189" s="619">
        <v>16</v>
      </c>
      <c r="F189" s="624">
        <f t="shared" si="11"/>
        <v>33.299999999999997</v>
      </c>
      <c r="G189" s="519">
        <f t="shared" si="14"/>
        <v>33.299999999999997</v>
      </c>
      <c r="H189" s="519">
        <f t="shared" si="14"/>
        <v>33.299999999999997</v>
      </c>
      <c r="I189" s="519">
        <f t="shared" si="14"/>
        <v>0</v>
      </c>
      <c r="J189" s="519">
        <f t="shared" si="14"/>
        <v>0</v>
      </c>
      <c r="K189" s="519">
        <f t="shared" si="14"/>
        <v>0</v>
      </c>
      <c r="L189" s="519">
        <f t="shared" si="14"/>
        <v>0</v>
      </c>
      <c r="M189" s="519">
        <f t="shared" si="14"/>
        <v>0</v>
      </c>
      <c r="N189" s="519">
        <f t="shared" si="14"/>
        <v>0</v>
      </c>
      <c r="O189" s="519">
        <f t="shared" si="14"/>
        <v>0</v>
      </c>
      <c r="P189" s="519">
        <f t="shared" si="14"/>
        <v>0</v>
      </c>
      <c r="Q189" s="519">
        <f t="shared" si="14"/>
        <v>0</v>
      </c>
      <c r="R189" s="519">
        <f t="shared" si="14"/>
        <v>0</v>
      </c>
      <c r="S189" s="519">
        <f t="shared" si="14"/>
        <v>0</v>
      </c>
      <c r="T189" s="519">
        <f t="shared" si="14"/>
        <v>0</v>
      </c>
      <c r="U189" s="519">
        <f t="shared" si="14"/>
        <v>0</v>
      </c>
      <c r="Y189" s="624">
        <v>33.299999999999997</v>
      </c>
      <c r="Z189" s="519">
        <v>0</v>
      </c>
      <c r="AA189" s="519">
        <v>33.299999999999997</v>
      </c>
      <c r="AB189" s="519">
        <v>0</v>
      </c>
      <c r="AC189" s="519">
        <v>0</v>
      </c>
      <c r="AD189" s="519">
        <v>0</v>
      </c>
      <c r="AE189" s="519">
        <v>0</v>
      </c>
      <c r="AF189" s="519">
        <v>0</v>
      </c>
      <c r="AG189" s="519">
        <v>0</v>
      </c>
      <c r="AH189" s="519">
        <v>0</v>
      </c>
      <c r="AI189" s="519">
        <v>0</v>
      </c>
      <c r="AJ189" s="519">
        <v>0</v>
      </c>
      <c r="AK189" s="519">
        <v>0</v>
      </c>
      <c r="AL189" s="519">
        <v>0</v>
      </c>
      <c r="AM189" s="519">
        <v>0</v>
      </c>
      <c r="AN189" s="519">
        <v>0</v>
      </c>
    </row>
    <row r="190" spans="1:40" x14ac:dyDescent="0.3">
      <c r="A190" s="489" t="s">
        <v>1414</v>
      </c>
      <c r="B190" s="489" t="s">
        <v>1762</v>
      </c>
      <c r="C190" s="489" t="s">
        <v>1885</v>
      </c>
      <c r="D190" s="489" t="s">
        <v>46</v>
      </c>
      <c r="E190" s="619">
        <v>15</v>
      </c>
      <c r="F190" s="624">
        <f t="shared" si="11"/>
        <v>0</v>
      </c>
      <c r="G190" s="519">
        <f t="shared" si="14"/>
        <v>0</v>
      </c>
      <c r="H190" s="519">
        <f t="shared" si="14"/>
        <v>0</v>
      </c>
      <c r="I190" s="519">
        <f t="shared" si="14"/>
        <v>0</v>
      </c>
      <c r="J190" s="519">
        <f t="shared" si="14"/>
        <v>0</v>
      </c>
      <c r="K190" s="519">
        <f t="shared" si="14"/>
        <v>0</v>
      </c>
      <c r="L190" s="519">
        <f t="shared" si="14"/>
        <v>0</v>
      </c>
      <c r="M190" s="519">
        <f t="shared" si="14"/>
        <v>0</v>
      </c>
      <c r="N190" s="519">
        <f t="shared" si="14"/>
        <v>0</v>
      </c>
      <c r="O190" s="519">
        <f t="shared" si="14"/>
        <v>0</v>
      </c>
      <c r="P190" s="519">
        <f t="shared" si="14"/>
        <v>0</v>
      </c>
      <c r="Q190" s="519">
        <f t="shared" si="14"/>
        <v>0</v>
      </c>
      <c r="R190" s="519">
        <f t="shared" si="14"/>
        <v>0</v>
      </c>
      <c r="S190" s="519">
        <f t="shared" si="14"/>
        <v>0</v>
      </c>
      <c r="T190" s="519">
        <f t="shared" si="14"/>
        <v>0</v>
      </c>
      <c r="U190" s="519">
        <f t="shared" si="14"/>
        <v>0</v>
      </c>
      <c r="Y190" s="624">
        <v>0</v>
      </c>
      <c r="Z190" s="519">
        <v>0</v>
      </c>
      <c r="AA190" s="519">
        <v>0</v>
      </c>
      <c r="AB190" s="519">
        <v>0</v>
      </c>
      <c r="AC190" s="519">
        <v>0</v>
      </c>
      <c r="AD190" s="519">
        <v>0</v>
      </c>
      <c r="AE190" s="519">
        <v>0</v>
      </c>
      <c r="AF190" s="519">
        <v>0</v>
      </c>
      <c r="AG190" s="519">
        <v>0</v>
      </c>
      <c r="AH190" s="519">
        <v>0</v>
      </c>
      <c r="AI190" s="519">
        <v>0</v>
      </c>
      <c r="AJ190" s="519">
        <v>0</v>
      </c>
      <c r="AK190" s="519">
        <v>0</v>
      </c>
      <c r="AL190" s="519">
        <v>0</v>
      </c>
      <c r="AM190" s="519">
        <v>0</v>
      </c>
      <c r="AN190" s="519">
        <v>0</v>
      </c>
    </row>
    <row r="191" spans="1:40" x14ac:dyDescent="0.3">
      <c r="A191" s="489" t="s">
        <v>1544</v>
      </c>
      <c r="B191" s="489" t="s">
        <v>1763</v>
      </c>
      <c r="C191" s="489" t="s">
        <v>1886</v>
      </c>
      <c r="D191" s="489" t="s">
        <v>46</v>
      </c>
      <c r="E191" s="619">
        <v>15</v>
      </c>
      <c r="F191" s="624">
        <f t="shared" si="11"/>
        <v>0</v>
      </c>
      <c r="G191" s="519">
        <f t="shared" si="14"/>
        <v>0</v>
      </c>
      <c r="H191" s="519">
        <f t="shared" si="14"/>
        <v>0</v>
      </c>
      <c r="I191" s="519">
        <f t="shared" si="14"/>
        <v>0</v>
      </c>
      <c r="J191" s="519">
        <f t="shared" si="14"/>
        <v>0</v>
      </c>
      <c r="K191" s="519">
        <f t="shared" si="14"/>
        <v>0</v>
      </c>
      <c r="L191" s="519">
        <f t="shared" si="14"/>
        <v>0</v>
      </c>
      <c r="M191" s="519">
        <f t="shared" si="14"/>
        <v>0</v>
      </c>
      <c r="N191" s="519">
        <f t="shared" si="14"/>
        <v>0</v>
      </c>
      <c r="O191" s="519">
        <f t="shared" si="14"/>
        <v>0</v>
      </c>
      <c r="P191" s="519">
        <f t="shared" si="14"/>
        <v>0</v>
      </c>
      <c r="Q191" s="519">
        <f t="shared" si="14"/>
        <v>0</v>
      </c>
      <c r="R191" s="519">
        <f t="shared" si="14"/>
        <v>0</v>
      </c>
      <c r="S191" s="519">
        <f t="shared" si="14"/>
        <v>0</v>
      </c>
      <c r="T191" s="519">
        <f t="shared" si="14"/>
        <v>0</v>
      </c>
      <c r="U191" s="519">
        <f t="shared" si="14"/>
        <v>0</v>
      </c>
      <c r="Y191" s="624">
        <v>0</v>
      </c>
      <c r="Z191" s="519">
        <v>0</v>
      </c>
      <c r="AA191" s="519">
        <v>0</v>
      </c>
      <c r="AB191" s="519">
        <v>0</v>
      </c>
      <c r="AC191" s="519">
        <v>0</v>
      </c>
      <c r="AD191" s="519">
        <v>0</v>
      </c>
      <c r="AE191" s="519">
        <v>0</v>
      </c>
      <c r="AF191" s="519">
        <v>0</v>
      </c>
      <c r="AG191" s="519">
        <v>0</v>
      </c>
      <c r="AH191" s="519">
        <v>0</v>
      </c>
      <c r="AI191" s="519">
        <v>0</v>
      </c>
      <c r="AJ191" s="519">
        <v>0</v>
      </c>
      <c r="AK191" s="519">
        <v>0</v>
      </c>
      <c r="AL191" s="519">
        <v>0</v>
      </c>
      <c r="AM191" s="519">
        <v>0</v>
      </c>
      <c r="AN191" s="519">
        <v>0</v>
      </c>
    </row>
    <row r="192" spans="1:40" x14ac:dyDescent="0.3">
      <c r="A192" s="489" t="s">
        <v>1441</v>
      </c>
      <c r="B192" s="489" t="s">
        <v>1764</v>
      </c>
      <c r="C192" s="489" t="s">
        <v>1887</v>
      </c>
      <c r="D192" s="489" t="s">
        <v>46</v>
      </c>
      <c r="E192" s="619">
        <v>15</v>
      </c>
      <c r="F192" s="624">
        <f t="shared" si="11"/>
        <v>0</v>
      </c>
      <c r="G192" s="519">
        <f t="shared" si="14"/>
        <v>0</v>
      </c>
      <c r="H192" s="519">
        <f t="shared" si="14"/>
        <v>0</v>
      </c>
      <c r="I192" s="519">
        <f t="shared" si="14"/>
        <v>0</v>
      </c>
      <c r="J192" s="519">
        <f t="shared" si="14"/>
        <v>0</v>
      </c>
      <c r="K192" s="519">
        <f t="shared" si="14"/>
        <v>0</v>
      </c>
      <c r="L192" s="519">
        <f t="shared" si="14"/>
        <v>0</v>
      </c>
      <c r="M192" s="519">
        <f t="shared" si="14"/>
        <v>0</v>
      </c>
      <c r="N192" s="519">
        <f t="shared" si="14"/>
        <v>0</v>
      </c>
      <c r="O192" s="519">
        <f t="shared" si="14"/>
        <v>0</v>
      </c>
      <c r="P192" s="519">
        <f t="shared" si="14"/>
        <v>0</v>
      </c>
      <c r="Q192" s="519">
        <f t="shared" si="14"/>
        <v>0</v>
      </c>
      <c r="R192" s="519">
        <f t="shared" si="14"/>
        <v>0</v>
      </c>
      <c r="S192" s="519">
        <f t="shared" si="14"/>
        <v>0</v>
      </c>
      <c r="T192" s="519">
        <f t="shared" si="14"/>
        <v>0</v>
      </c>
      <c r="U192" s="519">
        <f t="shared" si="14"/>
        <v>0</v>
      </c>
      <c r="Y192" s="624">
        <v>0</v>
      </c>
      <c r="Z192" s="519">
        <v>0</v>
      </c>
      <c r="AA192" s="519">
        <v>0</v>
      </c>
      <c r="AB192" s="519">
        <v>0</v>
      </c>
      <c r="AC192" s="519">
        <v>0</v>
      </c>
      <c r="AD192" s="519">
        <v>0</v>
      </c>
      <c r="AE192" s="519">
        <v>0</v>
      </c>
      <c r="AF192" s="519">
        <v>0</v>
      </c>
      <c r="AG192" s="519">
        <v>0</v>
      </c>
      <c r="AH192" s="519">
        <v>0</v>
      </c>
      <c r="AI192" s="519">
        <v>0</v>
      </c>
      <c r="AJ192" s="519">
        <v>0</v>
      </c>
      <c r="AK192" s="519">
        <v>0</v>
      </c>
      <c r="AL192" s="519">
        <v>0</v>
      </c>
      <c r="AM192" s="519">
        <v>0</v>
      </c>
      <c r="AN192" s="519">
        <v>0</v>
      </c>
    </row>
    <row r="193" spans="1:40" x14ac:dyDescent="0.3">
      <c r="A193" s="489" t="s">
        <v>1414</v>
      </c>
      <c r="B193" s="489" t="s">
        <v>1765</v>
      </c>
      <c r="C193" s="489" t="s">
        <v>1888</v>
      </c>
      <c r="D193" s="489" t="s">
        <v>141</v>
      </c>
      <c r="E193" s="619">
        <v>15</v>
      </c>
      <c r="F193" s="624">
        <f t="shared" si="11"/>
        <v>22.97</v>
      </c>
      <c r="G193" s="519">
        <f t="shared" si="14"/>
        <v>23.3</v>
      </c>
      <c r="H193" s="519">
        <f t="shared" si="14"/>
        <v>22.866666666666667</v>
      </c>
      <c r="I193" s="519">
        <f t="shared" si="14"/>
        <v>23.4</v>
      </c>
      <c r="J193" s="519">
        <f t="shared" si="14"/>
        <v>22.4</v>
      </c>
      <c r="K193" s="519">
        <f t="shared" si="14"/>
        <v>23.1</v>
      </c>
      <c r="L193" s="519">
        <f t="shared" si="14"/>
        <v>22.9</v>
      </c>
      <c r="M193" s="519">
        <f t="shared" si="14"/>
        <v>0</v>
      </c>
      <c r="N193" s="519">
        <f t="shared" si="14"/>
        <v>0</v>
      </c>
      <c r="O193" s="519">
        <f t="shared" si="14"/>
        <v>0</v>
      </c>
      <c r="P193" s="519">
        <f t="shared" si="14"/>
        <v>0</v>
      </c>
      <c r="Q193" s="519">
        <f t="shared" si="14"/>
        <v>0</v>
      </c>
      <c r="R193" s="519">
        <f t="shared" si="14"/>
        <v>0</v>
      </c>
      <c r="S193" s="519">
        <f t="shared" si="14"/>
        <v>0</v>
      </c>
      <c r="T193" s="519">
        <f t="shared" si="14"/>
        <v>0</v>
      </c>
      <c r="U193" s="519">
        <f t="shared" si="14"/>
        <v>0</v>
      </c>
      <c r="Y193" s="624">
        <v>22.97</v>
      </c>
      <c r="Z193" s="519">
        <v>23.3</v>
      </c>
      <c r="AA193" s="519">
        <v>22.866666666666667</v>
      </c>
      <c r="AB193" s="519">
        <v>23.4</v>
      </c>
      <c r="AC193" s="519">
        <v>22.4</v>
      </c>
      <c r="AD193" s="519">
        <v>23.1</v>
      </c>
      <c r="AE193" s="519">
        <v>22.9</v>
      </c>
      <c r="AF193" s="519">
        <v>0</v>
      </c>
      <c r="AG193" s="519">
        <v>0</v>
      </c>
      <c r="AH193" s="519">
        <v>0</v>
      </c>
      <c r="AI193" s="519">
        <v>0</v>
      </c>
      <c r="AJ193" s="519">
        <v>0</v>
      </c>
      <c r="AK193" s="519">
        <v>0</v>
      </c>
      <c r="AL193" s="519">
        <v>0</v>
      </c>
      <c r="AM193" s="519">
        <v>0</v>
      </c>
      <c r="AN193" s="519">
        <v>0</v>
      </c>
    </row>
    <row r="194" spans="1:40" x14ac:dyDescent="0.3">
      <c r="A194" s="489" t="s">
        <v>1414</v>
      </c>
      <c r="B194" s="489" t="s">
        <v>1766</v>
      </c>
      <c r="C194" s="489" t="s">
        <v>1889</v>
      </c>
      <c r="D194" s="489" t="s">
        <v>141</v>
      </c>
      <c r="E194" s="619">
        <v>15</v>
      </c>
      <c r="F194" s="624">
        <f t="shared" si="11"/>
        <v>18.337499999999999</v>
      </c>
      <c r="G194" s="519">
        <f t="shared" ref="G194:U209" si="15">IF(Z194&gt;0,Z194,IF(H194&gt;0,H194,0))</f>
        <v>18.337499999999999</v>
      </c>
      <c r="H194" s="519">
        <f t="shared" si="15"/>
        <v>18.337499999999999</v>
      </c>
      <c r="I194" s="519">
        <f t="shared" si="15"/>
        <v>18.337499999999999</v>
      </c>
      <c r="J194" s="519">
        <f t="shared" si="15"/>
        <v>0</v>
      </c>
      <c r="K194" s="519">
        <f t="shared" si="15"/>
        <v>0</v>
      </c>
      <c r="L194" s="519">
        <f t="shared" si="15"/>
        <v>0</v>
      </c>
      <c r="M194" s="519">
        <f t="shared" si="15"/>
        <v>0</v>
      </c>
      <c r="N194" s="519">
        <f t="shared" si="15"/>
        <v>0</v>
      </c>
      <c r="O194" s="519">
        <f t="shared" si="15"/>
        <v>0</v>
      </c>
      <c r="P194" s="519">
        <f t="shared" si="15"/>
        <v>0</v>
      </c>
      <c r="Q194" s="519">
        <f t="shared" si="15"/>
        <v>0</v>
      </c>
      <c r="R194" s="519">
        <f t="shared" si="15"/>
        <v>0</v>
      </c>
      <c r="S194" s="519">
        <f t="shared" si="15"/>
        <v>0</v>
      </c>
      <c r="T194" s="519">
        <f t="shared" si="15"/>
        <v>0</v>
      </c>
      <c r="U194" s="519">
        <f t="shared" si="15"/>
        <v>0</v>
      </c>
      <c r="Y194" s="624">
        <v>18.337499999999999</v>
      </c>
      <c r="Z194" s="519">
        <v>0</v>
      </c>
      <c r="AA194" s="519">
        <v>0</v>
      </c>
      <c r="AB194" s="519">
        <v>18.337499999999999</v>
      </c>
      <c r="AC194" s="519">
        <v>0</v>
      </c>
      <c r="AD194" s="519">
        <v>0</v>
      </c>
      <c r="AE194" s="519">
        <v>0</v>
      </c>
      <c r="AF194" s="519">
        <v>0</v>
      </c>
      <c r="AG194" s="519">
        <v>0</v>
      </c>
      <c r="AH194" s="519">
        <v>0</v>
      </c>
      <c r="AI194" s="519">
        <v>0</v>
      </c>
      <c r="AJ194" s="519">
        <v>0</v>
      </c>
      <c r="AK194" s="519">
        <v>0</v>
      </c>
      <c r="AL194" s="519">
        <v>0</v>
      </c>
      <c r="AM194" s="519">
        <v>0</v>
      </c>
      <c r="AN194" s="519">
        <v>0</v>
      </c>
    </row>
    <row r="195" spans="1:40" x14ac:dyDescent="0.3">
      <c r="A195" s="489" t="s">
        <v>1414</v>
      </c>
      <c r="B195" s="489" t="s">
        <v>1767</v>
      </c>
      <c r="C195" s="489" t="s">
        <v>1890</v>
      </c>
      <c r="D195" s="489" t="s">
        <v>46</v>
      </c>
      <c r="E195" s="619">
        <v>15</v>
      </c>
      <c r="F195" s="624">
        <f t="shared" ref="F195:F230" si="16">Y195</f>
        <v>0</v>
      </c>
      <c r="G195" s="519">
        <f t="shared" si="15"/>
        <v>0</v>
      </c>
      <c r="H195" s="519">
        <f t="shared" si="15"/>
        <v>0</v>
      </c>
      <c r="I195" s="519">
        <f t="shared" si="15"/>
        <v>0</v>
      </c>
      <c r="J195" s="519">
        <f t="shared" si="15"/>
        <v>0</v>
      </c>
      <c r="K195" s="519">
        <f t="shared" si="15"/>
        <v>0</v>
      </c>
      <c r="L195" s="519">
        <f t="shared" si="15"/>
        <v>0</v>
      </c>
      <c r="M195" s="519">
        <f t="shared" si="15"/>
        <v>0</v>
      </c>
      <c r="N195" s="519">
        <f t="shared" si="15"/>
        <v>0</v>
      </c>
      <c r="O195" s="519">
        <f t="shared" si="15"/>
        <v>0</v>
      </c>
      <c r="P195" s="519">
        <f t="shared" si="15"/>
        <v>0</v>
      </c>
      <c r="Q195" s="519">
        <f t="shared" si="15"/>
        <v>0</v>
      </c>
      <c r="R195" s="519">
        <f t="shared" si="15"/>
        <v>0</v>
      </c>
      <c r="S195" s="519">
        <f t="shared" si="15"/>
        <v>0</v>
      </c>
      <c r="T195" s="519">
        <f t="shared" si="15"/>
        <v>0</v>
      </c>
      <c r="U195" s="519">
        <f t="shared" si="15"/>
        <v>0</v>
      </c>
      <c r="Y195" s="624">
        <v>0</v>
      </c>
      <c r="Z195" s="519">
        <v>0</v>
      </c>
      <c r="AA195" s="519">
        <v>0</v>
      </c>
      <c r="AB195" s="519">
        <v>0</v>
      </c>
      <c r="AC195" s="519">
        <v>0</v>
      </c>
      <c r="AD195" s="519">
        <v>0</v>
      </c>
      <c r="AE195" s="519">
        <v>0</v>
      </c>
      <c r="AF195" s="519">
        <v>0</v>
      </c>
      <c r="AG195" s="519">
        <v>0</v>
      </c>
      <c r="AH195" s="519">
        <v>0</v>
      </c>
      <c r="AI195" s="519">
        <v>0</v>
      </c>
      <c r="AJ195" s="519">
        <v>0</v>
      </c>
      <c r="AK195" s="519">
        <v>0</v>
      </c>
      <c r="AL195" s="519">
        <v>0</v>
      </c>
      <c r="AM195" s="519">
        <v>0</v>
      </c>
      <c r="AN195" s="519">
        <v>0</v>
      </c>
    </row>
    <row r="196" spans="1:40" x14ac:dyDescent="0.3">
      <c r="A196" s="489" t="s">
        <v>1441</v>
      </c>
      <c r="B196" s="489" t="s">
        <v>1768</v>
      </c>
      <c r="C196" s="489" t="s">
        <v>85</v>
      </c>
      <c r="D196" s="489" t="s">
        <v>1530</v>
      </c>
      <c r="E196" s="619">
        <v>15</v>
      </c>
      <c r="F196" s="624">
        <f t="shared" si="16"/>
        <v>0</v>
      </c>
      <c r="G196" s="519">
        <f t="shared" si="15"/>
        <v>0</v>
      </c>
      <c r="H196" s="519">
        <f t="shared" si="15"/>
        <v>0</v>
      </c>
      <c r="I196" s="519">
        <f t="shared" si="15"/>
        <v>0</v>
      </c>
      <c r="J196" s="519">
        <f t="shared" si="15"/>
        <v>0</v>
      </c>
      <c r="K196" s="519">
        <f t="shared" si="15"/>
        <v>0</v>
      </c>
      <c r="L196" s="519">
        <f t="shared" si="15"/>
        <v>0</v>
      </c>
      <c r="M196" s="519">
        <f t="shared" si="15"/>
        <v>0</v>
      </c>
      <c r="N196" s="519">
        <f t="shared" si="15"/>
        <v>0</v>
      </c>
      <c r="O196" s="519">
        <f t="shared" si="15"/>
        <v>0</v>
      </c>
      <c r="P196" s="519">
        <f t="shared" si="15"/>
        <v>0</v>
      </c>
      <c r="Q196" s="519">
        <f t="shared" si="15"/>
        <v>0</v>
      </c>
      <c r="R196" s="519">
        <f t="shared" si="15"/>
        <v>0</v>
      </c>
      <c r="S196" s="519">
        <f t="shared" si="15"/>
        <v>0</v>
      </c>
      <c r="T196" s="519">
        <f t="shared" si="15"/>
        <v>0</v>
      </c>
      <c r="U196" s="519">
        <f t="shared" si="15"/>
        <v>0</v>
      </c>
      <c r="Y196" s="624">
        <v>0</v>
      </c>
      <c r="Z196" s="519">
        <v>0</v>
      </c>
      <c r="AA196" s="519">
        <v>0</v>
      </c>
      <c r="AB196" s="519">
        <v>0</v>
      </c>
      <c r="AC196" s="519">
        <v>0</v>
      </c>
      <c r="AD196" s="519">
        <v>0</v>
      </c>
      <c r="AE196" s="519">
        <v>0</v>
      </c>
      <c r="AF196" s="519">
        <v>0</v>
      </c>
      <c r="AG196" s="519">
        <v>0</v>
      </c>
      <c r="AH196" s="519">
        <v>0</v>
      </c>
      <c r="AI196" s="519">
        <v>0</v>
      </c>
      <c r="AJ196" s="519">
        <v>0</v>
      </c>
      <c r="AK196" s="519">
        <v>0</v>
      </c>
      <c r="AL196" s="519">
        <v>0</v>
      </c>
      <c r="AM196" s="519">
        <v>0</v>
      </c>
      <c r="AN196" s="519">
        <v>0</v>
      </c>
    </row>
    <row r="197" spans="1:40" x14ac:dyDescent="0.3">
      <c r="A197" s="489" t="s">
        <v>1677</v>
      </c>
      <c r="B197" s="489" t="s">
        <v>1769</v>
      </c>
      <c r="C197" s="489" t="s">
        <v>1891</v>
      </c>
      <c r="D197" s="489" t="s">
        <v>46</v>
      </c>
      <c r="E197" s="619">
        <v>15</v>
      </c>
      <c r="F197" s="624">
        <f t="shared" si="16"/>
        <v>0</v>
      </c>
      <c r="G197" s="519">
        <f t="shared" si="15"/>
        <v>0</v>
      </c>
      <c r="H197" s="519">
        <f t="shared" si="15"/>
        <v>0</v>
      </c>
      <c r="I197" s="519">
        <f t="shared" si="15"/>
        <v>0</v>
      </c>
      <c r="J197" s="519">
        <f t="shared" si="15"/>
        <v>0</v>
      </c>
      <c r="K197" s="519">
        <f t="shared" si="15"/>
        <v>0</v>
      </c>
      <c r="L197" s="519">
        <f t="shared" si="15"/>
        <v>0</v>
      </c>
      <c r="M197" s="519">
        <f t="shared" si="15"/>
        <v>0</v>
      </c>
      <c r="N197" s="519">
        <f t="shared" si="15"/>
        <v>0</v>
      </c>
      <c r="O197" s="519">
        <f t="shared" si="15"/>
        <v>0</v>
      </c>
      <c r="P197" s="519">
        <f t="shared" si="15"/>
        <v>0</v>
      </c>
      <c r="Q197" s="519">
        <f t="shared" si="15"/>
        <v>0</v>
      </c>
      <c r="R197" s="519">
        <f t="shared" si="15"/>
        <v>0</v>
      </c>
      <c r="S197" s="519">
        <f t="shared" si="15"/>
        <v>0</v>
      </c>
      <c r="T197" s="519">
        <f t="shared" si="15"/>
        <v>0</v>
      </c>
      <c r="U197" s="519">
        <f t="shared" si="15"/>
        <v>0</v>
      </c>
      <c r="Y197" s="624">
        <v>0</v>
      </c>
      <c r="Z197" s="519">
        <v>0</v>
      </c>
      <c r="AA197" s="519">
        <v>0</v>
      </c>
      <c r="AB197" s="519">
        <v>0</v>
      </c>
      <c r="AC197" s="519">
        <v>0</v>
      </c>
      <c r="AD197" s="519">
        <v>0</v>
      </c>
      <c r="AE197" s="519">
        <v>0</v>
      </c>
      <c r="AF197" s="519">
        <v>0</v>
      </c>
      <c r="AG197" s="519">
        <v>0</v>
      </c>
      <c r="AH197" s="519">
        <v>0</v>
      </c>
      <c r="AI197" s="519">
        <v>0</v>
      </c>
      <c r="AJ197" s="519">
        <v>0</v>
      </c>
      <c r="AK197" s="519">
        <v>0</v>
      </c>
      <c r="AL197" s="519">
        <v>0</v>
      </c>
      <c r="AM197" s="519">
        <v>0</v>
      </c>
      <c r="AN197" s="519">
        <v>0</v>
      </c>
    </row>
    <row r="198" spans="1:40" x14ac:dyDescent="0.3">
      <c r="A198" s="489" t="s">
        <v>1414</v>
      </c>
      <c r="B198" s="489" t="s">
        <v>1670</v>
      </c>
      <c r="C198" s="489" t="s">
        <v>1892</v>
      </c>
      <c r="D198" s="489" t="s">
        <v>1530</v>
      </c>
      <c r="E198" s="619">
        <v>15</v>
      </c>
      <c r="F198" s="624">
        <f t="shared" si="16"/>
        <v>0</v>
      </c>
      <c r="G198" s="519">
        <f t="shared" si="15"/>
        <v>0</v>
      </c>
      <c r="H198" s="519">
        <f t="shared" si="15"/>
        <v>0</v>
      </c>
      <c r="I198" s="519">
        <f t="shared" si="15"/>
        <v>0</v>
      </c>
      <c r="J198" s="519">
        <f t="shared" si="15"/>
        <v>0</v>
      </c>
      <c r="K198" s="519">
        <f t="shared" si="15"/>
        <v>0</v>
      </c>
      <c r="L198" s="519">
        <f t="shared" si="15"/>
        <v>0</v>
      </c>
      <c r="M198" s="519">
        <f t="shared" si="15"/>
        <v>0</v>
      </c>
      <c r="N198" s="519">
        <f t="shared" si="15"/>
        <v>0</v>
      </c>
      <c r="O198" s="519">
        <f t="shared" si="15"/>
        <v>0</v>
      </c>
      <c r="P198" s="519">
        <f t="shared" si="15"/>
        <v>0</v>
      </c>
      <c r="Q198" s="519">
        <f t="shared" si="15"/>
        <v>0</v>
      </c>
      <c r="R198" s="519">
        <f t="shared" si="15"/>
        <v>0</v>
      </c>
      <c r="S198" s="519">
        <f t="shared" si="15"/>
        <v>0</v>
      </c>
      <c r="T198" s="519">
        <f t="shared" si="15"/>
        <v>0</v>
      </c>
      <c r="U198" s="519">
        <f t="shared" si="15"/>
        <v>0</v>
      </c>
      <c r="Y198" s="624">
        <v>0</v>
      </c>
      <c r="Z198" s="519">
        <v>0</v>
      </c>
      <c r="AA198" s="519">
        <v>0</v>
      </c>
      <c r="AB198" s="519">
        <v>0</v>
      </c>
      <c r="AC198" s="519">
        <v>0</v>
      </c>
      <c r="AD198" s="519">
        <v>0</v>
      </c>
      <c r="AE198" s="519">
        <v>0</v>
      </c>
      <c r="AF198" s="519">
        <v>0</v>
      </c>
      <c r="AG198" s="519">
        <v>0</v>
      </c>
      <c r="AH198" s="519">
        <v>0</v>
      </c>
      <c r="AI198" s="519">
        <v>0</v>
      </c>
      <c r="AJ198" s="519">
        <v>0</v>
      </c>
      <c r="AK198" s="519">
        <v>0</v>
      </c>
      <c r="AL198" s="519">
        <v>0</v>
      </c>
      <c r="AM198" s="519">
        <v>0</v>
      </c>
      <c r="AN198" s="519">
        <v>0</v>
      </c>
    </row>
    <row r="199" spans="1:40" x14ac:dyDescent="0.3">
      <c r="A199" s="489" t="s">
        <v>1441</v>
      </c>
      <c r="B199" s="489" t="s">
        <v>1770</v>
      </c>
      <c r="C199" s="489" t="s">
        <v>1893</v>
      </c>
      <c r="D199" s="489" t="s">
        <v>46</v>
      </c>
      <c r="E199" s="619">
        <v>14</v>
      </c>
      <c r="F199" s="624">
        <f t="shared" si="16"/>
        <v>0</v>
      </c>
      <c r="G199" s="519">
        <f t="shared" si="15"/>
        <v>0</v>
      </c>
      <c r="H199" s="519">
        <f t="shared" si="15"/>
        <v>0</v>
      </c>
      <c r="I199" s="519">
        <f t="shared" si="15"/>
        <v>0</v>
      </c>
      <c r="J199" s="519">
        <f t="shared" si="15"/>
        <v>0</v>
      </c>
      <c r="K199" s="519">
        <f t="shared" si="15"/>
        <v>0</v>
      </c>
      <c r="L199" s="519">
        <f t="shared" si="15"/>
        <v>0</v>
      </c>
      <c r="M199" s="519">
        <f t="shared" si="15"/>
        <v>0</v>
      </c>
      <c r="N199" s="519">
        <f t="shared" si="15"/>
        <v>0</v>
      </c>
      <c r="O199" s="519">
        <f t="shared" si="15"/>
        <v>0</v>
      </c>
      <c r="P199" s="519">
        <f t="shared" si="15"/>
        <v>0</v>
      </c>
      <c r="Q199" s="519">
        <f t="shared" si="15"/>
        <v>0</v>
      </c>
      <c r="R199" s="519">
        <f t="shared" si="15"/>
        <v>0</v>
      </c>
      <c r="S199" s="519">
        <f t="shared" si="15"/>
        <v>0</v>
      </c>
      <c r="T199" s="519">
        <f t="shared" si="15"/>
        <v>0</v>
      </c>
      <c r="U199" s="519">
        <f t="shared" si="15"/>
        <v>0</v>
      </c>
      <c r="Y199" s="624">
        <v>0</v>
      </c>
      <c r="Z199" s="519">
        <v>0</v>
      </c>
      <c r="AA199" s="519">
        <v>0</v>
      </c>
      <c r="AB199" s="519">
        <v>0</v>
      </c>
      <c r="AC199" s="519">
        <v>0</v>
      </c>
      <c r="AD199" s="519">
        <v>0</v>
      </c>
      <c r="AE199" s="519">
        <v>0</v>
      </c>
      <c r="AF199" s="519">
        <v>0</v>
      </c>
      <c r="AG199" s="519">
        <v>0</v>
      </c>
      <c r="AH199" s="519">
        <v>0</v>
      </c>
      <c r="AI199" s="519">
        <v>0</v>
      </c>
      <c r="AJ199" s="519">
        <v>0</v>
      </c>
      <c r="AK199" s="519">
        <v>0</v>
      </c>
      <c r="AL199" s="519">
        <v>0</v>
      </c>
      <c r="AM199" s="519">
        <v>0</v>
      </c>
      <c r="AN199" s="519">
        <v>0</v>
      </c>
    </row>
    <row r="200" spans="1:40" x14ac:dyDescent="0.3">
      <c r="A200" s="489" t="s">
        <v>1677</v>
      </c>
      <c r="B200" s="489" t="s">
        <v>1771</v>
      </c>
      <c r="C200" s="489" t="s">
        <v>1894</v>
      </c>
      <c r="D200" s="489" t="s">
        <v>46</v>
      </c>
      <c r="E200" s="619">
        <v>14</v>
      </c>
      <c r="F200" s="624">
        <f t="shared" si="16"/>
        <v>0</v>
      </c>
      <c r="G200" s="519">
        <f t="shared" si="15"/>
        <v>0</v>
      </c>
      <c r="H200" s="519">
        <f t="shared" si="15"/>
        <v>0</v>
      </c>
      <c r="I200" s="519">
        <f t="shared" si="15"/>
        <v>0</v>
      </c>
      <c r="J200" s="519">
        <f t="shared" si="15"/>
        <v>0</v>
      </c>
      <c r="K200" s="519">
        <f t="shared" si="15"/>
        <v>0</v>
      </c>
      <c r="L200" s="519">
        <f t="shared" si="15"/>
        <v>0</v>
      </c>
      <c r="M200" s="519">
        <f t="shared" si="15"/>
        <v>0</v>
      </c>
      <c r="N200" s="519">
        <f t="shared" si="15"/>
        <v>0</v>
      </c>
      <c r="O200" s="519">
        <f t="shared" si="15"/>
        <v>0</v>
      </c>
      <c r="P200" s="519">
        <f t="shared" si="15"/>
        <v>0</v>
      </c>
      <c r="Q200" s="519">
        <f t="shared" si="15"/>
        <v>0</v>
      </c>
      <c r="R200" s="519">
        <f t="shared" si="15"/>
        <v>0</v>
      </c>
      <c r="S200" s="519">
        <f t="shared" si="15"/>
        <v>0</v>
      </c>
      <c r="T200" s="519">
        <f t="shared" si="15"/>
        <v>0</v>
      </c>
      <c r="U200" s="519">
        <f t="shared" si="15"/>
        <v>0</v>
      </c>
      <c r="Y200" s="624">
        <v>0</v>
      </c>
      <c r="Z200" s="519">
        <v>0</v>
      </c>
      <c r="AA200" s="519">
        <v>0</v>
      </c>
      <c r="AB200" s="519">
        <v>0</v>
      </c>
      <c r="AC200" s="519">
        <v>0</v>
      </c>
      <c r="AD200" s="519">
        <v>0</v>
      </c>
      <c r="AE200" s="519">
        <v>0</v>
      </c>
      <c r="AF200" s="519">
        <v>0</v>
      </c>
      <c r="AG200" s="519">
        <v>0</v>
      </c>
      <c r="AH200" s="519">
        <v>0</v>
      </c>
      <c r="AI200" s="519">
        <v>0</v>
      </c>
      <c r="AJ200" s="519">
        <v>0</v>
      </c>
      <c r="AK200" s="519">
        <v>0</v>
      </c>
      <c r="AL200" s="519">
        <v>0</v>
      </c>
      <c r="AM200" s="519">
        <v>0</v>
      </c>
      <c r="AN200" s="519">
        <v>0</v>
      </c>
    </row>
    <row r="201" spans="1:40" x14ac:dyDescent="0.3">
      <c r="A201" s="489" t="s">
        <v>1414</v>
      </c>
      <c r="B201" s="489" t="s">
        <v>1772</v>
      </c>
      <c r="C201" s="489" t="s">
        <v>1895</v>
      </c>
      <c r="D201" s="489" t="s">
        <v>46</v>
      </c>
      <c r="E201" s="619">
        <v>14</v>
      </c>
      <c r="F201" s="624">
        <f t="shared" si="16"/>
        <v>0</v>
      </c>
      <c r="G201" s="519">
        <f t="shared" si="15"/>
        <v>0</v>
      </c>
      <c r="H201" s="519">
        <f t="shared" si="15"/>
        <v>0</v>
      </c>
      <c r="I201" s="519">
        <f t="shared" si="15"/>
        <v>0</v>
      </c>
      <c r="J201" s="519">
        <f t="shared" si="15"/>
        <v>0</v>
      </c>
      <c r="K201" s="519">
        <f t="shared" si="15"/>
        <v>0</v>
      </c>
      <c r="L201" s="519">
        <f t="shared" si="15"/>
        <v>0</v>
      </c>
      <c r="M201" s="519">
        <f t="shared" si="15"/>
        <v>0</v>
      </c>
      <c r="N201" s="519">
        <f t="shared" si="15"/>
        <v>0</v>
      </c>
      <c r="O201" s="519">
        <f t="shared" si="15"/>
        <v>0</v>
      </c>
      <c r="P201" s="519">
        <f t="shared" si="15"/>
        <v>0</v>
      </c>
      <c r="Q201" s="519">
        <f t="shared" si="15"/>
        <v>0</v>
      </c>
      <c r="R201" s="519">
        <f t="shared" si="15"/>
        <v>0</v>
      </c>
      <c r="S201" s="519">
        <f t="shared" si="15"/>
        <v>0</v>
      </c>
      <c r="T201" s="519">
        <f t="shared" si="15"/>
        <v>0</v>
      </c>
      <c r="U201" s="519">
        <f t="shared" si="15"/>
        <v>0</v>
      </c>
      <c r="Y201" s="624">
        <v>0</v>
      </c>
      <c r="Z201" s="519">
        <v>0</v>
      </c>
      <c r="AA201" s="519">
        <v>0</v>
      </c>
      <c r="AB201" s="519">
        <v>0</v>
      </c>
      <c r="AC201" s="519">
        <v>0</v>
      </c>
      <c r="AD201" s="519">
        <v>0</v>
      </c>
      <c r="AE201" s="519">
        <v>0</v>
      </c>
      <c r="AF201" s="519">
        <v>0</v>
      </c>
      <c r="AG201" s="519">
        <v>0</v>
      </c>
      <c r="AH201" s="519">
        <v>0</v>
      </c>
      <c r="AI201" s="519">
        <v>0</v>
      </c>
      <c r="AJ201" s="519">
        <v>0</v>
      </c>
      <c r="AK201" s="519">
        <v>0</v>
      </c>
      <c r="AL201" s="519">
        <v>0</v>
      </c>
      <c r="AM201" s="519">
        <v>0</v>
      </c>
      <c r="AN201" s="519">
        <v>0</v>
      </c>
    </row>
    <row r="202" spans="1:40" x14ac:dyDescent="0.3">
      <c r="A202" s="489" t="s">
        <v>1426</v>
      </c>
      <c r="B202" s="489" t="s">
        <v>1773</v>
      </c>
      <c r="C202" s="489" t="s">
        <v>1708</v>
      </c>
      <c r="D202" s="489" t="s">
        <v>1939</v>
      </c>
      <c r="E202" s="619">
        <v>14</v>
      </c>
      <c r="F202" s="624">
        <f t="shared" si="16"/>
        <v>0</v>
      </c>
      <c r="G202" s="519">
        <f t="shared" si="15"/>
        <v>0</v>
      </c>
      <c r="H202" s="519">
        <f t="shared" si="15"/>
        <v>0</v>
      </c>
      <c r="I202" s="519">
        <f t="shared" si="15"/>
        <v>0</v>
      </c>
      <c r="J202" s="519">
        <f t="shared" si="15"/>
        <v>0</v>
      </c>
      <c r="K202" s="519">
        <f t="shared" si="15"/>
        <v>0</v>
      </c>
      <c r="L202" s="519">
        <f t="shared" si="15"/>
        <v>0</v>
      </c>
      <c r="M202" s="519">
        <f t="shared" si="15"/>
        <v>0</v>
      </c>
      <c r="N202" s="519">
        <f t="shared" si="15"/>
        <v>0</v>
      </c>
      <c r="O202" s="519">
        <f t="shared" si="15"/>
        <v>0</v>
      </c>
      <c r="P202" s="519">
        <f t="shared" si="15"/>
        <v>0</v>
      </c>
      <c r="Q202" s="519">
        <f t="shared" si="15"/>
        <v>0</v>
      </c>
      <c r="R202" s="519">
        <f t="shared" si="15"/>
        <v>0</v>
      </c>
      <c r="S202" s="519">
        <f t="shared" si="15"/>
        <v>0</v>
      </c>
      <c r="T202" s="519">
        <f t="shared" si="15"/>
        <v>0</v>
      </c>
      <c r="U202" s="519">
        <f t="shared" si="15"/>
        <v>0</v>
      </c>
      <c r="Y202" s="624">
        <v>0</v>
      </c>
      <c r="Z202" s="519">
        <v>0</v>
      </c>
      <c r="AA202" s="519">
        <v>0</v>
      </c>
      <c r="AB202" s="519">
        <v>0</v>
      </c>
      <c r="AC202" s="519">
        <v>0</v>
      </c>
      <c r="AD202" s="519">
        <v>0</v>
      </c>
      <c r="AE202" s="519">
        <v>0</v>
      </c>
      <c r="AF202" s="519">
        <v>0</v>
      </c>
      <c r="AG202" s="519">
        <v>0</v>
      </c>
      <c r="AH202" s="519">
        <v>0</v>
      </c>
      <c r="AI202" s="519">
        <v>0</v>
      </c>
      <c r="AJ202" s="519">
        <v>0</v>
      </c>
      <c r="AK202" s="519">
        <v>0</v>
      </c>
      <c r="AL202" s="519">
        <v>0</v>
      </c>
      <c r="AM202" s="519">
        <v>0</v>
      </c>
      <c r="AN202" s="519">
        <v>0</v>
      </c>
    </row>
    <row r="203" spans="1:40" x14ac:dyDescent="0.3">
      <c r="A203" s="489" t="s">
        <v>1677</v>
      </c>
      <c r="B203" s="489" t="s">
        <v>1774</v>
      </c>
      <c r="C203" s="489" t="s">
        <v>1896</v>
      </c>
      <c r="D203" s="489" t="s">
        <v>141</v>
      </c>
      <c r="E203" s="619">
        <v>14</v>
      </c>
      <c r="F203" s="624">
        <f t="shared" si="16"/>
        <v>19.145454545454548</v>
      </c>
      <c r="G203" s="519">
        <f t="shared" si="15"/>
        <v>19.2</v>
      </c>
      <c r="H203" s="519">
        <f t="shared" si="15"/>
        <v>19.100000000000001</v>
      </c>
      <c r="I203" s="519">
        <f t="shared" si="15"/>
        <v>19.3</v>
      </c>
      <c r="J203" s="519">
        <f t="shared" si="15"/>
        <v>0</v>
      </c>
      <c r="K203" s="519">
        <f t="shared" si="15"/>
        <v>0</v>
      </c>
      <c r="L203" s="519">
        <f t="shared" si="15"/>
        <v>0</v>
      </c>
      <c r="M203" s="519">
        <f t="shared" si="15"/>
        <v>0</v>
      </c>
      <c r="N203" s="519">
        <f t="shared" si="15"/>
        <v>0</v>
      </c>
      <c r="O203" s="519">
        <f t="shared" si="15"/>
        <v>0</v>
      </c>
      <c r="P203" s="519">
        <f t="shared" si="15"/>
        <v>0</v>
      </c>
      <c r="Q203" s="519">
        <f t="shared" si="15"/>
        <v>0</v>
      </c>
      <c r="R203" s="519">
        <f t="shared" si="15"/>
        <v>0</v>
      </c>
      <c r="S203" s="519">
        <f t="shared" si="15"/>
        <v>0</v>
      </c>
      <c r="T203" s="519">
        <f t="shared" si="15"/>
        <v>0</v>
      </c>
      <c r="U203" s="519">
        <f t="shared" si="15"/>
        <v>0</v>
      </c>
      <c r="Y203" s="624">
        <v>19.145454545454548</v>
      </c>
      <c r="Z203" s="519">
        <v>19.2</v>
      </c>
      <c r="AA203" s="519">
        <v>19.100000000000001</v>
      </c>
      <c r="AB203" s="519">
        <v>19.3</v>
      </c>
      <c r="AC203" s="519">
        <v>0</v>
      </c>
      <c r="AD203" s="519">
        <v>0</v>
      </c>
      <c r="AE203" s="519">
        <v>0</v>
      </c>
      <c r="AF203" s="519">
        <v>0</v>
      </c>
      <c r="AG203" s="519">
        <v>0</v>
      </c>
      <c r="AH203" s="519">
        <v>0</v>
      </c>
      <c r="AI203" s="519">
        <v>0</v>
      </c>
      <c r="AJ203" s="519">
        <v>0</v>
      </c>
      <c r="AK203" s="519">
        <v>0</v>
      </c>
      <c r="AL203" s="519">
        <v>0</v>
      </c>
      <c r="AM203" s="519">
        <v>0</v>
      </c>
      <c r="AN203" s="519">
        <v>0</v>
      </c>
    </row>
    <row r="204" spans="1:40" x14ac:dyDescent="0.3">
      <c r="A204" s="489" t="s">
        <v>1572</v>
      </c>
      <c r="B204" s="489" t="s">
        <v>1775</v>
      </c>
      <c r="C204" s="489" t="s">
        <v>1897</v>
      </c>
      <c r="D204" s="489" t="s">
        <v>46</v>
      </c>
      <c r="E204" s="619">
        <v>14</v>
      </c>
      <c r="F204" s="624">
        <f t="shared" si="16"/>
        <v>0</v>
      </c>
      <c r="G204" s="519">
        <f t="shared" si="15"/>
        <v>0</v>
      </c>
      <c r="H204" s="519">
        <f t="shared" si="15"/>
        <v>0</v>
      </c>
      <c r="I204" s="519">
        <f t="shared" si="15"/>
        <v>0</v>
      </c>
      <c r="J204" s="519">
        <f t="shared" si="15"/>
        <v>0</v>
      </c>
      <c r="K204" s="519">
        <f t="shared" si="15"/>
        <v>0</v>
      </c>
      <c r="L204" s="519">
        <f t="shared" si="15"/>
        <v>0</v>
      </c>
      <c r="M204" s="519">
        <f t="shared" si="15"/>
        <v>0</v>
      </c>
      <c r="N204" s="519">
        <f t="shared" si="15"/>
        <v>0</v>
      </c>
      <c r="O204" s="519">
        <f t="shared" si="15"/>
        <v>0</v>
      </c>
      <c r="P204" s="519">
        <f t="shared" si="15"/>
        <v>0</v>
      </c>
      <c r="Q204" s="519">
        <f t="shared" si="15"/>
        <v>0</v>
      </c>
      <c r="R204" s="519">
        <f t="shared" si="15"/>
        <v>0</v>
      </c>
      <c r="S204" s="519">
        <f t="shared" si="15"/>
        <v>0</v>
      </c>
      <c r="T204" s="519">
        <f t="shared" si="15"/>
        <v>0</v>
      </c>
      <c r="U204" s="519">
        <f t="shared" si="15"/>
        <v>0</v>
      </c>
      <c r="Y204" s="624">
        <v>0</v>
      </c>
      <c r="Z204" s="519">
        <v>0</v>
      </c>
      <c r="AA204" s="519">
        <v>0</v>
      </c>
      <c r="AB204" s="519">
        <v>0</v>
      </c>
      <c r="AC204" s="519">
        <v>0</v>
      </c>
      <c r="AD204" s="519">
        <v>0</v>
      </c>
      <c r="AE204" s="519">
        <v>0</v>
      </c>
      <c r="AF204" s="519">
        <v>0</v>
      </c>
      <c r="AG204" s="519">
        <v>0</v>
      </c>
      <c r="AH204" s="519">
        <v>0</v>
      </c>
      <c r="AI204" s="519">
        <v>0</v>
      </c>
      <c r="AJ204" s="519">
        <v>0</v>
      </c>
      <c r="AK204" s="519">
        <v>0</v>
      </c>
      <c r="AL204" s="519">
        <v>0</v>
      </c>
      <c r="AM204" s="519">
        <v>0</v>
      </c>
      <c r="AN204" s="519">
        <v>0</v>
      </c>
    </row>
    <row r="205" spans="1:40" x14ac:dyDescent="0.3">
      <c r="A205" s="489" t="s">
        <v>1567</v>
      </c>
      <c r="B205" s="489" t="s">
        <v>1776</v>
      </c>
      <c r="C205" s="489" t="s">
        <v>1898</v>
      </c>
      <c r="D205" s="489" t="s">
        <v>141</v>
      </c>
      <c r="E205" s="619">
        <v>14</v>
      </c>
      <c r="F205" s="624">
        <f t="shared" si="16"/>
        <v>26.692857142857143</v>
      </c>
      <c r="G205" s="519">
        <f t="shared" si="15"/>
        <v>27.2</v>
      </c>
      <c r="H205" s="519">
        <f t="shared" si="15"/>
        <v>27.2</v>
      </c>
      <c r="I205" s="519">
        <f t="shared" si="15"/>
        <v>27.2</v>
      </c>
      <c r="J205" s="519">
        <f t="shared" si="15"/>
        <v>26.653846153846153</v>
      </c>
      <c r="K205" s="519">
        <f t="shared" si="15"/>
        <v>0</v>
      </c>
      <c r="L205" s="519">
        <f t="shared" si="15"/>
        <v>0</v>
      </c>
      <c r="M205" s="519">
        <f t="shared" si="15"/>
        <v>0</v>
      </c>
      <c r="N205" s="519">
        <f t="shared" si="15"/>
        <v>0</v>
      </c>
      <c r="O205" s="519">
        <f t="shared" si="15"/>
        <v>0</v>
      </c>
      <c r="P205" s="519">
        <f t="shared" si="15"/>
        <v>0</v>
      </c>
      <c r="Q205" s="519">
        <f t="shared" si="15"/>
        <v>0</v>
      </c>
      <c r="R205" s="519">
        <f t="shared" si="15"/>
        <v>0</v>
      </c>
      <c r="S205" s="519">
        <f t="shared" si="15"/>
        <v>0</v>
      </c>
      <c r="T205" s="519">
        <f t="shared" si="15"/>
        <v>0</v>
      </c>
      <c r="U205" s="519">
        <f t="shared" si="15"/>
        <v>0</v>
      </c>
      <c r="Y205" s="624">
        <v>26.692857142857143</v>
      </c>
      <c r="Z205" s="519">
        <v>0</v>
      </c>
      <c r="AA205" s="519">
        <v>0</v>
      </c>
      <c r="AB205" s="519">
        <v>27.2</v>
      </c>
      <c r="AC205" s="519">
        <v>26.653846153846153</v>
      </c>
      <c r="AD205" s="519">
        <v>0</v>
      </c>
      <c r="AE205" s="519">
        <v>0</v>
      </c>
      <c r="AF205" s="519">
        <v>0</v>
      </c>
      <c r="AG205" s="519">
        <v>0</v>
      </c>
      <c r="AH205" s="519">
        <v>0</v>
      </c>
      <c r="AI205" s="519">
        <v>0</v>
      </c>
      <c r="AJ205" s="519">
        <v>0</v>
      </c>
      <c r="AK205" s="519">
        <v>0</v>
      </c>
      <c r="AL205" s="519">
        <v>0</v>
      </c>
      <c r="AM205" s="519">
        <v>0</v>
      </c>
      <c r="AN205" s="519">
        <v>0</v>
      </c>
    </row>
    <row r="206" spans="1:40" x14ac:dyDescent="0.3">
      <c r="A206" s="489" t="s">
        <v>1777</v>
      </c>
      <c r="B206" s="489" t="s">
        <v>1778</v>
      </c>
      <c r="C206" s="489" t="s">
        <v>1899</v>
      </c>
      <c r="D206" s="489" t="s">
        <v>46</v>
      </c>
      <c r="E206" s="619">
        <v>13</v>
      </c>
      <c r="F206" s="624">
        <f t="shared" si="16"/>
        <v>0</v>
      </c>
      <c r="G206" s="519">
        <f t="shared" si="15"/>
        <v>0</v>
      </c>
      <c r="H206" s="519">
        <f t="shared" si="15"/>
        <v>0</v>
      </c>
      <c r="I206" s="519">
        <f t="shared" si="15"/>
        <v>0</v>
      </c>
      <c r="J206" s="519">
        <f t="shared" si="15"/>
        <v>0</v>
      </c>
      <c r="K206" s="519">
        <f t="shared" si="15"/>
        <v>0</v>
      </c>
      <c r="L206" s="519">
        <f t="shared" si="15"/>
        <v>0</v>
      </c>
      <c r="M206" s="519">
        <f t="shared" si="15"/>
        <v>0</v>
      </c>
      <c r="N206" s="519">
        <f t="shared" si="15"/>
        <v>0</v>
      </c>
      <c r="O206" s="519">
        <f t="shared" si="15"/>
        <v>0</v>
      </c>
      <c r="P206" s="519">
        <f t="shared" si="15"/>
        <v>0</v>
      </c>
      <c r="Q206" s="519">
        <f t="shared" si="15"/>
        <v>0</v>
      </c>
      <c r="R206" s="519">
        <f t="shared" si="15"/>
        <v>0</v>
      </c>
      <c r="S206" s="519">
        <f t="shared" si="15"/>
        <v>0</v>
      </c>
      <c r="T206" s="519">
        <f t="shared" si="15"/>
        <v>0</v>
      </c>
      <c r="U206" s="519">
        <f t="shared" si="15"/>
        <v>0</v>
      </c>
      <c r="Y206" s="624">
        <v>0</v>
      </c>
      <c r="Z206" s="519">
        <v>0</v>
      </c>
      <c r="AA206" s="519">
        <v>0</v>
      </c>
      <c r="AB206" s="519">
        <v>0</v>
      </c>
      <c r="AC206" s="519">
        <v>0</v>
      </c>
      <c r="AD206" s="519">
        <v>0</v>
      </c>
      <c r="AE206" s="519">
        <v>0</v>
      </c>
      <c r="AF206" s="519">
        <v>0</v>
      </c>
      <c r="AG206" s="519">
        <v>0</v>
      </c>
      <c r="AH206" s="519">
        <v>0</v>
      </c>
      <c r="AI206" s="519">
        <v>0</v>
      </c>
      <c r="AJ206" s="519">
        <v>0</v>
      </c>
      <c r="AK206" s="519">
        <v>0</v>
      </c>
      <c r="AL206" s="519">
        <v>0</v>
      </c>
      <c r="AM206" s="519">
        <v>0</v>
      </c>
      <c r="AN206" s="519">
        <v>0</v>
      </c>
    </row>
    <row r="207" spans="1:40" x14ac:dyDescent="0.3">
      <c r="A207" s="489" t="s">
        <v>1677</v>
      </c>
      <c r="B207" s="489" t="s">
        <v>1779</v>
      </c>
      <c r="C207" s="489" t="s">
        <v>1900</v>
      </c>
      <c r="D207" s="489" t="s">
        <v>46</v>
      </c>
      <c r="E207" s="619">
        <v>13</v>
      </c>
      <c r="F207" s="624">
        <f t="shared" si="16"/>
        <v>0</v>
      </c>
      <c r="G207" s="519">
        <f t="shared" si="15"/>
        <v>0</v>
      </c>
      <c r="H207" s="519">
        <f t="shared" si="15"/>
        <v>0</v>
      </c>
      <c r="I207" s="519">
        <f t="shared" si="15"/>
        <v>0</v>
      </c>
      <c r="J207" s="519">
        <f t="shared" si="15"/>
        <v>0</v>
      </c>
      <c r="K207" s="519">
        <f t="shared" si="15"/>
        <v>0</v>
      </c>
      <c r="L207" s="519">
        <f t="shared" si="15"/>
        <v>0</v>
      </c>
      <c r="M207" s="519">
        <f t="shared" si="15"/>
        <v>0</v>
      </c>
      <c r="N207" s="519">
        <f t="shared" si="15"/>
        <v>0</v>
      </c>
      <c r="O207" s="519">
        <f t="shared" si="15"/>
        <v>0</v>
      </c>
      <c r="P207" s="519">
        <f t="shared" si="15"/>
        <v>0</v>
      </c>
      <c r="Q207" s="519">
        <f t="shared" si="15"/>
        <v>0</v>
      </c>
      <c r="R207" s="519">
        <f t="shared" si="15"/>
        <v>0</v>
      </c>
      <c r="S207" s="519">
        <f t="shared" si="15"/>
        <v>0</v>
      </c>
      <c r="T207" s="519">
        <f t="shared" si="15"/>
        <v>0</v>
      </c>
      <c r="U207" s="519">
        <f t="shared" si="15"/>
        <v>0</v>
      </c>
      <c r="Y207" s="624">
        <v>0</v>
      </c>
      <c r="Z207" s="519">
        <v>0</v>
      </c>
      <c r="AA207" s="519">
        <v>0</v>
      </c>
      <c r="AB207" s="519">
        <v>0</v>
      </c>
      <c r="AC207" s="519">
        <v>0</v>
      </c>
      <c r="AD207" s="519">
        <v>0</v>
      </c>
      <c r="AE207" s="519">
        <v>0</v>
      </c>
      <c r="AF207" s="519">
        <v>0</v>
      </c>
      <c r="AG207" s="519">
        <v>0</v>
      </c>
      <c r="AH207" s="519">
        <v>0</v>
      </c>
      <c r="AI207" s="519">
        <v>0</v>
      </c>
      <c r="AJ207" s="519">
        <v>0</v>
      </c>
      <c r="AK207" s="519">
        <v>0</v>
      </c>
      <c r="AL207" s="519">
        <v>0</v>
      </c>
      <c r="AM207" s="519">
        <v>0</v>
      </c>
      <c r="AN207" s="519">
        <v>0</v>
      </c>
    </row>
    <row r="208" spans="1:40" x14ac:dyDescent="0.3">
      <c r="A208" s="489" t="s">
        <v>1414</v>
      </c>
      <c r="B208" s="489" t="s">
        <v>1671</v>
      </c>
      <c r="C208" s="489" t="s">
        <v>1901</v>
      </c>
      <c r="D208" s="489" t="s">
        <v>45</v>
      </c>
      <c r="E208" s="619">
        <v>13</v>
      </c>
      <c r="F208" s="624">
        <f t="shared" si="16"/>
        <v>0</v>
      </c>
      <c r="G208" s="519">
        <f t="shared" si="15"/>
        <v>0</v>
      </c>
      <c r="H208" s="519">
        <f t="shared" si="15"/>
        <v>0</v>
      </c>
      <c r="I208" s="519">
        <f t="shared" si="15"/>
        <v>0</v>
      </c>
      <c r="J208" s="519">
        <f t="shared" si="15"/>
        <v>0</v>
      </c>
      <c r="K208" s="519">
        <f t="shared" si="15"/>
        <v>0</v>
      </c>
      <c r="L208" s="519">
        <f t="shared" si="15"/>
        <v>0</v>
      </c>
      <c r="M208" s="519">
        <f t="shared" si="15"/>
        <v>0</v>
      </c>
      <c r="N208" s="519">
        <f t="shared" si="15"/>
        <v>0</v>
      </c>
      <c r="O208" s="519">
        <f t="shared" si="15"/>
        <v>0</v>
      </c>
      <c r="P208" s="519">
        <f t="shared" si="15"/>
        <v>0</v>
      </c>
      <c r="Q208" s="519">
        <f t="shared" si="15"/>
        <v>0</v>
      </c>
      <c r="R208" s="519">
        <f t="shared" si="15"/>
        <v>0</v>
      </c>
      <c r="S208" s="519">
        <f t="shared" si="15"/>
        <v>0</v>
      </c>
      <c r="T208" s="519">
        <f t="shared" si="15"/>
        <v>0</v>
      </c>
      <c r="U208" s="519">
        <f t="shared" si="15"/>
        <v>0</v>
      </c>
      <c r="Y208" s="624">
        <v>0</v>
      </c>
      <c r="Z208" s="519">
        <v>0</v>
      </c>
      <c r="AA208" s="519">
        <v>0</v>
      </c>
      <c r="AB208" s="519">
        <v>0</v>
      </c>
      <c r="AC208" s="519">
        <v>0</v>
      </c>
      <c r="AD208" s="519">
        <v>0</v>
      </c>
      <c r="AE208" s="519">
        <v>0</v>
      </c>
      <c r="AF208" s="519">
        <v>0</v>
      </c>
      <c r="AG208" s="519">
        <v>0</v>
      </c>
      <c r="AH208" s="519">
        <v>0</v>
      </c>
      <c r="AI208" s="519">
        <v>0</v>
      </c>
      <c r="AJ208" s="519">
        <v>0</v>
      </c>
      <c r="AK208" s="519">
        <v>0</v>
      </c>
      <c r="AL208" s="519">
        <v>0</v>
      </c>
      <c r="AM208" s="519">
        <v>0</v>
      </c>
      <c r="AN208" s="519">
        <v>0</v>
      </c>
    </row>
    <row r="209" spans="1:40" x14ac:dyDescent="0.3">
      <c r="A209" s="489" t="s">
        <v>1414</v>
      </c>
      <c r="B209" s="489" t="s">
        <v>1780</v>
      </c>
      <c r="C209" s="489" t="s">
        <v>1902</v>
      </c>
      <c r="D209" s="489" t="s">
        <v>46</v>
      </c>
      <c r="E209" s="619">
        <v>13</v>
      </c>
      <c r="F209" s="624">
        <f t="shared" si="16"/>
        <v>0</v>
      </c>
      <c r="G209" s="519">
        <f t="shared" si="15"/>
        <v>0</v>
      </c>
      <c r="H209" s="519">
        <f t="shared" si="15"/>
        <v>0</v>
      </c>
      <c r="I209" s="519">
        <f t="shared" si="15"/>
        <v>0</v>
      </c>
      <c r="J209" s="519">
        <f t="shared" si="15"/>
        <v>0</v>
      </c>
      <c r="K209" s="519">
        <f t="shared" si="15"/>
        <v>0</v>
      </c>
      <c r="L209" s="519">
        <f t="shared" si="15"/>
        <v>0</v>
      </c>
      <c r="M209" s="519">
        <f t="shared" si="15"/>
        <v>0</v>
      </c>
      <c r="N209" s="519">
        <f t="shared" si="15"/>
        <v>0</v>
      </c>
      <c r="O209" s="519">
        <f t="shared" si="15"/>
        <v>0</v>
      </c>
      <c r="P209" s="519">
        <f t="shared" si="15"/>
        <v>0</v>
      </c>
      <c r="Q209" s="519">
        <f t="shared" si="15"/>
        <v>0</v>
      </c>
      <c r="R209" s="519">
        <f t="shared" si="15"/>
        <v>0</v>
      </c>
      <c r="S209" s="519">
        <f t="shared" si="15"/>
        <v>0</v>
      </c>
      <c r="T209" s="519">
        <f t="shared" si="15"/>
        <v>0</v>
      </c>
      <c r="U209" s="519">
        <f t="shared" si="15"/>
        <v>0</v>
      </c>
      <c r="Y209" s="624">
        <v>0</v>
      </c>
      <c r="Z209" s="519">
        <v>0</v>
      </c>
      <c r="AA209" s="519">
        <v>0</v>
      </c>
      <c r="AB209" s="519">
        <v>0</v>
      </c>
      <c r="AC209" s="519">
        <v>0</v>
      </c>
      <c r="AD209" s="519">
        <v>0</v>
      </c>
      <c r="AE209" s="519">
        <v>0</v>
      </c>
      <c r="AF209" s="519">
        <v>0</v>
      </c>
      <c r="AG209" s="519">
        <v>0</v>
      </c>
      <c r="AH209" s="519">
        <v>0</v>
      </c>
      <c r="AI209" s="519">
        <v>0</v>
      </c>
      <c r="AJ209" s="519">
        <v>0</v>
      </c>
      <c r="AK209" s="519">
        <v>0</v>
      </c>
      <c r="AL209" s="519">
        <v>0</v>
      </c>
      <c r="AM209" s="519">
        <v>0</v>
      </c>
      <c r="AN209" s="519">
        <v>0</v>
      </c>
    </row>
    <row r="210" spans="1:40" x14ac:dyDescent="0.3">
      <c r="A210" s="489" t="s">
        <v>1672</v>
      </c>
      <c r="B210" s="489" t="s">
        <v>1781</v>
      </c>
      <c r="C210" s="489" t="s">
        <v>1903</v>
      </c>
      <c r="D210" s="489" t="s">
        <v>46</v>
      </c>
      <c r="E210" s="619">
        <v>13</v>
      </c>
      <c r="F210" s="624">
        <f t="shared" si="16"/>
        <v>0</v>
      </c>
      <c r="G210" s="519">
        <f t="shared" ref="G210:U225" si="17">IF(Z210&gt;0,Z210,IF(H210&gt;0,H210,0))</f>
        <v>0</v>
      </c>
      <c r="H210" s="519">
        <f t="shared" si="17"/>
        <v>0</v>
      </c>
      <c r="I210" s="519">
        <f t="shared" si="17"/>
        <v>0</v>
      </c>
      <c r="J210" s="519">
        <f t="shared" si="17"/>
        <v>0</v>
      </c>
      <c r="K210" s="519">
        <f t="shared" si="17"/>
        <v>0</v>
      </c>
      <c r="L210" s="519">
        <f t="shared" si="17"/>
        <v>0</v>
      </c>
      <c r="M210" s="519">
        <f t="shared" si="17"/>
        <v>0</v>
      </c>
      <c r="N210" s="519">
        <f t="shared" si="17"/>
        <v>0</v>
      </c>
      <c r="O210" s="519">
        <f t="shared" si="17"/>
        <v>0</v>
      </c>
      <c r="P210" s="519">
        <f t="shared" si="17"/>
        <v>0</v>
      </c>
      <c r="Q210" s="519">
        <f t="shared" si="17"/>
        <v>0</v>
      </c>
      <c r="R210" s="519">
        <f t="shared" si="17"/>
        <v>0</v>
      </c>
      <c r="S210" s="519">
        <f t="shared" si="17"/>
        <v>0</v>
      </c>
      <c r="T210" s="519">
        <f t="shared" si="17"/>
        <v>0</v>
      </c>
      <c r="U210" s="519">
        <f t="shared" si="17"/>
        <v>0</v>
      </c>
      <c r="Y210" s="624">
        <v>0</v>
      </c>
      <c r="Z210" s="519">
        <v>0</v>
      </c>
      <c r="AA210" s="519">
        <v>0</v>
      </c>
      <c r="AB210" s="519">
        <v>0</v>
      </c>
      <c r="AC210" s="519">
        <v>0</v>
      </c>
      <c r="AD210" s="519">
        <v>0</v>
      </c>
      <c r="AE210" s="519">
        <v>0</v>
      </c>
      <c r="AF210" s="519">
        <v>0</v>
      </c>
      <c r="AG210" s="519">
        <v>0</v>
      </c>
      <c r="AH210" s="519">
        <v>0</v>
      </c>
      <c r="AI210" s="519">
        <v>0</v>
      </c>
      <c r="AJ210" s="519">
        <v>0</v>
      </c>
      <c r="AK210" s="519">
        <v>0</v>
      </c>
      <c r="AL210" s="519">
        <v>0</v>
      </c>
      <c r="AM210" s="519">
        <v>0</v>
      </c>
      <c r="AN210" s="519">
        <v>0</v>
      </c>
    </row>
    <row r="211" spans="1:40" x14ac:dyDescent="0.3">
      <c r="A211" s="489" t="s">
        <v>1931</v>
      </c>
      <c r="B211" s="489" t="s">
        <v>1682</v>
      </c>
      <c r="C211" s="489" t="s">
        <v>1933</v>
      </c>
      <c r="D211" s="489" t="s">
        <v>141</v>
      </c>
      <c r="E211" s="619">
        <v>13</v>
      </c>
      <c r="F211" s="624">
        <f t="shared" si="16"/>
        <v>20.85</v>
      </c>
      <c r="G211" s="519">
        <f t="shared" si="17"/>
        <v>19.100000000000001</v>
      </c>
      <c r="H211" s="519">
        <f t="shared" si="17"/>
        <v>19.100000000000001</v>
      </c>
      <c r="I211" s="519">
        <f t="shared" si="17"/>
        <v>22.6</v>
      </c>
      <c r="J211" s="519">
        <f t="shared" si="17"/>
        <v>22.6</v>
      </c>
      <c r="K211" s="519">
        <f t="shared" si="17"/>
        <v>22.6</v>
      </c>
      <c r="L211" s="519">
        <f t="shared" si="17"/>
        <v>22.6</v>
      </c>
      <c r="M211" s="519">
        <f t="shared" si="17"/>
        <v>0</v>
      </c>
      <c r="N211" s="519">
        <f t="shared" si="17"/>
        <v>0</v>
      </c>
      <c r="O211" s="519">
        <f t="shared" si="17"/>
        <v>0</v>
      </c>
      <c r="P211" s="519">
        <f t="shared" si="17"/>
        <v>0</v>
      </c>
      <c r="Q211" s="519">
        <f t="shared" si="17"/>
        <v>0</v>
      </c>
      <c r="R211" s="519">
        <f t="shared" si="17"/>
        <v>0</v>
      </c>
      <c r="S211" s="519">
        <f t="shared" si="17"/>
        <v>0</v>
      </c>
      <c r="T211" s="519">
        <f t="shared" si="17"/>
        <v>0</v>
      </c>
      <c r="U211" s="519">
        <f t="shared" si="17"/>
        <v>0</v>
      </c>
      <c r="Y211" s="624">
        <v>20.85</v>
      </c>
      <c r="Z211" s="519">
        <v>0</v>
      </c>
      <c r="AA211" s="519">
        <v>19.100000000000001</v>
      </c>
      <c r="AB211" s="519">
        <v>0</v>
      </c>
      <c r="AC211" s="519">
        <v>0</v>
      </c>
      <c r="AD211" s="519">
        <v>0</v>
      </c>
      <c r="AE211" s="519">
        <v>22.6</v>
      </c>
      <c r="AF211" s="519">
        <v>0</v>
      </c>
      <c r="AG211" s="519">
        <v>0</v>
      </c>
      <c r="AH211" s="519">
        <v>0</v>
      </c>
      <c r="AI211" s="519">
        <v>0</v>
      </c>
      <c r="AJ211" s="519">
        <v>0</v>
      </c>
      <c r="AK211" s="519">
        <v>0</v>
      </c>
      <c r="AL211" s="519">
        <v>0</v>
      </c>
      <c r="AM211" s="519">
        <v>0</v>
      </c>
      <c r="AN211" s="519">
        <v>0</v>
      </c>
    </row>
    <row r="212" spans="1:40" x14ac:dyDescent="0.3">
      <c r="A212" s="489" t="s">
        <v>1426</v>
      </c>
      <c r="B212" s="489" t="s">
        <v>1758</v>
      </c>
      <c r="C212" s="489" t="s">
        <v>1758</v>
      </c>
      <c r="D212" s="489" t="s">
        <v>1936</v>
      </c>
      <c r="E212" s="619">
        <v>13</v>
      </c>
      <c r="F212" s="624"/>
      <c r="G212" s="519"/>
      <c r="H212" s="519"/>
      <c r="I212" s="519"/>
      <c r="J212" s="519"/>
      <c r="K212" s="519"/>
      <c r="L212" s="519"/>
      <c r="M212" s="519"/>
      <c r="N212" s="519"/>
      <c r="O212" s="519"/>
      <c r="P212" s="519"/>
      <c r="Q212" s="519"/>
      <c r="R212" s="519"/>
      <c r="S212" s="519"/>
      <c r="T212" s="519"/>
      <c r="U212" s="519"/>
      <c r="Y212" s="624">
        <v>0</v>
      </c>
      <c r="Z212" s="519">
        <v>0</v>
      </c>
      <c r="AA212" s="519">
        <v>0</v>
      </c>
      <c r="AB212" s="519">
        <v>0</v>
      </c>
      <c r="AC212" s="519">
        <v>0</v>
      </c>
      <c r="AD212" s="519">
        <v>0</v>
      </c>
      <c r="AE212" s="519">
        <v>0</v>
      </c>
      <c r="AF212" s="519">
        <v>0</v>
      </c>
      <c r="AG212" s="519">
        <v>0</v>
      </c>
      <c r="AH212" s="519">
        <v>0</v>
      </c>
      <c r="AI212" s="519">
        <v>0</v>
      </c>
      <c r="AJ212" s="519">
        <v>0</v>
      </c>
      <c r="AK212" s="519">
        <v>0</v>
      </c>
      <c r="AL212" s="519">
        <v>0</v>
      </c>
      <c r="AM212" s="519">
        <v>0</v>
      </c>
      <c r="AN212" s="519">
        <v>0</v>
      </c>
    </row>
    <row r="213" spans="1:40" x14ac:dyDescent="0.3">
      <c r="A213" s="489" t="s">
        <v>1694</v>
      </c>
      <c r="B213" s="489" t="s">
        <v>438</v>
      </c>
      <c r="C213" s="489" t="s">
        <v>1907</v>
      </c>
      <c r="D213" s="489" t="s">
        <v>46</v>
      </c>
      <c r="E213" s="619">
        <v>12</v>
      </c>
      <c r="F213" s="624">
        <f t="shared" si="16"/>
        <v>0</v>
      </c>
      <c r="G213" s="519">
        <f t="shared" si="17"/>
        <v>0</v>
      </c>
      <c r="H213" s="519">
        <f t="shared" si="17"/>
        <v>0</v>
      </c>
      <c r="I213" s="519">
        <f t="shared" si="17"/>
        <v>0</v>
      </c>
      <c r="J213" s="519">
        <f t="shared" si="17"/>
        <v>0</v>
      </c>
      <c r="K213" s="519">
        <f t="shared" si="17"/>
        <v>0</v>
      </c>
      <c r="L213" s="519">
        <f t="shared" si="17"/>
        <v>0</v>
      </c>
      <c r="M213" s="519">
        <f t="shared" si="17"/>
        <v>0</v>
      </c>
      <c r="N213" s="519">
        <f t="shared" si="17"/>
        <v>0</v>
      </c>
      <c r="O213" s="519">
        <f t="shared" si="17"/>
        <v>0</v>
      </c>
      <c r="P213" s="519">
        <f t="shared" si="17"/>
        <v>0</v>
      </c>
      <c r="Q213" s="519">
        <f t="shared" si="17"/>
        <v>0</v>
      </c>
      <c r="R213" s="519">
        <f t="shared" si="17"/>
        <v>0</v>
      </c>
      <c r="S213" s="519">
        <f t="shared" si="17"/>
        <v>0</v>
      </c>
      <c r="T213" s="519">
        <f t="shared" si="17"/>
        <v>0</v>
      </c>
      <c r="U213" s="519">
        <f t="shared" si="17"/>
        <v>0</v>
      </c>
      <c r="Y213" s="624">
        <v>0</v>
      </c>
      <c r="Z213" s="519">
        <v>0</v>
      </c>
      <c r="AA213" s="519">
        <v>0</v>
      </c>
      <c r="AB213" s="519">
        <v>0</v>
      </c>
      <c r="AC213" s="519">
        <v>0</v>
      </c>
      <c r="AD213" s="519">
        <v>0</v>
      </c>
      <c r="AE213" s="519">
        <v>0</v>
      </c>
      <c r="AF213" s="519">
        <v>0</v>
      </c>
      <c r="AG213" s="519">
        <v>0</v>
      </c>
      <c r="AH213" s="519">
        <v>0</v>
      </c>
      <c r="AI213" s="519">
        <v>0</v>
      </c>
      <c r="AJ213" s="519">
        <v>0</v>
      </c>
      <c r="AK213" s="519">
        <v>0</v>
      </c>
      <c r="AL213" s="519">
        <v>0</v>
      </c>
      <c r="AM213" s="519">
        <v>0</v>
      </c>
      <c r="AN213" s="519">
        <v>0</v>
      </c>
    </row>
    <row r="214" spans="1:40" x14ac:dyDescent="0.3">
      <c r="A214" s="489" t="s">
        <v>1605</v>
      </c>
      <c r="B214" s="489" t="s">
        <v>1673</v>
      </c>
      <c r="C214" s="489" t="s">
        <v>1908</v>
      </c>
      <c r="D214" s="489" t="s">
        <v>46</v>
      </c>
      <c r="E214" s="619">
        <v>12</v>
      </c>
      <c r="F214" s="624">
        <f t="shared" si="16"/>
        <v>0</v>
      </c>
      <c r="G214" s="519">
        <f t="shared" si="17"/>
        <v>0</v>
      </c>
      <c r="H214" s="519">
        <f t="shared" si="17"/>
        <v>0</v>
      </c>
      <c r="I214" s="519">
        <f t="shared" si="17"/>
        <v>0</v>
      </c>
      <c r="J214" s="519">
        <f t="shared" si="17"/>
        <v>0</v>
      </c>
      <c r="K214" s="519">
        <f t="shared" si="17"/>
        <v>0</v>
      </c>
      <c r="L214" s="519">
        <f t="shared" si="17"/>
        <v>0</v>
      </c>
      <c r="M214" s="519">
        <f t="shared" si="17"/>
        <v>0</v>
      </c>
      <c r="N214" s="519">
        <f t="shared" si="17"/>
        <v>0</v>
      </c>
      <c r="O214" s="519">
        <f t="shared" si="17"/>
        <v>0</v>
      </c>
      <c r="P214" s="519">
        <f t="shared" si="17"/>
        <v>0</v>
      </c>
      <c r="Q214" s="519">
        <f t="shared" si="17"/>
        <v>0</v>
      </c>
      <c r="R214" s="519">
        <f t="shared" si="17"/>
        <v>0</v>
      </c>
      <c r="S214" s="519">
        <f t="shared" si="17"/>
        <v>0</v>
      </c>
      <c r="T214" s="519">
        <f t="shared" si="17"/>
        <v>0</v>
      </c>
      <c r="U214" s="519">
        <f t="shared" si="17"/>
        <v>0</v>
      </c>
      <c r="Y214" s="624">
        <v>0</v>
      </c>
      <c r="Z214" s="519">
        <v>0</v>
      </c>
      <c r="AA214" s="519">
        <v>0</v>
      </c>
      <c r="AB214" s="519">
        <v>0</v>
      </c>
      <c r="AC214" s="519">
        <v>0</v>
      </c>
      <c r="AD214" s="519">
        <v>0</v>
      </c>
      <c r="AE214" s="519">
        <v>0</v>
      </c>
      <c r="AF214" s="519">
        <v>0</v>
      </c>
      <c r="AG214" s="519">
        <v>0</v>
      </c>
      <c r="AH214" s="519">
        <v>0</v>
      </c>
      <c r="AI214" s="519">
        <v>0</v>
      </c>
      <c r="AJ214" s="519">
        <v>0</v>
      </c>
      <c r="AK214" s="519">
        <v>0</v>
      </c>
      <c r="AL214" s="519">
        <v>0</v>
      </c>
      <c r="AM214" s="519">
        <v>0</v>
      </c>
      <c r="AN214" s="519">
        <v>0</v>
      </c>
    </row>
    <row r="215" spans="1:40" x14ac:dyDescent="0.3">
      <c r="A215" s="489" t="s">
        <v>1441</v>
      </c>
      <c r="B215" s="489" t="s">
        <v>1782</v>
      </c>
      <c r="C215" s="489" t="s">
        <v>1909</v>
      </c>
      <c r="D215" s="489" t="s">
        <v>1929</v>
      </c>
      <c r="E215" s="619">
        <v>12</v>
      </c>
      <c r="F215" s="624">
        <f t="shared" si="16"/>
        <v>0</v>
      </c>
      <c r="G215" s="519">
        <f t="shared" si="17"/>
        <v>0</v>
      </c>
      <c r="H215" s="519">
        <f t="shared" si="17"/>
        <v>0</v>
      </c>
      <c r="I215" s="519">
        <f t="shared" si="17"/>
        <v>0</v>
      </c>
      <c r="J215" s="519">
        <f t="shared" si="17"/>
        <v>0</v>
      </c>
      <c r="K215" s="519">
        <f t="shared" si="17"/>
        <v>0</v>
      </c>
      <c r="L215" s="519">
        <f t="shared" si="17"/>
        <v>0</v>
      </c>
      <c r="M215" s="519">
        <f t="shared" si="17"/>
        <v>0</v>
      </c>
      <c r="N215" s="519">
        <f t="shared" si="17"/>
        <v>0</v>
      </c>
      <c r="O215" s="519">
        <f t="shared" si="17"/>
        <v>0</v>
      </c>
      <c r="P215" s="519">
        <f t="shared" si="17"/>
        <v>0</v>
      </c>
      <c r="Q215" s="519">
        <f t="shared" si="17"/>
        <v>0</v>
      </c>
      <c r="R215" s="519">
        <f t="shared" si="17"/>
        <v>0</v>
      </c>
      <c r="S215" s="519">
        <f t="shared" si="17"/>
        <v>0</v>
      </c>
      <c r="T215" s="519">
        <f t="shared" si="17"/>
        <v>0</v>
      </c>
      <c r="U215" s="519">
        <f t="shared" si="17"/>
        <v>0</v>
      </c>
      <c r="Y215" s="624">
        <v>0</v>
      </c>
      <c r="Z215" s="519">
        <v>0</v>
      </c>
      <c r="AA215" s="519">
        <v>0</v>
      </c>
      <c r="AB215" s="519">
        <v>0</v>
      </c>
      <c r="AC215" s="519">
        <v>0</v>
      </c>
      <c r="AD215" s="519">
        <v>0</v>
      </c>
      <c r="AE215" s="519">
        <v>0</v>
      </c>
      <c r="AF215" s="519">
        <v>0</v>
      </c>
      <c r="AG215" s="519">
        <v>0</v>
      </c>
      <c r="AH215" s="519">
        <v>0</v>
      </c>
      <c r="AI215" s="519">
        <v>0</v>
      </c>
      <c r="AJ215" s="519">
        <v>0</v>
      </c>
      <c r="AK215" s="519">
        <v>0</v>
      </c>
      <c r="AL215" s="519">
        <v>0</v>
      </c>
      <c r="AM215" s="519">
        <v>0</v>
      </c>
      <c r="AN215" s="519">
        <v>0</v>
      </c>
    </row>
    <row r="216" spans="1:40" x14ac:dyDescent="0.3">
      <c r="A216" s="489" t="s">
        <v>1677</v>
      </c>
      <c r="B216" s="489" t="s">
        <v>1783</v>
      </c>
      <c r="C216" s="489" t="s">
        <v>1910</v>
      </c>
      <c r="D216" s="489" t="s">
        <v>46</v>
      </c>
      <c r="E216" s="619">
        <v>12</v>
      </c>
      <c r="F216" s="624">
        <f t="shared" si="16"/>
        <v>0</v>
      </c>
      <c r="G216" s="519">
        <f t="shared" si="17"/>
        <v>0</v>
      </c>
      <c r="H216" s="519">
        <f t="shared" si="17"/>
        <v>0</v>
      </c>
      <c r="I216" s="519">
        <f t="shared" si="17"/>
        <v>0</v>
      </c>
      <c r="J216" s="519">
        <f t="shared" si="17"/>
        <v>0</v>
      </c>
      <c r="K216" s="519">
        <f t="shared" si="17"/>
        <v>0</v>
      </c>
      <c r="L216" s="519">
        <f t="shared" si="17"/>
        <v>0</v>
      </c>
      <c r="M216" s="519">
        <f t="shared" si="17"/>
        <v>0</v>
      </c>
      <c r="N216" s="519">
        <f t="shared" si="17"/>
        <v>0</v>
      </c>
      <c r="O216" s="519">
        <f t="shared" si="17"/>
        <v>0</v>
      </c>
      <c r="P216" s="519">
        <f t="shared" si="17"/>
        <v>0</v>
      </c>
      <c r="Q216" s="519">
        <f t="shared" si="17"/>
        <v>0</v>
      </c>
      <c r="R216" s="519">
        <f t="shared" si="17"/>
        <v>0</v>
      </c>
      <c r="S216" s="519">
        <f t="shared" si="17"/>
        <v>0</v>
      </c>
      <c r="T216" s="519">
        <f t="shared" si="17"/>
        <v>0</v>
      </c>
      <c r="U216" s="519">
        <f t="shared" si="17"/>
        <v>0</v>
      </c>
      <c r="Y216" s="624">
        <v>0</v>
      </c>
      <c r="Z216" s="519">
        <v>0</v>
      </c>
      <c r="AA216" s="519">
        <v>0</v>
      </c>
      <c r="AB216" s="519">
        <v>0</v>
      </c>
      <c r="AC216" s="519">
        <v>0</v>
      </c>
      <c r="AD216" s="519">
        <v>0</v>
      </c>
      <c r="AE216" s="519">
        <v>0</v>
      </c>
      <c r="AF216" s="519">
        <v>0</v>
      </c>
      <c r="AG216" s="519">
        <v>0</v>
      </c>
      <c r="AH216" s="519">
        <v>0</v>
      </c>
      <c r="AI216" s="519">
        <v>0</v>
      </c>
      <c r="AJ216" s="519">
        <v>0</v>
      </c>
      <c r="AK216" s="519">
        <v>0</v>
      </c>
      <c r="AL216" s="519">
        <v>0</v>
      </c>
      <c r="AM216" s="519">
        <v>0</v>
      </c>
      <c r="AN216" s="519">
        <v>0</v>
      </c>
    </row>
    <row r="217" spans="1:40" x14ac:dyDescent="0.3">
      <c r="A217" s="489" t="s">
        <v>1591</v>
      </c>
      <c r="B217" s="489" t="s">
        <v>1784</v>
      </c>
      <c r="C217" s="489" t="s">
        <v>1784</v>
      </c>
      <c r="D217" s="489" t="s">
        <v>46</v>
      </c>
      <c r="E217" s="619">
        <v>12</v>
      </c>
      <c r="F217" s="624">
        <f t="shared" si="16"/>
        <v>0</v>
      </c>
      <c r="G217" s="519">
        <f t="shared" si="17"/>
        <v>0</v>
      </c>
      <c r="H217" s="519">
        <f t="shared" si="17"/>
        <v>0</v>
      </c>
      <c r="I217" s="519">
        <f t="shared" si="17"/>
        <v>0</v>
      </c>
      <c r="J217" s="519">
        <f t="shared" si="17"/>
        <v>0</v>
      </c>
      <c r="K217" s="519">
        <f t="shared" si="17"/>
        <v>0</v>
      </c>
      <c r="L217" s="519">
        <f t="shared" si="17"/>
        <v>0</v>
      </c>
      <c r="M217" s="519">
        <f t="shared" si="17"/>
        <v>0</v>
      </c>
      <c r="N217" s="519">
        <f t="shared" si="17"/>
        <v>0</v>
      </c>
      <c r="O217" s="519">
        <f t="shared" si="17"/>
        <v>0</v>
      </c>
      <c r="P217" s="519">
        <f t="shared" si="17"/>
        <v>0</v>
      </c>
      <c r="Q217" s="519">
        <f t="shared" si="17"/>
        <v>0</v>
      </c>
      <c r="R217" s="519">
        <f t="shared" si="17"/>
        <v>0</v>
      </c>
      <c r="S217" s="519">
        <f t="shared" si="17"/>
        <v>0</v>
      </c>
      <c r="T217" s="519">
        <f t="shared" si="17"/>
        <v>0</v>
      </c>
      <c r="U217" s="519">
        <f t="shared" si="17"/>
        <v>0</v>
      </c>
      <c r="Y217" s="624">
        <v>0</v>
      </c>
      <c r="Z217" s="519">
        <v>0</v>
      </c>
      <c r="AA217" s="519">
        <v>0</v>
      </c>
      <c r="AB217" s="519">
        <v>0</v>
      </c>
      <c r="AC217" s="519">
        <v>0</v>
      </c>
      <c r="AD217" s="519">
        <v>0</v>
      </c>
      <c r="AE217" s="519">
        <v>0</v>
      </c>
      <c r="AF217" s="519">
        <v>0</v>
      </c>
      <c r="AG217" s="519">
        <v>0</v>
      </c>
      <c r="AH217" s="519">
        <v>0</v>
      </c>
      <c r="AI217" s="519">
        <v>0</v>
      </c>
      <c r="AJ217" s="519">
        <v>0</v>
      </c>
      <c r="AK217" s="519">
        <v>0</v>
      </c>
      <c r="AL217" s="519">
        <v>0</v>
      </c>
      <c r="AM217" s="519">
        <v>0</v>
      </c>
      <c r="AN217" s="519">
        <v>0</v>
      </c>
    </row>
    <row r="218" spans="1:40" x14ac:dyDescent="0.3">
      <c r="A218" s="489" t="s">
        <v>1414</v>
      </c>
      <c r="B218" s="489" t="s">
        <v>1674</v>
      </c>
      <c r="C218" s="489" t="s">
        <v>1911</v>
      </c>
      <c r="D218" s="489" t="s">
        <v>46</v>
      </c>
      <c r="E218" s="619">
        <v>12</v>
      </c>
      <c r="F218" s="624">
        <f t="shared" si="16"/>
        <v>0</v>
      </c>
      <c r="G218" s="519">
        <f t="shared" si="17"/>
        <v>0</v>
      </c>
      <c r="H218" s="519">
        <f t="shared" si="17"/>
        <v>0</v>
      </c>
      <c r="I218" s="519">
        <f t="shared" si="17"/>
        <v>0</v>
      </c>
      <c r="J218" s="519">
        <f t="shared" si="17"/>
        <v>0</v>
      </c>
      <c r="K218" s="519">
        <f t="shared" si="17"/>
        <v>0</v>
      </c>
      <c r="L218" s="519">
        <f t="shared" si="17"/>
        <v>0</v>
      </c>
      <c r="M218" s="519">
        <f t="shared" si="17"/>
        <v>0</v>
      </c>
      <c r="N218" s="519">
        <f t="shared" si="17"/>
        <v>0</v>
      </c>
      <c r="O218" s="519">
        <f t="shared" si="17"/>
        <v>0</v>
      </c>
      <c r="P218" s="519">
        <f t="shared" si="17"/>
        <v>0</v>
      </c>
      <c r="Q218" s="519">
        <f t="shared" si="17"/>
        <v>0</v>
      </c>
      <c r="R218" s="519">
        <f t="shared" si="17"/>
        <v>0</v>
      </c>
      <c r="S218" s="519">
        <f t="shared" si="17"/>
        <v>0</v>
      </c>
      <c r="T218" s="519">
        <f t="shared" si="17"/>
        <v>0</v>
      </c>
      <c r="U218" s="519">
        <f t="shared" si="17"/>
        <v>0</v>
      </c>
      <c r="Y218" s="624">
        <v>0</v>
      </c>
      <c r="Z218" s="519">
        <v>0</v>
      </c>
      <c r="AA218" s="519">
        <v>0</v>
      </c>
      <c r="AB218" s="519">
        <v>0</v>
      </c>
      <c r="AC218" s="519">
        <v>0</v>
      </c>
      <c r="AD218" s="519">
        <v>0</v>
      </c>
      <c r="AE218" s="519">
        <v>0</v>
      </c>
      <c r="AF218" s="519">
        <v>0</v>
      </c>
      <c r="AG218" s="519">
        <v>0</v>
      </c>
      <c r="AH218" s="519">
        <v>0</v>
      </c>
      <c r="AI218" s="519">
        <v>0</v>
      </c>
      <c r="AJ218" s="519">
        <v>0</v>
      </c>
      <c r="AK218" s="519">
        <v>0</v>
      </c>
      <c r="AL218" s="519">
        <v>0</v>
      </c>
      <c r="AM218" s="519">
        <v>0</v>
      </c>
      <c r="AN218" s="519">
        <v>0</v>
      </c>
    </row>
    <row r="219" spans="1:40" x14ac:dyDescent="0.3">
      <c r="A219" s="489" t="s">
        <v>1414</v>
      </c>
      <c r="B219" s="489" t="s">
        <v>1785</v>
      </c>
      <c r="C219" s="489" t="s">
        <v>1912</v>
      </c>
      <c r="D219" s="489" t="s">
        <v>46</v>
      </c>
      <c r="E219" s="619">
        <v>11</v>
      </c>
      <c r="F219" s="624">
        <f t="shared" si="16"/>
        <v>0</v>
      </c>
      <c r="G219" s="519">
        <f t="shared" si="17"/>
        <v>0</v>
      </c>
      <c r="H219" s="519">
        <f t="shared" si="17"/>
        <v>0</v>
      </c>
      <c r="I219" s="519">
        <f t="shared" si="17"/>
        <v>0</v>
      </c>
      <c r="J219" s="519">
        <f t="shared" si="17"/>
        <v>0</v>
      </c>
      <c r="K219" s="519">
        <f t="shared" si="17"/>
        <v>0</v>
      </c>
      <c r="L219" s="519">
        <f t="shared" si="17"/>
        <v>0</v>
      </c>
      <c r="M219" s="519">
        <f t="shared" si="17"/>
        <v>0</v>
      </c>
      <c r="N219" s="519">
        <f t="shared" si="17"/>
        <v>0</v>
      </c>
      <c r="O219" s="519">
        <f t="shared" si="17"/>
        <v>0</v>
      </c>
      <c r="P219" s="519">
        <f t="shared" si="17"/>
        <v>0</v>
      </c>
      <c r="Q219" s="519">
        <f t="shared" si="17"/>
        <v>0</v>
      </c>
      <c r="R219" s="519">
        <f t="shared" si="17"/>
        <v>0</v>
      </c>
      <c r="S219" s="519">
        <f t="shared" si="17"/>
        <v>0</v>
      </c>
      <c r="T219" s="519">
        <f t="shared" si="17"/>
        <v>0</v>
      </c>
      <c r="U219" s="519">
        <f t="shared" si="17"/>
        <v>0</v>
      </c>
      <c r="Y219" s="624">
        <v>0</v>
      </c>
      <c r="Z219" s="519">
        <v>0</v>
      </c>
      <c r="AA219" s="519">
        <v>0</v>
      </c>
      <c r="AB219" s="519">
        <v>0</v>
      </c>
      <c r="AC219" s="519">
        <v>0</v>
      </c>
      <c r="AD219" s="519">
        <v>0</v>
      </c>
      <c r="AE219" s="519">
        <v>0</v>
      </c>
      <c r="AF219" s="519">
        <v>0</v>
      </c>
      <c r="AG219" s="519">
        <v>0</v>
      </c>
      <c r="AH219" s="519">
        <v>0</v>
      </c>
      <c r="AI219" s="519">
        <v>0</v>
      </c>
      <c r="AJ219" s="519">
        <v>0</v>
      </c>
      <c r="AK219" s="519">
        <v>0</v>
      </c>
      <c r="AL219" s="519">
        <v>0</v>
      </c>
      <c r="AM219" s="519">
        <v>0</v>
      </c>
      <c r="AN219" s="519">
        <v>0</v>
      </c>
    </row>
    <row r="220" spans="1:40" x14ac:dyDescent="0.3">
      <c r="A220" s="489" t="s">
        <v>1441</v>
      </c>
      <c r="B220" s="489" t="s">
        <v>1551</v>
      </c>
      <c r="C220" s="489" t="s">
        <v>1552</v>
      </c>
      <c r="D220" s="489" t="s">
        <v>1530</v>
      </c>
      <c r="E220" s="619">
        <v>11</v>
      </c>
      <c r="F220" s="624">
        <f t="shared" si="16"/>
        <v>0</v>
      </c>
      <c r="G220" s="519">
        <f t="shared" si="17"/>
        <v>0</v>
      </c>
      <c r="H220" s="519">
        <f t="shared" si="17"/>
        <v>0</v>
      </c>
      <c r="I220" s="519">
        <f t="shared" si="17"/>
        <v>0</v>
      </c>
      <c r="J220" s="519">
        <f t="shared" si="17"/>
        <v>0</v>
      </c>
      <c r="K220" s="519">
        <f t="shared" si="17"/>
        <v>0</v>
      </c>
      <c r="L220" s="519">
        <f t="shared" si="17"/>
        <v>0</v>
      </c>
      <c r="M220" s="519">
        <f t="shared" si="17"/>
        <v>0</v>
      </c>
      <c r="N220" s="519">
        <f t="shared" si="17"/>
        <v>0</v>
      </c>
      <c r="O220" s="519">
        <f t="shared" si="17"/>
        <v>0</v>
      </c>
      <c r="P220" s="519">
        <f t="shared" si="17"/>
        <v>0</v>
      </c>
      <c r="Q220" s="519">
        <f t="shared" si="17"/>
        <v>0</v>
      </c>
      <c r="R220" s="519">
        <f t="shared" si="17"/>
        <v>0</v>
      </c>
      <c r="S220" s="519">
        <f t="shared" si="17"/>
        <v>0</v>
      </c>
      <c r="T220" s="519">
        <f t="shared" si="17"/>
        <v>0</v>
      </c>
      <c r="U220" s="519">
        <f t="shared" si="17"/>
        <v>0</v>
      </c>
      <c r="Y220" s="624">
        <v>0</v>
      </c>
      <c r="Z220" s="519">
        <v>0</v>
      </c>
      <c r="AA220" s="519">
        <v>0</v>
      </c>
      <c r="AB220" s="519">
        <v>0</v>
      </c>
      <c r="AC220" s="519">
        <v>0</v>
      </c>
      <c r="AD220" s="519">
        <v>0</v>
      </c>
      <c r="AE220" s="519">
        <v>0</v>
      </c>
      <c r="AF220" s="519">
        <v>0</v>
      </c>
      <c r="AG220" s="519">
        <v>0</v>
      </c>
      <c r="AH220" s="519">
        <v>0</v>
      </c>
      <c r="AI220" s="519">
        <v>0</v>
      </c>
      <c r="AJ220" s="519">
        <v>0</v>
      </c>
      <c r="AK220" s="519">
        <v>0</v>
      </c>
      <c r="AL220" s="519">
        <v>0</v>
      </c>
      <c r="AM220" s="519">
        <v>0</v>
      </c>
      <c r="AN220" s="519">
        <v>0</v>
      </c>
    </row>
    <row r="221" spans="1:40" x14ac:dyDescent="0.3">
      <c r="A221" s="489" t="s">
        <v>1441</v>
      </c>
      <c r="B221" s="489" t="s">
        <v>1786</v>
      </c>
      <c r="C221" s="489" t="s">
        <v>1913</v>
      </c>
      <c r="D221" s="489" t="s">
        <v>46</v>
      </c>
      <c r="E221" s="619">
        <v>11</v>
      </c>
      <c r="F221" s="624">
        <f t="shared" si="16"/>
        <v>0</v>
      </c>
      <c r="G221" s="519">
        <f t="shared" si="17"/>
        <v>0</v>
      </c>
      <c r="H221" s="519">
        <f t="shared" si="17"/>
        <v>0</v>
      </c>
      <c r="I221" s="519">
        <f t="shared" si="17"/>
        <v>0</v>
      </c>
      <c r="J221" s="519">
        <f t="shared" si="17"/>
        <v>0</v>
      </c>
      <c r="K221" s="519">
        <f t="shared" si="17"/>
        <v>0</v>
      </c>
      <c r="L221" s="519">
        <f t="shared" si="17"/>
        <v>0</v>
      </c>
      <c r="M221" s="519">
        <f t="shared" si="17"/>
        <v>0</v>
      </c>
      <c r="N221" s="519">
        <f t="shared" si="17"/>
        <v>0</v>
      </c>
      <c r="O221" s="519">
        <f t="shared" si="17"/>
        <v>0</v>
      </c>
      <c r="P221" s="519">
        <f t="shared" si="17"/>
        <v>0</v>
      </c>
      <c r="Q221" s="519">
        <f t="shared" si="17"/>
        <v>0</v>
      </c>
      <c r="R221" s="519">
        <f t="shared" si="17"/>
        <v>0</v>
      </c>
      <c r="S221" s="519">
        <f t="shared" si="17"/>
        <v>0</v>
      </c>
      <c r="T221" s="519">
        <f t="shared" si="17"/>
        <v>0</v>
      </c>
      <c r="U221" s="519">
        <f t="shared" si="17"/>
        <v>0</v>
      </c>
      <c r="Y221" s="624">
        <v>0</v>
      </c>
      <c r="Z221" s="519">
        <v>0</v>
      </c>
      <c r="AA221" s="519">
        <v>0</v>
      </c>
      <c r="AB221" s="519">
        <v>0</v>
      </c>
      <c r="AC221" s="519">
        <v>0</v>
      </c>
      <c r="AD221" s="519">
        <v>0</v>
      </c>
      <c r="AE221" s="519">
        <v>0</v>
      </c>
      <c r="AF221" s="519">
        <v>0</v>
      </c>
      <c r="AG221" s="519">
        <v>0</v>
      </c>
      <c r="AH221" s="519">
        <v>0</v>
      </c>
      <c r="AI221" s="519">
        <v>0</v>
      </c>
      <c r="AJ221" s="519">
        <v>0</v>
      </c>
      <c r="AK221" s="519">
        <v>0</v>
      </c>
      <c r="AL221" s="519">
        <v>0</v>
      </c>
      <c r="AM221" s="519">
        <v>0</v>
      </c>
      <c r="AN221" s="519">
        <v>0</v>
      </c>
    </row>
    <row r="222" spans="1:40" x14ac:dyDescent="0.3">
      <c r="A222" s="489" t="s">
        <v>1441</v>
      </c>
      <c r="B222" s="489" t="s">
        <v>1787</v>
      </c>
      <c r="C222" s="489" t="s">
        <v>1914</v>
      </c>
      <c r="D222" s="489" t="s">
        <v>46</v>
      </c>
      <c r="E222" s="619">
        <v>11</v>
      </c>
      <c r="F222" s="624">
        <f t="shared" si="16"/>
        <v>0</v>
      </c>
      <c r="G222" s="519">
        <f t="shared" si="17"/>
        <v>0</v>
      </c>
      <c r="H222" s="519">
        <f t="shared" si="17"/>
        <v>0</v>
      </c>
      <c r="I222" s="519">
        <f t="shared" si="17"/>
        <v>0</v>
      </c>
      <c r="J222" s="519">
        <f t="shared" si="17"/>
        <v>0</v>
      </c>
      <c r="K222" s="519">
        <f t="shared" si="17"/>
        <v>0</v>
      </c>
      <c r="L222" s="519">
        <f t="shared" si="17"/>
        <v>0</v>
      </c>
      <c r="M222" s="519">
        <f t="shared" si="17"/>
        <v>0</v>
      </c>
      <c r="N222" s="519">
        <f t="shared" si="17"/>
        <v>0</v>
      </c>
      <c r="O222" s="519">
        <f t="shared" si="17"/>
        <v>0</v>
      </c>
      <c r="P222" s="519">
        <f t="shared" si="17"/>
        <v>0</v>
      </c>
      <c r="Q222" s="519">
        <f t="shared" si="17"/>
        <v>0</v>
      </c>
      <c r="R222" s="519">
        <f t="shared" si="17"/>
        <v>0</v>
      </c>
      <c r="S222" s="519">
        <f t="shared" si="17"/>
        <v>0</v>
      </c>
      <c r="T222" s="519">
        <f t="shared" si="17"/>
        <v>0</v>
      </c>
      <c r="U222" s="519">
        <f t="shared" si="17"/>
        <v>0</v>
      </c>
      <c r="Y222" s="624">
        <v>0</v>
      </c>
      <c r="Z222" s="519">
        <v>0</v>
      </c>
      <c r="AA222" s="519">
        <v>0</v>
      </c>
      <c r="AB222" s="519">
        <v>0</v>
      </c>
      <c r="AC222" s="519">
        <v>0</v>
      </c>
      <c r="AD222" s="519">
        <v>0</v>
      </c>
      <c r="AE222" s="519">
        <v>0</v>
      </c>
      <c r="AF222" s="519">
        <v>0</v>
      </c>
      <c r="AG222" s="519">
        <v>0</v>
      </c>
      <c r="AH222" s="519">
        <v>0</v>
      </c>
      <c r="AI222" s="519">
        <v>0</v>
      </c>
      <c r="AJ222" s="519">
        <v>0</v>
      </c>
      <c r="AK222" s="519">
        <v>0</v>
      </c>
      <c r="AL222" s="519">
        <v>0</v>
      </c>
      <c r="AM222" s="519">
        <v>0</v>
      </c>
      <c r="AN222" s="519">
        <v>0</v>
      </c>
    </row>
    <row r="223" spans="1:40" x14ac:dyDescent="0.3">
      <c r="A223" s="489" t="s">
        <v>1441</v>
      </c>
      <c r="B223" s="489" t="s">
        <v>1442</v>
      </c>
      <c r="C223" s="489" t="s">
        <v>1443</v>
      </c>
      <c r="D223" s="489" t="s">
        <v>46</v>
      </c>
      <c r="E223" s="619">
        <v>11</v>
      </c>
      <c r="F223" s="624">
        <f t="shared" si="16"/>
        <v>0</v>
      </c>
      <c r="G223" s="519">
        <f t="shared" si="17"/>
        <v>0</v>
      </c>
      <c r="H223" s="519">
        <f t="shared" si="17"/>
        <v>0</v>
      </c>
      <c r="I223" s="519">
        <f t="shared" si="17"/>
        <v>0</v>
      </c>
      <c r="J223" s="519">
        <f t="shared" si="17"/>
        <v>0</v>
      </c>
      <c r="K223" s="519">
        <f t="shared" si="17"/>
        <v>0</v>
      </c>
      <c r="L223" s="519">
        <f t="shared" si="17"/>
        <v>0</v>
      </c>
      <c r="M223" s="519">
        <f t="shared" si="17"/>
        <v>0</v>
      </c>
      <c r="N223" s="519">
        <f t="shared" si="17"/>
        <v>0</v>
      </c>
      <c r="O223" s="519">
        <f t="shared" si="17"/>
        <v>0</v>
      </c>
      <c r="P223" s="519">
        <f t="shared" si="17"/>
        <v>0</v>
      </c>
      <c r="Q223" s="519">
        <f t="shared" si="17"/>
        <v>0</v>
      </c>
      <c r="R223" s="519">
        <f t="shared" si="17"/>
        <v>0</v>
      </c>
      <c r="S223" s="519">
        <f t="shared" si="17"/>
        <v>0</v>
      </c>
      <c r="T223" s="519">
        <f t="shared" si="17"/>
        <v>0</v>
      </c>
      <c r="U223" s="519">
        <f t="shared" si="17"/>
        <v>0</v>
      </c>
      <c r="Y223" s="624">
        <v>0</v>
      </c>
      <c r="Z223" s="519">
        <v>0</v>
      </c>
      <c r="AA223" s="519">
        <v>0</v>
      </c>
      <c r="AB223" s="519">
        <v>0</v>
      </c>
      <c r="AC223" s="519">
        <v>0</v>
      </c>
      <c r="AD223" s="519">
        <v>0</v>
      </c>
      <c r="AE223" s="519">
        <v>0</v>
      </c>
      <c r="AF223" s="519">
        <v>0</v>
      </c>
      <c r="AG223" s="519">
        <v>0</v>
      </c>
      <c r="AH223" s="519">
        <v>0</v>
      </c>
      <c r="AI223" s="519">
        <v>0</v>
      </c>
      <c r="AJ223" s="519">
        <v>0</v>
      </c>
      <c r="AK223" s="519">
        <v>0</v>
      </c>
      <c r="AL223" s="519">
        <v>0</v>
      </c>
      <c r="AM223" s="519">
        <v>0</v>
      </c>
      <c r="AN223" s="519">
        <v>0</v>
      </c>
    </row>
    <row r="224" spans="1:40" x14ac:dyDescent="0.3">
      <c r="A224" s="489" t="s">
        <v>1694</v>
      </c>
      <c r="B224" s="489" t="s">
        <v>1788</v>
      </c>
      <c r="C224" s="489" t="s">
        <v>1915</v>
      </c>
      <c r="D224" s="489" t="s">
        <v>141</v>
      </c>
      <c r="E224" s="619">
        <v>11</v>
      </c>
      <c r="F224" s="624">
        <f t="shared" si="16"/>
        <v>23.340166666666665</v>
      </c>
      <c r="G224" s="519">
        <f t="shared" si="17"/>
        <v>23.340166666666665</v>
      </c>
      <c r="H224" s="519">
        <f t="shared" si="17"/>
        <v>23.340166666666665</v>
      </c>
      <c r="I224" s="519">
        <f t="shared" si="17"/>
        <v>23.340166666666665</v>
      </c>
      <c r="J224" s="519">
        <f t="shared" si="17"/>
        <v>23.340166666666665</v>
      </c>
      <c r="K224" s="519">
        <f t="shared" si="17"/>
        <v>23.340166666666665</v>
      </c>
      <c r="L224" s="519">
        <f t="shared" si="17"/>
        <v>0</v>
      </c>
      <c r="M224" s="519">
        <f t="shared" si="17"/>
        <v>0</v>
      </c>
      <c r="N224" s="519">
        <f t="shared" si="17"/>
        <v>0</v>
      </c>
      <c r="O224" s="519">
        <f t="shared" si="17"/>
        <v>0</v>
      </c>
      <c r="P224" s="519">
        <f t="shared" si="17"/>
        <v>0</v>
      </c>
      <c r="Q224" s="519">
        <f t="shared" si="17"/>
        <v>0</v>
      </c>
      <c r="R224" s="519">
        <f t="shared" si="17"/>
        <v>0</v>
      </c>
      <c r="S224" s="519">
        <f t="shared" si="17"/>
        <v>0</v>
      </c>
      <c r="T224" s="519">
        <f t="shared" si="17"/>
        <v>0</v>
      </c>
      <c r="U224" s="519">
        <f t="shared" si="17"/>
        <v>0</v>
      </c>
      <c r="Y224" s="624">
        <v>23.340166666666665</v>
      </c>
      <c r="Z224" s="519">
        <v>0</v>
      </c>
      <c r="AA224" s="519">
        <v>0</v>
      </c>
      <c r="AB224" s="519">
        <v>0</v>
      </c>
      <c r="AC224" s="519">
        <v>0</v>
      </c>
      <c r="AD224" s="519">
        <v>23.340166666666665</v>
      </c>
      <c r="AE224" s="519">
        <v>0</v>
      </c>
      <c r="AF224" s="519">
        <v>0</v>
      </c>
      <c r="AG224" s="519">
        <v>0</v>
      </c>
      <c r="AH224" s="519">
        <v>0</v>
      </c>
      <c r="AI224" s="519">
        <v>0</v>
      </c>
      <c r="AJ224" s="519">
        <v>0</v>
      </c>
      <c r="AK224" s="519">
        <v>0</v>
      </c>
      <c r="AL224" s="519">
        <v>0</v>
      </c>
      <c r="AM224" s="519">
        <v>0</v>
      </c>
      <c r="AN224" s="519">
        <v>0</v>
      </c>
    </row>
    <row r="225" spans="1:40" x14ac:dyDescent="0.3">
      <c r="A225" s="489" t="s">
        <v>1414</v>
      </c>
      <c r="B225" s="489" t="s">
        <v>1789</v>
      </c>
      <c r="C225" s="489" t="s">
        <v>1916</v>
      </c>
      <c r="D225" s="489" t="s">
        <v>46</v>
      </c>
      <c r="E225" s="619">
        <v>11</v>
      </c>
      <c r="F225" s="624">
        <f t="shared" si="16"/>
        <v>0</v>
      </c>
      <c r="G225" s="519">
        <f t="shared" si="17"/>
        <v>0</v>
      </c>
      <c r="H225" s="519">
        <f t="shared" si="17"/>
        <v>0</v>
      </c>
      <c r="I225" s="519">
        <f t="shared" si="17"/>
        <v>0</v>
      </c>
      <c r="J225" s="519">
        <f t="shared" si="17"/>
        <v>0</v>
      </c>
      <c r="K225" s="519">
        <f t="shared" si="17"/>
        <v>0</v>
      </c>
      <c r="L225" s="519">
        <f t="shared" si="17"/>
        <v>0</v>
      </c>
      <c r="M225" s="519">
        <f t="shared" si="17"/>
        <v>0</v>
      </c>
      <c r="N225" s="519">
        <f t="shared" si="17"/>
        <v>0</v>
      </c>
      <c r="O225" s="519">
        <f t="shared" si="17"/>
        <v>0</v>
      </c>
      <c r="P225" s="519">
        <f t="shared" si="17"/>
        <v>0</v>
      </c>
      <c r="Q225" s="519">
        <f t="shared" si="17"/>
        <v>0</v>
      </c>
      <c r="R225" s="519">
        <f t="shared" si="17"/>
        <v>0</v>
      </c>
      <c r="S225" s="519">
        <f t="shared" si="17"/>
        <v>0</v>
      </c>
      <c r="T225" s="519">
        <f t="shared" si="17"/>
        <v>0</v>
      </c>
      <c r="U225" s="519">
        <f t="shared" si="17"/>
        <v>0</v>
      </c>
      <c r="Y225" s="624">
        <v>0</v>
      </c>
      <c r="Z225" s="519">
        <v>0</v>
      </c>
      <c r="AA225" s="519">
        <v>0</v>
      </c>
      <c r="AB225" s="519">
        <v>0</v>
      </c>
      <c r="AC225" s="519">
        <v>0</v>
      </c>
      <c r="AD225" s="519">
        <v>0</v>
      </c>
      <c r="AE225" s="519">
        <v>0</v>
      </c>
      <c r="AF225" s="519">
        <v>0</v>
      </c>
      <c r="AG225" s="519">
        <v>0</v>
      </c>
      <c r="AH225" s="519">
        <v>0</v>
      </c>
      <c r="AI225" s="519">
        <v>0</v>
      </c>
      <c r="AJ225" s="519">
        <v>0</v>
      </c>
      <c r="AK225" s="519">
        <v>0</v>
      </c>
      <c r="AL225" s="519">
        <v>0</v>
      </c>
      <c r="AM225" s="519">
        <v>0</v>
      </c>
      <c r="AN225" s="519">
        <v>0</v>
      </c>
    </row>
    <row r="226" spans="1:40" x14ac:dyDescent="0.3">
      <c r="A226" s="489" t="s">
        <v>1544</v>
      </c>
      <c r="B226" s="489" t="s">
        <v>1578</v>
      </c>
      <c r="C226" s="489" t="s">
        <v>337</v>
      </c>
      <c r="D226" s="489" t="s">
        <v>1936</v>
      </c>
      <c r="E226" s="619">
        <v>11</v>
      </c>
      <c r="F226" s="624">
        <f t="shared" si="16"/>
        <v>0</v>
      </c>
      <c r="G226" s="519">
        <f t="shared" ref="G226:U230" si="18">IF(Z226&gt;0,Z226,IF(H226&gt;0,H226,0))</f>
        <v>0</v>
      </c>
      <c r="H226" s="519">
        <f t="shared" si="18"/>
        <v>0</v>
      </c>
      <c r="I226" s="519">
        <f t="shared" si="18"/>
        <v>0</v>
      </c>
      <c r="J226" s="519">
        <f t="shared" si="18"/>
        <v>0</v>
      </c>
      <c r="K226" s="519">
        <f t="shared" si="18"/>
        <v>0</v>
      </c>
      <c r="L226" s="519">
        <f t="shared" si="18"/>
        <v>0</v>
      </c>
      <c r="M226" s="519">
        <f t="shared" si="18"/>
        <v>0</v>
      </c>
      <c r="N226" s="519">
        <f t="shared" si="18"/>
        <v>0</v>
      </c>
      <c r="O226" s="519">
        <f t="shared" si="18"/>
        <v>0</v>
      </c>
      <c r="P226" s="519">
        <f t="shared" si="18"/>
        <v>0</v>
      </c>
      <c r="Q226" s="519">
        <f t="shared" si="18"/>
        <v>0</v>
      </c>
      <c r="R226" s="519">
        <f t="shared" si="18"/>
        <v>0</v>
      </c>
      <c r="S226" s="519">
        <f t="shared" si="18"/>
        <v>0</v>
      </c>
      <c r="T226" s="519">
        <f t="shared" si="18"/>
        <v>0</v>
      </c>
      <c r="U226" s="519">
        <f t="shared" si="18"/>
        <v>0</v>
      </c>
      <c r="Y226" s="624">
        <v>0</v>
      </c>
      <c r="Z226" s="519">
        <v>0</v>
      </c>
      <c r="AA226" s="519">
        <v>0</v>
      </c>
      <c r="AB226" s="519">
        <v>0</v>
      </c>
      <c r="AC226" s="519">
        <v>0</v>
      </c>
      <c r="AD226" s="519">
        <v>0</v>
      </c>
      <c r="AE226" s="519">
        <v>0</v>
      </c>
      <c r="AF226" s="519">
        <v>0</v>
      </c>
      <c r="AG226" s="519">
        <v>0</v>
      </c>
      <c r="AH226" s="519">
        <v>0</v>
      </c>
      <c r="AI226" s="519">
        <v>0</v>
      </c>
      <c r="AJ226" s="519">
        <v>0</v>
      </c>
      <c r="AK226" s="519">
        <v>0</v>
      </c>
      <c r="AL226" s="519">
        <v>0</v>
      </c>
      <c r="AM226" s="519">
        <v>0</v>
      </c>
      <c r="AN226" s="519">
        <v>0</v>
      </c>
    </row>
    <row r="227" spans="1:40" x14ac:dyDescent="0.3">
      <c r="A227" s="489" t="s">
        <v>1414</v>
      </c>
      <c r="B227" s="489" t="s">
        <v>1370</v>
      </c>
      <c r="C227" s="489" t="s">
        <v>1416</v>
      </c>
      <c r="D227" s="489" t="s">
        <v>1937</v>
      </c>
      <c r="E227" s="619">
        <v>11</v>
      </c>
      <c r="F227" s="624">
        <f t="shared" si="16"/>
        <v>0</v>
      </c>
      <c r="G227" s="519">
        <f t="shared" si="18"/>
        <v>0</v>
      </c>
      <c r="H227" s="519">
        <f t="shared" si="18"/>
        <v>0</v>
      </c>
      <c r="I227" s="519">
        <f t="shared" si="18"/>
        <v>0</v>
      </c>
      <c r="J227" s="519">
        <f t="shared" si="18"/>
        <v>0</v>
      </c>
      <c r="K227" s="519">
        <f t="shared" si="18"/>
        <v>0</v>
      </c>
      <c r="L227" s="519">
        <f t="shared" si="18"/>
        <v>0</v>
      </c>
      <c r="M227" s="519">
        <f t="shared" si="18"/>
        <v>0</v>
      </c>
      <c r="N227" s="519">
        <f t="shared" si="18"/>
        <v>0</v>
      </c>
      <c r="O227" s="519">
        <f t="shared" si="18"/>
        <v>0</v>
      </c>
      <c r="P227" s="519">
        <f t="shared" si="18"/>
        <v>0</v>
      </c>
      <c r="Q227" s="519">
        <f t="shared" si="18"/>
        <v>0</v>
      </c>
      <c r="R227" s="519">
        <f t="shared" si="18"/>
        <v>0</v>
      </c>
      <c r="S227" s="519">
        <f t="shared" si="18"/>
        <v>0</v>
      </c>
      <c r="T227" s="519">
        <f t="shared" si="18"/>
        <v>0</v>
      </c>
      <c r="U227" s="519">
        <f t="shared" si="18"/>
        <v>0</v>
      </c>
      <c r="Y227" s="624">
        <v>0</v>
      </c>
      <c r="Z227" s="519">
        <v>0</v>
      </c>
      <c r="AA227" s="519">
        <v>0</v>
      </c>
      <c r="AB227" s="519">
        <v>0</v>
      </c>
      <c r="AC227" s="519">
        <v>0</v>
      </c>
      <c r="AD227" s="519">
        <v>0</v>
      </c>
      <c r="AE227" s="519">
        <v>0</v>
      </c>
      <c r="AF227" s="519">
        <v>0</v>
      </c>
      <c r="AG227" s="519">
        <v>0</v>
      </c>
      <c r="AH227" s="519">
        <v>0</v>
      </c>
      <c r="AI227" s="519">
        <v>0</v>
      </c>
      <c r="AJ227" s="519">
        <v>0</v>
      </c>
      <c r="AK227" s="519">
        <v>0</v>
      </c>
      <c r="AL227" s="519">
        <v>0</v>
      </c>
      <c r="AM227" s="519">
        <v>0</v>
      </c>
      <c r="AN227" s="519">
        <v>0</v>
      </c>
    </row>
    <row r="228" spans="1:40" x14ac:dyDescent="0.3">
      <c r="A228" s="489" t="s">
        <v>1422</v>
      </c>
      <c r="B228" s="489" t="s">
        <v>1547</v>
      </c>
      <c r="C228" s="489" t="s">
        <v>1548</v>
      </c>
      <c r="D228" s="489" t="s">
        <v>1665</v>
      </c>
      <c r="E228" s="619">
        <v>11</v>
      </c>
      <c r="F228" s="624">
        <f t="shared" si="16"/>
        <v>0</v>
      </c>
      <c r="G228" s="519">
        <f t="shared" si="18"/>
        <v>0</v>
      </c>
      <c r="H228" s="519">
        <f t="shared" si="18"/>
        <v>0</v>
      </c>
      <c r="I228" s="519">
        <f t="shared" si="18"/>
        <v>0</v>
      </c>
      <c r="J228" s="519">
        <f t="shared" si="18"/>
        <v>0</v>
      </c>
      <c r="K228" s="519">
        <f t="shared" si="18"/>
        <v>0</v>
      </c>
      <c r="L228" s="519">
        <f t="shared" si="18"/>
        <v>0</v>
      </c>
      <c r="M228" s="519">
        <f t="shared" si="18"/>
        <v>0</v>
      </c>
      <c r="N228" s="519">
        <f t="shared" si="18"/>
        <v>0</v>
      </c>
      <c r="O228" s="519">
        <f t="shared" si="18"/>
        <v>0</v>
      </c>
      <c r="P228" s="519">
        <f t="shared" si="18"/>
        <v>0</v>
      </c>
      <c r="Q228" s="519">
        <f t="shared" si="18"/>
        <v>0</v>
      </c>
      <c r="R228" s="519">
        <f t="shared" si="18"/>
        <v>0</v>
      </c>
      <c r="S228" s="519">
        <f t="shared" si="18"/>
        <v>0</v>
      </c>
      <c r="T228" s="519">
        <f t="shared" si="18"/>
        <v>0</v>
      </c>
      <c r="U228" s="519">
        <f t="shared" si="18"/>
        <v>0</v>
      </c>
      <c r="Y228" s="624">
        <v>0</v>
      </c>
      <c r="Z228" s="519">
        <v>0</v>
      </c>
      <c r="AA228" s="519">
        <v>0</v>
      </c>
      <c r="AB228" s="519">
        <v>0</v>
      </c>
      <c r="AC228" s="519">
        <v>0</v>
      </c>
      <c r="AD228" s="519">
        <v>0</v>
      </c>
      <c r="AE228" s="519">
        <v>0</v>
      </c>
      <c r="AF228" s="519">
        <v>0</v>
      </c>
      <c r="AG228" s="519">
        <v>0</v>
      </c>
      <c r="AH228" s="519">
        <v>0</v>
      </c>
      <c r="AI228" s="519">
        <v>0</v>
      </c>
      <c r="AJ228" s="519">
        <v>0</v>
      </c>
      <c r="AK228" s="519">
        <v>0</v>
      </c>
      <c r="AL228" s="519">
        <v>0</v>
      </c>
      <c r="AM228" s="519">
        <v>0</v>
      </c>
      <c r="AN228" s="519">
        <v>0</v>
      </c>
    </row>
    <row r="229" spans="1:40" x14ac:dyDescent="0.3">
      <c r="A229" s="489" t="s">
        <v>1414</v>
      </c>
      <c r="B229" s="489" t="s">
        <v>1675</v>
      </c>
      <c r="C229" s="489" t="s">
        <v>1917</v>
      </c>
      <c r="D229" s="489" t="s">
        <v>1936</v>
      </c>
      <c r="E229" s="619">
        <v>11</v>
      </c>
      <c r="F229" s="624">
        <f t="shared" si="16"/>
        <v>0</v>
      </c>
      <c r="G229" s="519">
        <f t="shared" si="18"/>
        <v>0</v>
      </c>
      <c r="H229" s="519">
        <f t="shared" si="18"/>
        <v>0</v>
      </c>
      <c r="I229" s="519">
        <f t="shared" si="18"/>
        <v>0</v>
      </c>
      <c r="J229" s="519">
        <f t="shared" si="18"/>
        <v>0</v>
      </c>
      <c r="K229" s="519">
        <f t="shared" si="18"/>
        <v>0</v>
      </c>
      <c r="L229" s="519">
        <f t="shared" si="18"/>
        <v>0</v>
      </c>
      <c r="M229" s="519">
        <f t="shared" si="18"/>
        <v>0</v>
      </c>
      <c r="N229" s="519">
        <f t="shared" si="18"/>
        <v>0</v>
      </c>
      <c r="O229" s="519">
        <f t="shared" si="18"/>
        <v>0</v>
      </c>
      <c r="P229" s="519">
        <f t="shared" si="18"/>
        <v>0</v>
      </c>
      <c r="Q229" s="519">
        <f t="shared" si="18"/>
        <v>0</v>
      </c>
      <c r="R229" s="519">
        <f t="shared" si="18"/>
        <v>0</v>
      </c>
      <c r="S229" s="519">
        <f t="shared" si="18"/>
        <v>0</v>
      </c>
      <c r="T229" s="519">
        <f t="shared" si="18"/>
        <v>0</v>
      </c>
      <c r="U229" s="519">
        <f t="shared" si="18"/>
        <v>0</v>
      </c>
      <c r="Y229" s="624">
        <v>0</v>
      </c>
      <c r="Z229" s="519">
        <v>0</v>
      </c>
      <c r="AA229" s="519">
        <v>0</v>
      </c>
      <c r="AB229" s="519">
        <v>0</v>
      </c>
      <c r="AC229" s="519">
        <v>0</v>
      </c>
      <c r="AD229" s="519">
        <v>0</v>
      </c>
      <c r="AE229" s="519">
        <v>0</v>
      </c>
      <c r="AF229" s="519">
        <v>0</v>
      </c>
      <c r="AG229" s="519">
        <v>0</v>
      </c>
      <c r="AH229" s="519">
        <v>0</v>
      </c>
      <c r="AI229" s="519">
        <v>0</v>
      </c>
      <c r="AJ229" s="519">
        <v>0</v>
      </c>
      <c r="AK229" s="519">
        <v>0</v>
      </c>
      <c r="AL229" s="519">
        <v>0</v>
      </c>
      <c r="AM229" s="519">
        <v>0</v>
      </c>
      <c r="AN229" s="519">
        <v>0</v>
      </c>
    </row>
    <row r="230" spans="1:40" x14ac:dyDescent="0.3">
      <c r="A230" s="489" t="s">
        <v>1414</v>
      </c>
      <c r="B230" s="489" t="s">
        <v>1675</v>
      </c>
      <c r="C230" s="489" t="s">
        <v>1917</v>
      </c>
      <c r="D230" s="489" t="s">
        <v>1936</v>
      </c>
      <c r="E230" s="619">
        <v>11</v>
      </c>
      <c r="F230" s="624">
        <f t="shared" si="16"/>
        <v>0</v>
      </c>
      <c r="G230" s="519">
        <f t="shared" si="18"/>
        <v>0</v>
      </c>
      <c r="H230" s="519">
        <f t="shared" si="18"/>
        <v>0</v>
      </c>
      <c r="I230" s="519">
        <f t="shared" si="18"/>
        <v>0</v>
      </c>
      <c r="J230" s="519">
        <f t="shared" si="18"/>
        <v>0</v>
      </c>
      <c r="K230" s="519">
        <f t="shared" si="18"/>
        <v>0</v>
      </c>
      <c r="L230" s="519">
        <f t="shared" si="18"/>
        <v>0</v>
      </c>
      <c r="M230" s="519">
        <f t="shared" si="18"/>
        <v>0</v>
      </c>
      <c r="N230" s="519">
        <f t="shared" si="18"/>
        <v>0</v>
      </c>
      <c r="O230" s="519">
        <f t="shared" si="18"/>
        <v>0</v>
      </c>
      <c r="P230" s="519">
        <f t="shared" si="18"/>
        <v>0</v>
      </c>
      <c r="Q230" s="519">
        <f t="shared" si="18"/>
        <v>0</v>
      </c>
      <c r="R230" s="519">
        <f t="shared" si="18"/>
        <v>0</v>
      </c>
      <c r="S230" s="519">
        <f t="shared" si="18"/>
        <v>0</v>
      </c>
      <c r="T230" s="519">
        <f t="shared" si="18"/>
        <v>0</v>
      </c>
      <c r="U230" s="519">
        <f t="shared" si="18"/>
        <v>0</v>
      </c>
      <c r="Y230" s="624">
        <v>0</v>
      </c>
      <c r="Z230" s="519">
        <v>0</v>
      </c>
      <c r="AA230" s="519">
        <v>0</v>
      </c>
      <c r="AB230" s="519">
        <v>0</v>
      </c>
      <c r="AC230" s="519">
        <v>0</v>
      </c>
      <c r="AD230" s="519">
        <v>0</v>
      </c>
      <c r="AE230" s="519">
        <v>0</v>
      </c>
      <c r="AF230" s="519">
        <v>0</v>
      </c>
      <c r="AG230" s="519">
        <v>0</v>
      </c>
      <c r="AH230" s="519">
        <v>0</v>
      </c>
      <c r="AI230" s="519">
        <v>0</v>
      </c>
      <c r="AJ230" s="519">
        <v>0</v>
      </c>
      <c r="AK230" s="519">
        <v>0</v>
      </c>
      <c r="AL230" s="519">
        <v>0</v>
      </c>
      <c r="AM230" s="519">
        <v>0</v>
      </c>
      <c r="AN230" s="519">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1A55-FA9E-47FB-94F3-A1C4963FE291}">
  <dimension ref="A1:AN793"/>
  <sheetViews>
    <sheetView topLeftCell="A99" zoomScale="85" zoomScaleNormal="85" workbookViewId="0">
      <selection activeCell="E33" sqref="E33"/>
    </sheetView>
  </sheetViews>
  <sheetFormatPr defaultRowHeight="15" x14ac:dyDescent="0.3"/>
  <cols>
    <col min="1" max="2" width="21.85546875" customWidth="1"/>
    <col min="3" max="3" width="34.5703125" customWidth="1"/>
    <col min="4" max="4" width="21.85546875" customWidth="1"/>
    <col min="5" max="21" width="16.140625" customWidth="1"/>
    <col min="25" max="40" width="16.140625" customWidth="1"/>
  </cols>
  <sheetData>
    <row r="1" spans="1:40" ht="16.5" x14ac:dyDescent="0.3">
      <c r="A1" s="513" t="s">
        <v>1367</v>
      </c>
      <c r="B1" s="513" t="s">
        <v>1368</v>
      </c>
      <c r="C1" s="513" t="s">
        <v>450</v>
      </c>
      <c r="D1" s="513" t="s">
        <v>39</v>
      </c>
      <c r="E1" s="513" t="s">
        <v>1528</v>
      </c>
      <c r="F1" s="620" t="s">
        <v>1535</v>
      </c>
      <c r="G1" s="513">
        <v>2024</v>
      </c>
      <c r="H1" s="513">
        <v>2023</v>
      </c>
      <c r="I1" s="513">
        <v>2022</v>
      </c>
      <c r="J1" s="513">
        <v>2021</v>
      </c>
      <c r="K1" s="513">
        <v>2020</v>
      </c>
      <c r="L1" s="513">
        <v>2019</v>
      </c>
      <c r="M1" s="513">
        <v>2018</v>
      </c>
      <c r="N1" s="513">
        <v>2017</v>
      </c>
      <c r="O1" s="513">
        <v>2016</v>
      </c>
      <c r="P1" s="513">
        <v>2015</v>
      </c>
      <c r="Q1" s="513">
        <v>2014</v>
      </c>
      <c r="R1" s="513">
        <v>2013</v>
      </c>
      <c r="S1" s="513">
        <v>2012</v>
      </c>
      <c r="T1" s="513">
        <v>2011</v>
      </c>
      <c r="U1" s="513">
        <v>2010</v>
      </c>
      <c r="V1" s="617"/>
      <c r="W1" t="s">
        <v>1791</v>
      </c>
      <c r="Y1" s="620" t="s">
        <v>1535</v>
      </c>
      <c r="Z1" s="513">
        <v>2024</v>
      </c>
      <c r="AA1" s="513">
        <v>2023</v>
      </c>
      <c r="AB1" s="513">
        <v>2022</v>
      </c>
      <c r="AC1" s="513">
        <v>2021</v>
      </c>
      <c r="AD1" s="513">
        <v>2020</v>
      </c>
      <c r="AE1" s="513">
        <v>2019</v>
      </c>
      <c r="AF1" s="513">
        <v>2018</v>
      </c>
      <c r="AG1" s="513">
        <v>2017</v>
      </c>
      <c r="AH1" s="513">
        <v>2016</v>
      </c>
      <c r="AI1" s="513">
        <v>2015</v>
      </c>
      <c r="AJ1" s="513">
        <v>2014</v>
      </c>
      <c r="AK1" s="513">
        <v>2013</v>
      </c>
      <c r="AL1" s="513">
        <v>2012</v>
      </c>
      <c r="AM1" s="513">
        <v>2011</v>
      </c>
      <c r="AN1" s="513">
        <v>2010</v>
      </c>
    </row>
    <row r="2" spans="1:40" x14ac:dyDescent="0.3">
      <c r="A2" s="489" t="s">
        <v>1414</v>
      </c>
      <c r="B2" s="489" t="s">
        <v>1430</v>
      </c>
      <c r="C2" s="489" t="s">
        <v>1431</v>
      </c>
      <c r="D2" s="489" t="s">
        <v>46</v>
      </c>
      <c r="E2" s="619">
        <v>4826</v>
      </c>
      <c r="F2" s="624">
        <f>Y2</f>
        <v>207.21375973069641</v>
      </c>
      <c r="G2" s="519">
        <f t="shared" ref="G2" si="0">IF(Z2&gt;0,Z2,IF(H2&gt;0,H2,0))</f>
        <v>260.49236641221376</v>
      </c>
      <c r="H2" s="519">
        <f t="shared" ref="H2" si="1">IF(AA2&gt;0,AA2,IF(I2&gt;0,I2,0))</f>
        <v>259.27804878048778</v>
      </c>
      <c r="I2" s="519">
        <f t="shared" ref="I2" si="2">IF(AB2&gt;0,AB2,IF(J2&gt;0,J2,0))</f>
        <v>261.25210084033614</v>
      </c>
      <c r="J2" s="519">
        <f t="shared" ref="J2" si="3">IF(AC2&gt;0,AC2,IF(K2&gt;0,K2,0))</f>
        <v>259.12345679012344</v>
      </c>
      <c r="K2" s="519">
        <f t="shared" ref="K2" si="4">IF(AD2&gt;0,AD2,IF(L2&gt;0,L2,0))</f>
        <v>186.1881188118812</v>
      </c>
      <c r="L2" s="519">
        <f t="shared" ref="L2" si="5">IF(AE2&gt;0,AE2,IF(M2&gt;0,M2,0))</f>
        <v>183.26485693323551</v>
      </c>
      <c r="M2" s="519">
        <f t="shared" ref="M2" si="6">IF(AF2&gt;0,AF2,IF(N2&gt;0,N2,0))</f>
        <v>187.36858974358975</v>
      </c>
      <c r="N2" s="519">
        <f t="shared" ref="N2" si="7">IF(AG2&gt;0,AG2,IF(O2&gt;0,O2,0))</f>
        <v>188.09318181818182</v>
      </c>
      <c r="O2" s="519">
        <f t="shared" ref="O2" si="8">IF(AH2&gt;0,AH2,IF(P2&gt;0,P2,0))</f>
        <v>186.62216624685138</v>
      </c>
      <c r="P2" s="519">
        <f t="shared" ref="P2" si="9">IF(AI2&gt;0,AI2,IF(Q2&gt;0,Q2,0))</f>
        <v>181.74509803921569</v>
      </c>
      <c r="Q2" s="519">
        <f t="shared" ref="Q2" si="10">IF(AJ2&gt;0,AJ2,IF(R2&gt;0,R2,0))</f>
        <v>174.91099476439791</v>
      </c>
      <c r="R2" s="519">
        <f t="shared" ref="R2" si="11">IF(AK2&gt;0,AK2,IF(S2&gt;0,S2,0))</f>
        <v>204.57419354838709</v>
      </c>
      <c r="S2" s="519">
        <f t="shared" ref="S2" si="12">IF(AL2&gt;0,AL2,IF(T2&gt;0,T2,0))</f>
        <v>210.68846153846152</v>
      </c>
      <c r="T2" s="519">
        <f t="shared" ref="T2" si="13">IF(AM2&gt;0,AM2,IF(U2&gt;0,U2,0))</f>
        <v>250.171875</v>
      </c>
      <c r="U2" s="519">
        <f t="shared" ref="U2" si="14">IF(AN2&gt;0,AN2,IF(V2&gt;0,V2,0))</f>
        <v>252.20689655172413</v>
      </c>
      <c r="V2" s="618"/>
      <c r="W2" t="s">
        <v>1790</v>
      </c>
      <c r="Y2" s="624">
        <v>207.21375973069641</v>
      </c>
      <c r="Z2" s="519">
        <v>260.49236641221376</v>
      </c>
      <c r="AA2" s="519">
        <v>259.27804878048778</v>
      </c>
      <c r="AB2" s="519">
        <v>261.25210084033614</v>
      </c>
      <c r="AC2" s="519">
        <v>259.12345679012344</v>
      </c>
      <c r="AD2" s="519">
        <v>186.1881188118812</v>
      </c>
      <c r="AE2" s="519">
        <v>183.26485693323551</v>
      </c>
      <c r="AF2" s="519">
        <v>187.36858974358975</v>
      </c>
      <c r="AG2" s="519">
        <v>188.09318181818182</v>
      </c>
      <c r="AH2" s="519">
        <v>186.62216624685138</v>
      </c>
      <c r="AI2" s="519">
        <v>181.74509803921569</v>
      </c>
      <c r="AJ2" s="519">
        <v>174.91099476439791</v>
      </c>
      <c r="AK2" s="519">
        <v>204.57419354838709</v>
      </c>
      <c r="AL2" s="519">
        <v>210.68846153846152</v>
      </c>
      <c r="AM2" s="519">
        <v>250.171875</v>
      </c>
      <c r="AN2" s="519">
        <v>252.20689655172413</v>
      </c>
    </row>
    <row r="3" spans="1:40" x14ac:dyDescent="0.3">
      <c r="A3" s="489" t="s">
        <v>1414</v>
      </c>
      <c r="B3" s="489" t="s">
        <v>1428</v>
      </c>
      <c r="C3" s="489" t="s">
        <v>1429</v>
      </c>
      <c r="D3" s="489" t="s">
        <v>46</v>
      </c>
      <c r="E3" s="619">
        <v>2174</v>
      </c>
      <c r="F3" s="624">
        <f t="shared" ref="F3:F66" si="15">Y3</f>
        <v>176.60855565777368</v>
      </c>
      <c r="G3" s="519">
        <f t="shared" ref="G3:G66" si="16">IF(Z3&gt;0,Z3,IF(H3&gt;0,H3,0))</f>
        <v>183</v>
      </c>
      <c r="H3" s="519">
        <f t="shared" ref="H3:H66" si="17">IF(AA3&gt;0,AA3,IF(I3&gt;0,I3,0))</f>
        <v>178.94117647058823</v>
      </c>
      <c r="I3" s="519">
        <f t="shared" ref="I3:I66" si="18">IF(AB3&gt;0,AB3,IF(J3&gt;0,J3,0))</f>
        <v>176.31818181818181</v>
      </c>
      <c r="J3" s="519">
        <f t="shared" ref="J3:J66" si="19">IF(AC3&gt;0,AC3,IF(K3&gt;0,K3,0))</f>
        <v>183.1</v>
      </c>
      <c r="K3" s="519">
        <f t="shared" ref="K3:K66" si="20">IF(AD3&gt;0,AD3,IF(L3&gt;0,L3,0))</f>
        <v>175.28571428571428</v>
      </c>
      <c r="L3" s="519">
        <f t="shared" ref="L3:L66" si="21">IF(AE3&gt;0,AE3,IF(M3&gt;0,M3,0))</f>
        <v>193.45612134344529</v>
      </c>
      <c r="M3" s="519">
        <f t="shared" ref="M3:M66" si="22">IF(AF3&gt;0,AF3,IF(N3&gt;0,N3,0))</f>
        <v>165.6632911392405</v>
      </c>
      <c r="N3" s="519">
        <f t="shared" ref="N3:N66" si="23">IF(AG3&gt;0,AG3,IF(O3&gt;0,O3,0))</f>
        <v>159.07506702412869</v>
      </c>
      <c r="O3" s="519">
        <f t="shared" ref="O3:O66" si="24">IF(AH3&gt;0,AH3,IF(P3&gt;0,P3,0))</f>
        <v>158.88942307692307</v>
      </c>
      <c r="P3" s="519">
        <f t="shared" ref="P3:P66" si="25">IF(AI3&gt;0,AI3,IF(Q3&gt;0,Q3,0))</f>
        <v>159.67469879518072</v>
      </c>
      <c r="Q3" s="519">
        <f t="shared" ref="Q3:Q66" si="26">IF(AJ3&gt;0,AJ3,IF(R3&gt;0,R3,0))</f>
        <v>0</v>
      </c>
      <c r="R3" s="519">
        <f t="shared" ref="R3:R66" si="27">IF(AK3&gt;0,AK3,IF(S3&gt;0,S3,0))</f>
        <v>0</v>
      </c>
      <c r="S3" s="519">
        <f t="shared" ref="S3:S66" si="28">IF(AL3&gt;0,AL3,IF(T3&gt;0,T3,0))</f>
        <v>0</v>
      </c>
      <c r="T3" s="519">
        <f t="shared" ref="T3:T66" si="29">IF(AM3&gt;0,AM3,IF(U3&gt;0,U3,0))</f>
        <v>0</v>
      </c>
      <c r="U3" s="519">
        <f t="shared" ref="U3:U66" si="30">IF(AN3&gt;0,AN3,IF(V3&gt;0,V3,0))</f>
        <v>0</v>
      </c>
      <c r="V3" s="618"/>
      <c r="Y3" s="624">
        <v>176.60855565777368</v>
      </c>
      <c r="Z3" s="519">
        <v>183</v>
      </c>
      <c r="AA3" s="519">
        <v>178.94117647058823</v>
      </c>
      <c r="AB3" s="519">
        <v>176.31818181818181</v>
      </c>
      <c r="AC3" s="519">
        <v>183.1</v>
      </c>
      <c r="AD3" s="519">
        <v>175.28571428571428</v>
      </c>
      <c r="AE3" s="519">
        <v>193.45612134344529</v>
      </c>
      <c r="AF3" s="519">
        <v>165.6632911392405</v>
      </c>
      <c r="AG3" s="519">
        <v>159.07506702412869</v>
      </c>
      <c r="AH3" s="519">
        <v>158.88942307692307</v>
      </c>
      <c r="AI3" s="519">
        <v>159.67469879518072</v>
      </c>
      <c r="AJ3" s="519">
        <v>0</v>
      </c>
      <c r="AK3" s="519">
        <v>0</v>
      </c>
      <c r="AL3" s="519">
        <v>0</v>
      </c>
      <c r="AM3" s="519">
        <v>0</v>
      </c>
      <c r="AN3" s="519">
        <v>0</v>
      </c>
    </row>
    <row r="4" spans="1:40" x14ac:dyDescent="0.3">
      <c r="A4" s="489" t="s">
        <v>1441</v>
      </c>
      <c r="B4" s="489" t="s">
        <v>1447</v>
      </c>
      <c r="C4" s="489" t="s">
        <v>1448</v>
      </c>
      <c r="D4" s="489" t="s">
        <v>46</v>
      </c>
      <c r="E4" s="619">
        <v>1174</v>
      </c>
      <c r="F4" s="624">
        <f t="shared" si="15"/>
        <v>177.98211243611584</v>
      </c>
      <c r="G4" s="519">
        <f t="shared" si="16"/>
        <v>227</v>
      </c>
      <c r="H4" s="519">
        <f t="shared" si="17"/>
        <v>229</v>
      </c>
      <c r="I4" s="519">
        <f t="shared" si="18"/>
        <v>197.4</v>
      </c>
      <c r="J4" s="519">
        <f t="shared" si="19"/>
        <v>185</v>
      </c>
      <c r="K4" s="519">
        <f t="shared" si="20"/>
        <v>222</v>
      </c>
      <c r="L4" s="519">
        <f t="shared" si="21"/>
        <v>194.23291139240507</v>
      </c>
      <c r="M4" s="519">
        <f t="shared" si="22"/>
        <v>171.37349397590361</v>
      </c>
      <c r="N4" s="519">
        <f t="shared" si="23"/>
        <v>156.5615763546798</v>
      </c>
      <c r="O4" s="519">
        <f t="shared" si="24"/>
        <v>156.92638036809817</v>
      </c>
      <c r="P4" s="519">
        <f t="shared" si="25"/>
        <v>179.79591836734693</v>
      </c>
      <c r="Q4" s="519">
        <f t="shared" si="26"/>
        <v>191.31914893617022</v>
      </c>
      <c r="R4" s="519">
        <f t="shared" si="27"/>
        <v>194.07894736842104</v>
      </c>
      <c r="S4" s="519">
        <f t="shared" si="28"/>
        <v>189.17241379310346</v>
      </c>
      <c r="T4" s="519">
        <f t="shared" si="29"/>
        <v>194.125</v>
      </c>
      <c r="U4" s="519">
        <f t="shared" si="30"/>
        <v>193</v>
      </c>
      <c r="V4" s="618"/>
      <c r="Y4" s="624">
        <v>177.98211243611584</v>
      </c>
      <c r="Z4" s="519">
        <v>227</v>
      </c>
      <c r="AA4" s="519">
        <v>229</v>
      </c>
      <c r="AB4" s="519">
        <v>197.4</v>
      </c>
      <c r="AC4" s="519">
        <v>185</v>
      </c>
      <c r="AD4" s="519">
        <v>222</v>
      </c>
      <c r="AE4" s="519">
        <v>194.23291139240507</v>
      </c>
      <c r="AF4" s="519">
        <v>171.37349397590361</v>
      </c>
      <c r="AG4" s="519">
        <v>156.5615763546798</v>
      </c>
      <c r="AH4" s="519">
        <v>156.92638036809817</v>
      </c>
      <c r="AI4" s="519">
        <v>179.79591836734693</v>
      </c>
      <c r="AJ4" s="519">
        <v>191.31914893617022</v>
      </c>
      <c r="AK4" s="519">
        <v>194.07894736842104</v>
      </c>
      <c r="AL4" s="519">
        <v>189.17241379310346</v>
      </c>
      <c r="AM4" s="519">
        <v>194.125</v>
      </c>
      <c r="AN4" s="519">
        <v>193</v>
      </c>
    </row>
    <row r="5" spans="1:40" x14ac:dyDescent="0.3">
      <c r="A5" s="489" t="s">
        <v>1417</v>
      </c>
      <c r="B5" s="489" t="s">
        <v>1418</v>
      </c>
      <c r="C5" s="489" t="s">
        <v>1232</v>
      </c>
      <c r="D5" s="489" t="s">
        <v>141</v>
      </c>
      <c r="E5" s="619">
        <v>1068</v>
      </c>
      <c r="F5" s="624">
        <f t="shared" si="15"/>
        <v>0</v>
      </c>
      <c r="G5" s="519">
        <f t="shared" si="16"/>
        <v>0</v>
      </c>
      <c r="H5" s="519">
        <f t="shared" si="17"/>
        <v>0</v>
      </c>
      <c r="I5" s="519">
        <f t="shared" si="18"/>
        <v>0</v>
      </c>
      <c r="J5" s="519">
        <f t="shared" si="19"/>
        <v>0</v>
      </c>
      <c r="K5" s="519">
        <f t="shared" si="20"/>
        <v>0</v>
      </c>
      <c r="L5" s="519">
        <f t="shared" si="21"/>
        <v>0</v>
      </c>
      <c r="M5" s="519">
        <f t="shared" si="22"/>
        <v>0</v>
      </c>
      <c r="N5" s="519">
        <f t="shared" si="23"/>
        <v>0</v>
      </c>
      <c r="O5" s="519">
        <f t="shared" si="24"/>
        <v>0</v>
      </c>
      <c r="P5" s="519">
        <f t="shared" si="25"/>
        <v>0</v>
      </c>
      <c r="Q5" s="519">
        <f t="shared" si="26"/>
        <v>0</v>
      </c>
      <c r="R5" s="519">
        <f t="shared" si="27"/>
        <v>0</v>
      </c>
      <c r="S5" s="519">
        <f t="shared" si="28"/>
        <v>0</v>
      </c>
      <c r="T5" s="519">
        <f t="shared" si="29"/>
        <v>0</v>
      </c>
      <c r="U5" s="519">
        <f t="shared" si="30"/>
        <v>0</v>
      </c>
      <c r="V5" s="618"/>
      <c r="Y5" s="624">
        <v>0</v>
      </c>
      <c r="Z5" s="519">
        <v>0</v>
      </c>
      <c r="AA5" s="519">
        <v>0</v>
      </c>
      <c r="AB5" s="519">
        <v>0</v>
      </c>
      <c r="AC5" s="519">
        <v>0</v>
      </c>
      <c r="AD5" s="519">
        <v>0</v>
      </c>
      <c r="AE5" s="519">
        <v>0</v>
      </c>
      <c r="AF5" s="519">
        <v>0</v>
      </c>
      <c r="AG5" s="519">
        <v>0</v>
      </c>
      <c r="AH5" s="519">
        <v>0</v>
      </c>
      <c r="AI5" s="519">
        <v>0</v>
      </c>
      <c r="AJ5" s="519">
        <v>0</v>
      </c>
      <c r="AK5" s="519">
        <v>0</v>
      </c>
      <c r="AL5" s="519">
        <v>0</v>
      </c>
      <c r="AM5" s="519">
        <v>0</v>
      </c>
      <c r="AN5" s="519">
        <v>0</v>
      </c>
    </row>
    <row r="6" spans="1:40" x14ac:dyDescent="0.3">
      <c r="A6" s="489" t="s">
        <v>1414</v>
      </c>
      <c r="B6" s="489" t="s">
        <v>1540</v>
      </c>
      <c r="C6" s="489" t="s">
        <v>1541</v>
      </c>
      <c r="D6" s="489" t="s">
        <v>46</v>
      </c>
      <c r="E6" s="619">
        <v>965</v>
      </c>
      <c r="F6" s="624">
        <f t="shared" si="15"/>
        <v>180.61658031088083</v>
      </c>
      <c r="G6" s="519">
        <f t="shared" si="16"/>
        <v>200.43243243243242</v>
      </c>
      <c r="H6" s="519">
        <f t="shared" si="17"/>
        <v>189.14925373134329</v>
      </c>
      <c r="I6" s="519">
        <f t="shared" si="18"/>
        <v>191.30769230769232</v>
      </c>
      <c r="J6" s="519">
        <f t="shared" si="19"/>
        <v>191.9375</v>
      </c>
      <c r="K6" s="519">
        <f t="shared" si="20"/>
        <v>200.375</v>
      </c>
      <c r="L6" s="519">
        <f t="shared" si="21"/>
        <v>194.54166666666666</v>
      </c>
      <c r="M6" s="519">
        <f t="shared" si="22"/>
        <v>170.49723756906079</v>
      </c>
      <c r="N6" s="519">
        <f t="shared" si="23"/>
        <v>158</v>
      </c>
      <c r="O6" s="519">
        <f t="shared" si="24"/>
        <v>157.86956521739131</v>
      </c>
      <c r="P6" s="519">
        <f t="shared" si="25"/>
        <v>156</v>
      </c>
      <c r="Q6" s="519">
        <f t="shared" si="26"/>
        <v>155.22222222222223</v>
      </c>
      <c r="R6" s="519">
        <f t="shared" si="27"/>
        <v>0</v>
      </c>
      <c r="S6" s="519">
        <f t="shared" si="28"/>
        <v>0</v>
      </c>
      <c r="T6" s="519">
        <f t="shared" si="29"/>
        <v>0</v>
      </c>
      <c r="U6" s="519">
        <f t="shared" si="30"/>
        <v>0</v>
      </c>
      <c r="V6" s="618"/>
      <c r="Y6" s="624">
        <v>180.61658031088083</v>
      </c>
      <c r="Z6" s="519">
        <v>200.43243243243242</v>
      </c>
      <c r="AA6" s="519">
        <v>189.14925373134329</v>
      </c>
      <c r="AB6" s="519">
        <v>191.30769230769232</v>
      </c>
      <c r="AC6" s="519">
        <v>191.9375</v>
      </c>
      <c r="AD6" s="519">
        <v>200.375</v>
      </c>
      <c r="AE6" s="519">
        <v>194.54166666666666</v>
      </c>
      <c r="AF6" s="519">
        <v>170.49723756906079</v>
      </c>
      <c r="AG6" s="519">
        <v>158</v>
      </c>
      <c r="AH6" s="519">
        <v>157.86956521739131</v>
      </c>
      <c r="AI6" s="519">
        <v>156</v>
      </c>
      <c r="AJ6" s="519">
        <v>155.22222222222223</v>
      </c>
      <c r="AK6" s="519">
        <v>0</v>
      </c>
      <c r="AL6" s="519">
        <v>0</v>
      </c>
      <c r="AM6" s="519">
        <v>0</v>
      </c>
      <c r="AN6" s="519">
        <v>0</v>
      </c>
    </row>
    <row r="7" spans="1:40" x14ac:dyDescent="0.3">
      <c r="A7" s="489" t="s">
        <v>1432</v>
      </c>
      <c r="B7" s="489" t="s">
        <v>1433</v>
      </c>
      <c r="C7" s="489" t="s">
        <v>1434</v>
      </c>
      <c r="D7" s="489" t="s">
        <v>141</v>
      </c>
      <c r="E7" s="619">
        <v>952</v>
      </c>
      <c r="F7" s="624">
        <f t="shared" si="15"/>
        <v>0</v>
      </c>
      <c r="G7" s="519">
        <f t="shared" si="16"/>
        <v>0</v>
      </c>
      <c r="H7" s="519">
        <f t="shared" si="17"/>
        <v>0</v>
      </c>
      <c r="I7" s="519">
        <f t="shared" si="18"/>
        <v>0</v>
      </c>
      <c r="J7" s="519">
        <f t="shared" si="19"/>
        <v>0</v>
      </c>
      <c r="K7" s="519">
        <f t="shared" si="20"/>
        <v>0</v>
      </c>
      <c r="L7" s="519">
        <f t="shared" si="21"/>
        <v>0</v>
      </c>
      <c r="M7" s="519">
        <f t="shared" si="22"/>
        <v>0</v>
      </c>
      <c r="N7" s="519">
        <f t="shared" si="23"/>
        <v>0</v>
      </c>
      <c r="O7" s="519">
        <f t="shared" si="24"/>
        <v>0</v>
      </c>
      <c r="P7" s="519">
        <f t="shared" si="25"/>
        <v>0</v>
      </c>
      <c r="Q7" s="519">
        <f t="shared" si="26"/>
        <v>0</v>
      </c>
      <c r="R7" s="519">
        <f t="shared" si="27"/>
        <v>0</v>
      </c>
      <c r="S7" s="519">
        <f t="shared" si="28"/>
        <v>0</v>
      </c>
      <c r="T7" s="519">
        <f t="shared" si="29"/>
        <v>0</v>
      </c>
      <c r="U7" s="519">
        <f t="shared" si="30"/>
        <v>0</v>
      </c>
      <c r="V7" s="618"/>
      <c r="Y7" s="624">
        <v>0</v>
      </c>
      <c r="Z7" s="519">
        <v>0</v>
      </c>
      <c r="AA7" s="519">
        <v>0</v>
      </c>
      <c r="AB7" s="519">
        <v>0</v>
      </c>
      <c r="AC7" s="519">
        <v>0</v>
      </c>
      <c r="AD7" s="519">
        <v>0</v>
      </c>
      <c r="AE7" s="519">
        <v>0</v>
      </c>
      <c r="AF7" s="519">
        <v>0</v>
      </c>
      <c r="AG7" s="519">
        <v>0</v>
      </c>
      <c r="AH7" s="519">
        <v>0</v>
      </c>
      <c r="AI7" s="519">
        <v>0</v>
      </c>
      <c r="AJ7" s="519">
        <v>0</v>
      </c>
      <c r="AK7" s="519">
        <v>0</v>
      </c>
      <c r="AL7" s="519">
        <v>0</v>
      </c>
      <c r="AM7" s="519">
        <v>0</v>
      </c>
      <c r="AN7" s="519">
        <v>0</v>
      </c>
    </row>
    <row r="8" spans="1:40" x14ac:dyDescent="0.3">
      <c r="A8" s="489" t="s">
        <v>1414</v>
      </c>
      <c r="B8" s="489" t="s">
        <v>1370</v>
      </c>
      <c r="C8" s="489" t="s">
        <v>1416</v>
      </c>
      <c r="D8" s="489" t="s">
        <v>46</v>
      </c>
      <c r="E8" s="619">
        <v>843</v>
      </c>
      <c r="F8" s="624">
        <f t="shared" si="15"/>
        <v>131.80782918149467</v>
      </c>
      <c r="G8" s="519">
        <f t="shared" si="16"/>
        <v>148.03125</v>
      </c>
      <c r="H8" s="519">
        <f t="shared" si="17"/>
        <v>144.63265306122449</v>
      </c>
      <c r="I8" s="519">
        <f t="shared" si="18"/>
        <v>133.80000000000001</v>
      </c>
      <c r="J8" s="519">
        <f t="shared" si="19"/>
        <v>137</v>
      </c>
      <c r="K8" s="519">
        <f t="shared" si="20"/>
        <v>140.62962962962962</v>
      </c>
      <c r="L8" s="519">
        <f t="shared" si="21"/>
        <v>153.71192052980132</v>
      </c>
      <c r="M8" s="519">
        <f t="shared" si="22"/>
        <v>114.35074626865672</v>
      </c>
      <c r="N8" s="519">
        <f t="shared" si="23"/>
        <v>107.73684210526316</v>
      </c>
      <c r="O8" s="519">
        <f t="shared" si="24"/>
        <v>104.40816326530613</v>
      </c>
      <c r="P8" s="519">
        <f t="shared" si="25"/>
        <v>0</v>
      </c>
      <c r="Q8" s="519">
        <f t="shared" si="26"/>
        <v>0</v>
      </c>
      <c r="R8" s="519">
        <f t="shared" si="27"/>
        <v>0</v>
      </c>
      <c r="S8" s="519">
        <f t="shared" si="28"/>
        <v>0</v>
      </c>
      <c r="T8" s="519">
        <f t="shared" si="29"/>
        <v>0</v>
      </c>
      <c r="U8" s="519">
        <f t="shared" si="30"/>
        <v>0</v>
      </c>
      <c r="V8" s="618"/>
      <c r="Y8" s="624">
        <v>131.80782918149467</v>
      </c>
      <c r="Z8" s="519">
        <v>148.03125</v>
      </c>
      <c r="AA8" s="519">
        <v>144.63265306122449</v>
      </c>
      <c r="AB8" s="519">
        <v>133.80000000000001</v>
      </c>
      <c r="AC8" s="519">
        <v>137</v>
      </c>
      <c r="AD8" s="519">
        <v>140.62962962962962</v>
      </c>
      <c r="AE8" s="519">
        <v>153.71192052980132</v>
      </c>
      <c r="AF8" s="519">
        <v>114.35074626865672</v>
      </c>
      <c r="AG8" s="519">
        <v>107.73684210526316</v>
      </c>
      <c r="AH8" s="519">
        <v>104.40816326530613</v>
      </c>
      <c r="AI8" s="519">
        <v>0</v>
      </c>
      <c r="AJ8" s="519">
        <v>0</v>
      </c>
      <c r="AK8" s="519">
        <v>0</v>
      </c>
      <c r="AL8" s="519">
        <v>0</v>
      </c>
      <c r="AM8" s="519">
        <v>0</v>
      </c>
      <c r="AN8" s="519">
        <v>0</v>
      </c>
    </row>
    <row r="9" spans="1:40" x14ac:dyDescent="0.3">
      <c r="A9" s="489" t="s">
        <v>1441</v>
      </c>
      <c r="B9" s="489" t="s">
        <v>1542</v>
      </c>
      <c r="C9" s="489" t="s">
        <v>1543</v>
      </c>
      <c r="D9" s="489" t="s">
        <v>46</v>
      </c>
      <c r="E9" s="619">
        <v>837</v>
      </c>
      <c r="F9" s="624">
        <f t="shared" si="15"/>
        <v>207.41935483870967</v>
      </c>
      <c r="G9" s="519">
        <f t="shared" si="16"/>
        <v>239</v>
      </c>
      <c r="H9" s="519">
        <f t="shared" si="17"/>
        <v>225.22222222222223</v>
      </c>
      <c r="I9" s="519">
        <f t="shared" si="18"/>
        <v>245.9</v>
      </c>
      <c r="J9" s="519">
        <f t="shared" si="19"/>
        <v>235.18181818181819</v>
      </c>
      <c r="K9" s="519">
        <f t="shared" si="20"/>
        <v>198.48</v>
      </c>
      <c r="L9" s="519">
        <f t="shared" si="21"/>
        <v>198.34351145038167</v>
      </c>
      <c r="M9" s="519">
        <f t="shared" si="22"/>
        <v>188.97777777777779</v>
      </c>
      <c r="N9" s="519">
        <f t="shared" si="23"/>
        <v>198.17073170731706</v>
      </c>
      <c r="O9" s="519">
        <f t="shared" si="24"/>
        <v>199.05479452054794</v>
      </c>
      <c r="P9" s="519">
        <f t="shared" si="25"/>
        <v>201.625</v>
      </c>
      <c r="Q9" s="519">
        <f t="shared" si="26"/>
        <v>200.23750000000001</v>
      </c>
      <c r="R9" s="519">
        <f t="shared" si="27"/>
        <v>207.64912280701753</v>
      </c>
      <c r="S9" s="519">
        <f t="shared" si="28"/>
        <v>210.7962962962963</v>
      </c>
      <c r="T9" s="519">
        <f t="shared" si="29"/>
        <v>224.73267326732673</v>
      </c>
      <c r="U9" s="519">
        <f t="shared" si="30"/>
        <v>261</v>
      </c>
      <c r="V9" s="618"/>
      <c r="Y9" s="624">
        <v>207.41935483870967</v>
      </c>
      <c r="Z9" s="519">
        <v>239</v>
      </c>
      <c r="AA9" s="519">
        <v>225.22222222222223</v>
      </c>
      <c r="AB9" s="519">
        <v>245.9</v>
      </c>
      <c r="AC9" s="519">
        <v>235.18181818181819</v>
      </c>
      <c r="AD9" s="519">
        <v>198.48</v>
      </c>
      <c r="AE9" s="519">
        <v>198.34351145038167</v>
      </c>
      <c r="AF9" s="519">
        <v>188.97777777777779</v>
      </c>
      <c r="AG9" s="519">
        <v>198.17073170731706</v>
      </c>
      <c r="AH9" s="519">
        <v>199.05479452054794</v>
      </c>
      <c r="AI9" s="519">
        <v>201.625</v>
      </c>
      <c r="AJ9" s="519">
        <v>200.23750000000001</v>
      </c>
      <c r="AK9" s="519">
        <v>207.64912280701753</v>
      </c>
      <c r="AL9" s="519">
        <v>210.7962962962963</v>
      </c>
      <c r="AM9" s="519">
        <v>224.73267326732673</v>
      </c>
      <c r="AN9" s="519">
        <v>261</v>
      </c>
    </row>
    <row r="10" spans="1:40" x14ac:dyDescent="0.3">
      <c r="A10" s="489" t="s">
        <v>1441</v>
      </c>
      <c r="B10" s="489" t="s">
        <v>1444</v>
      </c>
      <c r="C10" s="489" t="s">
        <v>870</v>
      </c>
      <c r="D10" s="489" t="s">
        <v>46</v>
      </c>
      <c r="E10" s="619">
        <v>837</v>
      </c>
      <c r="F10" s="624">
        <f t="shared" si="15"/>
        <v>117.21513002364067</v>
      </c>
      <c r="G10" s="519">
        <f t="shared" si="16"/>
        <v>138.98305084745763</v>
      </c>
      <c r="H10" s="519">
        <f t="shared" si="17"/>
        <v>128.43243243243242</v>
      </c>
      <c r="I10" s="519">
        <f t="shared" si="18"/>
        <v>126.60526315789474</v>
      </c>
      <c r="J10" s="519">
        <f t="shared" si="19"/>
        <v>123.79411764705883</v>
      </c>
      <c r="K10" s="519">
        <f t="shared" si="20"/>
        <v>124.92307692307692</v>
      </c>
      <c r="L10" s="519">
        <f t="shared" si="21"/>
        <v>124.02898550724638</v>
      </c>
      <c r="M10" s="519">
        <f t="shared" si="22"/>
        <v>112.34693877551021</v>
      </c>
      <c r="N10" s="519">
        <f t="shared" si="23"/>
        <v>112.37593984962406</v>
      </c>
      <c r="O10" s="519">
        <f t="shared" si="24"/>
        <v>109.69166666666666</v>
      </c>
      <c r="P10" s="519">
        <f t="shared" si="25"/>
        <v>105.2905982905983</v>
      </c>
      <c r="Q10" s="519">
        <f t="shared" si="26"/>
        <v>121.6875</v>
      </c>
      <c r="R10" s="519">
        <f t="shared" si="27"/>
        <v>123.5</v>
      </c>
      <c r="S10" s="519">
        <f t="shared" si="28"/>
        <v>125.46666666666667</v>
      </c>
      <c r="T10" s="519">
        <f t="shared" si="29"/>
        <v>123.2</v>
      </c>
      <c r="U10" s="519">
        <f t="shared" si="30"/>
        <v>141.80000000000001</v>
      </c>
      <c r="V10" s="618"/>
      <c r="Y10" s="624">
        <v>117.21513002364067</v>
      </c>
      <c r="Z10" s="519">
        <v>138.98305084745763</v>
      </c>
      <c r="AA10" s="519">
        <v>128.43243243243242</v>
      </c>
      <c r="AB10" s="519">
        <v>126.60526315789474</v>
      </c>
      <c r="AC10" s="519">
        <v>123.79411764705883</v>
      </c>
      <c r="AD10" s="519">
        <v>124.92307692307692</v>
      </c>
      <c r="AE10" s="519">
        <v>124.02898550724638</v>
      </c>
      <c r="AF10" s="519">
        <v>112.34693877551021</v>
      </c>
      <c r="AG10" s="519">
        <v>112.37593984962406</v>
      </c>
      <c r="AH10" s="519">
        <v>109.69166666666666</v>
      </c>
      <c r="AI10" s="519">
        <v>105.2905982905983</v>
      </c>
      <c r="AJ10" s="519">
        <v>121.6875</v>
      </c>
      <c r="AK10" s="519">
        <v>123.5</v>
      </c>
      <c r="AL10" s="519">
        <v>125.46666666666667</v>
      </c>
      <c r="AM10" s="519">
        <v>123.2</v>
      </c>
      <c r="AN10" s="519">
        <v>141.80000000000001</v>
      </c>
    </row>
    <row r="11" spans="1:40" x14ac:dyDescent="0.3">
      <c r="A11" s="489" t="s">
        <v>1544</v>
      </c>
      <c r="B11" s="489" t="s">
        <v>1545</v>
      </c>
      <c r="C11" s="489" t="s">
        <v>1546</v>
      </c>
      <c r="D11" s="489" t="s">
        <v>46</v>
      </c>
      <c r="E11" s="619">
        <v>837</v>
      </c>
      <c r="F11" s="624">
        <f t="shared" si="15"/>
        <v>187.56511350059736</v>
      </c>
      <c r="G11" s="519">
        <f t="shared" si="16"/>
        <v>240</v>
      </c>
      <c r="H11" s="519">
        <f t="shared" si="17"/>
        <v>194.33333333333334</v>
      </c>
      <c r="I11" s="519">
        <f t="shared" si="18"/>
        <v>193.4</v>
      </c>
      <c r="J11" s="519">
        <f t="shared" si="19"/>
        <v>185.66666666666666</v>
      </c>
      <c r="K11" s="519">
        <f t="shared" si="20"/>
        <v>160</v>
      </c>
      <c r="L11" s="519">
        <f t="shared" si="21"/>
        <v>209.34707158351409</v>
      </c>
      <c r="M11" s="519">
        <f t="shared" si="22"/>
        <v>164.83333333333334</v>
      </c>
      <c r="N11" s="519">
        <f t="shared" si="23"/>
        <v>157.36134453781511</v>
      </c>
      <c r="O11" s="519">
        <f t="shared" si="24"/>
        <v>157.18</v>
      </c>
      <c r="P11" s="519">
        <f t="shared" si="25"/>
        <v>168</v>
      </c>
      <c r="Q11" s="519">
        <f t="shared" si="26"/>
        <v>168</v>
      </c>
      <c r="R11" s="519">
        <f t="shared" si="27"/>
        <v>0</v>
      </c>
      <c r="S11" s="519">
        <f t="shared" si="28"/>
        <v>0</v>
      </c>
      <c r="T11" s="519">
        <f t="shared" si="29"/>
        <v>0</v>
      </c>
      <c r="U11" s="519">
        <f t="shared" si="30"/>
        <v>0</v>
      </c>
      <c r="V11" s="618"/>
      <c r="Y11" s="624">
        <v>187.56511350059736</v>
      </c>
      <c r="Z11" s="519">
        <v>240</v>
      </c>
      <c r="AA11" s="519">
        <v>194.33333333333334</v>
      </c>
      <c r="AB11" s="519">
        <v>193.4</v>
      </c>
      <c r="AC11" s="519">
        <v>185.66666666666666</v>
      </c>
      <c r="AD11" s="519">
        <v>160</v>
      </c>
      <c r="AE11" s="519">
        <v>209.34707158351409</v>
      </c>
      <c r="AF11" s="519">
        <v>164.83333333333334</v>
      </c>
      <c r="AG11" s="519">
        <v>157.36134453781511</v>
      </c>
      <c r="AH11" s="519">
        <v>157.18</v>
      </c>
      <c r="AI11" s="519">
        <v>168</v>
      </c>
      <c r="AJ11" s="519">
        <v>168</v>
      </c>
      <c r="AK11" s="519">
        <v>0</v>
      </c>
      <c r="AL11" s="519">
        <v>0</v>
      </c>
      <c r="AM11" s="519">
        <v>0</v>
      </c>
      <c r="AN11" s="519">
        <v>0</v>
      </c>
    </row>
    <row r="12" spans="1:40" x14ac:dyDescent="0.3">
      <c r="A12" s="489" t="s">
        <v>1414</v>
      </c>
      <c r="B12" s="489" t="s">
        <v>1369</v>
      </c>
      <c r="C12" s="489" t="s">
        <v>1415</v>
      </c>
      <c r="D12" s="489" t="s">
        <v>46</v>
      </c>
      <c r="E12" s="619">
        <v>806</v>
      </c>
      <c r="F12" s="624">
        <f t="shared" si="15"/>
        <v>125.09429280397022</v>
      </c>
      <c r="G12" s="519">
        <f t="shared" si="16"/>
        <v>138.72</v>
      </c>
      <c r="H12" s="519">
        <f t="shared" si="17"/>
        <v>133.3235294117647</v>
      </c>
      <c r="I12" s="519">
        <f t="shared" si="18"/>
        <v>129.16666666666666</v>
      </c>
      <c r="J12" s="519">
        <f t="shared" si="19"/>
        <v>131.53846153846155</v>
      </c>
      <c r="K12" s="519">
        <f t="shared" si="20"/>
        <v>146.91304347826087</v>
      </c>
      <c r="L12" s="519">
        <f t="shared" si="21"/>
        <v>141.32534246575344</v>
      </c>
      <c r="M12" s="519">
        <f t="shared" si="22"/>
        <v>111.60416666666667</v>
      </c>
      <c r="N12" s="519">
        <f t="shared" si="23"/>
        <v>105.71929824561404</v>
      </c>
      <c r="O12" s="519">
        <f t="shared" si="24"/>
        <v>106</v>
      </c>
      <c r="P12" s="519">
        <f t="shared" si="25"/>
        <v>0</v>
      </c>
      <c r="Q12" s="519">
        <f t="shared" si="26"/>
        <v>0</v>
      </c>
      <c r="R12" s="519">
        <f t="shared" si="27"/>
        <v>0</v>
      </c>
      <c r="S12" s="519">
        <f t="shared" si="28"/>
        <v>0</v>
      </c>
      <c r="T12" s="519">
        <f t="shared" si="29"/>
        <v>0</v>
      </c>
      <c r="U12" s="519">
        <f t="shared" si="30"/>
        <v>0</v>
      </c>
      <c r="V12" s="618"/>
      <c r="Y12" s="624">
        <v>125.09429280397022</v>
      </c>
      <c r="Z12" s="519">
        <v>138.72</v>
      </c>
      <c r="AA12" s="519">
        <v>133.3235294117647</v>
      </c>
      <c r="AB12" s="519">
        <v>129.16666666666666</v>
      </c>
      <c r="AC12" s="519">
        <v>131.53846153846155</v>
      </c>
      <c r="AD12" s="519">
        <v>146.91304347826087</v>
      </c>
      <c r="AE12" s="519">
        <v>141.32534246575344</v>
      </c>
      <c r="AF12" s="519">
        <v>111.60416666666667</v>
      </c>
      <c r="AG12" s="519">
        <v>105.71929824561404</v>
      </c>
      <c r="AH12" s="519">
        <v>106</v>
      </c>
      <c r="AI12" s="519">
        <v>0</v>
      </c>
      <c r="AJ12" s="519">
        <v>0</v>
      </c>
      <c r="AK12" s="519">
        <v>0</v>
      </c>
      <c r="AL12" s="519">
        <v>0</v>
      </c>
      <c r="AM12" s="519">
        <v>0</v>
      </c>
      <c r="AN12" s="519">
        <v>0</v>
      </c>
    </row>
    <row r="13" spans="1:40" x14ac:dyDescent="0.3">
      <c r="A13" s="489" t="s">
        <v>1414</v>
      </c>
      <c r="B13" s="489" t="s">
        <v>1435</v>
      </c>
      <c r="C13" s="489" t="s">
        <v>1436</v>
      </c>
      <c r="D13" s="489" t="s">
        <v>141</v>
      </c>
      <c r="E13" s="619">
        <v>771</v>
      </c>
      <c r="F13" s="624">
        <f t="shared" si="15"/>
        <v>0</v>
      </c>
      <c r="G13" s="519">
        <f t="shared" si="16"/>
        <v>0</v>
      </c>
      <c r="H13" s="519">
        <f t="shared" si="17"/>
        <v>0</v>
      </c>
      <c r="I13" s="519">
        <f t="shared" si="18"/>
        <v>0</v>
      </c>
      <c r="J13" s="519">
        <f t="shared" si="19"/>
        <v>0</v>
      </c>
      <c r="K13" s="519">
        <f t="shared" si="20"/>
        <v>0</v>
      </c>
      <c r="L13" s="519">
        <f t="shared" si="21"/>
        <v>0</v>
      </c>
      <c r="M13" s="519">
        <f t="shared" si="22"/>
        <v>0</v>
      </c>
      <c r="N13" s="519">
        <f t="shared" si="23"/>
        <v>0</v>
      </c>
      <c r="O13" s="519">
        <f t="shared" si="24"/>
        <v>0</v>
      </c>
      <c r="P13" s="519">
        <f t="shared" si="25"/>
        <v>0</v>
      </c>
      <c r="Q13" s="519">
        <f t="shared" si="26"/>
        <v>0</v>
      </c>
      <c r="R13" s="519">
        <f t="shared" si="27"/>
        <v>0</v>
      </c>
      <c r="S13" s="519">
        <f t="shared" si="28"/>
        <v>0</v>
      </c>
      <c r="T13" s="519">
        <f t="shared" si="29"/>
        <v>0</v>
      </c>
      <c r="U13" s="519">
        <f t="shared" si="30"/>
        <v>0</v>
      </c>
      <c r="V13" s="618"/>
      <c r="Y13" s="624">
        <v>0</v>
      </c>
      <c r="Z13" s="519">
        <v>0</v>
      </c>
      <c r="AA13" s="519">
        <v>0</v>
      </c>
      <c r="AB13" s="519">
        <v>0</v>
      </c>
      <c r="AC13" s="519">
        <v>0</v>
      </c>
      <c r="AD13" s="519">
        <v>0</v>
      </c>
      <c r="AE13" s="519">
        <v>0</v>
      </c>
      <c r="AF13" s="519">
        <v>0</v>
      </c>
      <c r="AG13" s="519">
        <v>0</v>
      </c>
      <c r="AH13" s="519">
        <v>0</v>
      </c>
      <c r="AI13" s="519">
        <v>0</v>
      </c>
      <c r="AJ13" s="519">
        <v>0</v>
      </c>
      <c r="AK13" s="519">
        <v>0</v>
      </c>
      <c r="AL13" s="519">
        <v>0</v>
      </c>
      <c r="AM13" s="519">
        <v>0</v>
      </c>
      <c r="AN13" s="519">
        <v>0</v>
      </c>
    </row>
    <row r="14" spans="1:40" x14ac:dyDescent="0.3">
      <c r="A14" s="489" t="s">
        <v>1441</v>
      </c>
      <c r="B14" s="489" t="s">
        <v>1445</v>
      </c>
      <c r="C14" s="489" t="s">
        <v>346</v>
      </c>
      <c r="D14" s="489" t="s">
        <v>46</v>
      </c>
      <c r="E14" s="619">
        <v>725</v>
      </c>
      <c r="F14" s="624">
        <f t="shared" si="15"/>
        <v>111.63072776280323</v>
      </c>
      <c r="G14" s="519">
        <f t="shared" si="16"/>
        <v>123.16981132075472</v>
      </c>
      <c r="H14" s="519">
        <f t="shared" si="17"/>
        <v>120.94117647058823</v>
      </c>
      <c r="I14" s="519">
        <f t="shared" si="18"/>
        <v>117.66037735849056</v>
      </c>
      <c r="J14" s="519">
        <f t="shared" si="19"/>
        <v>114.37037037037037</v>
      </c>
      <c r="K14" s="519">
        <f t="shared" si="20"/>
        <v>115.5</v>
      </c>
      <c r="L14" s="519">
        <f t="shared" si="21"/>
        <v>116.01612903225806</v>
      </c>
      <c r="M14" s="519">
        <f t="shared" si="22"/>
        <v>109.74647887323944</v>
      </c>
      <c r="N14" s="519">
        <f t="shared" si="23"/>
        <v>107.16666666666667</v>
      </c>
      <c r="O14" s="519">
        <f t="shared" si="24"/>
        <v>107.37704918032787</v>
      </c>
      <c r="P14" s="519">
        <f t="shared" si="25"/>
        <v>104.64285714285714</v>
      </c>
      <c r="Q14" s="519">
        <f t="shared" si="26"/>
        <v>103.87058823529412</v>
      </c>
      <c r="R14" s="519">
        <f t="shared" si="27"/>
        <v>110.84905660377359</v>
      </c>
      <c r="S14" s="519">
        <f t="shared" si="28"/>
        <v>114.44680851063829</v>
      </c>
      <c r="T14" s="519">
        <f t="shared" si="29"/>
        <v>114.33333333333333</v>
      </c>
      <c r="U14" s="519">
        <f t="shared" si="30"/>
        <v>119.88888888888889</v>
      </c>
      <c r="V14" s="618"/>
      <c r="Y14" s="624">
        <v>111.63072776280323</v>
      </c>
      <c r="Z14" s="519">
        <v>123.16981132075472</v>
      </c>
      <c r="AA14" s="519">
        <v>120.94117647058823</v>
      </c>
      <c r="AB14" s="519">
        <v>117.66037735849056</v>
      </c>
      <c r="AC14" s="519">
        <v>114.37037037037037</v>
      </c>
      <c r="AD14" s="519">
        <v>115.5</v>
      </c>
      <c r="AE14" s="519">
        <v>116.01612903225806</v>
      </c>
      <c r="AF14" s="519">
        <v>109.74647887323944</v>
      </c>
      <c r="AG14" s="519">
        <v>107.16666666666667</v>
      </c>
      <c r="AH14" s="519">
        <v>107.37704918032787</v>
      </c>
      <c r="AI14" s="519">
        <v>104.64285714285714</v>
      </c>
      <c r="AJ14" s="519">
        <v>103.87058823529412</v>
      </c>
      <c r="AK14" s="519">
        <v>110.84905660377359</v>
      </c>
      <c r="AL14" s="519">
        <v>114.44680851063829</v>
      </c>
      <c r="AM14" s="519">
        <v>114.33333333333333</v>
      </c>
      <c r="AN14" s="519">
        <v>119.88888888888889</v>
      </c>
    </row>
    <row r="15" spans="1:40" x14ac:dyDescent="0.3">
      <c r="A15" s="489" t="s">
        <v>1451</v>
      </c>
      <c r="B15" s="489" t="s">
        <v>1452</v>
      </c>
      <c r="C15" s="489" t="s">
        <v>1453</v>
      </c>
      <c r="D15" s="489" t="s">
        <v>141</v>
      </c>
      <c r="E15" s="619">
        <v>672</v>
      </c>
      <c r="F15" s="624">
        <f t="shared" si="15"/>
        <v>0</v>
      </c>
      <c r="G15" s="519">
        <f t="shared" si="16"/>
        <v>0</v>
      </c>
      <c r="H15" s="519">
        <f t="shared" si="17"/>
        <v>0</v>
      </c>
      <c r="I15" s="519">
        <f t="shared" si="18"/>
        <v>0</v>
      </c>
      <c r="J15" s="519">
        <f t="shared" si="19"/>
        <v>0</v>
      </c>
      <c r="K15" s="519">
        <f t="shared" si="20"/>
        <v>0</v>
      </c>
      <c r="L15" s="519">
        <f t="shared" si="21"/>
        <v>0</v>
      </c>
      <c r="M15" s="519">
        <f t="shared" si="22"/>
        <v>0</v>
      </c>
      <c r="N15" s="519">
        <f t="shared" si="23"/>
        <v>0</v>
      </c>
      <c r="O15" s="519">
        <f t="shared" si="24"/>
        <v>0</v>
      </c>
      <c r="P15" s="519">
        <f t="shared" si="25"/>
        <v>0</v>
      </c>
      <c r="Q15" s="519">
        <f t="shared" si="26"/>
        <v>0</v>
      </c>
      <c r="R15" s="519">
        <f t="shared" si="27"/>
        <v>0</v>
      </c>
      <c r="S15" s="519">
        <f t="shared" si="28"/>
        <v>0</v>
      </c>
      <c r="T15" s="519">
        <f t="shared" si="29"/>
        <v>0</v>
      </c>
      <c r="U15" s="519">
        <f t="shared" si="30"/>
        <v>0</v>
      </c>
      <c r="V15" s="618"/>
      <c r="Y15" s="624">
        <v>0</v>
      </c>
      <c r="Z15" s="519">
        <v>0</v>
      </c>
      <c r="AA15" s="519">
        <v>0</v>
      </c>
      <c r="AB15" s="519">
        <v>0</v>
      </c>
      <c r="AC15" s="519">
        <v>0</v>
      </c>
      <c r="AD15" s="519">
        <v>0</v>
      </c>
      <c r="AE15" s="519">
        <v>0</v>
      </c>
      <c r="AF15" s="519">
        <v>0</v>
      </c>
      <c r="AG15" s="519">
        <v>0</v>
      </c>
      <c r="AH15" s="519">
        <v>0</v>
      </c>
      <c r="AI15" s="519">
        <v>0</v>
      </c>
      <c r="AJ15" s="519">
        <v>0</v>
      </c>
      <c r="AK15" s="519">
        <v>0</v>
      </c>
      <c r="AL15" s="519">
        <v>0</v>
      </c>
      <c r="AM15" s="519">
        <v>0</v>
      </c>
      <c r="AN15" s="519">
        <v>0</v>
      </c>
    </row>
    <row r="16" spans="1:40" x14ac:dyDescent="0.3">
      <c r="A16" s="489" t="s">
        <v>1422</v>
      </c>
      <c r="B16" s="489" t="s">
        <v>1547</v>
      </c>
      <c r="C16" s="489" t="s">
        <v>1548</v>
      </c>
      <c r="D16" s="489" t="s">
        <v>46</v>
      </c>
      <c r="E16" s="619">
        <v>670</v>
      </c>
      <c r="F16" s="624">
        <f t="shared" si="15"/>
        <v>112.23880597014926</v>
      </c>
      <c r="G16" s="519">
        <f t="shared" si="16"/>
        <v>129.07317073170731</v>
      </c>
      <c r="H16" s="519">
        <f t="shared" si="17"/>
        <v>124.61904761904762</v>
      </c>
      <c r="I16" s="519">
        <f t="shared" si="18"/>
        <v>115.41666666666667</v>
      </c>
      <c r="J16" s="519">
        <f t="shared" si="19"/>
        <v>113</v>
      </c>
      <c r="K16" s="519">
        <f t="shared" si="20"/>
        <v>129.91666666666666</v>
      </c>
      <c r="L16" s="519">
        <f t="shared" si="21"/>
        <v>133.7863247863248</v>
      </c>
      <c r="M16" s="519">
        <f t="shared" si="22"/>
        <v>110.5703125</v>
      </c>
      <c r="N16" s="519">
        <f t="shared" si="23"/>
        <v>103.14583333333333</v>
      </c>
      <c r="O16" s="519">
        <f t="shared" si="24"/>
        <v>101.13235294117646</v>
      </c>
      <c r="P16" s="519">
        <f t="shared" si="25"/>
        <v>101.14285714285714</v>
      </c>
      <c r="Q16" s="519">
        <f t="shared" si="26"/>
        <v>96.857142857142861</v>
      </c>
      <c r="R16" s="519">
        <f t="shared" si="27"/>
        <v>104.72413793103448</v>
      </c>
      <c r="S16" s="519">
        <f t="shared" si="28"/>
        <v>128</v>
      </c>
      <c r="T16" s="519">
        <f t="shared" si="29"/>
        <v>113.66666666666667</v>
      </c>
      <c r="U16" s="519">
        <f t="shared" si="30"/>
        <v>123</v>
      </c>
      <c r="V16" s="618"/>
      <c r="Y16" s="624">
        <v>112.23880597014926</v>
      </c>
      <c r="Z16" s="519">
        <v>129.07317073170731</v>
      </c>
      <c r="AA16" s="519">
        <v>124.61904761904762</v>
      </c>
      <c r="AB16" s="519">
        <v>115.41666666666667</v>
      </c>
      <c r="AC16" s="519">
        <v>113</v>
      </c>
      <c r="AD16" s="519">
        <v>129.91666666666666</v>
      </c>
      <c r="AE16" s="519">
        <v>133.7863247863248</v>
      </c>
      <c r="AF16" s="519">
        <v>110.5703125</v>
      </c>
      <c r="AG16" s="519">
        <v>103.14583333333333</v>
      </c>
      <c r="AH16" s="519">
        <v>101.13235294117646</v>
      </c>
      <c r="AI16" s="519">
        <v>101.14285714285714</v>
      </c>
      <c r="AJ16" s="519">
        <v>96.857142857142861</v>
      </c>
      <c r="AK16" s="519">
        <v>104.72413793103448</v>
      </c>
      <c r="AL16" s="519">
        <v>128</v>
      </c>
      <c r="AM16" s="519">
        <v>113.66666666666667</v>
      </c>
      <c r="AN16" s="519">
        <v>123</v>
      </c>
    </row>
    <row r="17" spans="1:40" x14ac:dyDescent="0.3">
      <c r="A17" s="489" t="s">
        <v>1441</v>
      </c>
      <c r="B17" s="489" t="s">
        <v>1447</v>
      </c>
      <c r="C17" s="489" t="s">
        <v>1448</v>
      </c>
      <c r="D17" s="489" t="s">
        <v>1529</v>
      </c>
      <c r="E17" s="619">
        <v>484</v>
      </c>
      <c r="F17" s="624">
        <f t="shared" si="15"/>
        <v>208.11363636363637</v>
      </c>
      <c r="G17" s="519">
        <f t="shared" si="16"/>
        <v>207.90374331550802</v>
      </c>
      <c r="H17" s="519">
        <f t="shared" si="17"/>
        <v>207.90374331550802</v>
      </c>
      <c r="I17" s="519">
        <f t="shared" si="18"/>
        <v>207.90374331550802</v>
      </c>
      <c r="J17" s="519">
        <f t="shared" si="19"/>
        <v>207.90374331550802</v>
      </c>
      <c r="K17" s="519">
        <f t="shared" si="20"/>
        <v>207.90374331550802</v>
      </c>
      <c r="L17" s="519">
        <f t="shared" si="21"/>
        <v>207.90374331550802</v>
      </c>
      <c r="M17" s="519">
        <f t="shared" si="22"/>
        <v>207.90374331550802</v>
      </c>
      <c r="N17" s="519">
        <f t="shared" si="23"/>
        <v>208.01083032490973</v>
      </c>
      <c r="O17" s="519">
        <f t="shared" si="24"/>
        <v>208</v>
      </c>
      <c r="P17" s="519">
        <f t="shared" si="25"/>
        <v>243</v>
      </c>
      <c r="Q17" s="519">
        <f t="shared" si="26"/>
        <v>243</v>
      </c>
      <c r="R17" s="519">
        <f t="shared" si="27"/>
        <v>243</v>
      </c>
      <c r="S17" s="519">
        <f t="shared" si="28"/>
        <v>243</v>
      </c>
      <c r="T17" s="519">
        <f t="shared" si="29"/>
        <v>243</v>
      </c>
      <c r="U17" s="519">
        <f t="shared" si="30"/>
        <v>0</v>
      </c>
      <c r="V17" s="618"/>
      <c r="Y17" s="624">
        <v>208.11363636363637</v>
      </c>
      <c r="Z17" s="519">
        <v>0</v>
      </c>
      <c r="AA17" s="519">
        <v>0</v>
      </c>
      <c r="AB17" s="519">
        <v>0</v>
      </c>
      <c r="AC17" s="519">
        <v>0</v>
      </c>
      <c r="AD17" s="519">
        <v>0</v>
      </c>
      <c r="AE17" s="519">
        <v>0</v>
      </c>
      <c r="AF17" s="519">
        <v>207.90374331550802</v>
      </c>
      <c r="AG17" s="519">
        <v>208.01083032490973</v>
      </c>
      <c r="AH17" s="519">
        <v>208</v>
      </c>
      <c r="AI17" s="519">
        <v>0</v>
      </c>
      <c r="AJ17" s="519">
        <v>0</v>
      </c>
      <c r="AK17" s="519">
        <v>0</v>
      </c>
      <c r="AL17" s="519">
        <v>0</v>
      </c>
      <c r="AM17" s="519">
        <v>243</v>
      </c>
      <c r="AN17" s="519">
        <v>0</v>
      </c>
    </row>
    <row r="18" spans="1:40" x14ac:dyDescent="0.3">
      <c r="A18" s="489" t="s">
        <v>1419</v>
      </c>
      <c r="B18" s="489" t="s">
        <v>1420</v>
      </c>
      <c r="C18" s="489" t="s">
        <v>1421</v>
      </c>
      <c r="D18" s="489" t="s">
        <v>141</v>
      </c>
      <c r="E18" s="619">
        <v>436</v>
      </c>
      <c r="F18" s="624">
        <f t="shared" si="15"/>
        <v>0</v>
      </c>
      <c r="G18" s="519">
        <f t="shared" si="16"/>
        <v>0</v>
      </c>
      <c r="H18" s="519">
        <f t="shared" si="17"/>
        <v>0</v>
      </c>
      <c r="I18" s="519">
        <f t="shared" si="18"/>
        <v>0</v>
      </c>
      <c r="J18" s="519">
        <f t="shared" si="19"/>
        <v>0</v>
      </c>
      <c r="K18" s="519">
        <f t="shared" si="20"/>
        <v>0</v>
      </c>
      <c r="L18" s="519">
        <f t="shared" si="21"/>
        <v>0</v>
      </c>
      <c r="M18" s="519">
        <f t="shared" si="22"/>
        <v>0</v>
      </c>
      <c r="N18" s="519">
        <f t="shared" si="23"/>
        <v>0</v>
      </c>
      <c r="O18" s="519">
        <f t="shared" si="24"/>
        <v>0</v>
      </c>
      <c r="P18" s="519">
        <f t="shared" si="25"/>
        <v>0</v>
      </c>
      <c r="Q18" s="519">
        <f t="shared" si="26"/>
        <v>0</v>
      </c>
      <c r="R18" s="519">
        <f t="shared" si="27"/>
        <v>0</v>
      </c>
      <c r="S18" s="519">
        <f t="shared" si="28"/>
        <v>0</v>
      </c>
      <c r="T18" s="519">
        <f t="shared" si="29"/>
        <v>0</v>
      </c>
      <c r="U18" s="519">
        <f t="shared" si="30"/>
        <v>0</v>
      </c>
      <c r="V18" s="618"/>
      <c r="Y18" s="624">
        <v>0</v>
      </c>
      <c r="Z18" s="519">
        <v>0</v>
      </c>
      <c r="AA18" s="519">
        <v>0</v>
      </c>
      <c r="AB18" s="519">
        <v>0</v>
      </c>
      <c r="AC18" s="519">
        <v>0</v>
      </c>
      <c r="AD18" s="519">
        <v>0</v>
      </c>
      <c r="AE18" s="519">
        <v>0</v>
      </c>
      <c r="AF18" s="519">
        <v>0</v>
      </c>
      <c r="AG18" s="519">
        <v>0</v>
      </c>
      <c r="AH18" s="519">
        <v>0</v>
      </c>
      <c r="AI18" s="519">
        <v>0</v>
      </c>
      <c r="AJ18" s="519">
        <v>0</v>
      </c>
      <c r="AK18" s="519">
        <v>0</v>
      </c>
      <c r="AL18" s="519">
        <v>0</v>
      </c>
      <c r="AM18" s="519">
        <v>0</v>
      </c>
      <c r="AN18" s="519">
        <v>0</v>
      </c>
    </row>
    <row r="19" spans="1:40" x14ac:dyDescent="0.3">
      <c r="A19" s="489" t="s">
        <v>1426</v>
      </c>
      <c r="B19" s="489" t="s">
        <v>343</v>
      </c>
      <c r="C19" s="489" t="s">
        <v>343</v>
      </c>
      <c r="D19" s="489" t="s">
        <v>1929</v>
      </c>
      <c r="E19" s="619">
        <v>423</v>
      </c>
      <c r="F19" s="624">
        <f t="shared" si="15"/>
        <v>87.557919621749406</v>
      </c>
      <c r="G19" s="519">
        <f t="shared" si="16"/>
        <v>94.75</v>
      </c>
      <c r="H19" s="519">
        <f t="shared" si="17"/>
        <v>97.555555555555557</v>
      </c>
      <c r="I19" s="519">
        <f t="shared" si="18"/>
        <v>94.958333333333329</v>
      </c>
      <c r="J19" s="519">
        <f t="shared" si="19"/>
        <v>89.458333333333329</v>
      </c>
      <c r="K19" s="519">
        <f t="shared" si="20"/>
        <v>86</v>
      </c>
      <c r="L19" s="519">
        <f t="shared" si="21"/>
        <v>91.260869565217391</v>
      </c>
      <c r="M19" s="519">
        <f t="shared" si="22"/>
        <v>86.05</v>
      </c>
      <c r="N19" s="519">
        <f t="shared" si="23"/>
        <v>86.272727272727266</v>
      </c>
      <c r="O19" s="519">
        <f t="shared" si="24"/>
        <v>83.909090909090907</v>
      </c>
      <c r="P19" s="519">
        <f t="shared" si="25"/>
        <v>82.358024691358025</v>
      </c>
      <c r="Q19" s="519">
        <f t="shared" si="26"/>
        <v>86.828571428571422</v>
      </c>
      <c r="R19" s="519">
        <f t="shared" si="27"/>
        <v>90.446153846153848</v>
      </c>
      <c r="S19" s="519">
        <f t="shared" si="28"/>
        <v>93</v>
      </c>
      <c r="T19" s="519">
        <f t="shared" si="29"/>
        <v>89</v>
      </c>
      <c r="U19" s="519">
        <f t="shared" si="30"/>
        <v>0</v>
      </c>
      <c r="V19" s="618"/>
      <c r="Y19" s="624">
        <v>87.557919621749406</v>
      </c>
      <c r="Z19" s="519">
        <v>94.75</v>
      </c>
      <c r="AA19" s="519">
        <v>97.555555555555557</v>
      </c>
      <c r="AB19" s="519">
        <v>94.958333333333329</v>
      </c>
      <c r="AC19" s="519">
        <v>89.458333333333329</v>
      </c>
      <c r="AD19" s="519">
        <v>86</v>
      </c>
      <c r="AE19" s="519">
        <v>91.260869565217391</v>
      </c>
      <c r="AF19" s="519">
        <v>86.05</v>
      </c>
      <c r="AG19" s="519">
        <v>86.272727272727266</v>
      </c>
      <c r="AH19" s="519">
        <v>83.909090909090907</v>
      </c>
      <c r="AI19" s="519">
        <v>82.358024691358025</v>
      </c>
      <c r="AJ19" s="519">
        <v>86.828571428571422</v>
      </c>
      <c r="AK19" s="519">
        <v>90.446153846153848</v>
      </c>
      <c r="AL19" s="519">
        <v>93</v>
      </c>
      <c r="AM19" s="519">
        <v>89</v>
      </c>
      <c r="AN19" s="519">
        <v>0</v>
      </c>
    </row>
    <row r="20" spans="1:40" x14ac:dyDescent="0.3">
      <c r="A20" s="489" t="s">
        <v>1419</v>
      </c>
      <c r="B20" s="489" t="s">
        <v>1446</v>
      </c>
      <c r="C20" s="489" t="s">
        <v>1218</v>
      </c>
      <c r="D20" s="489" t="s">
        <v>141</v>
      </c>
      <c r="E20" s="619">
        <v>422</v>
      </c>
      <c r="F20" s="624">
        <f t="shared" si="15"/>
        <v>0</v>
      </c>
      <c r="G20" s="519">
        <f t="shared" si="16"/>
        <v>0</v>
      </c>
      <c r="H20" s="519">
        <f t="shared" si="17"/>
        <v>0</v>
      </c>
      <c r="I20" s="519">
        <f t="shared" si="18"/>
        <v>0</v>
      </c>
      <c r="J20" s="519">
        <f t="shared" si="19"/>
        <v>0</v>
      </c>
      <c r="K20" s="519">
        <f t="shared" si="20"/>
        <v>0</v>
      </c>
      <c r="L20" s="519">
        <f t="shared" si="21"/>
        <v>0</v>
      </c>
      <c r="M20" s="519">
        <f t="shared" si="22"/>
        <v>0</v>
      </c>
      <c r="N20" s="519">
        <f t="shared" si="23"/>
        <v>0</v>
      </c>
      <c r="O20" s="519">
        <f t="shared" si="24"/>
        <v>0</v>
      </c>
      <c r="P20" s="519">
        <f t="shared" si="25"/>
        <v>0</v>
      </c>
      <c r="Q20" s="519">
        <f t="shared" si="26"/>
        <v>0</v>
      </c>
      <c r="R20" s="519">
        <f t="shared" si="27"/>
        <v>0</v>
      </c>
      <c r="S20" s="519">
        <f t="shared" si="28"/>
        <v>0</v>
      </c>
      <c r="T20" s="519">
        <f t="shared" si="29"/>
        <v>0</v>
      </c>
      <c r="U20" s="519">
        <f t="shared" si="30"/>
        <v>0</v>
      </c>
      <c r="V20" s="618"/>
      <c r="Y20" s="624">
        <v>0</v>
      </c>
      <c r="Z20" s="519">
        <v>0</v>
      </c>
      <c r="AA20" s="519">
        <v>0</v>
      </c>
      <c r="AB20" s="519">
        <v>0</v>
      </c>
      <c r="AC20" s="519">
        <v>0</v>
      </c>
      <c r="AD20" s="519">
        <v>0</v>
      </c>
      <c r="AE20" s="519">
        <v>0</v>
      </c>
      <c r="AF20" s="519">
        <v>0</v>
      </c>
      <c r="AG20" s="519">
        <v>0</v>
      </c>
      <c r="AH20" s="519">
        <v>0</v>
      </c>
      <c r="AI20" s="519">
        <v>0</v>
      </c>
      <c r="AJ20" s="519">
        <v>0</v>
      </c>
      <c r="AK20" s="519">
        <v>0</v>
      </c>
      <c r="AL20" s="519">
        <v>0</v>
      </c>
      <c r="AM20" s="519">
        <v>0</v>
      </c>
      <c r="AN20" s="519">
        <v>0</v>
      </c>
    </row>
    <row r="21" spans="1:40" x14ac:dyDescent="0.3">
      <c r="A21" s="489" t="s">
        <v>1441</v>
      </c>
      <c r="B21" s="489" t="s">
        <v>1549</v>
      </c>
      <c r="C21" s="489" t="s">
        <v>1550</v>
      </c>
      <c r="D21" s="489" t="s">
        <v>46</v>
      </c>
      <c r="E21" s="619">
        <v>409</v>
      </c>
      <c r="F21" s="624">
        <f t="shared" si="15"/>
        <v>134.47073170731707</v>
      </c>
      <c r="G21" s="519">
        <f t="shared" si="16"/>
        <v>146.46666666666667</v>
      </c>
      <c r="H21" s="519">
        <f t="shared" si="17"/>
        <v>136.5</v>
      </c>
      <c r="I21" s="519">
        <f t="shared" si="18"/>
        <v>135.61111111111111</v>
      </c>
      <c r="J21" s="519">
        <f t="shared" si="19"/>
        <v>138.09090909090909</v>
      </c>
      <c r="K21" s="519">
        <f t="shared" si="20"/>
        <v>147.04761904761904</v>
      </c>
      <c r="L21" s="519">
        <f t="shared" si="21"/>
        <v>148.5625</v>
      </c>
      <c r="M21" s="519">
        <f t="shared" si="22"/>
        <v>130.48979591836735</v>
      </c>
      <c r="N21" s="519">
        <f t="shared" si="23"/>
        <v>128.53333333333333</v>
      </c>
      <c r="O21" s="519">
        <f t="shared" si="24"/>
        <v>123.58823529411765</v>
      </c>
      <c r="P21" s="519">
        <f t="shared" si="25"/>
        <v>129.25</v>
      </c>
      <c r="Q21" s="519">
        <f t="shared" si="26"/>
        <v>142.80000000000001</v>
      </c>
      <c r="R21" s="519">
        <f t="shared" si="27"/>
        <v>140.33333333333334</v>
      </c>
      <c r="S21" s="519">
        <f t="shared" si="28"/>
        <v>141.17391304347825</v>
      </c>
      <c r="T21" s="519">
        <f t="shared" si="29"/>
        <v>145.92857142857142</v>
      </c>
      <c r="U21" s="519">
        <f t="shared" si="30"/>
        <v>166</v>
      </c>
      <c r="V21" s="618"/>
      <c r="Y21" s="624">
        <v>134.47073170731707</v>
      </c>
      <c r="Z21" s="519">
        <v>146.46666666666667</v>
      </c>
      <c r="AA21" s="519">
        <v>136.5</v>
      </c>
      <c r="AB21" s="519">
        <v>135.61111111111111</v>
      </c>
      <c r="AC21" s="519">
        <v>138.09090909090909</v>
      </c>
      <c r="AD21" s="519">
        <v>147.04761904761904</v>
      </c>
      <c r="AE21" s="519">
        <v>148.5625</v>
      </c>
      <c r="AF21" s="519">
        <v>130.48979591836735</v>
      </c>
      <c r="AG21" s="519">
        <v>128.53333333333333</v>
      </c>
      <c r="AH21" s="519">
        <v>123.58823529411765</v>
      </c>
      <c r="AI21" s="519">
        <v>129.25</v>
      </c>
      <c r="AJ21" s="519">
        <v>142.80000000000001</v>
      </c>
      <c r="AK21" s="519">
        <v>140.33333333333334</v>
      </c>
      <c r="AL21" s="519">
        <v>141.17391304347825</v>
      </c>
      <c r="AM21" s="519">
        <v>145.92857142857142</v>
      </c>
      <c r="AN21" s="519">
        <v>166</v>
      </c>
    </row>
    <row r="22" spans="1:40" x14ac:dyDescent="0.3">
      <c r="A22" s="489" t="s">
        <v>1414</v>
      </c>
      <c r="B22" s="489" t="s">
        <v>1449</v>
      </c>
      <c r="C22" s="489" t="s">
        <v>1450</v>
      </c>
      <c r="D22" s="489" t="s">
        <v>141</v>
      </c>
      <c r="E22" s="619">
        <v>396</v>
      </c>
      <c r="F22" s="624">
        <f t="shared" si="15"/>
        <v>0</v>
      </c>
      <c r="G22" s="519">
        <f t="shared" si="16"/>
        <v>0</v>
      </c>
      <c r="H22" s="519">
        <f t="shared" si="17"/>
        <v>0</v>
      </c>
      <c r="I22" s="519">
        <f t="shared" si="18"/>
        <v>0</v>
      </c>
      <c r="J22" s="519">
        <f t="shared" si="19"/>
        <v>0</v>
      </c>
      <c r="K22" s="519">
        <f t="shared" si="20"/>
        <v>0</v>
      </c>
      <c r="L22" s="519">
        <f t="shared" si="21"/>
        <v>0</v>
      </c>
      <c r="M22" s="519">
        <f t="shared" si="22"/>
        <v>0</v>
      </c>
      <c r="N22" s="519">
        <f t="shared" si="23"/>
        <v>0</v>
      </c>
      <c r="O22" s="519">
        <f t="shared" si="24"/>
        <v>0</v>
      </c>
      <c r="P22" s="519">
        <f t="shared" si="25"/>
        <v>0</v>
      </c>
      <c r="Q22" s="519">
        <f t="shared" si="26"/>
        <v>0</v>
      </c>
      <c r="R22" s="519">
        <f t="shared" si="27"/>
        <v>0</v>
      </c>
      <c r="S22" s="519">
        <f t="shared" si="28"/>
        <v>0</v>
      </c>
      <c r="T22" s="519">
        <f t="shared" si="29"/>
        <v>0</v>
      </c>
      <c r="U22" s="519">
        <f t="shared" si="30"/>
        <v>0</v>
      </c>
      <c r="V22" s="618"/>
      <c r="Y22" s="624">
        <v>0</v>
      </c>
      <c r="Z22" s="519">
        <v>0</v>
      </c>
      <c r="AA22" s="519">
        <v>0</v>
      </c>
      <c r="AB22" s="519">
        <v>0</v>
      </c>
      <c r="AC22" s="519">
        <v>0</v>
      </c>
      <c r="AD22" s="519">
        <v>0</v>
      </c>
      <c r="AE22" s="519">
        <v>0</v>
      </c>
      <c r="AF22" s="519">
        <v>0</v>
      </c>
      <c r="AG22" s="519">
        <v>0</v>
      </c>
      <c r="AH22" s="519">
        <v>0</v>
      </c>
      <c r="AI22" s="519">
        <v>0</v>
      </c>
      <c r="AJ22" s="519">
        <v>0</v>
      </c>
      <c r="AK22" s="519">
        <v>0</v>
      </c>
      <c r="AL22" s="519">
        <v>0</v>
      </c>
      <c r="AM22" s="519">
        <v>0</v>
      </c>
      <c r="AN22" s="519">
        <v>0</v>
      </c>
    </row>
    <row r="23" spans="1:40" x14ac:dyDescent="0.3">
      <c r="A23" s="489" t="s">
        <v>1441</v>
      </c>
      <c r="B23" s="489" t="s">
        <v>1551</v>
      </c>
      <c r="C23" s="489" t="s">
        <v>1552</v>
      </c>
      <c r="D23" s="489" t="s">
        <v>46</v>
      </c>
      <c r="E23" s="619">
        <v>394</v>
      </c>
      <c r="F23" s="624">
        <f t="shared" si="15"/>
        <v>130.76455696202532</v>
      </c>
      <c r="G23" s="519">
        <f t="shared" si="16"/>
        <v>147.44444444444446</v>
      </c>
      <c r="H23" s="519">
        <f t="shared" si="17"/>
        <v>133.8125</v>
      </c>
      <c r="I23" s="519">
        <f t="shared" si="18"/>
        <v>122.46666666666667</v>
      </c>
      <c r="J23" s="519">
        <f t="shared" si="19"/>
        <v>127</v>
      </c>
      <c r="K23" s="519">
        <f t="shared" si="20"/>
        <v>131.19999999999999</v>
      </c>
      <c r="L23" s="519">
        <f t="shared" si="21"/>
        <v>141.38888888888889</v>
      </c>
      <c r="M23" s="519">
        <f t="shared" si="22"/>
        <v>127.52380952380952</v>
      </c>
      <c r="N23" s="519">
        <f t="shared" si="23"/>
        <v>121.1875</v>
      </c>
      <c r="O23" s="519">
        <f t="shared" si="24"/>
        <v>123.31914893617021</v>
      </c>
      <c r="P23" s="519">
        <f t="shared" si="25"/>
        <v>132.125</v>
      </c>
      <c r="Q23" s="519">
        <f t="shared" si="26"/>
        <v>134.2280701754386</v>
      </c>
      <c r="R23" s="519">
        <f t="shared" si="27"/>
        <v>133.85</v>
      </c>
      <c r="S23" s="519">
        <f t="shared" si="28"/>
        <v>133.9</v>
      </c>
      <c r="T23" s="519">
        <f t="shared" si="29"/>
        <v>144.33333333333334</v>
      </c>
      <c r="U23" s="519">
        <f t="shared" si="30"/>
        <v>148</v>
      </c>
      <c r="V23" s="618"/>
      <c r="Y23" s="624">
        <v>130.76455696202532</v>
      </c>
      <c r="Z23" s="519">
        <v>147.44444444444446</v>
      </c>
      <c r="AA23" s="519">
        <v>133.8125</v>
      </c>
      <c r="AB23" s="519">
        <v>122.46666666666667</v>
      </c>
      <c r="AC23" s="519">
        <v>127</v>
      </c>
      <c r="AD23" s="519">
        <v>131.19999999999999</v>
      </c>
      <c r="AE23" s="519">
        <v>141.38888888888889</v>
      </c>
      <c r="AF23" s="519">
        <v>127.52380952380952</v>
      </c>
      <c r="AG23" s="519">
        <v>121.1875</v>
      </c>
      <c r="AH23" s="519">
        <v>123.31914893617021</v>
      </c>
      <c r="AI23" s="519">
        <v>132.125</v>
      </c>
      <c r="AJ23" s="519">
        <v>134.2280701754386</v>
      </c>
      <c r="AK23" s="519">
        <v>133.85</v>
      </c>
      <c r="AL23" s="519">
        <v>133.9</v>
      </c>
      <c r="AM23" s="519">
        <v>144.33333333333334</v>
      </c>
      <c r="AN23" s="519">
        <v>148</v>
      </c>
    </row>
    <row r="24" spans="1:40" x14ac:dyDescent="0.3">
      <c r="A24" s="489" t="s">
        <v>1422</v>
      </c>
      <c r="B24" s="489" t="s">
        <v>1423</v>
      </c>
      <c r="C24" s="489" t="s">
        <v>1424</v>
      </c>
      <c r="D24" s="489" t="s">
        <v>46</v>
      </c>
      <c r="E24" s="619">
        <v>387</v>
      </c>
      <c r="F24" s="624">
        <f t="shared" si="15"/>
        <v>120.93798449612403</v>
      </c>
      <c r="G24" s="519">
        <f t="shared" si="16"/>
        <v>134.22222222222223</v>
      </c>
      <c r="H24" s="519">
        <f t="shared" si="17"/>
        <v>135.80645161290323</v>
      </c>
      <c r="I24" s="519">
        <f t="shared" si="18"/>
        <v>122.3</v>
      </c>
      <c r="J24" s="519">
        <f t="shared" si="19"/>
        <v>115.85714285714286</v>
      </c>
      <c r="K24" s="519">
        <f t="shared" si="20"/>
        <v>124.33333333333333</v>
      </c>
      <c r="L24" s="519">
        <f t="shared" si="21"/>
        <v>139.86486486486487</v>
      </c>
      <c r="M24" s="519">
        <f t="shared" si="22"/>
        <v>114.10843373493977</v>
      </c>
      <c r="N24" s="519">
        <f t="shared" si="23"/>
        <v>108.95744680851064</v>
      </c>
      <c r="O24" s="519">
        <f t="shared" si="24"/>
        <v>107.18</v>
      </c>
      <c r="P24" s="519">
        <f t="shared" si="25"/>
        <v>110.29411764705883</v>
      </c>
      <c r="Q24" s="519">
        <f t="shared" si="26"/>
        <v>116.28571428571429</v>
      </c>
      <c r="R24" s="519">
        <f t="shared" si="27"/>
        <v>114.875</v>
      </c>
      <c r="S24" s="519">
        <f t="shared" si="28"/>
        <v>119.5</v>
      </c>
      <c r="T24" s="519">
        <f t="shared" si="29"/>
        <v>114</v>
      </c>
      <c r="U24" s="519">
        <f t="shared" si="30"/>
        <v>0</v>
      </c>
      <c r="V24" s="618"/>
      <c r="Y24" s="624">
        <v>120.93798449612403</v>
      </c>
      <c r="Z24" s="519">
        <v>134.22222222222223</v>
      </c>
      <c r="AA24" s="519">
        <v>135.80645161290323</v>
      </c>
      <c r="AB24" s="519">
        <v>122.3</v>
      </c>
      <c r="AC24" s="519">
        <v>115.85714285714286</v>
      </c>
      <c r="AD24" s="519">
        <v>124.33333333333333</v>
      </c>
      <c r="AE24" s="519">
        <v>139.86486486486487</v>
      </c>
      <c r="AF24" s="519">
        <v>114.10843373493977</v>
      </c>
      <c r="AG24" s="519">
        <v>108.95744680851064</v>
      </c>
      <c r="AH24" s="519">
        <v>107.18</v>
      </c>
      <c r="AI24" s="519">
        <v>110.29411764705883</v>
      </c>
      <c r="AJ24" s="519">
        <v>116.28571428571429</v>
      </c>
      <c r="AK24" s="519">
        <v>114.875</v>
      </c>
      <c r="AL24" s="519">
        <v>119.5</v>
      </c>
      <c r="AM24" s="519">
        <v>114</v>
      </c>
      <c r="AN24" s="519">
        <v>0</v>
      </c>
    </row>
    <row r="25" spans="1:40" x14ac:dyDescent="0.3">
      <c r="A25" s="489" t="s">
        <v>1414</v>
      </c>
      <c r="B25" s="489" t="s">
        <v>1430</v>
      </c>
      <c r="C25" s="489" t="s">
        <v>1431</v>
      </c>
      <c r="D25" s="489" t="s">
        <v>1530</v>
      </c>
      <c r="E25" s="619">
        <v>373</v>
      </c>
      <c r="F25" s="624">
        <f t="shared" si="15"/>
        <v>198.50938337801608</v>
      </c>
      <c r="G25" s="519">
        <f t="shared" si="16"/>
        <v>204</v>
      </c>
      <c r="H25" s="519">
        <f t="shared" si="17"/>
        <v>204</v>
      </c>
      <c r="I25" s="519">
        <f t="shared" si="18"/>
        <v>204</v>
      </c>
      <c r="J25" s="519">
        <f t="shared" si="19"/>
        <v>204</v>
      </c>
      <c r="K25" s="519">
        <f t="shared" si="20"/>
        <v>204</v>
      </c>
      <c r="L25" s="519">
        <f t="shared" si="21"/>
        <v>204</v>
      </c>
      <c r="M25" s="519">
        <f t="shared" si="22"/>
        <v>204</v>
      </c>
      <c r="N25" s="519">
        <f t="shared" si="23"/>
        <v>204</v>
      </c>
      <c r="O25" s="519">
        <f t="shared" si="24"/>
        <v>204.21238938053096</v>
      </c>
      <c r="P25" s="519">
        <f t="shared" si="25"/>
        <v>205.19148936170214</v>
      </c>
      <c r="Q25" s="519">
        <f t="shared" si="26"/>
        <v>205.34426229508196</v>
      </c>
      <c r="R25" s="519">
        <f t="shared" si="27"/>
        <v>238</v>
      </c>
      <c r="S25" s="519">
        <f t="shared" si="28"/>
        <v>238</v>
      </c>
      <c r="T25" s="519">
        <f t="shared" si="29"/>
        <v>0</v>
      </c>
      <c r="U25" s="519">
        <f t="shared" si="30"/>
        <v>0</v>
      </c>
      <c r="V25" s="618"/>
      <c r="Y25" s="624">
        <v>198.50938337801608</v>
      </c>
      <c r="Z25" s="519">
        <v>0</v>
      </c>
      <c r="AA25" s="519">
        <v>0</v>
      </c>
      <c r="AB25" s="519">
        <v>0</v>
      </c>
      <c r="AC25" s="519">
        <v>0</v>
      </c>
      <c r="AD25" s="519">
        <v>0</v>
      </c>
      <c r="AE25" s="519">
        <v>0</v>
      </c>
      <c r="AF25" s="519">
        <v>204</v>
      </c>
      <c r="AG25" s="519">
        <v>204</v>
      </c>
      <c r="AH25" s="519">
        <v>204.21238938053096</v>
      </c>
      <c r="AI25" s="519">
        <v>205.19148936170214</v>
      </c>
      <c r="AJ25" s="519">
        <v>205.34426229508196</v>
      </c>
      <c r="AK25" s="519">
        <v>0</v>
      </c>
      <c r="AL25" s="519">
        <v>238</v>
      </c>
      <c r="AM25" s="519">
        <v>0</v>
      </c>
      <c r="AN25" s="519">
        <v>0</v>
      </c>
    </row>
    <row r="26" spans="1:40" x14ac:dyDescent="0.3">
      <c r="A26" s="489" t="s">
        <v>1454</v>
      </c>
      <c r="B26" s="489" t="s">
        <v>1553</v>
      </c>
      <c r="C26" s="489" t="s">
        <v>1554</v>
      </c>
      <c r="D26" s="489" t="s">
        <v>46</v>
      </c>
      <c r="E26" s="619">
        <v>344</v>
      </c>
      <c r="F26" s="624">
        <f t="shared" si="15"/>
        <v>100.75290697674419</v>
      </c>
      <c r="G26" s="519">
        <f t="shared" si="16"/>
        <v>109.25</v>
      </c>
      <c r="H26" s="519">
        <f t="shared" si="17"/>
        <v>106</v>
      </c>
      <c r="I26" s="519">
        <f t="shared" si="18"/>
        <v>99.833333333333329</v>
      </c>
      <c r="J26" s="519">
        <f t="shared" si="19"/>
        <v>98.6875</v>
      </c>
      <c r="K26" s="519">
        <f t="shared" si="20"/>
        <v>97.5</v>
      </c>
      <c r="L26" s="519">
        <f t="shared" si="21"/>
        <v>100.2</v>
      </c>
      <c r="M26" s="519">
        <f t="shared" si="22"/>
        <v>97.651162790697668</v>
      </c>
      <c r="N26" s="519">
        <f t="shared" si="23"/>
        <v>100.56666666666666</v>
      </c>
      <c r="O26" s="519">
        <f t="shared" si="24"/>
        <v>99.88</v>
      </c>
      <c r="P26" s="519">
        <f t="shared" si="25"/>
        <v>100.13333333333334</v>
      </c>
      <c r="Q26" s="519">
        <f t="shared" si="26"/>
        <v>103.5625</v>
      </c>
      <c r="R26" s="519">
        <f t="shared" si="27"/>
        <v>99.870967741935488</v>
      </c>
      <c r="S26" s="519">
        <f t="shared" si="28"/>
        <v>99.78947368421052</v>
      </c>
      <c r="T26" s="519">
        <f t="shared" si="29"/>
        <v>109.80952380952381</v>
      </c>
      <c r="U26" s="519">
        <f t="shared" si="30"/>
        <v>114.25</v>
      </c>
      <c r="V26" s="618"/>
      <c r="Y26" s="624">
        <v>100.75290697674419</v>
      </c>
      <c r="Z26" s="519">
        <v>109.25</v>
      </c>
      <c r="AA26" s="519">
        <v>106</v>
      </c>
      <c r="AB26" s="519">
        <v>99.833333333333329</v>
      </c>
      <c r="AC26" s="519">
        <v>98.6875</v>
      </c>
      <c r="AD26" s="519">
        <v>97.5</v>
      </c>
      <c r="AE26" s="519">
        <v>100.2</v>
      </c>
      <c r="AF26" s="519">
        <v>97.651162790697668</v>
      </c>
      <c r="AG26" s="519">
        <v>100.56666666666666</v>
      </c>
      <c r="AH26" s="519">
        <v>99.88</v>
      </c>
      <c r="AI26" s="519">
        <v>100.13333333333334</v>
      </c>
      <c r="AJ26" s="519">
        <v>103.5625</v>
      </c>
      <c r="AK26" s="519">
        <v>99.870967741935488</v>
      </c>
      <c r="AL26" s="519">
        <v>99.78947368421052</v>
      </c>
      <c r="AM26" s="519">
        <v>109.80952380952381</v>
      </c>
      <c r="AN26" s="519">
        <v>114.25</v>
      </c>
    </row>
    <row r="27" spans="1:40" x14ac:dyDescent="0.3">
      <c r="A27" s="489" t="s">
        <v>1432</v>
      </c>
      <c r="B27" s="489" t="s">
        <v>1555</v>
      </c>
      <c r="C27" s="489" t="s">
        <v>1556</v>
      </c>
      <c r="D27" s="489" t="s">
        <v>141</v>
      </c>
      <c r="E27" s="619">
        <v>341</v>
      </c>
      <c r="F27" s="624">
        <f t="shared" si="15"/>
        <v>0</v>
      </c>
      <c r="G27" s="519">
        <f t="shared" si="16"/>
        <v>0</v>
      </c>
      <c r="H27" s="519">
        <f t="shared" si="17"/>
        <v>0</v>
      </c>
      <c r="I27" s="519">
        <f t="shared" si="18"/>
        <v>0</v>
      </c>
      <c r="J27" s="519">
        <f t="shared" si="19"/>
        <v>0</v>
      </c>
      <c r="K27" s="519">
        <f t="shared" si="20"/>
        <v>0</v>
      </c>
      <c r="L27" s="519">
        <f t="shared" si="21"/>
        <v>0</v>
      </c>
      <c r="M27" s="519">
        <f t="shared" si="22"/>
        <v>0</v>
      </c>
      <c r="N27" s="519">
        <f t="shared" si="23"/>
        <v>0</v>
      </c>
      <c r="O27" s="519">
        <f t="shared" si="24"/>
        <v>0</v>
      </c>
      <c r="P27" s="519">
        <f t="shared" si="25"/>
        <v>0</v>
      </c>
      <c r="Q27" s="519">
        <f t="shared" si="26"/>
        <v>0</v>
      </c>
      <c r="R27" s="519">
        <f t="shared" si="27"/>
        <v>0</v>
      </c>
      <c r="S27" s="519">
        <f t="shared" si="28"/>
        <v>0</v>
      </c>
      <c r="T27" s="519">
        <f t="shared" si="29"/>
        <v>0</v>
      </c>
      <c r="U27" s="519">
        <f t="shared" si="30"/>
        <v>0</v>
      </c>
      <c r="V27" s="618"/>
      <c r="Y27" s="624">
        <v>0</v>
      </c>
      <c r="Z27" s="519">
        <v>0</v>
      </c>
      <c r="AA27" s="519">
        <v>0</v>
      </c>
      <c r="AB27" s="519">
        <v>0</v>
      </c>
      <c r="AC27" s="519">
        <v>0</v>
      </c>
      <c r="AD27" s="519">
        <v>0</v>
      </c>
      <c r="AE27" s="519">
        <v>0</v>
      </c>
      <c r="AF27" s="519">
        <v>0</v>
      </c>
      <c r="AG27" s="519">
        <v>0</v>
      </c>
      <c r="AH27" s="519">
        <v>0</v>
      </c>
      <c r="AI27" s="519">
        <v>0</v>
      </c>
      <c r="AJ27" s="519">
        <v>0</v>
      </c>
      <c r="AK27" s="519">
        <v>0</v>
      </c>
      <c r="AL27" s="519">
        <v>0</v>
      </c>
      <c r="AM27" s="519">
        <v>0</v>
      </c>
      <c r="AN27" s="519">
        <v>0</v>
      </c>
    </row>
    <row r="28" spans="1:40" x14ac:dyDescent="0.3">
      <c r="A28" s="489" t="s">
        <v>1426</v>
      </c>
      <c r="B28" s="489" t="s">
        <v>343</v>
      </c>
      <c r="C28" s="489" t="s">
        <v>343</v>
      </c>
      <c r="D28" s="489" t="s">
        <v>1936</v>
      </c>
      <c r="E28" s="619">
        <v>325</v>
      </c>
      <c r="F28" s="624"/>
      <c r="G28" s="519"/>
      <c r="H28" s="519"/>
      <c r="I28" s="519"/>
      <c r="J28" s="519"/>
      <c r="K28" s="519"/>
      <c r="L28" s="519"/>
      <c r="M28" s="519"/>
      <c r="N28" s="519"/>
      <c r="O28" s="519"/>
      <c r="P28" s="519"/>
      <c r="Q28" s="519"/>
      <c r="R28" s="519"/>
      <c r="S28" s="519"/>
      <c r="T28" s="519"/>
      <c r="U28" s="519"/>
      <c r="V28" s="618"/>
      <c r="Y28" s="624">
        <v>0</v>
      </c>
      <c r="Z28" s="519">
        <v>0</v>
      </c>
      <c r="AA28" s="519">
        <v>0</v>
      </c>
      <c r="AB28" s="519">
        <v>0</v>
      </c>
      <c r="AC28" s="519">
        <v>0</v>
      </c>
      <c r="AD28" s="519">
        <v>0</v>
      </c>
      <c r="AE28" s="519">
        <v>0</v>
      </c>
      <c r="AF28" s="519">
        <v>0</v>
      </c>
      <c r="AG28" s="519">
        <v>0</v>
      </c>
      <c r="AH28" s="519">
        <v>0</v>
      </c>
      <c r="AI28" s="519">
        <v>0</v>
      </c>
      <c r="AJ28" s="519">
        <v>0</v>
      </c>
      <c r="AK28" s="519">
        <v>0</v>
      </c>
      <c r="AL28" s="519">
        <v>0</v>
      </c>
      <c r="AM28" s="519">
        <v>0</v>
      </c>
      <c r="AN28" s="519">
        <v>0</v>
      </c>
    </row>
    <row r="29" spans="1:40" x14ac:dyDescent="0.3">
      <c r="A29" s="489" t="s">
        <v>1441</v>
      </c>
      <c r="B29" s="489" t="s">
        <v>1447</v>
      </c>
      <c r="C29" s="489" t="s">
        <v>1448</v>
      </c>
      <c r="D29" s="489" t="s">
        <v>1530</v>
      </c>
      <c r="E29" s="619">
        <v>313</v>
      </c>
      <c r="F29" s="624">
        <f t="shared" si="15"/>
        <v>195.0223642172524</v>
      </c>
      <c r="G29" s="519">
        <f t="shared" si="16"/>
        <v>208</v>
      </c>
      <c r="H29" s="519">
        <f t="shared" si="17"/>
        <v>208</v>
      </c>
      <c r="I29" s="519">
        <f t="shared" si="18"/>
        <v>208</v>
      </c>
      <c r="J29" s="519">
        <f t="shared" si="19"/>
        <v>208</v>
      </c>
      <c r="K29" s="519">
        <f t="shared" si="20"/>
        <v>208</v>
      </c>
      <c r="L29" s="519">
        <f t="shared" si="21"/>
        <v>208</v>
      </c>
      <c r="M29" s="519">
        <f t="shared" si="22"/>
        <v>208</v>
      </c>
      <c r="N29" s="519">
        <f t="shared" si="23"/>
        <v>210.43589743589743</v>
      </c>
      <c r="O29" s="519">
        <f t="shared" si="24"/>
        <v>208</v>
      </c>
      <c r="P29" s="519">
        <f t="shared" si="25"/>
        <v>229</v>
      </c>
      <c r="Q29" s="519">
        <f t="shared" si="26"/>
        <v>229</v>
      </c>
      <c r="R29" s="519">
        <f t="shared" si="27"/>
        <v>229</v>
      </c>
      <c r="S29" s="519">
        <f t="shared" si="28"/>
        <v>229</v>
      </c>
      <c r="T29" s="519">
        <f t="shared" si="29"/>
        <v>229</v>
      </c>
      <c r="U29" s="519">
        <f t="shared" si="30"/>
        <v>0</v>
      </c>
      <c r="V29" s="618"/>
      <c r="Y29" s="624">
        <v>195.0223642172524</v>
      </c>
      <c r="Z29" s="519">
        <v>0</v>
      </c>
      <c r="AA29" s="519">
        <v>0</v>
      </c>
      <c r="AB29" s="519">
        <v>0</v>
      </c>
      <c r="AC29" s="519">
        <v>0</v>
      </c>
      <c r="AD29" s="519">
        <v>0</v>
      </c>
      <c r="AE29" s="519">
        <v>0</v>
      </c>
      <c r="AF29" s="519">
        <v>208</v>
      </c>
      <c r="AG29" s="519">
        <v>210.43589743589743</v>
      </c>
      <c r="AH29" s="519">
        <v>208</v>
      </c>
      <c r="AI29" s="519">
        <v>0</v>
      </c>
      <c r="AJ29" s="519">
        <v>0</v>
      </c>
      <c r="AK29" s="519">
        <v>0</v>
      </c>
      <c r="AL29" s="519">
        <v>0</v>
      </c>
      <c r="AM29" s="519">
        <v>229</v>
      </c>
      <c r="AN29" s="519">
        <v>0</v>
      </c>
    </row>
    <row r="30" spans="1:40" x14ac:dyDescent="0.3">
      <c r="A30" s="489" t="s">
        <v>1426</v>
      </c>
      <c r="B30" s="489" t="s">
        <v>1427</v>
      </c>
      <c r="C30" s="489" t="s">
        <v>1427</v>
      </c>
      <c r="D30" s="489" t="s">
        <v>1936</v>
      </c>
      <c r="E30" s="619">
        <v>303</v>
      </c>
      <c r="F30" s="624"/>
      <c r="G30" s="519"/>
      <c r="H30" s="519"/>
      <c r="I30" s="519"/>
      <c r="J30" s="519"/>
      <c r="K30" s="519"/>
      <c r="L30" s="519"/>
      <c r="M30" s="519"/>
      <c r="N30" s="519"/>
      <c r="O30" s="519"/>
      <c r="P30" s="519"/>
      <c r="Q30" s="519"/>
      <c r="R30" s="519"/>
      <c r="S30" s="519"/>
      <c r="T30" s="519"/>
      <c r="U30" s="519"/>
      <c r="V30" s="618"/>
      <c r="Y30" s="624">
        <v>0</v>
      </c>
      <c r="Z30" s="519">
        <v>0</v>
      </c>
      <c r="AA30" s="519">
        <v>0</v>
      </c>
      <c r="AB30" s="519">
        <v>0</v>
      </c>
      <c r="AC30" s="519">
        <v>0</v>
      </c>
      <c r="AD30" s="519">
        <v>0</v>
      </c>
      <c r="AE30" s="519">
        <v>0</v>
      </c>
      <c r="AF30" s="519">
        <v>0</v>
      </c>
      <c r="AG30" s="519">
        <v>0</v>
      </c>
      <c r="AH30" s="519">
        <v>0</v>
      </c>
      <c r="AI30" s="519">
        <v>0</v>
      </c>
      <c r="AJ30" s="519">
        <v>0</v>
      </c>
      <c r="AK30" s="519">
        <v>0</v>
      </c>
      <c r="AL30" s="519">
        <v>0</v>
      </c>
      <c r="AM30" s="519">
        <v>0</v>
      </c>
      <c r="AN30" s="519">
        <v>0</v>
      </c>
    </row>
    <row r="31" spans="1:40" x14ac:dyDescent="0.3">
      <c r="A31" s="489" t="s">
        <v>1451</v>
      </c>
      <c r="B31" s="489" t="s">
        <v>1557</v>
      </c>
      <c r="C31" s="489" t="s">
        <v>1558</v>
      </c>
      <c r="D31" s="489" t="s">
        <v>141</v>
      </c>
      <c r="E31" s="619">
        <v>289</v>
      </c>
      <c r="F31" s="624">
        <f t="shared" si="15"/>
        <v>0</v>
      </c>
      <c r="G31" s="519">
        <f t="shared" si="16"/>
        <v>0</v>
      </c>
      <c r="H31" s="519">
        <f t="shared" si="17"/>
        <v>0</v>
      </c>
      <c r="I31" s="519">
        <f t="shared" si="18"/>
        <v>0</v>
      </c>
      <c r="J31" s="519">
        <f t="shared" si="19"/>
        <v>0</v>
      </c>
      <c r="K31" s="519">
        <f t="shared" si="20"/>
        <v>0</v>
      </c>
      <c r="L31" s="519">
        <f t="shared" si="21"/>
        <v>0</v>
      </c>
      <c r="M31" s="519">
        <f t="shared" si="22"/>
        <v>0</v>
      </c>
      <c r="N31" s="519">
        <f t="shared" si="23"/>
        <v>0</v>
      </c>
      <c r="O31" s="519">
        <f t="shared" si="24"/>
        <v>0</v>
      </c>
      <c r="P31" s="519">
        <f t="shared" si="25"/>
        <v>0</v>
      </c>
      <c r="Q31" s="519">
        <f t="shared" si="26"/>
        <v>0</v>
      </c>
      <c r="R31" s="519">
        <f t="shared" si="27"/>
        <v>0</v>
      </c>
      <c r="S31" s="519">
        <f t="shared" si="28"/>
        <v>0</v>
      </c>
      <c r="T31" s="519">
        <f t="shared" si="29"/>
        <v>0</v>
      </c>
      <c r="U31" s="519">
        <f t="shared" si="30"/>
        <v>0</v>
      </c>
      <c r="V31" s="618"/>
      <c r="Y31" s="624">
        <v>0</v>
      </c>
      <c r="Z31" s="519">
        <v>0</v>
      </c>
      <c r="AA31" s="519">
        <v>0</v>
      </c>
      <c r="AB31" s="519">
        <v>0</v>
      </c>
      <c r="AC31" s="519">
        <v>0</v>
      </c>
      <c r="AD31" s="519">
        <v>0</v>
      </c>
      <c r="AE31" s="519">
        <v>0</v>
      </c>
      <c r="AF31" s="519">
        <v>0</v>
      </c>
      <c r="AG31" s="519">
        <v>0</v>
      </c>
      <c r="AH31" s="519">
        <v>0</v>
      </c>
      <c r="AI31" s="519">
        <v>0</v>
      </c>
      <c r="AJ31" s="519">
        <v>0</v>
      </c>
      <c r="AK31" s="519">
        <v>0</v>
      </c>
      <c r="AL31" s="519">
        <v>0</v>
      </c>
      <c r="AM31" s="519">
        <v>0</v>
      </c>
      <c r="AN31" s="519">
        <v>0</v>
      </c>
    </row>
    <row r="32" spans="1:40" x14ac:dyDescent="0.3">
      <c r="A32" s="489" t="s">
        <v>1414</v>
      </c>
      <c r="B32" s="489" t="s">
        <v>1559</v>
      </c>
      <c r="C32" s="489" t="s">
        <v>1560</v>
      </c>
      <c r="D32" s="489" t="s">
        <v>46</v>
      </c>
      <c r="E32" s="619">
        <v>281</v>
      </c>
      <c r="F32" s="624">
        <f t="shared" si="15"/>
        <v>140.50889679715303</v>
      </c>
      <c r="G32" s="519">
        <f t="shared" si="16"/>
        <v>145.5</v>
      </c>
      <c r="H32" s="519">
        <f t="shared" si="17"/>
        <v>145.5</v>
      </c>
      <c r="I32" s="519">
        <f t="shared" si="18"/>
        <v>141.33333333333334</v>
      </c>
      <c r="J32" s="519">
        <f t="shared" si="19"/>
        <v>139</v>
      </c>
      <c r="K32" s="519">
        <f t="shared" si="20"/>
        <v>137</v>
      </c>
      <c r="L32" s="519">
        <f t="shared" si="21"/>
        <v>136</v>
      </c>
      <c r="M32" s="519">
        <f t="shared" si="22"/>
        <v>139.52631578947367</v>
      </c>
      <c r="N32" s="519">
        <f t="shared" si="23"/>
        <v>137.15789473684211</v>
      </c>
      <c r="O32" s="519">
        <f t="shared" si="24"/>
        <v>136.29166666666666</v>
      </c>
      <c r="P32" s="519">
        <f t="shared" si="25"/>
        <v>134.9</v>
      </c>
      <c r="Q32" s="519">
        <f t="shared" si="26"/>
        <v>133.82978723404256</v>
      </c>
      <c r="R32" s="519">
        <f t="shared" si="27"/>
        <v>134.94117647058823</v>
      </c>
      <c r="S32" s="519">
        <f t="shared" si="28"/>
        <v>141.25925925925927</v>
      </c>
      <c r="T32" s="519">
        <f t="shared" si="29"/>
        <v>144.03703703703704</v>
      </c>
      <c r="U32" s="519">
        <f t="shared" si="30"/>
        <v>150.42857142857142</v>
      </c>
      <c r="V32" s="618"/>
      <c r="Y32" s="624">
        <v>140.50889679715303</v>
      </c>
      <c r="Z32" s="625">
        <v>0</v>
      </c>
      <c r="AA32" s="519">
        <v>145.5</v>
      </c>
      <c r="AB32" s="519">
        <v>141.33333333333334</v>
      </c>
      <c r="AC32" s="519">
        <v>139</v>
      </c>
      <c r="AD32" s="519">
        <v>137</v>
      </c>
      <c r="AE32" s="519">
        <v>136</v>
      </c>
      <c r="AF32" s="519">
        <v>139.52631578947367</v>
      </c>
      <c r="AG32" s="519">
        <v>137.15789473684211</v>
      </c>
      <c r="AH32" s="519">
        <v>136.29166666666666</v>
      </c>
      <c r="AI32" s="519">
        <v>134.9</v>
      </c>
      <c r="AJ32" s="519">
        <v>133.82978723404256</v>
      </c>
      <c r="AK32" s="519">
        <v>134.94117647058823</v>
      </c>
      <c r="AL32" s="519">
        <v>141.25925925925927</v>
      </c>
      <c r="AM32" s="519">
        <v>144.03703703703704</v>
      </c>
      <c r="AN32" s="519">
        <v>150.42857142857142</v>
      </c>
    </row>
    <row r="33" spans="1:40" x14ac:dyDescent="0.3">
      <c r="A33" s="489" t="s">
        <v>1426</v>
      </c>
      <c r="B33" s="489" t="s">
        <v>816</v>
      </c>
      <c r="C33" s="489" t="s">
        <v>816</v>
      </c>
      <c r="D33" s="489" t="s">
        <v>1929</v>
      </c>
      <c r="E33" s="619">
        <v>238</v>
      </c>
      <c r="F33" s="624">
        <f t="shared" si="15"/>
        <v>90.806722689075627</v>
      </c>
      <c r="G33" s="519">
        <f t="shared" si="16"/>
        <v>86.666666666666671</v>
      </c>
      <c r="H33" s="519">
        <f t="shared" si="17"/>
        <v>92</v>
      </c>
      <c r="I33" s="519">
        <f t="shared" si="18"/>
        <v>88.5</v>
      </c>
      <c r="J33" s="519">
        <f t="shared" si="19"/>
        <v>89</v>
      </c>
      <c r="K33" s="519">
        <f t="shared" si="20"/>
        <v>89</v>
      </c>
      <c r="L33" s="519">
        <f t="shared" si="21"/>
        <v>88.583333333333329</v>
      </c>
      <c r="M33" s="519">
        <f t="shared" si="22"/>
        <v>90.63636363636364</v>
      </c>
      <c r="N33" s="519">
        <f t="shared" si="23"/>
        <v>91</v>
      </c>
      <c r="O33" s="519">
        <f t="shared" si="24"/>
        <v>90</v>
      </c>
      <c r="P33" s="519">
        <f t="shared" si="25"/>
        <v>90.5</v>
      </c>
      <c r="Q33" s="519">
        <f t="shared" si="26"/>
        <v>90.090909090909093</v>
      </c>
      <c r="R33" s="519">
        <f t="shared" si="27"/>
        <v>90.6875</v>
      </c>
      <c r="S33" s="519">
        <f t="shared" si="28"/>
        <v>91</v>
      </c>
      <c r="T33" s="519">
        <f t="shared" si="29"/>
        <v>90.666666666666671</v>
      </c>
      <c r="U33" s="519">
        <f t="shared" si="30"/>
        <v>90.977272727272734</v>
      </c>
      <c r="V33" s="618"/>
      <c r="Y33" s="624">
        <v>90.806722689075627</v>
      </c>
      <c r="Z33" s="519">
        <v>86.666666666666671</v>
      </c>
      <c r="AA33" s="519">
        <v>92</v>
      </c>
      <c r="AB33" s="519">
        <v>88.5</v>
      </c>
      <c r="AC33" s="519">
        <v>89</v>
      </c>
      <c r="AD33" s="519">
        <v>89</v>
      </c>
      <c r="AE33" s="519">
        <v>88.583333333333329</v>
      </c>
      <c r="AF33" s="519">
        <v>90.63636363636364</v>
      </c>
      <c r="AG33" s="519">
        <v>91</v>
      </c>
      <c r="AH33" s="519">
        <v>90</v>
      </c>
      <c r="AI33" s="519">
        <v>90.5</v>
      </c>
      <c r="AJ33" s="519">
        <v>90.090909090909093</v>
      </c>
      <c r="AK33" s="519">
        <v>90.6875</v>
      </c>
      <c r="AL33" s="519">
        <v>91</v>
      </c>
      <c r="AM33" s="519">
        <v>90.666666666666671</v>
      </c>
      <c r="AN33" s="519">
        <v>90.977272727272734</v>
      </c>
    </row>
    <row r="34" spans="1:40" x14ac:dyDescent="0.3">
      <c r="A34" s="489" t="s">
        <v>1561</v>
      </c>
      <c r="B34" s="489" t="s">
        <v>1562</v>
      </c>
      <c r="C34" s="489" t="s">
        <v>1563</v>
      </c>
      <c r="D34" s="489" t="s">
        <v>141</v>
      </c>
      <c r="E34" s="619">
        <v>237</v>
      </c>
      <c r="F34" s="624">
        <f t="shared" si="15"/>
        <v>0</v>
      </c>
      <c r="G34" s="519">
        <f t="shared" si="16"/>
        <v>0</v>
      </c>
      <c r="H34" s="519">
        <f t="shared" si="17"/>
        <v>0</v>
      </c>
      <c r="I34" s="519">
        <f t="shared" si="18"/>
        <v>0</v>
      </c>
      <c r="J34" s="519">
        <f t="shared" si="19"/>
        <v>0</v>
      </c>
      <c r="K34" s="519">
        <f t="shared" si="20"/>
        <v>0</v>
      </c>
      <c r="L34" s="519">
        <f t="shared" si="21"/>
        <v>0</v>
      </c>
      <c r="M34" s="519">
        <f t="shared" si="22"/>
        <v>0</v>
      </c>
      <c r="N34" s="519">
        <f t="shared" si="23"/>
        <v>0</v>
      </c>
      <c r="O34" s="519">
        <f t="shared" si="24"/>
        <v>0</v>
      </c>
      <c r="P34" s="519">
        <f t="shared" si="25"/>
        <v>0</v>
      </c>
      <c r="Q34" s="519">
        <f t="shared" si="26"/>
        <v>0</v>
      </c>
      <c r="R34" s="519">
        <f t="shared" si="27"/>
        <v>0</v>
      </c>
      <c r="S34" s="519">
        <f t="shared" si="28"/>
        <v>0</v>
      </c>
      <c r="T34" s="519">
        <f t="shared" si="29"/>
        <v>0</v>
      </c>
      <c r="U34" s="519">
        <f t="shared" si="30"/>
        <v>0</v>
      </c>
      <c r="V34" s="618"/>
      <c r="Y34" s="624">
        <v>0</v>
      </c>
      <c r="Z34" s="519">
        <v>0</v>
      </c>
      <c r="AA34" s="519">
        <v>0</v>
      </c>
      <c r="AB34" s="519">
        <v>0</v>
      </c>
      <c r="AC34" s="519">
        <v>0</v>
      </c>
      <c r="AD34" s="519">
        <v>0</v>
      </c>
      <c r="AE34" s="519">
        <v>0</v>
      </c>
      <c r="AF34" s="519">
        <v>0</v>
      </c>
      <c r="AG34" s="519">
        <v>0</v>
      </c>
      <c r="AH34" s="519">
        <v>0</v>
      </c>
      <c r="AI34" s="519">
        <v>0</v>
      </c>
      <c r="AJ34" s="519">
        <v>0</v>
      </c>
      <c r="AK34" s="519">
        <v>0</v>
      </c>
      <c r="AL34" s="519">
        <v>0</v>
      </c>
      <c r="AM34" s="519">
        <v>0</v>
      </c>
      <c r="AN34" s="519">
        <v>0</v>
      </c>
    </row>
    <row r="35" spans="1:40" x14ac:dyDescent="0.3">
      <c r="A35" s="489" t="s">
        <v>1564</v>
      </c>
      <c r="B35" s="489" t="s">
        <v>1565</v>
      </c>
      <c r="C35" s="489" t="s">
        <v>1566</v>
      </c>
      <c r="D35" s="489" t="s">
        <v>141</v>
      </c>
      <c r="E35" s="619">
        <v>237</v>
      </c>
      <c r="F35" s="624">
        <f t="shared" si="15"/>
        <v>0</v>
      </c>
      <c r="G35" s="519">
        <f t="shared" si="16"/>
        <v>0</v>
      </c>
      <c r="H35" s="519">
        <f t="shared" si="17"/>
        <v>0</v>
      </c>
      <c r="I35" s="519">
        <f t="shared" si="18"/>
        <v>0</v>
      </c>
      <c r="J35" s="519">
        <f t="shared" si="19"/>
        <v>0</v>
      </c>
      <c r="K35" s="519">
        <f t="shared" si="20"/>
        <v>0</v>
      </c>
      <c r="L35" s="519">
        <f t="shared" si="21"/>
        <v>0</v>
      </c>
      <c r="M35" s="519">
        <f t="shared" si="22"/>
        <v>0</v>
      </c>
      <c r="N35" s="519">
        <f t="shared" si="23"/>
        <v>0</v>
      </c>
      <c r="O35" s="519">
        <f t="shared" si="24"/>
        <v>0</v>
      </c>
      <c r="P35" s="519">
        <f t="shared" si="25"/>
        <v>0</v>
      </c>
      <c r="Q35" s="519">
        <f t="shared" si="26"/>
        <v>0</v>
      </c>
      <c r="R35" s="519">
        <f t="shared" si="27"/>
        <v>0</v>
      </c>
      <c r="S35" s="519">
        <f t="shared" si="28"/>
        <v>0</v>
      </c>
      <c r="T35" s="519">
        <f t="shared" si="29"/>
        <v>0</v>
      </c>
      <c r="U35" s="519">
        <f t="shared" si="30"/>
        <v>0</v>
      </c>
      <c r="V35" s="618"/>
      <c r="Y35" s="624">
        <v>0</v>
      </c>
      <c r="Z35" s="519">
        <v>0</v>
      </c>
      <c r="AA35" s="519">
        <v>0</v>
      </c>
      <c r="AB35" s="519">
        <v>0</v>
      </c>
      <c r="AC35" s="519">
        <v>0</v>
      </c>
      <c r="AD35" s="519">
        <v>0</v>
      </c>
      <c r="AE35" s="519">
        <v>0</v>
      </c>
      <c r="AF35" s="519">
        <v>0</v>
      </c>
      <c r="AG35" s="519">
        <v>0</v>
      </c>
      <c r="AH35" s="519">
        <v>0</v>
      </c>
      <c r="AI35" s="519">
        <v>0</v>
      </c>
      <c r="AJ35" s="519">
        <v>0</v>
      </c>
      <c r="AK35" s="519">
        <v>0</v>
      </c>
      <c r="AL35" s="519">
        <v>0</v>
      </c>
      <c r="AM35" s="519">
        <v>0</v>
      </c>
      <c r="AN35" s="519">
        <v>0</v>
      </c>
    </row>
    <row r="36" spans="1:40" x14ac:dyDescent="0.3">
      <c r="A36" s="489" t="s">
        <v>1567</v>
      </c>
      <c r="B36" s="489">
        <v>508</v>
      </c>
      <c r="C36" s="489" t="s">
        <v>865</v>
      </c>
      <c r="D36" s="489" t="s">
        <v>46</v>
      </c>
      <c r="E36" s="619">
        <v>234</v>
      </c>
      <c r="F36" s="624">
        <f t="shared" si="15"/>
        <v>110.4957264957265</v>
      </c>
      <c r="G36" s="519">
        <f t="shared" si="16"/>
        <v>123</v>
      </c>
      <c r="H36" s="519">
        <f t="shared" si="17"/>
        <v>155</v>
      </c>
      <c r="I36" s="519">
        <f t="shared" si="18"/>
        <v>113.75</v>
      </c>
      <c r="J36" s="519">
        <f t="shared" si="19"/>
        <v>126.5</v>
      </c>
      <c r="K36" s="519">
        <f t="shared" si="20"/>
        <v>125</v>
      </c>
      <c r="L36" s="519">
        <f t="shared" si="21"/>
        <v>138.71428571428572</v>
      </c>
      <c r="M36" s="519">
        <f t="shared" si="22"/>
        <v>114.33333333333333</v>
      </c>
      <c r="N36" s="519">
        <f t="shared" si="23"/>
        <v>105</v>
      </c>
      <c r="O36" s="519">
        <f t="shared" si="24"/>
        <v>105.0625</v>
      </c>
      <c r="P36" s="519">
        <f t="shared" si="25"/>
        <v>105.08333333333333</v>
      </c>
      <c r="Q36" s="519">
        <f t="shared" si="26"/>
        <v>105.11764705882354</v>
      </c>
      <c r="R36" s="519">
        <f t="shared" si="27"/>
        <v>106.32876712328768</v>
      </c>
      <c r="S36" s="519">
        <f t="shared" si="28"/>
        <v>111.84313725490196</v>
      </c>
      <c r="T36" s="519">
        <f t="shared" si="29"/>
        <v>116.57142857142857</v>
      </c>
      <c r="U36" s="519">
        <f t="shared" si="30"/>
        <v>0</v>
      </c>
      <c r="V36" s="618"/>
      <c r="Y36" s="624">
        <v>110.4957264957265</v>
      </c>
      <c r="Z36" s="519">
        <v>123</v>
      </c>
      <c r="AA36" s="519">
        <v>155</v>
      </c>
      <c r="AB36" s="519">
        <v>113.75</v>
      </c>
      <c r="AC36" s="519">
        <v>126.5</v>
      </c>
      <c r="AD36" s="519">
        <v>125</v>
      </c>
      <c r="AE36" s="519">
        <v>138.71428571428572</v>
      </c>
      <c r="AF36" s="519">
        <v>114.33333333333333</v>
      </c>
      <c r="AG36" s="519">
        <v>105</v>
      </c>
      <c r="AH36" s="519">
        <v>105.0625</v>
      </c>
      <c r="AI36" s="519">
        <v>105.08333333333333</v>
      </c>
      <c r="AJ36" s="519">
        <v>105.11764705882354</v>
      </c>
      <c r="AK36" s="519">
        <v>106.32876712328768</v>
      </c>
      <c r="AL36" s="519">
        <v>111.84313725490196</v>
      </c>
      <c r="AM36" s="519">
        <v>116.57142857142857</v>
      </c>
      <c r="AN36" s="519">
        <v>0</v>
      </c>
    </row>
    <row r="37" spans="1:40" x14ac:dyDescent="0.3">
      <c r="A37" s="489" t="s">
        <v>1414</v>
      </c>
      <c r="B37" s="489" t="s">
        <v>1568</v>
      </c>
      <c r="C37" s="489" t="s">
        <v>1569</v>
      </c>
      <c r="D37" s="489" t="s">
        <v>46</v>
      </c>
      <c r="E37" s="619">
        <v>225</v>
      </c>
      <c r="F37" s="624">
        <f t="shared" si="15"/>
        <v>205.07555555555555</v>
      </c>
      <c r="G37" s="519">
        <f t="shared" si="16"/>
        <v>203</v>
      </c>
      <c r="H37" s="519">
        <f t="shared" si="17"/>
        <v>193</v>
      </c>
      <c r="I37" s="519">
        <f t="shared" si="18"/>
        <v>203.5</v>
      </c>
      <c r="J37" s="519">
        <f t="shared" si="19"/>
        <v>214</v>
      </c>
      <c r="K37" s="519">
        <f t="shared" si="20"/>
        <v>209.44444444444446</v>
      </c>
      <c r="L37" s="519">
        <f t="shared" si="21"/>
        <v>209.44444444444446</v>
      </c>
      <c r="M37" s="519">
        <f t="shared" si="22"/>
        <v>200.91666666666666</v>
      </c>
      <c r="N37" s="519">
        <f t="shared" si="23"/>
        <v>210.42857142857142</v>
      </c>
      <c r="O37" s="519">
        <f t="shared" si="24"/>
        <v>203.72727272727272</v>
      </c>
      <c r="P37" s="519">
        <f t="shared" si="25"/>
        <v>208.5</v>
      </c>
      <c r="Q37" s="519">
        <f t="shared" si="26"/>
        <v>202.4</v>
      </c>
      <c r="R37" s="519">
        <f t="shared" si="27"/>
        <v>207.90625</v>
      </c>
      <c r="S37" s="519">
        <f t="shared" si="28"/>
        <v>207.7741935483871</v>
      </c>
      <c r="T37" s="519">
        <f t="shared" si="29"/>
        <v>202.875</v>
      </c>
      <c r="U37" s="519">
        <f t="shared" si="30"/>
        <v>199.63636363636363</v>
      </c>
      <c r="V37" s="618"/>
      <c r="Y37" s="624">
        <v>205.07555555555555</v>
      </c>
      <c r="Z37" s="519">
        <v>203</v>
      </c>
      <c r="AA37" s="519">
        <v>193</v>
      </c>
      <c r="AB37" s="519">
        <v>203.5</v>
      </c>
      <c r="AC37" s="519">
        <v>214</v>
      </c>
      <c r="AD37" s="625">
        <v>0</v>
      </c>
      <c r="AE37" s="519">
        <v>209.44444444444446</v>
      </c>
      <c r="AF37" s="519">
        <v>200.91666666666666</v>
      </c>
      <c r="AG37" s="519">
        <v>210.42857142857142</v>
      </c>
      <c r="AH37" s="519">
        <v>203.72727272727272</v>
      </c>
      <c r="AI37" s="519">
        <v>208.5</v>
      </c>
      <c r="AJ37" s="519">
        <v>202.4</v>
      </c>
      <c r="AK37" s="519">
        <v>207.90625</v>
      </c>
      <c r="AL37" s="519">
        <v>207.7741935483871</v>
      </c>
      <c r="AM37" s="519">
        <v>202.875</v>
      </c>
      <c r="AN37" s="519">
        <v>199.63636363636363</v>
      </c>
    </row>
    <row r="38" spans="1:40" x14ac:dyDescent="0.3">
      <c r="A38" s="489" t="s">
        <v>1414</v>
      </c>
      <c r="B38" s="489" t="s">
        <v>1570</v>
      </c>
      <c r="C38" s="489" t="s">
        <v>1571</v>
      </c>
      <c r="D38" s="489" t="s">
        <v>46</v>
      </c>
      <c r="E38" s="619">
        <v>222</v>
      </c>
      <c r="F38" s="624">
        <f t="shared" si="15"/>
        <v>118.24774774774775</v>
      </c>
      <c r="G38" s="519">
        <f t="shared" si="16"/>
        <v>140</v>
      </c>
      <c r="H38" s="519">
        <f t="shared" si="17"/>
        <v>140</v>
      </c>
      <c r="I38" s="519">
        <f t="shared" si="18"/>
        <v>140</v>
      </c>
      <c r="J38" s="519">
        <f t="shared" si="19"/>
        <v>142</v>
      </c>
      <c r="K38" s="519">
        <f t="shared" si="20"/>
        <v>115</v>
      </c>
      <c r="L38" s="519">
        <f t="shared" si="21"/>
        <v>140.4</v>
      </c>
      <c r="M38" s="519">
        <f t="shared" si="22"/>
        <v>117.03921568627452</v>
      </c>
      <c r="N38" s="519">
        <f t="shared" si="23"/>
        <v>112.48</v>
      </c>
      <c r="O38" s="519">
        <f t="shared" si="24"/>
        <v>112.35</v>
      </c>
      <c r="P38" s="519">
        <f t="shared" si="25"/>
        <v>115.47619047619048</v>
      </c>
      <c r="Q38" s="519">
        <f t="shared" si="26"/>
        <v>112</v>
      </c>
      <c r="R38" s="519">
        <f t="shared" si="27"/>
        <v>112</v>
      </c>
      <c r="S38" s="519">
        <f t="shared" si="28"/>
        <v>0</v>
      </c>
      <c r="T38" s="519">
        <f t="shared" si="29"/>
        <v>0</v>
      </c>
      <c r="U38" s="519">
        <f t="shared" si="30"/>
        <v>0</v>
      </c>
      <c r="V38" s="618"/>
      <c r="Y38" s="624">
        <v>118.24774774774775</v>
      </c>
      <c r="Z38" s="519">
        <v>0</v>
      </c>
      <c r="AA38" s="519">
        <v>140</v>
      </c>
      <c r="AB38" s="519">
        <v>140</v>
      </c>
      <c r="AC38" s="519">
        <v>142</v>
      </c>
      <c r="AD38" s="519">
        <v>115</v>
      </c>
      <c r="AE38" s="519">
        <v>140.4</v>
      </c>
      <c r="AF38" s="519">
        <v>117.03921568627452</v>
      </c>
      <c r="AG38" s="519">
        <v>112.48</v>
      </c>
      <c r="AH38" s="519">
        <v>112.35</v>
      </c>
      <c r="AI38" s="519">
        <v>115.47619047619048</v>
      </c>
      <c r="AJ38" s="519">
        <v>112</v>
      </c>
      <c r="AK38" s="519">
        <v>112</v>
      </c>
      <c r="AL38" s="519">
        <v>0</v>
      </c>
      <c r="AM38" s="519">
        <v>0</v>
      </c>
      <c r="AN38" s="519">
        <v>0</v>
      </c>
    </row>
    <row r="39" spans="1:40" x14ac:dyDescent="0.3">
      <c r="A39" s="489" t="s">
        <v>1572</v>
      </c>
      <c r="B39" s="489" t="s">
        <v>1573</v>
      </c>
      <c r="C39" s="489" t="s">
        <v>1834</v>
      </c>
      <c r="D39" s="489" t="s">
        <v>1530</v>
      </c>
      <c r="E39" s="619">
        <v>221</v>
      </c>
      <c r="F39" s="624">
        <f t="shared" si="15"/>
        <v>243.30316742081448</v>
      </c>
      <c r="G39" s="519">
        <f t="shared" si="16"/>
        <v>275.8</v>
      </c>
      <c r="H39" s="519">
        <f t="shared" si="17"/>
        <v>275.8</v>
      </c>
      <c r="I39" s="519">
        <f t="shared" si="18"/>
        <v>275.8</v>
      </c>
      <c r="J39" s="519">
        <f t="shared" si="19"/>
        <v>275.8</v>
      </c>
      <c r="K39" s="519">
        <f t="shared" si="20"/>
        <v>275.8</v>
      </c>
      <c r="L39" s="519">
        <f t="shared" si="21"/>
        <v>275.8</v>
      </c>
      <c r="M39" s="519">
        <f t="shared" si="22"/>
        <v>234</v>
      </c>
      <c r="N39" s="519">
        <f t="shared" si="23"/>
        <v>234</v>
      </c>
      <c r="O39" s="519">
        <f t="shared" si="24"/>
        <v>234</v>
      </c>
      <c r="P39" s="519">
        <f t="shared" si="25"/>
        <v>239</v>
      </c>
      <c r="Q39" s="519">
        <f t="shared" si="26"/>
        <v>239</v>
      </c>
      <c r="R39" s="519">
        <f t="shared" si="27"/>
        <v>239</v>
      </c>
      <c r="S39" s="519">
        <f t="shared" si="28"/>
        <v>239</v>
      </c>
      <c r="T39" s="519">
        <f t="shared" si="29"/>
        <v>0</v>
      </c>
      <c r="U39" s="519">
        <f t="shared" si="30"/>
        <v>0</v>
      </c>
      <c r="V39" s="618"/>
      <c r="Y39" s="624">
        <v>243.30316742081448</v>
      </c>
      <c r="Z39" s="519">
        <v>0</v>
      </c>
      <c r="AA39" s="519">
        <v>0</v>
      </c>
      <c r="AB39" s="519">
        <v>0</v>
      </c>
      <c r="AC39" s="519">
        <v>0</v>
      </c>
      <c r="AD39" s="519">
        <v>0</v>
      </c>
      <c r="AE39" s="519">
        <v>275.8</v>
      </c>
      <c r="AF39" s="519">
        <v>234</v>
      </c>
      <c r="AG39" s="519">
        <v>234</v>
      </c>
      <c r="AH39" s="519">
        <v>234</v>
      </c>
      <c r="AI39" s="519">
        <v>0</v>
      </c>
      <c r="AJ39" s="519">
        <v>0</v>
      </c>
      <c r="AK39" s="519">
        <v>239</v>
      </c>
      <c r="AL39" s="519">
        <v>239</v>
      </c>
      <c r="AM39" s="519">
        <v>0</v>
      </c>
      <c r="AN39" s="519">
        <v>0</v>
      </c>
    </row>
    <row r="40" spans="1:40" x14ac:dyDescent="0.3">
      <c r="A40" s="489" t="s">
        <v>1544</v>
      </c>
      <c r="B40" s="489" t="s">
        <v>1574</v>
      </c>
      <c r="C40" s="489" t="s">
        <v>1575</v>
      </c>
      <c r="D40" s="489" t="s">
        <v>141</v>
      </c>
      <c r="E40" s="619">
        <v>211</v>
      </c>
      <c r="F40" s="624">
        <f t="shared" si="15"/>
        <v>0</v>
      </c>
      <c r="G40" s="519">
        <f t="shared" si="16"/>
        <v>0</v>
      </c>
      <c r="H40" s="519">
        <f t="shared" si="17"/>
        <v>0</v>
      </c>
      <c r="I40" s="519">
        <f t="shared" si="18"/>
        <v>0</v>
      </c>
      <c r="J40" s="519">
        <f t="shared" si="19"/>
        <v>0</v>
      </c>
      <c r="K40" s="519">
        <f t="shared" si="20"/>
        <v>0</v>
      </c>
      <c r="L40" s="519">
        <f t="shared" si="21"/>
        <v>0</v>
      </c>
      <c r="M40" s="519">
        <f t="shared" si="22"/>
        <v>0</v>
      </c>
      <c r="N40" s="519">
        <f t="shared" si="23"/>
        <v>0</v>
      </c>
      <c r="O40" s="519">
        <f t="shared" si="24"/>
        <v>0</v>
      </c>
      <c r="P40" s="519">
        <f t="shared" si="25"/>
        <v>0</v>
      </c>
      <c r="Q40" s="519">
        <f t="shared" si="26"/>
        <v>0</v>
      </c>
      <c r="R40" s="519">
        <f t="shared" si="27"/>
        <v>0</v>
      </c>
      <c r="S40" s="519">
        <f t="shared" si="28"/>
        <v>0</v>
      </c>
      <c r="T40" s="519">
        <f t="shared" si="29"/>
        <v>0</v>
      </c>
      <c r="U40" s="519">
        <f t="shared" si="30"/>
        <v>0</v>
      </c>
      <c r="V40" s="618"/>
      <c r="Y40" s="624">
        <v>0</v>
      </c>
      <c r="Z40" s="519">
        <v>0</v>
      </c>
      <c r="AA40" s="519">
        <v>0</v>
      </c>
      <c r="AB40" s="519">
        <v>0</v>
      </c>
      <c r="AC40" s="519">
        <v>0</v>
      </c>
      <c r="AD40" s="519">
        <v>0</v>
      </c>
      <c r="AE40" s="519">
        <v>0</v>
      </c>
      <c r="AF40" s="519">
        <v>0</v>
      </c>
      <c r="AG40" s="519">
        <v>0</v>
      </c>
      <c r="AH40" s="519">
        <v>0</v>
      </c>
      <c r="AI40" s="519">
        <v>0</v>
      </c>
      <c r="AJ40" s="519">
        <v>0</v>
      </c>
      <c r="AK40" s="519">
        <v>0</v>
      </c>
      <c r="AL40" s="519">
        <v>0</v>
      </c>
      <c r="AM40" s="519">
        <v>0</v>
      </c>
      <c r="AN40" s="519">
        <v>0</v>
      </c>
    </row>
    <row r="41" spans="1:40" x14ac:dyDescent="0.3">
      <c r="A41" s="489" t="s">
        <v>1451</v>
      </c>
      <c r="B41" s="489" t="s">
        <v>1576</v>
      </c>
      <c r="C41" s="489" t="s">
        <v>1577</v>
      </c>
      <c r="D41" s="489" t="s">
        <v>46</v>
      </c>
      <c r="E41" s="619">
        <v>201</v>
      </c>
      <c r="F41" s="624">
        <f t="shared" si="15"/>
        <v>173.90547263681592</v>
      </c>
      <c r="G41" s="519">
        <f t="shared" si="16"/>
        <v>173.56129032258065</v>
      </c>
      <c r="H41" s="519">
        <f t="shared" si="17"/>
        <v>173.56129032258065</v>
      </c>
      <c r="I41" s="519">
        <f t="shared" si="18"/>
        <v>173.56129032258065</v>
      </c>
      <c r="J41" s="519">
        <f t="shared" si="19"/>
        <v>173.56129032258065</v>
      </c>
      <c r="K41" s="519">
        <f t="shared" si="20"/>
        <v>173.56129032258065</v>
      </c>
      <c r="L41" s="519">
        <f t="shared" si="21"/>
        <v>173.56129032258065</v>
      </c>
      <c r="M41" s="519">
        <f t="shared" si="22"/>
        <v>173</v>
      </c>
      <c r="N41" s="519">
        <f t="shared" si="23"/>
        <v>173</v>
      </c>
      <c r="O41" s="519">
        <f t="shared" si="24"/>
        <v>173</v>
      </c>
      <c r="P41" s="519">
        <f t="shared" si="25"/>
        <v>209</v>
      </c>
      <c r="Q41" s="519">
        <f t="shared" si="26"/>
        <v>209</v>
      </c>
      <c r="R41" s="519">
        <f t="shared" si="27"/>
        <v>209</v>
      </c>
      <c r="S41" s="519">
        <f t="shared" si="28"/>
        <v>209</v>
      </c>
      <c r="T41" s="519">
        <f t="shared" si="29"/>
        <v>0</v>
      </c>
      <c r="U41" s="519">
        <f t="shared" si="30"/>
        <v>0</v>
      </c>
      <c r="V41" s="618"/>
      <c r="Y41" s="624">
        <v>173.90547263681592</v>
      </c>
      <c r="Z41" s="519">
        <v>0</v>
      </c>
      <c r="AA41" s="519">
        <v>0</v>
      </c>
      <c r="AB41" s="519">
        <v>0</v>
      </c>
      <c r="AC41" s="519">
        <v>0</v>
      </c>
      <c r="AD41" s="519">
        <v>0</v>
      </c>
      <c r="AE41" s="519">
        <v>173.56129032258065</v>
      </c>
      <c r="AF41" s="519">
        <v>173</v>
      </c>
      <c r="AG41" s="519">
        <v>0</v>
      </c>
      <c r="AH41" s="519">
        <v>173</v>
      </c>
      <c r="AI41" s="519">
        <v>0</v>
      </c>
      <c r="AJ41" s="519">
        <v>0</v>
      </c>
      <c r="AK41" s="519">
        <v>0</v>
      </c>
      <c r="AL41" s="519">
        <v>209</v>
      </c>
      <c r="AM41" s="519">
        <v>0</v>
      </c>
      <c r="AN41" s="519">
        <v>0</v>
      </c>
    </row>
    <row r="42" spans="1:40" x14ac:dyDescent="0.3">
      <c r="A42" s="489" t="s">
        <v>1544</v>
      </c>
      <c r="B42" s="489" t="s">
        <v>1578</v>
      </c>
      <c r="C42" s="489" t="s">
        <v>337</v>
      </c>
      <c r="D42" s="489" t="s">
        <v>46</v>
      </c>
      <c r="E42" s="619">
        <v>200</v>
      </c>
      <c r="F42" s="624">
        <f t="shared" si="15"/>
        <v>106.7</v>
      </c>
      <c r="G42" s="519">
        <f t="shared" si="16"/>
        <v>122.44444444444444</v>
      </c>
      <c r="H42" s="519">
        <f t="shared" si="17"/>
        <v>129.4</v>
      </c>
      <c r="I42" s="519">
        <f t="shared" si="18"/>
        <v>117.46666666666667</v>
      </c>
      <c r="J42" s="519">
        <f t="shared" si="19"/>
        <v>118.26666666666667</v>
      </c>
      <c r="K42" s="519">
        <f t="shared" si="20"/>
        <v>125.6</v>
      </c>
      <c r="L42" s="519">
        <f t="shared" si="21"/>
        <v>122.0952380952381</v>
      </c>
      <c r="M42" s="519">
        <f t="shared" si="22"/>
        <v>106.15384615384616</v>
      </c>
      <c r="N42" s="519">
        <f t="shared" si="23"/>
        <v>100.32142857142857</v>
      </c>
      <c r="O42" s="519">
        <f t="shared" si="24"/>
        <v>106.7</v>
      </c>
      <c r="P42" s="519">
        <f t="shared" si="25"/>
        <v>104.28571428571429</v>
      </c>
      <c r="Q42" s="519">
        <f t="shared" si="26"/>
        <v>94</v>
      </c>
      <c r="R42" s="519">
        <f t="shared" si="27"/>
        <v>90.513513513513516</v>
      </c>
      <c r="S42" s="519">
        <f t="shared" si="28"/>
        <v>95.875</v>
      </c>
      <c r="T42" s="519">
        <f t="shared" si="29"/>
        <v>113</v>
      </c>
      <c r="U42" s="519">
        <f t="shared" si="30"/>
        <v>0</v>
      </c>
      <c r="V42" s="618"/>
      <c r="Y42" s="624">
        <v>106.7</v>
      </c>
      <c r="Z42" s="519">
        <v>122.44444444444444</v>
      </c>
      <c r="AA42" s="519">
        <v>129.4</v>
      </c>
      <c r="AB42" s="519">
        <v>117.46666666666667</v>
      </c>
      <c r="AC42" s="519">
        <v>118.26666666666667</v>
      </c>
      <c r="AD42" s="519">
        <v>125.6</v>
      </c>
      <c r="AE42" s="519">
        <v>122.0952380952381</v>
      </c>
      <c r="AF42" s="519">
        <v>106.15384615384616</v>
      </c>
      <c r="AG42" s="519">
        <v>100.32142857142857</v>
      </c>
      <c r="AH42" s="519">
        <v>106.7</v>
      </c>
      <c r="AI42" s="519">
        <v>104.28571428571429</v>
      </c>
      <c r="AJ42" s="519">
        <v>94</v>
      </c>
      <c r="AK42" s="519">
        <v>90.513513513513516</v>
      </c>
      <c r="AL42" s="519">
        <v>95.875</v>
      </c>
      <c r="AM42" s="519">
        <v>113</v>
      </c>
      <c r="AN42" s="519">
        <v>0</v>
      </c>
    </row>
    <row r="43" spans="1:40" x14ac:dyDescent="0.3">
      <c r="A43" s="489" t="s">
        <v>1426</v>
      </c>
      <c r="B43" s="489" t="s">
        <v>1579</v>
      </c>
      <c r="C43" s="489" t="s">
        <v>1580</v>
      </c>
      <c r="D43" s="489" t="s">
        <v>46</v>
      </c>
      <c r="E43" s="619">
        <v>199</v>
      </c>
      <c r="F43" s="624">
        <f t="shared" si="15"/>
        <v>157.33668341708542</v>
      </c>
      <c r="G43" s="519">
        <f t="shared" si="16"/>
        <v>170.04347826086956</v>
      </c>
      <c r="H43" s="519">
        <f t="shared" si="17"/>
        <v>170.04347826086956</v>
      </c>
      <c r="I43" s="519">
        <f t="shared" si="18"/>
        <v>170.04347826086956</v>
      </c>
      <c r="J43" s="519">
        <f t="shared" si="19"/>
        <v>170.04347826086956</v>
      </c>
      <c r="K43" s="519">
        <f t="shared" si="20"/>
        <v>170.04347826086956</v>
      </c>
      <c r="L43" s="519">
        <f t="shared" si="21"/>
        <v>172.02298850574712</v>
      </c>
      <c r="M43" s="519">
        <f t="shared" si="22"/>
        <v>139.7906976744186</v>
      </c>
      <c r="N43" s="519">
        <f t="shared" si="23"/>
        <v>137</v>
      </c>
      <c r="O43" s="519">
        <f t="shared" si="24"/>
        <v>0</v>
      </c>
      <c r="P43" s="519">
        <f t="shared" si="25"/>
        <v>0</v>
      </c>
      <c r="Q43" s="519">
        <f t="shared" si="26"/>
        <v>0</v>
      </c>
      <c r="R43" s="519">
        <f t="shared" si="27"/>
        <v>0</v>
      </c>
      <c r="S43" s="519">
        <f t="shared" si="28"/>
        <v>0</v>
      </c>
      <c r="T43" s="519">
        <f t="shared" si="29"/>
        <v>0</v>
      </c>
      <c r="U43" s="519">
        <f t="shared" si="30"/>
        <v>0</v>
      </c>
      <c r="V43" s="618"/>
      <c r="Y43" s="624">
        <v>157.33668341708542</v>
      </c>
      <c r="Z43" s="519">
        <v>0</v>
      </c>
      <c r="AA43" s="519">
        <v>0</v>
      </c>
      <c r="AB43" s="519">
        <v>0</v>
      </c>
      <c r="AC43" s="519">
        <v>0</v>
      </c>
      <c r="AD43" s="519">
        <v>170.04347826086956</v>
      </c>
      <c r="AE43" s="519">
        <v>172.02298850574712</v>
      </c>
      <c r="AF43" s="519">
        <v>139.7906976744186</v>
      </c>
      <c r="AG43" s="519">
        <v>137</v>
      </c>
      <c r="AH43" s="519">
        <v>0</v>
      </c>
      <c r="AI43" s="519">
        <v>0</v>
      </c>
      <c r="AJ43" s="519">
        <v>0</v>
      </c>
      <c r="AK43" s="519">
        <v>0</v>
      </c>
      <c r="AL43" s="519">
        <v>0</v>
      </c>
      <c r="AM43" s="519">
        <v>0</v>
      </c>
      <c r="AN43" s="519">
        <v>0</v>
      </c>
    </row>
    <row r="44" spans="1:40" x14ac:dyDescent="0.3">
      <c r="A44" s="489" t="s">
        <v>1441</v>
      </c>
      <c r="B44" s="489" t="s">
        <v>1549</v>
      </c>
      <c r="C44" s="489" t="s">
        <v>1550</v>
      </c>
      <c r="D44" s="489" t="s">
        <v>1530</v>
      </c>
      <c r="E44" s="619">
        <v>189</v>
      </c>
      <c r="F44" s="624">
        <f t="shared" si="15"/>
        <v>126.58730158730158</v>
      </c>
      <c r="G44" s="519">
        <f t="shared" si="16"/>
        <v>138</v>
      </c>
      <c r="H44" s="519">
        <f t="shared" si="17"/>
        <v>138</v>
      </c>
      <c r="I44" s="519">
        <f t="shared" si="18"/>
        <v>138</v>
      </c>
      <c r="J44" s="519">
        <f t="shared" si="19"/>
        <v>138</v>
      </c>
      <c r="K44" s="519">
        <f t="shared" si="20"/>
        <v>138</v>
      </c>
      <c r="L44" s="519">
        <f t="shared" si="21"/>
        <v>138.6</v>
      </c>
      <c r="M44" s="519">
        <f t="shared" si="22"/>
        <v>121.3012048192771</v>
      </c>
      <c r="N44" s="519">
        <f t="shared" si="23"/>
        <v>118.18518518518519</v>
      </c>
      <c r="O44" s="519">
        <f t="shared" si="24"/>
        <v>117.81818181818181</v>
      </c>
      <c r="P44" s="519">
        <f t="shared" si="25"/>
        <v>113.14285714285714</v>
      </c>
      <c r="Q44" s="519">
        <f t="shared" si="26"/>
        <v>156</v>
      </c>
      <c r="R44" s="519">
        <f t="shared" si="27"/>
        <v>157</v>
      </c>
      <c r="S44" s="519">
        <f t="shared" si="28"/>
        <v>156.33333333333334</v>
      </c>
      <c r="T44" s="519">
        <f t="shared" si="29"/>
        <v>157</v>
      </c>
      <c r="U44" s="519">
        <f t="shared" si="30"/>
        <v>0</v>
      </c>
      <c r="V44" s="618"/>
      <c r="Y44" s="624">
        <v>126.58730158730158</v>
      </c>
      <c r="Z44" s="519">
        <v>0</v>
      </c>
      <c r="AA44" s="519">
        <v>0</v>
      </c>
      <c r="AB44" s="519">
        <v>0</v>
      </c>
      <c r="AC44" s="519">
        <v>0</v>
      </c>
      <c r="AD44" s="519">
        <v>138</v>
      </c>
      <c r="AE44" s="519">
        <v>138.6</v>
      </c>
      <c r="AF44" s="519">
        <v>121.3012048192771</v>
      </c>
      <c r="AG44" s="519">
        <v>118.18518518518519</v>
      </c>
      <c r="AH44" s="519">
        <v>117.81818181818181</v>
      </c>
      <c r="AI44" s="519">
        <v>113.14285714285714</v>
      </c>
      <c r="AJ44" s="519">
        <v>156</v>
      </c>
      <c r="AK44" s="519">
        <v>157</v>
      </c>
      <c r="AL44" s="519">
        <v>156.33333333333334</v>
      </c>
      <c r="AM44" s="519">
        <v>157</v>
      </c>
      <c r="AN44" s="519">
        <v>0</v>
      </c>
    </row>
    <row r="45" spans="1:40" x14ac:dyDescent="0.3">
      <c r="A45" s="489" t="s">
        <v>1426</v>
      </c>
      <c r="B45" s="489" t="s">
        <v>1579</v>
      </c>
      <c r="C45" s="489" t="s">
        <v>1580</v>
      </c>
      <c r="D45" s="489" t="s">
        <v>141</v>
      </c>
      <c r="E45" s="619">
        <v>188</v>
      </c>
      <c r="F45" s="624">
        <f t="shared" si="15"/>
        <v>0</v>
      </c>
      <c r="G45" s="519">
        <f t="shared" si="16"/>
        <v>0</v>
      </c>
      <c r="H45" s="519">
        <f t="shared" si="17"/>
        <v>0</v>
      </c>
      <c r="I45" s="519">
        <f t="shared" si="18"/>
        <v>0</v>
      </c>
      <c r="J45" s="519">
        <f t="shared" si="19"/>
        <v>0</v>
      </c>
      <c r="K45" s="519">
        <f t="shared" si="20"/>
        <v>0</v>
      </c>
      <c r="L45" s="519">
        <f t="shared" si="21"/>
        <v>0</v>
      </c>
      <c r="M45" s="519">
        <f t="shared" si="22"/>
        <v>0</v>
      </c>
      <c r="N45" s="519">
        <f t="shared" si="23"/>
        <v>0</v>
      </c>
      <c r="O45" s="519">
        <f t="shared" si="24"/>
        <v>0</v>
      </c>
      <c r="P45" s="519">
        <f t="shared" si="25"/>
        <v>0</v>
      </c>
      <c r="Q45" s="519">
        <f t="shared" si="26"/>
        <v>0</v>
      </c>
      <c r="R45" s="519">
        <f t="shared" si="27"/>
        <v>0</v>
      </c>
      <c r="S45" s="519">
        <f t="shared" si="28"/>
        <v>0</v>
      </c>
      <c r="T45" s="519">
        <f t="shared" si="29"/>
        <v>0</v>
      </c>
      <c r="U45" s="519">
        <f t="shared" si="30"/>
        <v>0</v>
      </c>
      <c r="V45" s="618"/>
      <c r="Y45" s="624">
        <v>0</v>
      </c>
      <c r="Z45" s="519">
        <v>0</v>
      </c>
      <c r="AA45" s="519">
        <v>0</v>
      </c>
      <c r="AB45" s="519">
        <v>0</v>
      </c>
      <c r="AC45" s="519">
        <v>0</v>
      </c>
      <c r="AD45" s="519">
        <v>0</v>
      </c>
      <c r="AE45" s="519">
        <v>0</v>
      </c>
      <c r="AF45" s="519">
        <v>0</v>
      </c>
      <c r="AG45" s="519">
        <v>0</v>
      </c>
      <c r="AH45" s="519">
        <v>0</v>
      </c>
      <c r="AI45" s="519">
        <v>0</v>
      </c>
      <c r="AJ45" s="519">
        <v>0</v>
      </c>
      <c r="AK45" s="519">
        <v>0</v>
      </c>
      <c r="AL45" s="519">
        <v>0</v>
      </c>
      <c r="AM45" s="519">
        <v>0</v>
      </c>
      <c r="AN45" s="519">
        <v>0</v>
      </c>
    </row>
    <row r="46" spans="1:40" x14ac:dyDescent="0.3">
      <c r="A46" s="489" t="s">
        <v>1414</v>
      </c>
      <c r="B46" s="489" t="s">
        <v>1581</v>
      </c>
      <c r="C46" s="489" t="s">
        <v>1582</v>
      </c>
      <c r="D46" s="489" t="s">
        <v>46</v>
      </c>
      <c r="E46" s="619">
        <v>185</v>
      </c>
      <c r="F46" s="624">
        <f t="shared" si="15"/>
        <v>146.29569892473117</v>
      </c>
      <c r="G46" s="519">
        <f t="shared" si="16"/>
        <v>150.80000000000001</v>
      </c>
      <c r="H46" s="519">
        <f t="shared" si="17"/>
        <v>150.80000000000001</v>
      </c>
      <c r="I46" s="519">
        <f t="shared" si="18"/>
        <v>142</v>
      </c>
      <c r="J46" s="519">
        <f t="shared" si="19"/>
        <v>145</v>
      </c>
      <c r="K46" s="519">
        <f t="shared" si="20"/>
        <v>145</v>
      </c>
      <c r="L46" s="519">
        <f t="shared" si="21"/>
        <v>145</v>
      </c>
      <c r="M46" s="519">
        <f t="shared" si="22"/>
        <v>140.66666666666666</v>
      </c>
      <c r="N46" s="519">
        <f t="shared" si="23"/>
        <v>137.38888888888889</v>
      </c>
      <c r="O46" s="519">
        <f t="shared" si="24"/>
        <v>142.39130434782609</v>
      </c>
      <c r="P46" s="519">
        <f t="shared" si="25"/>
        <v>133.52173913043478</v>
      </c>
      <c r="Q46" s="519">
        <f t="shared" si="26"/>
        <v>138.18181818181819</v>
      </c>
      <c r="R46" s="519">
        <f t="shared" si="27"/>
        <v>137</v>
      </c>
      <c r="S46" s="519">
        <f t="shared" si="28"/>
        <v>144.91666666666666</v>
      </c>
      <c r="T46" s="519">
        <f t="shared" si="29"/>
        <v>149.5</v>
      </c>
      <c r="U46" s="519">
        <f t="shared" si="30"/>
        <v>158.45454545454547</v>
      </c>
      <c r="V46" s="618"/>
      <c r="Y46" s="624">
        <v>146.29569892473117</v>
      </c>
      <c r="Z46" s="625">
        <v>0</v>
      </c>
      <c r="AA46" s="519">
        <v>150.80000000000001</v>
      </c>
      <c r="AB46" s="519">
        <v>142</v>
      </c>
      <c r="AC46" s="625">
        <v>0</v>
      </c>
      <c r="AD46" s="625">
        <v>0</v>
      </c>
      <c r="AE46" s="519">
        <v>145</v>
      </c>
      <c r="AF46" s="519">
        <v>140.66666666666666</v>
      </c>
      <c r="AG46" s="519">
        <v>137.38888888888889</v>
      </c>
      <c r="AH46" s="519">
        <v>142.39130434782609</v>
      </c>
      <c r="AI46" s="519">
        <v>133.52173913043478</v>
      </c>
      <c r="AJ46" s="519">
        <v>138.18181818181819</v>
      </c>
      <c r="AK46" s="519">
        <v>137</v>
      </c>
      <c r="AL46" s="519">
        <v>144.91666666666666</v>
      </c>
      <c r="AM46" s="519">
        <v>149.5</v>
      </c>
      <c r="AN46" s="519">
        <v>158.45454545454547</v>
      </c>
    </row>
    <row r="47" spans="1:40" x14ac:dyDescent="0.3">
      <c r="A47" s="489" t="s">
        <v>1422</v>
      </c>
      <c r="B47" s="489" t="s">
        <v>1583</v>
      </c>
      <c r="C47" s="489" t="s">
        <v>1584</v>
      </c>
      <c r="D47" s="489" t="s">
        <v>141</v>
      </c>
      <c r="E47" s="619">
        <v>183</v>
      </c>
      <c r="F47" s="624">
        <f t="shared" si="15"/>
        <v>0</v>
      </c>
      <c r="G47" s="519">
        <f t="shared" si="16"/>
        <v>0</v>
      </c>
      <c r="H47" s="519">
        <f t="shared" si="17"/>
        <v>0</v>
      </c>
      <c r="I47" s="519">
        <f t="shared" si="18"/>
        <v>0</v>
      </c>
      <c r="J47" s="519">
        <f t="shared" si="19"/>
        <v>0</v>
      </c>
      <c r="K47" s="519">
        <f t="shared" si="20"/>
        <v>0</v>
      </c>
      <c r="L47" s="519">
        <f t="shared" si="21"/>
        <v>0</v>
      </c>
      <c r="M47" s="519">
        <f t="shared" si="22"/>
        <v>0</v>
      </c>
      <c r="N47" s="519">
        <f t="shared" si="23"/>
        <v>0</v>
      </c>
      <c r="O47" s="519">
        <f t="shared" si="24"/>
        <v>0</v>
      </c>
      <c r="P47" s="519">
        <f t="shared" si="25"/>
        <v>0</v>
      </c>
      <c r="Q47" s="519">
        <f t="shared" si="26"/>
        <v>0</v>
      </c>
      <c r="R47" s="519">
        <f t="shared" si="27"/>
        <v>0</v>
      </c>
      <c r="S47" s="519">
        <f t="shared" si="28"/>
        <v>0</v>
      </c>
      <c r="T47" s="519">
        <f t="shared" si="29"/>
        <v>0</v>
      </c>
      <c r="U47" s="519">
        <f t="shared" si="30"/>
        <v>0</v>
      </c>
      <c r="V47" s="618"/>
      <c r="Y47" s="624">
        <v>0</v>
      </c>
      <c r="Z47" s="519">
        <v>0</v>
      </c>
      <c r="AA47" s="519">
        <v>0</v>
      </c>
      <c r="AB47" s="519">
        <v>0</v>
      </c>
      <c r="AC47" s="519">
        <v>0</v>
      </c>
      <c r="AD47" s="519">
        <v>0</v>
      </c>
      <c r="AE47" s="519">
        <v>0</v>
      </c>
      <c r="AF47" s="519">
        <v>0</v>
      </c>
      <c r="AG47" s="519">
        <v>0</v>
      </c>
      <c r="AH47" s="519">
        <v>0</v>
      </c>
      <c r="AI47" s="519">
        <v>0</v>
      </c>
      <c r="AJ47" s="519">
        <v>0</v>
      </c>
      <c r="AK47" s="519">
        <v>0</v>
      </c>
      <c r="AL47" s="519">
        <v>0</v>
      </c>
      <c r="AM47" s="519">
        <v>0</v>
      </c>
      <c r="AN47" s="519">
        <v>0</v>
      </c>
    </row>
    <row r="48" spans="1:40" x14ac:dyDescent="0.3">
      <c r="A48" s="489" t="s">
        <v>1414</v>
      </c>
      <c r="B48" s="489" t="s">
        <v>1585</v>
      </c>
      <c r="C48" s="489" t="s">
        <v>1586</v>
      </c>
      <c r="D48" s="489" t="s">
        <v>46</v>
      </c>
      <c r="E48" s="619">
        <v>179</v>
      </c>
      <c r="F48" s="624">
        <f t="shared" si="15"/>
        <v>116.43575418994413</v>
      </c>
      <c r="G48" s="519">
        <f t="shared" si="16"/>
        <v>128</v>
      </c>
      <c r="H48" s="519">
        <f t="shared" si="17"/>
        <v>127</v>
      </c>
      <c r="I48" s="519">
        <f t="shared" si="18"/>
        <v>127</v>
      </c>
      <c r="J48" s="519">
        <f t="shared" si="19"/>
        <v>123</v>
      </c>
      <c r="K48" s="519">
        <f t="shared" si="20"/>
        <v>127</v>
      </c>
      <c r="L48" s="519">
        <f t="shared" si="21"/>
        <v>122.66666666666667</v>
      </c>
      <c r="M48" s="519">
        <f t="shared" si="22"/>
        <v>124</v>
      </c>
      <c r="N48" s="519">
        <f t="shared" si="23"/>
        <v>120.625</v>
      </c>
      <c r="O48" s="519">
        <f t="shared" si="24"/>
        <v>120.39393939393939</v>
      </c>
      <c r="P48" s="519">
        <f t="shared" si="25"/>
        <v>111.89411764705882</v>
      </c>
      <c r="Q48" s="519">
        <f t="shared" si="26"/>
        <v>111.61538461538461</v>
      </c>
      <c r="R48" s="519">
        <f t="shared" si="27"/>
        <v>0</v>
      </c>
      <c r="S48" s="519">
        <f t="shared" si="28"/>
        <v>0</v>
      </c>
      <c r="T48" s="519">
        <f t="shared" si="29"/>
        <v>0</v>
      </c>
      <c r="U48" s="519">
        <f t="shared" si="30"/>
        <v>0</v>
      </c>
      <c r="V48" s="618"/>
      <c r="Y48" s="624">
        <v>116.43575418994413</v>
      </c>
      <c r="Z48" s="519">
        <v>128</v>
      </c>
      <c r="AA48" s="519">
        <v>127</v>
      </c>
      <c r="AB48" s="519">
        <v>127</v>
      </c>
      <c r="AC48" s="519">
        <v>123</v>
      </c>
      <c r="AD48" s="519">
        <v>127</v>
      </c>
      <c r="AE48" s="519">
        <v>122.66666666666667</v>
      </c>
      <c r="AF48" s="519">
        <v>124</v>
      </c>
      <c r="AG48" s="519">
        <v>120.625</v>
      </c>
      <c r="AH48" s="519">
        <v>120.39393939393939</v>
      </c>
      <c r="AI48" s="519">
        <v>111.89411764705882</v>
      </c>
      <c r="AJ48" s="519">
        <v>111.61538461538461</v>
      </c>
      <c r="AK48" s="519">
        <v>0</v>
      </c>
      <c r="AL48" s="519">
        <v>0</v>
      </c>
      <c r="AM48" s="519">
        <v>0</v>
      </c>
      <c r="AN48" s="519">
        <v>0</v>
      </c>
    </row>
    <row r="49" spans="1:40" x14ac:dyDescent="0.3">
      <c r="A49" s="489" t="s">
        <v>1451</v>
      </c>
      <c r="B49" s="489" t="s">
        <v>1587</v>
      </c>
      <c r="C49" s="489" t="s">
        <v>1588</v>
      </c>
      <c r="D49" s="489" t="s">
        <v>46</v>
      </c>
      <c r="E49" s="619">
        <v>173</v>
      </c>
      <c r="F49" s="624">
        <f t="shared" si="15"/>
        <v>156.96531791907515</v>
      </c>
      <c r="G49" s="519">
        <f t="shared" si="16"/>
        <v>145</v>
      </c>
      <c r="H49" s="519">
        <f t="shared" si="17"/>
        <v>145</v>
      </c>
      <c r="I49" s="519">
        <f t="shared" si="18"/>
        <v>164.5</v>
      </c>
      <c r="J49" s="519">
        <f t="shared" si="19"/>
        <v>162</v>
      </c>
      <c r="K49" s="519">
        <f t="shared" si="20"/>
        <v>160.08823529411765</v>
      </c>
      <c r="L49" s="519">
        <f t="shared" si="21"/>
        <v>160.08823529411765</v>
      </c>
      <c r="M49" s="519">
        <f t="shared" si="22"/>
        <v>157.10576923076923</v>
      </c>
      <c r="N49" s="519">
        <f t="shared" si="23"/>
        <v>151.6875</v>
      </c>
      <c r="O49" s="519">
        <f t="shared" si="24"/>
        <v>152</v>
      </c>
      <c r="P49" s="519">
        <f t="shared" si="25"/>
        <v>153.42857142857142</v>
      </c>
      <c r="Q49" s="519">
        <f t="shared" si="26"/>
        <v>0</v>
      </c>
      <c r="R49" s="519">
        <f t="shared" si="27"/>
        <v>0</v>
      </c>
      <c r="S49" s="519">
        <f t="shared" si="28"/>
        <v>0</v>
      </c>
      <c r="T49" s="519">
        <f t="shared" si="29"/>
        <v>0</v>
      </c>
      <c r="U49" s="519">
        <f t="shared" si="30"/>
        <v>0</v>
      </c>
      <c r="V49" s="618"/>
      <c r="Y49" s="624">
        <v>156.96531791907515</v>
      </c>
      <c r="Z49" s="625">
        <v>0</v>
      </c>
      <c r="AA49" s="519">
        <v>145</v>
      </c>
      <c r="AB49" s="519">
        <v>164.5</v>
      </c>
      <c r="AC49" s="519">
        <v>162</v>
      </c>
      <c r="AD49" s="625">
        <v>0</v>
      </c>
      <c r="AE49" s="519">
        <v>160.08823529411765</v>
      </c>
      <c r="AF49" s="519">
        <v>157.10576923076923</v>
      </c>
      <c r="AG49" s="519">
        <v>151.6875</v>
      </c>
      <c r="AH49" s="519">
        <v>152</v>
      </c>
      <c r="AI49" s="519">
        <v>153.42857142857142</v>
      </c>
      <c r="AJ49" s="519">
        <v>0</v>
      </c>
      <c r="AK49" s="519">
        <v>0</v>
      </c>
      <c r="AL49" s="519">
        <v>0</v>
      </c>
      <c r="AM49" s="519">
        <v>0</v>
      </c>
      <c r="AN49" s="519">
        <v>0</v>
      </c>
    </row>
    <row r="50" spans="1:40" x14ac:dyDescent="0.3">
      <c r="A50" s="489" t="s">
        <v>1454</v>
      </c>
      <c r="B50" s="489" t="s">
        <v>1589</v>
      </c>
      <c r="C50" s="489" t="s">
        <v>1590</v>
      </c>
      <c r="D50" s="489" t="s">
        <v>46</v>
      </c>
      <c r="E50" s="619">
        <v>169</v>
      </c>
      <c r="F50" s="624">
        <f t="shared" si="15"/>
        <v>164.32544378698225</v>
      </c>
      <c r="G50" s="519">
        <f t="shared" si="16"/>
        <v>177</v>
      </c>
      <c r="H50" s="519">
        <f t="shared" si="17"/>
        <v>177</v>
      </c>
      <c r="I50" s="519">
        <f t="shared" si="18"/>
        <v>165.5</v>
      </c>
      <c r="J50" s="519">
        <f t="shared" si="19"/>
        <v>170</v>
      </c>
      <c r="K50" s="519">
        <f t="shared" si="20"/>
        <v>171.82926829268294</v>
      </c>
      <c r="L50" s="519">
        <f t="shared" si="21"/>
        <v>171.82926829268294</v>
      </c>
      <c r="M50" s="519">
        <f t="shared" si="22"/>
        <v>158.38271604938271</v>
      </c>
      <c r="N50" s="519">
        <f t="shared" si="23"/>
        <v>145</v>
      </c>
      <c r="O50" s="519">
        <f t="shared" si="24"/>
        <v>158.35</v>
      </c>
      <c r="P50" s="519">
        <f t="shared" si="25"/>
        <v>175</v>
      </c>
      <c r="Q50" s="519">
        <f t="shared" si="26"/>
        <v>175</v>
      </c>
      <c r="R50" s="519">
        <f t="shared" si="27"/>
        <v>175</v>
      </c>
      <c r="S50" s="519">
        <f t="shared" si="28"/>
        <v>202</v>
      </c>
      <c r="T50" s="519">
        <f t="shared" si="29"/>
        <v>202</v>
      </c>
      <c r="U50" s="519">
        <f t="shared" si="30"/>
        <v>205</v>
      </c>
      <c r="V50" s="618"/>
      <c r="Y50" s="624">
        <v>164.32544378698225</v>
      </c>
      <c r="Z50" s="625">
        <v>0</v>
      </c>
      <c r="AA50" s="519">
        <v>177</v>
      </c>
      <c r="AB50" s="519">
        <v>165.5</v>
      </c>
      <c r="AC50" s="519">
        <v>170</v>
      </c>
      <c r="AD50" s="625">
        <v>0</v>
      </c>
      <c r="AE50" s="519">
        <v>171.82926829268294</v>
      </c>
      <c r="AF50" s="519">
        <v>158.38271604938271</v>
      </c>
      <c r="AG50" s="519">
        <v>145</v>
      </c>
      <c r="AH50" s="519">
        <v>158.35</v>
      </c>
      <c r="AI50" s="519">
        <v>175</v>
      </c>
      <c r="AJ50" s="519">
        <v>175</v>
      </c>
      <c r="AK50" s="519">
        <v>175</v>
      </c>
      <c r="AL50" s="625">
        <v>0</v>
      </c>
      <c r="AM50" s="519">
        <v>202</v>
      </c>
      <c r="AN50" s="519">
        <v>205</v>
      </c>
    </row>
    <row r="51" spans="1:40" x14ac:dyDescent="0.3">
      <c r="A51" s="489" t="s">
        <v>1417</v>
      </c>
      <c r="B51" s="489" t="s">
        <v>1418</v>
      </c>
      <c r="C51" s="489" t="s">
        <v>1232</v>
      </c>
      <c r="D51" s="489" t="s">
        <v>1936</v>
      </c>
      <c r="E51" s="619">
        <v>169</v>
      </c>
      <c r="F51" s="624"/>
      <c r="G51" s="519"/>
      <c r="H51" s="519"/>
      <c r="I51" s="519"/>
      <c r="J51" s="519"/>
      <c r="K51" s="519"/>
      <c r="L51" s="519"/>
      <c r="M51" s="519"/>
      <c r="N51" s="519"/>
      <c r="O51" s="519"/>
      <c r="P51" s="519"/>
      <c r="Q51" s="519"/>
      <c r="R51" s="519"/>
      <c r="S51" s="519"/>
      <c r="T51" s="519"/>
      <c r="U51" s="519"/>
      <c r="V51" s="618"/>
      <c r="Y51" s="624">
        <v>0</v>
      </c>
      <c r="Z51" s="519">
        <v>0</v>
      </c>
      <c r="AA51" s="519">
        <v>0</v>
      </c>
      <c r="AB51" s="519">
        <v>0</v>
      </c>
      <c r="AC51" s="519">
        <v>0</v>
      </c>
      <c r="AD51" s="519">
        <v>0</v>
      </c>
      <c r="AE51" s="519">
        <v>0</v>
      </c>
      <c r="AF51" s="519">
        <v>0</v>
      </c>
      <c r="AG51" s="519">
        <v>0</v>
      </c>
      <c r="AH51" s="519">
        <v>0</v>
      </c>
      <c r="AI51" s="519">
        <v>0</v>
      </c>
      <c r="AJ51" s="519">
        <v>0</v>
      </c>
      <c r="AK51" s="519">
        <v>0</v>
      </c>
      <c r="AL51" s="519">
        <v>0</v>
      </c>
      <c r="AM51" s="519">
        <v>0</v>
      </c>
      <c r="AN51" s="519">
        <v>0</v>
      </c>
    </row>
    <row r="52" spans="1:40" x14ac:dyDescent="0.3">
      <c r="A52" s="489" t="s">
        <v>1591</v>
      </c>
      <c r="B52" s="489" t="s">
        <v>1592</v>
      </c>
      <c r="C52" s="489" t="s">
        <v>1592</v>
      </c>
      <c r="D52" s="489" t="s">
        <v>141</v>
      </c>
      <c r="E52" s="619">
        <v>168</v>
      </c>
      <c r="F52" s="624">
        <f t="shared" si="15"/>
        <v>0</v>
      </c>
      <c r="G52" s="519">
        <f t="shared" si="16"/>
        <v>0</v>
      </c>
      <c r="H52" s="519">
        <f t="shared" si="17"/>
        <v>0</v>
      </c>
      <c r="I52" s="519">
        <f t="shared" si="18"/>
        <v>0</v>
      </c>
      <c r="J52" s="519">
        <f t="shared" si="19"/>
        <v>0</v>
      </c>
      <c r="K52" s="519">
        <f t="shared" si="20"/>
        <v>0</v>
      </c>
      <c r="L52" s="519">
        <f t="shared" si="21"/>
        <v>0</v>
      </c>
      <c r="M52" s="519">
        <f t="shared" si="22"/>
        <v>0</v>
      </c>
      <c r="N52" s="519">
        <f t="shared" si="23"/>
        <v>0</v>
      </c>
      <c r="O52" s="519">
        <f t="shared" si="24"/>
        <v>0</v>
      </c>
      <c r="P52" s="519">
        <f t="shared" si="25"/>
        <v>0</v>
      </c>
      <c r="Q52" s="519">
        <f t="shared" si="26"/>
        <v>0</v>
      </c>
      <c r="R52" s="519">
        <f t="shared" si="27"/>
        <v>0</v>
      </c>
      <c r="S52" s="519">
        <f t="shared" si="28"/>
        <v>0</v>
      </c>
      <c r="T52" s="519">
        <f t="shared" si="29"/>
        <v>0</v>
      </c>
      <c r="U52" s="519">
        <f t="shared" si="30"/>
        <v>0</v>
      </c>
      <c r="V52" s="618"/>
      <c r="Y52" s="624">
        <v>0</v>
      </c>
      <c r="Z52" s="519">
        <v>0</v>
      </c>
      <c r="AA52" s="519">
        <v>0</v>
      </c>
      <c r="AB52" s="519">
        <v>0</v>
      </c>
      <c r="AC52" s="519">
        <v>0</v>
      </c>
      <c r="AD52" s="519">
        <v>0</v>
      </c>
      <c r="AE52" s="519">
        <v>0</v>
      </c>
      <c r="AF52" s="519">
        <v>0</v>
      </c>
      <c r="AG52" s="519">
        <v>0</v>
      </c>
      <c r="AH52" s="519">
        <v>0</v>
      </c>
      <c r="AI52" s="519">
        <v>0</v>
      </c>
      <c r="AJ52" s="519">
        <v>0</v>
      </c>
      <c r="AK52" s="519">
        <v>0</v>
      </c>
      <c r="AL52" s="519">
        <v>0</v>
      </c>
      <c r="AM52" s="519">
        <v>0</v>
      </c>
      <c r="AN52" s="519">
        <v>0</v>
      </c>
    </row>
    <row r="53" spans="1:40" x14ac:dyDescent="0.3">
      <c r="A53" s="489" t="s">
        <v>1441</v>
      </c>
      <c r="B53" s="489" t="s">
        <v>1593</v>
      </c>
      <c r="C53" s="489" t="s">
        <v>1594</v>
      </c>
      <c r="D53" s="489" t="s">
        <v>141</v>
      </c>
      <c r="E53" s="619">
        <v>167</v>
      </c>
      <c r="F53" s="624">
        <f t="shared" si="15"/>
        <v>0</v>
      </c>
      <c r="G53" s="519">
        <f t="shared" si="16"/>
        <v>0</v>
      </c>
      <c r="H53" s="519">
        <f t="shared" si="17"/>
        <v>0</v>
      </c>
      <c r="I53" s="519">
        <f t="shared" si="18"/>
        <v>0</v>
      </c>
      <c r="J53" s="519">
        <f t="shared" si="19"/>
        <v>0</v>
      </c>
      <c r="K53" s="519">
        <f t="shared" si="20"/>
        <v>0</v>
      </c>
      <c r="L53" s="519">
        <f t="shared" si="21"/>
        <v>0</v>
      </c>
      <c r="M53" s="519">
        <f t="shared" si="22"/>
        <v>0</v>
      </c>
      <c r="N53" s="519">
        <f t="shared" si="23"/>
        <v>0</v>
      </c>
      <c r="O53" s="519">
        <f t="shared" si="24"/>
        <v>0</v>
      </c>
      <c r="P53" s="519">
        <f t="shared" si="25"/>
        <v>0</v>
      </c>
      <c r="Q53" s="519">
        <f t="shared" si="26"/>
        <v>0</v>
      </c>
      <c r="R53" s="519">
        <f t="shared" si="27"/>
        <v>0</v>
      </c>
      <c r="S53" s="519">
        <f t="shared" si="28"/>
        <v>0</v>
      </c>
      <c r="T53" s="519">
        <f t="shared" si="29"/>
        <v>0</v>
      </c>
      <c r="U53" s="519">
        <f t="shared" si="30"/>
        <v>0</v>
      </c>
      <c r="V53" s="618"/>
      <c r="Y53" s="624">
        <v>0</v>
      </c>
      <c r="Z53" s="519">
        <v>0</v>
      </c>
      <c r="AA53" s="519">
        <v>0</v>
      </c>
      <c r="AB53" s="519">
        <v>0</v>
      </c>
      <c r="AC53" s="519">
        <v>0</v>
      </c>
      <c r="AD53" s="519">
        <v>0</v>
      </c>
      <c r="AE53" s="519">
        <v>0</v>
      </c>
      <c r="AF53" s="519">
        <v>0</v>
      </c>
      <c r="AG53" s="519">
        <v>0</v>
      </c>
      <c r="AH53" s="519">
        <v>0</v>
      </c>
      <c r="AI53" s="519">
        <v>0</v>
      </c>
      <c r="AJ53" s="519">
        <v>0</v>
      </c>
      <c r="AK53" s="519">
        <v>0</v>
      </c>
      <c r="AL53" s="519">
        <v>0</v>
      </c>
      <c r="AM53" s="519">
        <v>0</v>
      </c>
      <c r="AN53" s="519">
        <v>0</v>
      </c>
    </row>
    <row r="54" spans="1:40" x14ac:dyDescent="0.3">
      <c r="A54" s="489" t="s">
        <v>1544</v>
      </c>
      <c r="B54" s="489" t="s">
        <v>1574</v>
      </c>
      <c r="C54" s="489" t="s">
        <v>1575</v>
      </c>
      <c r="D54" s="489" t="s">
        <v>46</v>
      </c>
      <c r="E54" s="619">
        <v>160</v>
      </c>
      <c r="F54" s="624">
        <f t="shared" si="15"/>
        <v>237.28749999999999</v>
      </c>
      <c r="G54" s="519">
        <f t="shared" si="16"/>
        <v>197</v>
      </c>
      <c r="H54" s="519">
        <f t="shared" si="17"/>
        <v>197</v>
      </c>
      <c r="I54" s="519">
        <f t="shared" si="18"/>
        <v>197</v>
      </c>
      <c r="J54" s="519">
        <f t="shared" si="19"/>
        <v>162</v>
      </c>
      <c r="K54" s="519">
        <f t="shared" si="20"/>
        <v>272</v>
      </c>
      <c r="L54" s="519">
        <f t="shared" si="21"/>
        <v>266.74311926605503</v>
      </c>
      <c r="M54" s="519">
        <f t="shared" si="22"/>
        <v>175.66666666666666</v>
      </c>
      <c r="N54" s="519">
        <f t="shared" si="23"/>
        <v>178</v>
      </c>
      <c r="O54" s="519">
        <f t="shared" si="24"/>
        <v>178</v>
      </c>
      <c r="P54" s="519">
        <f t="shared" si="25"/>
        <v>178</v>
      </c>
      <c r="Q54" s="519">
        <f t="shared" si="26"/>
        <v>191.66666666666666</v>
      </c>
      <c r="R54" s="519">
        <f t="shared" si="27"/>
        <v>191.66666666666666</v>
      </c>
      <c r="S54" s="519">
        <f t="shared" si="28"/>
        <v>240</v>
      </c>
      <c r="T54" s="519">
        <f t="shared" si="29"/>
        <v>0</v>
      </c>
      <c r="U54" s="519">
        <f t="shared" si="30"/>
        <v>0</v>
      </c>
      <c r="V54" s="618"/>
      <c r="Y54" s="624">
        <v>237.28749999999999</v>
      </c>
      <c r="Z54" s="625">
        <v>0</v>
      </c>
      <c r="AA54" s="625">
        <v>0</v>
      </c>
      <c r="AB54" s="519">
        <v>197</v>
      </c>
      <c r="AC54" s="519">
        <v>162</v>
      </c>
      <c r="AD54" s="519">
        <v>272</v>
      </c>
      <c r="AE54" s="519">
        <v>266.74311926605503</v>
      </c>
      <c r="AF54" s="519">
        <v>175.66666666666666</v>
      </c>
      <c r="AG54" s="519">
        <v>178</v>
      </c>
      <c r="AH54" s="519">
        <v>0</v>
      </c>
      <c r="AI54" s="519">
        <v>178</v>
      </c>
      <c r="AJ54" s="519">
        <v>0</v>
      </c>
      <c r="AK54" s="519">
        <v>191.66666666666666</v>
      </c>
      <c r="AL54" s="519">
        <v>240</v>
      </c>
      <c r="AM54" s="519">
        <v>0</v>
      </c>
      <c r="AN54" s="519">
        <v>0</v>
      </c>
    </row>
    <row r="55" spans="1:40" x14ac:dyDescent="0.3">
      <c r="A55" s="489" t="s">
        <v>1451</v>
      </c>
      <c r="B55" s="489" t="s">
        <v>1595</v>
      </c>
      <c r="C55" s="489" t="s">
        <v>1596</v>
      </c>
      <c r="D55" s="489" t="s">
        <v>46</v>
      </c>
      <c r="E55" s="619">
        <v>150</v>
      </c>
      <c r="F55" s="624">
        <f t="shared" si="15"/>
        <v>124.83333333333333</v>
      </c>
      <c r="G55" s="519">
        <f t="shared" si="16"/>
        <v>122</v>
      </c>
      <c r="H55" s="519">
        <f t="shared" si="17"/>
        <v>146.72727272727272</v>
      </c>
      <c r="I55" s="519">
        <f t="shared" si="18"/>
        <v>146.94117647058823</v>
      </c>
      <c r="J55" s="519">
        <f t="shared" si="19"/>
        <v>118.875</v>
      </c>
      <c r="K55" s="519">
        <f t="shared" si="20"/>
        <v>136.66666666666666</v>
      </c>
      <c r="L55" s="519">
        <f t="shared" si="21"/>
        <v>130.18181818181819</v>
      </c>
      <c r="M55" s="519">
        <f t="shared" si="22"/>
        <v>103.38095238095238</v>
      </c>
      <c r="N55" s="519">
        <f t="shared" si="23"/>
        <v>89.375</v>
      </c>
      <c r="O55" s="519">
        <f t="shared" si="24"/>
        <v>113.66666666666667</v>
      </c>
      <c r="P55" s="519">
        <f t="shared" si="25"/>
        <v>117.875</v>
      </c>
      <c r="Q55" s="519">
        <f t="shared" si="26"/>
        <v>101</v>
      </c>
      <c r="R55" s="519">
        <f t="shared" si="27"/>
        <v>105</v>
      </c>
      <c r="S55" s="519">
        <f t="shared" si="28"/>
        <v>144.19999999999999</v>
      </c>
      <c r="T55" s="519">
        <f t="shared" si="29"/>
        <v>137.57142857142858</v>
      </c>
      <c r="U55" s="519">
        <f t="shared" si="30"/>
        <v>0</v>
      </c>
      <c r="V55" s="618"/>
      <c r="Y55" s="624">
        <v>124.83333333333333</v>
      </c>
      <c r="Z55" s="519">
        <v>122</v>
      </c>
      <c r="AA55" s="519">
        <v>146.72727272727272</v>
      </c>
      <c r="AB55" s="519">
        <v>146.94117647058823</v>
      </c>
      <c r="AC55" s="519">
        <v>118.875</v>
      </c>
      <c r="AD55" s="519">
        <v>136.66666666666666</v>
      </c>
      <c r="AE55" s="519">
        <v>130.18181818181819</v>
      </c>
      <c r="AF55" s="519">
        <v>103.38095238095238</v>
      </c>
      <c r="AG55" s="519">
        <v>89.375</v>
      </c>
      <c r="AH55" s="519">
        <v>113.66666666666667</v>
      </c>
      <c r="AI55" s="519">
        <v>117.875</v>
      </c>
      <c r="AJ55" s="519">
        <v>101</v>
      </c>
      <c r="AK55" s="519">
        <v>105</v>
      </c>
      <c r="AL55" s="519">
        <v>144.19999999999999</v>
      </c>
      <c r="AM55" s="519">
        <v>137.57142857142858</v>
      </c>
      <c r="AN55" s="519">
        <v>0</v>
      </c>
    </row>
    <row r="56" spans="1:40" x14ac:dyDescent="0.3">
      <c r="A56" s="489" t="s">
        <v>1567</v>
      </c>
      <c r="B56" s="489">
        <v>308</v>
      </c>
      <c r="C56" s="489" t="s">
        <v>366</v>
      </c>
      <c r="D56" s="489" t="s">
        <v>46</v>
      </c>
      <c r="E56" s="619">
        <v>146</v>
      </c>
      <c r="F56" s="624">
        <f t="shared" si="15"/>
        <v>97.006849315068493</v>
      </c>
      <c r="G56" s="519">
        <f t="shared" si="16"/>
        <v>109.2</v>
      </c>
      <c r="H56" s="519">
        <f t="shared" si="17"/>
        <v>109.2</v>
      </c>
      <c r="I56" s="519">
        <f t="shared" si="18"/>
        <v>100.66666666666667</v>
      </c>
      <c r="J56" s="519">
        <f t="shared" si="19"/>
        <v>115.66666666666667</v>
      </c>
      <c r="K56" s="519">
        <f t="shared" si="20"/>
        <v>129</v>
      </c>
      <c r="L56" s="519">
        <f t="shared" si="21"/>
        <v>114.09090909090909</v>
      </c>
      <c r="M56" s="519">
        <f t="shared" si="22"/>
        <v>101.25</v>
      </c>
      <c r="N56" s="519">
        <f t="shared" si="23"/>
        <v>100.25</v>
      </c>
      <c r="O56" s="519">
        <f t="shared" si="24"/>
        <v>99</v>
      </c>
      <c r="P56" s="519">
        <f t="shared" si="25"/>
        <v>88.862068965517238</v>
      </c>
      <c r="Q56" s="519">
        <f t="shared" si="26"/>
        <v>89.7</v>
      </c>
      <c r="R56" s="519">
        <f t="shared" si="27"/>
        <v>112</v>
      </c>
      <c r="S56" s="519">
        <f t="shared" si="28"/>
        <v>112</v>
      </c>
      <c r="T56" s="519">
        <f t="shared" si="29"/>
        <v>112</v>
      </c>
      <c r="U56" s="519">
        <f t="shared" si="30"/>
        <v>0</v>
      </c>
      <c r="V56" s="618"/>
      <c r="Y56" s="624">
        <v>97.006849315068493</v>
      </c>
      <c r="Z56" s="625">
        <v>0</v>
      </c>
      <c r="AA56" s="519">
        <v>109.2</v>
      </c>
      <c r="AB56" s="519">
        <v>100.66666666666667</v>
      </c>
      <c r="AC56" s="519">
        <v>115.66666666666667</v>
      </c>
      <c r="AD56" s="519">
        <v>129</v>
      </c>
      <c r="AE56" s="519">
        <v>114.09090909090909</v>
      </c>
      <c r="AF56" s="519">
        <v>101.25</v>
      </c>
      <c r="AG56" s="519">
        <v>100.25</v>
      </c>
      <c r="AH56" s="519">
        <v>99</v>
      </c>
      <c r="AI56" s="519">
        <v>88.862068965517238</v>
      </c>
      <c r="AJ56" s="519">
        <v>89.7</v>
      </c>
      <c r="AK56" s="519">
        <v>112</v>
      </c>
      <c r="AL56" s="519">
        <v>112</v>
      </c>
      <c r="AM56" s="519">
        <v>112</v>
      </c>
      <c r="AN56" s="519">
        <v>0</v>
      </c>
    </row>
    <row r="57" spans="1:40" x14ac:dyDescent="0.3">
      <c r="A57" s="489" t="s">
        <v>1426</v>
      </c>
      <c r="B57" s="489" t="s">
        <v>1597</v>
      </c>
      <c r="C57" s="489" t="s">
        <v>1598</v>
      </c>
      <c r="D57" s="489" t="s">
        <v>141</v>
      </c>
      <c r="E57" s="619">
        <v>145</v>
      </c>
      <c r="F57" s="624">
        <f t="shared" si="15"/>
        <v>0</v>
      </c>
      <c r="G57" s="519">
        <f t="shared" si="16"/>
        <v>0</v>
      </c>
      <c r="H57" s="519">
        <f t="shared" si="17"/>
        <v>0</v>
      </c>
      <c r="I57" s="519">
        <f t="shared" si="18"/>
        <v>0</v>
      </c>
      <c r="J57" s="519">
        <f t="shared" si="19"/>
        <v>0</v>
      </c>
      <c r="K57" s="519">
        <f t="shared" si="20"/>
        <v>0</v>
      </c>
      <c r="L57" s="519">
        <f t="shared" si="21"/>
        <v>0</v>
      </c>
      <c r="M57" s="519">
        <f t="shared" si="22"/>
        <v>0</v>
      </c>
      <c r="N57" s="519">
        <f t="shared" si="23"/>
        <v>0</v>
      </c>
      <c r="O57" s="519">
        <f t="shared" si="24"/>
        <v>0</v>
      </c>
      <c r="P57" s="519">
        <f t="shared" si="25"/>
        <v>0</v>
      </c>
      <c r="Q57" s="519">
        <f t="shared" si="26"/>
        <v>0</v>
      </c>
      <c r="R57" s="519">
        <f t="shared" si="27"/>
        <v>0</v>
      </c>
      <c r="S57" s="519">
        <f t="shared" si="28"/>
        <v>0</v>
      </c>
      <c r="T57" s="519">
        <f t="shared" si="29"/>
        <v>0</v>
      </c>
      <c r="U57" s="519">
        <f t="shared" si="30"/>
        <v>0</v>
      </c>
      <c r="V57" s="618"/>
      <c r="Y57" s="624">
        <v>0</v>
      </c>
      <c r="Z57" s="519">
        <v>0</v>
      </c>
      <c r="AA57" s="519">
        <v>0</v>
      </c>
      <c r="AB57" s="519">
        <v>0</v>
      </c>
      <c r="AC57" s="519">
        <v>0</v>
      </c>
      <c r="AD57" s="519">
        <v>0</v>
      </c>
      <c r="AE57" s="519">
        <v>0</v>
      </c>
      <c r="AF57" s="519">
        <v>0</v>
      </c>
      <c r="AG57" s="519">
        <v>0</v>
      </c>
      <c r="AH57" s="519">
        <v>0</v>
      </c>
      <c r="AI57" s="519">
        <v>0</v>
      </c>
      <c r="AJ57" s="519">
        <v>0</v>
      </c>
      <c r="AK57" s="519">
        <v>0</v>
      </c>
      <c r="AL57" s="519">
        <v>0</v>
      </c>
      <c r="AM57" s="519">
        <v>0</v>
      </c>
      <c r="AN57" s="519">
        <v>0</v>
      </c>
    </row>
    <row r="58" spans="1:40" x14ac:dyDescent="0.3">
      <c r="A58" s="489" t="s">
        <v>1414</v>
      </c>
      <c r="B58" s="489" t="s">
        <v>1599</v>
      </c>
      <c r="C58" s="489" t="s">
        <v>1600</v>
      </c>
      <c r="D58" s="489" t="s">
        <v>141</v>
      </c>
      <c r="E58" s="619">
        <v>140</v>
      </c>
      <c r="F58" s="624">
        <f t="shared" si="15"/>
        <v>0</v>
      </c>
      <c r="G58" s="519">
        <f t="shared" si="16"/>
        <v>0</v>
      </c>
      <c r="H58" s="519">
        <f t="shared" si="17"/>
        <v>0</v>
      </c>
      <c r="I58" s="519">
        <f t="shared" si="18"/>
        <v>0</v>
      </c>
      <c r="J58" s="519">
        <f t="shared" si="19"/>
        <v>0</v>
      </c>
      <c r="K58" s="519">
        <f t="shared" si="20"/>
        <v>0</v>
      </c>
      <c r="L58" s="519">
        <f t="shared" si="21"/>
        <v>0</v>
      </c>
      <c r="M58" s="519">
        <f t="shared" si="22"/>
        <v>0</v>
      </c>
      <c r="N58" s="519">
        <f t="shared" si="23"/>
        <v>0</v>
      </c>
      <c r="O58" s="519">
        <f t="shared" si="24"/>
        <v>0</v>
      </c>
      <c r="P58" s="519">
        <f t="shared" si="25"/>
        <v>0</v>
      </c>
      <c r="Q58" s="519">
        <f t="shared" si="26"/>
        <v>0</v>
      </c>
      <c r="R58" s="519">
        <f t="shared" si="27"/>
        <v>0</v>
      </c>
      <c r="S58" s="519">
        <f t="shared" si="28"/>
        <v>0</v>
      </c>
      <c r="T58" s="519">
        <f t="shared" si="29"/>
        <v>0</v>
      </c>
      <c r="U58" s="519">
        <f t="shared" si="30"/>
        <v>0</v>
      </c>
      <c r="V58" s="618"/>
      <c r="Y58" s="624">
        <v>0</v>
      </c>
      <c r="Z58" s="519">
        <v>0</v>
      </c>
      <c r="AA58" s="519">
        <v>0</v>
      </c>
      <c r="AB58" s="519">
        <v>0</v>
      </c>
      <c r="AC58" s="519">
        <v>0</v>
      </c>
      <c r="AD58" s="519">
        <v>0</v>
      </c>
      <c r="AE58" s="519">
        <v>0</v>
      </c>
      <c r="AF58" s="519">
        <v>0</v>
      </c>
      <c r="AG58" s="519">
        <v>0</v>
      </c>
      <c r="AH58" s="519">
        <v>0</v>
      </c>
      <c r="AI58" s="519">
        <v>0</v>
      </c>
      <c r="AJ58" s="519">
        <v>0</v>
      </c>
      <c r="AK58" s="519">
        <v>0</v>
      </c>
      <c r="AL58" s="519">
        <v>0</v>
      </c>
      <c r="AM58" s="519">
        <v>0</v>
      </c>
      <c r="AN58" s="519">
        <v>0</v>
      </c>
    </row>
    <row r="59" spans="1:40" x14ac:dyDescent="0.3">
      <c r="A59" s="489" t="s">
        <v>1414</v>
      </c>
      <c r="B59" s="489" t="s">
        <v>1601</v>
      </c>
      <c r="C59" s="489" t="s">
        <v>1602</v>
      </c>
      <c r="D59" s="489" t="s">
        <v>46</v>
      </c>
      <c r="E59" s="619">
        <v>136</v>
      </c>
      <c r="F59" s="624">
        <f t="shared" si="15"/>
        <v>123.67647058823529</v>
      </c>
      <c r="G59" s="519">
        <f t="shared" si="16"/>
        <v>124.5</v>
      </c>
      <c r="H59" s="519">
        <f t="shared" si="17"/>
        <v>120</v>
      </c>
      <c r="I59" s="519">
        <f t="shared" si="18"/>
        <v>124.75</v>
      </c>
      <c r="J59" s="519">
        <f t="shared" si="19"/>
        <v>124.5</v>
      </c>
      <c r="K59" s="519">
        <f t="shared" si="20"/>
        <v>124.16666666666667</v>
      </c>
      <c r="L59" s="519">
        <f t="shared" si="21"/>
        <v>127.72727272727273</v>
      </c>
      <c r="M59" s="519">
        <f t="shared" si="22"/>
        <v>124.33333333333333</v>
      </c>
      <c r="N59" s="519">
        <f t="shared" si="23"/>
        <v>123.86363636363636</v>
      </c>
      <c r="O59" s="519">
        <f t="shared" si="24"/>
        <v>123.77777777777777</v>
      </c>
      <c r="P59" s="519">
        <f t="shared" si="25"/>
        <v>122.07894736842105</v>
      </c>
      <c r="Q59" s="519">
        <f t="shared" si="26"/>
        <v>123.5</v>
      </c>
      <c r="R59" s="519">
        <f t="shared" si="27"/>
        <v>0</v>
      </c>
      <c r="S59" s="519">
        <f t="shared" si="28"/>
        <v>0</v>
      </c>
      <c r="T59" s="519">
        <f t="shared" si="29"/>
        <v>0</v>
      </c>
      <c r="U59" s="519">
        <f t="shared" si="30"/>
        <v>0</v>
      </c>
      <c r="V59" s="618"/>
      <c r="Y59" s="624">
        <v>123.67647058823529</v>
      </c>
      <c r="Z59" s="519">
        <v>124.5</v>
      </c>
      <c r="AA59" s="519">
        <v>120</v>
      </c>
      <c r="AB59" s="519">
        <v>124.75</v>
      </c>
      <c r="AC59" s="519">
        <v>124.5</v>
      </c>
      <c r="AD59" s="519">
        <v>124.16666666666667</v>
      </c>
      <c r="AE59" s="519">
        <v>127.72727272727273</v>
      </c>
      <c r="AF59" s="519">
        <v>124.33333333333333</v>
      </c>
      <c r="AG59" s="519">
        <v>123.86363636363636</v>
      </c>
      <c r="AH59" s="519">
        <v>123.77777777777777</v>
      </c>
      <c r="AI59" s="519">
        <v>122.07894736842105</v>
      </c>
      <c r="AJ59" s="519">
        <v>123.5</v>
      </c>
      <c r="AK59" s="519">
        <v>0</v>
      </c>
      <c r="AL59" s="519">
        <v>0</v>
      </c>
      <c r="AM59" s="519">
        <v>0</v>
      </c>
      <c r="AN59" s="519">
        <v>0</v>
      </c>
    </row>
    <row r="60" spans="1:40" x14ac:dyDescent="0.3">
      <c r="A60" s="489" t="s">
        <v>1417</v>
      </c>
      <c r="B60" s="489" t="s">
        <v>1603</v>
      </c>
      <c r="C60" s="489" t="s">
        <v>1604</v>
      </c>
      <c r="D60" s="489" t="s">
        <v>141</v>
      </c>
      <c r="E60" s="619">
        <v>128</v>
      </c>
      <c r="F60" s="624">
        <f t="shared" si="15"/>
        <v>0</v>
      </c>
      <c r="G60" s="519">
        <f t="shared" si="16"/>
        <v>0</v>
      </c>
      <c r="H60" s="519">
        <f t="shared" si="17"/>
        <v>0</v>
      </c>
      <c r="I60" s="519">
        <f t="shared" si="18"/>
        <v>0</v>
      </c>
      <c r="J60" s="519">
        <f t="shared" si="19"/>
        <v>0</v>
      </c>
      <c r="K60" s="519">
        <f t="shared" si="20"/>
        <v>0</v>
      </c>
      <c r="L60" s="519">
        <f t="shared" si="21"/>
        <v>0</v>
      </c>
      <c r="M60" s="519">
        <f t="shared" si="22"/>
        <v>0</v>
      </c>
      <c r="N60" s="519">
        <f t="shared" si="23"/>
        <v>0</v>
      </c>
      <c r="O60" s="519">
        <f t="shared" si="24"/>
        <v>0</v>
      </c>
      <c r="P60" s="519">
        <f t="shared" si="25"/>
        <v>0</v>
      </c>
      <c r="Q60" s="519">
        <f t="shared" si="26"/>
        <v>0</v>
      </c>
      <c r="R60" s="519">
        <f t="shared" si="27"/>
        <v>0</v>
      </c>
      <c r="S60" s="519">
        <f t="shared" si="28"/>
        <v>0</v>
      </c>
      <c r="T60" s="519">
        <f t="shared" si="29"/>
        <v>0</v>
      </c>
      <c r="U60" s="519">
        <f t="shared" si="30"/>
        <v>0</v>
      </c>
      <c r="V60" s="618"/>
      <c r="Y60" s="624">
        <v>0</v>
      </c>
      <c r="Z60" s="519">
        <v>0</v>
      </c>
      <c r="AA60" s="519">
        <v>0</v>
      </c>
      <c r="AB60" s="519">
        <v>0</v>
      </c>
      <c r="AC60" s="519">
        <v>0</v>
      </c>
      <c r="AD60" s="519">
        <v>0</v>
      </c>
      <c r="AE60" s="519">
        <v>0</v>
      </c>
      <c r="AF60" s="519">
        <v>0</v>
      </c>
      <c r="AG60" s="519">
        <v>0</v>
      </c>
      <c r="AH60" s="519">
        <v>0</v>
      </c>
      <c r="AI60" s="519">
        <v>0</v>
      </c>
      <c r="AJ60" s="519">
        <v>0</v>
      </c>
      <c r="AK60" s="519">
        <v>0</v>
      </c>
      <c r="AL60" s="519">
        <v>0</v>
      </c>
      <c r="AM60" s="519">
        <v>0</v>
      </c>
      <c r="AN60" s="519">
        <v>0</v>
      </c>
    </row>
    <row r="61" spans="1:40" x14ac:dyDescent="0.3">
      <c r="A61" s="489" t="s">
        <v>1422</v>
      </c>
      <c r="B61" s="489" t="s">
        <v>1547</v>
      </c>
      <c r="C61" s="489" t="s">
        <v>1548</v>
      </c>
      <c r="D61" s="489" t="s">
        <v>1529</v>
      </c>
      <c r="E61" s="619">
        <v>125</v>
      </c>
      <c r="F61" s="624">
        <f t="shared" si="15"/>
        <v>130.136</v>
      </c>
      <c r="G61" s="519">
        <f t="shared" si="16"/>
        <v>131.28571428571428</v>
      </c>
      <c r="H61" s="519">
        <f t="shared" si="17"/>
        <v>131.28571428571428</v>
      </c>
      <c r="I61" s="519">
        <f t="shared" si="18"/>
        <v>131.28571428571428</v>
      </c>
      <c r="J61" s="519">
        <f t="shared" si="19"/>
        <v>131.28571428571428</v>
      </c>
      <c r="K61" s="519">
        <f t="shared" si="20"/>
        <v>131.28571428571428</v>
      </c>
      <c r="L61" s="519">
        <f t="shared" si="21"/>
        <v>131.28571428571428</v>
      </c>
      <c r="M61" s="519">
        <f t="shared" si="22"/>
        <v>131.28571428571428</v>
      </c>
      <c r="N61" s="519">
        <f t="shared" si="23"/>
        <v>131.26744186046511</v>
      </c>
      <c r="O61" s="519">
        <f t="shared" si="24"/>
        <v>125.56521739130434</v>
      </c>
      <c r="P61" s="519">
        <f t="shared" si="25"/>
        <v>126</v>
      </c>
      <c r="Q61" s="519">
        <f t="shared" si="26"/>
        <v>0</v>
      </c>
      <c r="R61" s="519">
        <f t="shared" si="27"/>
        <v>0</v>
      </c>
      <c r="S61" s="519">
        <f t="shared" si="28"/>
        <v>0</v>
      </c>
      <c r="T61" s="519">
        <f t="shared" si="29"/>
        <v>0</v>
      </c>
      <c r="U61" s="519">
        <f t="shared" si="30"/>
        <v>0</v>
      </c>
      <c r="V61" s="618"/>
      <c r="Y61" s="624">
        <v>130.136</v>
      </c>
      <c r="Z61" s="519">
        <v>0</v>
      </c>
      <c r="AA61" s="519">
        <v>0</v>
      </c>
      <c r="AB61" s="519">
        <v>0</v>
      </c>
      <c r="AC61" s="519">
        <v>0</v>
      </c>
      <c r="AD61" s="519">
        <v>0</v>
      </c>
      <c r="AE61" s="519">
        <v>0</v>
      </c>
      <c r="AF61" s="519">
        <v>131.28571428571428</v>
      </c>
      <c r="AG61" s="519">
        <v>131.26744186046511</v>
      </c>
      <c r="AH61" s="519">
        <v>125.56521739130434</v>
      </c>
      <c r="AI61" s="519">
        <v>126</v>
      </c>
      <c r="AJ61" s="519">
        <v>0</v>
      </c>
      <c r="AK61" s="519">
        <v>0</v>
      </c>
      <c r="AL61" s="519">
        <v>0</v>
      </c>
      <c r="AM61" s="519">
        <v>0</v>
      </c>
      <c r="AN61" s="519">
        <v>0</v>
      </c>
    </row>
    <row r="62" spans="1:40" x14ac:dyDescent="0.3">
      <c r="A62" s="489" t="s">
        <v>1605</v>
      </c>
      <c r="B62" s="489" t="s">
        <v>1531</v>
      </c>
      <c r="C62" s="489" t="s">
        <v>873</v>
      </c>
      <c r="D62" s="489" t="s">
        <v>46</v>
      </c>
      <c r="E62" s="619">
        <v>123</v>
      </c>
      <c r="F62" s="624">
        <f t="shared" si="15"/>
        <v>121.40650406504065</v>
      </c>
      <c r="G62" s="519">
        <f t="shared" si="16"/>
        <v>144.4</v>
      </c>
      <c r="H62" s="519">
        <f t="shared" si="17"/>
        <v>148</v>
      </c>
      <c r="I62" s="519">
        <f t="shared" si="18"/>
        <v>125</v>
      </c>
      <c r="J62" s="519">
        <f t="shared" si="19"/>
        <v>120</v>
      </c>
      <c r="K62" s="519">
        <f t="shared" si="20"/>
        <v>111</v>
      </c>
      <c r="L62" s="519">
        <f t="shared" si="21"/>
        <v>132.44999999999999</v>
      </c>
      <c r="M62" s="519">
        <f t="shared" si="22"/>
        <v>112.46666666666667</v>
      </c>
      <c r="N62" s="519">
        <f t="shared" si="23"/>
        <v>113.71428571428571</v>
      </c>
      <c r="O62" s="519">
        <f t="shared" si="24"/>
        <v>122.33333333333333</v>
      </c>
      <c r="P62" s="519">
        <f t="shared" si="25"/>
        <v>112.61111111111111</v>
      </c>
      <c r="Q62" s="519">
        <f t="shared" si="26"/>
        <v>111.375</v>
      </c>
      <c r="R62" s="519">
        <f t="shared" si="27"/>
        <v>117.84615384615384</v>
      </c>
      <c r="S62" s="519">
        <f t="shared" si="28"/>
        <v>125</v>
      </c>
      <c r="T62" s="519">
        <f t="shared" si="29"/>
        <v>163.75</v>
      </c>
      <c r="U62" s="519">
        <f t="shared" si="30"/>
        <v>0</v>
      </c>
      <c r="V62" s="618"/>
      <c r="Y62" s="624">
        <v>121.40650406504065</v>
      </c>
      <c r="Z62" s="519">
        <v>144.4</v>
      </c>
      <c r="AA62" s="519">
        <v>148</v>
      </c>
      <c r="AB62" s="519">
        <v>125</v>
      </c>
      <c r="AC62" s="519">
        <v>120</v>
      </c>
      <c r="AD62" s="519">
        <v>111</v>
      </c>
      <c r="AE62" s="519">
        <v>132.44999999999999</v>
      </c>
      <c r="AF62" s="519">
        <v>112.46666666666667</v>
      </c>
      <c r="AG62" s="519">
        <v>113.71428571428571</v>
      </c>
      <c r="AH62" s="519">
        <v>122.33333333333333</v>
      </c>
      <c r="AI62" s="519">
        <v>112.61111111111111</v>
      </c>
      <c r="AJ62" s="519">
        <v>111.375</v>
      </c>
      <c r="AK62" s="519">
        <v>117.84615384615384</v>
      </c>
      <c r="AL62" s="519">
        <v>125</v>
      </c>
      <c r="AM62" s="519">
        <v>163.75</v>
      </c>
      <c r="AN62" s="519">
        <v>0</v>
      </c>
    </row>
    <row r="63" spans="1:40" x14ac:dyDescent="0.3">
      <c r="A63" s="489" t="s">
        <v>1414</v>
      </c>
      <c r="B63" s="489" t="s">
        <v>1532</v>
      </c>
      <c r="C63" s="489" t="s">
        <v>1606</v>
      </c>
      <c r="D63" s="489" t="s">
        <v>46</v>
      </c>
      <c r="E63" s="619">
        <v>123</v>
      </c>
      <c r="F63" s="624">
        <f t="shared" si="15"/>
        <v>131.2520325203252</v>
      </c>
      <c r="G63" s="519">
        <f t="shared" si="16"/>
        <v>140.39473684210526</v>
      </c>
      <c r="H63" s="519">
        <f t="shared" si="17"/>
        <v>141.80000000000001</v>
      </c>
      <c r="I63" s="519">
        <f t="shared" si="18"/>
        <v>129.53333333333333</v>
      </c>
      <c r="J63" s="519">
        <f t="shared" si="19"/>
        <v>119.4</v>
      </c>
      <c r="K63" s="519">
        <f t="shared" si="20"/>
        <v>131.85714285714286</v>
      </c>
      <c r="L63" s="519">
        <f t="shared" si="21"/>
        <v>127.18181818181819</v>
      </c>
      <c r="M63" s="519">
        <f t="shared" si="22"/>
        <v>115.875</v>
      </c>
      <c r="N63" s="519">
        <f t="shared" si="23"/>
        <v>116.5</v>
      </c>
      <c r="O63" s="519">
        <f t="shared" si="24"/>
        <v>114.75</v>
      </c>
      <c r="P63" s="519">
        <f t="shared" si="25"/>
        <v>109</v>
      </c>
      <c r="Q63" s="519">
        <f t="shared" si="26"/>
        <v>0</v>
      </c>
      <c r="R63" s="519">
        <f t="shared" si="27"/>
        <v>0</v>
      </c>
      <c r="S63" s="519">
        <f t="shared" si="28"/>
        <v>0</v>
      </c>
      <c r="T63" s="519">
        <f t="shared" si="29"/>
        <v>0</v>
      </c>
      <c r="U63" s="519">
        <f t="shared" si="30"/>
        <v>0</v>
      </c>
      <c r="V63" s="618"/>
      <c r="Y63" s="624">
        <v>131.2520325203252</v>
      </c>
      <c r="Z63" s="519">
        <v>140.39473684210526</v>
      </c>
      <c r="AA63" s="519">
        <v>141.80000000000001</v>
      </c>
      <c r="AB63" s="519">
        <v>129.53333333333333</v>
      </c>
      <c r="AC63" s="519">
        <v>119.4</v>
      </c>
      <c r="AD63" s="519">
        <v>131.85714285714286</v>
      </c>
      <c r="AE63" s="519">
        <v>127.18181818181819</v>
      </c>
      <c r="AF63" s="519">
        <v>115.875</v>
      </c>
      <c r="AG63" s="519">
        <v>116.5</v>
      </c>
      <c r="AH63" s="519">
        <v>114.75</v>
      </c>
      <c r="AI63" s="519">
        <v>109</v>
      </c>
      <c r="AJ63" s="519">
        <v>0</v>
      </c>
      <c r="AK63" s="519">
        <v>0</v>
      </c>
      <c r="AL63" s="519">
        <v>0</v>
      </c>
      <c r="AM63" s="519">
        <v>0</v>
      </c>
      <c r="AN63" s="519">
        <v>0</v>
      </c>
    </row>
    <row r="64" spans="1:40" x14ac:dyDescent="0.3">
      <c r="A64" s="489" t="s">
        <v>1607</v>
      </c>
      <c r="B64" s="489" t="s">
        <v>1608</v>
      </c>
      <c r="C64" s="489" t="s">
        <v>1609</v>
      </c>
      <c r="D64" s="489" t="s">
        <v>46</v>
      </c>
      <c r="E64" s="619">
        <v>121</v>
      </c>
      <c r="F64" s="624">
        <f t="shared" si="15"/>
        <v>108.90082644628099</v>
      </c>
      <c r="G64" s="519">
        <f t="shared" si="16"/>
        <v>132.84210526315789</v>
      </c>
      <c r="H64" s="519">
        <f t="shared" si="17"/>
        <v>118.53846153846153</v>
      </c>
      <c r="I64" s="519">
        <f t="shared" si="18"/>
        <v>102</v>
      </c>
      <c r="J64" s="519">
        <f t="shared" si="19"/>
        <v>111.6</v>
      </c>
      <c r="K64" s="519">
        <f t="shared" si="20"/>
        <v>129</v>
      </c>
      <c r="L64" s="519">
        <f t="shared" si="21"/>
        <v>120.33333333333333</v>
      </c>
      <c r="M64" s="519">
        <f t="shared" si="22"/>
        <v>116.45454545454545</v>
      </c>
      <c r="N64" s="519">
        <f t="shared" si="23"/>
        <v>109.6</v>
      </c>
      <c r="O64" s="519">
        <f t="shared" si="24"/>
        <v>103.6875</v>
      </c>
      <c r="P64" s="519">
        <f t="shared" si="25"/>
        <v>100.125</v>
      </c>
      <c r="Q64" s="519">
        <f t="shared" si="26"/>
        <v>90.064516129032256</v>
      </c>
      <c r="R64" s="519">
        <f t="shared" si="27"/>
        <v>0</v>
      </c>
      <c r="S64" s="519">
        <f t="shared" si="28"/>
        <v>0</v>
      </c>
      <c r="T64" s="519">
        <f t="shared" si="29"/>
        <v>0</v>
      </c>
      <c r="U64" s="519">
        <f t="shared" si="30"/>
        <v>0</v>
      </c>
      <c r="V64" s="618"/>
      <c r="Y64" s="624">
        <v>108.90082644628099</v>
      </c>
      <c r="Z64" s="519">
        <v>132.84210526315789</v>
      </c>
      <c r="AA64" s="519">
        <v>118.53846153846153</v>
      </c>
      <c r="AB64" s="519">
        <v>102</v>
      </c>
      <c r="AC64" s="519">
        <v>111.6</v>
      </c>
      <c r="AD64" s="519">
        <v>129</v>
      </c>
      <c r="AE64" s="519">
        <v>120.33333333333333</v>
      </c>
      <c r="AF64" s="519">
        <v>116.45454545454545</v>
      </c>
      <c r="AG64" s="519">
        <v>109.6</v>
      </c>
      <c r="AH64" s="519">
        <v>103.6875</v>
      </c>
      <c r="AI64" s="519">
        <v>100.125</v>
      </c>
      <c r="AJ64" s="519">
        <v>90.064516129032256</v>
      </c>
      <c r="AK64" s="519">
        <v>0</v>
      </c>
      <c r="AL64" s="519">
        <v>0</v>
      </c>
      <c r="AM64" s="519">
        <v>0</v>
      </c>
      <c r="AN64" s="519">
        <v>0</v>
      </c>
    </row>
    <row r="65" spans="1:40" x14ac:dyDescent="0.3">
      <c r="A65" s="489" t="s">
        <v>1414</v>
      </c>
      <c r="B65" s="489" t="s">
        <v>1533</v>
      </c>
      <c r="C65" s="489" t="s">
        <v>1610</v>
      </c>
      <c r="D65" s="489" t="s">
        <v>46</v>
      </c>
      <c r="E65" s="619">
        <v>113</v>
      </c>
      <c r="F65" s="624">
        <f t="shared" si="15"/>
        <v>125.36283185840708</v>
      </c>
      <c r="G65" s="519">
        <f t="shared" si="16"/>
        <v>129.75</v>
      </c>
      <c r="H65" s="519">
        <f t="shared" si="17"/>
        <v>138.47368421052633</v>
      </c>
      <c r="I65" s="519">
        <f t="shared" si="18"/>
        <v>116.53333333333333</v>
      </c>
      <c r="J65" s="519">
        <f t="shared" si="19"/>
        <v>126.16666666666667</v>
      </c>
      <c r="K65" s="519">
        <f t="shared" si="20"/>
        <v>129.375</v>
      </c>
      <c r="L65" s="519">
        <f t="shared" si="21"/>
        <v>130.15</v>
      </c>
      <c r="M65" s="519">
        <f t="shared" si="22"/>
        <v>116.5</v>
      </c>
      <c r="N65" s="519">
        <f t="shared" si="23"/>
        <v>115.58333333333333</v>
      </c>
      <c r="O65" s="519">
        <f t="shared" si="24"/>
        <v>121</v>
      </c>
      <c r="P65" s="519">
        <f t="shared" si="25"/>
        <v>0</v>
      </c>
      <c r="Q65" s="519">
        <f t="shared" si="26"/>
        <v>0</v>
      </c>
      <c r="R65" s="519">
        <f t="shared" si="27"/>
        <v>0</v>
      </c>
      <c r="S65" s="519">
        <f t="shared" si="28"/>
        <v>0</v>
      </c>
      <c r="T65" s="519">
        <f t="shared" si="29"/>
        <v>0</v>
      </c>
      <c r="U65" s="519">
        <f t="shared" si="30"/>
        <v>0</v>
      </c>
      <c r="V65" s="618"/>
      <c r="Y65" s="624">
        <v>125.36283185840708</v>
      </c>
      <c r="Z65" s="519">
        <v>129.75</v>
      </c>
      <c r="AA65" s="519">
        <v>138.47368421052633</v>
      </c>
      <c r="AB65" s="519">
        <v>116.53333333333333</v>
      </c>
      <c r="AC65" s="519">
        <v>126.16666666666667</v>
      </c>
      <c r="AD65" s="519">
        <v>129.375</v>
      </c>
      <c r="AE65" s="519">
        <v>130.15</v>
      </c>
      <c r="AF65" s="519">
        <v>116.5</v>
      </c>
      <c r="AG65" s="519">
        <v>115.58333333333333</v>
      </c>
      <c r="AH65" s="519">
        <v>121</v>
      </c>
      <c r="AI65" s="519">
        <v>0</v>
      </c>
      <c r="AJ65" s="519">
        <v>0</v>
      </c>
      <c r="AK65" s="519">
        <v>0</v>
      </c>
      <c r="AL65" s="519">
        <v>0</v>
      </c>
      <c r="AM65" s="519">
        <v>0</v>
      </c>
      <c r="AN65" s="519">
        <v>0</v>
      </c>
    </row>
    <row r="66" spans="1:40" x14ac:dyDescent="0.3">
      <c r="A66" s="489" t="s">
        <v>1591</v>
      </c>
      <c r="B66" s="489" t="s">
        <v>1611</v>
      </c>
      <c r="C66" s="489" t="s">
        <v>1611</v>
      </c>
      <c r="D66" s="489" t="s">
        <v>141</v>
      </c>
      <c r="E66" s="619">
        <v>109</v>
      </c>
      <c r="F66" s="624">
        <f t="shared" si="15"/>
        <v>0</v>
      </c>
      <c r="G66" s="519">
        <f t="shared" si="16"/>
        <v>0</v>
      </c>
      <c r="H66" s="519">
        <f t="shared" si="17"/>
        <v>0</v>
      </c>
      <c r="I66" s="519">
        <f t="shared" si="18"/>
        <v>0</v>
      </c>
      <c r="J66" s="519">
        <f t="shared" si="19"/>
        <v>0</v>
      </c>
      <c r="K66" s="519">
        <f t="shared" si="20"/>
        <v>0</v>
      </c>
      <c r="L66" s="519">
        <f t="shared" si="21"/>
        <v>0</v>
      </c>
      <c r="M66" s="519">
        <f t="shared" si="22"/>
        <v>0</v>
      </c>
      <c r="N66" s="519">
        <f t="shared" si="23"/>
        <v>0</v>
      </c>
      <c r="O66" s="519">
        <f t="shared" si="24"/>
        <v>0</v>
      </c>
      <c r="P66" s="519">
        <f t="shared" si="25"/>
        <v>0</v>
      </c>
      <c r="Q66" s="519">
        <f t="shared" si="26"/>
        <v>0</v>
      </c>
      <c r="R66" s="519">
        <f t="shared" si="27"/>
        <v>0</v>
      </c>
      <c r="S66" s="519">
        <f t="shared" si="28"/>
        <v>0</v>
      </c>
      <c r="T66" s="519">
        <f t="shared" si="29"/>
        <v>0</v>
      </c>
      <c r="U66" s="519">
        <f t="shared" si="30"/>
        <v>0</v>
      </c>
      <c r="V66" s="618"/>
      <c r="Y66" s="624">
        <v>0</v>
      </c>
      <c r="Z66" s="519">
        <v>0</v>
      </c>
      <c r="AA66" s="519">
        <v>0</v>
      </c>
      <c r="AB66" s="519">
        <v>0</v>
      </c>
      <c r="AC66" s="519">
        <v>0</v>
      </c>
      <c r="AD66" s="519">
        <v>0</v>
      </c>
      <c r="AE66" s="519">
        <v>0</v>
      </c>
      <c r="AF66" s="519">
        <v>0</v>
      </c>
      <c r="AG66" s="519">
        <v>0</v>
      </c>
      <c r="AH66" s="519">
        <v>0</v>
      </c>
      <c r="AI66" s="519">
        <v>0</v>
      </c>
      <c r="AJ66" s="519">
        <v>0</v>
      </c>
      <c r="AK66" s="519">
        <v>0</v>
      </c>
      <c r="AL66" s="519">
        <v>0</v>
      </c>
      <c r="AM66" s="519">
        <v>0</v>
      </c>
      <c r="AN66" s="519">
        <v>0</v>
      </c>
    </row>
    <row r="67" spans="1:40" x14ac:dyDescent="0.3">
      <c r="A67" s="489" t="s">
        <v>1417</v>
      </c>
      <c r="B67" s="489" t="s">
        <v>1612</v>
      </c>
      <c r="C67" s="489" t="s">
        <v>1613</v>
      </c>
      <c r="D67" s="489" t="s">
        <v>141</v>
      </c>
      <c r="E67" s="619">
        <v>107</v>
      </c>
      <c r="F67" s="624">
        <f t="shared" ref="F67:F130" si="31">Y67</f>
        <v>0</v>
      </c>
      <c r="G67" s="519">
        <f t="shared" ref="G67:G130" si="32">IF(Z67&gt;0,Z67,IF(H67&gt;0,H67,0))</f>
        <v>0</v>
      </c>
      <c r="H67" s="519">
        <f t="shared" ref="H67:H130" si="33">IF(AA67&gt;0,AA67,IF(I67&gt;0,I67,0))</f>
        <v>0</v>
      </c>
      <c r="I67" s="519">
        <f t="shared" ref="I67:I130" si="34">IF(AB67&gt;0,AB67,IF(J67&gt;0,J67,0))</f>
        <v>0</v>
      </c>
      <c r="J67" s="519">
        <f t="shared" ref="J67:J130" si="35">IF(AC67&gt;0,AC67,IF(K67&gt;0,K67,0))</f>
        <v>0</v>
      </c>
      <c r="K67" s="519">
        <f t="shared" ref="K67:K130" si="36">IF(AD67&gt;0,AD67,IF(L67&gt;0,L67,0))</f>
        <v>0</v>
      </c>
      <c r="L67" s="519">
        <f t="shared" ref="L67:L130" si="37">IF(AE67&gt;0,AE67,IF(M67&gt;0,M67,0))</f>
        <v>0</v>
      </c>
      <c r="M67" s="519">
        <f t="shared" ref="M67:M130" si="38">IF(AF67&gt;0,AF67,IF(N67&gt;0,N67,0))</f>
        <v>0</v>
      </c>
      <c r="N67" s="519">
        <f t="shared" ref="N67:N130" si="39">IF(AG67&gt;0,AG67,IF(O67&gt;0,O67,0))</f>
        <v>0</v>
      </c>
      <c r="O67" s="519">
        <f t="shared" ref="O67:O130" si="40">IF(AH67&gt;0,AH67,IF(P67&gt;0,P67,0))</f>
        <v>0</v>
      </c>
      <c r="P67" s="519">
        <f t="shared" ref="P67:P130" si="41">IF(AI67&gt;0,AI67,IF(Q67&gt;0,Q67,0))</f>
        <v>0</v>
      </c>
      <c r="Q67" s="519">
        <f t="shared" ref="Q67:Q130" si="42">IF(AJ67&gt;0,AJ67,IF(R67&gt;0,R67,0))</f>
        <v>0</v>
      </c>
      <c r="R67" s="519">
        <f t="shared" ref="R67:R130" si="43">IF(AK67&gt;0,AK67,IF(S67&gt;0,S67,0))</f>
        <v>0</v>
      </c>
      <c r="S67" s="519">
        <f t="shared" ref="S67:S130" si="44">IF(AL67&gt;0,AL67,IF(T67&gt;0,T67,0))</f>
        <v>0</v>
      </c>
      <c r="T67" s="519">
        <f t="shared" ref="T67:T130" si="45">IF(AM67&gt;0,AM67,IF(U67&gt;0,U67,0))</f>
        <v>0</v>
      </c>
      <c r="U67" s="519">
        <f t="shared" ref="U67:U130" si="46">IF(AN67&gt;0,AN67,IF(V67&gt;0,V67,0))</f>
        <v>0</v>
      </c>
      <c r="V67" s="618"/>
      <c r="Y67" s="624">
        <v>0</v>
      </c>
      <c r="Z67" s="519">
        <v>0</v>
      </c>
      <c r="AA67" s="519">
        <v>0</v>
      </c>
      <c r="AB67" s="519">
        <v>0</v>
      </c>
      <c r="AC67" s="519">
        <v>0</v>
      </c>
      <c r="AD67" s="519">
        <v>0</v>
      </c>
      <c r="AE67" s="519">
        <v>0</v>
      </c>
      <c r="AF67" s="519">
        <v>0</v>
      </c>
      <c r="AG67" s="519">
        <v>0</v>
      </c>
      <c r="AH67" s="519">
        <v>0</v>
      </c>
      <c r="AI67" s="519">
        <v>0</v>
      </c>
      <c r="AJ67" s="519">
        <v>0</v>
      </c>
      <c r="AK67" s="519">
        <v>0</v>
      </c>
      <c r="AL67" s="519">
        <v>0</v>
      </c>
      <c r="AM67" s="519">
        <v>0</v>
      </c>
      <c r="AN67" s="519">
        <v>0</v>
      </c>
    </row>
    <row r="68" spans="1:40" x14ac:dyDescent="0.3">
      <c r="A68" s="489" t="s">
        <v>1931</v>
      </c>
      <c r="B68" s="489" t="s">
        <v>1616</v>
      </c>
      <c r="C68" s="489" t="s">
        <v>1932</v>
      </c>
      <c r="D68" s="489" t="s">
        <v>141</v>
      </c>
      <c r="E68" s="619">
        <v>106</v>
      </c>
      <c r="F68" s="624">
        <f t="shared" si="31"/>
        <v>0</v>
      </c>
      <c r="G68" s="519">
        <f t="shared" si="32"/>
        <v>0</v>
      </c>
      <c r="H68" s="519">
        <f t="shared" si="33"/>
        <v>0</v>
      </c>
      <c r="I68" s="519">
        <f t="shared" si="34"/>
        <v>0</v>
      </c>
      <c r="J68" s="519">
        <f t="shared" si="35"/>
        <v>0</v>
      </c>
      <c r="K68" s="519">
        <f t="shared" si="36"/>
        <v>0</v>
      </c>
      <c r="L68" s="519">
        <f t="shared" si="37"/>
        <v>0</v>
      </c>
      <c r="M68" s="519">
        <f t="shared" si="38"/>
        <v>0</v>
      </c>
      <c r="N68" s="519">
        <f t="shared" si="39"/>
        <v>0</v>
      </c>
      <c r="O68" s="519">
        <f t="shared" si="40"/>
        <v>0</v>
      </c>
      <c r="P68" s="519">
        <f t="shared" si="41"/>
        <v>0</v>
      </c>
      <c r="Q68" s="519">
        <f t="shared" si="42"/>
        <v>0</v>
      </c>
      <c r="R68" s="519">
        <f t="shared" si="43"/>
        <v>0</v>
      </c>
      <c r="S68" s="519">
        <f t="shared" si="44"/>
        <v>0</v>
      </c>
      <c r="T68" s="519">
        <f t="shared" si="45"/>
        <v>0</v>
      </c>
      <c r="U68" s="519">
        <f t="shared" si="46"/>
        <v>0</v>
      </c>
      <c r="V68" s="618"/>
      <c r="Y68" s="624">
        <v>0</v>
      </c>
      <c r="Z68" s="519">
        <v>0</v>
      </c>
      <c r="AA68" s="519">
        <v>0</v>
      </c>
      <c r="AB68" s="519">
        <v>0</v>
      </c>
      <c r="AC68" s="519">
        <v>0</v>
      </c>
      <c r="AD68" s="519">
        <v>0</v>
      </c>
      <c r="AE68" s="519">
        <v>0</v>
      </c>
      <c r="AF68" s="519">
        <v>0</v>
      </c>
      <c r="AG68" s="519">
        <v>0</v>
      </c>
      <c r="AH68" s="519">
        <v>0</v>
      </c>
      <c r="AI68" s="519">
        <v>0</v>
      </c>
      <c r="AJ68" s="519">
        <v>0</v>
      </c>
      <c r="AK68" s="519">
        <v>0</v>
      </c>
      <c r="AL68" s="519">
        <v>0</v>
      </c>
      <c r="AM68" s="519">
        <v>0</v>
      </c>
      <c r="AN68" s="519">
        <v>0</v>
      </c>
    </row>
    <row r="69" spans="1:40" x14ac:dyDescent="0.3">
      <c r="A69" s="489" t="s">
        <v>1561</v>
      </c>
      <c r="B69" s="489" t="s">
        <v>1614</v>
      </c>
      <c r="C69" s="489" t="s">
        <v>1615</v>
      </c>
      <c r="D69" s="489" t="s">
        <v>141</v>
      </c>
      <c r="E69" s="619">
        <v>105</v>
      </c>
      <c r="F69" s="624">
        <f t="shared" si="31"/>
        <v>0</v>
      </c>
      <c r="G69" s="519">
        <f t="shared" si="32"/>
        <v>0</v>
      </c>
      <c r="H69" s="519">
        <f t="shared" si="33"/>
        <v>0</v>
      </c>
      <c r="I69" s="519">
        <f t="shared" si="34"/>
        <v>0</v>
      </c>
      <c r="J69" s="519">
        <f t="shared" si="35"/>
        <v>0</v>
      </c>
      <c r="K69" s="519">
        <f t="shared" si="36"/>
        <v>0</v>
      </c>
      <c r="L69" s="519">
        <f t="shared" si="37"/>
        <v>0</v>
      </c>
      <c r="M69" s="519">
        <f t="shared" si="38"/>
        <v>0</v>
      </c>
      <c r="N69" s="519">
        <f t="shared" si="39"/>
        <v>0</v>
      </c>
      <c r="O69" s="519">
        <f t="shared" si="40"/>
        <v>0</v>
      </c>
      <c r="P69" s="519">
        <f t="shared" si="41"/>
        <v>0</v>
      </c>
      <c r="Q69" s="519">
        <f t="shared" si="42"/>
        <v>0</v>
      </c>
      <c r="R69" s="519">
        <f t="shared" si="43"/>
        <v>0</v>
      </c>
      <c r="S69" s="519">
        <f t="shared" si="44"/>
        <v>0</v>
      </c>
      <c r="T69" s="519">
        <f t="shared" si="45"/>
        <v>0</v>
      </c>
      <c r="U69" s="519">
        <f t="shared" si="46"/>
        <v>0</v>
      </c>
      <c r="V69" s="618"/>
      <c r="Y69" s="624">
        <v>0</v>
      </c>
      <c r="Z69" s="519">
        <v>0</v>
      </c>
      <c r="AA69" s="519">
        <v>0</v>
      </c>
      <c r="AB69" s="519">
        <v>0</v>
      </c>
      <c r="AC69" s="519">
        <v>0</v>
      </c>
      <c r="AD69" s="519">
        <v>0</v>
      </c>
      <c r="AE69" s="519">
        <v>0</v>
      </c>
      <c r="AF69" s="519">
        <v>0</v>
      </c>
      <c r="AG69" s="519">
        <v>0</v>
      </c>
      <c r="AH69" s="519">
        <v>0</v>
      </c>
      <c r="AI69" s="519">
        <v>0</v>
      </c>
      <c r="AJ69" s="519">
        <v>0</v>
      </c>
      <c r="AK69" s="519">
        <v>0</v>
      </c>
      <c r="AL69" s="519">
        <v>0</v>
      </c>
      <c r="AM69" s="519">
        <v>0</v>
      </c>
      <c r="AN69" s="519">
        <v>0</v>
      </c>
    </row>
    <row r="70" spans="1:40" x14ac:dyDescent="0.3">
      <c r="A70" s="489" t="s">
        <v>1419</v>
      </c>
      <c r="B70" s="489" t="s">
        <v>1616</v>
      </c>
      <c r="C70" s="489" t="s">
        <v>1222</v>
      </c>
      <c r="D70" s="489" t="s">
        <v>141</v>
      </c>
      <c r="E70" s="619">
        <v>104</v>
      </c>
      <c r="F70" s="624">
        <f t="shared" si="31"/>
        <v>0</v>
      </c>
      <c r="G70" s="519">
        <f t="shared" si="32"/>
        <v>0</v>
      </c>
      <c r="H70" s="519">
        <f t="shared" si="33"/>
        <v>0</v>
      </c>
      <c r="I70" s="519">
        <f t="shared" si="34"/>
        <v>0</v>
      </c>
      <c r="J70" s="519">
        <f t="shared" si="35"/>
        <v>0</v>
      </c>
      <c r="K70" s="519">
        <f t="shared" si="36"/>
        <v>0</v>
      </c>
      <c r="L70" s="519">
        <f t="shared" si="37"/>
        <v>0</v>
      </c>
      <c r="M70" s="519">
        <f t="shared" si="38"/>
        <v>0</v>
      </c>
      <c r="N70" s="519">
        <f t="shared" si="39"/>
        <v>0</v>
      </c>
      <c r="O70" s="519">
        <f t="shared" si="40"/>
        <v>0</v>
      </c>
      <c r="P70" s="519">
        <f t="shared" si="41"/>
        <v>0</v>
      </c>
      <c r="Q70" s="519">
        <f t="shared" si="42"/>
        <v>0</v>
      </c>
      <c r="R70" s="519">
        <f t="shared" si="43"/>
        <v>0</v>
      </c>
      <c r="S70" s="519">
        <f t="shared" si="44"/>
        <v>0</v>
      </c>
      <c r="T70" s="519">
        <f t="shared" si="45"/>
        <v>0</v>
      </c>
      <c r="U70" s="519">
        <f t="shared" si="46"/>
        <v>0</v>
      </c>
      <c r="V70" s="618"/>
      <c r="Y70" s="624">
        <v>0</v>
      </c>
      <c r="Z70" s="519">
        <v>0</v>
      </c>
      <c r="AA70" s="519">
        <v>0</v>
      </c>
      <c r="AB70" s="519">
        <v>0</v>
      </c>
      <c r="AC70" s="519">
        <v>0</v>
      </c>
      <c r="AD70" s="519">
        <v>0</v>
      </c>
      <c r="AE70" s="519">
        <v>0</v>
      </c>
      <c r="AF70" s="519">
        <v>0</v>
      </c>
      <c r="AG70" s="519">
        <v>0</v>
      </c>
      <c r="AH70" s="519">
        <v>0</v>
      </c>
      <c r="AI70" s="519">
        <v>0</v>
      </c>
      <c r="AJ70" s="519">
        <v>0</v>
      </c>
      <c r="AK70" s="519">
        <v>0</v>
      </c>
      <c r="AL70" s="519">
        <v>0</v>
      </c>
      <c r="AM70" s="519">
        <v>0</v>
      </c>
      <c r="AN70" s="519">
        <v>0</v>
      </c>
    </row>
    <row r="71" spans="1:40" x14ac:dyDescent="0.3">
      <c r="A71" s="489" t="s">
        <v>1414</v>
      </c>
      <c r="B71" s="489" t="s">
        <v>1534</v>
      </c>
      <c r="C71" s="489" t="s">
        <v>1617</v>
      </c>
      <c r="D71" s="489" t="s">
        <v>46</v>
      </c>
      <c r="E71" s="619">
        <v>103</v>
      </c>
      <c r="F71" s="624">
        <f t="shared" si="31"/>
        <v>112.64077669902913</v>
      </c>
      <c r="G71" s="519">
        <f t="shared" si="32"/>
        <v>128</v>
      </c>
      <c r="H71" s="519">
        <f t="shared" si="33"/>
        <v>121.28571428571429</v>
      </c>
      <c r="I71" s="519">
        <f t="shared" si="34"/>
        <v>104</v>
      </c>
      <c r="J71" s="519">
        <f t="shared" si="35"/>
        <v>122</v>
      </c>
      <c r="K71" s="519">
        <f t="shared" si="36"/>
        <v>118.4</v>
      </c>
      <c r="L71" s="519">
        <f t="shared" si="37"/>
        <v>119.69444444444444</v>
      </c>
      <c r="M71" s="519">
        <f t="shared" si="38"/>
        <v>103.54545454545455</v>
      </c>
      <c r="N71" s="519">
        <f t="shared" si="39"/>
        <v>102.52</v>
      </c>
      <c r="O71" s="519">
        <f t="shared" si="40"/>
        <v>104</v>
      </c>
      <c r="P71" s="519">
        <f t="shared" si="41"/>
        <v>104</v>
      </c>
      <c r="Q71" s="519">
        <f t="shared" si="42"/>
        <v>0</v>
      </c>
      <c r="R71" s="519">
        <f t="shared" si="43"/>
        <v>0</v>
      </c>
      <c r="S71" s="519">
        <f t="shared" si="44"/>
        <v>0</v>
      </c>
      <c r="T71" s="519">
        <f t="shared" si="45"/>
        <v>0</v>
      </c>
      <c r="U71" s="519">
        <f t="shared" si="46"/>
        <v>0</v>
      </c>
      <c r="Y71" s="624">
        <v>112.64077669902913</v>
      </c>
      <c r="Z71" s="519">
        <v>128</v>
      </c>
      <c r="AA71" s="519">
        <v>121.28571428571429</v>
      </c>
      <c r="AB71" s="519">
        <v>104</v>
      </c>
      <c r="AC71" s="519">
        <v>122</v>
      </c>
      <c r="AD71" s="519">
        <v>118.4</v>
      </c>
      <c r="AE71" s="519">
        <v>119.69444444444444</v>
      </c>
      <c r="AF71" s="519">
        <v>103.54545454545455</v>
      </c>
      <c r="AG71" s="519">
        <v>102.52</v>
      </c>
      <c r="AH71" s="519">
        <v>104</v>
      </c>
      <c r="AI71" s="519">
        <v>104</v>
      </c>
      <c r="AJ71" s="519">
        <v>0</v>
      </c>
      <c r="AK71" s="519">
        <v>0</v>
      </c>
      <c r="AL71" s="519">
        <v>0</v>
      </c>
      <c r="AM71" s="519">
        <v>0</v>
      </c>
      <c r="AN71" s="519">
        <v>0</v>
      </c>
    </row>
    <row r="72" spans="1:40" x14ac:dyDescent="0.3">
      <c r="A72" s="489" t="s">
        <v>1544</v>
      </c>
      <c r="B72" s="489" t="s">
        <v>1676</v>
      </c>
      <c r="C72" s="489" t="s">
        <v>1802</v>
      </c>
      <c r="D72" s="489" t="s">
        <v>46</v>
      </c>
      <c r="E72" s="619">
        <v>91</v>
      </c>
      <c r="F72" s="624">
        <f t="shared" si="31"/>
        <v>127.73626373626374</v>
      </c>
      <c r="G72" s="519">
        <f t="shared" si="32"/>
        <v>141.33333333333334</v>
      </c>
      <c r="H72" s="519">
        <f t="shared" si="33"/>
        <v>141.33333333333334</v>
      </c>
      <c r="I72" s="519">
        <f t="shared" si="34"/>
        <v>122</v>
      </c>
      <c r="J72" s="519">
        <f t="shared" si="35"/>
        <v>118.83333333333333</v>
      </c>
      <c r="K72" s="519">
        <f t="shared" si="36"/>
        <v>131.80000000000001</v>
      </c>
      <c r="L72" s="519">
        <f t="shared" si="37"/>
        <v>131.80000000000001</v>
      </c>
      <c r="M72" s="519">
        <f t="shared" si="38"/>
        <v>131.80000000000001</v>
      </c>
      <c r="N72" s="519">
        <f t="shared" si="39"/>
        <v>122.4</v>
      </c>
      <c r="O72" s="519">
        <f t="shared" si="40"/>
        <v>118.36842105263158</v>
      </c>
      <c r="P72" s="519">
        <f t="shared" si="41"/>
        <v>112.77777777777777</v>
      </c>
      <c r="Q72" s="519">
        <f t="shared" si="42"/>
        <v>129</v>
      </c>
      <c r="R72" s="519">
        <f t="shared" si="43"/>
        <v>131</v>
      </c>
      <c r="S72" s="519">
        <f t="shared" si="44"/>
        <v>119.83333333333333</v>
      </c>
      <c r="T72" s="519">
        <f t="shared" si="45"/>
        <v>126</v>
      </c>
      <c r="U72" s="519">
        <f t="shared" si="46"/>
        <v>149</v>
      </c>
      <c r="Y72" s="624">
        <v>127.73626373626374</v>
      </c>
      <c r="Z72" s="519">
        <v>0</v>
      </c>
      <c r="AA72" s="519">
        <v>141.33333333333334</v>
      </c>
      <c r="AB72" s="519">
        <v>122</v>
      </c>
      <c r="AC72" s="519">
        <v>118.83333333333333</v>
      </c>
      <c r="AD72" s="519">
        <v>0</v>
      </c>
      <c r="AE72" s="519">
        <v>0</v>
      </c>
      <c r="AF72" s="519">
        <v>131.80000000000001</v>
      </c>
      <c r="AG72" s="519">
        <v>122.4</v>
      </c>
      <c r="AH72" s="519">
        <v>118.36842105263158</v>
      </c>
      <c r="AI72" s="519">
        <v>112.77777777777777</v>
      </c>
      <c r="AJ72" s="519">
        <v>129</v>
      </c>
      <c r="AK72" s="519">
        <v>131</v>
      </c>
      <c r="AL72" s="519">
        <v>119.83333333333333</v>
      </c>
      <c r="AM72" s="519">
        <v>126</v>
      </c>
      <c r="AN72" s="519">
        <v>149</v>
      </c>
    </row>
    <row r="73" spans="1:40" x14ac:dyDescent="0.3">
      <c r="A73" s="489" t="s">
        <v>1677</v>
      </c>
      <c r="B73" s="489" t="s">
        <v>1678</v>
      </c>
      <c r="C73" s="489" t="s">
        <v>1803</v>
      </c>
      <c r="D73" s="489" t="s">
        <v>46</v>
      </c>
      <c r="E73" s="619">
        <v>89</v>
      </c>
      <c r="F73" s="624">
        <f t="shared" si="31"/>
        <v>124.64044943820225</v>
      </c>
      <c r="G73" s="519">
        <f t="shared" si="32"/>
        <v>146.5</v>
      </c>
      <c r="H73" s="519">
        <f t="shared" si="33"/>
        <v>127.5</v>
      </c>
      <c r="I73" s="519">
        <f t="shared" si="34"/>
        <v>130.16666666666666</v>
      </c>
      <c r="J73" s="519">
        <f t="shared" si="35"/>
        <v>121.66666666666667</v>
      </c>
      <c r="K73" s="519">
        <f t="shared" si="36"/>
        <v>119</v>
      </c>
      <c r="L73" s="519">
        <f t="shared" si="37"/>
        <v>136.875</v>
      </c>
      <c r="M73" s="519">
        <f t="shared" si="38"/>
        <v>139.35294117647058</v>
      </c>
      <c r="N73" s="519">
        <f t="shared" si="39"/>
        <v>115.94117647058823</v>
      </c>
      <c r="O73" s="519">
        <f t="shared" si="40"/>
        <v>120.625</v>
      </c>
      <c r="P73" s="519">
        <f t="shared" si="41"/>
        <v>114.61538461538461</v>
      </c>
      <c r="Q73" s="519">
        <f t="shared" si="42"/>
        <v>123</v>
      </c>
      <c r="R73" s="519">
        <f t="shared" si="43"/>
        <v>126</v>
      </c>
      <c r="S73" s="519">
        <f t="shared" si="44"/>
        <v>129</v>
      </c>
      <c r="T73" s="519">
        <f t="shared" si="45"/>
        <v>139</v>
      </c>
      <c r="U73" s="519">
        <f t="shared" si="46"/>
        <v>0</v>
      </c>
      <c r="Y73" s="624">
        <v>124.64044943820225</v>
      </c>
      <c r="Z73" s="519">
        <v>146.5</v>
      </c>
      <c r="AA73" s="519">
        <v>127.5</v>
      </c>
      <c r="AB73" s="519">
        <v>130.16666666666666</v>
      </c>
      <c r="AC73" s="519">
        <v>121.66666666666667</v>
      </c>
      <c r="AD73" s="519">
        <v>119</v>
      </c>
      <c r="AE73" s="519">
        <v>136.875</v>
      </c>
      <c r="AF73" s="519">
        <v>139.35294117647058</v>
      </c>
      <c r="AG73" s="519">
        <v>115.94117647058823</v>
      </c>
      <c r="AH73" s="519">
        <v>120.625</v>
      </c>
      <c r="AI73" s="519">
        <v>114.61538461538461</v>
      </c>
      <c r="AJ73" s="519">
        <v>123</v>
      </c>
      <c r="AK73" s="519">
        <v>126</v>
      </c>
      <c r="AL73" s="519">
        <v>129</v>
      </c>
      <c r="AM73" s="519">
        <v>139</v>
      </c>
      <c r="AN73" s="519">
        <v>0</v>
      </c>
    </row>
    <row r="74" spans="1:40" x14ac:dyDescent="0.3">
      <c r="A74" s="489" t="s">
        <v>1441</v>
      </c>
      <c r="B74" s="489" t="s">
        <v>1679</v>
      </c>
      <c r="C74" s="489" t="s">
        <v>1804</v>
      </c>
      <c r="D74" s="489" t="s">
        <v>46</v>
      </c>
      <c r="E74" s="619">
        <v>85</v>
      </c>
      <c r="F74" s="624">
        <f t="shared" si="31"/>
        <v>147.70588235294119</v>
      </c>
      <c r="G74" s="519">
        <f t="shared" si="32"/>
        <v>146</v>
      </c>
      <c r="H74" s="519">
        <f t="shared" si="33"/>
        <v>157.57142857142858</v>
      </c>
      <c r="I74" s="519">
        <f t="shared" si="34"/>
        <v>138.57142857142858</v>
      </c>
      <c r="J74" s="519">
        <f t="shared" si="35"/>
        <v>143.25</v>
      </c>
      <c r="K74" s="519">
        <f t="shared" si="36"/>
        <v>138.5</v>
      </c>
      <c r="L74" s="519">
        <f t="shared" si="37"/>
        <v>144.33333333333334</v>
      </c>
      <c r="M74" s="519">
        <f t="shared" si="38"/>
        <v>147.66666666666666</v>
      </c>
      <c r="N74" s="519">
        <f t="shared" si="39"/>
        <v>147.78947368421052</v>
      </c>
      <c r="O74" s="519">
        <f t="shared" si="40"/>
        <v>148.14285714285714</v>
      </c>
      <c r="P74" s="519">
        <f t="shared" si="41"/>
        <v>148.75</v>
      </c>
      <c r="Q74" s="519">
        <f t="shared" si="42"/>
        <v>147.5</v>
      </c>
      <c r="R74" s="519">
        <f t="shared" si="43"/>
        <v>152.66666666666666</v>
      </c>
      <c r="S74" s="519">
        <f t="shared" si="44"/>
        <v>152.66666666666666</v>
      </c>
      <c r="T74" s="519">
        <f t="shared" si="45"/>
        <v>154</v>
      </c>
      <c r="U74" s="519">
        <f t="shared" si="46"/>
        <v>149</v>
      </c>
      <c r="Y74" s="624">
        <v>147.70588235294119</v>
      </c>
      <c r="Z74" s="519">
        <v>146</v>
      </c>
      <c r="AA74" s="519">
        <v>157.57142857142858</v>
      </c>
      <c r="AB74" s="519">
        <v>138.57142857142858</v>
      </c>
      <c r="AC74" s="519">
        <v>143.25</v>
      </c>
      <c r="AD74" s="519">
        <v>138.5</v>
      </c>
      <c r="AE74" s="519">
        <v>144.33333333333334</v>
      </c>
      <c r="AF74" s="519">
        <v>147.66666666666666</v>
      </c>
      <c r="AG74" s="519">
        <v>147.78947368421052</v>
      </c>
      <c r="AH74" s="519">
        <v>148.14285714285714</v>
      </c>
      <c r="AI74" s="519">
        <v>148.75</v>
      </c>
      <c r="AJ74" s="519">
        <v>147.5</v>
      </c>
      <c r="AK74" s="519">
        <v>0</v>
      </c>
      <c r="AL74" s="519">
        <v>152.66666666666666</v>
      </c>
      <c r="AM74" s="519">
        <v>154</v>
      </c>
      <c r="AN74" s="519">
        <v>149</v>
      </c>
    </row>
    <row r="75" spans="1:40" x14ac:dyDescent="0.3">
      <c r="A75" s="489" t="s">
        <v>1414</v>
      </c>
      <c r="B75" s="489" t="s">
        <v>1657</v>
      </c>
      <c r="C75" s="489" t="s">
        <v>1805</v>
      </c>
      <c r="D75" s="489" t="s">
        <v>46</v>
      </c>
      <c r="E75" s="619">
        <v>79</v>
      </c>
      <c r="F75" s="624">
        <f t="shared" si="31"/>
        <v>163.08860759493672</v>
      </c>
      <c r="G75" s="519">
        <f t="shared" si="32"/>
        <v>179.5</v>
      </c>
      <c r="H75" s="519">
        <f t="shared" si="33"/>
        <v>185.14285714285714</v>
      </c>
      <c r="I75" s="519">
        <f t="shared" si="34"/>
        <v>192</v>
      </c>
      <c r="J75" s="519">
        <f t="shared" si="35"/>
        <v>174.75</v>
      </c>
      <c r="K75" s="519">
        <f t="shared" si="36"/>
        <v>179.33333333333334</v>
      </c>
      <c r="L75" s="519">
        <f t="shared" si="37"/>
        <v>169.4814814814815</v>
      </c>
      <c r="M75" s="519">
        <f t="shared" si="38"/>
        <v>144.8235294117647</v>
      </c>
      <c r="N75" s="519">
        <f t="shared" si="39"/>
        <v>150.08333333333334</v>
      </c>
      <c r="O75" s="519">
        <f t="shared" si="40"/>
        <v>151.66666666666666</v>
      </c>
      <c r="P75" s="519">
        <f t="shared" si="41"/>
        <v>157</v>
      </c>
      <c r="Q75" s="519">
        <f t="shared" si="42"/>
        <v>0</v>
      </c>
      <c r="R75" s="519">
        <f t="shared" si="43"/>
        <v>0</v>
      </c>
      <c r="S75" s="519">
        <f t="shared" si="44"/>
        <v>0</v>
      </c>
      <c r="T75" s="519">
        <f t="shared" si="45"/>
        <v>0</v>
      </c>
      <c r="U75" s="519">
        <f t="shared" si="46"/>
        <v>0</v>
      </c>
      <c r="Y75" s="624">
        <v>163.08860759493672</v>
      </c>
      <c r="Z75" s="519">
        <v>179.5</v>
      </c>
      <c r="AA75" s="519">
        <v>185.14285714285714</v>
      </c>
      <c r="AB75" s="519">
        <v>192</v>
      </c>
      <c r="AC75" s="519">
        <v>174.75</v>
      </c>
      <c r="AD75" s="519">
        <v>179.33333333333334</v>
      </c>
      <c r="AE75" s="519">
        <v>169.4814814814815</v>
      </c>
      <c r="AF75" s="519">
        <v>144.8235294117647</v>
      </c>
      <c r="AG75" s="519">
        <v>150.08333333333334</v>
      </c>
      <c r="AH75" s="519">
        <v>151.66666666666666</v>
      </c>
      <c r="AI75" s="519">
        <v>157</v>
      </c>
      <c r="AJ75" s="519">
        <v>0</v>
      </c>
      <c r="AK75" s="519">
        <v>0</v>
      </c>
      <c r="AL75" s="519">
        <v>0</v>
      </c>
      <c r="AM75" s="519">
        <v>0</v>
      </c>
      <c r="AN75" s="519">
        <v>0</v>
      </c>
    </row>
    <row r="76" spans="1:40" x14ac:dyDescent="0.3">
      <c r="A76" s="489" t="s">
        <v>1544</v>
      </c>
      <c r="B76" s="489" t="s">
        <v>1680</v>
      </c>
      <c r="C76" s="489" t="s">
        <v>1806</v>
      </c>
      <c r="D76" s="489" t="s">
        <v>141</v>
      </c>
      <c r="E76" s="619">
        <v>79</v>
      </c>
      <c r="F76" s="624">
        <f t="shared" si="31"/>
        <v>0</v>
      </c>
      <c r="G76" s="519">
        <f t="shared" si="32"/>
        <v>0</v>
      </c>
      <c r="H76" s="519">
        <f t="shared" si="33"/>
        <v>0</v>
      </c>
      <c r="I76" s="519">
        <f t="shared" si="34"/>
        <v>0</v>
      </c>
      <c r="J76" s="519">
        <f t="shared" si="35"/>
        <v>0</v>
      </c>
      <c r="K76" s="519">
        <f t="shared" si="36"/>
        <v>0</v>
      </c>
      <c r="L76" s="519">
        <f t="shared" si="37"/>
        <v>0</v>
      </c>
      <c r="M76" s="519">
        <f t="shared" si="38"/>
        <v>0</v>
      </c>
      <c r="N76" s="519">
        <f t="shared" si="39"/>
        <v>0</v>
      </c>
      <c r="O76" s="519">
        <f t="shared" si="40"/>
        <v>0</v>
      </c>
      <c r="P76" s="519">
        <f t="shared" si="41"/>
        <v>0</v>
      </c>
      <c r="Q76" s="519">
        <f t="shared" si="42"/>
        <v>0</v>
      </c>
      <c r="R76" s="519">
        <f t="shared" si="43"/>
        <v>0</v>
      </c>
      <c r="S76" s="519">
        <f t="shared" si="44"/>
        <v>0</v>
      </c>
      <c r="T76" s="519">
        <f t="shared" si="45"/>
        <v>0</v>
      </c>
      <c r="U76" s="519">
        <f t="shared" si="46"/>
        <v>0</v>
      </c>
      <c r="Y76" s="624">
        <v>0</v>
      </c>
      <c r="Z76" s="519">
        <v>0</v>
      </c>
      <c r="AA76" s="519">
        <v>0</v>
      </c>
      <c r="AB76" s="519">
        <v>0</v>
      </c>
      <c r="AC76" s="519">
        <v>0</v>
      </c>
      <c r="AD76" s="519">
        <v>0</v>
      </c>
      <c r="AE76" s="519">
        <v>0</v>
      </c>
      <c r="AF76" s="519">
        <v>0</v>
      </c>
      <c r="AG76" s="519">
        <v>0</v>
      </c>
      <c r="AH76" s="519">
        <v>0</v>
      </c>
      <c r="AI76" s="519">
        <v>0</v>
      </c>
      <c r="AJ76" s="519">
        <v>0</v>
      </c>
      <c r="AK76" s="519">
        <v>0</v>
      </c>
      <c r="AL76" s="519">
        <v>0</v>
      </c>
      <c r="AM76" s="519">
        <v>0</v>
      </c>
      <c r="AN76" s="519">
        <v>0</v>
      </c>
    </row>
    <row r="77" spans="1:40" x14ac:dyDescent="0.3">
      <c r="A77" s="489" t="s">
        <v>1561</v>
      </c>
      <c r="B77" s="489" t="s">
        <v>1681</v>
      </c>
      <c r="C77" s="489" t="s">
        <v>1807</v>
      </c>
      <c r="D77" s="489" t="s">
        <v>141</v>
      </c>
      <c r="E77" s="619">
        <v>79</v>
      </c>
      <c r="F77" s="624">
        <f t="shared" si="31"/>
        <v>0</v>
      </c>
      <c r="G77" s="519">
        <f t="shared" si="32"/>
        <v>0</v>
      </c>
      <c r="H77" s="519">
        <f t="shared" si="33"/>
        <v>0</v>
      </c>
      <c r="I77" s="519">
        <f t="shared" si="34"/>
        <v>0</v>
      </c>
      <c r="J77" s="519">
        <f t="shared" si="35"/>
        <v>0</v>
      </c>
      <c r="K77" s="519">
        <f t="shared" si="36"/>
        <v>0</v>
      </c>
      <c r="L77" s="519">
        <f t="shared" si="37"/>
        <v>0</v>
      </c>
      <c r="M77" s="519">
        <f t="shared" si="38"/>
        <v>0</v>
      </c>
      <c r="N77" s="519">
        <f t="shared" si="39"/>
        <v>0</v>
      </c>
      <c r="O77" s="519">
        <f t="shared" si="40"/>
        <v>0</v>
      </c>
      <c r="P77" s="519">
        <f t="shared" si="41"/>
        <v>0</v>
      </c>
      <c r="Q77" s="519">
        <f t="shared" si="42"/>
        <v>0</v>
      </c>
      <c r="R77" s="519">
        <f t="shared" si="43"/>
        <v>0</v>
      </c>
      <c r="S77" s="519">
        <f t="shared" si="44"/>
        <v>0</v>
      </c>
      <c r="T77" s="519">
        <f t="shared" si="45"/>
        <v>0</v>
      </c>
      <c r="U77" s="519">
        <f t="shared" si="46"/>
        <v>0</v>
      </c>
      <c r="Y77" s="624">
        <v>0</v>
      </c>
      <c r="Z77" s="519">
        <v>0</v>
      </c>
      <c r="AA77" s="519">
        <v>0</v>
      </c>
      <c r="AB77" s="519">
        <v>0</v>
      </c>
      <c r="AC77" s="519">
        <v>0</v>
      </c>
      <c r="AD77" s="519">
        <v>0</v>
      </c>
      <c r="AE77" s="519">
        <v>0</v>
      </c>
      <c r="AF77" s="519">
        <v>0</v>
      </c>
      <c r="AG77" s="519">
        <v>0</v>
      </c>
      <c r="AH77" s="519">
        <v>0</v>
      </c>
      <c r="AI77" s="519">
        <v>0</v>
      </c>
      <c r="AJ77" s="519">
        <v>0</v>
      </c>
      <c r="AK77" s="519">
        <v>0</v>
      </c>
      <c r="AL77" s="519">
        <v>0</v>
      </c>
      <c r="AM77" s="519">
        <v>0</v>
      </c>
      <c r="AN77" s="519">
        <v>0</v>
      </c>
    </row>
    <row r="78" spans="1:40" x14ac:dyDescent="0.3">
      <c r="A78" s="489" t="s">
        <v>1426</v>
      </c>
      <c r="B78" s="489" t="s">
        <v>1440</v>
      </c>
      <c r="C78" s="489" t="s">
        <v>1440</v>
      </c>
      <c r="D78" s="489" t="s">
        <v>1929</v>
      </c>
      <c r="E78" s="619">
        <v>78</v>
      </c>
      <c r="F78" s="624">
        <f t="shared" si="31"/>
        <v>100.53846153846153</v>
      </c>
      <c r="G78" s="519">
        <f t="shared" si="32"/>
        <v>117.5</v>
      </c>
      <c r="H78" s="519">
        <f t="shared" si="33"/>
        <v>117.5</v>
      </c>
      <c r="I78" s="519">
        <f t="shared" si="34"/>
        <v>107.57142857142857</v>
      </c>
      <c r="J78" s="519">
        <f t="shared" si="35"/>
        <v>100</v>
      </c>
      <c r="K78" s="519">
        <f t="shared" si="36"/>
        <v>97.666666666666671</v>
      </c>
      <c r="L78" s="519">
        <f t="shared" si="37"/>
        <v>111</v>
      </c>
      <c r="M78" s="519">
        <f t="shared" si="38"/>
        <v>96</v>
      </c>
      <c r="N78" s="519">
        <f t="shared" si="39"/>
        <v>96</v>
      </c>
      <c r="O78" s="519">
        <f t="shared" si="40"/>
        <v>96</v>
      </c>
      <c r="P78" s="519">
        <f t="shared" si="41"/>
        <v>95</v>
      </c>
      <c r="Q78" s="519">
        <f t="shared" si="42"/>
        <v>95.033333333333331</v>
      </c>
      <c r="R78" s="519">
        <f t="shared" si="43"/>
        <v>95.033333333333331</v>
      </c>
      <c r="S78" s="519">
        <f t="shared" si="44"/>
        <v>96</v>
      </c>
      <c r="T78" s="519">
        <f t="shared" si="45"/>
        <v>0</v>
      </c>
      <c r="U78" s="519">
        <f t="shared" si="46"/>
        <v>0</v>
      </c>
      <c r="Y78" s="624">
        <v>100.53846153846153</v>
      </c>
      <c r="Z78" s="519">
        <v>0</v>
      </c>
      <c r="AA78" s="519">
        <v>117.5</v>
      </c>
      <c r="AB78" s="519">
        <v>107.57142857142857</v>
      </c>
      <c r="AC78" s="519">
        <v>100</v>
      </c>
      <c r="AD78" s="519">
        <v>97.666666666666671</v>
      </c>
      <c r="AE78" s="519">
        <v>111</v>
      </c>
      <c r="AF78" s="519">
        <v>0</v>
      </c>
      <c r="AG78" s="519">
        <v>96</v>
      </c>
      <c r="AH78" s="519">
        <v>96</v>
      </c>
      <c r="AI78" s="519">
        <v>95</v>
      </c>
      <c r="AJ78" s="519">
        <v>0</v>
      </c>
      <c r="AK78" s="519">
        <v>95.033333333333331</v>
      </c>
      <c r="AL78" s="519">
        <v>96</v>
      </c>
      <c r="AM78" s="519">
        <v>0</v>
      </c>
      <c r="AN78" s="519">
        <v>0</v>
      </c>
    </row>
    <row r="79" spans="1:40" x14ac:dyDescent="0.3">
      <c r="A79" s="489" t="s">
        <v>1426</v>
      </c>
      <c r="B79" s="489" t="s">
        <v>1427</v>
      </c>
      <c r="C79" s="489" t="s">
        <v>1427</v>
      </c>
      <c r="D79" s="489" t="s">
        <v>1929</v>
      </c>
      <c r="E79" s="619">
        <v>77</v>
      </c>
      <c r="F79" s="624">
        <f t="shared" si="31"/>
        <v>106.67532467532467</v>
      </c>
      <c r="G79" s="519">
        <f t="shared" si="32"/>
        <v>105.83333333333333</v>
      </c>
      <c r="H79" s="519">
        <f t="shared" si="33"/>
        <v>104.33333333333333</v>
      </c>
      <c r="I79" s="519">
        <f t="shared" si="34"/>
        <v>106.71428571428571</v>
      </c>
      <c r="J79" s="519">
        <f t="shared" si="35"/>
        <v>107.6</v>
      </c>
      <c r="K79" s="519">
        <f t="shared" si="36"/>
        <v>106.07692307692308</v>
      </c>
      <c r="L79" s="519">
        <f t="shared" si="37"/>
        <v>107.21739130434783</v>
      </c>
      <c r="M79" s="519">
        <f t="shared" si="38"/>
        <v>0</v>
      </c>
      <c r="N79" s="519">
        <f t="shared" si="39"/>
        <v>0</v>
      </c>
      <c r="O79" s="519">
        <f t="shared" si="40"/>
        <v>0</v>
      </c>
      <c r="P79" s="519">
        <f t="shared" si="41"/>
        <v>0</v>
      </c>
      <c r="Q79" s="519">
        <f t="shared" si="42"/>
        <v>0</v>
      </c>
      <c r="R79" s="519">
        <f t="shared" si="43"/>
        <v>0</v>
      </c>
      <c r="S79" s="519">
        <f t="shared" si="44"/>
        <v>0</v>
      </c>
      <c r="T79" s="519">
        <f t="shared" si="45"/>
        <v>0</v>
      </c>
      <c r="U79" s="519">
        <f t="shared" si="46"/>
        <v>0</v>
      </c>
      <c r="Y79" s="624">
        <v>106.67532467532467</v>
      </c>
      <c r="Z79" s="519">
        <v>105.83333333333333</v>
      </c>
      <c r="AA79" s="519">
        <v>104.33333333333333</v>
      </c>
      <c r="AB79" s="519">
        <v>106.71428571428571</v>
      </c>
      <c r="AC79" s="519">
        <v>107.6</v>
      </c>
      <c r="AD79" s="519">
        <v>106.07692307692308</v>
      </c>
      <c r="AE79" s="519">
        <v>107.21739130434783</v>
      </c>
      <c r="AF79" s="519">
        <v>0</v>
      </c>
      <c r="AG79" s="519">
        <v>0</v>
      </c>
      <c r="AH79" s="519">
        <v>0</v>
      </c>
      <c r="AI79" s="519">
        <v>0</v>
      </c>
      <c r="AJ79" s="519">
        <v>0</v>
      </c>
      <c r="AK79" s="519">
        <v>0</v>
      </c>
      <c r="AL79" s="519">
        <v>0</v>
      </c>
      <c r="AM79" s="519">
        <v>0</v>
      </c>
      <c r="AN79" s="519">
        <v>0</v>
      </c>
    </row>
    <row r="80" spans="1:40" x14ac:dyDescent="0.3">
      <c r="A80" s="489" t="s">
        <v>1419</v>
      </c>
      <c r="B80" s="489" t="s">
        <v>1682</v>
      </c>
      <c r="C80" s="489" t="s">
        <v>1808</v>
      </c>
      <c r="D80" s="489" t="s">
        <v>141</v>
      </c>
      <c r="E80" s="619">
        <v>76</v>
      </c>
      <c r="F80" s="624">
        <f t="shared" si="31"/>
        <v>0</v>
      </c>
      <c r="G80" s="519">
        <f t="shared" si="32"/>
        <v>0</v>
      </c>
      <c r="H80" s="519">
        <f t="shared" si="33"/>
        <v>0</v>
      </c>
      <c r="I80" s="519">
        <f t="shared" si="34"/>
        <v>0</v>
      </c>
      <c r="J80" s="519">
        <f t="shared" si="35"/>
        <v>0</v>
      </c>
      <c r="K80" s="519">
        <f t="shared" si="36"/>
        <v>0</v>
      </c>
      <c r="L80" s="519">
        <f t="shared" si="37"/>
        <v>0</v>
      </c>
      <c r="M80" s="519">
        <f t="shared" si="38"/>
        <v>0</v>
      </c>
      <c r="N80" s="519">
        <f t="shared" si="39"/>
        <v>0</v>
      </c>
      <c r="O80" s="519">
        <f t="shared" si="40"/>
        <v>0</v>
      </c>
      <c r="P80" s="519">
        <f t="shared" si="41"/>
        <v>0</v>
      </c>
      <c r="Q80" s="519">
        <f t="shared" si="42"/>
        <v>0</v>
      </c>
      <c r="R80" s="519">
        <f t="shared" si="43"/>
        <v>0</v>
      </c>
      <c r="S80" s="519">
        <f t="shared" si="44"/>
        <v>0</v>
      </c>
      <c r="T80" s="519">
        <f t="shared" si="45"/>
        <v>0</v>
      </c>
      <c r="U80" s="519">
        <f t="shared" si="46"/>
        <v>0</v>
      </c>
      <c r="Y80" s="624">
        <v>0</v>
      </c>
      <c r="Z80" s="519">
        <v>0</v>
      </c>
      <c r="AA80" s="519">
        <v>0</v>
      </c>
      <c r="AB80" s="519">
        <v>0</v>
      </c>
      <c r="AC80" s="519">
        <v>0</v>
      </c>
      <c r="AD80" s="519">
        <v>0</v>
      </c>
      <c r="AE80" s="519">
        <v>0</v>
      </c>
      <c r="AF80" s="519">
        <v>0</v>
      </c>
      <c r="AG80" s="519">
        <v>0</v>
      </c>
      <c r="AH80" s="519">
        <v>0</v>
      </c>
      <c r="AI80" s="519">
        <v>0</v>
      </c>
      <c r="AJ80" s="519">
        <v>0</v>
      </c>
      <c r="AK80" s="519">
        <v>0</v>
      </c>
      <c r="AL80" s="519">
        <v>0</v>
      </c>
      <c r="AM80" s="519">
        <v>0</v>
      </c>
      <c r="AN80" s="519">
        <v>0</v>
      </c>
    </row>
    <row r="81" spans="1:40" x14ac:dyDescent="0.3">
      <c r="A81" s="489" t="s">
        <v>1441</v>
      </c>
      <c r="B81" s="489" t="s">
        <v>1683</v>
      </c>
      <c r="C81" s="489" t="s">
        <v>1809</v>
      </c>
      <c r="D81" s="489" t="s">
        <v>141</v>
      </c>
      <c r="E81" s="619">
        <v>75</v>
      </c>
      <c r="F81" s="624">
        <f t="shared" si="31"/>
        <v>0</v>
      </c>
      <c r="G81" s="519">
        <f t="shared" si="32"/>
        <v>0</v>
      </c>
      <c r="H81" s="519">
        <f t="shared" si="33"/>
        <v>0</v>
      </c>
      <c r="I81" s="519">
        <f t="shared" si="34"/>
        <v>0</v>
      </c>
      <c r="J81" s="519">
        <f t="shared" si="35"/>
        <v>0</v>
      </c>
      <c r="K81" s="519">
        <f t="shared" si="36"/>
        <v>0</v>
      </c>
      <c r="L81" s="519">
        <f t="shared" si="37"/>
        <v>0</v>
      </c>
      <c r="M81" s="519">
        <f t="shared" si="38"/>
        <v>0</v>
      </c>
      <c r="N81" s="519">
        <f t="shared" si="39"/>
        <v>0</v>
      </c>
      <c r="O81" s="519">
        <f t="shared" si="40"/>
        <v>0</v>
      </c>
      <c r="P81" s="519">
        <f t="shared" si="41"/>
        <v>0</v>
      </c>
      <c r="Q81" s="519">
        <f t="shared" si="42"/>
        <v>0</v>
      </c>
      <c r="R81" s="519">
        <f t="shared" si="43"/>
        <v>0</v>
      </c>
      <c r="S81" s="519">
        <f t="shared" si="44"/>
        <v>0</v>
      </c>
      <c r="T81" s="519">
        <f t="shared" si="45"/>
        <v>0</v>
      </c>
      <c r="U81" s="519">
        <f t="shared" si="46"/>
        <v>0</v>
      </c>
      <c r="Y81" s="624">
        <v>0</v>
      </c>
      <c r="Z81" s="519">
        <v>0</v>
      </c>
      <c r="AA81" s="519">
        <v>0</v>
      </c>
      <c r="AB81" s="519">
        <v>0</v>
      </c>
      <c r="AC81" s="519">
        <v>0</v>
      </c>
      <c r="AD81" s="519">
        <v>0</v>
      </c>
      <c r="AE81" s="519">
        <v>0</v>
      </c>
      <c r="AF81" s="519">
        <v>0</v>
      </c>
      <c r="AG81" s="519">
        <v>0</v>
      </c>
      <c r="AH81" s="519">
        <v>0</v>
      </c>
      <c r="AI81" s="519">
        <v>0</v>
      </c>
      <c r="AJ81" s="519">
        <v>0</v>
      </c>
      <c r="AK81" s="519">
        <v>0</v>
      </c>
      <c r="AL81" s="519">
        <v>0</v>
      </c>
      <c r="AM81" s="519">
        <v>0</v>
      </c>
      <c r="AN81" s="519">
        <v>0</v>
      </c>
    </row>
    <row r="82" spans="1:40" x14ac:dyDescent="0.3">
      <c r="A82" s="489" t="s">
        <v>1605</v>
      </c>
      <c r="B82" s="489" t="s">
        <v>1658</v>
      </c>
      <c r="C82" s="489" t="s">
        <v>1810</v>
      </c>
      <c r="D82" s="489" t="s">
        <v>46</v>
      </c>
      <c r="E82" s="619">
        <v>68</v>
      </c>
      <c r="F82" s="624">
        <f t="shared" si="31"/>
        <v>131.72058823529412</v>
      </c>
      <c r="G82" s="519">
        <f t="shared" si="32"/>
        <v>199</v>
      </c>
      <c r="H82" s="519">
        <f t="shared" si="33"/>
        <v>199</v>
      </c>
      <c r="I82" s="519">
        <f t="shared" si="34"/>
        <v>199</v>
      </c>
      <c r="J82" s="519">
        <f t="shared" si="35"/>
        <v>199</v>
      </c>
      <c r="K82" s="519">
        <f t="shared" si="36"/>
        <v>199</v>
      </c>
      <c r="L82" s="519">
        <f t="shared" si="37"/>
        <v>134.66666666666666</v>
      </c>
      <c r="M82" s="519">
        <f t="shared" si="38"/>
        <v>116.66666666666667</v>
      </c>
      <c r="N82" s="519">
        <f t="shared" si="39"/>
        <v>116.66666666666667</v>
      </c>
      <c r="O82" s="519">
        <f t="shared" si="40"/>
        <v>121.88888888888889</v>
      </c>
      <c r="P82" s="519">
        <f t="shared" si="41"/>
        <v>135.55555555555554</v>
      </c>
      <c r="Q82" s="519">
        <f t="shared" si="42"/>
        <v>112.78571428571429</v>
      </c>
      <c r="R82" s="519">
        <f t="shared" si="43"/>
        <v>113.28571428571429</v>
      </c>
      <c r="S82" s="519">
        <f t="shared" si="44"/>
        <v>149</v>
      </c>
      <c r="T82" s="519">
        <f t="shared" si="45"/>
        <v>157</v>
      </c>
      <c r="U82" s="519">
        <f t="shared" si="46"/>
        <v>158</v>
      </c>
      <c r="Y82" s="624">
        <v>131.72058823529412</v>
      </c>
      <c r="Z82" s="519">
        <v>0</v>
      </c>
      <c r="AA82" s="519">
        <v>0</v>
      </c>
      <c r="AB82" s="519">
        <v>0</v>
      </c>
      <c r="AC82" s="519">
        <v>0</v>
      </c>
      <c r="AD82" s="519">
        <v>199</v>
      </c>
      <c r="AE82" s="519">
        <v>134.66666666666666</v>
      </c>
      <c r="AF82" s="519">
        <v>0</v>
      </c>
      <c r="AG82" s="519">
        <v>116.66666666666667</v>
      </c>
      <c r="AH82" s="519">
        <v>121.88888888888889</v>
      </c>
      <c r="AI82" s="519">
        <v>135.55555555555554</v>
      </c>
      <c r="AJ82" s="519">
        <v>112.78571428571429</v>
      </c>
      <c r="AK82" s="519">
        <v>113.28571428571429</v>
      </c>
      <c r="AL82" s="519">
        <v>149</v>
      </c>
      <c r="AM82" s="519">
        <v>157</v>
      </c>
      <c r="AN82" s="519">
        <v>158</v>
      </c>
    </row>
    <row r="83" spans="1:40" x14ac:dyDescent="0.3">
      <c r="A83" s="489" t="s">
        <v>1414</v>
      </c>
      <c r="B83" s="489" t="s">
        <v>1684</v>
      </c>
      <c r="C83" s="489" t="s">
        <v>1811</v>
      </c>
      <c r="D83" s="489" t="s">
        <v>141</v>
      </c>
      <c r="E83" s="619">
        <v>68</v>
      </c>
      <c r="F83" s="624">
        <f t="shared" si="31"/>
        <v>0</v>
      </c>
      <c r="G83" s="519">
        <f t="shared" si="32"/>
        <v>0</v>
      </c>
      <c r="H83" s="519">
        <f t="shared" si="33"/>
        <v>0</v>
      </c>
      <c r="I83" s="519">
        <f t="shared" si="34"/>
        <v>0</v>
      </c>
      <c r="J83" s="519">
        <f t="shared" si="35"/>
        <v>0</v>
      </c>
      <c r="K83" s="519">
        <f t="shared" si="36"/>
        <v>0</v>
      </c>
      <c r="L83" s="519">
        <f t="shared" si="37"/>
        <v>0</v>
      </c>
      <c r="M83" s="519">
        <f t="shared" si="38"/>
        <v>0</v>
      </c>
      <c r="N83" s="519">
        <f t="shared" si="39"/>
        <v>0</v>
      </c>
      <c r="O83" s="519">
        <f t="shared" si="40"/>
        <v>0</v>
      </c>
      <c r="P83" s="519">
        <f t="shared" si="41"/>
        <v>0</v>
      </c>
      <c r="Q83" s="519">
        <f t="shared" si="42"/>
        <v>0</v>
      </c>
      <c r="R83" s="519">
        <f t="shared" si="43"/>
        <v>0</v>
      </c>
      <c r="S83" s="519">
        <f t="shared" si="44"/>
        <v>0</v>
      </c>
      <c r="T83" s="519">
        <f t="shared" si="45"/>
        <v>0</v>
      </c>
      <c r="U83" s="519">
        <f t="shared" si="46"/>
        <v>0</v>
      </c>
      <c r="Y83" s="624">
        <v>0</v>
      </c>
      <c r="Z83" s="519">
        <v>0</v>
      </c>
      <c r="AA83" s="519">
        <v>0</v>
      </c>
      <c r="AB83" s="519">
        <v>0</v>
      </c>
      <c r="AC83" s="519">
        <v>0</v>
      </c>
      <c r="AD83" s="519">
        <v>0</v>
      </c>
      <c r="AE83" s="519">
        <v>0</v>
      </c>
      <c r="AF83" s="519">
        <v>0</v>
      </c>
      <c r="AG83" s="519">
        <v>0</v>
      </c>
      <c r="AH83" s="519">
        <v>0</v>
      </c>
      <c r="AI83" s="519">
        <v>0</v>
      </c>
      <c r="AJ83" s="519">
        <v>0</v>
      </c>
      <c r="AK83" s="519">
        <v>0</v>
      </c>
      <c r="AL83" s="519">
        <v>0</v>
      </c>
      <c r="AM83" s="519">
        <v>0</v>
      </c>
      <c r="AN83" s="519">
        <v>0</v>
      </c>
    </row>
    <row r="84" spans="1:40" x14ac:dyDescent="0.3">
      <c r="A84" s="489" t="s">
        <v>1441</v>
      </c>
      <c r="B84" s="489" t="s">
        <v>1542</v>
      </c>
      <c r="C84" s="489" t="s">
        <v>1543</v>
      </c>
      <c r="D84" s="489" t="s">
        <v>141</v>
      </c>
      <c r="E84" s="619">
        <v>66</v>
      </c>
      <c r="F84" s="624">
        <f t="shared" si="31"/>
        <v>0</v>
      </c>
      <c r="G84" s="519">
        <f t="shared" si="32"/>
        <v>0</v>
      </c>
      <c r="H84" s="519">
        <f t="shared" si="33"/>
        <v>0</v>
      </c>
      <c r="I84" s="519">
        <f t="shared" si="34"/>
        <v>0</v>
      </c>
      <c r="J84" s="519">
        <f t="shared" si="35"/>
        <v>0</v>
      </c>
      <c r="K84" s="519">
        <f t="shared" si="36"/>
        <v>0</v>
      </c>
      <c r="L84" s="519">
        <f t="shared" si="37"/>
        <v>0</v>
      </c>
      <c r="M84" s="519">
        <f t="shared" si="38"/>
        <v>0</v>
      </c>
      <c r="N84" s="519">
        <f t="shared" si="39"/>
        <v>0</v>
      </c>
      <c r="O84" s="519">
        <f t="shared" si="40"/>
        <v>0</v>
      </c>
      <c r="P84" s="519">
        <f t="shared" si="41"/>
        <v>0</v>
      </c>
      <c r="Q84" s="519">
        <f t="shared" si="42"/>
        <v>0</v>
      </c>
      <c r="R84" s="519">
        <f t="shared" si="43"/>
        <v>0</v>
      </c>
      <c r="S84" s="519">
        <f t="shared" si="44"/>
        <v>0</v>
      </c>
      <c r="T84" s="519">
        <f t="shared" si="45"/>
        <v>0</v>
      </c>
      <c r="U84" s="519">
        <f t="shared" si="46"/>
        <v>0</v>
      </c>
      <c r="Y84" s="624">
        <v>0</v>
      </c>
      <c r="Z84" s="519">
        <v>0</v>
      </c>
      <c r="AA84" s="519">
        <v>0</v>
      </c>
      <c r="AB84" s="519">
        <v>0</v>
      </c>
      <c r="AC84" s="519">
        <v>0</v>
      </c>
      <c r="AD84" s="519">
        <v>0</v>
      </c>
      <c r="AE84" s="519">
        <v>0</v>
      </c>
      <c r="AF84" s="519">
        <v>0</v>
      </c>
      <c r="AG84" s="519">
        <v>0</v>
      </c>
      <c r="AH84" s="519">
        <v>0</v>
      </c>
      <c r="AI84" s="519">
        <v>0</v>
      </c>
      <c r="AJ84" s="519">
        <v>0</v>
      </c>
      <c r="AK84" s="519">
        <v>0</v>
      </c>
      <c r="AL84" s="519">
        <v>0</v>
      </c>
      <c r="AM84" s="519">
        <v>0</v>
      </c>
      <c r="AN84" s="519">
        <v>0</v>
      </c>
    </row>
    <row r="85" spans="1:40" x14ac:dyDescent="0.3">
      <c r="A85" s="489" t="s">
        <v>1414</v>
      </c>
      <c r="B85" s="489" t="s">
        <v>1685</v>
      </c>
      <c r="C85" s="489" t="s">
        <v>1812</v>
      </c>
      <c r="D85" s="489" t="s">
        <v>141</v>
      </c>
      <c r="E85" s="619">
        <v>64</v>
      </c>
      <c r="F85" s="624">
        <f t="shared" si="31"/>
        <v>0</v>
      </c>
      <c r="G85" s="519">
        <f t="shared" si="32"/>
        <v>0</v>
      </c>
      <c r="H85" s="519">
        <f t="shared" si="33"/>
        <v>0</v>
      </c>
      <c r="I85" s="519">
        <f t="shared" si="34"/>
        <v>0</v>
      </c>
      <c r="J85" s="519">
        <f t="shared" si="35"/>
        <v>0</v>
      </c>
      <c r="K85" s="519">
        <f t="shared" si="36"/>
        <v>0</v>
      </c>
      <c r="L85" s="519">
        <f t="shared" si="37"/>
        <v>0</v>
      </c>
      <c r="M85" s="519">
        <f t="shared" si="38"/>
        <v>0</v>
      </c>
      <c r="N85" s="519">
        <f t="shared" si="39"/>
        <v>0</v>
      </c>
      <c r="O85" s="519">
        <f t="shared" si="40"/>
        <v>0</v>
      </c>
      <c r="P85" s="519">
        <f t="shared" si="41"/>
        <v>0</v>
      </c>
      <c r="Q85" s="519">
        <f t="shared" si="42"/>
        <v>0</v>
      </c>
      <c r="R85" s="519">
        <f t="shared" si="43"/>
        <v>0</v>
      </c>
      <c r="S85" s="519">
        <f t="shared" si="44"/>
        <v>0</v>
      </c>
      <c r="T85" s="519">
        <f t="shared" si="45"/>
        <v>0</v>
      </c>
      <c r="U85" s="519">
        <f t="shared" si="46"/>
        <v>0</v>
      </c>
      <c r="Y85" s="624">
        <v>0</v>
      </c>
      <c r="Z85" s="519">
        <v>0</v>
      </c>
      <c r="AA85" s="519">
        <v>0</v>
      </c>
      <c r="AB85" s="519">
        <v>0</v>
      </c>
      <c r="AC85" s="519">
        <v>0</v>
      </c>
      <c r="AD85" s="519">
        <v>0</v>
      </c>
      <c r="AE85" s="519">
        <v>0</v>
      </c>
      <c r="AF85" s="519">
        <v>0</v>
      </c>
      <c r="AG85" s="519">
        <v>0</v>
      </c>
      <c r="AH85" s="519">
        <v>0</v>
      </c>
      <c r="AI85" s="519">
        <v>0</v>
      </c>
      <c r="AJ85" s="519">
        <v>0</v>
      </c>
      <c r="AK85" s="519">
        <v>0</v>
      </c>
      <c r="AL85" s="519">
        <v>0</v>
      </c>
      <c r="AM85" s="519">
        <v>0</v>
      </c>
      <c r="AN85" s="519">
        <v>0</v>
      </c>
    </row>
    <row r="86" spans="1:40" x14ac:dyDescent="0.3">
      <c r="A86" s="489" t="s">
        <v>1454</v>
      </c>
      <c r="B86" s="489" t="s">
        <v>1686</v>
      </c>
      <c r="C86" s="489" t="s">
        <v>1813</v>
      </c>
      <c r="D86" s="489" t="s">
        <v>46</v>
      </c>
      <c r="E86" s="619">
        <v>63</v>
      </c>
      <c r="F86" s="624">
        <f t="shared" si="31"/>
        <v>109.2063492063492</v>
      </c>
      <c r="G86" s="519">
        <f t="shared" si="32"/>
        <v>120</v>
      </c>
      <c r="H86" s="519">
        <f t="shared" si="33"/>
        <v>120</v>
      </c>
      <c r="I86" s="519">
        <f t="shared" si="34"/>
        <v>117.66666666666667</v>
      </c>
      <c r="J86" s="519">
        <f t="shared" si="35"/>
        <v>129.66666666666666</v>
      </c>
      <c r="K86" s="519">
        <f t="shared" si="36"/>
        <v>129.66666666666666</v>
      </c>
      <c r="L86" s="519">
        <f t="shared" si="37"/>
        <v>129.66666666666666</v>
      </c>
      <c r="M86" s="519">
        <f t="shared" si="38"/>
        <v>106.125</v>
      </c>
      <c r="N86" s="519">
        <f t="shared" si="39"/>
        <v>105.4</v>
      </c>
      <c r="O86" s="519">
        <f t="shared" si="40"/>
        <v>106.90909090909091</v>
      </c>
      <c r="P86" s="519">
        <f t="shared" si="41"/>
        <v>0</v>
      </c>
      <c r="Q86" s="519">
        <f t="shared" si="42"/>
        <v>0</v>
      </c>
      <c r="R86" s="519">
        <f t="shared" si="43"/>
        <v>0</v>
      </c>
      <c r="S86" s="519">
        <f t="shared" si="44"/>
        <v>0</v>
      </c>
      <c r="T86" s="519">
        <f t="shared" si="45"/>
        <v>0</v>
      </c>
      <c r="U86" s="519">
        <f t="shared" si="46"/>
        <v>0</v>
      </c>
      <c r="Y86" s="624">
        <v>109.2063492063492</v>
      </c>
      <c r="Z86" s="519">
        <v>120</v>
      </c>
      <c r="AA86" s="519">
        <v>120</v>
      </c>
      <c r="AB86" s="519">
        <v>117.66666666666667</v>
      </c>
      <c r="AC86" s="519">
        <v>0</v>
      </c>
      <c r="AD86" s="519">
        <v>0</v>
      </c>
      <c r="AE86" s="519">
        <v>129.66666666666666</v>
      </c>
      <c r="AF86" s="519">
        <v>106.125</v>
      </c>
      <c r="AG86" s="519">
        <v>105.4</v>
      </c>
      <c r="AH86" s="519">
        <v>106.90909090909091</v>
      </c>
      <c r="AI86" s="519">
        <v>0</v>
      </c>
      <c r="AJ86" s="519">
        <v>0</v>
      </c>
      <c r="AK86" s="519">
        <v>0</v>
      </c>
      <c r="AL86" s="519">
        <v>0</v>
      </c>
      <c r="AM86" s="519">
        <v>0</v>
      </c>
      <c r="AN86" s="519">
        <v>0</v>
      </c>
    </row>
    <row r="87" spans="1:40" x14ac:dyDescent="0.3">
      <c r="A87" s="489" t="s">
        <v>1432</v>
      </c>
      <c r="B87" s="489" t="s">
        <v>1687</v>
      </c>
      <c r="C87" s="489" t="s">
        <v>1814</v>
      </c>
      <c r="D87" s="489" t="s">
        <v>46</v>
      </c>
      <c r="E87" s="619">
        <v>61</v>
      </c>
      <c r="F87" s="624">
        <f t="shared" si="31"/>
        <v>113.26229508196721</v>
      </c>
      <c r="G87" s="519">
        <f t="shared" si="32"/>
        <v>129</v>
      </c>
      <c r="H87" s="519">
        <f t="shared" si="33"/>
        <v>129</v>
      </c>
      <c r="I87" s="519">
        <f t="shared" si="34"/>
        <v>129</v>
      </c>
      <c r="J87" s="519">
        <f t="shared" si="35"/>
        <v>105.5</v>
      </c>
      <c r="K87" s="519">
        <f t="shared" si="36"/>
        <v>105.5</v>
      </c>
      <c r="L87" s="519">
        <f t="shared" si="37"/>
        <v>105.5</v>
      </c>
      <c r="M87" s="519">
        <f t="shared" si="38"/>
        <v>103.83333333333333</v>
      </c>
      <c r="N87" s="519">
        <f t="shared" si="39"/>
        <v>114.81818181818181</v>
      </c>
      <c r="O87" s="519">
        <f t="shared" si="40"/>
        <v>111.88888888888889</v>
      </c>
      <c r="P87" s="519">
        <f t="shared" si="41"/>
        <v>106</v>
      </c>
      <c r="Q87" s="519">
        <f t="shared" si="42"/>
        <v>113.33333333333333</v>
      </c>
      <c r="R87" s="519">
        <f t="shared" si="43"/>
        <v>113.66666666666667</v>
      </c>
      <c r="S87" s="519">
        <f t="shared" si="44"/>
        <v>135</v>
      </c>
      <c r="T87" s="519">
        <f t="shared" si="45"/>
        <v>140</v>
      </c>
      <c r="U87" s="519">
        <f t="shared" si="46"/>
        <v>140</v>
      </c>
      <c r="Y87" s="624">
        <v>113.26229508196721</v>
      </c>
      <c r="Z87" s="519">
        <v>0</v>
      </c>
      <c r="AA87" s="519">
        <v>0</v>
      </c>
      <c r="AB87" s="519">
        <v>129</v>
      </c>
      <c r="AC87" s="519">
        <v>0</v>
      </c>
      <c r="AD87" s="519">
        <v>0</v>
      </c>
      <c r="AE87" s="519">
        <v>105.5</v>
      </c>
      <c r="AF87" s="519">
        <v>103.83333333333333</v>
      </c>
      <c r="AG87" s="519">
        <v>114.81818181818181</v>
      </c>
      <c r="AH87" s="519">
        <v>111.88888888888889</v>
      </c>
      <c r="AI87" s="519">
        <v>106</v>
      </c>
      <c r="AJ87" s="519">
        <v>113.33333333333333</v>
      </c>
      <c r="AK87" s="519">
        <v>113.66666666666667</v>
      </c>
      <c r="AL87" s="519">
        <v>135</v>
      </c>
      <c r="AM87" s="519">
        <v>0</v>
      </c>
      <c r="AN87" s="519">
        <v>140</v>
      </c>
    </row>
    <row r="88" spans="1:40" x14ac:dyDescent="0.3">
      <c r="A88" s="489" t="s">
        <v>1677</v>
      </c>
      <c r="B88" s="489" t="s">
        <v>1688</v>
      </c>
      <c r="C88" s="489" t="s">
        <v>1815</v>
      </c>
      <c r="D88" s="489" t="s">
        <v>141</v>
      </c>
      <c r="E88" s="619">
        <v>59</v>
      </c>
      <c r="F88" s="624">
        <f t="shared" si="31"/>
        <v>0</v>
      </c>
      <c r="G88" s="519">
        <f t="shared" si="32"/>
        <v>0</v>
      </c>
      <c r="H88" s="519">
        <f t="shared" si="33"/>
        <v>0</v>
      </c>
      <c r="I88" s="519">
        <f t="shared" si="34"/>
        <v>0</v>
      </c>
      <c r="J88" s="519">
        <f t="shared" si="35"/>
        <v>0</v>
      </c>
      <c r="K88" s="519">
        <f t="shared" si="36"/>
        <v>0</v>
      </c>
      <c r="L88" s="519">
        <f t="shared" si="37"/>
        <v>0</v>
      </c>
      <c r="M88" s="519">
        <f t="shared" si="38"/>
        <v>0</v>
      </c>
      <c r="N88" s="519">
        <f t="shared" si="39"/>
        <v>0</v>
      </c>
      <c r="O88" s="519">
        <f t="shared" si="40"/>
        <v>0</v>
      </c>
      <c r="P88" s="519">
        <f t="shared" si="41"/>
        <v>0</v>
      </c>
      <c r="Q88" s="519">
        <f t="shared" si="42"/>
        <v>0</v>
      </c>
      <c r="R88" s="519">
        <f t="shared" si="43"/>
        <v>0</v>
      </c>
      <c r="S88" s="519">
        <f t="shared" si="44"/>
        <v>0</v>
      </c>
      <c r="T88" s="519">
        <f t="shared" si="45"/>
        <v>0</v>
      </c>
      <c r="U88" s="519">
        <f t="shared" si="46"/>
        <v>0</v>
      </c>
      <c r="Y88" s="624">
        <v>0</v>
      </c>
      <c r="Z88" s="519">
        <v>0</v>
      </c>
      <c r="AA88" s="519">
        <v>0</v>
      </c>
      <c r="AB88" s="519">
        <v>0</v>
      </c>
      <c r="AC88" s="519">
        <v>0</v>
      </c>
      <c r="AD88" s="519">
        <v>0</v>
      </c>
      <c r="AE88" s="519">
        <v>0</v>
      </c>
      <c r="AF88" s="519">
        <v>0</v>
      </c>
      <c r="AG88" s="519">
        <v>0</v>
      </c>
      <c r="AH88" s="519">
        <v>0</v>
      </c>
      <c r="AI88" s="519">
        <v>0</v>
      </c>
      <c r="AJ88" s="519">
        <v>0</v>
      </c>
      <c r="AK88" s="519">
        <v>0</v>
      </c>
      <c r="AL88" s="519">
        <v>0</v>
      </c>
      <c r="AM88" s="519">
        <v>0</v>
      </c>
      <c r="AN88" s="519">
        <v>0</v>
      </c>
    </row>
    <row r="89" spans="1:40" x14ac:dyDescent="0.3">
      <c r="A89" s="489" t="s">
        <v>1414</v>
      </c>
      <c r="B89" s="489" t="s">
        <v>1689</v>
      </c>
      <c r="C89" s="489" t="s">
        <v>1816</v>
      </c>
      <c r="D89" s="489" t="s">
        <v>1929</v>
      </c>
      <c r="E89" s="619">
        <v>58</v>
      </c>
      <c r="F89" s="624">
        <f t="shared" si="31"/>
        <v>109.81034482758621</v>
      </c>
      <c r="G89" s="519">
        <f t="shared" si="32"/>
        <v>109</v>
      </c>
      <c r="H89" s="519">
        <f t="shared" si="33"/>
        <v>109</v>
      </c>
      <c r="I89" s="519">
        <f t="shared" si="34"/>
        <v>109</v>
      </c>
      <c r="J89" s="519">
        <f t="shared" si="35"/>
        <v>109</v>
      </c>
      <c r="K89" s="519">
        <f t="shared" si="36"/>
        <v>109</v>
      </c>
      <c r="L89" s="519">
        <f t="shared" si="37"/>
        <v>109</v>
      </c>
      <c r="M89" s="519">
        <f t="shared" si="38"/>
        <v>109</v>
      </c>
      <c r="N89" s="519">
        <f t="shared" si="39"/>
        <v>114</v>
      </c>
      <c r="O89" s="519">
        <f t="shared" si="40"/>
        <v>114</v>
      </c>
      <c r="P89" s="519">
        <f t="shared" si="41"/>
        <v>109.31818181818181</v>
      </c>
      <c r="Q89" s="519">
        <f t="shared" si="42"/>
        <v>110.23076923076923</v>
      </c>
      <c r="R89" s="519">
        <f t="shared" si="43"/>
        <v>109.7</v>
      </c>
      <c r="S89" s="519">
        <f t="shared" si="44"/>
        <v>0</v>
      </c>
      <c r="T89" s="519">
        <f t="shared" si="45"/>
        <v>0</v>
      </c>
      <c r="U89" s="519">
        <f t="shared" si="46"/>
        <v>0</v>
      </c>
      <c r="Y89" s="624">
        <v>109.81034482758621</v>
      </c>
      <c r="Z89" s="519">
        <v>0</v>
      </c>
      <c r="AA89" s="519">
        <v>0</v>
      </c>
      <c r="AB89" s="519">
        <v>0</v>
      </c>
      <c r="AC89" s="519">
        <v>0</v>
      </c>
      <c r="AD89" s="519">
        <v>0</v>
      </c>
      <c r="AE89" s="519">
        <v>0</v>
      </c>
      <c r="AF89" s="519">
        <v>109</v>
      </c>
      <c r="AG89" s="519">
        <v>0</v>
      </c>
      <c r="AH89" s="519">
        <v>114</v>
      </c>
      <c r="AI89" s="519">
        <v>109.31818181818181</v>
      </c>
      <c r="AJ89" s="519">
        <v>110.23076923076923</v>
      </c>
      <c r="AK89" s="519">
        <v>109.7</v>
      </c>
      <c r="AL89" s="519">
        <v>0</v>
      </c>
      <c r="AM89" s="519">
        <v>0</v>
      </c>
      <c r="AN89" s="519">
        <v>0</v>
      </c>
    </row>
    <row r="90" spans="1:40" x14ac:dyDescent="0.3">
      <c r="A90" s="489" t="s">
        <v>1414</v>
      </c>
      <c r="B90" s="489" t="s">
        <v>1690</v>
      </c>
      <c r="C90" s="489" t="s">
        <v>1817</v>
      </c>
      <c r="D90" s="489" t="s">
        <v>46</v>
      </c>
      <c r="E90" s="619">
        <v>58</v>
      </c>
      <c r="F90" s="624">
        <f t="shared" si="31"/>
        <v>148.77586206896552</v>
      </c>
      <c r="G90" s="519">
        <f t="shared" si="32"/>
        <v>140</v>
      </c>
      <c r="H90" s="519">
        <f t="shared" si="33"/>
        <v>134</v>
      </c>
      <c r="I90" s="519">
        <f t="shared" si="34"/>
        <v>153</v>
      </c>
      <c r="J90" s="519">
        <f t="shared" si="35"/>
        <v>134</v>
      </c>
      <c r="K90" s="519">
        <f t="shared" si="36"/>
        <v>149.5</v>
      </c>
      <c r="L90" s="519">
        <f t="shared" si="37"/>
        <v>149.5</v>
      </c>
      <c r="M90" s="519">
        <f t="shared" si="38"/>
        <v>143.83333333333334</v>
      </c>
      <c r="N90" s="519">
        <f t="shared" si="39"/>
        <v>148.75</v>
      </c>
      <c r="O90" s="519">
        <f t="shared" si="40"/>
        <v>139.85714285714286</v>
      </c>
      <c r="P90" s="519">
        <f t="shared" si="41"/>
        <v>143.28571428571428</v>
      </c>
      <c r="Q90" s="519">
        <f t="shared" si="42"/>
        <v>144.33333333333334</v>
      </c>
      <c r="R90" s="519">
        <f t="shared" si="43"/>
        <v>141.75</v>
      </c>
      <c r="S90" s="519">
        <f t="shared" si="44"/>
        <v>157</v>
      </c>
      <c r="T90" s="519">
        <f t="shared" si="45"/>
        <v>135</v>
      </c>
      <c r="U90" s="519">
        <f t="shared" si="46"/>
        <v>150</v>
      </c>
      <c r="Y90" s="624">
        <v>148.77586206896552</v>
      </c>
      <c r="Z90" s="519">
        <v>140</v>
      </c>
      <c r="AA90" s="519">
        <v>134</v>
      </c>
      <c r="AB90" s="519">
        <v>153</v>
      </c>
      <c r="AC90" s="519">
        <v>134</v>
      </c>
      <c r="AD90" s="519">
        <v>0</v>
      </c>
      <c r="AE90" s="519">
        <v>149.5</v>
      </c>
      <c r="AF90" s="519">
        <v>143.83333333333334</v>
      </c>
      <c r="AG90" s="519">
        <v>148.75</v>
      </c>
      <c r="AH90" s="519">
        <v>139.85714285714286</v>
      </c>
      <c r="AI90" s="519">
        <v>143.28571428571428</v>
      </c>
      <c r="AJ90" s="519">
        <v>144.33333333333334</v>
      </c>
      <c r="AK90" s="519">
        <v>141.75</v>
      </c>
      <c r="AL90" s="519">
        <v>157</v>
      </c>
      <c r="AM90" s="519">
        <v>135</v>
      </c>
      <c r="AN90" s="519">
        <v>150</v>
      </c>
    </row>
    <row r="91" spans="1:40" x14ac:dyDescent="0.3">
      <c r="A91" s="489" t="s">
        <v>1414</v>
      </c>
      <c r="B91" s="489" t="s">
        <v>1691</v>
      </c>
      <c r="C91" s="489" t="s">
        <v>1818</v>
      </c>
      <c r="D91" s="489" t="s">
        <v>46</v>
      </c>
      <c r="E91" s="619">
        <v>57</v>
      </c>
      <c r="F91" s="624">
        <f t="shared" si="31"/>
        <v>144.71929824561403</v>
      </c>
      <c r="G91" s="519">
        <f t="shared" si="32"/>
        <v>136</v>
      </c>
      <c r="H91" s="519">
        <f t="shared" si="33"/>
        <v>136</v>
      </c>
      <c r="I91" s="519">
        <f t="shared" si="34"/>
        <v>169.5</v>
      </c>
      <c r="J91" s="519">
        <f t="shared" si="35"/>
        <v>141.85714285714286</v>
      </c>
      <c r="K91" s="519">
        <f t="shared" si="36"/>
        <v>141.85714285714286</v>
      </c>
      <c r="L91" s="519">
        <f t="shared" si="37"/>
        <v>141.85714285714286</v>
      </c>
      <c r="M91" s="519">
        <f t="shared" si="38"/>
        <v>138</v>
      </c>
      <c r="N91" s="519">
        <f t="shared" si="39"/>
        <v>142.85714285714286</v>
      </c>
      <c r="O91" s="519">
        <f t="shared" si="40"/>
        <v>142</v>
      </c>
      <c r="P91" s="519">
        <f t="shared" si="41"/>
        <v>133.25</v>
      </c>
      <c r="Q91" s="519">
        <f t="shared" si="42"/>
        <v>146.5</v>
      </c>
      <c r="R91" s="519">
        <f t="shared" si="43"/>
        <v>143.28571428571428</v>
      </c>
      <c r="S91" s="519">
        <f t="shared" si="44"/>
        <v>151.4</v>
      </c>
      <c r="T91" s="519">
        <f t="shared" si="45"/>
        <v>130.66666666666666</v>
      </c>
      <c r="U91" s="519">
        <f t="shared" si="46"/>
        <v>166</v>
      </c>
      <c r="Y91" s="624">
        <v>144.71929824561403</v>
      </c>
      <c r="Z91" s="519">
        <v>136</v>
      </c>
      <c r="AA91" s="519">
        <v>136</v>
      </c>
      <c r="AB91" s="519">
        <v>169.5</v>
      </c>
      <c r="AC91" s="519">
        <v>0</v>
      </c>
      <c r="AD91" s="519">
        <v>0</v>
      </c>
      <c r="AE91" s="519">
        <v>141.85714285714286</v>
      </c>
      <c r="AF91" s="519">
        <v>138</v>
      </c>
      <c r="AG91" s="519">
        <v>142.85714285714286</v>
      </c>
      <c r="AH91" s="519">
        <v>142</v>
      </c>
      <c r="AI91" s="519">
        <v>133.25</v>
      </c>
      <c r="AJ91" s="519">
        <v>146.5</v>
      </c>
      <c r="AK91" s="519">
        <v>143.28571428571428</v>
      </c>
      <c r="AL91" s="519">
        <v>151.4</v>
      </c>
      <c r="AM91" s="519">
        <v>130.66666666666666</v>
      </c>
      <c r="AN91" s="519">
        <v>166</v>
      </c>
    </row>
    <row r="92" spans="1:40" x14ac:dyDescent="0.3">
      <c r="A92" s="489" t="s">
        <v>1605</v>
      </c>
      <c r="B92" s="489" t="s">
        <v>1659</v>
      </c>
      <c r="C92" s="489" t="s">
        <v>1819</v>
      </c>
      <c r="D92" s="489" t="s">
        <v>46</v>
      </c>
      <c r="E92" s="619">
        <v>56</v>
      </c>
      <c r="F92" s="624">
        <f t="shared" si="31"/>
        <v>131.08928571428572</v>
      </c>
      <c r="G92" s="519">
        <f t="shared" si="32"/>
        <v>154</v>
      </c>
      <c r="H92" s="519">
        <f t="shared" si="33"/>
        <v>129.85714285714286</v>
      </c>
      <c r="I92" s="519">
        <f t="shared" si="34"/>
        <v>137</v>
      </c>
      <c r="J92" s="519">
        <f t="shared" si="35"/>
        <v>123.5</v>
      </c>
      <c r="K92" s="519">
        <f t="shared" si="36"/>
        <v>157</v>
      </c>
      <c r="L92" s="519">
        <f t="shared" si="37"/>
        <v>148.61538461538461</v>
      </c>
      <c r="M92" s="519">
        <f t="shared" si="38"/>
        <v>127</v>
      </c>
      <c r="N92" s="519">
        <f t="shared" si="39"/>
        <v>119</v>
      </c>
      <c r="O92" s="519">
        <f t="shared" si="40"/>
        <v>0</v>
      </c>
      <c r="P92" s="519">
        <f t="shared" si="41"/>
        <v>0</v>
      </c>
      <c r="Q92" s="519">
        <f t="shared" si="42"/>
        <v>0</v>
      </c>
      <c r="R92" s="519">
        <f t="shared" si="43"/>
        <v>0</v>
      </c>
      <c r="S92" s="519">
        <f t="shared" si="44"/>
        <v>0</v>
      </c>
      <c r="T92" s="519">
        <f t="shared" si="45"/>
        <v>0</v>
      </c>
      <c r="U92" s="519">
        <f t="shared" si="46"/>
        <v>0</v>
      </c>
      <c r="Y92" s="624">
        <v>131.08928571428572</v>
      </c>
      <c r="Z92" s="519">
        <v>154</v>
      </c>
      <c r="AA92" s="519">
        <v>129.85714285714286</v>
      </c>
      <c r="AB92" s="519">
        <v>137</v>
      </c>
      <c r="AC92" s="519">
        <v>123.5</v>
      </c>
      <c r="AD92" s="519">
        <v>157</v>
      </c>
      <c r="AE92" s="519">
        <v>148.61538461538461</v>
      </c>
      <c r="AF92" s="519">
        <v>127</v>
      </c>
      <c r="AG92" s="519">
        <v>119</v>
      </c>
      <c r="AH92" s="519">
        <v>0</v>
      </c>
      <c r="AI92" s="519">
        <v>0</v>
      </c>
      <c r="AJ92" s="519">
        <v>0</v>
      </c>
      <c r="AK92" s="519">
        <v>0</v>
      </c>
      <c r="AL92" s="519">
        <v>0</v>
      </c>
      <c r="AM92" s="519">
        <v>0</v>
      </c>
      <c r="AN92" s="519">
        <v>0</v>
      </c>
    </row>
    <row r="93" spans="1:40" x14ac:dyDescent="0.3">
      <c r="A93" s="489" t="s">
        <v>1422</v>
      </c>
      <c r="B93" s="489" t="s">
        <v>1692</v>
      </c>
      <c r="C93" s="489" t="s">
        <v>1820</v>
      </c>
      <c r="D93" s="489" t="s">
        <v>46</v>
      </c>
      <c r="E93" s="619">
        <v>55</v>
      </c>
      <c r="F93" s="624">
        <f t="shared" si="31"/>
        <v>92.454545454545453</v>
      </c>
      <c r="G93" s="519">
        <f t="shared" si="32"/>
        <v>96.5</v>
      </c>
      <c r="H93" s="519">
        <f t="shared" si="33"/>
        <v>96.5</v>
      </c>
      <c r="I93" s="519">
        <f t="shared" si="34"/>
        <v>96.5</v>
      </c>
      <c r="J93" s="519">
        <f t="shared" si="35"/>
        <v>96.5</v>
      </c>
      <c r="K93" s="519">
        <f t="shared" si="36"/>
        <v>96.5</v>
      </c>
      <c r="L93" s="519">
        <f t="shared" si="37"/>
        <v>104</v>
      </c>
      <c r="M93" s="519">
        <f t="shared" si="38"/>
        <v>101</v>
      </c>
      <c r="N93" s="519">
        <f t="shared" si="39"/>
        <v>98.5</v>
      </c>
      <c r="O93" s="519">
        <f t="shared" si="40"/>
        <v>94</v>
      </c>
      <c r="P93" s="519">
        <f t="shared" si="41"/>
        <v>94.833333333333329</v>
      </c>
      <c r="Q93" s="519">
        <f t="shared" si="42"/>
        <v>88</v>
      </c>
      <c r="R93" s="519">
        <f t="shared" si="43"/>
        <v>88.4</v>
      </c>
      <c r="S93" s="519">
        <f t="shared" si="44"/>
        <v>89</v>
      </c>
      <c r="T93" s="519">
        <f t="shared" si="45"/>
        <v>89</v>
      </c>
      <c r="U93" s="519">
        <f t="shared" si="46"/>
        <v>89</v>
      </c>
      <c r="Y93" s="624">
        <v>92.454545454545453</v>
      </c>
      <c r="Z93" s="519">
        <v>0</v>
      </c>
      <c r="AA93" s="519">
        <v>0</v>
      </c>
      <c r="AB93" s="519">
        <v>0</v>
      </c>
      <c r="AC93" s="519">
        <v>0</v>
      </c>
      <c r="AD93" s="519">
        <v>96.5</v>
      </c>
      <c r="AE93" s="519">
        <v>104</v>
      </c>
      <c r="AF93" s="519">
        <v>101</v>
      </c>
      <c r="AG93" s="519">
        <v>98.5</v>
      </c>
      <c r="AH93" s="519">
        <v>94</v>
      </c>
      <c r="AI93" s="519">
        <v>94.833333333333329</v>
      </c>
      <c r="AJ93" s="519">
        <v>88</v>
      </c>
      <c r="AK93" s="519">
        <v>88.4</v>
      </c>
      <c r="AL93" s="519">
        <v>89</v>
      </c>
      <c r="AM93" s="519">
        <v>89</v>
      </c>
      <c r="AN93" s="519">
        <v>89</v>
      </c>
    </row>
    <row r="94" spans="1:40" x14ac:dyDescent="0.3">
      <c r="A94" s="489" t="s">
        <v>1451</v>
      </c>
      <c r="B94" s="489" t="s">
        <v>1693</v>
      </c>
      <c r="C94" s="489" t="s">
        <v>1821</v>
      </c>
      <c r="D94" s="489" t="s">
        <v>141</v>
      </c>
      <c r="E94" s="619">
        <v>54</v>
      </c>
      <c r="F94" s="624">
        <f t="shared" si="31"/>
        <v>0</v>
      </c>
      <c r="G94" s="519">
        <f t="shared" si="32"/>
        <v>0</v>
      </c>
      <c r="H94" s="519">
        <f t="shared" si="33"/>
        <v>0</v>
      </c>
      <c r="I94" s="519">
        <f t="shared" si="34"/>
        <v>0</v>
      </c>
      <c r="J94" s="519">
        <f t="shared" si="35"/>
        <v>0</v>
      </c>
      <c r="K94" s="519">
        <f t="shared" si="36"/>
        <v>0</v>
      </c>
      <c r="L94" s="519">
        <f t="shared" si="37"/>
        <v>0</v>
      </c>
      <c r="M94" s="519">
        <f t="shared" si="38"/>
        <v>0</v>
      </c>
      <c r="N94" s="519">
        <f t="shared" si="39"/>
        <v>0</v>
      </c>
      <c r="O94" s="519">
        <f t="shared" si="40"/>
        <v>0</v>
      </c>
      <c r="P94" s="519">
        <f t="shared" si="41"/>
        <v>0</v>
      </c>
      <c r="Q94" s="519">
        <f t="shared" si="42"/>
        <v>0</v>
      </c>
      <c r="R94" s="519">
        <f t="shared" si="43"/>
        <v>0</v>
      </c>
      <c r="S94" s="519">
        <f t="shared" si="44"/>
        <v>0</v>
      </c>
      <c r="T94" s="519">
        <f t="shared" si="45"/>
        <v>0</v>
      </c>
      <c r="U94" s="519">
        <f t="shared" si="46"/>
        <v>0</v>
      </c>
      <c r="Y94" s="624">
        <v>0</v>
      </c>
      <c r="Z94" s="519">
        <v>0</v>
      </c>
      <c r="AA94" s="519">
        <v>0</v>
      </c>
      <c r="AB94" s="519">
        <v>0</v>
      </c>
      <c r="AC94" s="519">
        <v>0</v>
      </c>
      <c r="AD94" s="519">
        <v>0</v>
      </c>
      <c r="AE94" s="519">
        <v>0</v>
      </c>
      <c r="AF94" s="519">
        <v>0</v>
      </c>
      <c r="AG94" s="519">
        <v>0</v>
      </c>
      <c r="AH94" s="519">
        <v>0</v>
      </c>
      <c r="AI94" s="519">
        <v>0</v>
      </c>
      <c r="AJ94" s="519">
        <v>0</v>
      </c>
      <c r="AK94" s="519">
        <v>0</v>
      </c>
      <c r="AL94" s="519">
        <v>0</v>
      </c>
      <c r="AM94" s="519">
        <v>0</v>
      </c>
      <c r="AN94" s="519">
        <v>0</v>
      </c>
    </row>
    <row r="95" spans="1:40" x14ac:dyDescent="0.3">
      <c r="A95" s="489" t="s">
        <v>1694</v>
      </c>
      <c r="B95" s="489" t="s">
        <v>1695</v>
      </c>
      <c r="C95" s="489" t="s">
        <v>1822</v>
      </c>
      <c r="D95" s="489" t="s">
        <v>46</v>
      </c>
      <c r="E95" s="619">
        <v>51</v>
      </c>
      <c r="F95" s="624">
        <f t="shared" si="31"/>
        <v>125.49019607843137</v>
      </c>
      <c r="G95" s="519">
        <f t="shared" si="32"/>
        <v>131.71428571428572</v>
      </c>
      <c r="H95" s="519">
        <f t="shared" si="33"/>
        <v>150.125</v>
      </c>
      <c r="I95" s="519">
        <f t="shared" si="34"/>
        <v>127</v>
      </c>
      <c r="J95" s="519">
        <f t="shared" si="35"/>
        <v>108.75</v>
      </c>
      <c r="K95" s="519">
        <f t="shared" si="36"/>
        <v>128.80000000000001</v>
      </c>
      <c r="L95" s="519">
        <f t="shared" si="37"/>
        <v>128.80000000000001</v>
      </c>
      <c r="M95" s="519">
        <f t="shared" si="38"/>
        <v>114.3</v>
      </c>
      <c r="N95" s="519">
        <f t="shared" si="39"/>
        <v>118</v>
      </c>
      <c r="O95" s="519">
        <f t="shared" si="40"/>
        <v>112.2</v>
      </c>
      <c r="P95" s="519">
        <f t="shared" si="41"/>
        <v>129</v>
      </c>
      <c r="Q95" s="519">
        <f t="shared" si="42"/>
        <v>0</v>
      </c>
      <c r="R95" s="519">
        <f t="shared" si="43"/>
        <v>0</v>
      </c>
      <c r="S95" s="519">
        <f t="shared" si="44"/>
        <v>0</v>
      </c>
      <c r="T95" s="519">
        <f t="shared" si="45"/>
        <v>0</v>
      </c>
      <c r="U95" s="519">
        <f t="shared" si="46"/>
        <v>0</v>
      </c>
      <c r="Y95" s="624">
        <v>125.49019607843137</v>
      </c>
      <c r="Z95" s="519">
        <v>131.71428571428572</v>
      </c>
      <c r="AA95" s="519">
        <v>150.125</v>
      </c>
      <c r="AB95" s="519">
        <v>127</v>
      </c>
      <c r="AC95" s="519">
        <v>108.75</v>
      </c>
      <c r="AD95" s="519">
        <v>0</v>
      </c>
      <c r="AE95" s="519">
        <v>128.80000000000001</v>
      </c>
      <c r="AF95" s="519">
        <v>114.3</v>
      </c>
      <c r="AG95" s="519">
        <v>118</v>
      </c>
      <c r="AH95" s="519">
        <v>112.2</v>
      </c>
      <c r="AI95" s="519">
        <v>129</v>
      </c>
      <c r="AJ95" s="519">
        <v>0</v>
      </c>
      <c r="AK95" s="519">
        <v>0</v>
      </c>
      <c r="AL95" s="519">
        <v>0</v>
      </c>
      <c r="AM95" s="519">
        <v>0</v>
      </c>
      <c r="AN95" s="519">
        <v>0</v>
      </c>
    </row>
    <row r="96" spans="1:40" x14ac:dyDescent="0.3">
      <c r="A96" s="489" t="s">
        <v>1544</v>
      </c>
      <c r="B96" s="489" t="s">
        <v>1696</v>
      </c>
      <c r="C96" s="489" t="s">
        <v>1823</v>
      </c>
      <c r="D96" s="489" t="s">
        <v>46</v>
      </c>
      <c r="E96" s="619">
        <v>50</v>
      </c>
      <c r="F96" s="624">
        <f t="shared" si="31"/>
        <v>192</v>
      </c>
      <c r="G96" s="519">
        <f t="shared" si="32"/>
        <v>194</v>
      </c>
      <c r="H96" s="519">
        <f t="shared" si="33"/>
        <v>194</v>
      </c>
      <c r="I96" s="519">
        <f t="shared" si="34"/>
        <v>194</v>
      </c>
      <c r="J96" s="519">
        <f t="shared" si="35"/>
        <v>194</v>
      </c>
      <c r="K96" s="519">
        <f t="shared" si="36"/>
        <v>194</v>
      </c>
      <c r="L96" s="519">
        <f t="shared" si="37"/>
        <v>194</v>
      </c>
      <c r="M96" s="519">
        <f t="shared" si="38"/>
        <v>208</v>
      </c>
      <c r="N96" s="519">
        <f t="shared" si="39"/>
        <v>208</v>
      </c>
      <c r="O96" s="519">
        <f t="shared" si="40"/>
        <v>208</v>
      </c>
      <c r="P96" s="519">
        <f t="shared" si="41"/>
        <v>208</v>
      </c>
      <c r="Q96" s="519">
        <f t="shared" si="42"/>
        <v>208</v>
      </c>
      <c r="R96" s="519">
        <f t="shared" si="43"/>
        <v>208</v>
      </c>
      <c r="S96" s="519">
        <f t="shared" si="44"/>
        <v>208</v>
      </c>
      <c r="T96" s="519">
        <f t="shared" si="45"/>
        <v>209.4</v>
      </c>
      <c r="U96" s="519">
        <f t="shared" si="46"/>
        <v>208.46153846153845</v>
      </c>
      <c r="Y96" s="624">
        <v>192</v>
      </c>
      <c r="Z96" s="519">
        <v>0</v>
      </c>
      <c r="AA96" s="519">
        <v>0</v>
      </c>
      <c r="AB96" s="519">
        <v>0</v>
      </c>
      <c r="AC96" s="519">
        <v>0</v>
      </c>
      <c r="AD96" s="519">
        <v>0</v>
      </c>
      <c r="AE96" s="519">
        <v>194</v>
      </c>
      <c r="AF96" s="519">
        <v>0</v>
      </c>
      <c r="AG96" s="519">
        <v>0</v>
      </c>
      <c r="AH96" s="519">
        <v>0</v>
      </c>
      <c r="AI96" s="519">
        <v>208</v>
      </c>
      <c r="AJ96" s="519">
        <v>0</v>
      </c>
      <c r="AK96" s="519">
        <v>0</v>
      </c>
      <c r="AL96" s="519">
        <v>208</v>
      </c>
      <c r="AM96" s="519">
        <v>209.4</v>
      </c>
      <c r="AN96" s="519">
        <v>208.46153846153845</v>
      </c>
    </row>
    <row r="97" spans="1:40" x14ac:dyDescent="0.3">
      <c r="A97" s="489" t="s">
        <v>1544</v>
      </c>
      <c r="B97" s="489" t="s">
        <v>1697</v>
      </c>
      <c r="C97" s="489" t="s">
        <v>1824</v>
      </c>
      <c r="D97" s="489" t="s">
        <v>46</v>
      </c>
      <c r="E97" s="619">
        <v>50</v>
      </c>
      <c r="F97" s="624">
        <f t="shared" si="31"/>
        <v>184.52</v>
      </c>
      <c r="G97" s="519">
        <f t="shared" si="32"/>
        <v>217</v>
      </c>
      <c r="H97" s="519">
        <f t="shared" si="33"/>
        <v>217</v>
      </c>
      <c r="I97" s="519">
        <f t="shared" si="34"/>
        <v>210.25</v>
      </c>
      <c r="J97" s="519">
        <f t="shared" si="35"/>
        <v>167</v>
      </c>
      <c r="K97" s="519">
        <f t="shared" si="36"/>
        <v>167</v>
      </c>
      <c r="L97" s="519">
        <f t="shared" si="37"/>
        <v>192.38461538461539</v>
      </c>
      <c r="M97" s="519">
        <f t="shared" si="38"/>
        <v>184.66666666666666</v>
      </c>
      <c r="N97" s="519">
        <f t="shared" si="39"/>
        <v>161.33333333333334</v>
      </c>
      <c r="O97" s="519">
        <f t="shared" si="40"/>
        <v>168.4</v>
      </c>
      <c r="P97" s="519">
        <f t="shared" si="41"/>
        <v>168.4</v>
      </c>
      <c r="Q97" s="519">
        <f t="shared" si="42"/>
        <v>171</v>
      </c>
      <c r="R97" s="519">
        <f t="shared" si="43"/>
        <v>168</v>
      </c>
      <c r="S97" s="519">
        <f t="shared" si="44"/>
        <v>0</v>
      </c>
      <c r="T97" s="519">
        <f t="shared" si="45"/>
        <v>0</v>
      </c>
      <c r="U97" s="519">
        <f t="shared" si="46"/>
        <v>0</v>
      </c>
      <c r="Y97" s="624">
        <v>184.52</v>
      </c>
      <c r="Z97" s="519">
        <v>0</v>
      </c>
      <c r="AA97" s="519">
        <v>217</v>
      </c>
      <c r="AB97" s="519">
        <v>210.25</v>
      </c>
      <c r="AC97" s="519">
        <v>0</v>
      </c>
      <c r="AD97" s="519">
        <v>167</v>
      </c>
      <c r="AE97" s="519">
        <v>192.38461538461539</v>
      </c>
      <c r="AF97" s="519">
        <v>184.66666666666666</v>
      </c>
      <c r="AG97" s="519">
        <v>161.33333333333334</v>
      </c>
      <c r="AH97" s="519">
        <v>0</v>
      </c>
      <c r="AI97" s="519">
        <v>168.4</v>
      </c>
      <c r="AJ97" s="519">
        <v>171</v>
      </c>
      <c r="AK97" s="519">
        <v>168</v>
      </c>
      <c r="AL97" s="519">
        <v>0</v>
      </c>
      <c r="AM97" s="519">
        <v>0</v>
      </c>
      <c r="AN97" s="519">
        <v>0</v>
      </c>
    </row>
    <row r="98" spans="1:40" x14ac:dyDescent="0.3">
      <c r="A98" s="489" t="s">
        <v>1417</v>
      </c>
      <c r="B98" s="489" t="s">
        <v>1698</v>
      </c>
      <c r="C98" s="489" t="s">
        <v>1825</v>
      </c>
      <c r="D98" s="489" t="s">
        <v>46</v>
      </c>
      <c r="E98" s="619">
        <v>49</v>
      </c>
      <c r="F98" s="624">
        <f t="shared" si="31"/>
        <v>126.06122448979592</v>
      </c>
      <c r="G98" s="519">
        <f t="shared" si="32"/>
        <v>130.5</v>
      </c>
      <c r="H98" s="519">
        <f t="shared" si="33"/>
        <v>130.5</v>
      </c>
      <c r="I98" s="519">
        <f t="shared" si="34"/>
        <v>130.5</v>
      </c>
      <c r="J98" s="519">
        <f t="shared" si="35"/>
        <v>130.5</v>
      </c>
      <c r="K98" s="519">
        <f t="shared" si="36"/>
        <v>130.5</v>
      </c>
      <c r="L98" s="519">
        <f t="shared" si="37"/>
        <v>130.5</v>
      </c>
      <c r="M98" s="519">
        <f t="shared" si="38"/>
        <v>121.375</v>
      </c>
      <c r="N98" s="519">
        <f t="shared" si="39"/>
        <v>118.92857142857143</v>
      </c>
      <c r="O98" s="519">
        <f t="shared" si="40"/>
        <v>113</v>
      </c>
      <c r="P98" s="519">
        <f t="shared" si="41"/>
        <v>149.6</v>
      </c>
      <c r="Q98" s="519">
        <f t="shared" si="42"/>
        <v>158</v>
      </c>
      <c r="R98" s="519">
        <f t="shared" si="43"/>
        <v>158</v>
      </c>
      <c r="S98" s="519">
        <f t="shared" si="44"/>
        <v>158</v>
      </c>
      <c r="T98" s="519">
        <f t="shared" si="45"/>
        <v>0</v>
      </c>
      <c r="U98" s="519">
        <f t="shared" si="46"/>
        <v>0</v>
      </c>
      <c r="Y98" s="624">
        <v>126.06122448979592</v>
      </c>
      <c r="Z98" s="519">
        <v>0</v>
      </c>
      <c r="AA98" s="519">
        <v>0</v>
      </c>
      <c r="AB98" s="519">
        <v>0</v>
      </c>
      <c r="AC98" s="519">
        <v>0</v>
      </c>
      <c r="AD98" s="519">
        <v>0</v>
      </c>
      <c r="AE98" s="519">
        <v>130.5</v>
      </c>
      <c r="AF98" s="519">
        <v>121.375</v>
      </c>
      <c r="AG98" s="519">
        <v>118.92857142857143</v>
      </c>
      <c r="AH98" s="519">
        <v>113</v>
      </c>
      <c r="AI98" s="519">
        <v>149.6</v>
      </c>
      <c r="AJ98" s="519">
        <v>0</v>
      </c>
      <c r="AK98" s="519">
        <v>158</v>
      </c>
      <c r="AL98" s="519">
        <v>158</v>
      </c>
      <c r="AM98" s="519">
        <v>0</v>
      </c>
      <c r="AN98" s="519">
        <v>0</v>
      </c>
    </row>
    <row r="99" spans="1:40" x14ac:dyDescent="0.3">
      <c r="A99" s="489" t="s">
        <v>1544</v>
      </c>
      <c r="B99" s="489" t="s">
        <v>1699</v>
      </c>
      <c r="C99" s="489" t="s">
        <v>1826</v>
      </c>
      <c r="D99" s="489" t="s">
        <v>46</v>
      </c>
      <c r="E99" s="619">
        <v>48</v>
      </c>
      <c r="F99" s="624">
        <f t="shared" si="31"/>
        <v>190.3125</v>
      </c>
      <c r="G99" s="519">
        <f t="shared" si="32"/>
        <v>192.33333333333334</v>
      </c>
      <c r="H99" s="519">
        <f t="shared" si="33"/>
        <v>192.33333333333334</v>
      </c>
      <c r="I99" s="519">
        <f t="shared" si="34"/>
        <v>192.33333333333334</v>
      </c>
      <c r="J99" s="519">
        <f t="shared" si="35"/>
        <v>192.33333333333334</v>
      </c>
      <c r="K99" s="519">
        <f t="shared" si="36"/>
        <v>192.33333333333334</v>
      </c>
      <c r="L99" s="519">
        <f t="shared" si="37"/>
        <v>192.33333333333334</v>
      </c>
      <c r="M99" s="519">
        <f t="shared" si="38"/>
        <v>192.33333333333334</v>
      </c>
      <c r="N99" s="519">
        <f t="shared" si="39"/>
        <v>192.33333333333334</v>
      </c>
      <c r="O99" s="519">
        <f t="shared" si="40"/>
        <v>192.33333333333334</v>
      </c>
      <c r="P99" s="519">
        <f t="shared" si="41"/>
        <v>192.33333333333334</v>
      </c>
      <c r="Q99" s="519">
        <f t="shared" si="42"/>
        <v>192.33333333333334</v>
      </c>
      <c r="R99" s="519">
        <f t="shared" si="43"/>
        <v>189.94444444444446</v>
      </c>
      <c r="S99" s="519">
        <f t="shared" si="44"/>
        <v>190.5</v>
      </c>
      <c r="T99" s="519">
        <f t="shared" si="45"/>
        <v>189</v>
      </c>
      <c r="U99" s="519">
        <f t="shared" si="46"/>
        <v>0</v>
      </c>
      <c r="Y99" s="624">
        <v>190.3125</v>
      </c>
      <c r="Z99" s="519">
        <v>0</v>
      </c>
      <c r="AA99" s="519">
        <v>0</v>
      </c>
      <c r="AB99" s="519">
        <v>0</v>
      </c>
      <c r="AC99" s="519">
        <v>0</v>
      </c>
      <c r="AD99" s="519">
        <v>0</v>
      </c>
      <c r="AE99" s="519">
        <v>0</v>
      </c>
      <c r="AF99" s="519">
        <v>0</v>
      </c>
      <c r="AG99" s="519">
        <v>0</v>
      </c>
      <c r="AH99" s="519">
        <v>0</v>
      </c>
      <c r="AI99" s="519">
        <v>0</v>
      </c>
      <c r="AJ99" s="519">
        <v>192.33333333333334</v>
      </c>
      <c r="AK99" s="519">
        <v>189.94444444444446</v>
      </c>
      <c r="AL99" s="519">
        <v>190.5</v>
      </c>
      <c r="AM99" s="519">
        <v>189</v>
      </c>
      <c r="AN99" s="519">
        <v>0</v>
      </c>
    </row>
    <row r="100" spans="1:40" x14ac:dyDescent="0.3">
      <c r="A100" s="489" t="s">
        <v>1451</v>
      </c>
      <c r="B100" s="489" t="s">
        <v>1452</v>
      </c>
      <c r="C100" s="489" t="s">
        <v>1453</v>
      </c>
      <c r="D100" s="489" t="s">
        <v>46</v>
      </c>
      <c r="E100" s="619">
        <v>48</v>
      </c>
      <c r="F100" s="624">
        <f t="shared" si="31"/>
        <v>182.10416666666666</v>
      </c>
      <c r="G100" s="519">
        <f t="shared" si="32"/>
        <v>166</v>
      </c>
      <c r="H100" s="519">
        <f t="shared" si="33"/>
        <v>168.125</v>
      </c>
      <c r="I100" s="519">
        <f t="shared" si="34"/>
        <v>168.125</v>
      </c>
      <c r="J100" s="519">
        <f t="shared" si="35"/>
        <v>202</v>
      </c>
      <c r="K100" s="519">
        <f t="shared" si="36"/>
        <v>202</v>
      </c>
      <c r="L100" s="519">
        <f t="shared" si="37"/>
        <v>202</v>
      </c>
      <c r="M100" s="519">
        <f t="shared" si="38"/>
        <v>202</v>
      </c>
      <c r="N100" s="519">
        <f t="shared" si="39"/>
        <v>202</v>
      </c>
      <c r="O100" s="519">
        <f t="shared" si="40"/>
        <v>174.73333333333332</v>
      </c>
      <c r="P100" s="519">
        <f t="shared" si="41"/>
        <v>174.73333333333332</v>
      </c>
      <c r="Q100" s="519">
        <f t="shared" si="42"/>
        <v>174.73333333333332</v>
      </c>
      <c r="R100" s="519">
        <f t="shared" si="43"/>
        <v>198.66666666666666</v>
      </c>
      <c r="S100" s="519">
        <f t="shared" si="44"/>
        <v>198.33333333333334</v>
      </c>
      <c r="T100" s="519">
        <f t="shared" si="45"/>
        <v>202.5</v>
      </c>
      <c r="U100" s="519">
        <f t="shared" si="46"/>
        <v>203.5</v>
      </c>
      <c r="Y100" s="624">
        <v>182.10416666666666</v>
      </c>
      <c r="Z100" s="519">
        <v>166</v>
      </c>
      <c r="AA100" s="519">
        <v>0</v>
      </c>
      <c r="AB100" s="519">
        <v>168.125</v>
      </c>
      <c r="AC100" s="519">
        <v>0</v>
      </c>
      <c r="AD100" s="519">
        <v>0</v>
      </c>
      <c r="AE100" s="519">
        <v>0</v>
      </c>
      <c r="AF100" s="519">
        <v>0</v>
      </c>
      <c r="AG100" s="519">
        <v>202</v>
      </c>
      <c r="AH100" s="519">
        <v>0</v>
      </c>
      <c r="AI100" s="519">
        <v>0</v>
      </c>
      <c r="AJ100" s="519">
        <v>174.73333333333332</v>
      </c>
      <c r="AK100" s="519">
        <v>198.66666666666666</v>
      </c>
      <c r="AL100" s="519">
        <v>198.33333333333334</v>
      </c>
      <c r="AM100" s="519">
        <v>202.5</v>
      </c>
      <c r="AN100" s="519">
        <v>203.5</v>
      </c>
    </row>
    <row r="101" spans="1:40" x14ac:dyDescent="0.3">
      <c r="A101" s="489" t="s">
        <v>1605</v>
      </c>
      <c r="B101" s="489" t="s">
        <v>1660</v>
      </c>
      <c r="C101" s="489" t="s">
        <v>435</v>
      </c>
      <c r="D101" s="489" t="s">
        <v>46</v>
      </c>
      <c r="E101" s="619">
        <v>47</v>
      </c>
      <c r="F101" s="624">
        <f t="shared" si="31"/>
        <v>148.91489361702128</v>
      </c>
      <c r="G101" s="519">
        <f t="shared" si="32"/>
        <v>132</v>
      </c>
      <c r="H101" s="519">
        <f t="shared" si="33"/>
        <v>132</v>
      </c>
      <c r="I101" s="519">
        <f t="shared" si="34"/>
        <v>132</v>
      </c>
      <c r="J101" s="519">
        <f t="shared" si="35"/>
        <v>126</v>
      </c>
      <c r="K101" s="519">
        <f t="shared" si="36"/>
        <v>126</v>
      </c>
      <c r="L101" s="519">
        <f t="shared" si="37"/>
        <v>126</v>
      </c>
      <c r="M101" s="519">
        <f t="shared" si="38"/>
        <v>155.5</v>
      </c>
      <c r="N101" s="519">
        <f t="shared" si="39"/>
        <v>145.25</v>
      </c>
      <c r="O101" s="519">
        <f t="shared" si="40"/>
        <v>136</v>
      </c>
      <c r="P101" s="519">
        <f t="shared" si="41"/>
        <v>136</v>
      </c>
      <c r="Q101" s="519">
        <f t="shared" si="42"/>
        <v>118.33333333333333</v>
      </c>
      <c r="R101" s="519">
        <f t="shared" si="43"/>
        <v>130.85714285714286</v>
      </c>
      <c r="S101" s="519">
        <f t="shared" si="44"/>
        <v>145.33333333333334</v>
      </c>
      <c r="T101" s="519">
        <f t="shared" si="45"/>
        <v>157.33333333333334</v>
      </c>
      <c r="U101" s="519">
        <f t="shared" si="46"/>
        <v>179</v>
      </c>
      <c r="Y101" s="624">
        <v>148.91489361702128</v>
      </c>
      <c r="Z101" s="519">
        <v>0</v>
      </c>
      <c r="AA101" s="519">
        <v>0</v>
      </c>
      <c r="AB101" s="519">
        <v>132</v>
      </c>
      <c r="AC101" s="519">
        <v>0</v>
      </c>
      <c r="AD101" s="519">
        <v>0</v>
      </c>
      <c r="AE101" s="519">
        <v>126</v>
      </c>
      <c r="AF101" s="519">
        <v>155.5</v>
      </c>
      <c r="AG101" s="519">
        <v>145.25</v>
      </c>
      <c r="AH101" s="519">
        <v>0</v>
      </c>
      <c r="AI101" s="519">
        <v>136</v>
      </c>
      <c r="AJ101" s="519">
        <v>118.33333333333333</v>
      </c>
      <c r="AK101" s="519">
        <v>130.85714285714286</v>
      </c>
      <c r="AL101" s="519">
        <v>145.33333333333334</v>
      </c>
      <c r="AM101" s="519">
        <v>157.33333333333334</v>
      </c>
      <c r="AN101" s="519">
        <v>179</v>
      </c>
    </row>
    <row r="102" spans="1:40" x14ac:dyDescent="0.3">
      <c r="A102" s="489" t="s">
        <v>1422</v>
      </c>
      <c r="B102" s="489" t="s">
        <v>1700</v>
      </c>
      <c r="C102" s="489" t="s">
        <v>1827</v>
      </c>
      <c r="D102" s="489" t="s">
        <v>141</v>
      </c>
      <c r="E102" s="619">
        <v>47</v>
      </c>
      <c r="F102" s="624">
        <f t="shared" si="31"/>
        <v>0</v>
      </c>
      <c r="G102" s="519">
        <f t="shared" si="32"/>
        <v>0</v>
      </c>
      <c r="H102" s="519">
        <f t="shared" si="33"/>
        <v>0</v>
      </c>
      <c r="I102" s="519">
        <f t="shared" si="34"/>
        <v>0</v>
      </c>
      <c r="J102" s="519">
        <f t="shared" si="35"/>
        <v>0</v>
      </c>
      <c r="K102" s="519">
        <f t="shared" si="36"/>
        <v>0</v>
      </c>
      <c r="L102" s="519">
        <f t="shared" si="37"/>
        <v>0</v>
      </c>
      <c r="M102" s="519">
        <f t="shared" si="38"/>
        <v>0</v>
      </c>
      <c r="N102" s="519">
        <f t="shared" si="39"/>
        <v>0</v>
      </c>
      <c r="O102" s="519">
        <f t="shared" si="40"/>
        <v>0</v>
      </c>
      <c r="P102" s="519">
        <f t="shared" si="41"/>
        <v>0</v>
      </c>
      <c r="Q102" s="519">
        <f t="shared" si="42"/>
        <v>0</v>
      </c>
      <c r="R102" s="519">
        <f t="shared" si="43"/>
        <v>0</v>
      </c>
      <c r="S102" s="519">
        <f t="shared" si="44"/>
        <v>0</v>
      </c>
      <c r="T102" s="519">
        <f t="shared" si="45"/>
        <v>0</v>
      </c>
      <c r="U102" s="519">
        <f t="shared" si="46"/>
        <v>0</v>
      </c>
      <c r="Y102" s="624">
        <v>0</v>
      </c>
      <c r="Z102" s="519">
        <v>0</v>
      </c>
      <c r="AA102" s="519">
        <v>0</v>
      </c>
      <c r="AB102" s="519">
        <v>0</v>
      </c>
      <c r="AC102" s="519">
        <v>0</v>
      </c>
      <c r="AD102" s="519">
        <v>0</v>
      </c>
      <c r="AE102" s="519">
        <v>0</v>
      </c>
      <c r="AF102" s="519">
        <v>0</v>
      </c>
      <c r="AG102" s="519">
        <v>0</v>
      </c>
      <c r="AH102" s="519">
        <v>0</v>
      </c>
      <c r="AI102" s="519">
        <v>0</v>
      </c>
      <c r="AJ102" s="519">
        <v>0</v>
      </c>
      <c r="AK102" s="519">
        <v>0</v>
      </c>
      <c r="AL102" s="519">
        <v>0</v>
      </c>
      <c r="AM102" s="519">
        <v>0</v>
      </c>
      <c r="AN102" s="519">
        <v>0</v>
      </c>
    </row>
    <row r="103" spans="1:40" x14ac:dyDescent="0.3">
      <c r="A103" s="489" t="s">
        <v>1605</v>
      </c>
      <c r="B103" s="489" t="s">
        <v>1661</v>
      </c>
      <c r="C103" s="489" t="s">
        <v>1828</v>
      </c>
      <c r="D103" s="489" t="s">
        <v>46</v>
      </c>
      <c r="E103" s="619">
        <v>46</v>
      </c>
      <c r="F103" s="624">
        <f t="shared" si="31"/>
        <v>121.30434782608695</v>
      </c>
      <c r="G103" s="519">
        <f t="shared" si="32"/>
        <v>127</v>
      </c>
      <c r="H103" s="519">
        <f t="shared" si="33"/>
        <v>127</v>
      </c>
      <c r="I103" s="519">
        <f t="shared" si="34"/>
        <v>127</v>
      </c>
      <c r="J103" s="519">
        <f t="shared" si="35"/>
        <v>134.75</v>
      </c>
      <c r="K103" s="519">
        <f t="shared" si="36"/>
        <v>150</v>
      </c>
      <c r="L103" s="519">
        <f t="shared" si="37"/>
        <v>118.28571428571429</v>
      </c>
      <c r="M103" s="519">
        <f t="shared" si="38"/>
        <v>121</v>
      </c>
      <c r="N103" s="519">
        <f t="shared" si="39"/>
        <v>115.57142857142857</v>
      </c>
      <c r="O103" s="519">
        <f t="shared" si="40"/>
        <v>0</v>
      </c>
      <c r="P103" s="519">
        <f t="shared" si="41"/>
        <v>0</v>
      </c>
      <c r="Q103" s="519">
        <f t="shared" si="42"/>
        <v>0</v>
      </c>
      <c r="R103" s="519">
        <f t="shared" si="43"/>
        <v>0</v>
      </c>
      <c r="S103" s="519">
        <f t="shared" si="44"/>
        <v>0</v>
      </c>
      <c r="T103" s="519">
        <f t="shared" si="45"/>
        <v>0</v>
      </c>
      <c r="U103" s="519">
        <f t="shared" si="46"/>
        <v>0</v>
      </c>
      <c r="Y103" s="624">
        <v>121.30434782608695</v>
      </c>
      <c r="Z103" s="519">
        <v>0</v>
      </c>
      <c r="AA103" s="519">
        <v>0</v>
      </c>
      <c r="AB103" s="519">
        <v>127</v>
      </c>
      <c r="AC103" s="519">
        <v>134.75</v>
      </c>
      <c r="AD103" s="519">
        <v>150</v>
      </c>
      <c r="AE103" s="519">
        <v>118.28571428571429</v>
      </c>
      <c r="AF103" s="519">
        <v>121</v>
      </c>
      <c r="AG103" s="519">
        <v>115.57142857142857</v>
      </c>
      <c r="AH103" s="519">
        <v>0</v>
      </c>
      <c r="AI103" s="519">
        <v>0</v>
      </c>
      <c r="AJ103" s="519">
        <v>0</v>
      </c>
      <c r="AK103" s="519">
        <v>0</v>
      </c>
      <c r="AL103" s="519">
        <v>0</v>
      </c>
      <c r="AM103" s="519">
        <v>0</v>
      </c>
      <c r="AN103" s="519">
        <v>0</v>
      </c>
    </row>
    <row r="104" spans="1:40" x14ac:dyDescent="0.3">
      <c r="A104" s="489" t="s">
        <v>1544</v>
      </c>
      <c r="B104" s="489" t="s">
        <v>1701</v>
      </c>
      <c r="C104" s="489" t="s">
        <v>1829</v>
      </c>
      <c r="D104" s="489" t="s">
        <v>46</v>
      </c>
      <c r="E104" s="619">
        <v>45</v>
      </c>
      <c r="F104" s="624">
        <f t="shared" si="31"/>
        <v>154.80000000000001</v>
      </c>
      <c r="G104" s="519">
        <f t="shared" si="32"/>
        <v>159</v>
      </c>
      <c r="H104" s="519">
        <f t="shared" si="33"/>
        <v>165</v>
      </c>
      <c r="I104" s="519">
        <f t="shared" si="34"/>
        <v>173.66666666666666</v>
      </c>
      <c r="J104" s="519">
        <f t="shared" si="35"/>
        <v>144.66666666666666</v>
      </c>
      <c r="K104" s="519">
        <f t="shared" si="36"/>
        <v>144.66666666666666</v>
      </c>
      <c r="L104" s="519">
        <f t="shared" si="37"/>
        <v>144.66666666666666</v>
      </c>
      <c r="M104" s="519">
        <f t="shared" si="38"/>
        <v>136.5</v>
      </c>
      <c r="N104" s="519">
        <f t="shared" si="39"/>
        <v>142.19999999999999</v>
      </c>
      <c r="O104" s="519">
        <f t="shared" si="40"/>
        <v>154.66666666666666</v>
      </c>
      <c r="P104" s="519">
        <f t="shared" si="41"/>
        <v>146.66666666666666</v>
      </c>
      <c r="Q104" s="519">
        <f t="shared" si="42"/>
        <v>139</v>
      </c>
      <c r="R104" s="519">
        <f t="shared" si="43"/>
        <v>161.5</v>
      </c>
      <c r="S104" s="519">
        <f t="shared" si="44"/>
        <v>159</v>
      </c>
      <c r="T104" s="519">
        <f t="shared" si="45"/>
        <v>159</v>
      </c>
      <c r="U104" s="519">
        <f t="shared" si="46"/>
        <v>159</v>
      </c>
      <c r="Y104" s="624">
        <v>154.80000000000001</v>
      </c>
      <c r="Z104" s="519">
        <v>159</v>
      </c>
      <c r="AA104" s="519">
        <v>165</v>
      </c>
      <c r="AB104" s="519">
        <v>173.66666666666666</v>
      </c>
      <c r="AC104" s="519">
        <v>0</v>
      </c>
      <c r="AD104" s="519">
        <v>0</v>
      </c>
      <c r="AE104" s="519">
        <v>144.66666666666666</v>
      </c>
      <c r="AF104" s="519">
        <v>136.5</v>
      </c>
      <c r="AG104" s="519">
        <v>142.19999999999999</v>
      </c>
      <c r="AH104" s="519">
        <v>154.66666666666666</v>
      </c>
      <c r="AI104" s="519">
        <v>146.66666666666666</v>
      </c>
      <c r="AJ104" s="519">
        <v>139</v>
      </c>
      <c r="AK104" s="519">
        <v>161.5</v>
      </c>
      <c r="AL104" s="519">
        <v>0</v>
      </c>
      <c r="AM104" s="519">
        <v>159</v>
      </c>
      <c r="AN104" s="519">
        <v>159</v>
      </c>
    </row>
    <row r="105" spans="1:40" x14ac:dyDescent="0.3">
      <c r="A105" s="489" t="s">
        <v>1414</v>
      </c>
      <c r="B105" s="489" t="s">
        <v>1702</v>
      </c>
      <c r="C105" s="489" t="s">
        <v>1830</v>
      </c>
      <c r="D105" s="489" t="s">
        <v>1937</v>
      </c>
      <c r="E105" s="619">
        <v>44</v>
      </c>
      <c r="F105" s="624">
        <f t="shared" si="31"/>
        <v>0</v>
      </c>
      <c r="G105" s="519">
        <f t="shared" si="32"/>
        <v>0</v>
      </c>
      <c r="H105" s="519">
        <f t="shared" si="33"/>
        <v>0</v>
      </c>
      <c r="I105" s="519">
        <f t="shared" si="34"/>
        <v>0</v>
      </c>
      <c r="J105" s="519">
        <f t="shared" si="35"/>
        <v>0</v>
      </c>
      <c r="K105" s="519">
        <f t="shared" si="36"/>
        <v>0</v>
      </c>
      <c r="L105" s="519">
        <f t="shared" si="37"/>
        <v>0</v>
      </c>
      <c r="M105" s="519">
        <f t="shared" si="38"/>
        <v>0</v>
      </c>
      <c r="N105" s="519">
        <f t="shared" si="39"/>
        <v>0</v>
      </c>
      <c r="O105" s="519">
        <f t="shared" si="40"/>
        <v>0</v>
      </c>
      <c r="P105" s="519">
        <f t="shared" si="41"/>
        <v>0</v>
      </c>
      <c r="Q105" s="519">
        <f t="shared" si="42"/>
        <v>0</v>
      </c>
      <c r="R105" s="519">
        <f t="shared" si="43"/>
        <v>0</v>
      </c>
      <c r="S105" s="519">
        <f t="shared" si="44"/>
        <v>0</v>
      </c>
      <c r="T105" s="519">
        <f t="shared" si="45"/>
        <v>0</v>
      </c>
      <c r="U105" s="519">
        <f t="shared" si="46"/>
        <v>0</v>
      </c>
      <c r="Y105" s="624">
        <v>0</v>
      </c>
      <c r="Z105" s="519">
        <v>0</v>
      </c>
      <c r="AA105" s="519">
        <v>0</v>
      </c>
      <c r="AB105" s="519">
        <v>0</v>
      </c>
      <c r="AC105" s="519">
        <v>0</v>
      </c>
      <c r="AD105" s="519">
        <v>0</v>
      </c>
      <c r="AE105" s="519">
        <v>0</v>
      </c>
      <c r="AF105" s="519">
        <v>0</v>
      </c>
      <c r="AG105" s="519">
        <v>0</v>
      </c>
      <c r="AH105" s="519">
        <v>0</v>
      </c>
      <c r="AI105" s="519">
        <v>0</v>
      </c>
      <c r="AJ105" s="519">
        <v>0</v>
      </c>
      <c r="AK105" s="519">
        <v>0</v>
      </c>
      <c r="AL105" s="519">
        <v>0</v>
      </c>
      <c r="AM105" s="519">
        <v>0</v>
      </c>
      <c r="AN105" s="519">
        <v>0</v>
      </c>
    </row>
    <row r="106" spans="1:40" x14ac:dyDescent="0.3">
      <c r="A106" s="489" t="s">
        <v>1414</v>
      </c>
      <c r="B106" s="489" t="s">
        <v>1662</v>
      </c>
      <c r="C106" s="489" t="s">
        <v>1831</v>
      </c>
      <c r="D106" s="489" t="s">
        <v>46</v>
      </c>
      <c r="E106" s="619">
        <v>44</v>
      </c>
      <c r="F106" s="624">
        <f t="shared" si="31"/>
        <v>123.95454545454545</v>
      </c>
      <c r="G106" s="519">
        <f t="shared" si="32"/>
        <v>144</v>
      </c>
      <c r="H106" s="519">
        <f t="shared" si="33"/>
        <v>131.28571428571428</v>
      </c>
      <c r="I106" s="519">
        <f t="shared" si="34"/>
        <v>120.5</v>
      </c>
      <c r="J106" s="519">
        <f t="shared" si="35"/>
        <v>137</v>
      </c>
      <c r="K106" s="519">
        <f t="shared" si="36"/>
        <v>137</v>
      </c>
      <c r="L106" s="519">
        <f t="shared" si="37"/>
        <v>124.64705882352941</v>
      </c>
      <c r="M106" s="519">
        <f t="shared" si="38"/>
        <v>115</v>
      </c>
      <c r="N106" s="519">
        <f t="shared" si="39"/>
        <v>111</v>
      </c>
      <c r="O106" s="519">
        <f t="shared" si="40"/>
        <v>114</v>
      </c>
      <c r="P106" s="519">
        <f t="shared" si="41"/>
        <v>109</v>
      </c>
      <c r="Q106" s="519">
        <f t="shared" si="42"/>
        <v>0</v>
      </c>
      <c r="R106" s="519">
        <f t="shared" si="43"/>
        <v>0</v>
      </c>
      <c r="S106" s="519">
        <f t="shared" si="44"/>
        <v>0</v>
      </c>
      <c r="T106" s="519">
        <f t="shared" si="45"/>
        <v>0</v>
      </c>
      <c r="U106" s="519">
        <f t="shared" si="46"/>
        <v>0</v>
      </c>
      <c r="Y106" s="624">
        <v>123.95454545454545</v>
      </c>
      <c r="Z106" s="519">
        <v>144</v>
      </c>
      <c r="AA106" s="519">
        <v>131.28571428571428</v>
      </c>
      <c r="AB106" s="519">
        <v>120.5</v>
      </c>
      <c r="AC106" s="519">
        <v>137</v>
      </c>
      <c r="AD106" s="519">
        <v>137</v>
      </c>
      <c r="AE106" s="519">
        <v>124.64705882352941</v>
      </c>
      <c r="AF106" s="519">
        <v>115</v>
      </c>
      <c r="AG106" s="519">
        <v>111</v>
      </c>
      <c r="AH106" s="519">
        <v>114</v>
      </c>
      <c r="AI106" s="519">
        <v>109</v>
      </c>
      <c r="AJ106" s="519">
        <v>0</v>
      </c>
      <c r="AK106" s="519">
        <v>0</v>
      </c>
      <c r="AL106" s="519">
        <v>0</v>
      </c>
      <c r="AM106" s="519">
        <v>0</v>
      </c>
      <c r="AN106" s="519">
        <v>0</v>
      </c>
    </row>
    <row r="107" spans="1:40" x14ac:dyDescent="0.3">
      <c r="A107" s="489" t="s">
        <v>1607</v>
      </c>
      <c r="B107" s="489" t="s">
        <v>1703</v>
      </c>
      <c r="C107" s="489" t="s">
        <v>1832</v>
      </c>
      <c r="D107" s="489" t="s">
        <v>46</v>
      </c>
      <c r="E107" s="619">
        <v>43</v>
      </c>
      <c r="F107" s="624">
        <f t="shared" si="31"/>
        <v>89.093023255813947</v>
      </c>
      <c r="G107" s="519">
        <f t="shared" si="32"/>
        <v>92.5</v>
      </c>
      <c r="H107" s="519">
        <f t="shared" si="33"/>
        <v>92.5</v>
      </c>
      <c r="I107" s="519">
        <f t="shared" si="34"/>
        <v>92.5</v>
      </c>
      <c r="J107" s="519">
        <f t="shared" si="35"/>
        <v>92.5</v>
      </c>
      <c r="K107" s="519">
        <f t="shared" si="36"/>
        <v>92.5</v>
      </c>
      <c r="L107" s="519">
        <f t="shared" si="37"/>
        <v>92.5</v>
      </c>
      <c r="M107" s="519">
        <f t="shared" si="38"/>
        <v>92.5</v>
      </c>
      <c r="N107" s="519">
        <f t="shared" si="39"/>
        <v>92.5</v>
      </c>
      <c r="O107" s="519">
        <f t="shared" si="40"/>
        <v>92.5</v>
      </c>
      <c r="P107" s="519">
        <f t="shared" si="41"/>
        <v>92.5</v>
      </c>
      <c r="Q107" s="519">
        <f t="shared" si="42"/>
        <v>88</v>
      </c>
      <c r="R107" s="519">
        <f t="shared" si="43"/>
        <v>88.5</v>
      </c>
      <c r="S107" s="519">
        <f t="shared" si="44"/>
        <v>89</v>
      </c>
      <c r="T107" s="519">
        <f t="shared" si="45"/>
        <v>89</v>
      </c>
      <c r="U107" s="519">
        <f t="shared" si="46"/>
        <v>89</v>
      </c>
      <c r="Y107" s="624">
        <v>89.093023255813947</v>
      </c>
      <c r="Z107" s="519">
        <v>0</v>
      </c>
      <c r="AA107" s="519">
        <v>0</v>
      </c>
      <c r="AB107" s="519">
        <v>0</v>
      </c>
      <c r="AC107" s="519">
        <v>0</v>
      </c>
      <c r="AD107" s="519">
        <v>0</v>
      </c>
      <c r="AE107" s="519">
        <v>0</v>
      </c>
      <c r="AF107" s="519">
        <v>0</v>
      </c>
      <c r="AG107" s="519">
        <v>0</v>
      </c>
      <c r="AH107" s="519">
        <v>0</v>
      </c>
      <c r="AI107" s="519">
        <v>92.5</v>
      </c>
      <c r="AJ107" s="519">
        <v>88</v>
      </c>
      <c r="AK107" s="519">
        <v>88.5</v>
      </c>
      <c r="AL107" s="519">
        <v>89</v>
      </c>
      <c r="AM107" s="519">
        <v>89</v>
      </c>
      <c r="AN107" s="519">
        <v>89</v>
      </c>
    </row>
    <row r="108" spans="1:40" x14ac:dyDescent="0.3">
      <c r="A108" s="489" t="s">
        <v>1451</v>
      </c>
      <c r="B108" s="489" t="s">
        <v>1704</v>
      </c>
      <c r="C108" s="489" t="s">
        <v>1833</v>
      </c>
      <c r="D108" s="489" t="s">
        <v>46</v>
      </c>
      <c r="E108" s="619">
        <v>42</v>
      </c>
      <c r="F108" s="624">
        <f t="shared" si="31"/>
        <v>137.14285714285714</v>
      </c>
      <c r="G108" s="519">
        <f t="shared" si="32"/>
        <v>138.5</v>
      </c>
      <c r="H108" s="519">
        <f t="shared" si="33"/>
        <v>143</v>
      </c>
      <c r="I108" s="519">
        <f t="shared" si="34"/>
        <v>149</v>
      </c>
      <c r="J108" s="519">
        <f t="shared" si="35"/>
        <v>124</v>
      </c>
      <c r="K108" s="519">
        <f t="shared" si="36"/>
        <v>135.42857142857142</v>
      </c>
      <c r="L108" s="519">
        <f t="shared" si="37"/>
        <v>135.42857142857142</v>
      </c>
      <c r="M108" s="519">
        <f t="shared" si="38"/>
        <v>140.25</v>
      </c>
      <c r="N108" s="519">
        <f t="shared" si="39"/>
        <v>133.5</v>
      </c>
      <c r="O108" s="519">
        <f t="shared" si="40"/>
        <v>129.875</v>
      </c>
      <c r="P108" s="519">
        <f t="shared" si="41"/>
        <v>136.5</v>
      </c>
      <c r="Q108" s="519">
        <f t="shared" si="42"/>
        <v>134</v>
      </c>
      <c r="R108" s="519">
        <f t="shared" si="43"/>
        <v>104</v>
      </c>
      <c r="S108" s="519">
        <f t="shared" si="44"/>
        <v>164</v>
      </c>
      <c r="T108" s="519">
        <f t="shared" si="45"/>
        <v>161</v>
      </c>
      <c r="U108" s="519">
        <f t="shared" si="46"/>
        <v>148</v>
      </c>
      <c r="Y108" s="624">
        <v>137.14285714285714</v>
      </c>
      <c r="Z108" s="519">
        <v>138.5</v>
      </c>
      <c r="AA108" s="519">
        <v>143</v>
      </c>
      <c r="AB108" s="519">
        <v>149</v>
      </c>
      <c r="AC108" s="519">
        <v>124</v>
      </c>
      <c r="AD108" s="519">
        <v>0</v>
      </c>
      <c r="AE108" s="519">
        <v>135.42857142857142</v>
      </c>
      <c r="AF108" s="519">
        <v>140.25</v>
      </c>
      <c r="AG108" s="519">
        <v>133.5</v>
      </c>
      <c r="AH108" s="519">
        <v>129.875</v>
      </c>
      <c r="AI108" s="519">
        <v>136.5</v>
      </c>
      <c r="AJ108" s="519">
        <v>134</v>
      </c>
      <c r="AK108" s="519">
        <v>104</v>
      </c>
      <c r="AL108" s="519">
        <v>164</v>
      </c>
      <c r="AM108" s="519">
        <v>161</v>
      </c>
      <c r="AN108" s="519">
        <v>148</v>
      </c>
    </row>
    <row r="109" spans="1:40" x14ac:dyDescent="0.3">
      <c r="A109" s="489" t="s">
        <v>1572</v>
      </c>
      <c r="B109" s="489" t="s">
        <v>1573</v>
      </c>
      <c r="C109" s="489" t="s">
        <v>1834</v>
      </c>
      <c r="D109" s="489" t="s">
        <v>46</v>
      </c>
      <c r="E109" s="619">
        <v>42</v>
      </c>
      <c r="F109" s="624">
        <f t="shared" si="31"/>
        <v>164.07142857142858</v>
      </c>
      <c r="G109" s="519">
        <f t="shared" si="32"/>
        <v>163</v>
      </c>
      <c r="H109" s="519">
        <f t="shared" si="33"/>
        <v>163</v>
      </c>
      <c r="I109" s="519">
        <f t="shared" si="34"/>
        <v>163</v>
      </c>
      <c r="J109" s="519">
        <f t="shared" si="35"/>
        <v>163</v>
      </c>
      <c r="K109" s="519">
        <f t="shared" si="36"/>
        <v>163</v>
      </c>
      <c r="L109" s="519">
        <f t="shared" si="37"/>
        <v>163</v>
      </c>
      <c r="M109" s="519">
        <f t="shared" si="38"/>
        <v>163</v>
      </c>
      <c r="N109" s="519">
        <f t="shared" si="39"/>
        <v>166.66666666666666</v>
      </c>
      <c r="O109" s="519">
        <f t="shared" si="40"/>
        <v>166.66666666666666</v>
      </c>
      <c r="P109" s="519">
        <f t="shared" si="41"/>
        <v>166.66666666666666</v>
      </c>
      <c r="Q109" s="519">
        <f t="shared" si="42"/>
        <v>195</v>
      </c>
      <c r="R109" s="519">
        <f t="shared" si="43"/>
        <v>166</v>
      </c>
      <c r="S109" s="519">
        <f t="shared" si="44"/>
        <v>182</v>
      </c>
      <c r="T109" s="519">
        <f t="shared" si="45"/>
        <v>180</v>
      </c>
      <c r="U109" s="519">
        <f t="shared" si="46"/>
        <v>193</v>
      </c>
      <c r="Y109" s="624">
        <v>164.07142857142858</v>
      </c>
      <c r="Z109" s="519">
        <v>0</v>
      </c>
      <c r="AA109" s="519">
        <v>0</v>
      </c>
      <c r="AB109" s="519">
        <v>0</v>
      </c>
      <c r="AC109" s="519">
        <v>0</v>
      </c>
      <c r="AD109" s="519">
        <v>0</v>
      </c>
      <c r="AE109" s="519">
        <v>0</v>
      </c>
      <c r="AF109" s="519">
        <v>163</v>
      </c>
      <c r="AG109" s="519">
        <v>0</v>
      </c>
      <c r="AH109" s="519">
        <v>0</v>
      </c>
      <c r="AI109" s="519">
        <v>166.66666666666666</v>
      </c>
      <c r="AJ109" s="519">
        <v>195</v>
      </c>
      <c r="AK109" s="519">
        <v>166</v>
      </c>
      <c r="AL109" s="519">
        <v>182</v>
      </c>
      <c r="AM109" s="519">
        <v>180</v>
      </c>
      <c r="AN109" s="519">
        <v>193</v>
      </c>
    </row>
    <row r="110" spans="1:40" x14ac:dyDescent="0.3">
      <c r="A110" s="489" t="s">
        <v>1451</v>
      </c>
      <c r="B110" s="489" t="s">
        <v>1705</v>
      </c>
      <c r="C110" s="489" t="s">
        <v>1835</v>
      </c>
      <c r="D110" s="489" t="s">
        <v>46</v>
      </c>
      <c r="E110" s="619">
        <v>42</v>
      </c>
      <c r="F110" s="624">
        <f t="shared" si="31"/>
        <v>131.83333333333334</v>
      </c>
      <c r="G110" s="519">
        <f t="shared" si="32"/>
        <v>189</v>
      </c>
      <c r="H110" s="519">
        <f t="shared" si="33"/>
        <v>157</v>
      </c>
      <c r="I110" s="519">
        <f t="shared" si="34"/>
        <v>153</v>
      </c>
      <c r="J110" s="519">
        <f t="shared" si="35"/>
        <v>159</v>
      </c>
      <c r="K110" s="519">
        <f t="shared" si="36"/>
        <v>170</v>
      </c>
      <c r="L110" s="519">
        <f t="shared" si="37"/>
        <v>170</v>
      </c>
      <c r="M110" s="519">
        <f t="shared" si="38"/>
        <v>129.61538461538461</v>
      </c>
      <c r="N110" s="519">
        <f t="shared" si="39"/>
        <v>119</v>
      </c>
      <c r="O110" s="519">
        <f t="shared" si="40"/>
        <v>142</v>
      </c>
      <c r="P110" s="519">
        <f t="shared" si="41"/>
        <v>109</v>
      </c>
      <c r="Q110" s="519">
        <f t="shared" si="42"/>
        <v>109</v>
      </c>
      <c r="R110" s="519">
        <f t="shared" si="43"/>
        <v>109</v>
      </c>
      <c r="S110" s="519">
        <f t="shared" si="44"/>
        <v>137</v>
      </c>
      <c r="T110" s="519">
        <f t="shared" si="45"/>
        <v>0</v>
      </c>
      <c r="U110" s="519">
        <f t="shared" si="46"/>
        <v>0</v>
      </c>
      <c r="Y110" s="624">
        <v>131.83333333333334</v>
      </c>
      <c r="Z110" s="519">
        <v>189</v>
      </c>
      <c r="AA110" s="519">
        <v>157</v>
      </c>
      <c r="AB110" s="519">
        <v>153</v>
      </c>
      <c r="AC110" s="519">
        <v>159</v>
      </c>
      <c r="AD110" s="519">
        <v>0</v>
      </c>
      <c r="AE110" s="519">
        <v>170</v>
      </c>
      <c r="AF110" s="519">
        <v>129.61538461538461</v>
      </c>
      <c r="AG110" s="519">
        <v>119</v>
      </c>
      <c r="AH110" s="519">
        <v>142</v>
      </c>
      <c r="AI110" s="519">
        <v>109</v>
      </c>
      <c r="AJ110" s="519">
        <v>109</v>
      </c>
      <c r="AK110" s="519">
        <v>109</v>
      </c>
      <c r="AL110" s="519">
        <v>137</v>
      </c>
      <c r="AM110" s="519">
        <v>0</v>
      </c>
      <c r="AN110" s="519">
        <v>0</v>
      </c>
    </row>
    <row r="111" spans="1:40" x14ac:dyDescent="0.3">
      <c r="A111" s="489" t="s">
        <v>1414</v>
      </c>
      <c r="B111" s="489" t="s">
        <v>1706</v>
      </c>
      <c r="C111" s="489" t="s">
        <v>1836</v>
      </c>
      <c r="D111" s="489" t="s">
        <v>46</v>
      </c>
      <c r="E111" s="619">
        <v>42</v>
      </c>
      <c r="F111" s="624">
        <f t="shared" si="31"/>
        <v>112.71428571428571</v>
      </c>
      <c r="G111" s="519">
        <f t="shared" si="32"/>
        <v>114</v>
      </c>
      <c r="H111" s="519">
        <f t="shared" si="33"/>
        <v>114</v>
      </c>
      <c r="I111" s="519">
        <f t="shared" si="34"/>
        <v>114</v>
      </c>
      <c r="J111" s="519">
        <f t="shared" si="35"/>
        <v>112</v>
      </c>
      <c r="K111" s="519">
        <f t="shared" si="36"/>
        <v>112.75</v>
      </c>
      <c r="L111" s="519">
        <f t="shared" si="37"/>
        <v>112.75</v>
      </c>
      <c r="M111" s="519">
        <f t="shared" si="38"/>
        <v>113.16666666666667</v>
      </c>
      <c r="N111" s="519">
        <f t="shared" si="39"/>
        <v>115.33333333333333</v>
      </c>
      <c r="O111" s="519">
        <f t="shared" si="40"/>
        <v>113.66666666666667</v>
      </c>
      <c r="P111" s="519">
        <f t="shared" si="41"/>
        <v>112.09090909090909</v>
      </c>
      <c r="Q111" s="519">
        <f t="shared" si="42"/>
        <v>109.8</v>
      </c>
      <c r="R111" s="519">
        <f t="shared" si="43"/>
        <v>0</v>
      </c>
      <c r="S111" s="519">
        <f t="shared" si="44"/>
        <v>0</v>
      </c>
      <c r="T111" s="519">
        <f t="shared" si="45"/>
        <v>0</v>
      </c>
      <c r="U111" s="519">
        <f t="shared" si="46"/>
        <v>0</v>
      </c>
      <c r="Y111" s="624">
        <v>112.71428571428571</v>
      </c>
      <c r="Z111" s="519">
        <v>0</v>
      </c>
      <c r="AA111" s="519">
        <v>0</v>
      </c>
      <c r="AB111" s="519">
        <v>114</v>
      </c>
      <c r="AC111" s="519">
        <v>112</v>
      </c>
      <c r="AD111" s="519">
        <v>0</v>
      </c>
      <c r="AE111" s="519">
        <v>112.75</v>
      </c>
      <c r="AF111" s="519">
        <v>113.16666666666667</v>
      </c>
      <c r="AG111" s="519">
        <v>115.33333333333333</v>
      </c>
      <c r="AH111" s="519">
        <v>113.66666666666667</v>
      </c>
      <c r="AI111" s="519">
        <v>112.09090909090909</v>
      </c>
      <c r="AJ111" s="519">
        <v>109.8</v>
      </c>
      <c r="AK111" s="519">
        <v>0</v>
      </c>
      <c r="AL111" s="519">
        <v>0</v>
      </c>
      <c r="AM111" s="519">
        <v>0</v>
      </c>
      <c r="AN111" s="519">
        <v>0</v>
      </c>
    </row>
    <row r="112" spans="1:40" x14ac:dyDescent="0.3">
      <c r="A112" s="489" t="s">
        <v>1414</v>
      </c>
      <c r="B112" s="489" t="s">
        <v>1702</v>
      </c>
      <c r="C112" s="489" t="s">
        <v>1830</v>
      </c>
      <c r="D112" s="489" t="s">
        <v>1930</v>
      </c>
      <c r="E112" s="619">
        <v>42</v>
      </c>
      <c r="F112" s="624">
        <f t="shared" si="31"/>
        <v>40.928571428571431</v>
      </c>
      <c r="G112" s="519">
        <f t="shared" si="32"/>
        <v>42.2</v>
      </c>
      <c r="H112" s="519">
        <f t="shared" si="33"/>
        <v>40.9</v>
      </c>
      <c r="I112" s="519">
        <f t="shared" si="34"/>
        <v>38.857142857142854</v>
      </c>
      <c r="J112" s="519">
        <f t="shared" si="35"/>
        <v>41.333333333333336</v>
      </c>
      <c r="K112" s="519">
        <f t="shared" si="36"/>
        <v>40</v>
      </c>
      <c r="L112" s="519">
        <f t="shared" si="37"/>
        <v>41</v>
      </c>
      <c r="M112" s="519">
        <f t="shared" si="38"/>
        <v>0</v>
      </c>
      <c r="N112" s="519">
        <f t="shared" si="39"/>
        <v>0</v>
      </c>
      <c r="O112" s="519">
        <f t="shared" si="40"/>
        <v>0</v>
      </c>
      <c r="P112" s="519">
        <f t="shared" si="41"/>
        <v>0</v>
      </c>
      <c r="Q112" s="519">
        <f t="shared" si="42"/>
        <v>0</v>
      </c>
      <c r="R112" s="519">
        <f t="shared" si="43"/>
        <v>0</v>
      </c>
      <c r="S112" s="519">
        <f t="shared" si="44"/>
        <v>0</v>
      </c>
      <c r="T112" s="519">
        <f t="shared" si="45"/>
        <v>0</v>
      </c>
      <c r="U112" s="519">
        <f t="shared" si="46"/>
        <v>0</v>
      </c>
      <c r="Y112" s="624">
        <v>40.928571428571431</v>
      </c>
      <c r="Z112" s="519">
        <v>42.2</v>
      </c>
      <c r="AA112" s="519">
        <v>40.9</v>
      </c>
      <c r="AB112" s="519">
        <v>38.857142857142854</v>
      </c>
      <c r="AC112" s="519">
        <v>41.333333333333336</v>
      </c>
      <c r="AD112" s="519">
        <v>40</v>
      </c>
      <c r="AE112" s="519">
        <v>41</v>
      </c>
      <c r="AF112" s="519">
        <v>0</v>
      </c>
      <c r="AG112" s="519">
        <v>0</v>
      </c>
      <c r="AH112" s="519">
        <v>0</v>
      </c>
      <c r="AI112" s="519">
        <v>0</v>
      </c>
      <c r="AJ112" s="519">
        <v>0</v>
      </c>
      <c r="AK112" s="519">
        <v>0</v>
      </c>
      <c r="AL112" s="519">
        <v>0</v>
      </c>
      <c r="AM112" s="519">
        <v>0</v>
      </c>
      <c r="AN112" s="519">
        <v>0</v>
      </c>
    </row>
    <row r="113" spans="1:40" x14ac:dyDescent="0.3">
      <c r="A113" s="489" t="s">
        <v>1561</v>
      </c>
      <c r="B113" s="489" t="s">
        <v>1562</v>
      </c>
      <c r="C113" s="489" t="s">
        <v>1563</v>
      </c>
      <c r="D113" s="489" t="s">
        <v>1936</v>
      </c>
      <c r="E113" s="619">
        <v>42</v>
      </c>
      <c r="F113" s="624">
        <f t="shared" si="31"/>
        <v>0</v>
      </c>
      <c r="G113" s="519">
        <f t="shared" si="32"/>
        <v>0</v>
      </c>
      <c r="H113" s="519">
        <f t="shared" si="33"/>
        <v>0</v>
      </c>
      <c r="I113" s="519">
        <f t="shared" si="34"/>
        <v>0</v>
      </c>
      <c r="J113" s="519">
        <f t="shared" si="35"/>
        <v>0</v>
      </c>
      <c r="K113" s="519">
        <f t="shared" si="36"/>
        <v>0</v>
      </c>
      <c r="L113" s="519">
        <f t="shared" si="37"/>
        <v>0</v>
      </c>
      <c r="M113" s="519">
        <f t="shared" si="38"/>
        <v>0</v>
      </c>
      <c r="N113" s="519">
        <f t="shared" si="39"/>
        <v>0</v>
      </c>
      <c r="O113" s="519">
        <f t="shared" si="40"/>
        <v>0</v>
      </c>
      <c r="P113" s="519">
        <f t="shared" si="41"/>
        <v>0</v>
      </c>
      <c r="Q113" s="519">
        <f t="shared" si="42"/>
        <v>0</v>
      </c>
      <c r="R113" s="519">
        <f t="shared" si="43"/>
        <v>0</v>
      </c>
      <c r="S113" s="519">
        <f t="shared" si="44"/>
        <v>0</v>
      </c>
      <c r="T113" s="519">
        <f t="shared" si="45"/>
        <v>0</v>
      </c>
      <c r="U113" s="519">
        <f t="shared" si="46"/>
        <v>0</v>
      </c>
      <c r="Y113" s="624">
        <v>0</v>
      </c>
      <c r="Z113" s="519">
        <v>0</v>
      </c>
      <c r="AA113" s="519">
        <v>0</v>
      </c>
      <c r="AB113" s="519">
        <v>0</v>
      </c>
      <c r="AC113" s="519">
        <v>0</v>
      </c>
      <c r="AD113" s="519">
        <v>0</v>
      </c>
      <c r="AE113" s="519">
        <v>0</v>
      </c>
      <c r="AF113" s="519">
        <v>0</v>
      </c>
      <c r="AG113" s="519">
        <v>0</v>
      </c>
      <c r="AH113" s="519">
        <v>0</v>
      </c>
      <c r="AI113" s="519">
        <v>0</v>
      </c>
      <c r="AJ113" s="519">
        <v>0</v>
      </c>
      <c r="AK113" s="519">
        <v>0</v>
      </c>
      <c r="AL113" s="519">
        <v>0</v>
      </c>
      <c r="AM113" s="519">
        <v>0</v>
      </c>
      <c r="AN113" s="519">
        <v>0</v>
      </c>
    </row>
    <row r="114" spans="1:40" x14ac:dyDescent="0.3">
      <c r="A114" s="489" t="s">
        <v>1414</v>
      </c>
      <c r="B114" s="489" t="s">
        <v>1707</v>
      </c>
      <c r="C114" s="489" t="s">
        <v>1837</v>
      </c>
      <c r="D114" s="489" t="s">
        <v>46</v>
      </c>
      <c r="E114" s="619">
        <v>41</v>
      </c>
      <c r="F114" s="624"/>
      <c r="G114" s="519"/>
      <c r="H114" s="519"/>
      <c r="I114" s="519"/>
      <c r="J114" s="519"/>
      <c r="K114" s="519"/>
      <c r="L114" s="519"/>
      <c r="M114" s="519"/>
      <c r="N114" s="519"/>
      <c r="O114" s="519"/>
      <c r="P114" s="519"/>
      <c r="Q114" s="519"/>
      <c r="R114" s="519"/>
      <c r="S114" s="519"/>
      <c r="T114" s="519"/>
      <c r="U114" s="519"/>
      <c r="Y114" s="624">
        <v>116.78048780487805</v>
      </c>
      <c r="Z114" s="519">
        <v>0</v>
      </c>
      <c r="AA114" s="519">
        <v>119</v>
      </c>
      <c r="AB114" s="519">
        <v>0</v>
      </c>
      <c r="AC114" s="519">
        <v>126</v>
      </c>
      <c r="AD114" s="519">
        <v>112</v>
      </c>
      <c r="AE114" s="519">
        <v>111</v>
      </c>
      <c r="AF114" s="519">
        <v>110.66666666666667</v>
      </c>
      <c r="AG114" s="519">
        <v>117</v>
      </c>
      <c r="AH114" s="519">
        <v>112.75</v>
      </c>
      <c r="AI114" s="519">
        <v>103.57142857142857</v>
      </c>
      <c r="AJ114" s="519">
        <v>106.5</v>
      </c>
      <c r="AK114" s="519">
        <v>127.33333333333333</v>
      </c>
      <c r="AL114" s="519">
        <v>113.5</v>
      </c>
      <c r="AM114" s="519">
        <v>132</v>
      </c>
      <c r="AN114" s="519">
        <v>148</v>
      </c>
    </row>
    <row r="115" spans="1:40" x14ac:dyDescent="0.3">
      <c r="A115" s="489" t="s">
        <v>1426</v>
      </c>
      <c r="B115" s="489" t="s">
        <v>1708</v>
      </c>
      <c r="C115" s="489" t="s">
        <v>1708</v>
      </c>
      <c r="D115" s="489" t="s">
        <v>1938</v>
      </c>
      <c r="E115" s="619">
        <v>41</v>
      </c>
      <c r="F115" s="624">
        <f t="shared" si="31"/>
        <v>0</v>
      </c>
      <c r="G115" s="519">
        <f t="shared" si="32"/>
        <v>0</v>
      </c>
      <c r="H115" s="519">
        <f t="shared" si="33"/>
        <v>0</v>
      </c>
      <c r="I115" s="519">
        <f t="shared" si="34"/>
        <v>0</v>
      </c>
      <c r="J115" s="519">
        <f t="shared" si="35"/>
        <v>0</v>
      </c>
      <c r="K115" s="519">
        <f t="shared" si="36"/>
        <v>0</v>
      </c>
      <c r="L115" s="519">
        <f t="shared" si="37"/>
        <v>0</v>
      </c>
      <c r="M115" s="519">
        <f t="shared" si="38"/>
        <v>0</v>
      </c>
      <c r="N115" s="519">
        <f t="shared" si="39"/>
        <v>0</v>
      </c>
      <c r="O115" s="519">
        <f t="shared" si="40"/>
        <v>0</v>
      </c>
      <c r="P115" s="519">
        <f t="shared" si="41"/>
        <v>0</v>
      </c>
      <c r="Q115" s="519">
        <f t="shared" si="42"/>
        <v>0</v>
      </c>
      <c r="R115" s="519">
        <f t="shared" si="43"/>
        <v>0</v>
      </c>
      <c r="S115" s="519">
        <f t="shared" si="44"/>
        <v>0</v>
      </c>
      <c r="T115" s="519">
        <f t="shared" si="45"/>
        <v>0</v>
      </c>
      <c r="U115" s="519">
        <f t="shared" si="46"/>
        <v>0</v>
      </c>
      <c r="Y115" s="624">
        <v>0</v>
      </c>
      <c r="Z115" s="519">
        <v>0</v>
      </c>
      <c r="AA115" s="519">
        <v>0</v>
      </c>
      <c r="AB115" s="519">
        <v>0</v>
      </c>
      <c r="AC115" s="519">
        <v>0</v>
      </c>
      <c r="AD115" s="519">
        <v>0</v>
      </c>
      <c r="AE115" s="519">
        <v>0</v>
      </c>
      <c r="AF115" s="519">
        <v>0</v>
      </c>
      <c r="AG115" s="519">
        <v>0</v>
      </c>
      <c r="AH115" s="519">
        <v>0</v>
      </c>
      <c r="AI115" s="519">
        <v>0</v>
      </c>
      <c r="AJ115" s="519">
        <v>0</v>
      </c>
      <c r="AK115" s="519">
        <v>0</v>
      </c>
      <c r="AL115" s="519">
        <v>0</v>
      </c>
      <c r="AM115" s="519">
        <v>0</v>
      </c>
      <c r="AN115" s="519">
        <v>0</v>
      </c>
    </row>
    <row r="116" spans="1:40" x14ac:dyDescent="0.3">
      <c r="A116" s="489" t="s">
        <v>1422</v>
      </c>
      <c r="B116" s="489" t="s">
        <v>1423</v>
      </c>
      <c r="C116" s="489" t="s">
        <v>1424</v>
      </c>
      <c r="D116" s="489" t="s">
        <v>45</v>
      </c>
      <c r="E116" s="619">
        <v>40</v>
      </c>
      <c r="F116" s="624">
        <f t="shared" si="31"/>
        <v>148.25</v>
      </c>
      <c r="G116" s="519">
        <f t="shared" si="32"/>
        <v>146.92307692307693</v>
      </c>
      <c r="H116" s="519">
        <f t="shared" si="33"/>
        <v>146.92307692307693</v>
      </c>
      <c r="I116" s="519">
        <f t="shared" si="34"/>
        <v>146.92307692307693</v>
      </c>
      <c r="J116" s="519">
        <f t="shared" si="35"/>
        <v>143.53333333333333</v>
      </c>
      <c r="K116" s="519">
        <f t="shared" si="36"/>
        <v>160</v>
      </c>
      <c r="L116" s="519">
        <f t="shared" si="37"/>
        <v>166.16666666666666</v>
      </c>
      <c r="M116" s="519">
        <f t="shared" si="38"/>
        <v>125.5</v>
      </c>
      <c r="N116" s="519">
        <f t="shared" si="39"/>
        <v>160</v>
      </c>
      <c r="O116" s="519">
        <f t="shared" si="40"/>
        <v>160</v>
      </c>
      <c r="P116" s="519">
        <f t="shared" si="41"/>
        <v>139</v>
      </c>
      <c r="Q116" s="519">
        <f t="shared" si="42"/>
        <v>139</v>
      </c>
      <c r="R116" s="519">
        <f t="shared" si="43"/>
        <v>139</v>
      </c>
      <c r="S116" s="519">
        <f t="shared" si="44"/>
        <v>0</v>
      </c>
      <c r="T116" s="519">
        <f t="shared" si="45"/>
        <v>0</v>
      </c>
      <c r="U116" s="519">
        <f t="shared" si="46"/>
        <v>0</v>
      </c>
      <c r="Y116" s="624">
        <v>148.25</v>
      </c>
      <c r="Z116" s="519">
        <v>0</v>
      </c>
      <c r="AA116" s="519">
        <v>0</v>
      </c>
      <c r="AB116" s="519">
        <v>146.92307692307693</v>
      </c>
      <c r="AC116" s="519">
        <v>143.53333333333333</v>
      </c>
      <c r="AD116" s="519">
        <v>160</v>
      </c>
      <c r="AE116" s="519">
        <v>166.16666666666666</v>
      </c>
      <c r="AF116" s="519">
        <v>125.5</v>
      </c>
      <c r="AG116" s="519">
        <v>0</v>
      </c>
      <c r="AH116" s="519">
        <v>160</v>
      </c>
      <c r="AI116" s="519">
        <v>0</v>
      </c>
      <c r="AJ116" s="519">
        <v>0</v>
      </c>
      <c r="AK116" s="519">
        <v>139</v>
      </c>
      <c r="AL116" s="519">
        <v>0</v>
      </c>
      <c r="AM116" s="519">
        <v>0</v>
      </c>
      <c r="AN116" s="519">
        <v>0</v>
      </c>
    </row>
    <row r="117" spans="1:40" x14ac:dyDescent="0.3">
      <c r="A117" s="489" t="s">
        <v>1561</v>
      </c>
      <c r="B117" s="489" t="s">
        <v>1709</v>
      </c>
      <c r="C117" s="489" t="s">
        <v>1838</v>
      </c>
      <c r="D117" s="489" t="s">
        <v>1938</v>
      </c>
      <c r="E117" s="619">
        <v>40</v>
      </c>
      <c r="F117" s="624">
        <f t="shared" si="31"/>
        <v>0</v>
      </c>
      <c r="G117" s="519">
        <f t="shared" si="32"/>
        <v>0</v>
      </c>
      <c r="H117" s="519">
        <f t="shared" si="33"/>
        <v>0</v>
      </c>
      <c r="I117" s="519">
        <f t="shared" si="34"/>
        <v>0</v>
      </c>
      <c r="J117" s="519">
        <f t="shared" si="35"/>
        <v>0</v>
      </c>
      <c r="K117" s="519">
        <f t="shared" si="36"/>
        <v>0</v>
      </c>
      <c r="L117" s="519">
        <f t="shared" si="37"/>
        <v>0</v>
      </c>
      <c r="M117" s="519">
        <f t="shared" si="38"/>
        <v>0</v>
      </c>
      <c r="N117" s="519">
        <f t="shared" si="39"/>
        <v>0</v>
      </c>
      <c r="O117" s="519">
        <f t="shared" si="40"/>
        <v>0</v>
      </c>
      <c r="P117" s="519">
        <f t="shared" si="41"/>
        <v>0</v>
      </c>
      <c r="Q117" s="519">
        <f t="shared" si="42"/>
        <v>0</v>
      </c>
      <c r="R117" s="519">
        <f t="shared" si="43"/>
        <v>0</v>
      </c>
      <c r="S117" s="519">
        <f t="shared" si="44"/>
        <v>0</v>
      </c>
      <c r="T117" s="519">
        <f t="shared" si="45"/>
        <v>0</v>
      </c>
      <c r="U117" s="519">
        <f t="shared" si="46"/>
        <v>0</v>
      </c>
      <c r="Y117" s="624">
        <v>0</v>
      </c>
      <c r="Z117" s="519">
        <v>0</v>
      </c>
      <c r="AA117" s="519">
        <v>0</v>
      </c>
      <c r="AB117" s="519">
        <v>0</v>
      </c>
      <c r="AC117" s="519">
        <v>0</v>
      </c>
      <c r="AD117" s="519">
        <v>0</v>
      </c>
      <c r="AE117" s="519">
        <v>0</v>
      </c>
      <c r="AF117" s="519">
        <v>0</v>
      </c>
      <c r="AG117" s="519">
        <v>0</v>
      </c>
      <c r="AH117" s="519">
        <v>0</v>
      </c>
      <c r="AI117" s="519">
        <v>0</v>
      </c>
      <c r="AJ117" s="519">
        <v>0</v>
      </c>
      <c r="AK117" s="519">
        <v>0</v>
      </c>
      <c r="AL117" s="519">
        <v>0</v>
      </c>
      <c r="AM117" s="519">
        <v>0</v>
      </c>
      <c r="AN117" s="519">
        <v>0</v>
      </c>
    </row>
    <row r="118" spans="1:40" x14ac:dyDescent="0.3">
      <c r="A118" s="489" t="s">
        <v>1607</v>
      </c>
      <c r="B118" s="489" t="s">
        <v>1710</v>
      </c>
      <c r="C118" s="489" t="s">
        <v>1839</v>
      </c>
      <c r="D118" s="489" t="s">
        <v>46</v>
      </c>
      <c r="E118" s="619">
        <v>39</v>
      </c>
      <c r="F118" s="624">
        <f t="shared" si="31"/>
        <v>159.02564102564102</v>
      </c>
      <c r="G118" s="519">
        <f t="shared" si="32"/>
        <v>179</v>
      </c>
      <c r="H118" s="519">
        <f t="shared" si="33"/>
        <v>166</v>
      </c>
      <c r="I118" s="519">
        <f t="shared" si="34"/>
        <v>172</v>
      </c>
      <c r="J118" s="519">
        <f t="shared" si="35"/>
        <v>151.5</v>
      </c>
      <c r="K118" s="519">
        <f t="shared" si="36"/>
        <v>151.5</v>
      </c>
      <c r="L118" s="519">
        <f t="shared" si="37"/>
        <v>151.5</v>
      </c>
      <c r="M118" s="519">
        <f t="shared" si="38"/>
        <v>149</v>
      </c>
      <c r="N118" s="519">
        <f t="shared" si="39"/>
        <v>139</v>
      </c>
      <c r="O118" s="519">
        <f t="shared" si="40"/>
        <v>140.66666666666666</v>
      </c>
      <c r="P118" s="519">
        <f t="shared" si="41"/>
        <v>155.5</v>
      </c>
      <c r="Q118" s="519">
        <f t="shared" si="42"/>
        <v>155.5</v>
      </c>
      <c r="R118" s="519">
        <f t="shared" si="43"/>
        <v>149</v>
      </c>
      <c r="S118" s="519">
        <f t="shared" si="44"/>
        <v>149.66666666666666</v>
      </c>
      <c r="T118" s="519">
        <f t="shared" si="45"/>
        <v>149</v>
      </c>
      <c r="U118" s="519">
        <f t="shared" si="46"/>
        <v>159</v>
      </c>
      <c r="Y118" s="624">
        <v>159.02564102564102</v>
      </c>
      <c r="Z118" s="519">
        <v>179</v>
      </c>
      <c r="AA118" s="519">
        <v>166</v>
      </c>
      <c r="AB118" s="519">
        <v>172</v>
      </c>
      <c r="AC118" s="519">
        <v>0</v>
      </c>
      <c r="AD118" s="519">
        <v>0</v>
      </c>
      <c r="AE118" s="519">
        <v>151.5</v>
      </c>
      <c r="AF118" s="519">
        <v>149</v>
      </c>
      <c r="AG118" s="519">
        <v>139</v>
      </c>
      <c r="AH118" s="519">
        <v>140.66666666666666</v>
      </c>
      <c r="AI118" s="519">
        <v>0</v>
      </c>
      <c r="AJ118" s="519">
        <v>155.5</v>
      </c>
      <c r="AK118" s="519">
        <v>149</v>
      </c>
      <c r="AL118" s="519">
        <v>149.66666666666666</v>
      </c>
      <c r="AM118" s="519">
        <v>149</v>
      </c>
      <c r="AN118" s="519">
        <v>159</v>
      </c>
    </row>
    <row r="119" spans="1:40" x14ac:dyDescent="0.3">
      <c r="A119" s="489" t="s">
        <v>1414</v>
      </c>
      <c r="B119" s="489" t="s">
        <v>1711</v>
      </c>
      <c r="C119" s="489" t="s">
        <v>1840</v>
      </c>
      <c r="D119" s="489" t="s">
        <v>46</v>
      </c>
      <c r="E119" s="619">
        <v>39</v>
      </c>
      <c r="F119" s="624">
        <f t="shared" si="31"/>
        <v>220.76923076923077</v>
      </c>
      <c r="G119" s="519">
        <f t="shared" si="32"/>
        <v>224</v>
      </c>
      <c r="H119" s="519">
        <f t="shared" si="33"/>
        <v>224</v>
      </c>
      <c r="I119" s="519">
        <f t="shared" si="34"/>
        <v>226</v>
      </c>
      <c r="J119" s="519">
        <f t="shared" si="35"/>
        <v>214</v>
      </c>
      <c r="K119" s="519">
        <f t="shared" si="36"/>
        <v>214</v>
      </c>
      <c r="L119" s="519">
        <f t="shared" si="37"/>
        <v>214</v>
      </c>
      <c r="M119" s="519">
        <f t="shared" si="38"/>
        <v>219</v>
      </c>
      <c r="N119" s="519">
        <f t="shared" si="39"/>
        <v>219</v>
      </c>
      <c r="O119" s="519">
        <f t="shared" si="40"/>
        <v>219</v>
      </c>
      <c r="P119" s="519">
        <f t="shared" si="41"/>
        <v>220.75</v>
      </c>
      <c r="Q119" s="519">
        <f t="shared" si="42"/>
        <v>222</v>
      </c>
      <c r="R119" s="519">
        <f t="shared" si="43"/>
        <v>224.66666666666666</v>
      </c>
      <c r="S119" s="519">
        <f t="shared" si="44"/>
        <v>218</v>
      </c>
      <c r="T119" s="519">
        <f t="shared" si="45"/>
        <v>221</v>
      </c>
      <c r="U119" s="519">
        <f t="shared" si="46"/>
        <v>0</v>
      </c>
      <c r="Y119" s="624">
        <v>220.76923076923077</v>
      </c>
      <c r="Z119" s="519">
        <v>0</v>
      </c>
      <c r="AA119" s="519">
        <v>224</v>
      </c>
      <c r="AB119" s="519">
        <v>226</v>
      </c>
      <c r="AC119" s="519">
        <v>0</v>
      </c>
      <c r="AD119" s="519">
        <v>0</v>
      </c>
      <c r="AE119" s="519">
        <v>214</v>
      </c>
      <c r="AF119" s="519">
        <v>0</v>
      </c>
      <c r="AG119" s="519">
        <v>219</v>
      </c>
      <c r="AH119" s="519">
        <v>219</v>
      </c>
      <c r="AI119" s="519">
        <v>220.75</v>
      </c>
      <c r="AJ119" s="519">
        <v>222</v>
      </c>
      <c r="AK119" s="519">
        <v>224.66666666666666</v>
      </c>
      <c r="AL119" s="519">
        <v>218</v>
      </c>
      <c r="AM119" s="519">
        <v>221</v>
      </c>
      <c r="AN119" s="519">
        <v>0</v>
      </c>
    </row>
    <row r="120" spans="1:40" x14ac:dyDescent="0.3">
      <c r="A120" s="489" t="s">
        <v>1591</v>
      </c>
      <c r="B120" s="489" t="s">
        <v>1712</v>
      </c>
      <c r="C120" s="489" t="s">
        <v>1712</v>
      </c>
      <c r="D120" s="489" t="s">
        <v>141</v>
      </c>
      <c r="E120" s="619">
        <v>39</v>
      </c>
      <c r="F120" s="624">
        <f t="shared" si="31"/>
        <v>0</v>
      </c>
      <c r="G120" s="519">
        <f t="shared" si="32"/>
        <v>0</v>
      </c>
      <c r="H120" s="519">
        <f t="shared" si="33"/>
        <v>0</v>
      </c>
      <c r="I120" s="519">
        <f t="shared" si="34"/>
        <v>0</v>
      </c>
      <c r="J120" s="519">
        <f t="shared" si="35"/>
        <v>0</v>
      </c>
      <c r="K120" s="519">
        <f t="shared" si="36"/>
        <v>0</v>
      </c>
      <c r="L120" s="519">
        <f t="shared" si="37"/>
        <v>0</v>
      </c>
      <c r="M120" s="519">
        <f t="shared" si="38"/>
        <v>0</v>
      </c>
      <c r="N120" s="519">
        <f t="shared" si="39"/>
        <v>0</v>
      </c>
      <c r="O120" s="519">
        <f t="shared" si="40"/>
        <v>0</v>
      </c>
      <c r="P120" s="519">
        <f t="shared" si="41"/>
        <v>0</v>
      </c>
      <c r="Q120" s="519">
        <f t="shared" si="42"/>
        <v>0</v>
      </c>
      <c r="R120" s="519">
        <f t="shared" si="43"/>
        <v>0</v>
      </c>
      <c r="S120" s="519">
        <f t="shared" si="44"/>
        <v>0</v>
      </c>
      <c r="T120" s="519">
        <f t="shared" si="45"/>
        <v>0</v>
      </c>
      <c r="U120" s="519">
        <f t="shared" si="46"/>
        <v>0</v>
      </c>
      <c r="Y120" s="624">
        <v>0</v>
      </c>
      <c r="Z120" s="519">
        <v>0</v>
      </c>
      <c r="AA120" s="519">
        <v>0</v>
      </c>
      <c r="AB120" s="519">
        <v>0</v>
      </c>
      <c r="AC120" s="519">
        <v>0</v>
      </c>
      <c r="AD120" s="519">
        <v>0</v>
      </c>
      <c r="AE120" s="519">
        <v>0</v>
      </c>
      <c r="AF120" s="519">
        <v>0</v>
      </c>
      <c r="AG120" s="519">
        <v>0</v>
      </c>
      <c r="AH120" s="519">
        <v>0</v>
      </c>
      <c r="AI120" s="519">
        <v>0</v>
      </c>
      <c r="AJ120" s="519">
        <v>0</v>
      </c>
      <c r="AK120" s="519">
        <v>0</v>
      </c>
      <c r="AL120" s="519">
        <v>0</v>
      </c>
      <c r="AM120" s="519">
        <v>0</v>
      </c>
      <c r="AN120" s="519">
        <v>0</v>
      </c>
    </row>
    <row r="121" spans="1:40" x14ac:dyDescent="0.3">
      <c r="A121" s="489" t="s">
        <v>1417</v>
      </c>
      <c r="B121" s="489" t="s">
        <v>1418</v>
      </c>
      <c r="C121" s="489" t="s">
        <v>1232</v>
      </c>
      <c r="D121" s="489" t="s">
        <v>1929</v>
      </c>
      <c r="E121" s="619">
        <v>39</v>
      </c>
      <c r="F121" s="624">
        <f t="shared" si="31"/>
        <v>103.53846153846153</v>
      </c>
      <c r="G121" s="519">
        <f t="shared" si="32"/>
        <v>103.25</v>
      </c>
      <c r="H121" s="519">
        <f t="shared" si="33"/>
        <v>119</v>
      </c>
      <c r="I121" s="519">
        <f t="shared" si="34"/>
        <v>107.5</v>
      </c>
      <c r="J121" s="519">
        <f t="shared" si="35"/>
        <v>112.83333333333333</v>
      </c>
      <c r="K121" s="519">
        <f t="shared" si="36"/>
        <v>112.83333333333333</v>
      </c>
      <c r="L121" s="519">
        <f t="shared" si="37"/>
        <v>114.11111111111111</v>
      </c>
      <c r="M121" s="519">
        <f t="shared" si="38"/>
        <v>91.714285714285708</v>
      </c>
      <c r="N121" s="519">
        <f t="shared" si="39"/>
        <v>91.714285714285708</v>
      </c>
      <c r="O121" s="519">
        <f t="shared" si="40"/>
        <v>88</v>
      </c>
      <c r="P121" s="519">
        <f t="shared" si="41"/>
        <v>0</v>
      </c>
      <c r="Q121" s="519">
        <f t="shared" si="42"/>
        <v>0</v>
      </c>
      <c r="R121" s="519">
        <f t="shared" si="43"/>
        <v>0</v>
      </c>
      <c r="S121" s="519">
        <f t="shared" si="44"/>
        <v>0</v>
      </c>
      <c r="T121" s="519">
        <f t="shared" si="45"/>
        <v>0</v>
      </c>
      <c r="U121" s="519">
        <f t="shared" si="46"/>
        <v>0</v>
      </c>
      <c r="Y121" s="624">
        <v>103.53846153846153</v>
      </c>
      <c r="Z121" s="519">
        <v>103.25</v>
      </c>
      <c r="AA121" s="519">
        <v>119</v>
      </c>
      <c r="AB121" s="519">
        <v>107.5</v>
      </c>
      <c r="AC121" s="519">
        <v>0</v>
      </c>
      <c r="AD121" s="519">
        <v>112.83333333333333</v>
      </c>
      <c r="AE121" s="519">
        <v>114.11111111111111</v>
      </c>
      <c r="AF121" s="519">
        <v>91.714285714285708</v>
      </c>
      <c r="AG121" s="519">
        <v>91.714285714285708</v>
      </c>
      <c r="AH121" s="519">
        <v>88</v>
      </c>
      <c r="AI121" s="519">
        <v>0</v>
      </c>
      <c r="AJ121" s="519">
        <v>0</v>
      </c>
      <c r="AK121" s="519">
        <v>0</v>
      </c>
      <c r="AL121" s="519">
        <v>0</v>
      </c>
      <c r="AM121" s="519">
        <v>0</v>
      </c>
      <c r="AN121" s="519">
        <v>0</v>
      </c>
    </row>
    <row r="122" spans="1:40" x14ac:dyDescent="0.3">
      <c r="A122" s="489" t="s">
        <v>1713</v>
      </c>
      <c r="B122" s="489" t="s">
        <v>1714</v>
      </c>
      <c r="C122" s="489" t="s">
        <v>1841</v>
      </c>
      <c r="D122" s="489" t="s">
        <v>1929</v>
      </c>
      <c r="E122" s="619">
        <v>38</v>
      </c>
      <c r="F122" s="624">
        <f t="shared" si="31"/>
        <v>102.15789473684211</v>
      </c>
      <c r="G122" s="519">
        <f t="shared" si="32"/>
        <v>96</v>
      </c>
      <c r="H122" s="519">
        <f t="shared" si="33"/>
        <v>96</v>
      </c>
      <c r="I122" s="519">
        <f t="shared" si="34"/>
        <v>96</v>
      </c>
      <c r="J122" s="519">
        <f t="shared" si="35"/>
        <v>96</v>
      </c>
      <c r="K122" s="519">
        <f t="shared" si="36"/>
        <v>96</v>
      </c>
      <c r="L122" s="519">
        <f t="shared" si="37"/>
        <v>96</v>
      </c>
      <c r="M122" s="519">
        <f t="shared" si="38"/>
        <v>96</v>
      </c>
      <c r="N122" s="519">
        <f t="shared" si="39"/>
        <v>96</v>
      </c>
      <c r="O122" s="519">
        <f t="shared" si="40"/>
        <v>96</v>
      </c>
      <c r="P122" s="519">
        <f t="shared" si="41"/>
        <v>96</v>
      </c>
      <c r="Q122" s="519">
        <f t="shared" si="42"/>
        <v>96</v>
      </c>
      <c r="R122" s="519">
        <f t="shared" si="43"/>
        <v>97.571428571428569</v>
      </c>
      <c r="S122" s="519">
        <f t="shared" si="44"/>
        <v>101.4</v>
      </c>
      <c r="T122" s="519">
        <f t="shared" si="45"/>
        <v>105</v>
      </c>
      <c r="U122" s="519">
        <f t="shared" si="46"/>
        <v>103.18181818181819</v>
      </c>
      <c r="Y122" s="624">
        <v>102.15789473684211</v>
      </c>
      <c r="Z122" s="519">
        <v>0</v>
      </c>
      <c r="AA122" s="519">
        <v>0</v>
      </c>
      <c r="AB122" s="519">
        <v>0</v>
      </c>
      <c r="AC122" s="519">
        <v>0</v>
      </c>
      <c r="AD122" s="519">
        <v>0</v>
      </c>
      <c r="AE122" s="519">
        <v>0</v>
      </c>
      <c r="AF122" s="519">
        <v>0</v>
      </c>
      <c r="AG122" s="519">
        <v>0</v>
      </c>
      <c r="AH122" s="519">
        <v>0</v>
      </c>
      <c r="AI122" s="519">
        <v>0</v>
      </c>
      <c r="AJ122" s="519">
        <v>96</v>
      </c>
      <c r="AK122" s="519">
        <v>97.571428571428569</v>
      </c>
      <c r="AL122" s="519">
        <v>101.4</v>
      </c>
      <c r="AM122" s="519">
        <v>105</v>
      </c>
      <c r="AN122" s="519">
        <v>103.18181818181819</v>
      </c>
    </row>
    <row r="123" spans="1:40" x14ac:dyDescent="0.3">
      <c r="A123" s="489" t="s">
        <v>1715</v>
      </c>
      <c r="B123" s="489" t="s">
        <v>1716</v>
      </c>
      <c r="C123" s="489" t="s">
        <v>1716</v>
      </c>
      <c r="D123" s="489" t="s">
        <v>141</v>
      </c>
      <c r="E123" s="619">
        <v>38</v>
      </c>
      <c r="F123" s="624">
        <f t="shared" si="31"/>
        <v>0</v>
      </c>
      <c r="G123" s="519">
        <f t="shared" si="32"/>
        <v>0</v>
      </c>
      <c r="H123" s="519">
        <f t="shared" si="33"/>
        <v>0</v>
      </c>
      <c r="I123" s="519">
        <f t="shared" si="34"/>
        <v>0</v>
      </c>
      <c r="J123" s="519">
        <f t="shared" si="35"/>
        <v>0</v>
      </c>
      <c r="K123" s="519">
        <f t="shared" si="36"/>
        <v>0</v>
      </c>
      <c r="L123" s="519">
        <f t="shared" si="37"/>
        <v>0</v>
      </c>
      <c r="M123" s="519">
        <f t="shared" si="38"/>
        <v>0</v>
      </c>
      <c r="N123" s="519">
        <f t="shared" si="39"/>
        <v>0</v>
      </c>
      <c r="O123" s="519">
        <f t="shared" si="40"/>
        <v>0</v>
      </c>
      <c r="P123" s="519">
        <f t="shared" si="41"/>
        <v>0</v>
      </c>
      <c r="Q123" s="519">
        <f t="shared" si="42"/>
        <v>0</v>
      </c>
      <c r="R123" s="519">
        <f t="shared" si="43"/>
        <v>0</v>
      </c>
      <c r="S123" s="519">
        <f t="shared" si="44"/>
        <v>0</v>
      </c>
      <c r="T123" s="519">
        <f t="shared" si="45"/>
        <v>0</v>
      </c>
      <c r="U123" s="519">
        <f t="shared" si="46"/>
        <v>0</v>
      </c>
      <c r="Y123" s="624">
        <v>0</v>
      </c>
      <c r="Z123" s="519">
        <v>0</v>
      </c>
      <c r="AA123" s="519">
        <v>0</v>
      </c>
      <c r="AB123" s="519">
        <v>0</v>
      </c>
      <c r="AC123" s="519">
        <v>0</v>
      </c>
      <c r="AD123" s="519">
        <v>0</v>
      </c>
      <c r="AE123" s="519">
        <v>0</v>
      </c>
      <c r="AF123" s="519">
        <v>0</v>
      </c>
      <c r="AG123" s="519">
        <v>0</v>
      </c>
      <c r="AH123" s="519">
        <v>0</v>
      </c>
      <c r="AI123" s="519">
        <v>0</v>
      </c>
      <c r="AJ123" s="519">
        <v>0</v>
      </c>
      <c r="AK123" s="519">
        <v>0</v>
      </c>
      <c r="AL123" s="519">
        <v>0</v>
      </c>
      <c r="AM123" s="519">
        <v>0</v>
      </c>
      <c r="AN123" s="519">
        <v>0</v>
      </c>
    </row>
    <row r="124" spans="1:40" x14ac:dyDescent="0.3">
      <c r="A124" s="489" t="s">
        <v>1414</v>
      </c>
      <c r="B124" s="489" t="s">
        <v>1717</v>
      </c>
      <c r="C124" s="489" t="s">
        <v>1842</v>
      </c>
      <c r="D124" s="489" t="s">
        <v>141</v>
      </c>
      <c r="E124" s="619">
        <v>38</v>
      </c>
      <c r="F124" s="624">
        <f t="shared" si="31"/>
        <v>0</v>
      </c>
      <c r="G124" s="519">
        <f t="shared" si="32"/>
        <v>0</v>
      </c>
      <c r="H124" s="519">
        <f t="shared" si="33"/>
        <v>0</v>
      </c>
      <c r="I124" s="519">
        <f t="shared" si="34"/>
        <v>0</v>
      </c>
      <c r="J124" s="519">
        <f t="shared" si="35"/>
        <v>0</v>
      </c>
      <c r="K124" s="519">
        <f t="shared" si="36"/>
        <v>0</v>
      </c>
      <c r="L124" s="519">
        <f t="shared" si="37"/>
        <v>0</v>
      </c>
      <c r="M124" s="519">
        <f t="shared" si="38"/>
        <v>0</v>
      </c>
      <c r="N124" s="519">
        <f t="shared" si="39"/>
        <v>0</v>
      </c>
      <c r="O124" s="519">
        <f t="shared" si="40"/>
        <v>0</v>
      </c>
      <c r="P124" s="519">
        <f t="shared" si="41"/>
        <v>0</v>
      </c>
      <c r="Q124" s="519">
        <f t="shared" si="42"/>
        <v>0</v>
      </c>
      <c r="R124" s="519">
        <f t="shared" si="43"/>
        <v>0</v>
      </c>
      <c r="S124" s="519">
        <f t="shared" si="44"/>
        <v>0</v>
      </c>
      <c r="T124" s="519">
        <f t="shared" si="45"/>
        <v>0</v>
      </c>
      <c r="U124" s="519">
        <f t="shared" si="46"/>
        <v>0</v>
      </c>
      <c r="Y124" s="624">
        <v>0</v>
      </c>
      <c r="Z124" s="519">
        <v>0</v>
      </c>
      <c r="AA124" s="519">
        <v>0</v>
      </c>
      <c r="AB124" s="519">
        <v>0</v>
      </c>
      <c r="AC124" s="519">
        <v>0</v>
      </c>
      <c r="AD124" s="519">
        <v>0</v>
      </c>
      <c r="AE124" s="519">
        <v>0</v>
      </c>
      <c r="AF124" s="519">
        <v>0</v>
      </c>
      <c r="AG124" s="519">
        <v>0</v>
      </c>
      <c r="AH124" s="519">
        <v>0</v>
      </c>
      <c r="AI124" s="519">
        <v>0</v>
      </c>
      <c r="AJ124" s="519">
        <v>0</v>
      </c>
      <c r="AK124" s="519">
        <v>0</v>
      </c>
      <c r="AL124" s="519">
        <v>0</v>
      </c>
      <c r="AM124" s="519">
        <v>0</v>
      </c>
      <c r="AN124" s="519">
        <v>0</v>
      </c>
    </row>
    <row r="125" spans="1:40" x14ac:dyDescent="0.3">
      <c r="A125" s="489" t="s">
        <v>1441</v>
      </c>
      <c r="B125" s="489" t="s">
        <v>1718</v>
      </c>
      <c r="C125" s="489" t="s">
        <v>1843</v>
      </c>
      <c r="D125" s="489" t="s">
        <v>46</v>
      </c>
      <c r="E125" s="619">
        <v>37</v>
      </c>
      <c r="F125" s="624">
        <f t="shared" si="31"/>
        <v>133.45945945945945</v>
      </c>
      <c r="G125" s="519">
        <f t="shared" si="32"/>
        <v>132</v>
      </c>
      <c r="H125" s="519">
        <f t="shared" si="33"/>
        <v>133.86206896551724</v>
      </c>
      <c r="I125" s="519">
        <f t="shared" si="34"/>
        <v>0</v>
      </c>
      <c r="J125" s="519">
        <f t="shared" si="35"/>
        <v>0</v>
      </c>
      <c r="K125" s="519">
        <f t="shared" si="36"/>
        <v>0</v>
      </c>
      <c r="L125" s="519">
        <f t="shared" si="37"/>
        <v>0</v>
      </c>
      <c r="M125" s="519">
        <f t="shared" si="38"/>
        <v>0</v>
      </c>
      <c r="N125" s="519">
        <f t="shared" si="39"/>
        <v>0</v>
      </c>
      <c r="O125" s="519">
        <f t="shared" si="40"/>
        <v>0</v>
      </c>
      <c r="P125" s="519">
        <f t="shared" si="41"/>
        <v>0</v>
      </c>
      <c r="Q125" s="519">
        <f t="shared" si="42"/>
        <v>0</v>
      </c>
      <c r="R125" s="519">
        <f t="shared" si="43"/>
        <v>0</v>
      </c>
      <c r="S125" s="519">
        <f t="shared" si="44"/>
        <v>0</v>
      </c>
      <c r="T125" s="519">
        <f t="shared" si="45"/>
        <v>0</v>
      </c>
      <c r="U125" s="519">
        <f t="shared" si="46"/>
        <v>0</v>
      </c>
      <c r="Y125" s="624">
        <v>133.45945945945945</v>
      </c>
      <c r="Z125" s="519">
        <v>132</v>
      </c>
      <c r="AA125" s="519">
        <v>133.86206896551724</v>
      </c>
      <c r="AB125" s="519">
        <v>0</v>
      </c>
      <c r="AC125" s="519">
        <v>0</v>
      </c>
      <c r="AD125" s="519">
        <v>0</v>
      </c>
      <c r="AE125" s="519">
        <v>0</v>
      </c>
      <c r="AF125" s="519">
        <v>0</v>
      </c>
      <c r="AG125" s="519">
        <v>0</v>
      </c>
      <c r="AH125" s="519">
        <v>0</v>
      </c>
      <c r="AI125" s="519">
        <v>0</v>
      </c>
      <c r="AJ125" s="519">
        <v>0</v>
      </c>
      <c r="AK125" s="519">
        <v>0</v>
      </c>
      <c r="AL125" s="519">
        <v>0</v>
      </c>
      <c r="AM125" s="519">
        <v>0</v>
      </c>
      <c r="AN125" s="519">
        <v>0</v>
      </c>
    </row>
    <row r="126" spans="1:40" x14ac:dyDescent="0.3">
      <c r="A126" s="489" t="s">
        <v>1694</v>
      </c>
      <c r="B126" s="489" t="s">
        <v>1719</v>
      </c>
      <c r="C126" s="489" t="s">
        <v>1844</v>
      </c>
      <c r="D126" s="489" t="s">
        <v>46</v>
      </c>
      <c r="E126" s="619">
        <v>36</v>
      </c>
      <c r="F126" s="624">
        <f t="shared" si="31"/>
        <v>127.97222222222223</v>
      </c>
      <c r="G126" s="519">
        <f t="shared" si="32"/>
        <v>115.5</v>
      </c>
      <c r="H126" s="519">
        <f t="shared" si="33"/>
        <v>134</v>
      </c>
      <c r="I126" s="519">
        <f t="shared" si="34"/>
        <v>116</v>
      </c>
      <c r="J126" s="519">
        <f t="shared" si="35"/>
        <v>125</v>
      </c>
      <c r="K126" s="519">
        <f t="shared" si="36"/>
        <v>114</v>
      </c>
      <c r="L126" s="519">
        <f t="shared" si="37"/>
        <v>116.5</v>
      </c>
      <c r="M126" s="519">
        <f t="shared" si="38"/>
        <v>124.875</v>
      </c>
      <c r="N126" s="519">
        <f t="shared" si="39"/>
        <v>131.9</v>
      </c>
      <c r="O126" s="519">
        <f t="shared" si="40"/>
        <v>115</v>
      </c>
      <c r="P126" s="519">
        <f t="shared" si="41"/>
        <v>125</v>
      </c>
      <c r="Q126" s="519">
        <f t="shared" si="42"/>
        <v>135</v>
      </c>
      <c r="R126" s="519">
        <f t="shared" si="43"/>
        <v>169</v>
      </c>
      <c r="S126" s="519">
        <f t="shared" si="44"/>
        <v>156</v>
      </c>
      <c r="T126" s="519">
        <f t="shared" si="45"/>
        <v>0</v>
      </c>
      <c r="U126" s="519">
        <f t="shared" si="46"/>
        <v>0</v>
      </c>
      <c r="Y126" s="624">
        <v>127.97222222222223</v>
      </c>
      <c r="Z126" s="519">
        <v>115.5</v>
      </c>
      <c r="AA126" s="519">
        <v>134</v>
      </c>
      <c r="AB126" s="519">
        <v>116</v>
      </c>
      <c r="AC126" s="519">
        <v>125</v>
      </c>
      <c r="AD126" s="519">
        <v>114</v>
      </c>
      <c r="AE126" s="519">
        <v>116.5</v>
      </c>
      <c r="AF126" s="519">
        <v>124.875</v>
      </c>
      <c r="AG126" s="519">
        <v>131.9</v>
      </c>
      <c r="AH126" s="519">
        <v>115</v>
      </c>
      <c r="AI126" s="519">
        <v>125</v>
      </c>
      <c r="AJ126" s="519">
        <v>135</v>
      </c>
      <c r="AK126" s="519">
        <v>169</v>
      </c>
      <c r="AL126" s="519">
        <v>156</v>
      </c>
      <c r="AM126" s="519">
        <v>0</v>
      </c>
      <c r="AN126" s="519">
        <v>0</v>
      </c>
    </row>
    <row r="127" spans="1:40" x14ac:dyDescent="0.3">
      <c r="A127" s="489" t="s">
        <v>1544</v>
      </c>
      <c r="B127" s="489" t="s">
        <v>1720</v>
      </c>
      <c r="C127" s="489" t="s">
        <v>1845</v>
      </c>
      <c r="D127" s="489" t="s">
        <v>46</v>
      </c>
      <c r="E127" s="619">
        <v>36</v>
      </c>
      <c r="F127" s="624">
        <f t="shared" si="31"/>
        <v>134.61111111111111</v>
      </c>
      <c r="G127" s="519">
        <f t="shared" si="32"/>
        <v>165.83333333333334</v>
      </c>
      <c r="H127" s="519">
        <f t="shared" si="33"/>
        <v>165.83333333333334</v>
      </c>
      <c r="I127" s="519">
        <f t="shared" si="34"/>
        <v>165.83333333333334</v>
      </c>
      <c r="J127" s="519">
        <f t="shared" si="35"/>
        <v>165.83333333333334</v>
      </c>
      <c r="K127" s="519">
        <f t="shared" si="36"/>
        <v>165.83333333333334</v>
      </c>
      <c r="L127" s="519">
        <f t="shared" si="37"/>
        <v>165.83333333333334</v>
      </c>
      <c r="M127" s="519">
        <f t="shared" si="38"/>
        <v>155.30000000000001</v>
      </c>
      <c r="N127" s="519">
        <f t="shared" si="39"/>
        <v>113</v>
      </c>
      <c r="O127" s="519">
        <f t="shared" si="40"/>
        <v>113</v>
      </c>
      <c r="P127" s="519">
        <f t="shared" si="41"/>
        <v>126.5</v>
      </c>
      <c r="Q127" s="519">
        <f t="shared" si="42"/>
        <v>124</v>
      </c>
      <c r="R127" s="519">
        <f t="shared" si="43"/>
        <v>124</v>
      </c>
      <c r="S127" s="519">
        <f t="shared" si="44"/>
        <v>0</v>
      </c>
      <c r="T127" s="519">
        <f t="shared" si="45"/>
        <v>0</v>
      </c>
      <c r="U127" s="519">
        <f t="shared" si="46"/>
        <v>0</v>
      </c>
      <c r="Y127" s="624">
        <v>134.61111111111111</v>
      </c>
      <c r="Z127" s="519">
        <v>0</v>
      </c>
      <c r="AA127" s="519">
        <v>0</v>
      </c>
      <c r="AB127" s="519">
        <v>0</v>
      </c>
      <c r="AC127" s="519">
        <v>0</v>
      </c>
      <c r="AD127" s="519">
        <v>0</v>
      </c>
      <c r="AE127" s="519">
        <v>165.83333333333334</v>
      </c>
      <c r="AF127" s="519">
        <v>155.30000000000001</v>
      </c>
      <c r="AG127" s="519">
        <v>113</v>
      </c>
      <c r="AH127" s="519">
        <v>113</v>
      </c>
      <c r="AI127" s="519">
        <v>126.5</v>
      </c>
      <c r="AJ127" s="519">
        <v>0</v>
      </c>
      <c r="AK127" s="519">
        <v>124</v>
      </c>
      <c r="AL127" s="519">
        <v>0</v>
      </c>
      <c r="AM127" s="519">
        <v>0</v>
      </c>
      <c r="AN127" s="519">
        <v>0</v>
      </c>
    </row>
    <row r="128" spans="1:40" x14ac:dyDescent="0.3">
      <c r="A128" s="489" t="s">
        <v>1414</v>
      </c>
      <c r="B128" s="489" t="s">
        <v>1721</v>
      </c>
      <c r="C128" s="489" t="s">
        <v>1846</v>
      </c>
      <c r="D128" s="489" t="s">
        <v>46</v>
      </c>
      <c r="E128" s="619">
        <v>35</v>
      </c>
      <c r="F128" s="624">
        <f t="shared" si="31"/>
        <v>142.02857142857144</v>
      </c>
      <c r="G128" s="519">
        <f t="shared" si="32"/>
        <v>134</v>
      </c>
      <c r="H128" s="519">
        <f t="shared" si="33"/>
        <v>134</v>
      </c>
      <c r="I128" s="519">
        <f t="shared" si="34"/>
        <v>134</v>
      </c>
      <c r="J128" s="519">
        <f t="shared" si="35"/>
        <v>134</v>
      </c>
      <c r="K128" s="519">
        <f t="shared" si="36"/>
        <v>134</v>
      </c>
      <c r="L128" s="519">
        <f t="shared" si="37"/>
        <v>160</v>
      </c>
      <c r="M128" s="519">
        <f t="shared" si="38"/>
        <v>160</v>
      </c>
      <c r="N128" s="519">
        <f t="shared" si="39"/>
        <v>133.5</v>
      </c>
      <c r="O128" s="519">
        <f t="shared" si="40"/>
        <v>132</v>
      </c>
      <c r="P128" s="519">
        <f t="shared" si="41"/>
        <v>137.75</v>
      </c>
      <c r="Q128" s="519">
        <f t="shared" si="42"/>
        <v>137.75</v>
      </c>
      <c r="R128" s="519">
        <f t="shared" si="43"/>
        <v>137.75</v>
      </c>
      <c r="S128" s="519">
        <f t="shared" si="44"/>
        <v>138.33333333333334</v>
      </c>
      <c r="T128" s="519">
        <f t="shared" si="45"/>
        <v>149.66666666666666</v>
      </c>
      <c r="U128" s="519">
        <f t="shared" si="46"/>
        <v>161</v>
      </c>
      <c r="Y128" s="624">
        <v>142.02857142857144</v>
      </c>
      <c r="Z128" s="519">
        <v>0</v>
      </c>
      <c r="AA128" s="519">
        <v>134</v>
      </c>
      <c r="AB128" s="519">
        <v>0</v>
      </c>
      <c r="AC128" s="519">
        <v>0</v>
      </c>
      <c r="AD128" s="519">
        <v>134</v>
      </c>
      <c r="AE128" s="519">
        <v>0</v>
      </c>
      <c r="AF128" s="519">
        <v>160</v>
      </c>
      <c r="AG128" s="519">
        <v>133.5</v>
      </c>
      <c r="AH128" s="519">
        <v>132</v>
      </c>
      <c r="AI128" s="519">
        <v>0</v>
      </c>
      <c r="AJ128" s="519">
        <v>0</v>
      </c>
      <c r="AK128" s="519">
        <v>137.75</v>
      </c>
      <c r="AL128" s="519">
        <v>138.33333333333334</v>
      </c>
      <c r="AM128" s="519">
        <v>149.66666666666666</v>
      </c>
      <c r="AN128" s="519">
        <v>161</v>
      </c>
    </row>
    <row r="129" spans="1:40" x14ac:dyDescent="0.3">
      <c r="A129" s="489" t="s">
        <v>1677</v>
      </c>
      <c r="B129" s="489" t="s">
        <v>1722</v>
      </c>
      <c r="C129" s="489" t="s">
        <v>1847</v>
      </c>
      <c r="D129" s="489" t="s">
        <v>46</v>
      </c>
      <c r="E129" s="619">
        <v>35</v>
      </c>
      <c r="F129" s="624">
        <f t="shared" si="31"/>
        <v>154.17142857142858</v>
      </c>
      <c r="G129" s="519">
        <f t="shared" si="32"/>
        <v>139</v>
      </c>
      <c r="H129" s="519">
        <f t="shared" si="33"/>
        <v>139</v>
      </c>
      <c r="I129" s="519">
        <f t="shared" si="34"/>
        <v>139</v>
      </c>
      <c r="J129" s="519">
        <f t="shared" si="35"/>
        <v>139</v>
      </c>
      <c r="K129" s="519">
        <f t="shared" si="36"/>
        <v>149</v>
      </c>
      <c r="L129" s="519">
        <f t="shared" si="37"/>
        <v>149</v>
      </c>
      <c r="M129" s="519">
        <f t="shared" si="38"/>
        <v>176</v>
      </c>
      <c r="N129" s="519">
        <f t="shared" si="39"/>
        <v>154</v>
      </c>
      <c r="O129" s="519">
        <f t="shared" si="40"/>
        <v>143</v>
      </c>
      <c r="P129" s="519">
        <f t="shared" si="41"/>
        <v>176</v>
      </c>
      <c r="Q129" s="519">
        <f t="shared" si="42"/>
        <v>119</v>
      </c>
      <c r="R129" s="519">
        <f t="shared" si="43"/>
        <v>139</v>
      </c>
      <c r="S129" s="519">
        <f t="shared" si="44"/>
        <v>130</v>
      </c>
      <c r="T129" s="519">
        <f t="shared" si="45"/>
        <v>127</v>
      </c>
      <c r="U129" s="519">
        <f t="shared" si="46"/>
        <v>160</v>
      </c>
      <c r="Y129" s="624">
        <v>154.17142857142858</v>
      </c>
      <c r="Z129" s="519">
        <v>0</v>
      </c>
      <c r="AA129" s="519">
        <v>0</v>
      </c>
      <c r="AB129" s="519">
        <v>0</v>
      </c>
      <c r="AC129" s="519">
        <v>139</v>
      </c>
      <c r="AD129" s="519">
        <v>0</v>
      </c>
      <c r="AE129" s="519">
        <v>149</v>
      </c>
      <c r="AF129" s="519">
        <v>176</v>
      </c>
      <c r="AG129" s="519">
        <v>154</v>
      </c>
      <c r="AH129" s="519">
        <v>143</v>
      </c>
      <c r="AI129" s="519">
        <v>176</v>
      </c>
      <c r="AJ129" s="519">
        <v>119</v>
      </c>
      <c r="AK129" s="519">
        <v>139</v>
      </c>
      <c r="AL129" s="519">
        <v>130</v>
      </c>
      <c r="AM129" s="519">
        <v>127</v>
      </c>
      <c r="AN129" s="519">
        <v>160</v>
      </c>
    </row>
    <row r="130" spans="1:40" x14ac:dyDescent="0.3">
      <c r="A130" s="489" t="s">
        <v>1694</v>
      </c>
      <c r="B130" s="489" t="s">
        <v>1723</v>
      </c>
      <c r="C130" s="489" t="s">
        <v>1848</v>
      </c>
      <c r="D130" s="489" t="s">
        <v>46</v>
      </c>
      <c r="E130" s="619">
        <v>35</v>
      </c>
      <c r="F130" s="624">
        <f t="shared" si="31"/>
        <v>131.54285714285714</v>
      </c>
      <c r="G130" s="519">
        <f t="shared" si="32"/>
        <v>110</v>
      </c>
      <c r="H130" s="519">
        <f t="shared" si="33"/>
        <v>120.5</v>
      </c>
      <c r="I130" s="519">
        <f t="shared" si="34"/>
        <v>120.5</v>
      </c>
      <c r="J130" s="519">
        <f t="shared" si="35"/>
        <v>120.5</v>
      </c>
      <c r="K130" s="519">
        <f t="shared" si="36"/>
        <v>120.5</v>
      </c>
      <c r="L130" s="519">
        <f t="shared" si="37"/>
        <v>120.5</v>
      </c>
      <c r="M130" s="519">
        <f t="shared" si="38"/>
        <v>141.83333333333334</v>
      </c>
      <c r="N130" s="519">
        <f t="shared" si="39"/>
        <v>143.33333333333334</v>
      </c>
      <c r="O130" s="519">
        <f t="shared" si="40"/>
        <v>116</v>
      </c>
      <c r="P130" s="519">
        <f t="shared" si="41"/>
        <v>110</v>
      </c>
      <c r="Q130" s="519">
        <f t="shared" si="42"/>
        <v>132.5</v>
      </c>
      <c r="R130" s="519">
        <f t="shared" si="43"/>
        <v>0</v>
      </c>
      <c r="S130" s="519">
        <f t="shared" si="44"/>
        <v>0</v>
      </c>
      <c r="T130" s="519">
        <f t="shared" si="45"/>
        <v>0</v>
      </c>
      <c r="U130" s="519">
        <f t="shared" si="46"/>
        <v>0</v>
      </c>
      <c r="Y130" s="624">
        <v>131.54285714285714</v>
      </c>
      <c r="Z130" s="519">
        <v>110</v>
      </c>
      <c r="AA130" s="519">
        <v>0</v>
      </c>
      <c r="AB130" s="519">
        <v>0</v>
      </c>
      <c r="AC130" s="519">
        <v>0</v>
      </c>
      <c r="AD130" s="519">
        <v>0</v>
      </c>
      <c r="AE130" s="519">
        <v>120.5</v>
      </c>
      <c r="AF130" s="519">
        <v>141.83333333333334</v>
      </c>
      <c r="AG130" s="519">
        <v>143.33333333333334</v>
      </c>
      <c r="AH130" s="519">
        <v>116</v>
      </c>
      <c r="AI130" s="519">
        <v>110</v>
      </c>
      <c r="AJ130" s="519">
        <v>132.5</v>
      </c>
      <c r="AK130" s="519">
        <v>0</v>
      </c>
      <c r="AL130" s="519">
        <v>0</v>
      </c>
      <c r="AM130" s="519">
        <v>0</v>
      </c>
      <c r="AN130" s="519">
        <v>0</v>
      </c>
    </row>
    <row r="131" spans="1:40" x14ac:dyDescent="0.3">
      <c r="A131" s="489" t="s">
        <v>1414</v>
      </c>
      <c r="B131" s="489" t="s">
        <v>1724</v>
      </c>
      <c r="C131" s="489" t="s">
        <v>1849</v>
      </c>
      <c r="D131" s="489" t="s">
        <v>46</v>
      </c>
      <c r="E131" s="619">
        <v>34</v>
      </c>
      <c r="F131" s="624">
        <f t="shared" ref="F131:F194" si="47">Y131</f>
        <v>250.88235294117646</v>
      </c>
      <c r="G131" s="519">
        <f t="shared" ref="G131:G194" si="48">IF(Z131&gt;0,Z131,IF(H131&gt;0,H131,0))</f>
        <v>0</v>
      </c>
      <c r="H131" s="519">
        <f t="shared" ref="H131:H194" si="49">IF(AA131&gt;0,AA131,IF(I131&gt;0,I131,0))</f>
        <v>0</v>
      </c>
      <c r="I131" s="519">
        <f t="shared" ref="I131:I194" si="50">IF(AB131&gt;0,AB131,IF(J131&gt;0,J131,0))</f>
        <v>0</v>
      </c>
      <c r="J131" s="519">
        <f t="shared" ref="J131:J194" si="51">IF(AC131&gt;0,AC131,IF(K131&gt;0,K131,0))</f>
        <v>0</v>
      </c>
      <c r="K131" s="519">
        <f t="shared" ref="K131:K194" si="52">IF(AD131&gt;0,AD131,IF(L131&gt;0,L131,0))</f>
        <v>0</v>
      </c>
      <c r="L131" s="519">
        <f t="shared" ref="L131:L194" si="53">IF(AE131&gt;0,AE131,IF(M131&gt;0,M131,0))</f>
        <v>0</v>
      </c>
      <c r="M131" s="519">
        <f t="shared" ref="M131:M194" si="54">IF(AF131&gt;0,AF131,IF(N131&gt;0,N131,0))</f>
        <v>0</v>
      </c>
      <c r="N131" s="519">
        <f t="shared" ref="N131:N194" si="55">IF(AG131&gt;0,AG131,IF(O131&gt;0,O131,0))</f>
        <v>0</v>
      </c>
      <c r="O131" s="519">
        <f t="shared" ref="O131:O194" si="56">IF(AH131&gt;0,AH131,IF(P131&gt;0,P131,0))</f>
        <v>0</v>
      </c>
      <c r="P131" s="519">
        <f t="shared" ref="P131:P194" si="57">IF(AI131&gt;0,AI131,IF(Q131&gt;0,Q131,0))</f>
        <v>0</v>
      </c>
      <c r="Q131" s="519">
        <f t="shared" ref="Q131:Q194" si="58">IF(AJ131&gt;0,AJ131,IF(R131&gt;0,R131,0))</f>
        <v>0</v>
      </c>
      <c r="R131" s="519">
        <f t="shared" ref="R131:R194" si="59">IF(AK131&gt;0,AK131,IF(S131&gt;0,S131,0))</f>
        <v>0</v>
      </c>
      <c r="S131" s="519">
        <f t="shared" ref="S131:S194" si="60">IF(AL131&gt;0,AL131,IF(T131&gt;0,T131,0))</f>
        <v>0</v>
      </c>
      <c r="T131" s="519">
        <f t="shared" ref="T131:T194" si="61">IF(AM131&gt;0,AM131,IF(U131&gt;0,U131,0))</f>
        <v>0</v>
      </c>
      <c r="U131" s="519">
        <f t="shared" ref="U131:U194" si="62">IF(AN131&gt;0,AN131,IF(V131&gt;0,V131,0))</f>
        <v>0</v>
      </c>
      <c r="Y131" s="624">
        <v>250.88235294117646</v>
      </c>
      <c r="Z131" s="519">
        <v>0</v>
      </c>
      <c r="AA131" s="519">
        <v>0</v>
      </c>
      <c r="AB131" s="519">
        <v>0</v>
      </c>
      <c r="AC131" s="519">
        <v>0</v>
      </c>
      <c r="AD131" s="519">
        <v>0</v>
      </c>
      <c r="AE131" s="519">
        <v>0</v>
      </c>
      <c r="AF131" s="519">
        <v>0</v>
      </c>
      <c r="AG131" s="519">
        <v>0</v>
      </c>
      <c r="AH131" s="519">
        <v>0</v>
      </c>
      <c r="AI131" s="519">
        <v>0</v>
      </c>
      <c r="AJ131" s="519">
        <v>0</v>
      </c>
      <c r="AK131" s="519">
        <v>0</v>
      </c>
      <c r="AL131" s="519">
        <v>0</v>
      </c>
      <c r="AM131" s="519">
        <v>0</v>
      </c>
      <c r="AN131" s="519">
        <v>0</v>
      </c>
    </row>
    <row r="132" spans="1:40" x14ac:dyDescent="0.3">
      <c r="A132" s="489" t="s">
        <v>1414</v>
      </c>
      <c r="B132" s="489" t="s">
        <v>1725</v>
      </c>
      <c r="C132" s="489" t="s">
        <v>1850</v>
      </c>
      <c r="D132" s="489" t="s">
        <v>141</v>
      </c>
      <c r="E132" s="619">
        <v>34</v>
      </c>
      <c r="F132" s="624">
        <f t="shared" si="47"/>
        <v>0</v>
      </c>
      <c r="G132" s="519">
        <f t="shared" si="48"/>
        <v>0</v>
      </c>
      <c r="H132" s="519">
        <f t="shared" si="49"/>
        <v>0</v>
      </c>
      <c r="I132" s="519">
        <f t="shared" si="50"/>
        <v>0</v>
      </c>
      <c r="J132" s="519">
        <f t="shared" si="51"/>
        <v>0</v>
      </c>
      <c r="K132" s="519">
        <f t="shared" si="52"/>
        <v>0</v>
      </c>
      <c r="L132" s="519">
        <f t="shared" si="53"/>
        <v>0</v>
      </c>
      <c r="M132" s="519">
        <f t="shared" si="54"/>
        <v>0</v>
      </c>
      <c r="N132" s="519">
        <f t="shared" si="55"/>
        <v>0</v>
      </c>
      <c r="O132" s="519">
        <f t="shared" si="56"/>
        <v>0</v>
      </c>
      <c r="P132" s="519">
        <f t="shared" si="57"/>
        <v>0</v>
      </c>
      <c r="Q132" s="519">
        <f t="shared" si="58"/>
        <v>0</v>
      </c>
      <c r="R132" s="519">
        <f t="shared" si="59"/>
        <v>0</v>
      </c>
      <c r="S132" s="519">
        <f t="shared" si="60"/>
        <v>0</v>
      </c>
      <c r="T132" s="519">
        <f t="shared" si="61"/>
        <v>0</v>
      </c>
      <c r="U132" s="519">
        <f t="shared" si="62"/>
        <v>0</v>
      </c>
      <c r="Y132" s="624">
        <v>0</v>
      </c>
      <c r="Z132" s="519">
        <v>0</v>
      </c>
      <c r="AA132" s="519">
        <v>0</v>
      </c>
      <c r="AB132" s="519">
        <v>0</v>
      </c>
      <c r="AC132" s="519">
        <v>0</v>
      </c>
      <c r="AD132" s="519">
        <v>0</v>
      </c>
      <c r="AE132" s="519">
        <v>0</v>
      </c>
      <c r="AF132" s="519">
        <v>0</v>
      </c>
      <c r="AG132" s="519">
        <v>0</v>
      </c>
      <c r="AH132" s="519">
        <v>0</v>
      </c>
      <c r="AI132" s="519">
        <v>0</v>
      </c>
      <c r="AJ132" s="519">
        <v>0</v>
      </c>
      <c r="AK132" s="519">
        <v>0</v>
      </c>
      <c r="AL132" s="519">
        <v>0</v>
      </c>
      <c r="AM132" s="519">
        <v>0</v>
      </c>
      <c r="AN132" s="519">
        <v>0</v>
      </c>
    </row>
    <row r="133" spans="1:40" x14ac:dyDescent="0.3">
      <c r="A133" s="489" t="s">
        <v>1426</v>
      </c>
      <c r="B133" s="489" t="s">
        <v>1726</v>
      </c>
      <c r="C133" s="489" t="s">
        <v>1726</v>
      </c>
      <c r="D133" s="489" t="s">
        <v>46</v>
      </c>
      <c r="E133" s="619">
        <v>33</v>
      </c>
      <c r="F133" s="624">
        <f t="shared" si="47"/>
        <v>134.21212121212122</v>
      </c>
      <c r="G133" s="519">
        <f t="shared" si="48"/>
        <v>174</v>
      </c>
      <c r="H133" s="519">
        <f t="shared" si="49"/>
        <v>174</v>
      </c>
      <c r="I133" s="519">
        <f t="shared" si="50"/>
        <v>119.5</v>
      </c>
      <c r="J133" s="519">
        <f t="shared" si="51"/>
        <v>119.5</v>
      </c>
      <c r="K133" s="519">
        <f t="shared" si="52"/>
        <v>119.5</v>
      </c>
      <c r="L133" s="519">
        <f t="shared" si="53"/>
        <v>119.5</v>
      </c>
      <c r="M133" s="519">
        <f t="shared" si="54"/>
        <v>113.6</v>
      </c>
      <c r="N133" s="519">
        <f t="shared" si="55"/>
        <v>113.6</v>
      </c>
      <c r="O133" s="519">
        <f t="shared" si="56"/>
        <v>109.4</v>
      </c>
      <c r="P133" s="519">
        <f t="shared" si="57"/>
        <v>124.5</v>
      </c>
      <c r="Q133" s="519">
        <f t="shared" si="58"/>
        <v>125.25</v>
      </c>
      <c r="R133" s="519">
        <f t="shared" si="59"/>
        <v>125.25</v>
      </c>
      <c r="S133" s="519">
        <f t="shared" si="60"/>
        <v>125.25</v>
      </c>
      <c r="T133" s="519">
        <f t="shared" si="61"/>
        <v>166</v>
      </c>
      <c r="U133" s="519">
        <f t="shared" si="62"/>
        <v>142</v>
      </c>
      <c r="Y133" s="624">
        <v>134.21212121212122</v>
      </c>
      <c r="Z133" s="519">
        <v>0</v>
      </c>
      <c r="AA133" s="519">
        <v>174</v>
      </c>
      <c r="AB133" s="519">
        <v>0</v>
      </c>
      <c r="AC133" s="519">
        <v>0</v>
      </c>
      <c r="AD133" s="519">
        <v>0</v>
      </c>
      <c r="AE133" s="519">
        <v>119.5</v>
      </c>
      <c r="AF133" s="519">
        <v>0</v>
      </c>
      <c r="AG133" s="519">
        <v>113.6</v>
      </c>
      <c r="AH133" s="519">
        <v>109.4</v>
      </c>
      <c r="AI133" s="519">
        <v>124.5</v>
      </c>
      <c r="AJ133" s="519">
        <v>0</v>
      </c>
      <c r="AK133" s="519">
        <v>0</v>
      </c>
      <c r="AL133" s="519">
        <v>125.25</v>
      </c>
      <c r="AM133" s="519">
        <v>166</v>
      </c>
      <c r="AN133" s="519">
        <v>142</v>
      </c>
    </row>
    <row r="134" spans="1:40" x14ac:dyDescent="0.3">
      <c r="A134" s="489" t="s">
        <v>1414</v>
      </c>
      <c r="B134" s="489" t="s">
        <v>1727</v>
      </c>
      <c r="C134" s="489" t="s">
        <v>1851</v>
      </c>
      <c r="D134" s="489" t="s">
        <v>46</v>
      </c>
      <c r="E134" s="619">
        <v>33</v>
      </c>
      <c r="F134" s="624">
        <f t="shared" si="47"/>
        <v>146.09090909090909</v>
      </c>
      <c r="G134" s="519">
        <f t="shared" si="48"/>
        <v>136</v>
      </c>
      <c r="H134" s="519">
        <f t="shared" si="49"/>
        <v>136</v>
      </c>
      <c r="I134" s="519">
        <f t="shared" si="50"/>
        <v>136</v>
      </c>
      <c r="J134" s="519">
        <f t="shared" si="51"/>
        <v>136</v>
      </c>
      <c r="K134" s="519">
        <f t="shared" si="52"/>
        <v>136</v>
      </c>
      <c r="L134" s="519">
        <f t="shared" si="53"/>
        <v>136</v>
      </c>
      <c r="M134" s="519">
        <f t="shared" si="54"/>
        <v>143.33333333333334</v>
      </c>
      <c r="N134" s="519">
        <f t="shared" si="55"/>
        <v>142</v>
      </c>
      <c r="O134" s="519">
        <f t="shared" si="56"/>
        <v>135</v>
      </c>
      <c r="P134" s="519">
        <f t="shared" si="57"/>
        <v>142</v>
      </c>
      <c r="Q134" s="519">
        <f t="shared" si="58"/>
        <v>134.33333333333334</v>
      </c>
      <c r="R134" s="519">
        <f t="shared" si="59"/>
        <v>143</v>
      </c>
      <c r="S134" s="519">
        <f t="shared" si="60"/>
        <v>143</v>
      </c>
      <c r="T134" s="519">
        <f t="shared" si="61"/>
        <v>136.5</v>
      </c>
      <c r="U134" s="519">
        <f t="shared" si="62"/>
        <v>160.83333333333334</v>
      </c>
      <c r="Y134" s="624">
        <v>146.09090909090909</v>
      </c>
      <c r="Z134" s="519">
        <v>0</v>
      </c>
      <c r="AA134" s="519">
        <v>0</v>
      </c>
      <c r="AB134" s="519">
        <v>0</v>
      </c>
      <c r="AC134" s="519">
        <v>0</v>
      </c>
      <c r="AD134" s="519">
        <v>0</v>
      </c>
      <c r="AE134" s="519">
        <v>136</v>
      </c>
      <c r="AF134" s="519">
        <v>143.33333333333334</v>
      </c>
      <c r="AG134" s="519">
        <v>142</v>
      </c>
      <c r="AH134" s="519">
        <v>135</v>
      </c>
      <c r="AI134" s="519">
        <v>142</v>
      </c>
      <c r="AJ134" s="519">
        <v>134.33333333333334</v>
      </c>
      <c r="AK134" s="519">
        <v>0</v>
      </c>
      <c r="AL134" s="519">
        <v>143</v>
      </c>
      <c r="AM134" s="519">
        <v>136.5</v>
      </c>
      <c r="AN134" s="519">
        <v>160.83333333333334</v>
      </c>
    </row>
    <row r="135" spans="1:40" x14ac:dyDescent="0.3">
      <c r="A135" s="489" t="s">
        <v>1414</v>
      </c>
      <c r="B135" s="489" t="s">
        <v>1728</v>
      </c>
      <c r="C135" s="489" t="s">
        <v>1852</v>
      </c>
      <c r="D135" s="489" t="s">
        <v>46</v>
      </c>
      <c r="E135" s="619">
        <v>33</v>
      </c>
      <c r="F135" s="624">
        <f t="shared" si="47"/>
        <v>154.15151515151516</v>
      </c>
      <c r="G135" s="519">
        <f t="shared" si="48"/>
        <v>148</v>
      </c>
      <c r="H135" s="519">
        <f t="shared" si="49"/>
        <v>148</v>
      </c>
      <c r="I135" s="519">
        <f t="shared" si="50"/>
        <v>148</v>
      </c>
      <c r="J135" s="519">
        <f t="shared" si="51"/>
        <v>164</v>
      </c>
      <c r="K135" s="519">
        <f t="shared" si="52"/>
        <v>164</v>
      </c>
      <c r="L135" s="519">
        <f t="shared" si="53"/>
        <v>158</v>
      </c>
      <c r="M135" s="519">
        <f t="shared" si="54"/>
        <v>155.5</v>
      </c>
      <c r="N135" s="519">
        <f t="shared" si="55"/>
        <v>155.5</v>
      </c>
      <c r="O135" s="519">
        <f t="shared" si="56"/>
        <v>156.33333333333334</v>
      </c>
      <c r="P135" s="519">
        <f t="shared" si="57"/>
        <v>149.625</v>
      </c>
      <c r="Q135" s="519">
        <f t="shared" si="58"/>
        <v>153.88888888888889</v>
      </c>
      <c r="R135" s="519">
        <f t="shared" si="59"/>
        <v>155.5</v>
      </c>
      <c r="S135" s="519">
        <f t="shared" si="60"/>
        <v>164</v>
      </c>
      <c r="T135" s="519">
        <f t="shared" si="61"/>
        <v>0</v>
      </c>
      <c r="U135" s="519">
        <f t="shared" si="62"/>
        <v>0</v>
      </c>
      <c r="Y135" s="624">
        <v>154.15151515151516</v>
      </c>
      <c r="Z135" s="519">
        <v>0</v>
      </c>
      <c r="AA135" s="519">
        <v>0</v>
      </c>
      <c r="AB135" s="519">
        <v>148</v>
      </c>
      <c r="AC135" s="519">
        <v>0</v>
      </c>
      <c r="AD135" s="519">
        <v>164</v>
      </c>
      <c r="AE135" s="519">
        <v>158</v>
      </c>
      <c r="AF135" s="519">
        <v>0</v>
      </c>
      <c r="AG135" s="519">
        <v>155.5</v>
      </c>
      <c r="AH135" s="519">
        <v>156.33333333333334</v>
      </c>
      <c r="AI135" s="519">
        <v>149.625</v>
      </c>
      <c r="AJ135" s="519">
        <v>153.88888888888889</v>
      </c>
      <c r="AK135" s="519">
        <v>155.5</v>
      </c>
      <c r="AL135" s="519">
        <v>164</v>
      </c>
      <c r="AM135" s="519">
        <v>0</v>
      </c>
      <c r="AN135" s="519">
        <v>0</v>
      </c>
    </row>
    <row r="136" spans="1:40" x14ac:dyDescent="0.3">
      <c r="A136" s="489" t="s">
        <v>1414</v>
      </c>
      <c r="B136" s="489" t="s">
        <v>1729</v>
      </c>
      <c r="C136" s="489" t="s">
        <v>1853</v>
      </c>
      <c r="D136" s="489" t="s">
        <v>46</v>
      </c>
      <c r="E136" s="619">
        <v>33</v>
      </c>
      <c r="F136" s="624">
        <f t="shared" si="47"/>
        <v>167.09090909090909</v>
      </c>
      <c r="G136" s="519">
        <f t="shared" si="48"/>
        <v>188</v>
      </c>
      <c r="H136" s="519">
        <f t="shared" si="49"/>
        <v>188</v>
      </c>
      <c r="I136" s="519">
        <f t="shared" si="50"/>
        <v>190.25</v>
      </c>
      <c r="J136" s="519">
        <f t="shared" si="51"/>
        <v>197</v>
      </c>
      <c r="K136" s="519">
        <f t="shared" si="52"/>
        <v>197.5</v>
      </c>
      <c r="L136" s="519">
        <f t="shared" si="53"/>
        <v>158.83333333333334</v>
      </c>
      <c r="M136" s="519">
        <f t="shared" si="54"/>
        <v>153</v>
      </c>
      <c r="N136" s="519">
        <f t="shared" si="55"/>
        <v>157</v>
      </c>
      <c r="O136" s="519">
        <f t="shared" si="56"/>
        <v>0</v>
      </c>
      <c r="P136" s="519">
        <f t="shared" si="57"/>
        <v>0</v>
      </c>
      <c r="Q136" s="519">
        <f t="shared" si="58"/>
        <v>0</v>
      </c>
      <c r="R136" s="519">
        <f t="shared" si="59"/>
        <v>0</v>
      </c>
      <c r="S136" s="519">
        <f t="shared" si="60"/>
        <v>0</v>
      </c>
      <c r="T136" s="519">
        <f t="shared" si="61"/>
        <v>0</v>
      </c>
      <c r="U136" s="519">
        <f t="shared" si="62"/>
        <v>0</v>
      </c>
      <c r="Y136" s="624">
        <v>167.09090909090909</v>
      </c>
      <c r="Z136" s="519">
        <v>188</v>
      </c>
      <c r="AA136" s="519">
        <v>188</v>
      </c>
      <c r="AB136" s="519">
        <v>190.25</v>
      </c>
      <c r="AC136" s="519">
        <v>197</v>
      </c>
      <c r="AD136" s="519">
        <v>197.5</v>
      </c>
      <c r="AE136" s="519">
        <v>158.83333333333334</v>
      </c>
      <c r="AF136" s="519">
        <v>153</v>
      </c>
      <c r="AG136" s="519">
        <v>157</v>
      </c>
      <c r="AH136" s="519">
        <v>0</v>
      </c>
      <c r="AI136" s="519">
        <v>0</v>
      </c>
      <c r="AJ136" s="519">
        <v>0</v>
      </c>
      <c r="AK136" s="519">
        <v>0</v>
      </c>
      <c r="AL136" s="519">
        <v>0</v>
      </c>
      <c r="AM136" s="519">
        <v>0</v>
      </c>
      <c r="AN136" s="519">
        <v>0</v>
      </c>
    </row>
    <row r="137" spans="1:40" x14ac:dyDescent="0.3">
      <c r="A137" s="489" t="s">
        <v>1605</v>
      </c>
      <c r="B137" s="489" t="s">
        <v>1730</v>
      </c>
      <c r="C137" s="489" t="s">
        <v>1854</v>
      </c>
      <c r="D137" s="489" t="s">
        <v>46</v>
      </c>
      <c r="E137" s="619">
        <v>32</v>
      </c>
      <c r="F137" s="624">
        <f t="shared" si="47"/>
        <v>160.15625</v>
      </c>
      <c r="G137" s="519">
        <f t="shared" si="48"/>
        <v>157</v>
      </c>
      <c r="H137" s="519">
        <f t="shared" si="49"/>
        <v>157</v>
      </c>
      <c r="I137" s="519">
        <f t="shared" si="50"/>
        <v>157</v>
      </c>
      <c r="J137" s="519">
        <f t="shared" si="51"/>
        <v>172.625</v>
      </c>
      <c r="K137" s="519">
        <f t="shared" si="52"/>
        <v>172.625</v>
      </c>
      <c r="L137" s="519">
        <f t="shared" si="53"/>
        <v>172.625</v>
      </c>
      <c r="M137" s="519">
        <f t="shared" si="54"/>
        <v>177.63636363636363</v>
      </c>
      <c r="N137" s="519">
        <f t="shared" si="55"/>
        <v>124</v>
      </c>
      <c r="O137" s="519">
        <f t="shared" si="56"/>
        <v>124</v>
      </c>
      <c r="P137" s="519">
        <f t="shared" si="57"/>
        <v>136.5</v>
      </c>
      <c r="Q137" s="519">
        <f t="shared" si="58"/>
        <v>124</v>
      </c>
      <c r="R137" s="519">
        <f t="shared" si="59"/>
        <v>178</v>
      </c>
      <c r="S137" s="519">
        <f t="shared" si="60"/>
        <v>178</v>
      </c>
      <c r="T137" s="519">
        <f t="shared" si="61"/>
        <v>0</v>
      </c>
      <c r="U137" s="519">
        <f t="shared" si="62"/>
        <v>0</v>
      </c>
      <c r="Y137" s="624">
        <v>160.15625</v>
      </c>
      <c r="Z137" s="519">
        <v>0</v>
      </c>
      <c r="AA137" s="519">
        <v>157</v>
      </c>
      <c r="AB137" s="519">
        <v>157</v>
      </c>
      <c r="AC137" s="519">
        <v>0</v>
      </c>
      <c r="AD137" s="519">
        <v>0</v>
      </c>
      <c r="AE137" s="519">
        <v>172.625</v>
      </c>
      <c r="AF137" s="519">
        <v>177.63636363636363</v>
      </c>
      <c r="AG137" s="519">
        <v>124</v>
      </c>
      <c r="AH137" s="519">
        <v>124</v>
      </c>
      <c r="AI137" s="519">
        <v>136.5</v>
      </c>
      <c r="AJ137" s="519">
        <v>124</v>
      </c>
      <c r="AK137" s="519">
        <v>0</v>
      </c>
      <c r="AL137" s="519">
        <v>178</v>
      </c>
      <c r="AM137" s="519">
        <v>0</v>
      </c>
      <c r="AN137" s="519">
        <v>0</v>
      </c>
    </row>
    <row r="138" spans="1:40" x14ac:dyDescent="0.3">
      <c r="A138" s="489" t="s">
        <v>1451</v>
      </c>
      <c r="B138" s="489" t="s">
        <v>1731</v>
      </c>
      <c r="C138" s="489" t="s">
        <v>1855</v>
      </c>
      <c r="D138" s="489" t="s">
        <v>46</v>
      </c>
      <c r="E138" s="619">
        <v>32</v>
      </c>
      <c r="F138" s="624">
        <f t="shared" si="47"/>
        <v>114.3125</v>
      </c>
      <c r="G138" s="519">
        <f t="shared" si="48"/>
        <v>119.66666666666667</v>
      </c>
      <c r="H138" s="519">
        <f t="shared" si="49"/>
        <v>133.5</v>
      </c>
      <c r="I138" s="519">
        <f t="shared" si="50"/>
        <v>130.66666666666666</v>
      </c>
      <c r="J138" s="519">
        <f t="shared" si="51"/>
        <v>122</v>
      </c>
      <c r="K138" s="519">
        <f t="shared" si="52"/>
        <v>134.33333333333334</v>
      </c>
      <c r="L138" s="519">
        <f t="shared" si="53"/>
        <v>89</v>
      </c>
      <c r="M138" s="519">
        <f t="shared" si="54"/>
        <v>89</v>
      </c>
      <c r="N138" s="519">
        <f t="shared" si="55"/>
        <v>101.375</v>
      </c>
      <c r="O138" s="519">
        <f t="shared" si="56"/>
        <v>97</v>
      </c>
      <c r="P138" s="519">
        <f t="shared" si="57"/>
        <v>0</v>
      </c>
      <c r="Q138" s="519">
        <f t="shared" si="58"/>
        <v>0</v>
      </c>
      <c r="R138" s="519">
        <f t="shared" si="59"/>
        <v>0</v>
      </c>
      <c r="S138" s="519">
        <f t="shared" si="60"/>
        <v>0</v>
      </c>
      <c r="T138" s="519">
        <f t="shared" si="61"/>
        <v>0</v>
      </c>
      <c r="U138" s="519">
        <f t="shared" si="62"/>
        <v>0</v>
      </c>
      <c r="Y138" s="624">
        <v>114.3125</v>
      </c>
      <c r="Z138" s="519">
        <v>119.66666666666667</v>
      </c>
      <c r="AA138" s="519">
        <v>133.5</v>
      </c>
      <c r="AB138" s="519">
        <v>130.66666666666666</v>
      </c>
      <c r="AC138" s="519">
        <v>122</v>
      </c>
      <c r="AD138" s="519">
        <v>134.33333333333334</v>
      </c>
      <c r="AE138" s="519">
        <v>0</v>
      </c>
      <c r="AF138" s="519">
        <v>89</v>
      </c>
      <c r="AG138" s="519">
        <v>101.375</v>
      </c>
      <c r="AH138" s="519">
        <v>97</v>
      </c>
      <c r="AI138" s="519">
        <v>0</v>
      </c>
      <c r="AJ138" s="519">
        <v>0</v>
      </c>
      <c r="AK138" s="519">
        <v>0</v>
      </c>
      <c r="AL138" s="519">
        <v>0</v>
      </c>
      <c r="AM138" s="519">
        <v>0</v>
      </c>
      <c r="AN138" s="519">
        <v>0</v>
      </c>
    </row>
    <row r="139" spans="1:40" x14ac:dyDescent="0.3">
      <c r="A139" s="489" t="s">
        <v>1414</v>
      </c>
      <c r="B139" s="489" t="s">
        <v>1732</v>
      </c>
      <c r="C139" s="489" t="s">
        <v>1856</v>
      </c>
      <c r="D139" s="489" t="s">
        <v>46</v>
      </c>
      <c r="E139" s="619">
        <v>31</v>
      </c>
      <c r="F139" s="624">
        <f t="shared" si="47"/>
        <v>251.32258064516128</v>
      </c>
      <c r="G139" s="519">
        <f t="shared" si="48"/>
        <v>246.18181818181819</v>
      </c>
      <c r="H139" s="519">
        <f t="shared" si="49"/>
        <v>246.18181818181819</v>
      </c>
      <c r="I139" s="519">
        <f t="shared" si="50"/>
        <v>246.18181818181819</v>
      </c>
      <c r="J139" s="519">
        <f t="shared" si="51"/>
        <v>246.18181818181819</v>
      </c>
      <c r="K139" s="519">
        <f t="shared" si="52"/>
        <v>246.18181818181819</v>
      </c>
      <c r="L139" s="519">
        <f t="shared" si="53"/>
        <v>246.18181818181819</v>
      </c>
      <c r="M139" s="519">
        <f t="shared" si="54"/>
        <v>246.18181818181819</v>
      </c>
      <c r="N139" s="519">
        <f t="shared" si="55"/>
        <v>246.18181818181819</v>
      </c>
      <c r="O139" s="519">
        <f t="shared" si="56"/>
        <v>246.18181818181819</v>
      </c>
      <c r="P139" s="519">
        <f t="shared" si="57"/>
        <v>246.18181818181819</v>
      </c>
      <c r="Q139" s="519">
        <f t="shared" si="58"/>
        <v>246.18181818181819</v>
      </c>
      <c r="R139" s="519">
        <f t="shared" si="59"/>
        <v>246.18181818181819</v>
      </c>
      <c r="S139" s="519">
        <f t="shared" si="60"/>
        <v>246.18181818181819</v>
      </c>
      <c r="T139" s="519">
        <f t="shared" si="61"/>
        <v>254.15</v>
      </c>
      <c r="U139" s="519">
        <f t="shared" si="62"/>
        <v>0</v>
      </c>
      <c r="Y139" s="624">
        <v>251.32258064516128</v>
      </c>
      <c r="Z139" s="519">
        <v>0</v>
      </c>
      <c r="AA139" s="519">
        <v>0</v>
      </c>
      <c r="AB139" s="519">
        <v>0</v>
      </c>
      <c r="AC139" s="519">
        <v>0</v>
      </c>
      <c r="AD139" s="519">
        <v>0</v>
      </c>
      <c r="AE139" s="519">
        <v>0</v>
      </c>
      <c r="AF139" s="519">
        <v>0</v>
      </c>
      <c r="AG139" s="519">
        <v>0</v>
      </c>
      <c r="AH139" s="519">
        <v>0</v>
      </c>
      <c r="AI139" s="519">
        <v>0</v>
      </c>
      <c r="AJ139" s="519">
        <v>0</v>
      </c>
      <c r="AK139" s="519">
        <v>0</v>
      </c>
      <c r="AL139" s="519">
        <v>246.18181818181819</v>
      </c>
      <c r="AM139" s="519">
        <v>254.15</v>
      </c>
      <c r="AN139" s="519">
        <v>0</v>
      </c>
    </row>
    <row r="140" spans="1:40" x14ac:dyDescent="0.3">
      <c r="A140" s="489" t="s">
        <v>1567</v>
      </c>
      <c r="B140" s="489">
        <v>5008</v>
      </c>
      <c r="C140" s="489" t="s">
        <v>1857</v>
      </c>
      <c r="D140" s="489" t="s">
        <v>46</v>
      </c>
      <c r="E140" s="619">
        <v>30</v>
      </c>
      <c r="F140" s="624">
        <f t="shared" si="47"/>
        <v>119.46666666666667</v>
      </c>
      <c r="G140" s="519">
        <f t="shared" si="48"/>
        <v>140</v>
      </c>
      <c r="H140" s="519">
        <f t="shared" si="49"/>
        <v>145.5</v>
      </c>
      <c r="I140" s="519">
        <f t="shared" si="50"/>
        <v>145.5</v>
      </c>
      <c r="J140" s="519">
        <f t="shared" si="51"/>
        <v>112</v>
      </c>
      <c r="K140" s="519">
        <f t="shared" si="52"/>
        <v>142</v>
      </c>
      <c r="L140" s="519">
        <f t="shared" si="53"/>
        <v>142</v>
      </c>
      <c r="M140" s="519">
        <f t="shared" si="54"/>
        <v>113.5</v>
      </c>
      <c r="N140" s="519">
        <f t="shared" si="55"/>
        <v>110.6</v>
      </c>
      <c r="O140" s="519">
        <f t="shared" si="56"/>
        <v>113</v>
      </c>
      <c r="P140" s="519">
        <f t="shared" si="57"/>
        <v>109</v>
      </c>
      <c r="Q140" s="519">
        <f t="shared" si="58"/>
        <v>109</v>
      </c>
      <c r="R140" s="519">
        <f t="shared" si="59"/>
        <v>109</v>
      </c>
      <c r="S140" s="519">
        <f t="shared" si="60"/>
        <v>114.33333333333333</v>
      </c>
      <c r="T140" s="519">
        <f t="shared" si="61"/>
        <v>158</v>
      </c>
      <c r="U140" s="519">
        <f t="shared" si="62"/>
        <v>135</v>
      </c>
      <c r="Y140" s="624">
        <v>119.46666666666667</v>
      </c>
      <c r="Z140" s="519">
        <v>140</v>
      </c>
      <c r="AA140" s="519">
        <v>0</v>
      </c>
      <c r="AB140" s="519">
        <v>145.5</v>
      </c>
      <c r="AC140" s="519">
        <v>112</v>
      </c>
      <c r="AD140" s="519">
        <v>0</v>
      </c>
      <c r="AE140" s="519">
        <v>142</v>
      </c>
      <c r="AF140" s="519">
        <v>113.5</v>
      </c>
      <c r="AG140" s="519">
        <v>110.6</v>
      </c>
      <c r="AH140" s="519">
        <v>113</v>
      </c>
      <c r="AI140" s="519">
        <v>109</v>
      </c>
      <c r="AJ140" s="519">
        <v>109</v>
      </c>
      <c r="AK140" s="519">
        <v>109</v>
      </c>
      <c r="AL140" s="519">
        <v>114.33333333333333</v>
      </c>
      <c r="AM140" s="519">
        <v>158</v>
      </c>
      <c r="AN140" s="519">
        <v>135</v>
      </c>
    </row>
    <row r="141" spans="1:40" x14ac:dyDescent="0.3">
      <c r="A141" s="489" t="s">
        <v>1414</v>
      </c>
      <c r="B141" s="489" t="s">
        <v>1371</v>
      </c>
      <c r="C141" s="489" t="s">
        <v>1425</v>
      </c>
      <c r="D141" s="489" t="s">
        <v>45</v>
      </c>
      <c r="E141" s="619">
        <v>30</v>
      </c>
      <c r="F141" s="624">
        <f t="shared" si="47"/>
        <v>306.10000000000002</v>
      </c>
      <c r="G141" s="519">
        <f t="shared" si="48"/>
        <v>376</v>
      </c>
      <c r="H141" s="519">
        <f t="shared" si="49"/>
        <v>376</v>
      </c>
      <c r="I141" s="519">
        <f t="shared" si="50"/>
        <v>376</v>
      </c>
      <c r="J141" s="519">
        <f t="shared" si="51"/>
        <v>376</v>
      </c>
      <c r="K141" s="519">
        <f t="shared" si="52"/>
        <v>421</v>
      </c>
      <c r="L141" s="519">
        <f t="shared" si="53"/>
        <v>268</v>
      </c>
      <c r="M141" s="519">
        <f t="shared" si="54"/>
        <v>268</v>
      </c>
      <c r="N141" s="519">
        <f t="shared" si="55"/>
        <v>329</v>
      </c>
      <c r="O141" s="519">
        <f t="shared" si="56"/>
        <v>329</v>
      </c>
      <c r="P141" s="519">
        <f t="shared" si="57"/>
        <v>329</v>
      </c>
      <c r="Q141" s="519">
        <f t="shared" si="58"/>
        <v>329</v>
      </c>
      <c r="R141" s="519">
        <f t="shared" si="59"/>
        <v>0</v>
      </c>
      <c r="S141" s="519">
        <f t="shared" si="60"/>
        <v>0</v>
      </c>
      <c r="T141" s="519">
        <f t="shared" si="61"/>
        <v>0</v>
      </c>
      <c r="U141" s="519">
        <f t="shared" si="62"/>
        <v>0</v>
      </c>
      <c r="Y141" s="624">
        <v>306.10000000000002</v>
      </c>
      <c r="Z141" s="519">
        <v>0</v>
      </c>
      <c r="AA141" s="519">
        <v>0</v>
      </c>
      <c r="AB141" s="519">
        <v>0</v>
      </c>
      <c r="AC141" s="519">
        <v>376</v>
      </c>
      <c r="AD141" s="519">
        <v>421</v>
      </c>
      <c r="AE141" s="519">
        <v>268</v>
      </c>
      <c r="AF141" s="519">
        <v>268</v>
      </c>
      <c r="AG141" s="519">
        <v>0</v>
      </c>
      <c r="AH141" s="519">
        <v>0</v>
      </c>
      <c r="AI141" s="519">
        <v>0</v>
      </c>
      <c r="AJ141" s="519">
        <v>329</v>
      </c>
      <c r="AK141" s="519">
        <v>0</v>
      </c>
      <c r="AL141" s="519">
        <v>0</v>
      </c>
      <c r="AM141" s="519">
        <v>0</v>
      </c>
      <c r="AN141" s="519">
        <v>0</v>
      </c>
    </row>
    <row r="142" spans="1:40" x14ac:dyDescent="0.3">
      <c r="A142" s="489" t="s">
        <v>1432</v>
      </c>
      <c r="B142" s="489" t="s">
        <v>1663</v>
      </c>
      <c r="C142" s="489" t="s">
        <v>1858</v>
      </c>
      <c r="D142" s="489" t="s">
        <v>46</v>
      </c>
      <c r="E142" s="619">
        <v>29</v>
      </c>
      <c r="F142" s="624">
        <f t="shared" si="47"/>
        <v>134.51724137931035</v>
      </c>
      <c r="G142" s="519">
        <f t="shared" si="48"/>
        <v>148</v>
      </c>
      <c r="H142" s="519">
        <f t="shared" si="49"/>
        <v>148</v>
      </c>
      <c r="I142" s="519">
        <f t="shared" si="50"/>
        <v>117</v>
      </c>
      <c r="J142" s="519">
        <f t="shared" si="51"/>
        <v>117</v>
      </c>
      <c r="K142" s="519">
        <f t="shared" si="52"/>
        <v>151</v>
      </c>
      <c r="L142" s="519">
        <f t="shared" si="53"/>
        <v>151</v>
      </c>
      <c r="M142" s="519">
        <f t="shared" si="54"/>
        <v>151</v>
      </c>
      <c r="N142" s="519">
        <f t="shared" si="55"/>
        <v>151</v>
      </c>
      <c r="O142" s="519">
        <f t="shared" si="56"/>
        <v>136.6</v>
      </c>
      <c r="P142" s="519">
        <f t="shared" si="57"/>
        <v>111</v>
      </c>
      <c r="Q142" s="519">
        <f t="shared" si="58"/>
        <v>120.71428571428571</v>
      </c>
      <c r="R142" s="519">
        <f t="shared" si="59"/>
        <v>163</v>
      </c>
      <c r="S142" s="519">
        <f t="shared" si="60"/>
        <v>138</v>
      </c>
      <c r="T142" s="519">
        <f t="shared" si="61"/>
        <v>127.8</v>
      </c>
      <c r="U142" s="519">
        <f t="shared" si="62"/>
        <v>179</v>
      </c>
      <c r="Y142" s="624">
        <v>134.51724137931035</v>
      </c>
      <c r="Z142" s="519">
        <v>0</v>
      </c>
      <c r="AA142" s="519">
        <v>148</v>
      </c>
      <c r="AB142" s="519">
        <v>0</v>
      </c>
      <c r="AC142" s="519">
        <v>117</v>
      </c>
      <c r="AD142" s="519">
        <v>0</v>
      </c>
      <c r="AE142" s="519">
        <v>0</v>
      </c>
      <c r="AF142" s="519">
        <v>0</v>
      </c>
      <c r="AG142" s="519">
        <v>151</v>
      </c>
      <c r="AH142" s="519">
        <v>136.6</v>
      </c>
      <c r="AI142" s="519">
        <v>111</v>
      </c>
      <c r="AJ142" s="519">
        <v>120.71428571428571</v>
      </c>
      <c r="AK142" s="519">
        <v>163</v>
      </c>
      <c r="AL142" s="519">
        <v>138</v>
      </c>
      <c r="AM142" s="519">
        <v>127.8</v>
      </c>
      <c r="AN142" s="519">
        <v>179</v>
      </c>
    </row>
    <row r="143" spans="1:40" x14ac:dyDescent="0.3">
      <c r="A143" s="489" t="s">
        <v>1414</v>
      </c>
      <c r="B143" s="489" t="s">
        <v>1664</v>
      </c>
      <c r="C143" s="489" t="s">
        <v>1859</v>
      </c>
      <c r="D143" s="489" t="s">
        <v>46</v>
      </c>
      <c r="E143" s="619">
        <v>29</v>
      </c>
      <c r="F143" s="624">
        <f t="shared" si="47"/>
        <v>147.20689655172413</v>
      </c>
      <c r="G143" s="519">
        <f t="shared" si="48"/>
        <v>151</v>
      </c>
      <c r="H143" s="519">
        <f t="shared" si="49"/>
        <v>143</v>
      </c>
      <c r="I143" s="519">
        <f t="shared" si="50"/>
        <v>136</v>
      </c>
      <c r="J143" s="519">
        <f t="shared" si="51"/>
        <v>136</v>
      </c>
      <c r="K143" s="519">
        <f t="shared" si="52"/>
        <v>147.5</v>
      </c>
      <c r="L143" s="519">
        <f t="shared" si="53"/>
        <v>159.42857142857142</v>
      </c>
      <c r="M143" s="519">
        <f t="shared" si="54"/>
        <v>144.14285714285714</v>
      </c>
      <c r="N143" s="519">
        <f t="shared" si="55"/>
        <v>143</v>
      </c>
      <c r="O143" s="519">
        <f t="shared" si="56"/>
        <v>140.80000000000001</v>
      </c>
      <c r="P143" s="519">
        <f t="shared" si="57"/>
        <v>0</v>
      </c>
      <c r="Q143" s="519">
        <f t="shared" si="58"/>
        <v>0</v>
      </c>
      <c r="R143" s="519">
        <f t="shared" si="59"/>
        <v>0</v>
      </c>
      <c r="S143" s="519">
        <f t="shared" si="60"/>
        <v>0</v>
      </c>
      <c r="T143" s="519">
        <f t="shared" si="61"/>
        <v>0</v>
      </c>
      <c r="U143" s="519">
        <f t="shared" si="62"/>
        <v>0</v>
      </c>
      <c r="Y143" s="624">
        <v>147.20689655172413</v>
      </c>
      <c r="Z143" s="519">
        <v>151</v>
      </c>
      <c r="AA143" s="519">
        <v>143</v>
      </c>
      <c r="AB143" s="519">
        <v>0</v>
      </c>
      <c r="AC143" s="519">
        <v>136</v>
      </c>
      <c r="AD143" s="519">
        <v>147.5</v>
      </c>
      <c r="AE143" s="519">
        <v>159.42857142857142</v>
      </c>
      <c r="AF143" s="519">
        <v>144.14285714285714</v>
      </c>
      <c r="AG143" s="519">
        <v>143</v>
      </c>
      <c r="AH143" s="519">
        <v>140.80000000000001</v>
      </c>
      <c r="AI143" s="519">
        <v>0</v>
      </c>
      <c r="AJ143" s="519">
        <v>0</v>
      </c>
      <c r="AK143" s="519">
        <v>0</v>
      </c>
      <c r="AL143" s="519">
        <v>0</v>
      </c>
      <c r="AM143" s="519">
        <v>0</v>
      </c>
      <c r="AN143" s="519">
        <v>0</v>
      </c>
    </row>
    <row r="144" spans="1:40" x14ac:dyDescent="0.3">
      <c r="A144" s="489" t="s">
        <v>1441</v>
      </c>
      <c r="B144" s="489" t="s">
        <v>1733</v>
      </c>
      <c r="C144" s="489" t="s">
        <v>1860</v>
      </c>
      <c r="D144" s="489" t="s">
        <v>46</v>
      </c>
      <c r="E144" s="619">
        <v>28</v>
      </c>
      <c r="F144" s="624">
        <f t="shared" si="47"/>
        <v>210.60714285714286</v>
      </c>
      <c r="G144" s="519">
        <f t="shared" si="48"/>
        <v>195</v>
      </c>
      <c r="H144" s="519">
        <f t="shared" si="49"/>
        <v>195</v>
      </c>
      <c r="I144" s="519">
        <f t="shared" si="50"/>
        <v>195</v>
      </c>
      <c r="J144" s="519">
        <f t="shared" si="51"/>
        <v>195</v>
      </c>
      <c r="K144" s="519">
        <f t="shared" si="52"/>
        <v>195</v>
      </c>
      <c r="L144" s="519">
        <f t="shared" si="53"/>
        <v>195</v>
      </c>
      <c r="M144" s="519">
        <f t="shared" si="54"/>
        <v>195</v>
      </c>
      <c r="N144" s="519">
        <f t="shared" si="55"/>
        <v>195</v>
      </c>
      <c r="O144" s="519">
        <f t="shared" si="56"/>
        <v>195</v>
      </c>
      <c r="P144" s="519">
        <f t="shared" si="57"/>
        <v>195</v>
      </c>
      <c r="Q144" s="519">
        <f t="shared" si="58"/>
        <v>0</v>
      </c>
      <c r="R144" s="519">
        <f t="shared" si="59"/>
        <v>0</v>
      </c>
      <c r="S144" s="519">
        <f t="shared" si="60"/>
        <v>0</v>
      </c>
      <c r="T144" s="519">
        <f t="shared" si="61"/>
        <v>0</v>
      </c>
      <c r="U144" s="519">
        <f t="shared" si="62"/>
        <v>0</v>
      </c>
      <c r="Y144" s="624">
        <v>210.60714285714286</v>
      </c>
      <c r="Z144" s="519">
        <v>0</v>
      </c>
      <c r="AA144" s="519">
        <v>0</v>
      </c>
      <c r="AB144" s="519">
        <v>0</v>
      </c>
      <c r="AC144" s="519">
        <v>0</v>
      </c>
      <c r="AD144" s="519">
        <v>0</v>
      </c>
      <c r="AE144" s="519">
        <v>0</v>
      </c>
      <c r="AF144" s="519">
        <v>0</v>
      </c>
      <c r="AG144" s="519">
        <v>0</v>
      </c>
      <c r="AH144" s="519">
        <v>0</v>
      </c>
      <c r="AI144" s="519">
        <v>195</v>
      </c>
      <c r="AJ144" s="519">
        <v>0</v>
      </c>
      <c r="AK144" s="519">
        <v>0</v>
      </c>
      <c r="AL144" s="519">
        <v>0</v>
      </c>
      <c r="AM144" s="519">
        <v>0</v>
      </c>
      <c r="AN144" s="519">
        <v>0</v>
      </c>
    </row>
    <row r="145" spans="1:40" x14ac:dyDescent="0.3">
      <c r="A145" s="489" t="s">
        <v>1605</v>
      </c>
      <c r="B145" s="489" t="s">
        <v>1734</v>
      </c>
      <c r="C145" s="489" t="s">
        <v>1861</v>
      </c>
      <c r="D145" s="489" t="s">
        <v>1930</v>
      </c>
      <c r="E145" s="619">
        <v>28</v>
      </c>
      <c r="F145" s="624">
        <f t="shared" si="47"/>
        <v>48</v>
      </c>
      <c r="G145" s="519">
        <f t="shared" si="48"/>
        <v>48</v>
      </c>
      <c r="H145" s="519">
        <f t="shared" si="49"/>
        <v>48</v>
      </c>
      <c r="I145" s="519">
        <f t="shared" si="50"/>
        <v>48</v>
      </c>
      <c r="J145" s="519">
        <f t="shared" si="51"/>
        <v>48</v>
      </c>
      <c r="K145" s="519">
        <f t="shared" si="52"/>
        <v>48</v>
      </c>
      <c r="L145" s="519">
        <f t="shared" si="53"/>
        <v>48</v>
      </c>
      <c r="M145" s="519">
        <f t="shared" si="54"/>
        <v>48</v>
      </c>
      <c r="N145" s="519">
        <f t="shared" si="55"/>
        <v>48</v>
      </c>
      <c r="O145" s="519">
        <f t="shared" si="56"/>
        <v>48</v>
      </c>
      <c r="P145" s="519">
        <f t="shared" si="57"/>
        <v>48</v>
      </c>
      <c r="Q145" s="519">
        <f t="shared" si="58"/>
        <v>48</v>
      </c>
      <c r="R145" s="519">
        <f t="shared" si="59"/>
        <v>48</v>
      </c>
      <c r="S145" s="519">
        <f t="shared" si="60"/>
        <v>0</v>
      </c>
      <c r="T145" s="519">
        <f t="shared" si="61"/>
        <v>0</v>
      </c>
      <c r="U145" s="519">
        <f t="shared" si="62"/>
        <v>0</v>
      </c>
      <c r="Y145" s="624">
        <v>48</v>
      </c>
      <c r="Z145" s="519">
        <v>0</v>
      </c>
      <c r="AA145" s="519">
        <v>0</v>
      </c>
      <c r="AB145" s="519">
        <v>0</v>
      </c>
      <c r="AC145" s="519">
        <v>0</v>
      </c>
      <c r="AD145" s="519">
        <v>0</v>
      </c>
      <c r="AE145" s="519">
        <v>0</v>
      </c>
      <c r="AF145" s="519">
        <v>0</v>
      </c>
      <c r="AG145" s="519">
        <v>0</v>
      </c>
      <c r="AH145" s="519">
        <v>0</v>
      </c>
      <c r="AI145" s="519">
        <v>48</v>
      </c>
      <c r="AJ145" s="519">
        <v>48</v>
      </c>
      <c r="AK145" s="519">
        <v>48</v>
      </c>
      <c r="AL145" s="519">
        <v>0</v>
      </c>
      <c r="AM145" s="519">
        <v>0</v>
      </c>
      <c r="AN145" s="519">
        <v>0</v>
      </c>
    </row>
    <row r="146" spans="1:40" x14ac:dyDescent="0.3">
      <c r="A146" s="489" t="s">
        <v>1414</v>
      </c>
      <c r="B146" s="489" t="s">
        <v>1735</v>
      </c>
      <c r="C146" s="489" t="s">
        <v>1862</v>
      </c>
      <c r="D146" s="489" t="s">
        <v>141</v>
      </c>
      <c r="E146" s="619">
        <v>28</v>
      </c>
      <c r="F146" s="624">
        <f t="shared" si="47"/>
        <v>0</v>
      </c>
      <c r="G146" s="519">
        <f t="shared" si="48"/>
        <v>0</v>
      </c>
      <c r="H146" s="519">
        <f t="shared" si="49"/>
        <v>0</v>
      </c>
      <c r="I146" s="519">
        <f t="shared" si="50"/>
        <v>0</v>
      </c>
      <c r="J146" s="519">
        <f t="shared" si="51"/>
        <v>0</v>
      </c>
      <c r="K146" s="519">
        <f t="shared" si="52"/>
        <v>0</v>
      </c>
      <c r="L146" s="519">
        <f t="shared" si="53"/>
        <v>0</v>
      </c>
      <c r="M146" s="519">
        <f t="shared" si="54"/>
        <v>0</v>
      </c>
      <c r="N146" s="519">
        <f t="shared" si="55"/>
        <v>0</v>
      </c>
      <c r="O146" s="519">
        <f t="shared" si="56"/>
        <v>0</v>
      </c>
      <c r="P146" s="519">
        <f t="shared" si="57"/>
        <v>0</v>
      </c>
      <c r="Q146" s="519">
        <f t="shared" si="58"/>
        <v>0</v>
      </c>
      <c r="R146" s="519">
        <f t="shared" si="59"/>
        <v>0</v>
      </c>
      <c r="S146" s="519">
        <f t="shared" si="60"/>
        <v>0</v>
      </c>
      <c r="T146" s="519">
        <f t="shared" si="61"/>
        <v>0</v>
      </c>
      <c r="U146" s="519">
        <f t="shared" si="62"/>
        <v>0</v>
      </c>
      <c r="Y146" s="624">
        <v>0</v>
      </c>
      <c r="Z146" s="519">
        <v>0</v>
      </c>
      <c r="AA146" s="519">
        <v>0</v>
      </c>
      <c r="AB146" s="519">
        <v>0</v>
      </c>
      <c r="AC146" s="519">
        <v>0</v>
      </c>
      <c r="AD146" s="519">
        <v>0</v>
      </c>
      <c r="AE146" s="519">
        <v>0</v>
      </c>
      <c r="AF146" s="519">
        <v>0</v>
      </c>
      <c r="AG146" s="519">
        <v>0</v>
      </c>
      <c r="AH146" s="519">
        <v>0</v>
      </c>
      <c r="AI146" s="519">
        <v>0</v>
      </c>
      <c r="AJ146" s="519">
        <v>0</v>
      </c>
      <c r="AK146" s="519">
        <v>0</v>
      </c>
      <c r="AL146" s="519">
        <v>0</v>
      </c>
      <c r="AM146" s="519">
        <v>0</v>
      </c>
      <c r="AN146" s="519">
        <v>0</v>
      </c>
    </row>
    <row r="147" spans="1:40" x14ac:dyDescent="0.3">
      <c r="A147" s="489" t="s">
        <v>1605</v>
      </c>
      <c r="B147" s="489" t="s">
        <v>1730</v>
      </c>
      <c r="C147" s="489" t="s">
        <v>1854</v>
      </c>
      <c r="D147" s="489" t="s">
        <v>1936</v>
      </c>
      <c r="E147" s="619">
        <v>27</v>
      </c>
      <c r="F147" s="624">
        <f t="shared" si="47"/>
        <v>0</v>
      </c>
      <c r="G147" s="519">
        <f t="shared" si="48"/>
        <v>0</v>
      </c>
      <c r="H147" s="519">
        <f t="shared" si="49"/>
        <v>0</v>
      </c>
      <c r="I147" s="519">
        <f t="shared" si="50"/>
        <v>0</v>
      </c>
      <c r="J147" s="519">
        <f t="shared" si="51"/>
        <v>0</v>
      </c>
      <c r="K147" s="519">
        <f t="shared" si="52"/>
        <v>0</v>
      </c>
      <c r="L147" s="519">
        <f t="shared" si="53"/>
        <v>0</v>
      </c>
      <c r="M147" s="519">
        <f t="shared" si="54"/>
        <v>0</v>
      </c>
      <c r="N147" s="519">
        <f t="shared" si="55"/>
        <v>0</v>
      </c>
      <c r="O147" s="519">
        <f t="shared" si="56"/>
        <v>0</v>
      </c>
      <c r="P147" s="519">
        <f t="shared" si="57"/>
        <v>0</v>
      </c>
      <c r="Q147" s="519">
        <f t="shared" si="58"/>
        <v>0</v>
      </c>
      <c r="R147" s="519">
        <f t="shared" si="59"/>
        <v>0</v>
      </c>
      <c r="S147" s="519">
        <f t="shared" si="60"/>
        <v>0</v>
      </c>
      <c r="T147" s="519">
        <f t="shared" si="61"/>
        <v>0</v>
      </c>
      <c r="U147" s="519">
        <f t="shared" si="62"/>
        <v>0</v>
      </c>
      <c r="Y147" s="624">
        <v>0</v>
      </c>
      <c r="Z147" s="519">
        <v>0</v>
      </c>
      <c r="AA147" s="519">
        <v>0</v>
      </c>
      <c r="AB147" s="519">
        <v>0</v>
      </c>
      <c r="AC147" s="519">
        <v>0</v>
      </c>
      <c r="AD147" s="519">
        <v>0</v>
      </c>
      <c r="AE147" s="519">
        <v>0</v>
      </c>
      <c r="AF147" s="519">
        <v>0</v>
      </c>
      <c r="AG147" s="519">
        <v>0</v>
      </c>
      <c r="AH147" s="519">
        <v>0</v>
      </c>
      <c r="AI147" s="519">
        <v>0</v>
      </c>
      <c r="AJ147" s="519">
        <v>0</v>
      </c>
      <c r="AK147" s="519">
        <v>0</v>
      </c>
      <c r="AL147" s="519">
        <v>0</v>
      </c>
      <c r="AM147" s="519">
        <v>0</v>
      </c>
      <c r="AN147" s="519">
        <v>0</v>
      </c>
    </row>
    <row r="148" spans="1:40" x14ac:dyDescent="0.3">
      <c r="A148" s="489" t="s">
        <v>1677</v>
      </c>
      <c r="B148" s="489" t="s">
        <v>1736</v>
      </c>
      <c r="C148" s="489" t="s">
        <v>1863</v>
      </c>
      <c r="D148" s="489" t="s">
        <v>46</v>
      </c>
      <c r="E148" s="619">
        <v>26</v>
      </c>
      <c r="F148" s="624">
        <f t="shared" si="47"/>
        <v>120.46153846153847</v>
      </c>
      <c r="G148" s="519">
        <f t="shared" si="48"/>
        <v>119.5</v>
      </c>
      <c r="H148" s="519">
        <f t="shared" si="49"/>
        <v>119.5</v>
      </c>
      <c r="I148" s="519">
        <f t="shared" si="50"/>
        <v>109</v>
      </c>
      <c r="J148" s="519">
        <f t="shared" si="51"/>
        <v>109.83333333333333</v>
      </c>
      <c r="K148" s="519">
        <f t="shared" si="52"/>
        <v>126</v>
      </c>
      <c r="L148" s="519">
        <f t="shared" si="53"/>
        <v>127.4</v>
      </c>
      <c r="M148" s="519">
        <f t="shared" si="54"/>
        <v>119</v>
      </c>
      <c r="N148" s="519">
        <f t="shared" si="55"/>
        <v>119</v>
      </c>
      <c r="O148" s="519">
        <f t="shared" si="56"/>
        <v>129</v>
      </c>
      <c r="P148" s="519">
        <f t="shared" si="57"/>
        <v>112.5</v>
      </c>
      <c r="Q148" s="519">
        <f t="shared" si="58"/>
        <v>123</v>
      </c>
      <c r="R148" s="519">
        <f t="shared" si="59"/>
        <v>127</v>
      </c>
      <c r="S148" s="519">
        <f t="shared" si="60"/>
        <v>142</v>
      </c>
      <c r="T148" s="519">
        <f t="shared" si="61"/>
        <v>142</v>
      </c>
      <c r="U148" s="519">
        <f t="shared" si="62"/>
        <v>0</v>
      </c>
      <c r="Y148" s="624">
        <v>120.46153846153847</v>
      </c>
      <c r="Z148" s="519">
        <v>0</v>
      </c>
      <c r="AA148" s="519">
        <v>119.5</v>
      </c>
      <c r="AB148" s="519">
        <v>109</v>
      </c>
      <c r="AC148" s="519">
        <v>109.83333333333333</v>
      </c>
      <c r="AD148" s="519">
        <v>126</v>
      </c>
      <c r="AE148" s="519">
        <v>127.4</v>
      </c>
      <c r="AF148" s="519">
        <v>0</v>
      </c>
      <c r="AG148" s="519">
        <v>119</v>
      </c>
      <c r="AH148" s="519">
        <v>129</v>
      </c>
      <c r="AI148" s="519">
        <v>112.5</v>
      </c>
      <c r="AJ148" s="519">
        <v>123</v>
      </c>
      <c r="AK148" s="519">
        <v>127</v>
      </c>
      <c r="AL148" s="519">
        <v>0</v>
      </c>
      <c r="AM148" s="519">
        <v>142</v>
      </c>
      <c r="AN148" s="519">
        <v>0</v>
      </c>
    </row>
    <row r="149" spans="1:40" x14ac:dyDescent="0.3">
      <c r="A149" s="489" t="s">
        <v>1414</v>
      </c>
      <c r="B149" s="489" t="s">
        <v>1737</v>
      </c>
      <c r="C149" s="489" t="s">
        <v>1864</v>
      </c>
      <c r="D149" s="489" t="s">
        <v>46</v>
      </c>
      <c r="E149" s="619">
        <v>26</v>
      </c>
      <c r="F149" s="624">
        <f t="shared" si="47"/>
        <v>114.57692307692308</v>
      </c>
      <c r="G149" s="519">
        <f t="shared" si="48"/>
        <v>142</v>
      </c>
      <c r="H149" s="519">
        <f t="shared" si="49"/>
        <v>164</v>
      </c>
      <c r="I149" s="519">
        <f t="shared" si="50"/>
        <v>106.59090909090909</v>
      </c>
      <c r="J149" s="519">
        <f t="shared" si="51"/>
        <v>106.59090909090909</v>
      </c>
      <c r="K149" s="519">
        <f t="shared" si="52"/>
        <v>106.59090909090909</v>
      </c>
      <c r="L149" s="519">
        <f t="shared" si="53"/>
        <v>106.59090909090909</v>
      </c>
      <c r="M149" s="519">
        <f t="shared" si="54"/>
        <v>0</v>
      </c>
      <c r="N149" s="519">
        <f t="shared" si="55"/>
        <v>0</v>
      </c>
      <c r="O149" s="519">
        <f t="shared" si="56"/>
        <v>0</v>
      </c>
      <c r="P149" s="519">
        <f t="shared" si="57"/>
        <v>0</v>
      </c>
      <c r="Q149" s="519">
        <f t="shared" si="58"/>
        <v>0</v>
      </c>
      <c r="R149" s="519">
        <f t="shared" si="59"/>
        <v>0</v>
      </c>
      <c r="S149" s="519">
        <f t="shared" si="60"/>
        <v>0</v>
      </c>
      <c r="T149" s="519">
        <f t="shared" si="61"/>
        <v>0</v>
      </c>
      <c r="U149" s="519">
        <f t="shared" si="62"/>
        <v>0</v>
      </c>
      <c r="Y149" s="624">
        <v>114.57692307692308</v>
      </c>
      <c r="Z149" s="519">
        <v>142</v>
      </c>
      <c r="AA149" s="519">
        <v>164</v>
      </c>
      <c r="AB149" s="519">
        <v>0</v>
      </c>
      <c r="AC149" s="519">
        <v>0</v>
      </c>
      <c r="AD149" s="519">
        <v>0</v>
      </c>
      <c r="AE149" s="519">
        <v>106.59090909090909</v>
      </c>
      <c r="AF149" s="519">
        <v>0</v>
      </c>
      <c r="AG149" s="519">
        <v>0</v>
      </c>
      <c r="AH149" s="519">
        <v>0</v>
      </c>
      <c r="AI149" s="519">
        <v>0</v>
      </c>
      <c r="AJ149" s="519">
        <v>0</v>
      </c>
      <c r="AK149" s="519">
        <v>0</v>
      </c>
      <c r="AL149" s="519">
        <v>0</v>
      </c>
      <c r="AM149" s="519">
        <v>0</v>
      </c>
      <c r="AN149" s="519">
        <v>0</v>
      </c>
    </row>
    <row r="150" spans="1:40" x14ac:dyDescent="0.3">
      <c r="A150" s="489" t="s">
        <v>1414</v>
      </c>
      <c r="B150" s="489" t="s">
        <v>1430</v>
      </c>
      <c r="C150" s="489" t="s">
        <v>1431</v>
      </c>
      <c r="D150" s="489" t="s">
        <v>1665</v>
      </c>
      <c r="E150" s="619">
        <v>25</v>
      </c>
      <c r="F150" s="624">
        <f t="shared" si="47"/>
        <v>213.52</v>
      </c>
      <c r="G150" s="519">
        <f t="shared" si="48"/>
        <v>204</v>
      </c>
      <c r="H150" s="519">
        <f t="shared" si="49"/>
        <v>204</v>
      </c>
      <c r="I150" s="519">
        <f t="shared" si="50"/>
        <v>204</v>
      </c>
      <c r="J150" s="519">
        <f t="shared" si="51"/>
        <v>204</v>
      </c>
      <c r="K150" s="519">
        <f t="shared" si="52"/>
        <v>204</v>
      </c>
      <c r="L150" s="519">
        <f t="shared" si="53"/>
        <v>204</v>
      </c>
      <c r="M150" s="519">
        <f t="shared" si="54"/>
        <v>204</v>
      </c>
      <c r="N150" s="519">
        <f t="shared" si="55"/>
        <v>204</v>
      </c>
      <c r="O150" s="519">
        <f t="shared" si="56"/>
        <v>204</v>
      </c>
      <c r="P150" s="519">
        <f t="shared" si="57"/>
        <v>204</v>
      </c>
      <c r="Q150" s="519">
        <f t="shared" si="58"/>
        <v>204</v>
      </c>
      <c r="R150" s="519">
        <f t="shared" si="59"/>
        <v>238</v>
      </c>
      <c r="S150" s="519">
        <f t="shared" si="60"/>
        <v>238</v>
      </c>
      <c r="T150" s="519">
        <f t="shared" si="61"/>
        <v>238</v>
      </c>
      <c r="U150" s="519">
        <f t="shared" si="62"/>
        <v>0</v>
      </c>
      <c r="Y150" s="624">
        <v>213.52</v>
      </c>
      <c r="Z150" s="519">
        <v>0</v>
      </c>
      <c r="AA150" s="519">
        <v>0</v>
      </c>
      <c r="AB150" s="519">
        <v>0</v>
      </c>
      <c r="AC150" s="519">
        <v>0</v>
      </c>
      <c r="AD150" s="519">
        <v>0</v>
      </c>
      <c r="AE150" s="519">
        <v>204</v>
      </c>
      <c r="AF150" s="519">
        <v>204</v>
      </c>
      <c r="AG150" s="519">
        <v>204</v>
      </c>
      <c r="AH150" s="519">
        <v>0</v>
      </c>
      <c r="AI150" s="519">
        <v>204</v>
      </c>
      <c r="AJ150" s="519">
        <v>204</v>
      </c>
      <c r="AK150" s="519">
        <v>238</v>
      </c>
      <c r="AL150" s="519">
        <v>238</v>
      </c>
      <c r="AM150" s="519">
        <v>238</v>
      </c>
      <c r="AN150" s="519">
        <v>0</v>
      </c>
    </row>
    <row r="151" spans="1:40" x14ac:dyDescent="0.3">
      <c r="A151" s="489" t="s">
        <v>1414</v>
      </c>
      <c r="B151" s="489" t="s">
        <v>1738</v>
      </c>
      <c r="C151" s="489" t="s">
        <v>1865</v>
      </c>
      <c r="D151" s="489" t="s">
        <v>46</v>
      </c>
      <c r="E151" s="619">
        <v>25</v>
      </c>
      <c r="F151" s="624">
        <f t="shared" si="47"/>
        <v>179.48</v>
      </c>
      <c r="G151" s="519">
        <f t="shared" si="48"/>
        <v>173.5</v>
      </c>
      <c r="H151" s="519">
        <f t="shared" si="49"/>
        <v>193.8</v>
      </c>
      <c r="I151" s="519">
        <f t="shared" si="50"/>
        <v>192.33333333333334</v>
      </c>
      <c r="J151" s="519">
        <f t="shared" si="51"/>
        <v>195.4</v>
      </c>
      <c r="K151" s="519">
        <f t="shared" si="52"/>
        <v>165.2</v>
      </c>
      <c r="L151" s="519">
        <f t="shared" si="53"/>
        <v>165.2</v>
      </c>
      <c r="M151" s="519">
        <f t="shared" si="54"/>
        <v>160.25</v>
      </c>
      <c r="N151" s="519">
        <f t="shared" si="55"/>
        <v>150</v>
      </c>
      <c r="O151" s="519">
        <f t="shared" si="56"/>
        <v>0</v>
      </c>
      <c r="P151" s="519">
        <f t="shared" si="57"/>
        <v>0</v>
      </c>
      <c r="Q151" s="519">
        <f t="shared" si="58"/>
        <v>0</v>
      </c>
      <c r="R151" s="519">
        <f t="shared" si="59"/>
        <v>0</v>
      </c>
      <c r="S151" s="519">
        <f t="shared" si="60"/>
        <v>0</v>
      </c>
      <c r="T151" s="519">
        <f t="shared" si="61"/>
        <v>0</v>
      </c>
      <c r="U151" s="519">
        <f t="shared" si="62"/>
        <v>0</v>
      </c>
      <c r="Y151" s="624">
        <v>179.48</v>
      </c>
      <c r="Z151" s="519">
        <v>173.5</v>
      </c>
      <c r="AA151" s="519">
        <v>193.8</v>
      </c>
      <c r="AB151" s="519">
        <v>192.33333333333334</v>
      </c>
      <c r="AC151" s="519">
        <v>195.4</v>
      </c>
      <c r="AD151" s="519">
        <v>0</v>
      </c>
      <c r="AE151" s="519">
        <v>165.2</v>
      </c>
      <c r="AF151" s="519">
        <v>160.25</v>
      </c>
      <c r="AG151" s="519">
        <v>150</v>
      </c>
      <c r="AH151" s="519">
        <v>0</v>
      </c>
      <c r="AI151" s="519">
        <v>0</v>
      </c>
      <c r="AJ151" s="519">
        <v>0</v>
      </c>
      <c r="AK151" s="519">
        <v>0</v>
      </c>
      <c r="AL151" s="519">
        <v>0</v>
      </c>
      <c r="AM151" s="519">
        <v>0</v>
      </c>
      <c r="AN151" s="519">
        <v>0</v>
      </c>
    </row>
    <row r="152" spans="1:40" x14ac:dyDescent="0.3">
      <c r="A152" s="489" t="s">
        <v>1273</v>
      </c>
      <c r="B152" s="489" t="s">
        <v>1739</v>
      </c>
      <c r="C152" s="489" t="s">
        <v>1739</v>
      </c>
      <c r="D152" s="489" t="s">
        <v>141</v>
      </c>
      <c r="E152" s="619">
        <v>25</v>
      </c>
      <c r="F152" s="624">
        <f t="shared" si="47"/>
        <v>0</v>
      </c>
      <c r="G152" s="519">
        <f t="shared" si="48"/>
        <v>0</v>
      </c>
      <c r="H152" s="519">
        <f t="shared" si="49"/>
        <v>0</v>
      </c>
      <c r="I152" s="519">
        <f t="shared" si="50"/>
        <v>0</v>
      </c>
      <c r="J152" s="519">
        <f t="shared" si="51"/>
        <v>0</v>
      </c>
      <c r="K152" s="519">
        <f t="shared" si="52"/>
        <v>0</v>
      </c>
      <c r="L152" s="519">
        <f t="shared" si="53"/>
        <v>0</v>
      </c>
      <c r="M152" s="519">
        <f t="shared" si="54"/>
        <v>0</v>
      </c>
      <c r="N152" s="519">
        <f t="shared" si="55"/>
        <v>0</v>
      </c>
      <c r="O152" s="519">
        <f t="shared" si="56"/>
        <v>0</v>
      </c>
      <c r="P152" s="519">
        <f t="shared" si="57"/>
        <v>0</v>
      </c>
      <c r="Q152" s="519">
        <f t="shared" si="58"/>
        <v>0</v>
      </c>
      <c r="R152" s="519">
        <f t="shared" si="59"/>
        <v>0</v>
      </c>
      <c r="S152" s="519">
        <f t="shared" si="60"/>
        <v>0</v>
      </c>
      <c r="T152" s="519">
        <f t="shared" si="61"/>
        <v>0</v>
      </c>
      <c r="U152" s="519">
        <f t="shared" si="62"/>
        <v>0</v>
      </c>
      <c r="Y152" s="624">
        <v>0</v>
      </c>
      <c r="Z152" s="519">
        <v>0</v>
      </c>
      <c r="AA152" s="519">
        <v>0</v>
      </c>
      <c r="AB152" s="519">
        <v>0</v>
      </c>
      <c r="AC152" s="519">
        <v>0</v>
      </c>
      <c r="AD152" s="519">
        <v>0</v>
      </c>
      <c r="AE152" s="519">
        <v>0</v>
      </c>
      <c r="AF152" s="519">
        <v>0</v>
      </c>
      <c r="AG152" s="519">
        <v>0</v>
      </c>
      <c r="AH152" s="519">
        <v>0</v>
      </c>
      <c r="AI152" s="519">
        <v>0</v>
      </c>
      <c r="AJ152" s="519">
        <v>0</v>
      </c>
      <c r="AK152" s="519">
        <v>0</v>
      </c>
      <c r="AL152" s="519">
        <v>0</v>
      </c>
      <c r="AM152" s="519">
        <v>0</v>
      </c>
      <c r="AN152" s="519">
        <v>0</v>
      </c>
    </row>
    <row r="153" spans="1:40" x14ac:dyDescent="0.3">
      <c r="A153" s="489" t="s">
        <v>1454</v>
      </c>
      <c r="B153" s="489" t="s">
        <v>1740</v>
      </c>
      <c r="C153" s="489" t="s">
        <v>304</v>
      </c>
      <c r="D153" s="489" t="s">
        <v>46</v>
      </c>
      <c r="E153" s="619">
        <v>24</v>
      </c>
      <c r="F153" s="624">
        <f t="shared" si="47"/>
        <v>84.208333333333329</v>
      </c>
      <c r="G153" s="519">
        <f t="shared" si="48"/>
        <v>82</v>
      </c>
      <c r="H153" s="519">
        <f t="shared" si="49"/>
        <v>82</v>
      </c>
      <c r="I153" s="519">
        <f t="shared" si="50"/>
        <v>82</v>
      </c>
      <c r="J153" s="519">
        <f t="shared" si="51"/>
        <v>82</v>
      </c>
      <c r="K153" s="519">
        <f t="shared" si="52"/>
        <v>82</v>
      </c>
      <c r="L153" s="519">
        <f t="shared" si="53"/>
        <v>82</v>
      </c>
      <c r="M153" s="519">
        <f t="shared" si="54"/>
        <v>82</v>
      </c>
      <c r="N153" s="519">
        <f t="shared" si="55"/>
        <v>88.25</v>
      </c>
      <c r="O153" s="519">
        <f t="shared" si="56"/>
        <v>82</v>
      </c>
      <c r="P153" s="519">
        <f t="shared" si="57"/>
        <v>82</v>
      </c>
      <c r="Q153" s="519">
        <f t="shared" si="58"/>
        <v>87.4</v>
      </c>
      <c r="R153" s="519">
        <f t="shared" si="59"/>
        <v>83</v>
      </c>
      <c r="S153" s="519">
        <f t="shared" si="60"/>
        <v>0</v>
      </c>
      <c r="T153" s="519">
        <f t="shared" si="61"/>
        <v>0</v>
      </c>
      <c r="U153" s="519">
        <f t="shared" si="62"/>
        <v>0</v>
      </c>
      <c r="Y153" s="624">
        <v>84.208333333333329</v>
      </c>
      <c r="Z153" s="519">
        <v>0</v>
      </c>
      <c r="AA153" s="519">
        <v>0</v>
      </c>
      <c r="AB153" s="519">
        <v>0</v>
      </c>
      <c r="AC153" s="519">
        <v>0</v>
      </c>
      <c r="AD153" s="519">
        <v>0</v>
      </c>
      <c r="AE153" s="519">
        <v>0</v>
      </c>
      <c r="AF153" s="519">
        <v>82</v>
      </c>
      <c r="AG153" s="519">
        <v>88.25</v>
      </c>
      <c r="AH153" s="519">
        <v>82</v>
      </c>
      <c r="AI153" s="519">
        <v>82</v>
      </c>
      <c r="AJ153" s="519">
        <v>87.4</v>
      </c>
      <c r="AK153" s="519">
        <v>83</v>
      </c>
      <c r="AL153" s="519">
        <v>0</v>
      </c>
      <c r="AM153" s="519">
        <v>0</v>
      </c>
      <c r="AN153" s="519">
        <v>0</v>
      </c>
    </row>
    <row r="154" spans="1:40" x14ac:dyDescent="0.3">
      <c r="A154" s="489" t="s">
        <v>1561</v>
      </c>
      <c r="B154" s="489" t="s">
        <v>1562</v>
      </c>
      <c r="C154" s="489" t="s">
        <v>1563</v>
      </c>
      <c r="D154" s="489" t="s">
        <v>1929</v>
      </c>
      <c r="E154" s="619">
        <v>24</v>
      </c>
      <c r="F154" s="624">
        <f t="shared" si="47"/>
        <v>93.458333333333329</v>
      </c>
      <c r="G154" s="519">
        <f t="shared" si="48"/>
        <v>100</v>
      </c>
      <c r="H154" s="519">
        <f t="shared" si="49"/>
        <v>104</v>
      </c>
      <c r="I154" s="519">
        <f t="shared" si="50"/>
        <v>92</v>
      </c>
      <c r="J154" s="519">
        <f t="shared" si="51"/>
        <v>79</v>
      </c>
      <c r="K154" s="519">
        <f t="shared" si="52"/>
        <v>92</v>
      </c>
      <c r="L154" s="519">
        <f t="shared" si="53"/>
        <v>99</v>
      </c>
      <c r="M154" s="519">
        <f t="shared" si="54"/>
        <v>79</v>
      </c>
      <c r="N154" s="519">
        <f t="shared" si="55"/>
        <v>79</v>
      </c>
      <c r="O154" s="519">
        <f t="shared" si="56"/>
        <v>0</v>
      </c>
      <c r="P154" s="519">
        <f t="shared" si="57"/>
        <v>0</v>
      </c>
      <c r="Q154" s="519">
        <f t="shared" si="58"/>
        <v>0</v>
      </c>
      <c r="R154" s="519">
        <f t="shared" si="59"/>
        <v>0</v>
      </c>
      <c r="S154" s="519">
        <f t="shared" si="60"/>
        <v>0</v>
      </c>
      <c r="T154" s="519">
        <f t="shared" si="61"/>
        <v>0</v>
      </c>
      <c r="U154" s="519">
        <f t="shared" si="62"/>
        <v>0</v>
      </c>
      <c r="Y154" s="624">
        <v>93.458333333333329</v>
      </c>
      <c r="Z154" s="519">
        <v>100</v>
      </c>
      <c r="AA154" s="519">
        <v>104</v>
      </c>
      <c r="AB154" s="519">
        <v>92</v>
      </c>
      <c r="AC154" s="519">
        <v>79</v>
      </c>
      <c r="AD154" s="519">
        <v>92</v>
      </c>
      <c r="AE154" s="519">
        <v>99</v>
      </c>
      <c r="AF154" s="519">
        <v>79</v>
      </c>
      <c r="AG154" s="519">
        <v>79</v>
      </c>
      <c r="AH154" s="519">
        <v>0</v>
      </c>
      <c r="AI154" s="519">
        <v>0</v>
      </c>
      <c r="AJ154" s="519">
        <v>0</v>
      </c>
      <c r="AK154" s="519">
        <v>0</v>
      </c>
      <c r="AL154" s="519">
        <v>0</v>
      </c>
      <c r="AM154" s="519">
        <v>0</v>
      </c>
      <c r="AN154" s="519">
        <v>0</v>
      </c>
    </row>
    <row r="155" spans="1:40" x14ac:dyDescent="0.3">
      <c r="A155" s="489" t="s">
        <v>1422</v>
      </c>
      <c r="B155" s="489" t="s">
        <v>1741</v>
      </c>
      <c r="C155" s="489" t="s">
        <v>1866</v>
      </c>
      <c r="D155" s="489" t="s">
        <v>46</v>
      </c>
      <c r="E155" s="619">
        <v>24</v>
      </c>
      <c r="F155" s="624">
        <f t="shared" si="47"/>
        <v>152.29166666666666</v>
      </c>
      <c r="G155" s="519">
        <f t="shared" si="48"/>
        <v>157</v>
      </c>
      <c r="H155" s="519">
        <f t="shared" si="49"/>
        <v>143</v>
      </c>
      <c r="I155" s="519">
        <f t="shared" si="50"/>
        <v>134</v>
      </c>
      <c r="J155" s="519">
        <f t="shared" si="51"/>
        <v>162</v>
      </c>
      <c r="K155" s="519">
        <f t="shared" si="52"/>
        <v>162</v>
      </c>
      <c r="L155" s="519">
        <f t="shared" si="53"/>
        <v>166.125</v>
      </c>
      <c r="M155" s="519">
        <f t="shared" si="54"/>
        <v>137.33333333333334</v>
      </c>
      <c r="N155" s="519">
        <f t="shared" si="55"/>
        <v>137.33333333333334</v>
      </c>
      <c r="O155" s="519">
        <f t="shared" si="56"/>
        <v>0</v>
      </c>
      <c r="P155" s="519">
        <f t="shared" si="57"/>
        <v>0</v>
      </c>
      <c r="Q155" s="519">
        <f t="shared" si="58"/>
        <v>0</v>
      </c>
      <c r="R155" s="519">
        <f t="shared" si="59"/>
        <v>0</v>
      </c>
      <c r="S155" s="519">
        <f t="shared" si="60"/>
        <v>0</v>
      </c>
      <c r="T155" s="519">
        <f t="shared" si="61"/>
        <v>0</v>
      </c>
      <c r="U155" s="519">
        <f t="shared" si="62"/>
        <v>0</v>
      </c>
      <c r="Y155" s="624">
        <v>152.29166666666666</v>
      </c>
      <c r="Z155" s="519">
        <v>157</v>
      </c>
      <c r="AA155" s="519">
        <v>143</v>
      </c>
      <c r="AB155" s="519">
        <v>134</v>
      </c>
      <c r="AC155" s="519">
        <v>162</v>
      </c>
      <c r="AD155" s="519">
        <v>162</v>
      </c>
      <c r="AE155" s="519">
        <v>166.125</v>
      </c>
      <c r="AF155" s="519">
        <v>137.33333333333334</v>
      </c>
      <c r="AG155" s="519">
        <v>137.33333333333334</v>
      </c>
      <c r="AH155" s="519">
        <v>0</v>
      </c>
      <c r="AI155" s="519">
        <v>0</v>
      </c>
      <c r="AJ155" s="519">
        <v>0</v>
      </c>
      <c r="AK155" s="519">
        <v>0</v>
      </c>
      <c r="AL155" s="519">
        <v>0</v>
      </c>
      <c r="AM155" s="519">
        <v>0</v>
      </c>
      <c r="AN155" s="519">
        <v>0</v>
      </c>
    </row>
    <row r="156" spans="1:40" x14ac:dyDescent="0.3">
      <c r="A156" s="489" t="s">
        <v>1414</v>
      </c>
      <c r="B156" s="489" t="s">
        <v>1666</v>
      </c>
      <c r="C156" s="489" t="s">
        <v>1867</v>
      </c>
      <c r="D156" s="489" t="s">
        <v>46</v>
      </c>
      <c r="E156" s="619">
        <v>24</v>
      </c>
      <c r="F156" s="624">
        <f t="shared" si="47"/>
        <v>145.04166666666666</v>
      </c>
      <c r="G156" s="519">
        <f t="shared" si="48"/>
        <v>122.5</v>
      </c>
      <c r="H156" s="519">
        <f t="shared" si="49"/>
        <v>134.5</v>
      </c>
      <c r="I156" s="519">
        <f t="shared" si="50"/>
        <v>134.5</v>
      </c>
      <c r="J156" s="519">
        <f t="shared" si="51"/>
        <v>134.5</v>
      </c>
      <c r="K156" s="519">
        <f t="shared" si="52"/>
        <v>134.5</v>
      </c>
      <c r="L156" s="519">
        <f t="shared" si="53"/>
        <v>161</v>
      </c>
      <c r="M156" s="519">
        <f t="shared" si="54"/>
        <v>141</v>
      </c>
      <c r="N156" s="519">
        <f t="shared" si="55"/>
        <v>108</v>
      </c>
      <c r="O156" s="519">
        <f t="shared" si="56"/>
        <v>0</v>
      </c>
      <c r="P156" s="519">
        <f t="shared" si="57"/>
        <v>0</v>
      </c>
      <c r="Q156" s="519">
        <f t="shared" si="58"/>
        <v>0</v>
      </c>
      <c r="R156" s="519">
        <f t="shared" si="59"/>
        <v>0</v>
      </c>
      <c r="S156" s="519">
        <f t="shared" si="60"/>
        <v>0</v>
      </c>
      <c r="T156" s="519">
        <f t="shared" si="61"/>
        <v>0</v>
      </c>
      <c r="U156" s="519">
        <f t="shared" si="62"/>
        <v>0</v>
      </c>
      <c r="Y156" s="624">
        <v>145.04166666666666</v>
      </c>
      <c r="Z156" s="519">
        <v>122.5</v>
      </c>
      <c r="AA156" s="519">
        <v>0</v>
      </c>
      <c r="AB156" s="519">
        <v>0</v>
      </c>
      <c r="AC156" s="519">
        <v>0</v>
      </c>
      <c r="AD156" s="519">
        <v>134.5</v>
      </c>
      <c r="AE156" s="519">
        <v>161</v>
      </c>
      <c r="AF156" s="519">
        <v>141</v>
      </c>
      <c r="AG156" s="519">
        <v>108</v>
      </c>
      <c r="AH156" s="519">
        <v>0</v>
      </c>
      <c r="AI156" s="519">
        <v>0</v>
      </c>
      <c r="AJ156" s="519">
        <v>0</v>
      </c>
      <c r="AK156" s="519">
        <v>0</v>
      </c>
      <c r="AL156" s="519">
        <v>0</v>
      </c>
      <c r="AM156" s="519">
        <v>0</v>
      </c>
      <c r="AN156" s="519">
        <v>0</v>
      </c>
    </row>
    <row r="157" spans="1:40" x14ac:dyDescent="0.3">
      <c r="A157" s="489" t="s">
        <v>1742</v>
      </c>
      <c r="B157" s="489" t="s">
        <v>1743</v>
      </c>
      <c r="C157" s="489" t="s">
        <v>1868</v>
      </c>
      <c r="D157" s="489" t="s">
        <v>141</v>
      </c>
      <c r="E157" s="619">
        <v>24</v>
      </c>
      <c r="F157" s="624">
        <f t="shared" si="47"/>
        <v>0</v>
      </c>
      <c r="G157" s="519">
        <f t="shared" si="48"/>
        <v>0</v>
      </c>
      <c r="H157" s="519">
        <f t="shared" si="49"/>
        <v>0</v>
      </c>
      <c r="I157" s="519">
        <f t="shared" si="50"/>
        <v>0</v>
      </c>
      <c r="J157" s="519">
        <f t="shared" si="51"/>
        <v>0</v>
      </c>
      <c r="K157" s="519">
        <f t="shared" si="52"/>
        <v>0</v>
      </c>
      <c r="L157" s="519">
        <f t="shared" si="53"/>
        <v>0</v>
      </c>
      <c r="M157" s="519">
        <f t="shared" si="54"/>
        <v>0</v>
      </c>
      <c r="N157" s="519">
        <f t="shared" si="55"/>
        <v>0</v>
      </c>
      <c r="O157" s="519">
        <f t="shared" si="56"/>
        <v>0</v>
      </c>
      <c r="P157" s="519">
        <f t="shared" si="57"/>
        <v>0</v>
      </c>
      <c r="Q157" s="519">
        <f t="shared" si="58"/>
        <v>0</v>
      </c>
      <c r="R157" s="519">
        <f t="shared" si="59"/>
        <v>0</v>
      </c>
      <c r="S157" s="519">
        <f t="shared" si="60"/>
        <v>0</v>
      </c>
      <c r="T157" s="519">
        <f t="shared" si="61"/>
        <v>0</v>
      </c>
      <c r="U157" s="519">
        <f t="shared" si="62"/>
        <v>0</v>
      </c>
      <c r="Y157" s="624">
        <v>0</v>
      </c>
      <c r="Z157" s="519">
        <v>0</v>
      </c>
      <c r="AA157" s="519">
        <v>0</v>
      </c>
      <c r="AB157" s="519">
        <v>0</v>
      </c>
      <c r="AC157" s="519">
        <v>0</v>
      </c>
      <c r="AD157" s="519">
        <v>0</v>
      </c>
      <c r="AE157" s="519">
        <v>0</v>
      </c>
      <c r="AF157" s="519">
        <v>0</v>
      </c>
      <c r="AG157" s="519">
        <v>0</v>
      </c>
      <c r="AH157" s="519">
        <v>0</v>
      </c>
      <c r="AI157" s="519">
        <v>0</v>
      </c>
      <c r="AJ157" s="519">
        <v>0</v>
      </c>
      <c r="AK157" s="519">
        <v>0</v>
      </c>
      <c r="AL157" s="519">
        <v>0</v>
      </c>
      <c r="AM157" s="519">
        <v>0</v>
      </c>
      <c r="AN157" s="519">
        <v>0</v>
      </c>
    </row>
    <row r="158" spans="1:40" x14ac:dyDescent="0.3">
      <c r="A158" s="489" t="s">
        <v>1605</v>
      </c>
      <c r="B158" s="489" t="s">
        <v>1744</v>
      </c>
      <c r="C158" s="489" t="s">
        <v>1869</v>
      </c>
      <c r="D158" s="489" t="s">
        <v>1936</v>
      </c>
      <c r="E158" s="619">
        <v>24</v>
      </c>
      <c r="F158" s="624">
        <f t="shared" si="47"/>
        <v>0</v>
      </c>
      <c r="G158" s="519">
        <f t="shared" si="48"/>
        <v>0</v>
      </c>
      <c r="H158" s="519">
        <f t="shared" si="49"/>
        <v>0</v>
      </c>
      <c r="I158" s="519">
        <f t="shared" si="50"/>
        <v>0</v>
      </c>
      <c r="J158" s="519">
        <f t="shared" si="51"/>
        <v>0</v>
      </c>
      <c r="K158" s="519">
        <f t="shared" si="52"/>
        <v>0</v>
      </c>
      <c r="L158" s="519">
        <f t="shared" si="53"/>
        <v>0</v>
      </c>
      <c r="M158" s="519">
        <f t="shared" si="54"/>
        <v>0</v>
      </c>
      <c r="N158" s="519">
        <f t="shared" si="55"/>
        <v>0</v>
      </c>
      <c r="O158" s="519">
        <f t="shared" si="56"/>
        <v>0</v>
      </c>
      <c r="P158" s="519">
        <f t="shared" si="57"/>
        <v>0</v>
      </c>
      <c r="Q158" s="519">
        <f t="shared" si="58"/>
        <v>0</v>
      </c>
      <c r="R158" s="519">
        <f t="shared" si="59"/>
        <v>0</v>
      </c>
      <c r="S158" s="519">
        <f t="shared" si="60"/>
        <v>0</v>
      </c>
      <c r="T158" s="519">
        <f t="shared" si="61"/>
        <v>0</v>
      </c>
      <c r="U158" s="519">
        <f t="shared" si="62"/>
        <v>0</v>
      </c>
      <c r="Y158" s="624">
        <v>0</v>
      </c>
      <c r="Z158" s="519">
        <v>0</v>
      </c>
      <c r="AA158" s="519">
        <v>0</v>
      </c>
      <c r="AB158" s="519">
        <v>0</v>
      </c>
      <c r="AC158" s="519">
        <v>0</v>
      </c>
      <c r="AD158" s="519">
        <v>0</v>
      </c>
      <c r="AE158" s="519">
        <v>0</v>
      </c>
      <c r="AF158" s="519">
        <v>0</v>
      </c>
      <c r="AG158" s="519">
        <v>0</v>
      </c>
      <c r="AH158" s="519">
        <v>0</v>
      </c>
      <c r="AI158" s="519">
        <v>0</v>
      </c>
      <c r="AJ158" s="519">
        <v>0</v>
      </c>
      <c r="AK158" s="519">
        <v>0</v>
      </c>
      <c r="AL158" s="519">
        <v>0</v>
      </c>
      <c r="AM158" s="519">
        <v>0</v>
      </c>
      <c r="AN158" s="519">
        <v>0</v>
      </c>
    </row>
    <row r="159" spans="1:40" x14ac:dyDescent="0.3">
      <c r="A159" s="489" t="s">
        <v>1605</v>
      </c>
      <c r="B159" s="489" t="s">
        <v>1667</v>
      </c>
      <c r="C159" s="489" t="s">
        <v>349</v>
      </c>
      <c r="D159" s="489" t="s">
        <v>46</v>
      </c>
      <c r="E159" s="619">
        <v>23</v>
      </c>
      <c r="F159" s="624">
        <f t="shared" si="47"/>
        <v>94</v>
      </c>
      <c r="G159" s="519">
        <f t="shared" si="48"/>
        <v>101</v>
      </c>
      <c r="H159" s="519">
        <f t="shared" si="49"/>
        <v>101</v>
      </c>
      <c r="I159" s="519">
        <f t="shared" si="50"/>
        <v>143</v>
      </c>
      <c r="J159" s="519">
        <f t="shared" si="51"/>
        <v>104</v>
      </c>
      <c r="K159" s="519">
        <f t="shared" si="52"/>
        <v>95</v>
      </c>
      <c r="L159" s="519">
        <f t="shared" si="53"/>
        <v>95</v>
      </c>
      <c r="M159" s="519">
        <f t="shared" si="54"/>
        <v>95</v>
      </c>
      <c r="N159" s="519">
        <f t="shared" si="55"/>
        <v>102</v>
      </c>
      <c r="O159" s="519">
        <f t="shared" si="56"/>
        <v>102</v>
      </c>
      <c r="P159" s="519">
        <f t="shared" si="57"/>
        <v>90.833333333333329</v>
      </c>
      <c r="Q159" s="519">
        <f t="shared" si="58"/>
        <v>89.125</v>
      </c>
      <c r="R159" s="519">
        <f t="shared" si="59"/>
        <v>88</v>
      </c>
      <c r="S159" s="519">
        <f t="shared" si="60"/>
        <v>0</v>
      </c>
      <c r="T159" s="519">
        <f t="shared" si="61"/>
        <v>0</v>
      </c>
      <c r="U159" s="519">
        <f t="shared" si="62"/>
        <v>0</v>
      </c>
      <c r="Y159" s="624">
        <v>94</v>
      </c>
      <c r="Z159" s="519">
        <v>0</v>
      </c>
      <c r="AA159" s="519">
        <v>101</v>
      </c>
      <c r="AB159" s="519">
        <v>143</v>
      </c>
      <c r="AC159" s="519">
        <v>104</v>
      </c>
      <c r="AD159" s="519">
        <v>0</v>
      </c>
      <c r="AE159" s="519">
        <v>0</v>
      </c>
      <c r="AF159" s="519">
        <v>95</v>
      </c>
      <c r="AG159" s="519">
        <v>0</v>
      </c>
      <c r="AH159" s="519">
        <v>102</v>
      </c>
      <c r="AI159" s="519">
        <v>90.833333333333329</v>
      </c>
      <c r="AJ159" s="519">
        <v>89.125</v>
      </c>
      <c r="AK159" s="519">
        <v>88</v>
      </c>
      <c r="AL159" s="519">
        <v>0</v>
      </c>
      <c r="AM159" s="519">
        <v>0</v>
      </c>
      <c r="AN159" s="519">
        <v>0</v>
      </c>
    </row>
    <row r="160" spans="1:40" x14ac:dyDescent="0.3">
      <c r="A160" s="489" t="s">
        <v>1605</v>
      </c>
      <c r="B160" s="489" t="s">
        <v>1744</v>
      </c>
      <c r="C160" s="489" t="s">
        <v>1869</v>
      </c>
      <c r="D160" s="489" t="s">
        <v>46</v>
      </c>
      <c r="E160" s="619">
        <v>23</v>
      </c>
      <c r="F160" s="624">
        <f t="shared" si="47"/>
        <v>164.43478260869566</v>
      </c>
      <c r="G160" s="519">
        <f t="shared" si="48"/>
        <v>157</v>
      </c>
      <c r="H160" s="519">
        <f t="shared" si="49"/>
        <v>157</v>
      </c>
      <c r="I160" s="519">
        <f t="shared" si="50"/>
        <v>157</v>
      </c>
      <c r="J160" s="519">
        <f t="shared" si="51"/>
        <v>165.14285714285714</v>
      </c>
      <c r="K160" s="519">
        <f t="shared" si="52"/>
        <v>165.14285714285714</v>
      </c>
      <c r="L160" s="519">
        <f t="shared" si="53"/>
        <v>165.14285714285714</v>
      </c>
      <c r="M160" s="519">
        <f t="shared" si="54"/>
        <v>157</v>
      </c>
      <c r="N160" s="519">
        <f t="shared" si="55"/>
        <v>0</v>
      </c>
      <c r="O160" s="519">
        <f t="shared" si="56"/>
        <v>0</v>
      </c>
      <c r="P160" s="519">
        <f t="shared" si="57"/>
        <v>0</v>
      </c>
      <c r="Q160" s="519">
        <f t="shared" si="58"/>
        <v>0</v>
      </c>
      <c r="R160" s="519">
        <f t="shared" si="59"/>
        <v>0</v>
      </c>
      <c r="S160" s="519">
        <f t="shared" si="60"/>
        <v>0</v>
      </c>
      <c r="T160" s="519">
        <f t="shared" si="61"/>
        <v>0</v>
      </c>
      <c r="U160" s="519">
        <f t="shared" si="62"/>
        <v>0</v>
      </c>
      <c r="Y160" s="624">
        <v>164.43478260869566</v>
      </c>
      <c r="Z160" s="519">
        <v>0</v>
      </c>
      <c r="AA160" s="519">
        <v>0</v>
      </c>
      <c r="AB160" s="519">
        <v>157</v>
      </c>
      <c r="AC160" s="519">
        <v>0</v>
      </c>
      <c r="AD160" s="519">
        <v>0</v>
      </c>
      <c r="AE160" s="519">
        <v>165.14285714285714</v>
      </c>
      <c r="AF160" s="519">
        <v>157</v>
      </c>
      <c r="AG160" s="519">
        <v>0</v>
      </c>
      <c r="AH160" s="519">
        <v>0</v>
      </c>
      <c r="AI160" s="519">
        <v>0</v>
      </c>
      <c r="AJ160" s="519">
        <v>0</v>
      </c>
      <c r="AK160" s="519">
        <v>0</v>
      </c>
      <c r="AL160" s="519">
        <v>0</v>
      </c>
      <c r="AM160" s="519">
        <v>0</v>
      </c>
      <c r="AN160" s="519">
        <v>0</v>
      </c>
    </row>
    <row r="161" spans="1:40" x14ac:dyDescent="0.3">
      <c r="A161" s="489" t="s">
        <v>1414</v>
      </c>
      <c r="B161" s="489" t="s">
        <v>1745</v>
      </c>
      <c r="C161" s="489" t="s">
        <v>1870</v>
      </c>
      <c r="D161" s="489" t="s">
        <v>46</v>
      </c>
      <c r="E161" s="619">
        <v>23</v>
      </c>
      <c r="F161" s="624">
        <f t="shared" si="47"/>
        <v>144.82608695652175</v>
      </c>
      <c r="G161" s="519">
        <f t="shared" si="48"/>
        <v>129</v>
      </c>
      <c r="H161" s="519">
        <f t="shared" si="49"/>
        <v>129</v>
      </c>
      <c r="I161" s="519">
        <f t="shared" si="50"/>
        <v>129</v>
      </c>
      <c r="J161" s="519">
        <f t="shared" si="51"/>
        <v>139</v>
      </c>
      <c r="K161" s="519">
        <f t="shared" si="52"/>
        <v>172</v>
      </c>
      <c r="L161" s="519">
        <f t="shared" si="53"/>
        <v>157.11111111111111</v>
      </c>
      <c r="M161" s="519">
        <f t="shared" si="54"/>
        <v>143.5</v>
      </c>
      <c r="N161" s="519">
        <f t="shared" si="55"/>
        <v>129</v>
      </c>
      <c r="O161" s="519">
        <f t="shared" si="56"/>
        <v>129</v>
      </c>
      <c r="P161" s="519">
        <f t="shared" si="57"/>
        <v>0</v>
      </c>
      <c r="Q161" s="519">
        <f t="shared" si="58"/>
        <v>0</v>
      </c>
      <c r="R161" s="519">
        <f t="shared" si="59"/>
        <v>0</v>
      </c>
      <c r="S161" s="519">
        <f t="shared" si="60"/>
        <v>0</v>
      </c>
      <c r="T161" s="519">
        <f t="shared" si="61"/>
        <v>0</v>
      </c>
      <c r="U161" s="519">
        <f t="shared" si="62"/>
        <v>0</v>
      </c>
      <c r="Y161" s="624">
        <v>144.82608695652175</v>
      </c>
      <c r="Z161" s="519">
        <v>129</v>
      </c>
      <c r="AA161" s="519">
        <v>0</v>
      </c>
      <c r="AB161" s="519">
        <v>129</v>
      </c>
      <c r="AC161" s="519">
        <v>139</v>
      </c>
      <c r="AD161" s="519">
        <v>172</v>
      </c>
      <c r="AE161" s="519">
        <v>157.11111111111111</v>
      </c>
      <c r="AF161" s="519">
        <v>143.5</v>
      </c>
      <c r="AG161" s="519">
        <v>129</v>
      </c>
      <c r="AH161" s="519">
        <v>129</v>
      </c>
      <c r="AI161" s="519">
        <v>0</v>
      </c>
      <c r="AJ161" s="519">
        <v>0</v>
      </c>
      <c r="AK161" s="519">
        <v>0</v>
      </c>
      <c r="AL161" s="519">
        <v>0</v>
      </c>
      <c r="AM161" s="519">
        <v>0</v>
      </c>
      <c r="AN161" s="519">
        <v>0</v>
      </c>
    </row>
    <row r="162" spans="1:40" x14ac:dyDescent="0.3">
      <c r="A162" s="489" t="s">
        <v>1454</v>
      </c>
      <c r="B162" s="489" t="s">
        <v>1746</v>
      </c>
      <c r="C162" s="489" t="s">
        <v>1871</v>
      </c>
      <c r="D162" s="489" t="s">
        <v>46</v>
      </c>
      <c r="E162" s="619">
        <v>22</v>
      </c>
      <c r="F162" s="624">
        <f t="shared" si="47"/>
        <v>124.63636363636364</v>
      </c>
      <c r="G162" s="519">
        <f t="shared" si="48"/>
        <v>124</v>
      </c>
      <c r="H162" s="519">
        <f t="shared" si="49"/>
        <v>124</v>
      </c>
      <c r="I162" s="519">
        <f t="shared" si="50"/>
        <v>124</v>
      </c>
      <c r="J162" s="519">
        <f t="shared" si="51"/>
        <v>149</v>
      </c>
      <c r="K162" s="519">
        <f t="shared" si="52"/>
        <v>124</v>
      </c>
      <c r="L162" s="519">
        <f t="shared" si="53"/>
        <v>124</v>
      </c>
      <c r="M162" s="519">
        <f t="shared" si="54"/>
        <v>124</v>
      </c>
      <c r="N162" s="519">
        <f t="shared" si="55"/>
        <v>119</v>
      </c>
      <c r="O162" s="519">
        <f t="shared" si="56"/>
        <v>127</v>
      </c>
      <c r="P162" s="519">
        <f t="shared" si="57"/>
        <v>124</v>
      </c>
      <c r="Q162" s="519">
        <f t="shared" si="58"/>
        <v>124</v>
      </c>
      <c r="R162" s="519">
        <f t="shared" si="59"/>
        <v>116</v>
      </c>
      <c r="S162" s="519">
        <f t="shared" si="60"/>
        <v>121</v>
      </c>
      <c r="T162" s="519">
        <f t="shared" si="61"/>
        <v>128</v>
      </c>
      <c r="U162" s="519">
        <f t="shared" si="62"/>
        <v>145</v>
      </c>
      <c r="Y162" s="624">
        <v>124.63636363636364</v>
      </c>
      <c r="Z162" s="519">
        <v>0</v>
      </c>
      <c r="AA162" s="519">
        <v>0</v>
      </c>
      <c r="AB162" s="519">
        <v>124</v>
      </c>
      <c r="AC162" s="519">
        <v>149</v>
      </c>
      <c r="AD162" s="519">
        <v>0</v>
      </c>
      <c r="AE162" s="519">
        <v>124</v>
      </c>
      <c r="AF162" s="519">
        <v>124</v>
      </c>
      <c r="AG162" s="519">
        <v>119</v>
      </c>
      <c r="AH162" s="519">
        <v>127</v>
      </c>
      <c r="AI162" s="519">
        <v>124</v>
      </c>
      <c r="AJ162" s="519">
        <v>124</v>
      </c>
      <c r="AK162" s="519">
        <v>116</v>
      </c>
      <c r="AL162" s="519">
        <v>121</v>
      </c>
      <c r="AM162" s="519">
        <v>128</v>
      </c>
      <c r="AN162" s="519">
        <v>145</v>
      </c>
    </row>
    <row r="163" spans="1:40" x14ac:dyDescent="0.3">
      <c r="A163" s="489" t="s">
        <v>1454</v>
      </c>
      <c r="B163" s="489" t="s">
        <v>1455</v>
      </c>
      <c r="C163" s="489" t="s">
        <v>1456</v>
      </c>
      <c r="D163" s="489" t="s">
        <v>46</v>
      </c>
      <c r="E163" s="619">
        <v>22</v>
      </c>
      <c r="F163" s="624">
        <f t="shared" si="47"/>
        <v>147.54545454545453</v>
      </c>
      <c r="G163" s="519">
        <f t="shared" si="48"/>
        <v>120</v>
      </c>
      <c r="H163" s="519">
        <f t="shared" si="49"/>
        <v>120</v>
      </c>
      <c r="I163" s="519">
        <f t="shared" si="50"/>
        <v>120</v>
      </c>
      <c r="J163" s="519">
        <f t="shared" si="51"/>
        <v>120</v>
      </c>
      <c r="K163" s="519">
        <f t="shared" si="52"/>
        <v>120</v>
      </c>
      <c r="L163" s="519">
        <f t="shared" si="53"/>
        <v>118</v>
      </c>
      <c r="M163" s="519">
        <f t="shared" si="54"/>
        <v>168</v>
      </c>
      <c r="N163" s="519">
        <f t="shared" si="55"/>
        <v>120</v>
      </c>
      <c r="O163" s="519">
        <f t="shared" si="56"/>
        <v>121</v>
      </c>
      <c r="P163" s="519">
        <f t="shared" si="57"/>
        <v>144.5</v>
      </c>
      <c r="Q163" s="519">
        <f t="shared" si="58"/>
        <v>169</v>
      </c>
      <c r="R163" s="519">
        <f t="shared" si="59"/>
        <v>169</v>
      </c>
      <c r="S163" s="519">
        <f t="shared" si="60"/>
        <v>169</v>
      </c>
      <c r="T163" s="519">
        <f t="shared" si="61"/>
        <v>189</v>
      </c>
      <c r="U163" s="519">
        <f t="shared" si="62"/>
        <v>0</v>
      </c>
      <c r="Y163" s="624">
        <v>147.54545454545453</v>
      </c>
      <c r="Z163" s="519">
        <v>0</v>
      </c>
      <c r="AA163" s="519">
        <v>120</v>
      </c>
      <c r="AB163" s="519">
        <v>120</v>
      </c>
      <c r="AC163" s="519">
        <v>120</v>
      </c>
      <c r="AD163" s="519">
        <v>120</v>
      </c>
      <c r="AE163" s="519">
        <v>118</v>
      </c>
      <c r="AF163" s="519">
        <v>168</v>
      </c>
      <c r="AG163" s="519">
        <v>120</v>
      </c>
      <c r="AH163" s="519">
        <v>121</v>
      </c>
      <c r="AI163" s="519">
        <v>144.5</v>
      </c>
      <c r="AJ163" s="519">
        <v>169</v>
      </c>
      <c r="AK163" s="519">
        <v>0</v>
      </c>
      <c r="AL163" s="519">
        <v>169</v>
      </c>
      <c r="AM163" s="519">
        <v>189</v>
      </c>
      <c r="AN163" s="519">
        <v>0</v>
      </c>
    </row>
    <row r="164" spans="1:40" x14ac:dyDescent="0.3">
      <c r="A164" s="489" t="s">
        <v>1414</v>
      </c>
      <c r="B164" s="489" t="s">
        <v>1668</v>
      </c>
      <c r="C164" s="489" t="s">
        <v>1872</v>
      </c>
      <c r="D164" s="489" t="s">
        <v>1936</v>
      </c>
      <c r="E164" s="619">
        <v>22</v>
      </c>
      <c r="F164" s="624">
        <f t="shared" si="47"/>
        <v>0</v>
      </c>
      <c r="G164" s="519">
        <f t="shared" si="48"/>
        <v>0</v>
      </c>
      <c r="H164" s="519">
        <f t="shared" si="49"/>
        <v>0</v>
      </c>
      <c r="I164" s="519">
        <f t="shared" si="50"/>
        <v>0</v>
      </c>
      <c r="J164" s="519">
        <f t="shared" si="51"/>
        <v>0</v>
      </c>
      <c r="K164" s="519">
        <f t="shared" si="52"/>
        <v>0</v>
      </c>
      <c r="L164" s="519">
        <f t="shared" si="53"/>
        <v>0</v>
      </c>
      <c r="M164" s="519">
        <f t="shared" si="54"/>
        <v>0</v>
      </c>
      <c r="N164" s="519">
        <f t="shared" si="55"/>
        <v>0</v>
      </c>
      <c r="O164" s="519">
        <f t="shared" si="56"/>
        <v>0</v>
      </c>
      <c r="P164" s="519">
        <f t="shared" si="57"/>
        <v>0</v>
      </c>
      <c r="Q164" s="519">
        <f t="shared" si="58"/>
        <v>0</v>
      </c>
      <c r="R164" s="519">
        <f t="shared" si="59"/>
        <v>0</v>
      </c>
      <c r="S164" s="519">
        <f t="shared" si="60"/>
        <v>0</v>
      </c>
      <c r="T164" s="519">
        <f t="shared" si="61"/>
        <v>0</v>
      </c>
      <c r="U164" s="519">
        <f t="shared" si="62"/>
        <v>0</v>
      </c>
      <c r="Y164" s="624">
        <v>0</v>
      </c>
      <c r="Z164" s="519">
        <v>0</v>
      </c>
      <c r="AA164" s="519">
        <v>0</v>
      </c>
      <c r="AB164" s="519">
        <v>0</v>
      </c>
      <c r="AC164" s="519">
        <v>0</v>
      </c>
      <c r="AD164" s="519">
        <v>0</v>
      </c>
      <c r="AE164" s="519">
        <v>0</v>
      </c>
      <c r="AF164" s="519">
        <v>0</v>
      </c>
      <c r="AG164" s="519">
        <v>0</v>
      </c>
      <c r="AH164" s="519">
        <v>0</v>
      </c>
      <c r="AI164" s="519">
        <v>0</v>
      </c>
      <c r="AJ164" s="519">
        <v>0</v>
      </c>
      <c r="AK164" s="519">
        <v>0</v>
      </c>
      <c r="AL164" s="519">
        <v>0</v>
      </c>
      <c r="AM164" s="519">
        <v>0</v>
      </c>
      <c r="AN164" s="519">
        <v>0</v>
      </c>
    </row>
    <row r="165" spans="1:40" x14ac:dyDescent="0.3">
      <c r="A165" s="489" t="s">
        <v>1451</v>
      </c>
      <c r="B165" s="489" t="s">
        <v>1747</v>
      </c>
      <c r="C165" s="489" t="s">
        <v>1873</v>
      </c>
      <c r="D165" s="489" t="s">
        <v>46</v>
      </c>
      <c r="E165" s="619">
        <v>21</v>
      </c>
      <c r="F165" s="624">
        <f t="shared" si="47"/>
        <v>154.57142857142858</v>
      </c>
      <c r="G165" s="519">
        <f t="shared" si="48"/>
        <v>156</v>
      </c>
      <c r="H165" s="519">
        <f t="shared" si="49"/>
        <v>152.85714285714286</v>
      </c>
      <c r="I165" s="519">
        <f t="shared" si="50"/>
        <v>150</v>
      </c>
      <c r="J165" s="519">
        <f t="shared" si="51"/>
        <v>150</v>
      </c>
      <c r="K165" s="519">
        <f t="shared" si="52"/>
        <v>150</v>
      </c>
      <c r="L165" s="519">
        <f t="shared" si="53"/>
        <v>155.75</v>
      </c>
      <c r="M165" s="519">
        <f t="shared" si="54"/>
        <v>128</v>
      </c>
      <c r="N165" s="519">
        <f t="shared" si="55"/>
        <v>128</v>
      </c>
      <c r="O165" s="519">
        <f t="shared" si="56"/>
        <v>179</v>
      </c>
      <c r="P165" s="519">
        <f t="shared" si="57"/>
        <v>179</v>
      </c>
      <c r="Q165" s="519">
        <f t="shared" si="58"/>
        <v>179</v>
      </c>
      <c r="R165" s="519">
        <f t="shared" si="59"/>
        <v>179</v>
      </c>
      <c r="S165" s="519">
        <f t="shared" si="60"/>
        <v>179</v>
      </c>
      <c r="T165" s="519">
        <f t="shared" si="61"/>
        <v>179</v>
      </c>
      <c r="U165" s="519">
        <f t="shared" si="62"/>
        <v>179</v>
      </c>
      <c r="Y165" s="624">
        <v>154.57142857142858</v>
      </c>
      <c r="Z165" s="519">
        <v>156</v>
      </c>
      <c r="AA165" s="519">
        <v>152.85714285714286</v>
      </c>
      <c r="AB165" s="519">
        <v>0</v>
      </c>
      <c r="AC165" s="519">
        <v>0</v>
      </c>
      <c r="AD165" s="519">
        <v>150</v>
      </c>
      <c r="AE165" s="519">
        <v>155.75</v>
      </c>
      <c r="AF165" s="519">
        <v>0</v>
      </c>
      <c r="AG165" s="519">
        <v>128</v>
      </c>
      <c r="AH165" s="519">
        <v>0</v>
      </c>
      <c r="AI165" s="519">
        <v>0</v>
      </c>
      <c r="AJ165" s="519">
        <v>179</v>
      </c>
      <c r="AK165" s="519">
        <v>0</v>
      </c>
      <c r="AL165" s="519">
        <v>0</v>
      </c>
      <c r="AM165" s="519">
        <v>0</v>
      </c>
      <c r="AN165" s="519">
        <v>179</v>
      </c>
    </row>
    <row r="166" spans="1:40" x14ac:dyDescent="0.3">
      <c r="A166" s="489" t="s">
        <v>1567</v>
      </c>
      <c r="B166" s="489">
        <v>508</v>
      </c>
      <c r="C166" s="489" t="s">
        <v>865</v>
      </c>
      <c r="D166" s="489" t="s">
        <v>1929</v>
      </c>
      <c r="E166" s="619">
        <v>21</v>
      </c>
      <c r="F166" s="624">
        <f t="shared" si="47"/>
        <v>89.61904761904762</v>
      </c>
      <c r="G166" s="519">
        <f t="shared" si="48"/>
        <v>98</v>
      </c>
      <c r="H166" s="519">
        <f t="shared" si="49"/>
        <v>98</v>
      </c>
      <c r="I166" s="519">
        <f t="shared" si="50"/>
        <v>98</v>
      </c>
      <c r="J166" s="519">
        <f t="shared" si="51"/>
        <v>98</v>
      </c>
      <c r="K166" s="519">
        <f t="shared" si="52"/>
        <v>98</v>
      </c>
      <c r="L166" s="519">
        <f t="shared" si="53"/>
        <v>98</v>
      </c>
      <c r="M166" s="519">
        <f t="shared" si="54"/>
        <v>85</v>
      </c>
      <c r="N166" s="519">
        <f t="shared" si="55"/>
        <v>85</v>
      </c>
      <c r="O166" s="519">
        <f t="shared" si="56"/>
        <v>85</v>
      </c>
      <c r="P166" s="519">
        <f t="shared" si="57"/>
        <v>85</v>
      </c>
      <c r="Q166" s="519">
        <f t="shared" si="58"/>
        <v>85</v>
      </c>
      <c r="R166" s="519">
        <f t="shared" si="59"/>
        <v>90.111111111111114</v>
      </c>
      <c r="S166" s="519">
        <f t="shared" si="60"/>
        <v>92.6</v>
      </c>
      <c r="T166" s="519">
        <f t="shared" si="61"/>
        <v>0</v>
      </c>
      <c r="U166" s="519">
        <f t="shared" si="62"/>
        <v>0</v>
      </c>
      <c r="Y166" s="624">
        <v>89.61904761904762</v>
      </c>
      <c r="Z166" s="519">
        <v>0</v>
      </c>
      <c r="AA166" s="519">
        <v>0</v>
      </c>
      <c r="AB166" s="519">
        <v>0</v>
      </c>
      <c r="AC166" s="519">
        <v>0</v>
      </c>
      <c r="AD166" s="519">
        <v>0</v>
      </c>
      <c r="AE166" s="519">
        <v>98</v>
      </c>
      <c r="AF166" s="519">
        <v>0</v>
      </c>
      <c r="AG166" s="519">
        <v>0</v>
      </c>
      <c r="AH166" s="519">
        <v>0</v>
      </c>
      <c r="AI166" s="519">
        <v>0</v>
      </c>
      <c r="AJ166" s="519">
        <v>85</v>
      </c>
      <c r="AK166" s="519">
        <v>90.111111111111114</v>
      </c>
      <c r="AL166" s="519">
        <v>92.6</v>
      </c>
      <c r="AM166" s="519">
        <v>0</v>
      </c>
      <c r="AN166" s="519">
        <v>0</v>
      </c>
    </row>
    <row r="167" spans="1:40" x14ac:dyDescent="0.3">
      <c r="A167" s="489" t="s">
        <v>1414</v>
      </c>
      <c r="B167" s="489" t="s">
        <v>1748</v>
      </c>
      <c r="C167" s="489" t="s">
        <v>1874</v>
      </c>
      <c r="D167" s="489" t="s">
        <v>46</v>
      </c>
      <c r="E167" s="619">
        <v>21</v>
      </c>
      <c r="F167" s="624">
        <f t="shared" si="47"/>
        <v>240.42857142857142</v>
      </c>
      <c r="G167" s="519">
        <f t="shared" si="48"/>
        <v>239</v>
      </c>
      <c r="H167" s="519">
        <f t="shared" si="49"/>
        <v>239</v>
      </c>
      <c r="I167" s="519">
        <f t="shared" si="50"/>
        <v>239</v>
      </c>
      <c r="J167" s="519">
        <f t="shared" si="51"/>
        <v>239</v>
      </c>
      <c r="K167" s="519">
        <f t="shared" si="52"/>
        <v>239</v>
      </c>
      <c r="L167" s="519">
        <f t="shared" si="53"/>
        <v>239</v>
      </c>
      <c r="M167" s="519">
        <f t="shared" si="54"/>
        <v>239</v>
      </c>
      <c r="N167" s="519">
        <f t="shared" si="55"/>
        <v>239</v>
      </c>
      <c r="O167" s="519">
        <f t="shared" si="56"/>
        <v>239</v>
      </c>
      <c r="P167" s="519">
        <f t="shared" si="57"/>
        <v>239</v>
      </c>
      <c r="Q167" s="519">
        <f t="shared" si="58"/>
        <v>239</v>
      </c>
      <c r="R167" s="519">
        <f t="shared" si="59"/>
        <v>239</v>
      </c>
      <c r="S167" s="519">
        <f t="shared" si="60"/>
        <v>239</v>
      </c>
      <c r="T167" s="519">
        <f t="shared" si="61"/>
        <v>239</v>
      </c>
      <c r="U167" s="519">
        <f t="shared" si="62"/>
        <v>239</v>
      </c>
      <c r="Y167" s="624">
        <v>240.42857142857142</v>
      </c>
      <c r="Z167" s="519">
        <v>0</v>
      </c>
      <c r="AA167" s="519">
        <v>239</v>
      </c>
      <c r="AB167" s="519">
        <v>0</v>
      </c>
      <c r="AC167" s="519">
        <v>0</v>
      </c>
      <c r="AD167" s="519">
        <v>0</v>
      </c>
      <c r="AE167" s="519">
        <v>0</v>
      </c>
      <c r="AF167" s="519">
        <v>0</v>
      </c>
      <c r="AG167" s="519">
        <v>0</v>
      </c>
      <c r="AH167" s="519">
        <v>0</v>
      </c>
      <c r="AI167" s="519">
        <v>0</v>
      </c>
      <c r="AJ167" s="519">
        <v>0</v>
      </c>
      <c r="AK167" s="519">
        <v>0</v>
      </c>
      <c r="AL167" s="519">
        <v>0</v>
      </c>
      <c r="AM167" s="519">
        <v>0</v>
      </c>
      <c r="AN167" s="519">
        <v>239</v>
      </c>
    </row>
    <row r="168" spans="1:40" x14ac:dyDescent="0.3">
      <c r="A168" s="489" t="s">
        <v>1426</v>
      </c>
      <c r="B168" s="489" t="s">
        <v>1749</v>
      </c>
      <c r="C168" s="489" t="s">
        <v>1749</v>
      </c>
      <c r="D168" s="489" t="s">
        <v>1930</v>
      </c>
      <c r="E168" s="619">
        <v>21</v>
      </c>
      <c r="F168" s="624">
        <f t="shared" si="47"/>
        <v>49</v>
      </c>
      <c r="G168" s="519">
        <f t="shared" si="48"/>
        <v>49</v>
      </c>
      <c r="H168" s="519">
        <f t="shared" si="49"/>
        <v>49</v>
      </c>
      <c r="I168" s="519">
        <f t="shared" si="50"/>
        <v>49</v>
      </c>
      <c r="J168" s="519">
        <f t="shared" si="51"/>
        <v>49</v>
      </c>
      <c r="K168" s="519">
        <f t="shared" si="52"/>
        <v>49</v>
      </c>
      <c r="L168" s="519">
        <f t="shared" si="53"/>
        <v>49</v>
      </c>
      <c r="M168" s="519">
        <f t="shared" si="54"/>
        <v>49</v>
      </c>
      <c r="N168" s="519">
        <f t="shared" si="55"/>
        <v>49</v>
      </c>
      <c r="O168" s="519">
        <f t="shared" si="56"/>
        <v>49</v>
      </c>
      <c r="P168" s="519">
        <f t="shared" si="57"/>
        <v>49</v>
      </c>
      <c r="Q168" s="519">
        <f t="shared" si="58"/>
        <v>49</v>
      </c>
      <c r="R168" s="519">
        <f t="shared" si="59"/>
        <v>49</v>
      </c>
      <c r="S168" s="519">
        <f t="shared" si="60"/>
        <v>49</v>
      </c>
      <c r="T168" s="519">
        <f t="shared" si="61"/>
        <v>0</v>
      </c>
      <c r="U168" s="519">
        <f t="shared" si="62"/>
        <v>0</v>
      </c>
      <c r="Y168" s="624">
        <v>49</v>
      </c>
      <c r="Z168" s="519">
        <v>0</v>
      </c>
      <c r="AA168" s="519">
        <v>0</v>
      </c>
      <c r="AB168" s="519">
        <v>0</v>
      </c>
      <c r="AC168" s="519">
        <v>0</v>
      </c>
      <c r="AD168" s="519">
        <v>0</v>
      </c>
      <c r="AE168" s="519">
        <v>49</v>
      </c>
      <c r="AF168" s="519">
        <v>0</v>
      </c>
      <c r="AG168" s="519">
        <v>0</v>
      </c>
      <c r="AH168" s="519">
        <v>0</v>
      </c>
      <c r="AI168" s="519">
        <v>0</v>
      </c>
      <c r="AJ168" s="519">
        <v>49</v>
      </c>
      <c r="AK168" s="519">
        <v>49</v>
      </c>
      <c r="AL168" s="519">
        <v>49</v>
      </c>
      <c r="AM168" s="519">
        <v>0</v>
      </c>
      <c r="AN168" s="519">
        <v>0</v>
      </c>
    </row>
    <row r="169" spans="1:40" x14ac:dyDescent="0.3">
      <c r="A169" s="489" t="s">
        <v>1750</v>
      </c>
      <c r="B169" s="489" t="s">
        <v>1751</v>
      </c>
      <c r="C169" s="489" t="s">
        <v>1875</v>
      </c>
      <c r="D169" s="489" t="s">
        <v>46</v>
      </c>
      <c r="E169" s="619">
        <v>21</v>
      </c>
      <c r="F169" s="624">
        <f t="shared" si="47"/>
        <v>94.285714285714292</v>
      </c>
      <c r="G169" s="519">
        <f t="shared" si="48"/>
        <v>90</v>
      </c>
      <c r="H169" s="519">
        <f t="shared" si="49"/>
        <v>90</v>
      </c>
      <c r="I169" s="519">
        <f t="shared" si="50"/>
        <v>90</v>
      </c>
      <c r="J169" s="519">
        <f t="shared" si="51"/>
        <v>90</v>
      </c>
      <c r="K169" s="519">
        <f t="shared" si="52"/>
        <v>90</v>
      </c>
      <c r="L169" s="519">
        <f t="shared" si="53"/>
        <v>90</v>
      </c>
      <c r="M169" s="519">
        <f t="shared" si="54"/>
        <v>90</v>
      </c>
      <c r="N169" s="519">
        <f t="shared" si="55"/>
        <v>90</v>
      </c>
      <c r="O169" s="519">
        <f t="shared" si="56"/>
        <v>90</v>
      </c>
      <c r="P169" s="519">
        <f t="shared" si="57"/>
        <v>99</v>
      </c>
      <c r="Q169" s="519">
        <f t="shared" si="58"/>
        <v>99</v>
      </c>
      <c r="R169" s="519">
        <f t="shared" si="59"/>
        <v>0</v>
      </c>
      <c r="S169" s="519">
        <f t="shared" si="60"/>
        <v>0</v>
      </c>
      <c r="T169" s="519">
        <f t="shared" si="61"/>
        <v>0</v>
      </c>
      <c r="U169" s="519">
        <f t="shared" si="62"/>
        <v>0</v>
      </c>
      <c r="Y169" s="624">
        <v>94.285714285714292</v>
      </c>
      <c r="Z169" s="519">
        <v>0</v>
      </c>
      <c r="AA169" s="519">
        <v>0</v>
      </c>
      <c r="AB169" s="519">
        <v>0</v>
      </c>
      <c r="AC169" s="519">
        <v>0</v>
      </c>
      <c r="AD169" s="519">
        <v>0</v>
      </c>
      <c r="AE169" s="519">
        <v>0</v>
      </c>
      <c r="AF169" s="519">
        <v>90</v>
      </c>
      <c r="AG169" s="519">
        <v>90</v>
      </c>
      <c r="AH169" s="519">
        <v>90</v>
      </c>
      <c r="AI169" s="519">
        <v>99</v>
      </c>
      <c r="AJ169" s="519">
        <v>99</v>
      </c>
      <c r="AK169" s="519">
        <v>0</v>
      </c>
      <c r="AL169" s="519">
        <v>0</v>
      </c>
      <c r="AM169" s="519">
        <v>0</v>
      </c>
      <c r="AN169" s="519">
        <v>0</v>
      </c>
    </row>
    <row r="170" spans="1:40" x14ac:dyDescent="0.3">
      <c r="A170" s="489" t="s">
        <v>1422</v>
      </c>
      <c r="B170" s="489" t="s">
        <v>1752</v>
      </c>
      <c r="C170" s="489" t="s">
        <v>1876</v>
      </c>
      <c r="D170" s="489" t="s">
        <v>46</v>
      </c>
      <c r="E170" s="619">
        <v>21</v>
      </c>
      <c r="F170" s="624">
        <f t="shared" si="47"/>
        <v>104.23809523809524</v>
      </c>
      <c r="G170" s="519">
        <f t="shared" si="48"/>
        <v>105</v>
      </c>
      <c r="H170" s="519">
        <f t="shared" si="49"/>
        <v>105</v>
      </c>
      <c r="I170" s="519">
        <f t="shared" si="50"/>
        <v>105</v>
      </c>
      <c r="J170" s="519">
        <f t="shared" si="51"/>
        <v>105</v>
      </c>
      <c r="K170" s="519">
        <f t="shared" si="52"/>
        <v>105</v>
      </c>
      <c r="L170" s="519">
        <f t="shared" si="53"/>
        <v>105</v>
      </c>
      <c r="M170" s="519">
        <f t="shared" si="54"/>
        <v>104</v>
      </c>
      <c r="N170" s="519">
        <f t="shared" si="55"/>
        <v>105.77777777777777</v>
      </c>
      <c r="O170" s="519">
        <f t="shared" si="56"/>
        <v>94</v>
      </c>
      <c r="P170" s="519">
        <f t="shared" si="57"/>
        <v>99</v>
      </c>
      <c r="Q170" s="519">
        <f t="shared" si="58"/>
        <v>106</v>
      </c>
      <c r="R170" s="519">
        <f t="shared" si="59"/>
        <v>0</v>
      </c>
      <c r="S170" s="519">
        <f t="shared" si="60"/>
        <v>0</v>
      </c>
      <c r="T170" s="519">
        <f t="shared" si="61"/>
        <v>0</v>
      </c>
      <c r="U170" s="519">
        <f t="shared" si="62"/>
        <v>0</v>
      </c>
      <c r="Y170" s="624">
        <v>104.23809523809524</v>
      </c>
      <c r="Z170" s="519">
        <v>0</v>
      </c>
      <c r="AA170" s="519">
        <v>0</v>
      </c>
      <c r="AB170" s="519">
        <v>0</v>
      </c>
      <c r="AC170" s="519">
        <v>0</v>
      </c>
      <c r="AD170" s="519">
        <v>0</v>
      </c>
      <c r="AE170" s="519">
        <v>105</v>
      </c>
      <c r="AF170" s="519">
        <v>104</v>
      </c>
      <c r="AG170" s="519">
        <v>105.77777777777777</v>
      </c>
      <c r="AH170" s="519">
        <v>94</v>
      </c>
      <c r="AI170" s="519">
        <v>99</v>
      </c>
      <c r="AJ170" s="519">
        <v>106</v>
      </c>
      <c r="AK170" s="519">
        <v>0</v>
      </c>
      <c r="AL170" s="519">
        <v>0</v>
      </c>
      <c r="AM170" s="519">
        <v>0</v>
      </c>
      <c r="AN170" s="519">
        <v>0</v>
      </c>
    </row>
    <row r="171" spans="1:40" x14ac:dyDescent="0.3">
      <c r="A171" s="489" t="s">
        <v>1605</v>
      </c>
      <c r="B171" s="489" t="s">
        <v>1669</v>
      </c>
      <c r="C171" s="489" t="s">
        <v>1877</v>
      </c>
      <c r="D171" s="489" t="s">
        <v>46</v>
      </c>
      <c r="E171" s="619">
        <v>20</v>
      </c>
      <c r="F171" s="624">
        <f t="shared" si="47"/>
        <v>144.4</v>
      </c>
      <c r="G171" s="519">
        <f t="shared" si="48"/>
        <v>159</v>
      </c>
      <c r="H171" s="519">
        <f t="shared" si="49"/>
        <v>159</v>
      </c>
      <c r="I171" s="519">
        <f t="shared" si="50"/>
        <v>159</v>
      </c>
      <c r="J171" s="519">
        <f t="shared" si="51"/>
        <v>159</v>
      </c>
      <c r="K171" s="519">
        <f t="shared" si="52"/>
        <v>159</v>
      </c>
      <c r="L171" s="519">
        <f t="shared" si="53"/>
        <v>154</v>
      </c>
      <c r="M171" s="519">
        <f t="shared" si="54"/>
        <v>154</v>
      </c>
      <c r="N171" s="519">
        <f t="shared" si="55"/>
        <v>154</v>
      </c>
      <c r="O171" s="519">
        <f t="shared" si="56"/>
        <v>147.33333333333334</v>
      </c>
      <c r="P171" s="519">
        <f t="shared" si="57"/>
        <v>159</v>
      </c>
      <c r="Q171" s="519">
        <f t="shared" si="58"/>
        <v>159</v>
      </c>
      <c r="R171" s="519">
        <f t="shared" si="59"/>
        <v>126.5</v>
      </c>
      <c r="S171" s="519">
        <f t="shared" si="60"/>
        <v>126.5</v>
      </c>
      <c r="T171" s="519">
        <f t="shared" si="61"/>
        <v>120.25</v>
      </c>
      <c r="U171" s="519">
        <f t="shared" si="62"/>
        <v>159</v>
      </c>
      <c r="Y171" s="624">
        <v>144.4</v>
      </c>
      <c r="Z171" s="519">
        <v>0</v>
      </c>
      <c r="AA171" s="519">
        <v>0</v>
      </c>
      <c r="AB171" s="519">
        <v>0</v>
      </c>
      <c r="AC171" s="519">
        <v>0</v>
      </c>
      <c r="AD171" s="519">
        <v>159</v>
      </c>
      <c r="AE171" s="519">
        <v>154</v>
      </c>
      <c r="AF171" s="519">
        <v>0</v>
      </c>
      <c r="AG171" s="519">
        <v>154</v>
      </c>
      <c r="AH171" s="519">
        <v>147.33333333333334</v>
      </c>
      <c r="AI171" s="519">
        <v>0</v>
      </c>
      <c r="AJ171" s="519">
        <v>159</v>
      </c>
      <c r="AK171" s="519">
        <v>0</v>
      </c>
      <c r="AL171" s="519">
        <v>126.5</v>
      </c>
      <c r="AM171" s="519">
        <v>120.25</v>
      </c>
      <c r="AN171" s="519">
        <v>159</v>
      </c>
    </row>
    <row r="172" spans="1:40" x14ac:dyDescent="0.3">
      <c r="A172" s="489" t="s">
        <v>1677</v>
      </c>
      <c r="B172" s="489" t="s">
        <v>1753</v>
      </c>
      <c r="C172" s="489" t="s">
        <v>1878</v>
      </c>
      <c r="D172" s="489" t="s">
        <v>46</v>
      </c>
      <c r="E172" s="619">
        <v>20</v>
      </c>
      <c r="F172" s="624">
        <f t="shared" si="47"/>
        <v>125.65</v>
      </c>
      <c r="G172" s="519">
        <f t="shared" si="48"/>
        <v>149</v>
      </c>
      <c r="H172" s="519">
        <f t="shared" si="49"/>
        <v>149</v>
      </c>
      <c r="I172" s="519">
        <f t="shared" si="50"/>
        <v>119</v>
      </c>
      <c r="J172" s="519">
        <f t="shared" si="51"/>
        <v>124</v>
      </c>
      <c r="K172" s="519">
        <f t="shared" si="52"/>
        <v>124</v>
      </c>
      <c r="L172" s="519">
        <f t="shared" si="53"/>
        <v>124</v>
      </c>
      <c r="M172" s="519">
        <f t="shared" si="54"/>
        <v>120</v>
      </c>
      <c r="N172" s="519">
        <f t="shared" si="55"/>
        <v>121</v>
      </c>
      <c r="O172" s="519">
        <f t="shared" si="56"/>
        <v>120.66666666666667</v>
      </c>
      <c r="P172" s="519">
        <f t="shared" si="57"/>
        <v>131.5</v>
      </c>
      <c r="Q172" s="519">
        <f t="shared" si="58"/>
        <v>142</v>
      </c>
      <c r="R172" s="519">
        <f t="shared" si="59"/>
        <v>142</v>
      </c>
      <c r="S172" s="519">
        <f t="shared" si="60"/>
        <v>0</v>
      </c>
      <c r="T172" s="519">
        <f t="shared" si="61"/>
        <v>0</v>
      </c>
      <c r="U172" s="519">
        <f t="shared" si="62"/>
        <v>0</v>
      </c>
      <c r="Y172" s="624">
        <v>125.65</v>
      </c>
      <c r="Z172" s="519">
        <v>0</v>
      </c>
      <c r="AA172" s="519">
        <v>149</v>
      </c>
      <c r="AB172" s="519">
        <v>119</v>
      </c>
      <c r="AC172" s="519">
        <v>0</v>
      </c>
      <c r="AD172" s="519">
        <v>0</v>
      </c>
      <c r="AE172" s="519">
        <v>124</v>
      </c>
      <c r="AF172" s="519">
        <v>120</v>
      </c>
      <c r="AG172" s="519">
        <v>121</v>
      </c>
      <c r="AH172" s="519">
        <v>120.66666666666667</v>
      </c>
      <c r="AI172" s="519">
        <v>131.5</v>
      </c>
      <c r="AJ172" s="519">
        <v>0</v>
      </c>
      <c r="AK172" s="519">
        <v>142</v>
      </c>
      <c r="AL172" s="519">
        <v>0</v>
      </c>
      <c r="AM172" s="519">
        <v>0</v>
      </c>
      <c r="AN172" s="519">
        <v>0</v>
      </c>
    </row>
    <row r="173" spans="1:40" x14ac:dyDescent="0.3">
      <c r="A173" s="489" t="s">
        <v>1441</v>
      </c>
      <c r="B173" s="489" t="s">
        <v>1444</v>
      </c>
      <c r="C173" s="489" t="s">
        <v>870</v>
      </c>
      <c r="D173" s="489" t="s">
        <v>45</v>
      </c>
      <c r="E173" s="619">
        <v>20</v>
      </c>
      <c r="F173" s="624">
        <f t="shared" si="47"/>
        <v>138.35</v>
      </c>
      <c r="G173" s="519">
        <f t="shared" si="48"/>
        <v>142</v>
      </c>
      <c r="H173" s="519">
        <f t="shared" si="49"/>
        <v>142</v>
      </c>
      <c r="I173" s="519">
        <f t="shared" si="50"/>
        <v>141</v>
      </c>
      <c r="J173" s="519">
        <f t="shared" si="51"/>
        <v>178.5</v>
      </c>
      <c r="K173" s="519">
        <f t="shared" si="52"/>
        <v>178.5</v>
      </c>
      <c r="L173" s="519">
        <f t="shared" si="53"/>
        <v>139.5</v>
      </c>
      <c r="M173" s="519">
        <f t="shared" si="54"/>
        <v>136.5</v>
      </c>
      <c r="N173" s="519">
        <f t="shared" si="55"/>
        <v>125.66666666666667</v>
      </c>
      <c r="O173" s="519">
        <f t="shared" si="56"/>
        <v>140</v>
      </c>
      <c r="P173" s="519">
        <f t="shared" si="57"/>
        <v>140</v>
      </c>
      <c r="Q173" s="519">
        <f t="shared" si="58"/>
        <v>140</v>
      </c>
      <c r="R173" s="519">
        <f t="shared" si="59"/>
        <v>140</v>
      </c>
      <c r="S173" s="519">
        <f t="shared" si="60"/>
        <v>140</v>
      </c>
      <c r="T173" s="519">
        <f t="shared" si="61"/>
        <v>0</v>
      </c>
      <c r="U173" s="519">
        <f t="shared" si="62"/>
        <v>0</v>
      </c>
      <c r="Y173" s="624">
        <v>138.35</v>
      </c>
      <c r="Z173" s="519">
        <v>0</v>
      </c>
      <c r="AA173" s="519">
        <v>142</v>
      </c>
      <c r="AB173" s="519">
        <v>141</v>
      </c>
      <c r="AC173" s="519">
        <v>0</v>
      </c>
      <c r="AD173" s="519">
        <v>178.5</v>
      </c>
      <c r="AE173" s="519">
        <v>139.5</v>
      </c>
      <c r="AF173" s="519">
        <v>136.5</v>
      </c>
      <c r="AG173" s="519">
        <v>125.66666666666667</v>
      </c>
      <c r="AH173" s="519">
        <v>0</v>
      </c>
      <c r="AI173" s="519">
        <v>0</v>
      </c>
      <c r="AJ173" s="519">
        <v>0</v>
      </c>
      <c r="AK173" s="519">
        <v>0</v>
      </c>
      <c r="AL173" s="519">
        <v>140</v>
      </c>
      <c r="AM173" s="519">
        <v>0</v>
      </c>
      <c r="AN173" s="519">
        <v>0</v>
      </c>
    </row>
    <row r="174" spans="1:40" x14ac:dyDescent="0.3">
      <c r="A174" s="489" t="s">
        <v>1544</v>
      </c>
      <c r="B174" s="489" t="s">
        <v>1754</v>
      </c>
      <c r="C174" s="489" t="s">
        <v>1879</v>
      </c>
      <c r="D174" s="489" t="s">
        <v>46</v>
      </c>
      <c r="E174" s="619">
        <v>20</v>
      </c>
      <c r="F174" s="624">
        <f t="shared" si="47"/>
        <v>146.5</v>
      </c>
      <c r="G174" s="519">
        <f t="shared" si="48"/>
        <v>136.5</v>
      </c>
      <c r="H174" s="519">
        <f t="shared" si="49"/>
        <v>136.5</v>
      </c>
      <c r="I174" s="519">
        <f t="shared" si="50"/>
        <v>134</v>
      </c>
      <c r="J174" s="519">
        <f t="shared" si="51"/>
        <v>134</v>
      </c>
      <c r="K174" s="519">
        <f t="shared" si="52"/>
        <v>189</v>
      </c>
      <c r="L174" s="519">
        <f t="shared" si="53"/>
        <v>146.5</v>
      </c>
      <c r="M174" s="519">
        <f t="shared" si="54"/>
        <v>146.5</v>
      </c>
      <c r="N174" s="519">
        <f t="shared" si="55"/>
        <v>135.66666666666666</v>
      </c>
      <c r="O174" s="519">
        <f t="shared" si="56"/>
        <v>147</v>
      </c>
      <c r="P174" s="519">
        <f t="shared" si="57"/>
        <v>139</v>
      </c>
      <c r="Q174" s="519">
        <f t="shared" si="58"/>
        <v>149</v>
      </c>
      <c r="R174" s="519">
        <f t="shared" si="59"/>
        <v>159</v>
      </c>
      <c r="S174" s="519">
        <f t="shared" si="60"/>
        <v>159</v>
      </c>
      <c r="T174" s="519">
        <f t="shared" si="61"/>
        <v>159</v>
      </c>
      <c r="U174" s="519">
        <f t="shared" si="62"/>
        <v>159</v>
      </c>
      <c r="Y174" s="624">
        <v>146.5</v>
      </c>
      <c r="Z174" s="519">
        <v>0</v>
      </c>
      <c r="AA174" s="519">
        <v>136.5</v>
      </c>
      <c r="AB174" s="519">
        <v>0</v>
      </c>
      <c r="AC174" s="519">
        <v>134</v>
      </c>
      <c r="AD174" s="519">
        <v>189</v>
      </c>
      <c r="AE174" s="519">
        <v>0</v>
      </c>
      <c r="AF174" s="519">
        <v>146.5</v>
      </c>
      <c r="AG174" s="519">
        <v>135.66666666666666</v>
      </c>
      <c r="AH174" s="519">
        <v>147</v>
      </c>
      <c r="AI174" s="519">
        <v>139</v>
      </c>
      <c r="AJ174" s="519">
        <v>149</v>
      </c>
      <c r="AK174" s="519">
        <v>159</v>
      </c>
      <c r="AL174" s="519">
        <v>0</v>
      </c>
      <c r="AM174" s="519">
        <v>0</v>
      </c>
      <c r="AN174" s="519">
        <v>159</v>
      </c>
    </row>
    <row r="175" spans="1:40" x14ac:dyDescent="0.3">
      <c r="A175" s="489" t="s">
        <v>1694</v>
      </c>
      <c r="B175" s="489" t="s">
        <v>1719</v>
      </c>
      <c r="C175" s="489" t="s">
        <v>1844</v>
      </c>
      <c r="D175" s="489" t="s">
        <v>1929</v>
      </c>
      <c r="E175" s="619">
        <v>20</v>
      </c>
      <c r="F175" s="624">
        <f t="shared" si="47"/>
        <v>165.1</v>
      </c>
      <c r="G175" s="519">
        <f t="shared" si="48"/>
        <v>163.5</v>
      </c>
      <c r="H175" s="519">
        <f t="shared" si="49"/>
        <v>182</v>
      </c>
      <c r="I175" s="519">
        <f t="shared" si="50"/>
        <v>147.19999999999999</v>
      </c>
      <c r="J175" s="519">
        <f t="shared" si="51"/>
        <v>179.66666666666666</v>
      </c>
      <c r="K175" s="519">
        <f t="shared" si="52"/>
        <v>160</v>
      </c>
      <c r="L175" s="519">
        <f t="shared" si="53"/>
        <v>162.5</v>
      </c>
      <c r="M175" s="519">
        <f t="shared" si="54"/>
        <v>0</v>
      </c>
      <c r="N175" s="519">
        <f t="shared" si="55"/>
        <v>0</v>
      </c>
      <c r="O175" s="519">
        <f t="shared" si="56"/>
        <v>0</v>
      </c>
      <c r="P175" s="519">
        <f t="shared" si="57"/>
        <v>0</v>
      </c>
      <c r="Q175" s="519">
        <f t="shared" si="58"/>
        <v>0</v>
      </c>
      <c r="R175" s="519">
        <f t="shared" si="59"/>
        <v>0</v>
      </c>
      <c r="S175" s="519">
        <f t="shared" si="60"/>
        <v>0</v>
      </c>
      <c r="T175" s="519">
        <f t="shared" si="61"/>
        <v>0</v>
      </c>
      <c r="U175" s="519">
        <f t="shared" si="62"/>
        <v>0</v>
      </c>
      <c r="Y175" s="624">
        <v>165.1</v>
      </c>
      <c r="Z175" s="519">
        <v>163.5</v>
      </c>
      <c r="AA175" s="519">
        <v>182</v>
      </c>
      <c r="AB175" s="519">
        <v>147.19999999999999</v>
      </c>
      <c r="AC175" s="519">
        <v>179.66666666666666</v>
      </c>
      <c r="AD175" s="519">
        <v>160</v>
      </c>
      <c r="AE175" s="519">
        <v>162.5</v>
      </c>
      <c r="AF175" s="519">
        <v>0</v>
      </c>
      <c r="AG175" s="519">
        <v>0</v>
      </c>
      <c r="AH175" s="519">
        <v>0</v>
      </c>
      <c r="AI175" s="519">
        <v>0</v>
      </c>
      <c r="AJ175" s="519">
        <v>0</v>
      </c>
      <c r="AK175" s="519">
        <v>0</v>
      </c>
      <c r="AL175" s="519">
        <v>0</v>
      </c>
      <c r="AM175" s="519">
        <v>0</v>
      </c>
      <c r="AN175" s="519">
        <v>0</v>
      </c>
    </row>
    <row r="176" spans="1:40" x14ac:dyDescent="0.3">
      <c r="A176" s="489" t="s">
        <v>1414</v>
      </c>
      <c r="B176" s="489" t="s">
        <v>1755</v>
      </c>
      <c r="C176" s="489" t="s">
        <v>1880</v>
      </c>
      <c r="D176" s="489" t="s">
        <v>46</v>
      </c>
      <c r="E176" s="619">
        <v>19</v>
      </c>
      <c r="F176" s="624">
        <f t="shared" si="47"/>
        <v>217.89473684210526</v>
      </c>
      <c r="G176" s="519">
        <f t="shared" si="48"/>
        <v>218</v>
      </c>
      <c r="H176" s="519">
        <f t="shared" si="49"/>
        <v>218</v>
      </c>
      <c r="I176" s="519">
        <f t="shared" si="50"/>
        <v>218</v>
      </c>
      <c r="J176" s="519">
        <f t="shared" si="51"/>
        <v>218</v>
      </c>
      <c r="K176" s="519">
        <f t="shared" si="52"/>
        <v>218</v>
      </c>
      <c r="L176" s="519">
        <f t="shared" si="53"/>
        <v>218</v>
      </c>
      <c r="M176" s="519">
        <f t="shared" si="54"/>
        <v>218</v>
      </c>
      <c r="N176" s="519">
        <f t="shared" si="55"/>
        <v>218</v>
      </c>
      <c r="O176" s="519">
        <f t="shared" si="56"/>
        <v>218</v>
      </c>
      <c r="P176" s="519">
        <f t="shared" si="57"/>
        <v>231</v>
      </c>
      <c r="Q176" s="519">
        <f t="shared" si="58"/>
        <v>229</v>
      </c>
      <c r="R176" s="519">
        <f t="shared" si="59"/>
        <v>229</v>
      </c>
      <c r="S176" s="519">
        <f t="shared" si="60"/>
        <v>229</v>
      </c>
      <c r="T176" s="519">
        <f t="shared" si="61"/>
        <v>231</v>
      </c>
      <c r="U176" s="519">
        <f t="shared" si="62"/>
        <v>231</v>
      </c>
      <c r="Y176" s="624">
        <v>217.89473684210526</v>
      </c>
      <c r="Z176" s="519">
        <v>0</v>
      </c>
      <c r="AA176" s="519">
        <v>0</v>
      </c>
      <c r="AB176" s="519">
        <v>0</v>
      </c>
      <c r="AC176" s="519">
        <v>0</v>
      </c>
      <c r="AD176" s="519">
        <v>0</v>
      </c>
      <c r="AE176" s="519">
        <v>0</v>
      </c>
      <c r="AF176" s="519">
        <v>0</v>
      </c>
      <c r="AG176" s="519">
        <v>0</v>
      </c>
      <c r="AH176" s="519">
        <v>218</v>
      </c>
      <c r="AI176" s="519">
        <v>231</v>
      </c>
      <c r="AJ176" s="519">
        <v>0</v>
      </c>
      <c r="AK176" s="519">
        <v>0</v>
      </c>
      <c r="AL176" s="519">
        <v>229</v>
      </c>
      <c r="AM176" s="519">
        <v>231</v>
      </c>
      <c r="AN176" s="519">
        <v>231</v>
      </c>
    </row>
    <row r="177" spans="1:40" x14ac:dyDescent="0.3">
      <c r="A177" s="489" t="s">
        <v>1437</v>
      </c>
      <c r="B177" s="489" t="s">
        <v>1438</v>
      </c>
      <c r="C177" s="489" t="s">
        <v>1439</v>
      </c>
      <c r="D177" s="489" t="s">
        <v>46</v>
      </c>
      <c r="E177" s="619">
        <v>19</v>
      </c>
      <c r="F177" s="624">
        <f t="shared" si="47"/>
        <v>216.21052631578948</v>
      </c>
      <c r="G177" s="519">
        <f t="shared" si="48"/>
        <v>220</v>
      </c>
      <c r="H177" s="519">
        <f t="shared" si="49"/>
        <v>220</v>
      </c>
      <c r="I177" s="519">
        <f t="shared" si="50"/>
        <v>220</v>
      </c>
      <c r="J177" s="519">
        <f t="shared" si="51"/>
        <v>215</v>
      </c>
      <c r="K177" s="519">
        <f t="shared" si="52"/>
        <v>215</v>
      </c>
      <c r="L177" s="519">
        <f t="shared" si="53"/>
        <v>215</v>
      </c>
      <c r="M177" s="519">
        <f t="shared" si="54"/>
        <v>215</v>
      </c>
      <c r="N177" s="519">
        <f t="shared" si="55"/>
        <v>215</v>
      </c>
      <c r="O177" s="519">
        <f t="shared" si="56"/>
        <v>215</v>
      </c>
      <c r="P177" s="519">
        <f t="shared" si="57"/>
        <v>215</v>
      </c>
      <c r="Q177" s="519">
        <f t="shared" si="58"/>
        <v>212.66666666666666</v>
      </c>
      <c r="R177" s="519">
        <f t="shared" si="59"/>
        <v>212.66666666666666</v>
      </c>
      <c r="S177" s="519">
        <f t="shared" si="60"/>
        <v>212.66666666666666</v>
      </c>
      <c r="T177" s="519">
        <f t="shared" si="61"/>
        <v>212.66666666666666</v>
      </c>
      <c r="U177" s="519">
        <f t="shared" si="62"/>
        <v>212.66666666666666</v>
      </c>
      <c r="Y177" s="624">
        <v>216.21052631578948</v>
      </c>
      <c r="Z177" s="519">
        <v>0</v>
      </c>
      <c r="AA177" s="519">
        <v>0</v>
      </c>
      <c r="AB177" s="519">
        <v>220</v>
      </c>
      <c r="AC177" s="519">
        <v>0</v>
      </c>
      <c r="AD177" s="519">
        <v>0</v>
      </c>
      <c r="AE177" s="519">
        <v>0</v>
      </c>
      <c r="AF177" s="519">
        <v>0</v>
      </c>
      <c r="AG177" s="519">
        <v>0</v>
      </c>
      <c r="AH177" s="519">
        <v>0</v>
      </c>
      <c r="AI177" s="519">
        <v>215</v>
      </c>
      <c r="AJ177" s="519">
        <v>0</v>
      </c>
      <c r="AK177" s="519">
        <v>0</v>
      </c>
      <c r="AL177" s="519">
        <v>0</v>
      </c>
      <c r="AM177" s="519">
        <v>0</v>
      </c>
      <c r="AN177" s="519">
        <v>212.66666666666666</v>
      </c>
    </row>
    <row r="178" spans="1:40" x14ac:dyDescent="0.3">
      <c r="A178" s="489" t="s">
        <v>1713</v>
      </c>
      <c r="B178" s="489" t="s">
        <v>1756</v>
      </c>
      <c r="C178" s="489" t="s">
        <v>1881</v>
      </c>
      <c r="D178" s="489" t="s">
        <v>1929</v>
      </c>
      <c r="E178" s="619">
        <v>19</v>
      </c>
      <c r="F178" s="624">
        <f t="shared" si="47"/>
        <v>109</v>
      </c>
      <c r="G178" s="519">
        <f t="shared" si="48"/>
        <v>109</v>
      </c>
      <c r="H178" s="519">
        <f t="shared" si="49"/>
        <v>109</v>
      </c>
      <c r="I178" s="519">
        <f t="shared" si="50"/>
        <v>109</v>
      </c>
      <c r="J178" s="519">
        <f t="shared" si="51"/>
        <v>109</v>
      </c>
      <c r="K178" s="519">
        <f t="shared" si="52"/>
        <v>109</v>
      </c>
      <c r="L178" s="519">
        <f t="shared" si="53"/>
        <v>109</v>
      </c>
      <c r="M178" s="519">
        <f t="shared" si="54"/>
        <v>109</v>
      </c>
      <c r="N178" s="519">
        <f t="shared" si="55"/>
        <v>109</v>
      </c>
      <c r="O178" s="519">
        <f t="shared" si="56"/>
        <v>109</v>
      </c>
      <c r="P178" s="519">
        <f t="shared" si="57"/>
        <v>109</v>
      </c>
      <c r="Q178" s="519">
        <f t="shared" si="58"/>
        <v>109</v>
      </c>
      <c r="R178" s="519">
        <f t="shared" si="59"/>
        <v>109</v>
      </c>
      <c r="S178" s="519">
        <f t="shared" si="60"/>
        <v>109</v>
      </c>
      <c r="T178" s="519">
        <f t="shared" si="61"/>
        <v>109</v>
      </c>
      <c r="U178" s="519">
        <f t="shared" si="62"/>
        <v>109</v>
      </c>
      <c r="Y178" s="624">
        <v>109</v>
      </c>
      <c r="Z178" s="519">
        <v>0</v>
      </c>
      <c r="AA178" s="519">
        <v>0</v>
      </c>
      <c r="AB178" s="519">
        <v>0</v>
      </c>
      <c r="AC178" s="519">
        <v>0</v>
      </c>
      <c r="AD178" s="519">
        <v>0</v>
      </c>
      <c r="AE178" s="519">
        <v>0</v>
      </c>
      <c r="AF178" s="519">
        <v>0</v>
      </c>
      <c r="AG178" s="519">
        <v>0</v>
      </c>
      <c r="AH178" s="519">
        <v>0</v>
      </c>
      <c r="AI178" s="519">
        <v>0</v>
      </c>
      <c r="AJ178" s="519">
        <v>0</v>
      </c>
      <c r="AK178" s="519">
        <v>0</v>
      </c>
      <c r="AL178" s="519">
        <v>0</v>
      </c>
      <c r="AM178" s="519">
        <v>109</v>
      </c>
      <c r="AN178" s="519">
        <v>109</v>
      </c>
    </row>
    <row r="179" spans="1:40" x14ac:dyDescent="0.3">
      <c r="A179" s="489" t="s">
        <v>1426</v>
      </c>
      <c r="B179" s="489" t="s">
        <v>816</v>
      </c>
      <c r="C179" s="489" t="s">
        <v>816</v>
      </c>
      <c r="D179" s="489" t="s">
        <v>1936</v>
      </c>
      <c r="E179" s="619">
        <v>19</v>
      </c>
      <c r="F179" s="624">
        <f t="shared" si="47"/>
        <v>0</v>
      </c>
      <c r="G179" s="519">
        <f t="shared" si="48"/>
        <v>0</v>
      </c>
      <c r="H179" s="519">
        <f t="shared" si="49"/>
        <v>0</v>
      </c>
      <c r="I179" s="519">
        <f t="shared" si="50"/>
        <v>0</v>
      </c>
      <c r="J179" s="519">
        <f t="shared" si="51"/>
        <v>0</v>
      </c>
      <c r="K179" s="519">
        <f t="shared" si="52"/>
        <v>0</v>
      </c>
      <c r="L179" s="519">
        <f t="shared" si="53"/>
        <v>0</v>
      </c>
      <c r="M179" s="519">
        <f t="shared" si="54"/>
        <v>0</v>
      </c>
      <c r="N179" s="519">
        <f t="shared" si="55"/>
        <v>0</v>
      </c>
      <c r="O179" s="519">
        <f t="shared" si="56"/>
        <v>0</v>
      </c>
      <c r="P179" s="519">
        <f t="shared" si="57"/>
        <v>0</v>
      </c>
      <c r="Q179" s="519">
        <f t="shared" si="58"/>
        <v>0</v>
      </c>
      <c r="R179" s="519">
        <f t="shared" si="59"/>
        <v>0</v>
      </c>
      <c r="S179" s="519">
        <f t="shared" si="60"/>
        <v>0</v>
      </c>
      <c r="T179" s="519">
        <f t="shared" si="61"/>
        <v>0</v>
      </c>
      <c r="U179" s="519">
        <f t="shared" si="62"/>
        <v>0</v>
      </c>
      <c r="Y179" s="624">
        <v>0</v>
      </c>
      <c r="Z179" s="519">
        <v>0</v>
      </c>
      <c r="AA179" s="519">
        <v>0</v>
      </c>
      <c r="AB179" s="519">
        <v>0</v>
      </c>
      <c r="AC179" s="519">
        <v>0</v>
      </c>
      <c r="AD179" s="519">
        <v>0</v>
      </c>
      <c r="AE179" s="519">
        <v>0</v>
      </c>
      <c r="AF179" s="519">
        <v>0</v>
      </c>
      <c r="AG179" s="519">
        <v>0</v>
      </c>
      <c r="AH179" s="519">
        <v>0</v>
      </c>
      <c r="AI179" s="519">
        <v>0</v>
      </c>
      <c r="AJ179" s="519">
        <v>0</v>
      </c>
      <c r="AK179" s="519">
        <v>0</v>
      </c>
      <c r="AL179" s="519">
        <v>0</v>
      </c>
      <c r="AM179" s="519">
        <v>0</v>
      </c>
      <c r="AN179" s="519">
        <v>0</v>
      </c>
    </row>
    <row r="180" spans="1:40" x14ac:dyDescent="0.3">
      <c r="A180" s="489" t="s">
        <v>1715</v>
      </c>
      <c r="B180" s="489" t="s">
        <v>1757</v>
      </c>
      <c r="C180" s="489" t="s">
        <v>1757</v>
      </c>
      <c r="D180" s="489" t="s">
        <v>141</v>
      </c>
      <c r="E180" s="619">
        <v>19</v>
      </c>
      <c r="F180" s="624">
        <f t="shared" si="47"/>
        <v>0</v>
      </c>
      <c r="G180" s="519">
        <f t="shared" si="48"/>
        <v>0</v>
      </c>
      <c r="H180" s="519">
        <f t="shared" si="49"/>
        <v>0</v>
      </c>
      <c r="I180" s="519">
        <f t="shared" si="50"/>
        <v>0</v>
      </c>
      <c r="J180" s="519">
        <f t="shared" si="51"/>
        <v>0</v>
      </c>
      <c r="K180" s="519">
        <f t="shared" si="52"/>
        <v>0</v>
      </c>
      <c r="L180" s="519">
        <f t="shared" si="53"/>
        <v>0</v>
      </c>
      <c r="M180" s="519">
        <f t="shared" si="54"/>
        <v>0</v>
      </c>
      <c r="N180" s="519">
        <f t="shared" si="55"/>
        <v>0</v>
      </c>
      <c r="O180" s="519">
        <f t="shared" si="56"/>
        <v>0</v>
      </c>
      <c r="P180" s="519">
        <f t="shared" si="57"/>
        <v>0</v>
      </c>
      <c r="Q180" s="519">
        <f t="shared" si="58"/>
        <v>0</v>
      </c>
      <c r="R180" s="519">
        <f t="shared" si="59"/>
        <v>0</v>
      </c>
      <c r="S180" s="519">
        <f t="shared" si="60"/>
        <v>0</v>
      </c>
      <c r="T180" s="519">
        <f t="shared" si="61"/>
        <v>0</v>
      </c>
      <c r="U180" s="519">
        <f t="shared" si="62"/>
        <v>0</v>
      </c>
      <c r="Y180" s="624">
        <v>0</v>
      </c>
      <c r="Z180" s="519">
        <v>0</v>
      </c>
      <c r="AA180" s="519">
        <v>0</v>
      </c>
      <c r="AB180" s="519">
        <v>0</v>
      </c>
      <c r="AC180" s="519">
        <v>0</v>
      </c>
      <c r="AD180" s="519">
        <v>0</v>
      </c>
      <c r="AE180" s="519">
        <v>0</v>
      </c>
      <c r="AF180" s="519">
        <v>0</v>
      </c>
      <c r="AG180" s="519">
        <v>0</v>
      </c>
      <c r="AH180" s="519">
        <v>0</v>
      </c>
      <c r="AI180" s="519">
        <v>0</v>
      </c>
      <c r="AJ180" s="519">
        <v>0</v>
      </c>
      <c r="AK180" s="519">
        <v>0</v>
      </c>
      <c r="AL180" s="519">
        <v>0</v>
      </c>
      <c r="AM180" s="519">
        <v>0</v>
      </c>
      <c r="AN180" s="519">
        <v>0</v>
      </c>
    </row>
    <row r="181" spans="1:40" x14ac:dyDescent="0.3">
      <c r="A181" s="489" t="s">
        <v>1441</v>
      </c>
      <c r="B181" s="489" t="s">
        <v>1445</v>
      </c>
      <c r="C181" s="489" t="s">
        <v>346</v>
      </c>
      <c r="D181" s="489" t="s">
        <v>141</v>
      </c>
      <c r="E181" s="619">
        <v>19</v>
      </c>
      <c r="F181" s="624">
        <f t="shared" si="47"/>
        <v>0</v>
      </c>
      <c r="G181" s="519">
        <f t="shared" si="48"/>
        <v>0</v>
      </c>
      <c r="H181" s="519">
        <f t="shared" si="49"/>
        <v>0</v>
      </c>
      <c r="I181" s="519">
        <f t="shared" si="50"/>
        <v>0</v>
      </c>
      <c r="J181" s="519">
        <f t="shared" si="51"/>
        <v>0</v>
      </c>
      <c r="K181" s="519">
        <f t="shared" si="52"/>
        <v>0</v>
      </c>
      <c r="L181" s="519">
        <f t="shared" si="53"/>
        <v>0</v>
      </c>
      <c r="M181" s="519">
        <f t="shared" si="54"/>
        <v>0</v>
      </c>
      <c r="N181" s="519">
        <f t="shared" si="55"/>
        <v>0</v>
      </c>
      <c r="O181" s="519">
        <f t="shared" si="56"/>
        <v>0</v>
      </c>
      <c r="P181" s="519">
        <f t="shared" si="57"/>
        <v>0</v>
      </c>
      <c r="Q181" s="519">
        <f t="shared" si="58"/>
        <v>0</v>
      </c>
      <c r="R181" s="519">
        <f t="shared" si="59"/>
        <v>0</v>
      </c>
      <c r="S181" s="519">
        <f t="shared" si="60"/>
        <v>0</v>
      </c>
      <c r="T181" s="519">
        <f t="shared" si="61"/>
        <v>0</v>
      </c>
      <c r="U181" s="519">
        <f t="shared" si="62"/>
        <v>0</v>
      </c>
      <c r="Y181" s="624">
        <v>0</v>
      </c>
      <c r="Z181" s="519">
        <v>0</v>
      </c>
      <c r="AA181" s="519">
        <v>0</v>
      </c>
      <c r="AB181" s="519">
        <v>0</v>
      </c>
      <c r="AC181" s="519">
        <v>0</v>
      </c>
      <c r="AD181" s="519">
        <v>0</v>
      </c>
      <c r="AE181" s="519">
        <v>0</v>
      </c>
      <c r="AF181" s="519">
        <v>0</v>
      </c>
      <c r="AG181" s="519">
        <v>0</v>
      </c>
      <c r="AH181" s="519">
        <v>0</v>
      </c>
      <c r="AI181" s="519">
        <v>0</v>
      </c>
      <c r="AJ181" s="519">
        <v>0</v>
      </c>
      <c r="AK181" s="519">
        <v>0</v>
      </c>
      <c r="AL181" s="519">
        <v>0</v>
      </c>
      <c r="AM181" s="519">
        <v>0</v>
      </c>
      <c r="AN181" s="519">
        <v>0</v>
      </c>
    </row>
    <row r="182" spans="1:40" x14ac:dyDescent="0.3">
      <c r="A182" s="489" t="s">
        <v>1426</v>
      </c>
      <c r="B182" s="489" t="s">
        <v>307</v>
      </c>
      <c r="C182" s="489" t="s">
        <v>307</v>
      </c>
      <c r="D182" s="489" t="s">
        <v>46</v>
      </c>
      <c r="E182" s="619">
        <v>18</v>
      </c>
      <c r="F182" s="624">
        <f t="shared" si="47"/>
        <v>116.33333333333333</v>
      </c>
      <c r="G182" s="519">
        <f t="shared" si="48"/>
        <v>103</v>
      </c>
      <c r="H182" s="519">
        <f t="shared" si="49"/>
        <v>103</v>
      </c>
      <c r="I182" s="519">
        <f t="shared" si="50"/>
        <v>103</v>
      </c>
      <c r="J182" s="519">
        <f t="shared" si="51"/>
        <v>103</v>
      </c>
      <c r="K182" s="519">
        <f t="shared" si="52"/>
        <v>103</v>
      </c>
      <c r="L182" s="519">
        <f t="shared" si="53"/>
        <v>103</v>
      </c>
      <c r="M182" s="519">
        <f t="shared" si="54"/>
        <v>103</v>
      </c>
      <c r="N182" s="519">
        <f t="shared" si="55"/>
        <v>103</v>
      </c>
      <c r="O182" s="519">
        <f t="shared" si="56"/>
        <v>103</v>
      </c>
      <c r="P182" s="519">
        <f t="shared" si="57"/>
        <v>103</v>
      </c>
      <c r="Q182" s="519">
        <f t="shared" si="58"/>
        <v>103</v>
      </c>
      <c r="R182" s="519">
        <f t="shared" si="59"/>
        <v>103</v>
      </c>
      <c r="S182" s="519">
        <f t="shared" si="60"/>
        <v>103</v>
      </c>
      <c r="T182" s="519">
        <f t="shared" si="61"/>
        <v>111</v>
      </c>
      <c r="U182" s="519">
        <f t="shared" si="62"/>
        <v>111</v>
      </c>
      <c r="Y182" s="624">
        <v>116.33333333333333</v>
      </c>
      <c r="Z182" s="519">
        <v>0</v>
      </c>
      <c r="AA182" s="519">
        <v>0</v>
      </c>
      <c r="AB182" s="519">
        <v>0</v>
      </c>
      <c r="AC182" s="519">
        <v>0</v>
      </c>
      <c r="AD182" s="519">
        <v>0</v>
      </c>
      <c r="AE182" s="519">
        <v>0</v>
      </c>
      <c r="AF182" s="519">
        <v>0</v>
      </c>
      <c r="AG182" s="519">
        <v>0</v>
      </c>
      <c r="AH182" s="519">
        <v>0</v>
      </c>
      <c r="AI182" s="519">
        <v>0</v>
      </c>
      <c r="AJ182" s="519">
        <v>0</v>
      </c>
      <c r="AK182" s="519">
        <v>0</v>
      </c>
      <c r="AL182" s="519">
        <v>103</v>
      </c>
      <c r="AM182" s="519">
        <v>0</v>
      </c>
      <c r="AN182" s="519">
        <v>111</v>
      </c>
    </row>
    <row r="183" spans="1:40" x14ac:dyDescent="0.3">
      <c r="A183" s="489" t="s">
        <v>1426</v>
      </c>
      <c r="B183" s="489" t="s">
        <v>1758</v>
      </c>
      <c r="C183" s="489" t="s">
        <v>1758</v>
      </c>
      <c r="D183" s="489" t="s">
        <v>1929</v>
      </c>
      <c r="E183" s="619">
        <v>18</v>
      </c>
      <c r="F183" s="624">
        <f t="shared" si="47"/>
        <v>100.5</v>
      </c>
      <c r="G183" s="519">
        <f t="shared" si="48"/>
        <v>120</v>
      </c>
      <c r="H183" s="519">
        <f t="shared" si="49"/>
        <v>114.5</v>
      </c>
      <c r="I183" s="519">
        <f t="shared" si="50"/>
        <v>103.2</v>
      </c>
      <c r="J183" s="519">
        <f t="shared" si="51"/>
        <v>86.5</v>
      </c>
      <c r="K183" s="519">
        <f t="shared" si="52"/>
        <v>98.5</v>
      </c>
      <c r="L183" s="519">
        <f t="shared" si="53"/>
        <v>114</v>
      </c>
      <c r="M183" s="519">
        <f t="shared" si="54"/>
        <v>87</v>
      </c>
      <c r="N183" s="519">
        <f t="shared" si="55"/>
        <v>86</v>
      </c>
      <c r="O183" s="519">
        <f t="shared" si="56"/>
        <v>0</v>
      </c>
      <c r="P183" s="519">
        <f t="shared" si="57"/>
        <v>0</v>
      </c>
      <c r="Q183" s="519">
        <f t="shared" si="58"/>
        <v>0</v>
      </c>
      <c r="R183" s="519">
        <f t="shared" si="59"/>
        <v>0</v>
      </c>
      <c r="S183" s="519">
        <f t="shared" si="60"/>
        <v>0</v>
      </c>
      <c r="T183" s="519">
        <f t="shared" si="61"/>
        <v>0</v>
      </c>
      <c r="U183" s="519">
        <f t="shared" si="62"/>
        <v>0</v>
      </c>
      <c r="Y183" s="624">
        <v>100.5</v>
      </c>
      <c r="Z183" s="519">
        <v>120</v>
      </c>
      <c r="AA183" s="519">
        <v>114.5</v>
      </c>
      <c r="AB183" s="519">
        <v>103.2</v>
      </c>
      <c r="AC183" s="519">
        <v>86.5</v>
      </c>
      <c r="AD183" s="519">
        <v>98.5</v>
      </c>
      <c r="AE183" s="519">
        <v>114</v>
      </c>
      <c r="AF183" s="519">
        <v>87</v>
      </c>
      <c r="AG183" s="519">
        <v>86</v>
      </c>
      <c r="AH183" s="519">
        <v>0</v>
      </c>
      <c r="AI183" s="519">
        <v>0</v>
      </c>
      <c r="AJ183" s="519">
        <v>0</v>
      </c>
      <c r="AK183" s="519">
        <v>0</v>
      </c>
      <c r="AL183" s="519">
        <v>0</v>
      </c>
      <c r="AM183" s="519">
        <v>0</v>
      </c>
      <c r="AN183" s="519">
        <v>0</v>
      </c>
    </row>
    <row r="184" spans="1:40" x14ac:dyDescent="0.3">
      <c r="A184" s="489" t="s">
        <v>1426</v>
      </c>
      <c r="B184" s="489" t="s">
        <v>1440</v>
      </c>
      <c r="C184" s="489" t="s">
        <v>1440</v>
      </c>
      <c r="D184" s="489" t="s">
        <v>1936</v>
      </c>
      <c r="E184" s="619">
        <v>17</v>
      </c>
      <c r="F184" s="624">
        <f t="shared" si="47"/>
        <v>0</v>
      </c>
      <c r="G184" s="519">
        <f t="shared" si="48"/>
        <v>0</v>
      </c>
      <c r="H184" s="519">
        <f t="shared" si="49"/>
        <v>0</v>
      </c>
      <c r="I184" s="519">
        <f t="shared" si="50"/>
        <v>0</v>
      </c>
      <c r="J184" s="519">
        <f t="shared" si="51"/>
        <v>0</v>
      </c>
      <c r="K184" s="519">
        <f t="shared" si="52"/>
        <v>0</v>
      </c>
      <c r="L184" s="519">
        <f t="shared" si="53"/>
        <v>0</v>
      </c>
      <c r="M184" s="519">
        <f t="shared" si="54"/>
        <v>0</v>
      </c>
      <c r="N184" s="519">
        <f t="shared" si="55"/>
        <v>0</v>
      </c>
      <c r="O184" s="519">
        <f t="shared" si="56"/>
        <v>0</v>
      </c>
      <c r="P184" s="519">
        <f t="shared" si="57"/>
        <v>0</v>
      </c>
      <c r="Q184" s="519">
        <f t="shared" si="58"/>
        <v>0</v>
      </c>
      <c r="R184" s="519">
        <f t="shared" si="59"/>
        <v>0</v>
      </c>
      <c r="S184" s="519">
        <f t="shared" si="60"/>
        <v>0</v>
      </c>
      <c r="T184" s="519">
        <f t="shared" si="61"/>
        <v>0</v>
      </c>
      <c r="U184" s="519">
        <f t="shared" si="62"/>
        <v>0</v>
      </c>
      <c r="Y184" s="624">
        <v>0</v>
      </c>
      <c r="Z184" s="519">
        <v>0</v>
      </c>
      <c r="AA184" s="519">
        <v>0</v>
      </c>
      <c r="AB184" s="519">
        <v>0</v>
      </c>
      <c r="AC184" s="519">
        <v>0</v>
      </c>
      <c r="AD184" s="519">
        <v>0</v>
      </c>
      <c r="AE184" s="519">
        <v>0</v>
      </c>
      <c r="AF184" s="519">
        <v>0</v>
      </c>
      <c r="AG184" s="519">
        <v>0</v>
      </c>
      <c r="AH184" s="519">
        <v>0</v>
      </c>
      <c r="AI184" s="519">
        <v>0</v>
      </c>
      <c r="AJ184" s="519">
        <v>0</v>
      </c>
      <c r="AK184" s="519">
        <v>0</v>
      </c>
      <c r="AL184" s="519">
        <v>0</v>
      </c>
      <c r="AM184" s="519">
        <v>0</v>
      </c>
      <c r="AN184" s="519">
        <v>0</v>
      </c>
    </row>
    <row r="185" spans="1:40" x14ac:dyDescent="0.3">
      <c r="A185" s="489" t="s">
        <v>1441</v>
      </c>
      <c r="B185" s="489" t="s">
        <v>1444</v>
      </c>
      <c r="C185" s="489" t="s">
        <v>870</v>
      </c>
      <c r="D185" s="489" t="s">
        <v>1936</v>
      </c>
      <c r="E185" s="619">
        <v>17</v>
      </c>
      <c r="F185" s="624">
        <f t="shared" si="47"/>
        <v>0</v>
      </c>
      <c r="G185" s="519">
        <f t="shared" si="48"/>
        <v>0</v>
      </c>
      <c r="H185" s="519">
        <f t="shared" si="49"/>
        <v>0</v>
      </c>
      <c r="I185" s="519">
        <f t="shared" si="50"/>
        <v>0</v>
      </c>
      <c r="J185" s="519">
        <f t="shared" si="51"/>
        <v>0</v>
      </c>
      <c r="K185" s="519">
        <f t="shared" si="52"/>
        <v>0</v>
      </c>
      <c r="L185" s="519">
        <f t="shared" si="53"/>
        <v>0</v>
      </c>
      <c r="M185" s="519">
        <f t="shared" si="54"/>
        <v>0</v>
      </c>
      <c r="N185" s="519">
        <f t="shared" si="55"/>
        <v>0</v>
      </c>
      <c r="O185" s="519">
        <f t="shared" si="56"/>
        <v>0</v>
      </c>
      <c r="P185" s="519">
        <f t="shared" si="57"/>
        <v>0</v>
      </c>
      <c r="Q185" s="519">
        <f t="shared" si="58"/>
        <v>0</v>
      </c>
      <c r="R185" s="519">
        <f t="shared" si="59"/>
        <v>0</v>
      </c>
      <c r="S185" s="519">
        <f t="shared" si="60"/>
        <v>0</v>
      </c>
      <c r="T185" s="519">
        <f t="shared" si="61"/>
        <v>0</v>
      </c>
      <c r="U185" s="519">
        <f t="shared" si="62"/>
        <v>0</v>
      </c>
      <c r="Y185" s="624">
        <v>0</v>
      </c>
      <c r="Z185" s="519">
        <v>0</v>
      </c>
      <c r="AA185" s="519">
        <v>0</v>
      </c>
      <c r="AB185" s="519">
        <v>0</v>
      </c>
      <c r="AC185" s="519">
        <v>0</v>
      </c>
      <c r="AD185" s="519">
        <v>0</v>
      </c>
      <c r="AE185" s="519">
        <v>0</v>
      </c>
      <c r="AF185" s="519">
        <v>0</v>
      </c>
      <c r="AG185" s="519">
        <v>0</v>
      </c>
      <c r="AH185" s="519">
        <v>0</v>
      </c>
      <c r="AI185" s="519">
        <v>0</v>
      </c>
      <c r="AJ185" s="519">
        <v>0</v>
      </c>
      <c r="AK185" s="519">
        <v>0</v>
      </c>
      <c r="AL185" s="519">
        <v>0</v>
      </c>
      <c r="AM185" s="519">
        <v>0</v>
      </c>
      <c r="AN185" s="519">
        <v>0</v>
      </c>
    </row>
    <row r="186" spans="1:40" x14ac:dyDescent="0.3">
      <c r="A186" s="489" t="s">
        <v>1694</v>
      </c>
      <c r="B186" s="489" t="s">
        <v>1759</v>
      </c>
      <c r="C186" s="489" t="s">
        <v>1882</v>
      </c>
      <c r="D186" s="489" t="s">
        <v>141</v>
      </c>
      <c r="E186" s="619">
        <v>17</v>
      </c>
      <c r="F186" s="624">
        <f t="shared" si="47"/>
        <v>0</v>
      </c>
      <c r="G186" s="519">
        <f t="shared" si="48"/>
        <v>0</v>
      </c>
      <c r="H186" s="519">
        <f t="shared" si="49"/>
        <v>0</v>
      </c>
      <c r="I186" s="519">
        <f t="shared" si="50"/>
        <v>0</v>
      </c>
      <c r="J186" s="519">
        <f t="shared" si="51"/>
        <v>0</v>
      </c>
      <c r="K186" s="519">
        <f t="shared" si="52"/>
        <v>0</v>
      </c>
      <c r="L186" s="519">
        <f t="shared" si="53"/>
        <v>0</v>
      </c>
      <c r="M186" s="519">
        <f t="shared" si="54"/>
        <v>0</v>
      </c>
      <c r="N186" s="519">
        <f t="shared" si="55"/>
        <v>0</v>
      </c>
      <c r="O186" s="519">
        <f t="shared" si="56"/>
        <v>0</v>
      </c>
      <c r="P186" s="519">
        <f t="shared" si="57"/>
        <v>0</v>
      </c>
      <c r="Q186" s="519">
        <f t="shared" si="58"/>
        <v>0</v>
      </c>
      <c r="R186" s="519">
        <f t="shared" si="59"/>
        <v>0</v>
      </c>
      <c r="S186" s="519">
        <f t="shared" si="60"/>
        <v>0</v>
      </c>
      <c r="T186" s="519">
        <f t="shared" si="61"/>
        <v>0</v>
      </c>
      <c r="U186" s="519">
        <f t="shared" si="62"/>
        <v>0</v>
      </c>
      <c r="Y186" s="624">
        <v>0</v>
      </c>
      <c r="Z186" s="519">
        <v>0</v>
      </c>
      <c r="AA186" s="519">
        <v>0</v>
      </c>
      <c r="AB186" s="519">
        <v>0</v>
      </c>
      <c r="AC186" s="519">
        <v>0</v>
      </c>
      <c r="AD186" s="519">
        <v>0</v>
      </c>
      <c r="AE186" s="519">
        <v>0</v>
      </c>
      <c r="AF186" s="519">
        <v>0</v>
      </c>
      <c r="AG186" s="519">
        <v>0</v>
      </c>
      <c r="AH186" s="519">
        <v>0</v>
      </c>
      <c r="AI186" s="519">
        <v>0</v>
      </c>
      <c r="AJ186" s="519">
        <v>0</v>
      </c>
      <c r="AK186" s="519">
        <v>0</v>
      </c>
      <c r="AL186" s="519">
        <v>0</v>
      </c>
      <c r="AM186" s="519">
        <v>0</v>
      </c>
      <c r="AN186" s="519">
        <v>0</v>
      </c>
    </row>
    <row r="187" spans="1:40" x14ac:dyDescent="0.3">
      <c r="A187" s="489" t="s">
        <v>1454</v>
      </c>
      <c r="B187" s="489" t="s">
        <v>1760</v>
      </c>
      <c r="C187" s="489" t="s">
        <v>1883</v>
      </c>
      <c r="D187" s="489" t="s">
        <v>46</v>
      </c>
      <c r="E187" s="619">
        <v>16</v>
      </c>
      <c r="F187" s="624">
        <f t="shared" si="47"/>
        <v>140.125</v>
      </c>
      <c r="G187" s="519">
        <f t="shared" si="48"/>
        <v>115</v>
      </c>
      <c r="H187" s="519">
        <f t="shared" si="49"/>
        <v>115</v>
      </c>
      <c r="I187" s="519">
        <f t="shared" si="50"/>
        <v>115</v>
      </c>
      <c r="J187" s="519">
        <f t="shared" si="51"/>
        <v>115</v>
      </c>
      <c r="K187" s="519">
        <f t="shared" si="52"/>
        <v>115</v>
      </c>
      <c r="L187" s="519">
        <f t="shared" si="53"/>
        <v>115</v>
      </c>
      <c r="M187" s="519">
        <f t="shared" si="54"/>
        <v>132</v>
      </c>
      <c r="N187" s="519">
        <f t="shared" si="55"/>
        <v>132</v>
      </c>
      <c r="O187" s="519">
        <f t="shared" si="56"/>
        <v>131.5</v>
      </c>
      <c r="P187" s="519">
        <f t="shared" si="57"/>
        <v>131.5</v>
      </c>
      <c r="Q187" s="519">
        <f t="shared" si="58"/>
        <v>114</v>
      </c>
      <c r="R187" s="519">
        <f t="shared" si="59"/>
        <v>115</v>
      </c>
      <c r="S187" s="519">
        <f t="shared" si="60"/>
        <v>147.5</v>
      </c>
      <c r="T187" s="519">
        <f t="shared" si="61"/>
        <v>142</v>
      </c>
      <c r="U187" s="519">
        <f t="shared" si="62"/>
        <v>142</v>
      </c>
      <c r="Y187" s="624">
        <v>140.125</v>
      </c>
      <c r="Z187" s="519">
        <v>0</v>
      </c>
      <c r="AA187" s="519">
        <v>0</v>
      </c>
      <c r="AB187" s="519">
        <v>0</v>
      </c>
      <c r="AC187" s="519">
        <v>0</v>
      </c>
      <c r="AD187" s="519">
        <v>0</v>
      </c>
      <c r="AE187" s="519">
        <v>115</v>
      </c>
      <c r="AF187" s="519">
        <v>0</v>
      </c>
      <c r="AG187" s="519">
        <v>132</v>
      </c>
      <c r="AH187" s="519">
        <v>0</v>
      </c>
      <c r="AI187" s="519">
        <v>131.5</v>
      </c>
      <c r="AJ187" s="519">
        <v>114</v>
      </c>
      <c r="AK187" s="519">
        <v>115</v>
      </c>
      <c r="AL187" s="519">
        <v>147.5</v>
      </c>
      <c r="AM187" s="519">
        <v>0</v>
      </c>
      <c r="AN187" s="519">
        <v>142</v>
      </c>
    </row>
    <row r="188" spans="1:40" x14ac:dyDescent="0.3">
      <c r="A188" s="489" t="s">
        <v>1441</v>
      </c>
      <c r="B188" s="489" t="s">
        <v>1445</v>
      </c>
      <c r="C188" s="489" t="s">
        <v>346</v>
      </c>
      <c r="D188" s="489" t="s">
        <v>45</v>
      </c>
      <c r="E188" s="619">
        <v>16</v>
      </c>
      <c r="F188" s="624">
        <f t="shared" si="47"/>
        <v>127.29411764705883</v>
      </c>
      <c r="G188" s="519">
        <f t="shared" si="48"/>
        <v>150</v>
      </c>
      <c r="H188" s="519">
        <f t="shared" si="49"/>
        <v>146</v>
      </c>
      <c r="I188" s="519">
        <f t="shared" si="50"/>
        <v>123</v>
      </c>
      <c r="J188" s="519">
        <f t="shared" si="51"/>
        <v>116</v>
      </c>
      <c r="K188" s="519">
        <f t="shared" si="52"/>
        <v>116</v>
      </c>
      <c r="L188" s="519">
        <f t="shared" si="53"/>
        <v>106</v>
      </c>
      <c r="M188" s="519">
        <f t="shared" si="54"/>
        <v>140.5</v>
      </c>
      <c r="N188" s="519">
        <f t="shared" si="55"/>
        <v>109</v>
      </c>
      <c r="O188" s="519">
        <f t="shared" si="56"/>
        <v>115.66666666666667</v>
      </c>
      <c r="P188" s="519">
        <f t="shared" si="57"/>
        <v>115.66666666666667</v>
      </c>
      <c r="Q188" s="519">
        <f t="shared" si="58"/>
        <v>115.66666666666667</v>
      </c>
      <c r="R188" s="519">
        <f t="shared" si="59"/>
        <v>116</v>
      </c>
      <c r="S188" s="519">
        <f t="shared" si="60"/>
        <v>136</v>
      </c>
      <c r="T188" s="519">
        <f t="shared" si="61"/>
        <v>141</v>
      </c>
      <c r="U188" s="519">
        <f t="shared" si="62"/>
        <v>141</v>
      </c>
      <c r="Y188" s="624">
        <v>127.29411764705883</v>
      </c>
      <c r="Z188" s="519">
        <v>150</v>
      </c>
      <c r="AA188" s="519">
        <v>146</v>
      </c>
      <c r="AB188" s="519">
        <v>123</v>
      </c>
      <c r="AC188" s="519">
        <v>0</v>
      </c>
      <c r="AD188" s="519">
        <v>116</v>
      </c>
      <c r="AE188" s="519">
        <v>106</v>
      </c>
      <c r="AF188" s="519">
        <v>140.5</v>
      </c>
      <c r="AG188" s="519">
        <v>109</v>
      </c>
      <c r="AH188" s="519">
        <v>0</v>
      </c>
      <c r="AI188" s="519">
        <v>0</v>
      </c>
      <c r="AJ188" s="519">
        <v>115.66666666666667</v>
      </c>
      <c r="AK188" s="519">
        <v>116</v>
      </c>
      <c r="AL188" s="519">
        <v>136</v>
      </c>
      <c r="AM188" s="519">
        <v>0</v>
      </c>
      <c r="AN188" s="519">
        <v>141</v>
      </c>
    </row>
    <row r="189" spans="1:40" x14ac:dyDescent="0.3">
      <c r="A189" s="489" t="s">
        <v>1432</v>
      </c>
      <c r="B189" s="489" t="s">
        <v>1761</v>
      </c>
      <c r="C189" s="489" t="s">
        <v>1884</v>
      </c>
      <c r="D189" s="489" t="s">
        <v>141</v>
      </c>
      <c r="E189" s="619">
        <v>16</v>
      </c>
      <c r="F189" s="624">
        <f t="shared" si="47"/>
        <v>0</v>
      </c>
      <c r="G189" s="519">
        <f t="shared" si="48"/>
        <v>0</v>
      </c>
      <c r="H189" s="519">
        <f t="shared" si="49"/>
        <v>0</v>
      </c>
      <c r="I189" s="519">
        <f t="shared" si="50"/>
        <v>0</v>
      </c>
      <c r="J189" s="519">
        <f t="shared" si="51"/>
        <v>0</v>
      </c>
      <c r="K189" s="519">
        <f t="shared" si="52"/>
        <v>0</v>
      </c>
      <c r="L189" s="519">
        <f t="shared" si="53"/>
        <v>0</v>
      </c>
      <c r="M189" s="519">
        <f t="shared" si="54"/>
        <v>0</v>
      </c>
      <c r="N189" s="519">
        <f t="shared" si="55"/>
        <v>0</v>
      </c>
      <c r="O189" s="519">
        <f t="shared" si="56"/>
        <v>0</v>
      </c>
      <c r="P189" s="519">
        <f t="shared" si="57"/>
        <v>0</v>
      </c>
      <c r="Q189" s="519">
        <f t="shared" si="58"/>
        <v>0</v>
      </c>
      <c r="R189" s="519">
        <f t="shared" si="59"/>
        <v>0</v>
      </c>
      <c r="S189" s="519">
        <f t="shared" si="60"/>
        <v>0</v>
      </c>
      <c r="T189" s="519">
        <f t="shared" si="61"/>
        <v>0</v>
      </c>
      <c r="U189" s="519">
        <f t="shared" si="62"/>
        <v>0</v>
      </c>
      <c r="Y189" s="624">
        <v>0</v>
      </c>
      <c r="Z189" s="519">
        <v>0</v>
      </c>
      <c r="AA189" s="519">
        <v>0</v>
      </c>
      <c r="AB189" s="519">
        <v>0</v>
      </c>
      <c r="AC189" s="519">
        <v>0</v>
      </c>
      <c r="AD189" s="519">
        <v>0</v>
      </c>
      <c r="AE189" s="519">
        <v>0</v>
      </c>
      <c r="AF189" s="519">
        <v>0</v>
      </c>
      <c r="AG189" s="519">
        <v>0</v>
      </c>
      <c r="AH189" s="519">
        <v>0</v>
      </c>
      <c r="AI189" s="519">
        <v>0</v>
      </c>
      <c r="AJ189" s="519">
        <v>0</v>
      </c>
      <c r="AK189" s="519">
        <v>0</v>
      </c>
      <c r="AL189" s="519">
        <v>0</v>
      </c>
      <c r="AM189" s="519">
        <v>0</v>
      </c>
      <c r="AN189" s="519">
        <v>0</v>
      </c>
    </row>
    <row r="190" spans="1:40" x14ac:dyDescent="0.3">
      <c r="A190" s="489" t="s">
        <v>1414</v>
      </c>
      <c r="B190" s="489" t="s">
        <v>1762</v>
      </c>
      <c r="C190" s="489" t="s">
        <v>1885</v>
      </c>
      <c r="D190" s="489" t="s">
        <v>46</v>
      </c>
      <c r="E190" s="619">
        <v>15</v>
      </c>
      <c r="F190" s="624">
        <f t="shared" si="47"/>
        <v>153.80000000000001</v>
      </c>
      <c r="G190" s="519">
        <f t="shared" si="48"/>
        <v>136</v>
      </c>
      <c r="H190" s="519">
        <f t="shared" si="49"/>
        <v>136</v>
      </c>
      <c r="I190" s="519">
        <f t="shared" si="50"/>
        <v>136</v>
      </c>
      <c r="J190" s="519">
        <f t="shared" si="51"/>
        <v>136</v>
      </c>
      <c r="K190" s="519">
        <f t="shared" si="52"/>
        <v>136</v>
      </c>
      <c r="L190" s="519">
        <f t="shared" si="53"/>
        <v>136</v>
      </c>
      <c r="M190" s="519">
        <f t="shared" si="54"/>
        <v>168</v>
      </c>
      <c r="N190" s="519">
        <f t="shared" si="55"/>
        <v>169</v>
      </c>
      <c r="O190" s="519">
        <f t="shared" si="56"/>
        <v>149.33333333333334</v>
      </c>
      <c r="P190" s="519">
        <f t="shared" si="57"/>
        <v>145.75</v>
      </c>
      <c r="Q190" s="519">
        <f t="shared" si="58"/>
        <v>142</v>
      </c>
      <c r="R190" s="519">
        <f t="shared" si="59"/>
        <v>162</v>
      </c>
      <c r="S190" s="519">
        <f t="shared" si="60"/>
        <v>0</v>
      </c>
      <c r="T190" s="519">
        <f t="shared" si="61"/>
        <v>0</v>
      </c>
      <c r="U190" s="519">
        <f t="shared" si="62"/>
        <v>0</v>
      </c>
      <c r="Y190" s="624">
        <v>153.80000000000001</v>
      </c>
      <c r="Z190" s="519">
        <v>0</v>
      </c>
      <c r="AA190" s="519">
        <v>0</v>
      </c>
      <c r="AB190" s="519">
        <v>0</v>
      </c>
      <c r="AC190" s="519">
        <v>0</v>
      </c>
      <c r="AD190" s="519">
        <v>0</v>
      </c>
      <c r="AE190" s="519">
        <v>136</v>
      </c>
      <c r="AF190" s="519">
        <v>168</v>
      </c>
      <c r="AG190" s="519">
        <v>169</v>
      </c>
      <c r="AH190" s="519">
        <v>149.33333333333334</v>
      </c>
      <c r="AI190" s="519">
        <v>145.75</v>
      </c>
      <c r="AJ190" s="519">
        <v>142</v>
      </c>
      <c r="AK190" s="519">
        <v>162</v>
      </c>
      <c r="AL190" s="519">
        <v>0</v>
      </c>
      <c r="AM190" s="519">
        <v>0</v>
      </c>
      <c r="AN190" s="519">
        <v>0</v>
      </c>
    </row>
    <row r="191" spans="1:40" x14ac:dyDescent="0.3">
      <c r="A191" s="489" t="s">
        <v>1544</v>
      </c>
      <c r="B191" s="489" t="s">
        <v>1763</v>
      </c>
      <c r="C191" s="489" t="s">
        <v>1886</v>
      </c>
      <c r="D191" s="489" t="s">
        <v>46</v>
      </c>
      <c r="E191" s="619">
        <v>15</v>
      </c>
      <c r="F191" s="624">
        <f t="shared" si="47"/>
        <v>127.26666666666667</v>
      </c>
      <c r="G191" s="519">
        <f t="shared" si="48"/>
        <v>124</v>
      </c>
      <c r="H191" s="519">
        <f t="shared" si="49"/>
        <v>124</v>
      </c>
      <c r="I191" s="519">
        <f t="shared" si="50"/>
        <v>124</v>
      </c>
      <c r="J191" s="519">
        <f t="shared" si="51"/>
        <v>124</v>
      </c>
      <c r="K191" s="519">
        <f t="shared" si="52"/>
        <v>129.5</v>
      </c>
      <c r="L191" s="519">
        <f t="shared" si="53"/>
        <v>129.5</v>
      </c>
      <c r="M191" s="519">
        <f t="shared" si="54"/>
        <v>134</v>
      </c>
      <c r="N191" s="519">
        <f t="shared" si="55"/>
        <v>107.25</v>
      </c>
      <c r="O191" s="519">
        <f t="shared" si="56"/>
        <v>119</v>
      </c>
      <c r="P191" s="519">
        <f t="shared" si="57"/>
        <v>159</v>
      </c>
      <c r="Q191" s="519">
        <f t="shared" si="58"/>
        <v>159</v>
      </c>
      <c r="R191" s="519">
        <f t="shared" si="59"/>
        <v>159</v>
      </c>
      <c r="S191" s="519">
        <f t="shared" si="60"/>
        <v>0</v>
      </c>
      <c r="T191" s="519">
        <f t="shared" si="61"/>
        <v>0</v>
      </c>
      <c r="U191" s="519">
        <f t="shared" si="62"/>
        <v>0</v>
      </c>
      <c r="Y191" s="624">
        <v>127.26666666666667</v>
      </c>
      <c r="Z191" s="519">
        <v>0</v>
      </c>
      <c r="AA191" s="519">
        <v>124</v>
      </c>
      <c r="AB191" s="519">
        <v>0</v>
      </c>
      <c r="AC191" s="519">
        <v>124</v>
      </c>
      <c r="AD191" s="519">
        <v>0</v>
      </c>
      <c r="AE191" s="519">
        <v>129.5</v>
      </c>
      <c r="AF191" s="519">
        <v>134</v>
      </c>
      <c r="AG191" s="519">
        <v>107.25</v>
      </c>
      <c r="AH191" s="519">
        <v>119</v>
      </c>
      <c r="AI191" s="519">
        <v>0</v>
      </c>
      <c r="AJ191" s="519">
        <v>0</v>
      </c>
      <c r="AK191" s="519">
        <v>159</v>
      </c>
      <c r="AL191" s="519">
        <v>0</v>
      </c>
      <c r="AM191" s="519">
        <v>0</v>
      </c>
      <c r="AN191" s="519">
        <v>0</v>
      </c>
    </row>
    <row r="192" spans="1:40" x14ac:dyDescent="0.3">
      <c r="A192" s="489" t="s">
        <v>1441</v>
      </c>
      <c r="B192" s="489" t="s">
        <v>1764</v>
      </c>
      <c r="C192" s="489" t="s">
        <v>1887</v>
      </c>
      <c r="D192" s="489" t="s">
        <v>46</v>
      </c>
      <c r="E192" s="619">
        <v>15</v>
      </c>
      <c r="F192" s="624">
        <f t="shared" si="47"/>
        <v>152.33333333333334</v>
      </c>
      <c r="G192" s="519">
        <f t="shared" si="48"/>
        <v>164</v>
      </c>
      <c r="H192" s="519">
        <f t="shared" si="49"/>
        <v>154</v>
      </c>
      <c r="I192" s="519">
        <f t="shared" si="50"/>
        <v>147</v>
      </c>
      <c r="J192" s="519">
        <f t="shared" si="51"/>
        <v>159.80000000000001</v>
      </c>
      <c r="K192" s="519">
        <f t="shared" si="52"/>
        <v>159.80000000000001</v>
      </c>
      <c r="L192" s="519">
        <f t="shared" si="53"/>
        <v>159.80000000000001</v>
      </c>
      <c r="M192" s="519">
        <f t="shared" si="54"/>
        <v>128</v>
      </c>
      <c r="N192" s="519">
        <f t="shared" si="55"/>
        <v>129</v>
      </c>
      <c r="O192" s="519">
        <f t="shared" si="56"/>
        <v>0</v>
      </c>
      <c r="P192" s="519">
        <f t="shared" si="57"/>
        <v>0</v>
      </c>
      <c r="Q192" s="519">
        <f t="shared" si="58"/>
        <v>0</v>
      </c>
      <c r="R192" s="519">
        <f t="shared" si="59"/>
        <v>0</v>
      </c>
      <c r="S192" s="519">
        <f t="shared" si="60"/>
        <v>0</v>
      </c>
      <c r="T192" s="519">
        <f t="shared" si="61"/>
        <v>0</v>
      </c>
      <c r="U192" s="519">
        <f t="shared" si="62"/>
        <v>0</v>
      </c>
      <c r="Y192" s="624">
        <v>152.33333333333334</v>
      </c>
      <c r="Z192" s="519">
        <v>164</v>
      </c>
      <c r="AA192" s="519">
        <v>154</v>
      </c>
      <c r="AB192" s="519">
        <v>147</v>
      </c>
      <c r="AC192" s="519">
        <v>0</v>
      </c>
      <c r="AD192" s="519">
        <v>0</v>
      </c>
      <c r="AE192" s="519">
        <v>159.80000000000001</v>
      </c>
      <c r="AF192" s="519">
        <v>128</v>
      </c>
      <c r="AG192" s="519">
        <v>129</v>
      </c>
      <c r="AH192" s="519">
        <v>0</v>
      </c>
      <c r="AI192" s="519">
        <v>0</v>
      </c>
      <c r="AJ192" s="519">
        <v>0</v>
      </c>
      <c r="AK192" s="519">
        <v>0</v>
      </c>
      <c r="AL192" s="519">
        <v>0</v>
      </c>
      <c r="AM192" s="519">
        <v>0</v>
      </c>
      <c r="AN192" s="519">
        <v>0</v>
      </c>
    </row>
    <row r="193" spans="1:40" x14ac:dyDescent="0.3">
      <c r="A193" s="489" t="s">
        <v>1414</v>
      </c>
      <c r="B193" s="489" t="s">
        <v>1765</v>
      </c>
      <c r="C193" s="489" t="s">
        <v>1888</v>
      </c>
      <c r="D193" s="489" t="s">
        <v>141</v>
      </c>
      <c r="E193" s="619">
        <v>15</v>
      </c>
      <c r="F193" s="624">
        <f t="shared" si="47"/>
        <v>0</v>
      </c>
      <c r="G193" s="519">
        <f t="shared" si="48"/>
        <v>0</v>
      </c>
      <c r="H193" s="519">
        <f t="shared" si="49"/>
        <v>0</v>
      </c>
      <c r="I193" s="519">
        <f t="shared" si="50"/>
        <v>0</v>
      </c>
      <c r="J193" s="519">
        <f t="shared" si="51"/>
        <v>0</v>
      </c>
      <c r="K193" s="519">
        <f t="shared" si="52"/>
        <v>0</v>
      </c>
      <c r="L193" s="519">
        <f t="shared" si="53"/>
        <v>0</v>
      </c>
      <c r="M193" s="519">
        <f t="shared" si="54"/>
        <v>0</v>
      </c>
      <c r="N193" s="519">
        <f t="shared" si="55"/>
        <v>0</v>
      </c>
      <c r="O193" s="519">
        <f t="shared" si="56"/>
        <v>0</v>
      </c>
      <c r="P193" s="519">
        <f t="shared" si="57"/>
        <v>0</v>
      </c>
      <c r="Q193" s="519">
        <f t="shared" si="58"/>
        <v>0</v>
      </c>
      <c r="R193" s="519">
        <f t="shared" si="59"/>
        <v>0</v>
      </c>
      <c r="S193" s="519">
        <f t="shared" si="60"/>
        <v>0</v>
      </c>
      <c r="T193" s="519">
        <f t="shared" si="61"/>
        <v>0</v>
      </c>
      <c r="U193" s="519">
        <f t="shared" si="62"/>
        <v>0</v>
      </c>
      <c r="Y193" s="624">
        <v>0</v>
      </c>
      <c r="Z193" s="519">
        <v>0</v>
      </c>
      <c r="AA193" s="519">
        <v>0</v>
      </c>
      <c r="AB193" s="519">
        <v>0</v>
      </c>
      <c r="AC193" s="519">
        <v>0</v>
      </c>
      <c r="AD193" s="519">
        <v>0</v>
      </c>
      <c r="AE193" s="519">
        <v>0</v>
      </c>
      <c r="AF193" s="519">
        <v>0</v>
      </c>
      <c r="AG193" s="519">
        <v>0</v>
      </c>
      <c r="AH193" s="519">
        <v>0</v>
      </c>
      <c r="AI193" s="519">
        <v>0</v>
      </c>
      <c r="AJ193" s="519">
        <v>0</v>
      </c>
      <c r="AK193" s="519">
        <v>0</v>
      </c>
      <c r="AL193" s="519">
        <v>0</v>
      </c>
      <c r="AM193" s="519">
        <v>0</v>
      </c>
      <c r="AN193" s="519">
        <v>0</v>
      </c>
    </row>
    <row r="194" spans="1:40" x14ac:dyDescent="0.3">
      <c r="A194" s="489" t="s">
        <v>1414</v>
      </c>
      <c r="B194" s="489" t="s">
        <v>1766</v>
      </c>
      <c r="C194" s="489" t="s">
        <v>1889</v>
      </c>
      <c r="D194" s="489" t="s">
        <v>141</v>
      </c>
      <c r="E194" s="619">
        <v>15</v>
      </c>
      <c r="F194" s="624">
        <f t="shared" si="47"/>
        <v>0</v>
      </c>
      <c r="G194" s="519">
        <f t="shared" si="48"/>
        <v>0</v>
      </c>
      <c r="H194" s="519">
        <f t="shared" si="49"/>
        <v>0</v>
      </c>
      <c r="I194" s="519">
        <f t="shared" si="50"/>
        <v>0</v>
      </c>
      <c r="J194" s="519">
        <f t="shared" si="51"/>
        <v>0</v>
      </c>
      <c r="K194" s="519">
        <f t="shared" si="52"/>
        <v>0</v>
      </c>
      <c r="L194" s="519">
        <f t="shared" si="53"/>
        <v>0</v>
      </c>
      <c r="M194" s="519">
        <f t="shared" si="54"/>
        <v>0</v>
      </c>
      <c r="N194" s="519">
        <f t="shared" si="55"/>
        <v>0</v>
      </c>
      <c r="O194" s="519">
        <f t="shared" si="56"/>
        <v>0</v>
      </c>
      <c r="P194" s="519">
        <f t="shared" si="57"/>
        <v>0</v>
      </c>
      <c r="Q194" s="519">
        <f t="shared" si="58"/>
        <v>0</v>
      </c>
      <c r="R194" s="519">
        <f t="shared" si="59"/>
        <v>0</v>
      </c>
      <c r="S194" s="519">
        <f t="shared" si="60"/>
        <v>0</v>
      </c>
      <c r="T194" s="519">
        <f t="shared" si="61"/>
        <v>0</v>
      </c>
      <c r="U194" s="519">
        <f t="shared" si="62"/>
        <v>0</v>
      </c>
      <c r="Y194" s="624">
        <v>0</v>
      </c>
      <c r="Z194" s="519">
        <v>0</v>
      </c>
      <c r="AA194" s="519">
        <v>0</v>
      </c>
      <c r="AB194" s="519">
        <v>0</v>
      </c>
      <c r="AC194" s="519">
        <v>0</v>
      </c>
      <c r="AD194" s="519">
        <v>0</v>
      </c>
      <c r="AE194" s="519">
        <v>0</v>
      </c>
      <c r="AF194" s="519">
        <v>0</v>
      </c>
      <c r="AG194" s="519">
        <v>0</v>
      </c>
      <c r="AH194" s="519">
        <v>0</v>
      </c>
      <c r="AI194" s="519">
        <v>0</v>
      </c>
      <c r="AJ194" s="519">
        <v>0</v>
      </c>
      <c r="AK194" s="519">
        <v>0</v>
      </c>
      <c r="AL194" s="519">
        <v>0</v>
      </c>
      <c r="AM194" s="519">
        <v>0</v>
      </c>
      <c r="AN194" s="519">
        <v>0</v>
      </c>
    </row>
    <row r="195" spans="1:40" x14ac:dyDescent="0.3">
      <c r="A195" s="489" t="s">
        <v>1414</v>
      </c>
      <c r="B195" s="489" t="s">
        <v>1767</v>
      </c>
      <c r="C195" s="489" t="s">
        <v>1890</v>
      </c>
      <c r="D195" s="489" t="s">
        <v>46</v>
      </c>
      <c r="E195" s="619">
        <v>15</v>
      </c>
      <c r="F195" s="624">
        <f t="shared" ref="F195:F230" si="63">Y195</f>
        <v>159.19999999999999</v>
      </c>
      <c r="G195" s="519">
        <f t="shared" ref="G195:G230" si="64">IF(Z195&gt;0,Z195,IF(H195&gt;0,H195,0))</f>
        <v>161.25</v>
      </c>
      <c r="H195" s="519">
        <f t="shared" ref="H195:H230" si="65">IF(AA195&gt;0,AA195,IF(I195&gt;0,I195,0))</f>
        <v>151.66666666666666</v>
      </c>
      <c r="I195" s="519">
        <f t="shared" ref="I195:I230" si="66">IF(AB195&gt;0,AB195,IF(J195&gt;0,J195,0))</f>
        <v>169.5</v>
      </c>
      <c r="J195" s="519">
        <f t="shared" ref="J195:J230" si="67">IF(AC195&gt;0,AC195,IF(K195&gt;0,K195,0))</f>
        <v>175</v>
      </c>
      <c r="K195" s="519">
        <f t="shared" ref="K195:K230" si="68">IF(AD195&gt;0,AD195,IF(L195&gt;0,L195,0))</f>
        <v>175</v>
      </c>
      <c r="L195" s="519">
        <f t="shared" ref="L195:L230" si="69">IF(AE195&gt;0,AE195,IF(M195&gt;0,M195,0))</f>
        <v>129</v>
      </c>
      <c r="M195" s="519">
        <f t="shared" ref="M195:M230" si="70">IF(AF195&gt;0,AF195,IF(N195&gt;0,N195,0))</f>
        <v>0</v>
      </c>
      <c r="N195" s="519">
        <f t="shared" ref="N195:N230" si="71">IF(AG195&gt;0,AG195,IF(O195&gt;0,O195,0))</f>
        <v>0</v>
      </c>
      <c r="O195" s="519">
        <f t="shared" ref="O195:O230" si="72">IF(AH195&gt;0,AH195,IF(P195&gt;0,P195,0))</f>
        <v>0</v>
      </c>
      <c r="P195" s="519">
        <f t="shared" ref="P195:P230" si="73">IF(AI195&gt;0,AI195,IF(Q195&gt;0,Q195,0))</f>
        <v>0</v>
      </c>
      <c r="Q195" s="519">
        <f t="shared" ref="Q195:Q230" si="74">IF(AJ195&gt;0,AJ195,IF(R195&gt;0,R195,0))</f>
        <v>0</v>
      </c>
      <c r="R195" s="519">
        <f t="shared" ref="R195:R230" si="75">IF(AK195&gt;0,AK195,IF(S195&gt;0,S195,0))</f>
        <v>0</v>
      </c>
      <c r="S195" s="519">
        <f t="shared" ref="S195:S230" si="76">IF(AL195&gt;0,AL195,IF(T195&gt;0,T195,0))</f>
        <v>0</v>
      </c>
      <c r="T195" s="519">
        <f t="shared" ref="T195:T230" si="77">IF(AM195&gt;0,AM195,IF(U195&gt;0,U195,0))</f>
        <v>0</v>
      </c>
      <c r="U195" s="519">
        <f t="shared" ref="U195:U230" si="78">IF(AN195&gt;0,AN195,IF(V195&gt;0,V195,0))</f>
        <v>0</v>
      </c>
      <c r="Y195" s="624">
        <v>159.19999999999999</v>
      </c>
      <c r="Z195" s="519">
        <v>161.25</v>
      </c>
      <c r="AA195" s="519">
        <v>151.66666666666666</v>
      </c>
      <c r="AB195" s="519">
        <v>169.5</v>
      </c>
      <c r="AC195" s="519">
        <v>0</v>
      </c>
      <c r="AD195" s="519">
        <v>175</v>
      </c>
      <c r="AE195" s="519">
        <v>129</v>
      </c>
      <c r="AF195" s="519">
        <v>0</v>
      </c>
      <c r="AG195" s="519">
        <v>0</v>
      </c>
      <c r="AH195" s="519">
        <v>0</v>
      </c>
      <c r="AI195" s="519">
        <v>0</v>
      </c>
      <c r="AJ195" s="519">
        <v>0</v>
      </c>
      <c r="AK195" s="519">
        <v>0</v>
      </c>
      <c r="AL195" s="519">
        <v>0</v>
      </c>
      <c r="AM195" s="519">
        <v>0</v>
      </c>
      <c r="AN195" s="519">
        <v>0</v>
      </c>
    </row>
    <row r="196" spans="1:40" x14ac:dyDescent="0.3">
      <c r="A196" s="489" t="s">
        <v>1441</v>
      </c>
      <c r="B196" s="489" t="s">
        <v>1768</v>
      </c>
      <c r="C196" s="489" t="s">
        <v>85</v>
      </c>
      <c r="D196" s="489" t="s">
        <v>1530</v>
      </c>
      <c r="E196" s="619">
        <v>15</v>
      </c>
      <c r="F196" s="624">
        <f t="shared" si="63"/>
        <v>81.599999999999994</v>
      </c>
      <c r="G196" s="519">
        <f t="shared" si="64"/>
        <v>82</v>
      </c>
      <c r="H196" s="519">
        <f t="shared" si="65"/>
        <v>82</v>
      </c>
      <c r="I196" s="519">
        <f t="shared" si="66"/>
        <v>82</v>
      </c>
      <c r="J196" s="519">
        <f t="shared" si="67"/>
        <v>82</v>
      </c>
      <c r="K196" s="519">
        <f t="shared" si="68"/>
        <v>82</v>
      </c>
      <c r="L196" s="519">
        <f t="shared" si="69"/>
        <v>82</v>
      </c>
      <c r="M196" s="519">
        <f t="shared" si="70"/>
        <v>82</v>
      </c>
      <c r="N196" s="519">
        <f t="shared" si="71"/>
        <v>82</v>
      </c>
      <c r="O196" s="519">
        <f t="shared" si="72"/>
        <v>79</v>
      </c>
      <c r="P196" s="519">
        <f t="shared" si="73"/>
        <v>79</v>
      </c>
      <c r="Q196" s="519">
        <f t="shared" si="74"/>
        <v>0</v>
      </c>
      <c r="R196" s="519">
        <f t="shared" si="75"/>
        <v>0</v>
      </c>
      <c r="S196" s="519">
        <f t="shared" si="76"/>
        <v>0</v>
      </c>
      <c r="T196" s="519">
        <f t="shared" si="77"/>
        <v>0</v>
      </c>
      <c r="U196" s="519">
        <f t="shared" si="78"/>
        <v>0</v>
      </c>
      <c r="Y196" s="624">
        <v>81.599999999999994</v>
      </c>
      <c r="Z196" s="519">
        <v>0</v>
      </c>
      <c r="AA196" s="519">
        <v>0</v>
      </c>
      <c r="AB196" s="519">
        <v>0</v>
      </c>
      <c r="AC196" s="519">
        <v>0</v>
      </c>
      <c r="AD196" s="519">
        <v>0</v>
      </c>
      <c r="AE196" s="519">
        <v>0</v>
      </c>
      <c r="AF196" s="519">
        <v>0</v>
      </c>
      <c r="AG196" s="519">
        <v>82</v>
      </c>
      <c r="AH196" s="519">
        <v>0</v>
      </c>
      <c r="AI196" s="519">
        <v>79</v>
      </c>
      <c r="AJ196" s="519">
        <v>0</v>
      </c>
      <c r="AK196" s="519">
        <v>0</v>
      </c>
      <c r="AL196" s="519">
        <v>0</v>
      </c>
      <c r="AM196" s="519">
        <v>0</v>
      </c>
      <c r="AN196" s="519">
        <v>0</v>
      </c>
    </row>
    <row r="197" spans="1:40" x14ac:dyDescent="0.3">
      <c r="A197" s="489" t="s">
        <v>1677</v>
      </c>
      <c r="B197" s="489" t="s">
        <v>1769</v>
      </c>
      <c r="C197" s="489" t="s">
        <v>1891</v>
      </c>
      <c r="D197" s="489" t="s">
        <v>46</v>
      </c>
      <c r="E197" s="619">
        <v>15</v>
      </c>
      <c r="F197" s="624">
        <f t="shared" si="63"/>
        <v>102.66666666666667</v>
      </c>
      <c r="G197" s="519">
        <f t="shared" si="64"/>
        <v>104</v>
      </c>
      <c r="H197" s="519">
        <f t="shared" si="65"/>
        <v>104</v>
      </c>
      <c r="I197" s="519">
        <f t="shared" si="66"/>
        <v>104</v>
      </c>
      <c r="J197" s="519">
        <f t="shared" si="67"/>
        <v>104</v>
      </c>
      <c r="K197" s="519">
        <f t="shared" si="68"/>
        <v>101.5</v>
      </c>
      <c r="L197" s="519">
        <f t="shared" si="69"/>
        <v>101.5</v>
      </c>
      <c r="M197" s="519">
        <f t="shared" si="70"/>
        <v>101.5</v>
      </c>
      <c r="N197" s="519">
        <f t="shared" si="71"/>
        <v>101.5</v>
      </c>
      <c r="O197" s="519">
        <f t="shared" si="72"/>
        <v>102.75</v>
      </c>
      <c r="P197" s="519">
        <f t="shared" si="73"/>
        <v>104</v>
      </c>
      <c r="Q197" s="519">
        <f t="shared" si="74"/>
        <v>0</v>
      </c>
      <c r="R197" s="519">
        <f t="shared" si="75"/>
        <v>0</v>
      </c>
      <c r="S197" s="519">
        <f t="shared" si="76"/>
        <v>0</v>
      </c>
      <c r="T197" s="519">
        <f t="shared" si="77"/>
        <v>0</v>
      </c>
      <c r="U197" s="519">
        <f t="shared" si="78"/>
        <v>0</v>
      </c>
      <c r="Y197" s="624">
        <v>102.66666666666667</v>
      </c>
      <c r="Z197" s="519">
        <v>0</v>
      </c>
      <c r="AA197" s="519">
        <v>0</v>
      </c>
      <c r="AB197" s="519">
        <v>0</v>
      </c>
      <c r="AC197" s="519">
        <v>104</v>
      </c>
      <c r="AD197" s="519">
        <v>0</v>
      </c>
      <c r="AE197" s="519">
        <v>0</v>
      </c>
      <c r="AF197" s="519">
        <v>101.5</v>
      </c>
      <c r="AG197" s="519">
        <v>101.5</v>
      </c>
      <c r="AH197" s="519">
        <v>102.75</v>
      </c>
      <c r="AI197" s="519">
        <v>104</v>
      </c>
      <c r="AJ197" s="519">
        <v>0</v>
      </c>
      <c r="AK197" s="519">
        <v>0</v>
      </c>
      <c r="AL197" s="519">
        <v>0</v>
      </c>
      <c r="AM197" s="519">
        <v>0</v>
      </c>
      <c r="AN197" s="519">
        <v>0</v>
      </c>
    </row>
    <row r="198" spans="1:40" x14ac:dyDescent="0.3">
      <c r="A198" s="489" t="s">
        <v>1414</v>
      </c>
      <c r="B198" s="489" t="s">
        <v>1670</v>
      </c>
      <c r="C198" s="489" t="s">
        <v>1892</v>
      </c>
      <c r="D198" s="489" t="s">
        <v>1530</v>
      </c>
      <c r="E198" s="619">
        <v>15</v>
      </c>
      <c r="F198" s="624">
        <f t="shared" si="63"/>
        <v>115.66666666666667</v>
      </c>
      <c r="G198" s="519">
        <f t="shared" si="64"/>
        <v>117</v>
      </c>
      <c r="H198" s="519">
        <f t="shared" si="65"/>
        <v>117</v>
      </c>
      <c r="I198" s="519">
        <f t="shared" si="66"/>
        <v>117</v>
      </c>
      <c r="J198" s="519">
        <f t="shared" si="67"/>
        <v>117</v>
      </c>
      <c r="K198" s="519">
        <f t="shared" si="68"/>
        <v>117</v>
      </c>
      <c r="L198" s="519">
        <f t="shared" si="69"/>
        <v>117</v>
      </c>
      <c r="M198" s="519">
        <f t="shared" si="70"/>
        <v>117</v>
      </c>
      <c r="N198" s="519">
        <f t="shared" si="71"/>
        <v>117</v>
      </c>
      <c r="O198" s="519">
        <f t="shared" si="72"/>
        <v>115.18181818181819</v>
      </c>
      <c r="P198" s="519">
        <f t="shared" si="73"/>
        <v>0</v>
      </c>
      <c r="Q198" s="519">
        <f t="shared" si="74"/>
        <v>0</v>
      </c>
      <c r="R198" s="519">
        <f t="shared" si="75"/>
        <v>0</v>
      </c>
      <c r="S198" s="519">
        <f t="shared" si="76"/>
        <v>0</v>
      </c>
      <c r="T198" s="519">
        <f t="shared" si="77"/>
        <v>0</v>
      </c>
      <c r="U198" s="519">
        <f t="shared" si="78"/>
        <v>0</v>
      </c>
      <c r="Y198" s="624">
        <v>115.66666666666667</v>
      </c>
      <c r="Z198" s="519">
        <v>0</v>
      </c>
      <c r="AA198" s="519">
        <v>0</v>
      </c>
      <c r="AB198" s="519">
        <v>0</v>
      </c>
      <c r="AC198" s="519">
        <v>0</v>
      </c>
      <c r="AD198" s="519">
        <v>0</v>
      </c>
      <c r="AE198" s="519">
        <v>0</v>
      </c>
      <c r="AF198" s="519">
        <v>117</v>
      </c>
      <c r="AG198" s="519">
        <v>117</v>
      </c>
      <c r="AH198" s="519">
        <v>115.18181818181819</v>
      </c>
      <c r="AI198" s="519">
        <v>0</v>
      </c>
      <c r="AJ198" s="519">
        <v>0</v>
      </c>
      <c r="AK198" s="519">
        <v>0</v>
      </c>
      <c r="AL198" s="519">
        <v>0</v>
      </c>
      <c r="AM198" s="519">
        <v>0</v>
      </c>
      <c r="AN198" s="519">
        <v>0</v>
      </c>
    </row>
    <row r="199" spans="1:40" x14ac:dyDescent="0.3">
      <c r="A199" s="489" t="s">
        <v>1441</v>
      </c>
      <c r="B199" s="489" t="s">
        <v>1770</v>
      </c>
      <c r="C199" s="489" t="s">
        <v>1893</v>
      </c>
      <c r="D199" s="489" t="s">
        <v>46</v>
      </c>
      <c r="E199" s="619">
        <v>14</v>
      </c>
      <c r="F199" s="624">
        <f t="shared" si="63"/>
        <v>125.07142857142857</v>
      </c>
      <c r="G199" s="519">
        <f t="shared" si="64"/>
        <v>129</v>
      </c>
      <c r="H199" s="519">
        <f t="shared" si="65"/>
        <v>129</v>
      </c>
      <c r="I199" s="519">
        <f t="shared" si="66"/>
        <v>129</v>
      </c>
      <c r="J199" s="519">
        <f t="shared" si="67"/>
        <v>129</v>
      </c>
      <c r="K199" s="519">
        <f t="shared" si="68"/>
        <v>129</v>
      </c>
      <c r="L199" s="519">
        <f t="shared" si="69"/>
        <v>129</v>
      </c>
      <c r="M199" s="519">
        <f t="shared" si="70"/>
        <v>129</v>
      </c>
      <c r="N199" s="519">
        <f t="shared" si="71"/>
        <v>129</v>
      </c>
      <c r="O199" s="519">
        <f t="shared" si="72"/>
        <v>115</v>
      </c>
      <c r="P199" s="519">
        <f t="shared" si="73"/>
        <v>126.6</v>
      </c>
      <c r="Q199" s="519">
        <f t="shared" si="74"/>
        <v>126.6</v>
      </c>
      <c r="R199" s="519">
        <f t="shared" si="75"/>
        <v>126.6</v>
      </c>
      <c r="S199" s="519">
        <f t="shared" si="76"/>
        <v>126.6</v>
      </c>
      <c r="T199" s="519">
        <f t="shared" si="77"/>
        <v>122</v>
      </c>
      <c r="U199" s="519">
        <f t="shared" si="78"/>
        <v>115</v>
      </c>
      <c r="Y199" s="624">
        <v>125.07142857142857</v>
      </c>
      <c r="Z199" s="519">
        <v>0</v>
      </c>
      <c r="AA199" s="519">
        <v>0</v>
      </c>
      <c r="AB199" s="519">
        <v>0</v>
      </c>
      <c r="AC199" s="519">
        <v>0</v>
      </c>
      <c r="AD199" s="519">
        <v>0</v>
      </c>
      <c r="AE199" s="519">
        <v>0</v>
      </c>
      <c r="AF199" s="519">
        <v>0</v>
      </c>
      <c r="AG199" s="519">
        <v>129</v>
      </c>
      <c r="AH199" s="519">
        <v>115</v>
      </c>
      <c r="AI199" s="519">
        <v>0</v>
      </c>
      <c r="AJ199" s="519">
        <v>0</v>
      </c>
      <c r="AK199" s="519">
        <v>0</v>
      </c>
      <c r="AL199" s="519">
        <v>126.6</v>
      </c>
      <c r="AM199" s="519">
        <v>122</v>
      </c>
      <c r="AN199" s="519">
        <v>115</v>
      </c>
    </row>
    <row r="200" spans="1:40" x14ac:dyDescent="0.3">
      <c r="A200" s="489" t="s">
        <v>1677</v>
      </c>
      <c r="B200" s="489" t="s">
        <v>1771</v>
      </c>
      <c r="C200" s="489" t="s">
        <v>1894</v>
      </c>
      <c r="D200" s="489" t="s">
        <v>46</v>
      </c>
      <c r="E200" s="619">
        <v>14</v>
      </c>
      <c r="F200" s="624">
        <f t="shared" si="63"/>
        <v>133.35714285714286</v>
      </c>
      <c r="G200" s="519">
        <f t="shared" si="64"/>
        <v>177</v>
      </c>
      <c r="H200" s="519">
        <f t="shared" si="65"/>
        <v>177</v>
      </c>
      <c r="I200" s="519">
        <f t="shared" si="66"/>
        <v>139</v>
      </c>
      <c r="J200" s="519">
        <f t="shared" si="67"/>
        <v>139</v>
      </c>
      <c r="K200" s="519">
        <f t="shared" si="68"/>
        <v>146.6</v>
      </c>
      <c r="L200" s="519">
        <f t="shared" si="69"/>
        <v>146.6</v>
      </c>
      <c r="M200" s="519">
        <f t="shared" si="70"/>
        <v>146.6</v>
      </c>
      <c r="N200" s="519">
        <f t="shared" si="71"/>
        <v>122</v>
      </c>
      <c r="O200" s="519">
        <f t="shared" si="72"/>
        <v>139</v>
      </c>
      <c r="P200" s="519">
        <f t="shared" si="73"/>
        <v>139</v>
      </c>
      <c r="Q200" s="519">
        <f t="shared" si="74"/>
        <v>153</v>
      </c>
      <c r="R200" s="519">
        <f t="shared" si="75"/>
        <v>160</v>
      </c>
      <c r="S200" s="519">
        <f t="shared" si="76"/>
        <v>160</v>
      </c>
      <c r="T200" s="519">
        <f t="shared" si="77"/>
        <v>160</v>
      </c>
      <c r="U200" s="519">
        <f t="shared" si="78"/>
        <v>160</v>
      </c>
      <c r="Y200" s="624">
        <v>133.35714285714286</v>
      </c>
      <c r="Z200" s="519">
        <v>0</v>
      </c>
      <c r="AA200" s="519">
        <v>177</v>
      </c>
      <c r="AB200" s="519">
        <v>0</v>
      </c>
      <c r="AC200" s="519">
        <v>139</v>
      </c>
      <c r="AD200" s="519">
        <v>0</v>
      </c>
      <c r="AE200" s="519">
        <v>0</v>
      </c>
      <c r="AF200" s="519">
        <v>146.6</v>
      </c>
      <c r="AG200" s="519">
        <v>122</v>
      </c>
      <c r="AH200" s="519">
        <v>0</v>
      </c>
      <c r="AI200" s="519">
        <v>139</v>
      </c>
      <c r="AJ200" s="519">
        <v>153</v>
      </c>
      <c r="AK200" s="519">
        <v>0</v>
      </c>
      <c r="AL200" s="519">
        <v>0</v>
      </c>
      <c r="AM200" s="519">
        <v>0</v>
      </c>
      <c r="AN200" s="519">
        <v>160</v>
      </c>
    </row>
    <row r="201" spans="1:40" x14ac:dyDescent="0.3">
      <c r="A201" s="489" t="s">
        <v>1414</v>
      </c>
      <c r="B201" s="489" t="s">
        <v>1772</v>
      </c>
      <c r="C201" s="489" t="s">
        <v>1895</v>
      </c>
      <c r="D201" s="489" t="s">
        <v>46</v>
      </c>
      <c r="E201" s="619">
        <v>14</v>
      </c>
      <c r="F201" s="624">
        <f t="shared" si="63"/>
        <v>152.71428571428572</v>
      </c>
      <c r="G201" s="519">
        <f t="shared" si="64"/>
        <v>154.66666666666666</v>
      </c>
      <c r="H201" s="519">
        <f t="shared" si="65"/>
        <v>161</v>
      </c>
      <c r="I201" s="519">
        <f t="shared" si="66"/>
        <v>182</v>
      </c>
      <c r="J201" s="519">
        <f t="shared" si="67"/>
        <v>157</v>
      </c>
      <c r="K201" s="519">
        <f t="shared" si="68"/>
        <v>141.5</v>
      </c>
      <c r="L201" s="519">
        <f t="shared" si="69"/>
        <v>141.5</v>
      </c>
      <c r="M201" s="519">
        <f t="shared" si="70"/>
        <v>129</v>
      </c>
      <c r="N201" s="519">
        <f t="shared" si="71"/>
        <v>0</v>
      </c>
      <c r="O201" s="519">
        <f t="shared" si="72"/>
        <v>0</v>
      </c>
      <c r="P201" s="519">
        <f t="shared" si="73"/>
        <v>0</v>
      </c>
      <c r="Q201" s="519">
        <f t="shared" si="74"/>
        <v>0</v>
      </c>
      <c r="R201" s="519">
        <f t="shared" si="75"/>
        <v>0</v>
      </c>
      <c r="S201" s="519">
        <f t="shared" si="76"/>
        <v>0</v>
      </c>
      <c r="T201" s="519">
        <f t="shared" si="77"/>
        <v>0</v>
      </c>
      <c r="U201" s="519">
        <f t="shared" si="78"/>
        <v>0</v>
      </c>
      <c r="Y201" s="624">
        <v>152.71428571428572</v>
      </c>
      <c r="Z201" s="519">
        <v>154.66666666666666</v>
      </c>
      <c r="AA201" s="519">
        <v>161</v>
      </c>
      <c r="AB201" s="519">
        <v>182</v>
      </c>
      <c r="AC201" s="519">
        <v>157</v>
      </c>
      <c r="AD201" s="519">
        <v>0</v>
      </c>
      <c r="AE201" s="519">
        <v>141.5</v>
      </c>
      <c r="AF201" s="519">
        <v>129</v>
      </c>
      <c r="AG201" s="519">
        <v>0</v>
      </c>
      <c r="AH201" s="519">
        <v>0</v>
      </c>
      <c r="AI201" s="519">
        <v>0</v>
      </c>
      <c r="AJ201" s="519">
        <v>0</v>
      </c>
      <c r="AK201" s="519">
        <v>0</v>
      </c>
      <c r="AL201" s="519">
        <v>0</v>
      </c>
      <c r="AM201" s="519">
        <v>0</v>
      </c>
      <c r="AN201" s="519">
        <v>0</v>
      </c>
    </row>
    <row r="202" spans="1:40" x14ac:dyDescent="0.3">
      <c r="A202" s="489" t="s">
        <v>1426</v>
      </c>
      <c r="B202" s="489" t="s">
        <v>1773</v>
      </c>
      <c r="C202" s="489" t="s">
        <v>1708</v>
      </c>
      <c r="D202" s="489" t="s">
        <v>1939</v>
      </c>
      <c r="E202" s="619">
        <v>14</v>
      </c>
      <c r="F202" s="624">
        <f t="shared" si="63"/>
        <v>0</v>
      </c>
      <c r="G202" s="519">
        <f t="shared" si="64"/>
        <v>0</v>
      </c>
      <c r="H202" s="519">
        <f t="shared" si="65"/>
        <v>0</v>
      </c>
      <c r="I202" s="519">
        <f t="shared" si="66"/>
        <v>0</v>
      </c>
      <c r="J202" s="519">
        <f t="shared" si="67"/>
        <v>0</v>
      </c>
      <c r="K202" s="519">
        <f t="shared" si="68"/>
        <v>0</v>
      </c>
      <c r="L202" s="519">
        <f t="shared" si="69"/>
        <v>0</v>
      </c>
      <c r="M202" s="519">
        <f t="shared" si="70"/>
        <v>0</v>
      </c>
      <c r="N202" s="519">
        <f t="shared" si="71"/>
        <v>0</v>
      </c>
      <c r="O202" s="519">
        <f t="shared" si="72"/>
        <v>0</v>
      </c>
      <c r="P202" s="519">
        <f t="shared" si="73"/>
        <v>0</v>
      </c>
      <c r="Q202" s="519">
        <f t="shared" si="74"/>
        <v>0</v>
      </c>
      <c r="R202" s="519">
        <f t="shared" si="75"/>
        <v>0</v>
      </c>
      <c r="S202" s="519">
        <f t="shared" si="76"/>
        <v>0</v>
      </c>
      <c r="T202" s="519">
        <f t="shared" si="77"/>
        <v>0</v>
      </c>
      <c r="U202" s="519">
        <f t="shared" si="78"/>
        <v>0</v>
      </c>
      <c r="Y202" s="624">
        <v>0</v>
      </c>
      <c r="Z202" s="519">
        <v>0</v>
      </c>
      <c r="AA202" s="519">
        <v>0</v>
      </c>
      <c r="AB202" s="519">
        <v>0</v>
      </c>
      <c r="AC202" s="519">
        <v>0</v>
      </c>
      <c r="AD202" s="519">
        <v>0</v>
      </c>
      <c r="AE202" s="519">
        <v>0</v>
      </c>
      <c r="AF202" s="519">
        <v>0</v>
      </c>
      <c r="AG202" s="519">
        <v>0</v>
      </c>
      <c r="AH202" s="519">
        <v>0</v>
      </c>
      <c r="AI202" s="519">
        <v>0</v>
      </c>
      <c r="AJ202" s="519">
        <v>0</v>
      </c>
      <c r="AK202" s="519">
        <v>0</v>
      </c>
      <c r="AL202" s="519">
        <v>0</v>
      </c>
      <c r="AM202" s="519">
        <v>0</v>
      </c>
      <c r="AN202" s="519">
        <v>0</v>
      </c>
    </row>
    <row r="203" spans="1:40" x14ac:dyDescent="0.3">
      <c r="A203" s="489" t="s">
        <v>1677</v>
      </c>
      <c r="B203" s="489" t="s">
        <v>1774</v>
      </c>
      <c r="C203" s="489" t="s">
        <v>1896</v>
      </c>
      <c r="D203" s="489" t="s">
        <v>141</v>
      </c>
      <c r="E203" s="619">
        <v>14</v>
      </c>
      <c r="F203" s="624">
        <f t="shared" si="63"/>
        <v>0</v>
      </c>
      <c r="G203" s="519">
        <f t="shared" si="64"/>
        <v>0</v>
      </c>
      <c r="H203" s="519">
        <f t="shared" si="65"/>
        <v>0</v>
      </c>
      <c r="I203" s="519">
        <f t="shared" si="66"/>
        <v>0</v>
      </c>
      <c r="J203" s="519">
        <f t="shared" si="67"/>
        <v>0</v>
      </c>
      <c r="K203" s="519">
        <f t="shared" si="68"/>
        <v>0</v>
      </c>
      <c r="L203" s="519">
        <f t="shared" si="69"/>
        <v>0</v>
      </c>
      <c r="M203" s="519">
        <f t="shared" si="70"/>
        <v>0</v>
      </c>
      <c r="N203" s="519">
        <f t="shared" si="71"/>
        <v>0</v>
      </c>
      <c r="O203" s="519">
        <f t="shared" si="72"/>
        <v>0</v>
      </c>
      <c r="P203" s="519">
        <f t="shared" si="73"/>
        <v>0</v>
      </c>
      <c r="Q203" s="519">
        <f t="shared" si="74"/>
        <v>0</v>
      </c>
      <c r="R203" s="519">
        <f t="shared" si="75"/>
        <v>0</v>
      </c>
      <c r="S203" s="519">
        <f t="shared" si="76"/>
        <v>0</v>
      </c>
      <c r="T203" s="519">
        <f t="shared" si="77"/>
        <v>0</v>
      </c>
      <c r="U203" s="519">
        <f t="shared" si="78"/>
        <v>0</v>
      </c>
      <c r="Y203" s="624">
        <v>0</v>
      </c>
      <c r="Z203" s="519">
        <v>0</v>
      </c>
      <c r="AA203" s="519">
        <v>0</v>
      </c>
      <c r="AB203" s="519">
        <v>0</v>
      </c>
      <c r="AC203" s="519">
        <v>0</v>
      </c>
      <c r="AD203" s="519">
        <v>0</v>
      </c>
      <c r="AE203" s="519">
        <v>0</v>
      </c>
      <c r="AF203" s="519">
        <v>0</v>
      </c>
      <c r="AG203" s="519">
        <v>0</v>
      </c>
      <c r="AH203" s="519">
        <v>0</v>
      </c>
      <c r="AI203" s="519">
        <v>0</v>
      </c>
      <c r="AJ203" s="519">
        <v>0</v>
      </c>
      <c r="AK203" s="519">
        <v>0</v>
      </c>
      <c r="AL203" s="519">
        <v>0</v>
      </c>
      <c r="AM203" s="519">
        <v>0</v>
      </c>
      <c r="AN203" s="519">
        <v>0</v>
      </c>
    </row>
    <row r="204" spans="1:40" x14ac:dyDescent="0.3">
      <c r="A204" s="489" t="s">
        <v>1572</v>
      </c>
      <c r="B204" s="489" t="s">
        <v>1775</v>
      </c>
      <c r="C204" s="489" t="s">
        <v>1897</v>
      </c>
      <c r="D204" s="489" t="s">
        <v>46</v>
      </c>
      <c r="E204" s="619">
        <v>14</v>
      </c>
      <c r="F204" s="624">
        <f t="shared" si="63"/>
        <v>152.14285714285714</v>
      </c>
      <c r="G204" s="519">
        <f t="shared" si="64"/>
        <v>145</v>
      </c>
      <c r="H204" s="519">
        <f t="shared" si="65"/>
        <v>145</v>
      </c>
      <c r="I204" s="519">
        <f t="shared" si="66"/>
        <v>145</v>
      </c>
      <c r="J204" s="519">
        <f t="shared" si="67"/>
        <v>145</v>
      </c>
      <c r="K204" s="519">
        <f t="shared" si="68"/>
        <v>145</v>
      </c>
      <c r="L204" s="519">
        <f t="shared" si="69"/>
        <v>145</v>
      </c>
      <c r="M204" s="519">
        <f t="shared" si="70"/>
        <v>147.66666666666666</v>
      </c>
      <c r="N204" s="519">
        <f t="shared" si="71"/>
        <v>156.5</v>
      </c>
      <c r="O204" s="519">
        <f t="shared" si="72"/>
        <v>0</v>
      </c>
      <c r="P204" s="519">
        <f t="shared" si="73"/>
        <v>0</v>
      </c>
      <c r="Q204" s="519">
        <f t="shared" si="74"/>
        <v>0</v>
      </c>
      <c r="R204" s="519">
        <f t="shared" si="75"/>
        <v>0</v>
      </c>
      <c r="S204" s="519">
        <f t="shared" si="76"/>
        <v>0</v>
      </c>
      <c r="T204" s="519">
        <f t="shared" si="77"/>
        <v>0</v>
      </c>
      <c r="U204" s="519">
        <f t="shared" si="78"/>
        <v>0</v>
      </c>
      <c r="Y204" s="624">
        <v>152.14285714285714</v>
      </c>
      <c r="Z204" s="519">
        <v>0</v>
      </c>
      <c r="AA204" s="519">
        <v>0</v>
      </c>
      <c r="AB204" s="519">
        <v>0</v>
      </c>
      <c r="AC204" s="519">
        <v>0</v>
      </c>
      <c r="AD204" s="519">
        <v>145</v>
      </c>
      <c r="AE204" s="519">
        <v>145</v>
      </c>
      <c r="AF204" s="519">
        <v>147.66666666666666</v>
      </c>
      <c r="AG204" s="519">
        <v>156.5</v>
      </c>
      <c r="AH204" s="519">
        <v>0</v>
      </c>
      <c r="AI204" s="519">
        <v>0</v>
      </c>
      <c r="AJ204" s="519">
        <v>0</v>
      </c>
      <c r="AK204" s="519">
        <v>0</v>
      </c>
      <c r="AL204" s="519">
        <v>0</v>
      </c>
      <c r="AM204" s="519">
        <v>0</v>
      </c>
      <c r="AN204" s="519">
        <v>0</v>
      </c>
    </row>
    <row r="205" spans="1:40" x14ac:dyDescent="0.3">
      <c r="A205" s="489" t="s">
        <v>1567</v>
      </c>
      <c r="B205" s="489" t="s">
        <v>1776</v>
      </c>
      <c r="C205" s="489" t="s">
        <v>1898</v>
      </c>
      <c r="D205" s="489" t="s">
        <v>141</v>
      </c>
      <c r="E205" s="619">
        <v>14</v>
      </c>
      <c r="F205" s="624">
        <f t="shared" si="63"/>
        <v>0</v>
      </c>
      <c r="G205" s="519">
        <f t="shared" si="64"/>
        <v>0</v>
      </c>
      <c r="H205" s="519">
        <f t="shared" si="65"/>
        <v>0</v>
      </c>
      <c r="I205" s="519">
        <f t="shared" si="66"/>
        <v>0</v>
      </c>
      <c r="J205" s="519">
        <f t="shared" si="67"/>
        <v>0</v>
      </c>
      <c r="K205" s="519">
        <f t="shared" si="68"/>
        <v>0</v>
      </c>
      <c r="L205" s="519">
        <f t="shared" si="69"/>
        <v>0</v>
      </c>
      <c r="M205" s="519">
        <f t="shared" si="70"/>
        <v>0</v>
      </c>
      <c r="N205" s="519">
        <f t="shared" si="71"/>
        <v>0</v>
      </c>
      <c r="O205" s="519">
        <f t="shared" si="72"/>
        <v>0</v>
      </c>
      <c r="P205" s="519">
        <f t="shared" si="73"/>
        <v>0</v>
      </c>
      <c r="Q205" s="519">
        <f t="shared" si="74"/>
        <v>0</v>
      </c>
      <c r="R205" s="519">
        <f t="shared" si="75"/>
        <v>0</v>
      </c>
      <c r="S205" s="519">
        <f t="shared" si="76"/>
        <v>0</v>
      </c>
      <c r="T205" s="519">
        <f t="shared" si="77"/>
        <v>0</v>
      </c>
      <c r="U205" s="519">
        <f t="shared" si="78"/>
        <v>0</v>
      </c>
      <c r="Y205" s="624">
        <v>0</v>
      </c>
      <c r="Z205" s="519">
        <v>0</v>
      </c>
      <c r="AA205" s="519">
        <v>0</v>
      </c>
      <c r="AB205" s="519">
        <v>0</v>
      </c>
      <c r="AC205" s="519">
        <v>0</v>
      </c>
      <c r="AD205" s="519">
        <v>0</v>
      </c>
      <c r="AE205" s="519">
        <v>0</v>
      </c>
      <c r="AF205" s="519">
        <v>0</v>
      </c>
      <c r="AG205" s="519">
        <v>0</v>
      </c>
      <c r="AH205" s="519">
        <v>0</v>
      </c>
      <c r="AI205" s="519">
        <v>0</v>
      </c>
      <c r="AJ205" s="519">
        <v>0</v>
      </c>
      <c r="AK205" s="519">
        <v>0</v>
      </c>
      <c r="AL205" s="519">
        <v>0</v>
      </c>
      <c r="AM205" s="519">
        <v>0</v>
      </c>
      <c r="AN205" s="519">
        <v>0</v>
      </c>
    </row>
    <row r="206" spans="1:40" x14ac:dyDescent="0.3">
      <c r="A206" s="489" t="s">
        <v>1777</v>
      </c>
      <c r="B206" s="489" t="s">
        <v>1778</v>
      </c>
      <c r="C206" s="489" t="s">
        <v>1899</v>
      </c>
      <c r="D206" s="489" t="s">
        <v>46</v>
      </c>
      <c r="E206" s="619">
        <v>13</v>
      </c>
      <c r="F206" s="624">
        <f t="shared" si="63"/>
        <v>207</v>
      </c>
      <c r="G206" s="519">
        <f t="shared" si="64"/>
        <v>207</v>
      </c>
      <c r="H206" s="519">
        <f t="shared" si="65"/>
        <v>207</v>
      </c>
      <c r="I206" s="519">
        <f t="shared" si="66"/>
        <v>207</v>
      </c>
      <c r="J206" s="519">
        <f t="shared" si="67"/>
        <v>207</v>
      </c>
      <c r="K206" s="519">
        <f t="shared" si="68"/>
        <v>207</v>
      </c>
      <c r="L206" s="519">
        <f t="shared" si="69"/>
        <v>207</v>
      </c>
      <c r="M206" s="519">
        <f t="shared" si="70"/>
        <v>207</v>
      </c>
      <c r="N206" s="519">
        <f t="shared" si="71"/>
        <v>207</v>
      </c>
      <c r="O206" s="519">
        <f t="shared" si="72"/>
        <v>207</v>
      </c>
      <c r="P206" s="519">
        <f t="shared" si="73"/>
        <v>207</v>
      </c>
      <c r="Q206" s="519">
        <f t="shared" si="74"/>
        <v>207</v>
      </c>
      <c r="R206" s="519">
        <f t="shared" si="75"/>
        <v>207</v>
      </c>
      <c r="S206" s="519">
        <f t="shared" si="76"/>
        <v>207</v>
      </c>
      <c r="T206" s="519">
        <f t="shared" si="77"/>
        <v>0</v>
      </c>
      <c r="U206" s="519">
        <f t="shared" si="78"/>
        <v>0</v>
      </c>
      <c r="Y206" s="624">
        <v>207</v>
      </c>
      <c r="Z206" s="519">
        <v>207</v>
      </c>
      <c r="AA206" s="519">
        <v>0</v>
      </c>
      <c r="AB206" s="519">
        <v>207</v>
      </c>
      <c r="AC206" s="519">
        <v>0</v>
      </c>
      <c r="AD206" s="519">
        <v>0</v>
      </c>
      <c r="AE206" s="519">
        <v>207</v>
      </c>
      <c r="AF206" s="519">
        <v>207</v>
      </c>
      <c r="AG206" s="519">
        <v>0</v>
      </c>
      <c r="AH206" s="519">
        <v>0</v>
      </c>
      <c r="AI206" s="519">
        <v>0</v>
      </c>
      <c r="AJ206" s="519">
        <v>207</v>
      </c>
      <c r="AK206" s="519">
        <v>207</v>
      </c>
      <c r="AL206" s="519">
        <v>207</v>
      </c>
      <c r="AM206" s="519">
        <v>0</v>
      </c>
      <c r="AN206" s="519">
        <v>0</v>
      </c>
    </row>
    <row r="207" spans="1:40" x14ac:dyDescent="0.3">
      <c r="A207" s="489" t="s">
        <v>1677</v>
      </c>
      <c r="B207" s="489" t="s">
        <v>1779</v>
      </c>
      <c r="C207" s="489" t="s">
        <v>1900</v>
      </c>
      <c r="D207" s="489" t="s">
        <v>46</v>
      </c>
      <c r="E207" s="619">
        <v>13</v>
      </c>
      <c r="F207" s="624">
        <f t="shared" si="63"/>
        <v>125.23076923076923</v>
      </c>
      <c r="G207" s="519">
        <f t="shared" si="64"/>
        <v>110</v>
      </c>
      <c r="H207" s="519">
        <f t="shared" si="65"/>
        <v>110</v>
      </c>
      <c r="I207" s="519">
        <f t="shared" si="66"/>
        <v>110</v>
      </c>
      <c r="J207" s="519">
        <f t="shared" si="67"/>
        <v>110</v>
      </c>
      <c r="K207" s="519">
        <f t="shared" si="68"/>
        <v>110</v>
      </c>
      <c r="L207" s="519">
        <f t="shared" si="69"/>
        <v>143</v>
      </c>
      <c r="M207" s="519">
        <f t="shared" si="70"/>
        <v>151</v>
      </c>
      <c r="N207" s="519">
        <f t="shared" si="71"/>
        <v>120</v>
      </c>
      <c r="O207" s="519">
        <f t="shared" si="72"/>
        <v>110</v>
      </c>
      <c r="P207" s="519">
        <f t="shared" si="73"/>
        <v>110</v>
      </c>
      <c r="Q207" s="519">
        <f t="shared" si="74"/>
        <v>126</v>
      </c>
      <c r="R207" s="519">
        <f t="shared" si="75"/>
        <v>0</v>
      </c>
      <c r="S207" s="519">
        <f t="shared" si="76"/>
        <v>0</v>
      </c>
      <c r="T207" s="519">
        <f t="shared" si="77"/>
        <v>0</v>
      </c>
      <c r="U207" s="519">
        <f t="shared" si="78"/>
        <v>0</v>
      </c>
      <c r="Y207" s="624">
        <v>125.23076923076923</v>
      </c>
      <c r="Z207" s="519">
        <v>0</v>
      </c>
      <c r="AA207" s="519">
        <v>0</v>
      </c>
      <c r="AB207" s="519">
        <v>0</v>
      </c>
      <c r="AC207" s="519">
        <v>0</v>
      </c>
      <c r="AD207" s="519">
        <v>110</v>
      </c>
      <c r="AE207" s="519">
        <v>143</v>
      </c>
      <c r="AF207" s="519">
        <v>151</v>
      </c>
      <c r="AG207" s="519">
        <v>120</v>
      </c>
      <c r="AH207" s="519">
        <v>110</v>
      </c>
      <c r="AI207" s="519">
        <v>110</v>
      </c>
      <c r="AJ207" s="519">
        <v>126</v>
      </c>
      <c r="AK207" s="519">
        <v>0</v>
      </c>
      <c r="AL207" s="519">
        <v>0</v>
      </c>
      <c r="AM207" s="519">
        <v>0</v>
      </c>
      <c r="AN207" s="519">
        <v>0</v>
      </c>
    </row>
    <row r="208" spans="1:40" x14ac:dyDescent="0.3">
      <c r="A208" s="489" t="s">
        <v>1414</v>
      </c>
      <c r="B208" s="489" t="s">
        <v>1671</v>
      </c>
      <c r="C208" s="489" t="s">
        <v>1901</v>
      </c>
      <c r="D208" s="489" t="s">
        <v>45</v>
      </c>
      <c r="E208" s="619">
        <v>13</v>
      </c>
      <c r="F208" s="624">
        <f t="shared" si="63"/>
        <v>149.61538461538461</v>
      </c>
      <c r="G208" s="519">
        <f t="shared" si="64"/>
        <v>142</v>
      </c>
      <c r="H208" s="519">
        <f t="shared" si="65"/>
        <v>142</v>
      </c>
      <c r="I208" s="519">
        <f t="shared" si="66"/>
        <v>142</v>
      </c>
      <c r="J208" s="519">
        <f t="shared" si="67"/>
        <v>154</v>
      </c>
      <c r="K208" s="519">
        <f t="shared" si="68"/>
        <v>154</v>
      </c>
      <c r="L208" s="519">
        <f t="shared" si="69"/>
        <v>156</v>
      </c>
      <c r="M208" s="519">
        <f t="shared" si="70"/>
        <v>137.5</v>
      </c>
      <c r="N208" s="519">
        <f t="shared" si="71"/>
        <v>135</v>
      </c>
      <c r="O208" s="519">
        <f t="shared" si="72"/>
        <v>135</v>
      </c>
      <c r="P208" s="519">
        <f t="shared" si="73"/>
        <v>135</v>
      </c>
      <c r="Q208" s="519">
        <f t="shared" si="74"/>
        <v>153.5</v>
      </c>
      <c r="R208" s="519">
        <f t="shared" si="75"/>
        <v>153.5</v>
      </c>
      <c r="S208" s="519">
        <f t="shared" si="76"/>
        <v>153.5</v>
      </c>
      <c r="T208" s="519">
        <f t="shared" si="77"/>
        <v>0</v>
      </c>
      <c r="U208" s="519">
        <f t="shared" si="78"/>
        <v>0</v>
      </c>
      <c r="Y208" s="624">
        <v>149.61538461538461</v>
      </c>
      <c r="Z208" s="519">
        <v>0</v>
      </c>
      <c r="AA208" s="519">
        <v>0</v>
      </c>
      <c r="AB208" s="519">
        <v>142</v>
      </c>
      <c r="AC208" s="519">
        <v>0</v>
      </c>
      <c r="AD208" s="519">
        <v>154</v>
      </c>
      <c r="AE208" s="519">
        <v>156</v>
      </c>
      <c r="AF208" s="519">
        <v>137.5</v>
      </c>
      <c r="AG208" s="519">
        <v>0</v>
      </c>
      <c r="AH208" s="519">
        <v>0</v>
      </c>
      <c r="AI208" s="519">
        <v>135</v>
      </c>
      <c r="AJ208" s="519">
        <v>0</v>
      </c>
      <c r="AK208" s="519">
        <v>0</v>
      </c>
      <c r="AL208" s="519">
        <v>153.5</v>
      </c>
      <c r="AM208" s="519">
        <v>0</v>
      </c>
      <c r="AN208" s="519">
        <v>0</v>
      </c>
    </row>
    <row r="209" spans="1:40" x14ac:dyDescent="0.3">
      <c r="A209" s="489" t="s">
        <v>1414</v>
      </c>
      <c r="B209" s="489" t="s">
        <v>1780</v>
      </c>
      <c r="C209" s="489" t="s">
        <v>1902</v>
      </c>
      <c r="D209" s="489" t="s">
        <v>46</v>
      </c>
      <c r="E209" s="619">
        <v>13</v>
      </c>
      <c r="F209" s="624">
        <f t="shared" si="63"/>
        <v>139.15384615384616</v>
      </c>
      <c r="G209" s="519">
        <f t="shared" si="64"/>
        <v>143</v>
      </c>
      <c r="H209" s="519">
        <f t="shared" si="65"/>
        <v>143</v>
      </c>
      <c r="I209" s="519">
        <f t="shared" si="66"/>
        <v>143</v>
      </c>
      <c r="J209" s="519">
        <f t="shared" si="67"/>
        <v>145</v>
      </c>
      <c r="K209" s="519">
        <f t="shared" si="68"/>
        <v>145</v>
      </c>
      <c r="L209" s="519">
        <f t="shared" si="69"/>
        <v>145</v>
      </c>
      <c r="M209" s="519">
        <f t="shared" si="70"/>
        <v>139.80000000000001</v>
      </c>
      <c r="N209" s="519">
        <f t="shared" si="71"/>
        <v>129</v>
      </c>
      <c r="O209" s="519">
        <f t="shared" si="72"/>
        <v>129</v>
      </c>
      <c r="P209" s="519">
        <f t="shared" si="73"/>
        <v>0</v>
      </c>
      <c r="Q209" s="519">
        <f t="shared" si="74"/>
        <v>0</v>
      </c>
      <c r="R209" s="519">
        <f t="shared" si="75"/>
        <v>0</v>
      </c>
      <c r="S209" s="519">
        <f t="shared" si="76"/>
        <v>0</v>
      </c>
      <c r="T209" s="519">
        <f t="shared" si="77"/>
        <v>0</v>
      </c>
      <c r="U209" s="519">
        <f t="shared" si="78"/>
        <v>0</v>
      </c>
      <c r="Y209" s="624">
        <v>139.15384615384616</v>
      </c>
      <c r="Z209" s="519">
        <v>0</v>
      </c>
      <c r="AA209" s="519">
        <v>0</v>
      </c>
      <c r="AB209" s="519">
        <v>143</v>
      </c>
      <c r="AC209" s="519">
        <v>0</v>
      </c>
      <c r="AD209" s="519">
        <v>0</v>
      </c>
      <c r="AE209" s="519">
        <v>145</v>
      </c>
      <c r="AF209" s="519">
        <v>139.80000000000001</v>
      </c>
      <c r="AG209" s="519">
        <v>129</v>
      </c>
      <c r="AH209" s="519">
        <v>129</v>
      </c>
      <c r="AI209" s="519">
        <v>0</v>
      </c>
      <c r="AJ209" s="519">
        <v>0</v>
      </c>
      <c r="AK209" s="519">
        <v>0</v>
      </c>
      <c r="AL209" s="519">
        <v>0</v>
      </c>
      <c r="AM209" s="519">
        <v>0</v>
      </c>
      <c r="AN209" s="519">
        <v>0</v>
      </c>
    </row>
    <row r="210" spans="1:40" x14ac:dyDescent="0.3">
      <c r="A210" s="489" t="s">
        <v>1672</v>
      </c>
      <c r="B210" s="489" t="s">
        <v>1781</v>
      </c>
      <c r="C210" s="489" t="s">
        <v>1903</v>
      </c>
      <c r="D210" s="489" t="s">
        <v>46</v>
      </c>
      <c r="E210" s="619">
        <v>13</v>
      </c>
      <c r="F210" s="624">
        <f t="shared" si="63"/>
        <v>214.30769230769232</v>
      </c>
      <c r="G210" s="519">
        <f t="shared" si="64"/>
        <v>266</v>
      </c>
      <c r="H210" s="519">
        <f t="shared" si="65"/>
        <v>266</v>
      </c>
      <c r="I210" s="519">
        <f t="shared" si="66"/>
        <v>266</v>
      </c>
      <c r="J210" s="519">
        <f t="shared" si="67"/>
        <v>218</v>
      </c>
      <c r="K210" s="519">
        <f t="shared" si="68"/>
        <v>218</v>
      </c>
      <c r="L210" s="519">
        <f t="shared" si="69"/>
        <v>194</v>
      </c>
      <c r="M210" s="519">
        <f t="shared" si="70"/>
        <v>194</v>
      </c>
      <c r="N210" s="519">
        <f t="shared" si="71"/>
        <v>0</v>
      </c>
      <c r="O210" s="519">
        <f t="shared" si="72"/>
        <v>0</v>
      </c>
      <c r="P210" s="519">
        <f t="shared" si="73"/>
        <v>0</v>
      </c>
      <c r="Q210" s="519">
        <f t="shared" si="74"/>
        <v>0</v>
      </c>
      <c r="R210" s="519">
        <f t="shared" si="75"/>
        <v>0</v>
      </c>
      <c r="S210" s="519">
        <f t="shared" si="76"/>
        <v>0</v>
      </c>
      <c r="T210" s="519">
        <f t="shared" si="77"/>
        <v>0</v>
      </c>
      <c r="U210" s="519">
        <f t="shared" si="78"/>
        <v>0</v>
      </c>
      <c r="Y210" s="624">
        <v>214.30769230769232</v>
      </c>
      <c r="Z210" s="519">
        <v>0</v>
      </c>
      <c r="AA210" s="519">
        <v>0</v>
      </c>
      <c r="AB210" s="519">
        <v>266</v>
      </c>
      <c r="AC210" s="519">
        <v>0</v>
      </c>
      <c r="AD210" s="519">
        <v>218</v>
      </c>
      <c r="AE210" s="519">
        <v>0</v>
      </c>
      <c r="AF210" s="519">
        <v>194</v>
      </c>
      <c r="AG210" s="519">
        <v>0</v>
      </c>
      <c r="AH210" s="519">
        <v>0</v>
      </c>
      <c r="AI210" s="519">
        <v>0</v>
      </c>
      <c r="AJ210" s="519">
        <v>0</v>
      </c>
      <c r="AK210" s="519">
        <v>0</v>
      </c>
      <c r="AL210" s="519">
        <v>0</v>
      </c>
      <c r="AM210" s="519">
        <v>0</v>
      </c>
      <c r="AN210" s="519">
        <v>0</v>
      </c>
    </row>
    <row r="211" spans="1:40" x14ac:dyDescent="0.3">
      <c r="A211" s="489" t="s">
        <v>1931</v>
      </c>
      <c r="B211" s="489" t="s">
        <v>1682</v>
      </c>
      <c r="C211" s="489" t="s">
        <v>1933</v>
      </c>
      <c r="D211" s="489" t="s">
        <v>141</v>
      </c>
      <c r="E211" s="619">
        <v>13</v>
      </c>
      <c r="F211" s="624">
        <f t="shared" si="63"/>
        <v>0</v>
      </c>
      <c r="G211" s="519">
        <f t="shared" si="64"/>
        <v>0</v>
      </c>
      <c r="H211" s="519">
        <f t="shared" si="65"/>
        <v>0</v>
      </c>
      <c r="I211" s="519">
        <f t="shared" si="66"/>
        <v>0</v>
      </c>
      <c r="J211" s="519">
        <f t="shared" si="67"/>
        <v>0</v>
      </c>
      <c r="K211" s="519">
        <f t="shared" si="68"/>
        <v>0</v>
      </c>
      <c r="L211" s="519">
        <f t="shared" si="69"/>
        <v>0</v>
      </c>
      <c r="M211" s="519">
        <f t="shared" si="70"/>
        <v>0</v>
      </c>
      <c r="N211" s="519">
        <f t="shared" si="71"/>
        <v>0</v>
      </c>
      <c r="O211" s="519">
        <f t="shared" si="72"/>
        <v>0</v>
      </c>
      <c r="P211" s="519">
        <f t="shared" si="73"/>
        <v>0</v>
      </c>
      <c r="Q211" s="519">
        <f t="shared" si="74"/>
        <v>0</v>
      </c>
      <c r="R211" s="519">
        <f t="shared" si="75"/>
        <v>0</v>
      </c>
      <c r="S211" s="519">
        <f t="shared" si="76"/>
        <v>0</v>
      </c>
      <c r="T211" s="519">
        <f t="shared" si="77"/>
        <v>0</v>
      </c>
      <c r="U211" s="519">
        <f t="shared" si="78"/>
        <v>0</v>
      </c>
      <c r="Y211" s="624">
        <v>0</v>
      </c>
      <c r="Z211" s="519">
        <v>0</v>
      </c>
      <c r="AA211" s="519">
        <v>0</v>
      </c>
      <c r="AB211" s="519">
        <v>0</v>
      </c>
      <c r="AC211" s="519">
        <v>0</v>
      </c>
      <c r="AD211" s="519">
        <v>0</v>
      </c>
      <c r="AE211" s="519">
        <v>0</v>
      </c>
      <c r="AF211" s="519">
        <v>0</v>
      </c>
      <c r="AG211" s="519">
        <v>0</v>
      </c>
      <c r="AH211" s="519">
        <v>0</v>
      </c>
      <c r="AI211" s="519">
        <v>0</v>
      </c>
      <c r="AJ211" s="519">
        <v>0</v>
      </c>
      <c r="AK211" s="519">
        <v>0</v>
      </c>
      <c r="AL211" s="519">
        <v>0</v>
      </c>
      <c r="AM211" s="519">
        <v>0</v>
      </c>
      <c r="AN211" s="519">
        <v>0</v>
      </c>
    </row>
    <row r="212" spans="1:40" x14ac:dyDescent="0.3">
      <c r="A212" s="489" t="s">
        <v>1426</v>
      </c>
      <c r="B212" s="489" t="s">
        <v>1758</v>
      </c>
      <c r="C212" s="489" t="s">
        <v>1758</v>
      </c>
      <c r="D212" s="489" t="s">
        <v>1936</v>
      </c>
      <c r="E212" s="619">
        <v>13</v>
      </c>
      <c r="F212" s="624"/>
      <c r="G212" s="519"/>
      <c r="H212" s="519"/>
      <c r="I212" s="519"/>
      <c r="J212" s="519"/>
      <c r="K212" s="519"/>
      <c r="L212" s="519"/>
      <c r="M212" s="519"/>
      <c r="N212" s="519"/>
      <c r="O212" s="519"/>
      <c r="P212" s="519"/>
      <c r="Q212" s="519"/>
      <c r="R212" s="519"/>
      <c r="S212" s="519"/>
      <c r="T212" s="519"/>
      <c r="U212" s="519"/>
      <c r="Y212" s="624">
        <v>0</v>
      </c>
      <c r="Z212" s="519">
        <v>0</v>
      </c>
      <c r="AA212" s="519">
        <v>0</v>
      </c>
      <c r="AB212" s="519">
        <v>0</v>
      </c>
      <c r="AC212" s="519">
        <v>0</v>
      </c>
      <c r="AD212" s="519">
        <v>0</v>
      </c>
      <c r="AE212" s="519">
        <v>0</v>
      </c>
      <c r="AF212" s="519">
        <v>0</v>
      </c>
      <c r="AG212" s="519">
        <v>0</v>
      </c>
      <c r="AH212" s="519">
        <v>0</v>
      </c>
      <c r="AI212" s="519">
        <v>0</v>
      </c>
      <c r="AJ212" s="519">
        <v>0</v>
      </c>
      <c r="AK212" s="519">
        <v>0</v>
      </c>
      <c r="AL212" s="519">
        <v>0</v>
      </c>
      <c r="AM212" s="519">
        <v>0</v>
      </c>
      <c r="AN212" s="519">
        <v>0</v>
      </c>
    </row>
    <row r="213" spans="1:40" x14ac:dyDescent="0.3">
      <c r="A213" s="489" t="s">
        <v>1694</v>
      </c>
      <c r="B213" s="489" t="s">
        <v>438</v>
      </c>
      <c r="C213" s="489" t="s">
        <v>1907</v>
      </c>
      <c r="D213" s="489" t="s">
        <v>46</v>
      </c>
      <c r="E213" s="619">
        <v>12</v>
      </c>
      <c r="F213" s="624">
        <f t="shared" si="63"/>
        <v>187.41666666666666</v>
      </c>
      <c r="G213" s="519">
        <f t="shared" si="64"/>
        <v>132</v>
      </c>
      <c r="H213" s="519">
        <f t="shared" si="65"/>
        <v>132</v>
      </c>
      <c r="I213" s="519">
        <f t="shared" si="66"/>
        <v>132</v>
      </c>
      <c r="J213" s="519">
        <f t="shared" si="67"/>
        <v>132</v>
      </c>
      <c r="K213" s="519">
        <f t="shared" si="68"/>
        <v>132</v>
      </c>
      <c r="L213" s="519">
        <f t="shared" si="69"/>
        <v>132</v>
      </c>
      <c r="M213" s="519">
        <f t="shared" si="70"/>
        <v>132</v>
      </c>
      <c r="N213" s="519">
        <f t="shared" si="71"/>
        <v>132</v>
      </c>
      <c r="O213" s="519">
        <f t="shared" si="72"/>
        <v>132</v>
      </c>
      <c r="P213" s="519">
        <f t="shared" si="73"/>
        <v>132</v>
      </c>
      <c r="Q213" s="519">
        <f t="shared" si="74"/>
        <v>133</v>
      </c>
      <c r="R213" s="519">
        <f t="shared" si="75"/>
        <v>189</v>
      </c>
      <c r="S213" s="519">
        <f t="shared" si="76"/>
        <v>133</v>
      </c>
      <c r="T213" s="519">
        <f t="shared" si="77"/>
        <v>133</v>
      </c>
      <c r="U213" s="519">
        <f t="shared" si="78"/>
        <v>154</v>
      </c>
      <c r="Y213" s="624">
        <v>187.41666666666666</v>
      </c>
      <c r="Z213" s="519">
        <v>0</v>
      </c>
      <c r="AA213" s="519">
        <v>0</v>
      </c>
      <c r="AB213" s="519">
        <v>0</v>
      </c>
      <c r="AC213" s="519">
        <v>0</v>
      </c>
      <c r="AD213" s="519">
        <v>0</v>
      </c>
      <c r="AE213" s="519">
        <v>0</v>
      </c>
      <c r="AF213" s="519">
        <v>0</v>
      </c>
      <c r="AG213" s="519">
        <v>0</v>
      </c>
      <c r="AH213" s="519">
        <v>0</v>
      </c>
      <c r="AI213" s="519">
        <v>132</v>
      </c>
      <c r="AJ213" s="519">
        <v>133</v>
      </c>
      <c r="AK213" s="519">
        <v>189</v>
      </c>
      <c r="AL213" s="519">
        <v>0</v>
      </c>
      <c r="AM213" s="519">
        <v>133</v>
      </c>
      <c r="AN213" s="519">
        <v>154</v>
      </c>
    </row>
    <row r="214" spans="1:40" x14ac:dyDescent="0.3">
      <c r="A214" s="489" t="s">
        <v>1605</v>
      </c>
      <c r="B214" s="489" t="s">
        <v>1673</v>
      </c>
      <c r="C214" s="489" t="s">
        <v>1908</v>
      </c>
      <c r="D214" s="489" t="s">
        <v>46</v>
      </c>
      <c r="E214" s="619">
        <v>12</v>
      </c>
      <c r="F214" s="624">
        <f t="shared" si="63"/>
        <v>124.08333333333333</v>
      </c>
      <c r="G214" s="519">
        <f t="shared" si="64"/>
        <v>113</v>
      </c>
      <c r="H214" s="519">
        <f t="shared" si="65"/>
        <v>113</v>
      </c>
      <c r="I214" s="519">
        <f t="shared" si="66"/>
        <v>113</v>
      </c>
      <c r="J214" s="519">
        <f t="shared" si="67"/>
        <v>113</v>
      </c>
      <c r="K214" s="519">
        <f t="shared" si="68"/>
        <v>119</v>
      </c>
      <c r="L214" s="519">
        <f t="shared" si="69"/>
        <v>119</v>
      </c>
      <c r="M214" s="519">
        <f t="shared" si="70"/>
        <v>119</v>
      </c>
      <c r="N214" s="519">
        <f t="shared" si="71"/>
        <v>119</v>
      </c>
      <c r="O214" s="519">
        <f t="shared" si="72"/>
        <v>114</v>
      </c>
      <c r="P214" s="519">
        <f t="shared" si="73"/>
        <v>126</v>
      </c>
      <c r="Q214" s="519">
        <f t="shared" si="74"/>
        <v>114</v>
      </c>
      <c r="R214" s="519">
        <f t="shared" si="75"/>
        <v>114</v>
      </c>
      <c r="S214" s="519">
        <f t="shared" si="76"/>
        <v>114</v>
      </c>
      <c r="T214" s="519">
        <f t="shared" si="77"/>
        <v>0</v>
      </c>
      <c r="U214" s="519">
        <f t="shared" si="78"/>
        <v>0</v>
      </c>
      <c r="Y214" s="624">
        <v>124.08333333333333</v>
      </c>
      <c r="Z214" s="519">
        <v>0</v>
      </c>
      <c r="AA214" s="519">
        <v>0</v>
      </c>
      <c r="AB214" s="519">
        <v>0</v>
      </c>
      <c r="AC214" s="519">
        <v>113</v>
      </c>
      <c r="AD214" s="519">
        <v>0</v>
      </c>
      <c r="AE214" s="519">
        <v>0</v>
      </c>
      <c r="AF214" s="519">
        <v>0</v>
      </c>
      <c r="AG214" s="519">
        <v>119</v>
      </c>
      <c r="AH214" s="519">
        <v>114</v>
      </c>
      <c r="AI214" s="519">
        <v>126</v>
      </c>
      <c r="AJ214" s="519">
        <v>0</v>
      </c>
      <c r="AK214" s="519">
        <v>0</v>
      </c>
      <c r="AL214" s="519">
        <v>114</v>
      </c>
      <c r="AM214" s="519">
        <v>0</v>
      </c>
      <c r="AN214" s="519">
        <v>0</v>
      </c>
    </row>
    <row r="215" spans="1:40" x14ac:dyDescent="0.3">
      <c r="A215" s="489" t="s">
        <v>1441</v>
      </c>
      <c r="B215" s="489" t="s">
        <v>1782</v>
      </c>
      <c r="C215" s="489" t="s">
        <v>1909</v>
      </c>
      <c r="D215" s="489" t="s">
        <v>1929</v>
      </c>
      <c r="E215" s="619">
        <v>12</v>
      </c>
      <c r="F215" s="624">
        <f t="shared" si="63"/>
        <v>95</v>
      </c>
      <c r="G215" s="519">
        <f t="shared" si="64"/>
        <v>95</v>
      </c>
      <c r="H215" s="519">
        <f t="shared" si="65"/>
        <v>95</v>
      </c>
      <c r="I215" s="519">
        <f t="shared" si="66"/>
        <v>95</v>
      </c>
      <c r="J215" s="519">
        <f t="shared" si="67"/>
        <v>95</v>
      </c>
      <c r="K215" s="519">
        <f t="shared" si="68"/>
        <v>95</v>
      </c>
      <c r="L215" s="519">
        <f t="shared" si="69"/>
        <v>95</v>
      </c>
      <c r="M215" s="519">
        <f t="shared" si="70"/>
        <v>95</v>
      </c>
      <c r="N215" s="519">
        <f t="shared" si="71"/>
        <v>95</v>
      </c>
      <c r="O215" s="519">
        <f t="shared" si="72"/>
        <v>95</v>
      </c>
      <c r="P215" s="519">
        <f t="shared" si="73"/>
        <v>95</v>
      </c>
      <c r="Q215" s="519">
        <f t="shared" si="74"/>
        <v>95</v>
      </c>
      <c r="R215" s="519">
        <f t="shared" si="75"/>
        <v>95</v>
      </c>
      <c r="S215" s="519">
        <f t="shared" si="76"/>
        <v>0</v>
      </c>
      <c r="T215" s="519">
        <f t="shared" si="77"/>
        <v>0</v>
      </c>
      <c r="U215" s="519">
        <f t="shared" si="78"/>
        <v>0</v>
      </c>
      <c r="Y215" s="624">
        <v>95</v>
      </c>
      <c r="Z215" s="519">
        <v>0</v>
      </c>
      <c r="AA215" s="519">
        <v>0</v>
      </c>
      <c r="AB215" s="519">
        <v>0</v>
      </c>
      <c r="AC215" s="519">
        <v>0</v>
      </c>
      <c r="AD215" s="519">
        <v>0</v>
      </c>
      <c r="AE215" s="519">
        <v>0</v>
      </c>
      <c r="AF215" s="519">
        <v>0</v>
      </c>
      <c r="AG215" s="519">
        <v>0</v>
      </c>
      <c r="AH215" s="519">
        <v>0</v>
      </c>
      <c r="AI215" s="519">
        <v>0</v>
      </c>
      <c r="AJ215" s="519">
        <v>95</v>
      </c>
      <c r="AK215" s="519">
        <v>95</v>
      </c>
      <c r="AL215" s="519">
        <v>0</v>
      </c>
      <c r="AM215" s="519">
        <v>0</v>
      </c>
      <c r="AN215" s="519">
        <v>0</v>
      </c>
    </row>
    <row r="216" spans="1:40" x14ac:dyDescent="0.3">
      <c r="A216" s="489" t="s">
        <v>1677</v>
      </c>
      <c r="B216" s="489" t="s">
        <v>1783</v>
      </c>
      <c r="C216" s="489" t="s">
        <v>1910</v>
      </c>
      <c r="D216" s="489" t="s">
        <v>46</v>
      </c>
      <c r="E216" s="619">
        <v>12</v>
      </c>
      <c r="F216" s="624">
        <f t="shared" si="63"/>
        <v>111.5</v>
      </c>
      <c r="G216" s="519">
        <f t="shared" si="64"/>
        <v>112</v>
      </c>
      <c r="H216" s="519">
        <f t="shared" si="65"/>
        <v>112</v>
      </c>
      <c r="I216" s="519">
        <f t="shared" si="66"/>
        <v>112</v>
      </c>
      <c r="J216" s="519">
        <f t="shared" si="67"/>
        <v>112</v>
      </c>
      <c r="K216" s="519">
        <f t="shared" si="68"/>
        <v>112</v>
      </c>
      <c r="L216" s="519">
        <f t="shared" si="69"/>
        <v>112</v>
      </c>
      <c r="M216" s="519">
        <f t="shared" si="70"/>
        <v>112</v>
      </c>
      <c r="N216" s="519">
        <f t="shared" si="71"/>
        <v>112</v>
      </c>
      <c r="O216" s="519">
        <f t="shared" si="72"/>
        <v>110.5</v>
      </c>
      <c r="P216" s="519">
        <f t="shared" si="73"/>
        <v>110.5</v>
      </c>
      <c r="Q216" s="519">
        <f t="shared" si="74"/>
        <v>110.5</v>
      </c>
      <c r="R216" s="519">
        <f t="shared" si="75"/>
        <v>111.625</v>
      </c>
      <c r="S216" s="519">
        <f t="shared" si="76"/>
        <v>0</v>
      </c>
      <c r="T216" s="519">
        <f t="shared" si="77"/>
        <v>0</v>
      </c>
      <c r="U216" s="519">
        <f t="shared" si="78"/>
        <v>0</v>
      </c>
      <c r="Y216" s="624">
        <v>111.5</v>
      </c>
      <c r="Z216" s="519">
        <v>0</v>
      </c>
      <c r="AA216" s="519">
        <v>0</v>
      </c>
      <c r="AB216" s="519">
        <v>0</v>
      </c>
      <c r="AC216" s="519">
        <v>0</v>
      </c>
      <c r="AD216" s="519">
        <v>0</v>
      </c>
      <c r="AE216" s="519">
        <v>112</v>
      </c>
      <c r="AF216" s="519">
        <v>0</v>
      </c>
      <c r="AG216" s="519">
        <v>112</v>
      </c>
      <c r="AH216" s="519">
        <v>0</v>
      </c>
      <c r="AI216" s="519">
        <v>0</v>
      </c>
      <c r="AJ216" s="519">
        <v>110.5</v>
      </c>
      <c r="AK216" s="519">
        <v>111.625</v>
      </c>
      <c r="AL216" s="519">
        <v>0</v>
      </c>
      <c r="AM216" s="519">
        <v>0</v>
      </c>
      <c r="AN216" s="519">
        <v>0</v>
      </c>
    </row>
    <row r="217" spans="1:40" x14ac:dyDescent="0.3">
      <c r="A217" s="489" t="s">
        <v>1591</v>
      </c>
      <c r="B217" s="489" t="s">
        <v>1784</v>
      </c>
      <c r="C217" s="489" t="s">
        <v>1784</v>
      </c>
      <c r="D217" s="489" t="s">
        <v>46</v>
      </c>
      <c r="E217" s="619">
        <v>12</v>
      </c>
      <c r="F217" s="624">
        <f t="shared" si="63"/>
        <v>118.75</v>
      </c>
      <c r="G217" s="519">
        <f t="shared" si="64"/>
        <v>99</v>
      </c>
      <c r="H217" s="519">
        <f t="shared" si="65"/>
        <v>99</v>
      </c>
      <c r="I217" s="519">
        <f t="shared" si="66"/>
        <v>148</v>
      </c>
      <c r="J217" s="519">
        <f t="shared" si="67"/>
        <v>143</v>
      </c>
      <c r="K217" s="519">
        <f t="shared" si="68"/>
        <v>143</v>
      </c>
      <c r="L217" s="519">
        <f t="shared" si="69"/>
        <v>130</v>
      </c>
      <c r="M217" s="519">
        <f t="shared" si="70"/>
        <v>99</v>
      </c>
      <c r="N217" s="519">
        <f t="shared" si="71"/>
        <v>99</v>
      </c>
      <c r="O217" s="519">
        <f t="shared" si="72"/>
        <v>109</v>
      </c>
      <c r="P217" s="519">
        <f t="shared" si="73"/>
        <v>109</v>
      </c>
      <c r="Q217" s="519">
        <f t="shared" si="74"/>
        <v>109</v>
      </c>
      <c r="R217" s="519">
        <f t="shared" si="75"/>
        <v>0</v>
      </c>
      <c r="S217" s="519">
        <f t="shared" si="76"/>
        <v>0</v>
      </c>
      <c r="T217" s="519">
        <f t="shared" si="77"/>
        <v>0</v>
      </c>
      <c r="U217" s="519">
        <f t="shared" si="78"/>
        <v>0</v>
      </c>
      <c r="Y217" s="624">
        <v>118.75</v>
      </c>
      <c r="Z217" s="519">
        <v>0</v>
      </c>
      <c r="AA217" s="519">
        <v>99</v>
      </c>
      <c r="AB217" s="519">
        <v>148</v>
      </c>
      <c r="AC217" s="519">
        <v>0</v>
      </c>
      <c r="AD217" s="519">
        <v>143</v>
      </c>
      <c r="AE217" s="519">
        <v>130</v>
      </c>
      <c r="AF217" s="519">
        <v>99</v>
      </c>
      <c r="AG217" s="519">
        <v>99</v>
      </c>
      <c r="AH217" s="519">
        <v>0</v>
      </c>
      <c r="AI217" s="519">
        <v>0</v>
      </c>
      <c r="AJ217" s="519">
        <v>109</v>
      </c>
      <c r="AK217" s="519">
        <v>0</v>
      </c>
      <c r="AL217" s="519">
        <v>0</v>
      </c>
      <c r="AM217" s="519">
        <v>0</v>
      </c>
      <c r="AN217" s="519">
        <v>0</v>
      </c>
    </row>
    <row r="218" spans="1:40" x14ac:dyDescent="0.3">
      <c r="A218" s="489" t="s">
        <v>1414</v>
      </c>
      <c r="B218" s="489" t="s">
        <v>1674</v>
      </c>
      <c r="C218" s="489" t="s">
        <v>1911</v>
      </c>
      <c r="D218" s="489" t="s">
        <v>46</v>
      </c>
      <c r="E218" s="619">
        <v>12</v>
      </c>
      <c r="F218" s="624">
        <f t="shared" si="63"/>
        <v>126.58333333333333</v>
      </c>
      <c r="G218" s="519">
        <f t="shared" si="64"/>
        <v>133</v>
      </c>
      <c r="H218" s="519">
        <f t="shared" si="65"/>
        <v>133</v>
      </c>
      <c r="I218" s="519">
        <f t="shared" si="66"/>
        <v>127.75</v>
      </c>
      <c r="J218" s="519">
        <f t="shared" si="67"/>
        <v>127.75</v>
      </c>
      <c r="K218" s="519">
        <f t="shared" si="68"/>
        <v>127.75</v>
      </c>
      <c r="L218" s="519">
        <f t="shared" si="69"/>
        <v>127.75</v>
      </c>
      <c r="M218" s="519">
        <f t="shared" si="70"/>
        <v>106</v>
      </c>
      <c r="N218" s="519">
        <f t="shared" si="71"/>
        <v>104</v>
      </c>
      <c r="O218" s="519">
        <f t="shared" si="72"/>
        <v>0</v>
      </c>
      <c r="P218" s="519">
        <f t="shared" si="73"/>
        <v>0</v>
      </c>
      <c r="Q218" s="519">
        <f t="shared" si="74"/>
        <v>0</v>
      </c>
      <c r="R218" s="519">
        <f t="shared" si="75"/>
        <v>0</v>
      </c>
      <c r="S218" s="519">
        <f t="shared" si="76"/>
        <v>0</v>
      </c>
      <c r="T218" s="519">
        <f t="shared" si="77"/>
        <v>0</v>
      </c>
      <c r="U218" s="519">
        <f t="shared" si="78"/>
        <v>0</v>
      </c>
      <c r="Y218" s="624">
        <v>126.58333333333333</v>
      </c>
      <c r="Z218" s="519">
        <v>0</v>
      </c>
      <c r="AA218" s="519">
        <v>133</v>
      </c>
      <c r="AB218" s="519">
        <v>0</v>
      </c>
      <c r="AC218" s="519">
        <v>0</v>
      </c>
      <c r="AD218" s="519">
        <v>0</v>
      </c>
      <c r="AE218" s="519">
        <v>127.75</v>
      </c>
      <c r="AF218" s="519">
        <v>106</v>
      </c>
      <c r="AG218" s="519">
        <v>104</v>
      </c>
      <c r="AH218" s="519">
        <v>0</v>
      </c>
      <c r="AI218" s="519">
        <v>0</v>
      </c>
      <c r="AJ218" s="519">
        <v>0</v>
      </c>
      <c r="AK218" s="519">
        <v>0</v>
      </c>
      <c r="AL218" s="519">
        <v>0</v>
      </c>
      <c r="AM218" s="519">
        <v>0</v>
      </c>
      <c r="AN218" s="519">
        <v>0</v>
      </c>
    </row>
    <row r="219" spans="1:40" x14ac:dyDescent="0.3">
      <c r="A219" s="489" t="s">
        <v>1414</v>
      </c>
      <c r="B219" s="489" t="s">
        <v>1785</v>
      </c>
      <c r="C219" s="489" t="s">
        <v>1912</v>
      </c>
      <c r="D219" s="489" t="s">
        <v>46</v>
      </c>
      <c r="E219" s="619">
        <v>11</v>
      </c>
      <c r="F219" s="624">
        <f t="shared" si="63"/>
        <v>139.72727272727272</v>
      </c>
      <c r="G219" s="519">
        <f t="shared" si="64"/>
        <v>136</v>
      </c>
      <c r="H219" s="519">
        <f t="shared" si="65"/>
        <v>136</v>
      </c>
      <c r="I219" s="519">
        <f t="shared" si="66"/>
        <v>138</v>
      </c>
      <c r="J219" s="519">
        <f t="shared" si="67"/>
        <v>138</v>
      </c>
      <c r="K219" s="519">
        <f t="shared" si="68"/>
        <v>157</v>
      </c>
      <c r="L219" s="519">
        <f t="shared" si="69"/>
        <v>157</v>
      </c>
      <c r="M219" s="519">
        <f t="shared" si="70"/>
        <v>157</v>
      </c>
      <c r="N219" s="519">
        <f t="shared" si="71"/>
        <v>147.5</v>
      </c>
      <c r="O219" s="519">
        <f t="shared" si="72"/>
        <v>131</v>
      </c>
      <c r="P219" s="519">
        <f t="shared" si="73"/>
        <v>136</v>
      </c>
      <c r="Q219" s="519">
        <f t="shared" si="74"/>
        <v>136</v>
      </c>
      <c r="R219" s="519">
        <f t="shared" si="75"/>
        <v>136</v>
      </c>
      <c r="S219" s="519">
        <f t="shared" si="76"/>
        <v>136</v>
      </c>
      <c r="T219" s="519">
        <f t="shared" si="77"/>
        <v>136</v>
      </c>
      <c r="U219" s="519">
        <f t="shared" si="78"/>
        <v>0</v>
      </c>
      <c r="Y219" s="624">
        <v>139.72727272727272</v>
      </c>
      <c r="Z219" s="519">
        <v>136</v>
      </c>
      <c r="AA219" s="519">
        <v>136</v>
      </c>
      <c r="AB219" s="519">
        <v>0</v>
      </c>
      <c r="AC219" s="519">
        <v>138</v>
      </c>
      <c r="AD219" s="519">
        <v>0</v>
      </c>
      <c r="AE219" s="519">
        <v>0</v>
      </c>
      <c r="AF219" s="519">
        <v>157</v>
      </c>
      <c r="AG219" s="519">
        <v>147.5</v>
      </c>
      <c r="AH219" s="519">
        <v>131</v>
      </c>
      <c r="AI219" s="519">
        <v>136</v>
      </c>
      <c r="AJ219" s="519">
        <v>0</v>
      </c>
      <c r="AK219" s="519">
        <v>0</v>
      </c>
      <c r="AL219" s="519">
        <v>136</v>
      </c>
      <c r="AM219" s="519">
        <v>136</v>
      </c>
      <c r="AN219" s="519">
        <v>0</v>
      </c>
    </row>
    <row r="220" spans="1:40" x14ac:dyDescent="0.3">
      <c r="A220" s="489" t="s">
        <v>1441</v>
      </c>
      <c r="B220" s="489" t="s">
        <v>1551</v>
      </c>
      <c r="C220" s="489" t="s">
        <v>1552</v>
      </c>
      <c r="D220" s="489" t="s">
        <v>1530</v>
      </c>
      <c r="E220" s="619">
        <v>11</v>
      </c>
      <c r="F220" s="624">
        <f t="shared" si="63"/>
        <v>132.63636363636363</v>
      </c>
      <c r="G220" s="519">
        <f t="shared" si="64"/>
        <v>135</v>
      </c>
      <c r="H220" s="519">
        <f t="shared" si="65"/>
        <v>135</v>
      </c>
      <c r="I220" s="519">
        <f t="shared" si="66"/>
        <v>135</v>
      </c>
      <c r="J220" s="519">
        <f t="shared" si="67"/>
        <v>135</v>
      </c>
      <c r="K220" s="519">
        <f t="shared" si="68"/>
        <v>135</v>
      </c>
      <c r="L220" s="519">
        <f t="shared" si="69"/>
        <v>135</v>
      </c>
      <c r="M220" s="519">
        <f t="shared" si="70"/>
        <v>135</v>
      </c>
      <c r="N220" s="519">
        <f t="shared" si="71"/>
        <v>131.66666666666666</v>
      </c>
      <c r="O220" s="519">
        <f t="shared" si="72"/>
        <v>144.5</v>
      </c>
      <c r="P220" s="519">
        <f t="shared" si="73"/>
        <v>128</v>
      </c>
      <c r="Q220" s="519">
        <f t="shared" si="74"/>
        <v>128</v>
      </c>
      <c r="R220" s="519">
        <f t="shared" si="75"/>
        <v>128</v>
      </c>
      <c r="S220" s="519">
        <f t="shared" si="76"/>
        <v>128</v>
      </c>
      <c r="T220" s="519">
        <f t="shared" si="77"/>
        <v>128</v>
      </c>
      <c r="U220" s="519">
        <f t="shared" si="78"/>
        <v>0</v>
      </c>
      <c r="Y220" s="624">
        <v>132.63636363636363</v>
      </c>
      <c r="Z220" s="519">
        <v>0</v>
      </c>
      <c r="AA220" s="519">
        <v>0</v>
      </c>
      <c r="AB220" s="519">
        <v>0</v>
      </c>
      <c r="AC220" s="519">
        <v>0</v>
      </c>
      <c r="AD220" s="519">
        <v>0</v>
      </c>
      <c r="AE220" s="519">
        <v>0</v>
      </c>
      <c r="AF220" s="519">
        <v>135</v>
      </c>
      <c r="AG220" s="519">
        <v>131.66666666666666</v>
      </c>
      <c r="AH220" s="519">
        <v>144.5</v>
      </c>
      <c r="AI220" s="519">
        <v>0</v>
      </c>
      <c r="AJ220" s="519">
        <v>0</v>
      </c>
      <c r="AK220" s="519">
        <v>0</v>
      </c>
      <c r="AL220" s="519">
        <v>128</v>
      </c>
      <c r="AM220" s="519">
        <v>128</v>
      </c>
      <c r="AN220" s="519">
        <v>0</v>
      </c>
    </row>
    <row r="221" spans="1:40" x14ac:dyDescent="0.3">
      <c r="A221" s="489" t="s">
        <v>1441</v>
      </c>
      <c r="B221" s="489" t="s">
        <v>1786</v>
      </c>
      <c r="C221" s="489" t="s">
        <v>1913</v>
      </c>
      <c r="D221" s="489" t="s">
        <v>46</v>
      </c>
      <c r="E221" s="619">
        <v>11</v>
      </c>
      <c r="F221" s="624">
        <f t="shared" si="63"/>
        <v>198.09090909090909</v>
      </c>
      <c r="G221" s="519">
        <f t="shared" si="64"/>
        <v>193</v>
      </c>
      <c r="H221" s="519">
        <f t="shared" si="65"/>
        <v>193</v>
      </c>
      <c r="I221" s="519">
        <f t="shared" si="66"/>
        <v>193</v>
      </c>
      <c r="J221" s="519">
        <f t="shared" si="67"/>
        <v>193</v>
      </c>
      <c r="K221" s="519">
        <f t="shared" si="68"/>
        <v>193</v>
      </c>
      <c r="L221" s="519">
        <f t="shared" si="69"/>
        <v>193</v>
      </c>
      <c r="M221" s="519">
        <f t="shared" si="70"/>
        <v>193</v>
      </c>
      <c r="N221" s="519">
        <f t="shared" si="71"/>
        <v>193</v>
      </c>
      <c r="O221" s="519">
        <f t="shared" si="72"/>
        <v>219</v>
      </c>
      <c r="P221" s="519">
        <f t="shared" si="73"/>
        <v>198</v>
      </c>
      <c r="Q221" s="519">
        <f t="shared" si="74"/>
        <v>199</v>
      </c>
      <c r="R221" s="519">
        <f t="shared" si="75"/>
        <v>186</v>
      </c>
      <c r="S221" s="519">
        <f t="shared" si="76"/>
        <v>193</v>
      </c>
      <c r="T221" s="519">
        <f t="shared" si="77"/>
        <v>193</v>
      </c>
      <c r="U221" s="519">
        <f t="shared" si="78"/>
        <v>214</v>
      </c>
      <c r="Y221" s="624">
        <v>198.09090909090909</v>
      </c>
      <c r="Z221" s="519">
        <v>0</v>
      </c>
      <c r="AA221" s="519">
        <v>0</v>
      </c>
      <c r="AB221" s="519">
        <v>193</v>
      </c>
      <c r="AC221" s="519">
        <v>0</v>
      </c>
      <c r="AD221" s="519">
        <v>0</v>
      </c>
      <c r="AE221" s="519">
        <v>0</v>
      </c>
      <c r="AF221" s="519">
        <v>0</v>
      </c>
      <c r="AG221" s="519">
        <v>193</v>
      </c>
      <c r="AH221" s="519">
        <v>219</v>
      </c>
      <c r="AI221" s="519">
        <v>198</v>
      </c>
      <c r="AJ221" s="519">
        <v>199</v>
      </c>
      <c r="AK221" s="519">
        <v>186</v>
      </c>
      <c r="AL221" s="519">
        <v>0</v>
      </c>
      <c r="AM221" s="519">
        <v>193</v>
      </c>
      <c r="AN221" s="519">
        <v>214</v>
      </c>
    </row>
    <row r="222" spans="1:40" x14ac:dyDescent="0.3">
      <c r="A222" s="489" t="s">
        <v>1441</v>
      </c>
      <c r="B222" s="489" t="s">
        <v>1787</v>
      </c>
      <c r="C222" s="489" t="s">
        <v>1914</v>
      </c>
      <c r="D222" s="489" t="s">
        <v>46</v>
      </c>
      <c r="E222" s="619">
        <v>11</v>
      </c>
      <c r="F222" s="624">
        <f t="shared" si="63"/>
        <v>106.27272727272727</v>
      </c>
      <c r="G222" s="519">
        <f t="shared" si="64"/>
        <v>106</v>
      </c>
      <c r="H222" s="519">
        <f t="shared" si="65"/>
        <v>106</v>
      </c>
      <c r="I222" s="519">
        <f t="shared" si="66"/>
        <v>106</v>
      </c>
      <c r="J222" s="519">
        <f t="shared" si="67"/>
        <v>125</v>
      </c>
      <c r="K222" s="519">
        <f t="shared" si="68"/>
        <v>125</v>
      </c>
      <c r="L222" s="519">
        <f t="shared" si="69"/>
        <v>125</v>
      </c>
      <c r="M222" s="519">
        <f t="shared" si="70"/>
        <v>125</v>
      </c>
      <c r="N222" s="519">
        <f t="shared" si="71"/>
        <v>104</v>
      </c>
      <c r="O222" s="519">
        <f t="shared" si="72"/>
        <v>104</v>
      </c>
      <c r="P222" s="519">
        <f t="shared" si="73"/>
        <v>104</v>
      </c>
      <c r="Q222" s="519">
        <f t="shared" si="74"/>
        <v>104.33333333333333</v>
      </c>
      <c r="R222" s="519">
        <f t="shared" si="75"/>
        <v>0</v>
      </c>
      <c r="S222" s="519">
        <f t="shared" si="76"/>
        <v>0</v>
      </c>
      <c r="T222" s="519">
        <f t="shared" si="77"/>
        <v>0</v>
      </c>
      <c r="U222" s="519">
        <f t="shared" si="78"/>
        <v>0</v>
      </c>
      <c r="Y222" s="624">
        <v>106.27272727272727</v>
      </c>
      <c r="Z222" s="519">
        <v>0</v>
      </c>
      <c r="AA222" s="519">
        <v>0</v>
      </c>
      <c r="AB222" s="519">
        <v>106</v>
      </c>
      <c r="AC222" s="519">
        <v>0</v>
      </c>
      <c r="AD222" s="519">
        <v>0</v>
      </c>
      <c r="AE222" s="519">
        <v>0</v>
      </c>
      <c r="AF222" s="519">
        <v>125</v>
      </c>
      <c r="AG222" s="519">
        <v>0</v>
      </c>
      <c r="AH222" s="519">
        <v>104</v>
      </c>
      <c r="AI222" s="519">
        <v>104</v>
      </c>
      <c r="AJ222" s="519">
        <v>104.33333333333333</v>
      </c>
      <c r="AK222" s="519">
        <v>0</v>
      </c>
      <c r="AL222" s="519">
        <v>0</v>
      </c>
      <c r="AM222" s="519">
        <v>0</v>
      </c>
      <c r="AN222" s="519">
        <v>0</v>
      </c>
    </row>
    <row r="223" spans="1:40" x14ac:dyDescent="0.3">
      <c r="A223" s="489" t="s">
        <v>1441</v>
      </c>
      <c r="B223" s="489" t="s">
        <v>1442</v>
      </c>
      <c r="C223" s="489" t="s">
        <v>1443</v>
      </c>
      <c r="D223" s="489" t="s">
        <v>46</v>
      </c>
      <c r="E223" s="619">
        <v>11</v>
      </c>
      <c r="F223" s="624">
        <f t="shared" si="63"/>
        <v>200.54545454545453</v>
      </c>
      <c r="G223" s="519">
        <f t="shared" si="64"/>
        <v>203</v>
      </c>
      <c r="H223" s="519">
        <f t="shared" si="65"/>
        <v>203</v>
      </c>
      <c r="I223" s="519">
        <f t="shared" si="66"/>
        <v>203</v>
      </c>
      <c r="J223" s="519">
        <f t="shared" si="67"/>
        <v>188.5</v>
      </c>
      <c r="K223" s="519">
        <f t="shared" si="68"/>
        <v>218</v>
      </c>
      <c r="L223" s="519">
        <f t="shared" si="69"/>
        <v>218</v>
      </c>
      <c r="M223" s="519">
        <f t="shared" si="70"/>
        <v>172</v>
      </c>
      <c r="N223" s="519">
        <f t="shared" si="71"/>
        <v>155</v>
      </c>
      <c r="O223" s="519">
        <f t="shared" si="72"/>
        <v>215.66666666666666</v>
      </c>
      <c r="P223" s="519">
        <f t="shared" si="73"/>
        <v>215.66666666666666</v>
      </c>
      <c r="Q223" s="519">
        <f t="shared" si="74"/>
        <v>216</v>
      </c>
      <c r="R223" s="519">
        <f t="shared" si="75"/>
        <v>216</v>
      </c>
      <c r="S223" s="519">
        <f t="shared" si="76"/>
        <v>216</v>
      </c>
      <c r="T223" s="519">
        <f t="shared" si="77"/>
        <v>0</v>
      </c>
      <c r="U223" s="519">
        <f t="shared" si="78"/>
        <v>0</v>
      </c>
      <c r="Y223" s="624">
        <v>200.54545454545453</v>
      </c>
      <c r="Z223" s="519">
        <v>0</v>
      </c>
      <c r="AA223" s="519">
        <v>0</v>
      </c>
      <c r="AB223" s="519">
        <v>203</v>
      </c>
      <c r="AC223" s="519">
        <v>188.5</v>
      </c>
      <c r="AD223" s="519">
        <v>0</v>
      </c>
      <c r="AE223" s="519">
        <v>218</v>
      </c>
      <c r="AF223" s="519">
        <v>172</v>
      </c>
      <c r="AG223" s="519">
        <v>155</v>
      </c>
      <c r="AH223" s="519">
        <v>0</v>
      </c>
      <c r="AI223" s="519">
        <v>215.66666666666666</v>
      </c>
      <c r="AJ223" s="519">
        <v>0</v>
      </c>
      <c r="AK223" s="519">
        <v>0</v>
      </c>
      <c r="AL223" s="519">
        <v>216</v>
      </c>
      <c r="AM223" s="519">
        <v>0</v>
      </c>
      <c r="AN223" s="519">
        <v>0</v>
      </c>
    </row>
    <row r="224" spans="1:40" x14ac:dyDescent="0.3">
      <c r="A224" s="489" t="s">
        <v>1694</v>
      </c>
      <c r="B224" s="489" t="s">
        <v>1788</v>
      </c>
      <c r="C224" s="489" t="s">
        <v>1915</v>
      </c>
      <c r="D224" s="489" t="s">
        <v>141</v>
      </c>
      <c r="E224" s="619">
        <v>11</v>
      </c>
      <c r="F224" s="624">
        <f t="shared" si="63"/>
        <v>0</v>
      </c>
      <c r="G224" s="519">
        <f t="shared" si="64"/>
        <v>0</v>
      </c>
      <c r="H224" s="519">
        <f t="shared" si="65"/>
        <v>0</v>
      </c>
      <c r="I224" s="519">
        <f t="shared" si="66"/>
        <v>0</v>
      </c>
      <c r="J224" s="519">
        <f t="shared" si="67"/>
        <v>0</v>
      </c>
      <c r="K224" s="519">
        <f t="shared" si="68"/>
        <v>0</v>
      </c>
      <c r="L224" s="519">
        <f t="shared" si="69"/>
        <v>0</v>
      </c>
      <c r="M224" s="519">
        <f t="shared" si="70"/>
        <v>0</v>
      </c>
      <c r="N224" s="519">
        <f t="shared" si="71"/>
        <v>0</v>
      </c>
      <c r="O224" s="519">
        <f t="shared" si="72"/>
        <v>0</v>
      </c>
      <c r="P224" s="519">
        <f t="shared" si="73"/>
        <v>0</v>
      </c>
      <c r="Q224" s="519">
        <f t="shared" si="74"/>
        <v>0</v>
      </c>
      <c r="R224" s="519">
        <f t="shared" si="75"/>
        <v>0</v>
      </c>
      <c r="S224" s="519">
        <f t="shared" si="76"/>
        <v>0</v>
      </c>
      <c r="T224" s="519">
        <f t="shared" si="77"/>
        <v>0</v>
      </c>
      <c r="U224" s="519">
        <f t="shared" si="78"/>
        <v>0</v>
      </c>
      <c r="Y224" s="624">
        <v>0</v>
      </c>
      <c r="Z224" s="519">
        <v>0</v>
      </c>
      <c r="AA224" s="519">
        <v>0</v>
      </c>
      <c r="AB224" s="519">
        <v>0</v>
      </c>
      <c r="AC224" s="519">
        <v>0</v>
      </c>
      <c r="AD224" s="519">
        <v>0</v>
      </c>
      <c r="AE224" s="519">
        <v>0</v>
      </c>
      <c r="AF224" s="519">
        <v>0</v>
      </c>
      <c r="AG224" s="519">
        <v>0</v>
      </c>
      <c r="AH224" s="519">
        <v>0</v>
      </c>
      <c r="AI224" s="519">
        <v>0</v>
      </c>
      <c r="AJ224" s="519">
        <v>0</v>
      </c>
      <c r="AK224" s="519">
        <v>0</v>
      </c>
      <c r="AL224" s="519">
        <v>0</v>
      </c>
      <c r="AM224" s="519">
        <v>0</v>
      </c>
      <c r="AN224" s="519">
        <v>0</v>
      </c>
    </row>
    <row r="225" spans="1:40" x14ac:dyDescent="0.3">
      <c r="A225" s="489" t="s">
        <v>1414</v>
      </c>
      <c r="B225" s="489" t="s">
        <v>1789</v>
      </c>
      <c r="C225" s="489" t="s">
        <v>1916</v>
      </c>
      <c r="D225" s="489" t="s">
        <v>46</v>
      </c>
      <c r="E225" s="619">
        <v>11</v>
      </c>
      <c r="F225" s="624">
        <f t="shared" si="63"/>
        <v>112.45454545454545</v>
      </c>
      <c r="G225" s="519">
        <f t="shared" si="64"/>
        <v>120</v>
      </c>
      <c r="H225" s="519">
        <f t="shared" si="65"/>
        <v>120</v>
      </c>
      <c r="I225" s="519">
        <f t="shared" si="66"/>
        <v>138</v>
      </c>
      <c r="J225" s="519">
        <f t="shared" si="67"/>
        <v>118</v>
      </c>
      <c r="K225" s="519">
        <f t="shared" si="68"/>
        <v>118</v>
      </c>
      <c r="L225" s="519">
        <f t="shared" si="69"/>
        <v>118</v>
      </c>
      <c r="M225" s="519">
        <f t="shared" si="70"/>
        <v>108.8</v>
      </c>
      <c r="N225" s="519">
        <f t="shared" si="71"/>
        <v>99.5</v>
      </c>
      <c r="O225" s="519">
        <f t="shared" si="72"/>
        <v>0</v>
      </c>
      <c r="P225" s="519">
        <f t="shared" si="73"/>
        <v>0</v>
      </c>
      <c r="Q225" s="519">
        <f t="shared" si="74"/>
        <v>0</v>
      </c>
      <c r="R225" s="519">
        <f t="shared" si="75"/>
        <v>0</v>
      </c>
      <c r="S225" s="519">
        <f t="shared" si="76"/>
        <v>0</v>
      </c>
      <c r="T225" s="519">
        <f t="shared" si="77"/>
        <v>0</v>
      </c>
      <c r="U225" s="519">
        <f t="shared" si="78"/>
        <v>0</v>
      </c>
      <c r="Y225" s="624">
        <v>112.45454545454545</v>
      </c>
      <c r="Z225" s="519">
        <v>0</v>
      </c>
      <c r="AA225" s="519">
        <v>120</v>
      </c>
      <c r="AB225" s="519">
        <v>138</v>
      </c>
      <c r="AC225" s="519">
        <v>0</v>
      </c>
      <c r="AD225" s="519">
        <v>0</v>
      </c>
      <c r="AE225" s="519">
        <v>118</v>
      </c>
      <c r="AF225" s="519">
        <v>108.8</v>
      </c>
      <c r="AG225" s="519">
        <v>99.5</v>
      </c>
      <c r="AH225" s="519">
        <v>0</v>
      </c>
      <c r="AI225" s="519">
        <v>0</v>
      </c>
      <c r="AJ225" s="519">
        <v>0</v>
      </c>
      <c r="AK225" s="519">
        <v>0</v>
      </c>
      <c r="AL225" s="519">
        <v>0</v>
      </c>
      <c r="AM225" s="519">
        <v>0</v>
      </c>
      <c r="AN225" s="519">
        <v>0</v>
      </c>
    </row>
    <row r="226" spans="1:40" x14ac:dyDescent="0.3">
      <c r="A226" s="489" t="s">
        <v>1544</v>
      </c>
      <c r="B226" s="489" t="s">
        <v>1578</v>
      </c>
      <c r="C226" s="489" t="s">
        <v>337</v>
      </c>
      <c r="D226" s="489" t="s">
        <v>1936</v>
      </c>
      <c r="E226" s="619">
        <v>11</v>
      </c>
      <c r="F226" s="624">
        <f t="shared" si="63"/>
        <v>0</v>
      </c>
      <c r="G226" s="519">
        <f t="shared" si="64"/>
        <v>0</v>
      </c>
      <c r="H226" s="519">
        <f t="shared" si="65"/>
        <v>0</v>
      </c>
      <c r="I226" s="519">
        <f t="shared" si="66"/>
        <v>0</v>
      </c>
      <c r="J226" s="519">
        <f t="shared" si="67"/>
        <v>0</v>
      </c>
      <c r="K226" s="519">
        <f t="shared" si="68"/>
        <v>0</v>
      </c>
      <c r="L226" s="519">
        <f t="shared" si="69"/>
        <v>0</v>
      </c>
      <c r="M226" s="519">
        <f t="shared" si="70"/>
        <v>0</v>
      </c>
      <c r="N226" s="519">
        <f t="shared" si="71"/>
        <v>0</v>
      </c>
      <c r="O226" s="519">
        <f t="shared" si="72"/>
        <v>0</v>
      </c>
      <c r="P226" s="519">
        <f t="shared" si="73"/>
        <v>0</v>
      </c>
      <c r="Q226" s="519">
        <f t="shared" si="74"/>
        <v>0</v>
      </c>
      <c r="R226" s="519">
        <f t="shared" si="75"/>
        <v>0</v>
      </c>
      <c r="S226" s="519">
        <f t="shared" si="76"/>
        <v>0</v>
      </c>
      <c r="T226" s="519">
        <f t="shared" si="77"/>
        <v>0</v>
      </c>
      <c r="U226" s="519">
        <f t="shared" si="78"/>
        <v>0</v>
      </c>
      <c r="Y226" s="624">
        <v>0</v>
      </c>
      <c r="Z226" s="519">
        <v>0</v>
      </c>
      <c r="AA226" s="519">
        <v>0</v>
      </c>
      <c r="AB226" s="519">
        <v>0</v>
      </c>
      <c r="AC226" s="519">
        <v>0</v>
      </c>
      <c r="AD226" s="519">
        <v>0</v>
      </c>
      <c r="AE226" s="519">
        <v>0</v>
      </c>
      <c r="AF226" s="519">
        <v>0</v>
      </c>
      <c r="AG226" s="519">
        <v>0</v>
      </c>
      <c r="AH226" s="519">
        <v>0</v>
      </c>
      <c r="AI226" s="519">
        <v>0</v>
      </c>
      <c r="AJ226" s="519">
        <v>0</v>
      </c>
      <c r="AK226" s="519">
        <v>0</v>
      </c>
      <c r="AL226" s="519">
        <v>0</v>
      </c>
      <c r="AM226" s="519">
        <v>0</v>
      </c>
      <c r="AN226" s="519">
        <v>0</v>
      </c>
    </row>
    <row r="227" spans="1:40" x14ac:dyDescent="0.3">
      <c r="A227" s="489" t="s">
        <v>1414</v>
      </c>
      <c r="B227" s="489" t="s">
        <v>1370</v>
      </c>
      <c r="C227" s="489" t="s">
        <v>1416</v>
      </c>
      <c r="D227" s="489" t="s">
        <v>1937</v>
      </c>
      <c r="E227" s="619">
        <v>11</v>
      </c>
      <c r="F227" s="624">
        <f t="shared" si="63"/>
        <v>0</v>
      </c>
      <c r="G227" s="519">
        <f t="shared" si="64"/>
        <v>0</v>
      </c>
      <c r="H227" s="519">
        <f t="shared" si="65"/>
        <v>0</v>
      </c>
      <c r="I227" s="519">
        <f t="shared" si="66"/>
        <v>0</v>
      </c>
      <c r="J227" s="519">
        <f t="shared" si="67"/>
        <v>0</v>
      </c>
      <c r="K227" s="519">
        <f t="shared" si="68"/>
        <v>0</v>
      </c>
      <c r="L227" s="519">
        <f t="shared" si="69"/>
        <v>0</v>
      </c>
      <c r="M227" s="519">
        <f t="shared" si="70"/>
        <v>0</v>
      </c>
      <c r="N227" s="519">
        <f t="shared" si="71"/>
        <v>0</v>
      </c>
      <c r="O227" s="519">
        <f t="shared" si="72"/>
        <v>0</v>
      </c>
      <c r="P227" s="519">
        <f t="shared" si="73"/>
        <v>0</v>
      </c>
      <c r="Q227" s="519">
        <f t="shared" si="74"/>
        <v>0</v>
      </c>
      <c r="R227" s="519">
        <f t="shared" si="75"/>
        <v>0</v>
      </c>
      <c r="S227" s="519">
        <f t="shared" si="76"/>
        <v>0</v>
      </c>
      <c r="T227" s="519">
        <f t="shared" si="77"/>
        <v>0</v>
      </c>
      <c r="U227" s="519">
        <f t="shared" si="78"/>
        <v>0</v>
      </c>
      <c r="Y227" s="624">
        <v>0</v>
      </c>
      <c r="Z227" s="519">
        <v>0</v>
      </c>
      <c r="AA227" s="519">
        <v>0</v>
      </c>
      <c r="AB227" s="519">
        <v>0</v>
      </c>
      <c r="AC227" s="519">
        <v>0</v>
      </c>
      <c r="AD227" s="519">
        <v>0</v>
      </c>
      <c r="AE227" s="519">
        <v>0</v>
      </c>
      <c r="AF227" s="519">
        <v>0</v>
      </c>
      <c r="AG227" s="519">
        <v>0</v>
      </c>
      <c r="AH227" s="519">
        <v>0</v>
      </c>
      <c r="AI227" s="519">
        <v>0</v>
      </c>
      <c r="AJ227" s="519">
        <v>0</v>
      </c>
      <c r="AK227" s="519">
        <v>0</v>
      </c>
      <c r="AL227" s="519">
        <v>0</v>
      </c>
      <c r="AM227" s="519">
        <v>0</v>
      </c>
      <c r="AN227" s="519">
        <v>0</v>
      </c>
    </row>
    <row r="228" spans="1:40" x14ac:dyDescent="0.3">
      <c r="A228" s="489" t="s">
        <v>1422</v>
      </c>
      <c r="B228" s="489" t="s">
        <v>1547</v>
      </c>
      <c r="C228" s="489" t="s">
        <v>1548</v>
      </c>
      <c r="D228" s="489" t="s">
        <v>1665</v>
      </c>
      <c r="E228" s="619">
        <v>11</v>
      </c>
      <c r="F228" s="624">
        <f t="shared" si="63"/>
        <v>100.90909090909091</v>
      </c>
      <c r="G228" s="519">
        <f t="shared" si="64"/>
        <v>102</v>
      </c>
      <c r="H228" s="519">
        <f t="shared" si="65"/>
        <v>102</v>
      </c>
      <c r="I228" s="519">
        <f t="shared" si="66"/>
        <v>102</v>
      </c>
      <c r="J228" s="519">
        <f t="shared" si="67"/>
        <v>102</v>
      </c>
      <c r="K228" s="519">
        <f t="shared" si="68"/>
        <v>102</v>
      </c>
      <c r="L228" s="519">
        <f t="shared" si="69"/>
        <v>102</v>
      </c>
      <c r="M228" s="519">
        <f t="shared" si="70"/>
        <v>102</v>
      </c>
      <c r="N228" s="519">
        <f t="shared" si="71"/>
        <v>96</v>
      </c>
      <c r="O228" s="519">
        <f t="shared" si="72"/>
        <v>96</v>
      </c>
      <c r="P228" s="519">
        <f t="shared" si="73"/>
        <v>96</v>
      </c>
      <c r="Q228" s="519">
        <f t="shared" si="74"/>
        <v>0</v>
      </c>
      <c r="R228" s="519">
        <f t="shared" si="75"/>
        <v>0</v>
      </c>
      <c r="S228" s="519">
        <f t="shared" si="76"/>
        <v>0</v>
      </c>
      <c r="T228" s="519">
        <f t="shared" si="77"/>
        <v>0</v>
      </c>
      <c r="U228" s="519">
        <f t="shared" si="78"/>
        <v>0</v>
      </c>
      <c r="Y228" s="624">
        <v>100.90909090909091</v>
      </c>
      <c r="Z228" s="519">
        <v>0</v>
      </c>
      <c r="AA228" s="519">
        <v>0</v>
      </c>
      <c r="AB228" s="519">
        <v>0</v>
      </c>
      <c r="AC228" s="519">
        <v>0</v>
      </c>
      <c r="AD228" s="519">
        <v>0</v>
      </c>
      <c r="AE228" s="519">
        <v>0</v>
      </c>
      <c r="AF228" s="519">
        <v>102</v>
      </c>
      <c r="AG228" s="519">
        <v>0</v>
      </c>
      <c r="AH228" s="519">
        <v>0</v>
      </c>
      <c r="AI228" s="519">
        <v>96</v>
      </c>
      <c r="AJ228" s="519">
        <v>0</v>
      </c>
      <c r="AK228" s="519">
        <v>0</v>
      </c>
      <c r="AL228" s="519">
        <v>0</v>
      </c>
      <c r="AM228" s="519">
        <v>0</v>
      </c>
      <c r="AN228" s="519">
        <v>0</v>
      </c>
    </row>
    <row r="229" spans="1:40" x14ac:dyDescent="0.3">
      <c r="A229" s="489" t="s">
        <v>1414</v>
      </c>
      <c r="B229" s="489" t="s">
        <v>1675</v>
      </c>
      <c r="C229" s="489" t="s">
        <v>1917</v>
      </c>
      <c r="D229" s="489" t="s">
        <v>1936</v>
      </c>
      <c r="E229" s="619">
        <v>11</v>
      </c>
      <c r="F229" s="624">
        <f t="shared" si="63"/>
        <v>0</v>
      </c>
      <c r="G229" s="519">
        <f t="shared" si="64"/>
        <v>0</v>
      </c>
      <c r="H229" s="519">
        <f t="shared" si="65"/>
        <v>0</v>
      </c>
      <c r="I229" s="519">
        <f t="shared" si="66"/>
        <v>0</v>
      </c>
      <c r="J229" s="519">
        <f t="shared" si="67"/>
        <v>0</v>
      </c>
      <c r="K229" s="519">
        <f t="shared" si="68"/>
        <v>0</v>
      </c>
      <c r="L229" s="519">
        <f t="shared" si="69"/>
        <v>0</v>
      </c>
      <c r="M229" s="519">
        <f t="shared" si="70"/>
        <v>0</v>
      </c>
      <c r="N229" s="519">
        <f t="shared" si="71"/>
        <v>0</v>
      </c>
      <c r="O229" s="519">
        <f t="shared" si="72"/>
        <v>0</v>
      </c>
      <c r="P229" s="519">
        <f t="shared" si="73"/>
        <v>0</v>
      </c>
      <c r="Q229" s="519">
        <f t="shared" si="74"/>
        <v>0</v>
      </c>
      <c r="R229" s="519">
        <f t="shared" si="75"/>
        <v>0</v>
      </c>
      <c r="S229" s="519">
        <f t="shared" si="76"/>
        <v>0</v>
      </c>
      <c r="T229" s="519">
        <f t="shared" si="77"/>
        <v>0</v>
      </c>
      <c r="U229" s="519">
        <f t="shared" si="78"/>
        <v>0</v>
      </c>
      <c r="Y229" s="624">
        <v>0</v>
      </c>
      <c r="Z229" s="519">
        <v>0</v>
      </c>
      <c r="AA229" s="519">
        <v>0</v>
      </c>
      <c r="AB229" s="519">
        <v>0</v>
      </c>
      <c r="AC229" s="519">
        <v>0</v>
      </c>
      <c r="AD229" s="519">
        <v>0</v>
      </c>
      <c r="AE229" s="519">
        <v>0</v>
      </c>
      <c r="AF229" s="519">
        <v>0</v>
      </c>
      <c r="AG229" s="519">
        <v>0</v>
      </c>
      <c r="AH229" s="519">
        <v>0</v>
      </c>
      <c r="AI229" s="519">
        <v>0</v>
      </c>
      <c r="AJ229" s="519">
        <v>0</v>
      </c>
      <c r="AK229" s="519">
        <v>0</v>
      </c>
      <c r="AL229" s="519">
        <v>0</v>
      </c>
      <c r="AM229" s="519">
        <v>0</v>
      </c>
      <c r="AN229" s="519">
        <v>0</v>
      </c>
    </row>
    <row r="230" spans="1:40" x14ac:dyDescent="0.3">
      <c r="A230" s="489" t="s">
        <v>1414</v>
      </c>
      <c r="B230" s="489" t="s">
        <v>1675</v>
      </c>
      <c r="C230" s="489" t="s">
        <v>1917</v>
      </c>
      <c r="D230" s="489" t="s">
        <v>1936</v>
      </c>
      <c r="E230" s="619">
        <v>11</v>
      </c>
      <c r="F230" s="624">
        <f t="shared" si="63"/>
        <v>120.4</v>
      </c>
      <c r="G230" s="519">
        <f t="shared" si="64"/>
        <v>168</v>
      </c>
      <c r="H230" s="519">
        <f t="shared" si="65"/>
        <v>168</v>
      </c>
      <c r="I230" s="519">
        <f t="shared" si="66"/>
        <v>109</v>
      </c>
      <c r="J230" s="519">
        <f t="shared" si="67"/>
        <v>112</v>
      </c>
      <c r="K230" s="519">
        <f t="shared" si="68"/>
        <v>112</v>
      </c>
      <c r="L230" s="519">
        <f t="shared" si="69"/>
        <v>104</v>
      </c>
      <c r="M230" s="519">
        <f t="shared" si="70"/>
        <v>139</v>
      </c>
      <c r="N230" s="519">
        <f t="shared" si="71"/>
        <v>104</v>
      </c>
      <c r="O230" s="519">
        <f t="shared" si="72"/>
        <v>130</v>
      </c>
      <c r="P230" s="519">
        <f t="shared" si="73"/>
        <v>130</v>
      </c>
      <c r="Q230" s="519">
        <f t="shared" si="74"/>
        <v>130</v>
      </c>
      <c r="R230" s="519">
        <f t="shared" si="75"/>
        <v>130</v>
      </c>
      <c r="S230" s="519">
        <f t="shared" si="76"/>
        <v>0</v>
      </c>
      <c r="T230" s="519">
        <f t="shared" si="77"/>
        <v>0</v>
      </c>
      <c r="U230" s="519">
        <f t="shared" si="78"/>
        <v>0</v>
      </c>
      <c r="Y230" s="624">
        <v>120.4</v>
      </c>
      <c r="Z230" s="519">
        <v>0</v>
      </c>
      <c r="AA230" s="519">
        <v>168</v>
      </c>
      <c r="AB230" s="519">
        <v>109</v>
      </c>
      <c r="AC230" s="519">
        <v>0</v>
      </c>
      <c r="AD230" s="519">
        <v>112</v>
      </c>
      <c r="AE230" s="519">
        <v>104</v>
      </c>
      <c r="AF230" s="519">
        <v>139</v>
      </c>
      <c r="AG230" s="519">
        <v>104</v>
      </c>
      <c r="AH230" s="519">
        <v>0</v>
      </c>
      <c r="AI230" s="519">
        <v>0</v>
      </c>
      <c r="AJ230" s="519">
        <v>0</v>
      </c>
      <c r="AK230" s="519">
        <v>130</v>
      </c>
      <c r="AL230" s="519">
        <v>0</v>
      </c>
      <c r="AM230" s="519">
        <v>0</v>
      </c>
      <c r="AN230" s="519">
        <v>0</v>
      </c>
    </row>
    <row r="231" spans="1:40" x14ac:dyDescent="0.3">
      <c r="Y231">
        <v>119</v>
      </c>
      <c r="Z231">
        <v>0</v>
      </c>
      <c r="AA231">
        <v>0</v>
      </c>
      <c r="AB231">
        <v>0</v>
      </c>
      <c r="AC231">
        <v>0</v>
      </c>
      <c r="AD231">
        <v>0</v>
      </c>
      <c r="AE231">
        <v>0</v>
      </c>
      <c r="AF231">
        <v>119</v>
      </c>
      <c r="AG231">
        <v>119</v>
      </c>
      <c r="AH231">
        <v>0</v>
      </c>
      <c r="AI231">
        <v>0</v>
      </c>
      <c r="AJ231">
        <v>0</v>
      </c>
      <c r="AK231">
        <v>119</v>
      </c>
      <c r="AL231">
        <v>0</v>
      </c>
      <c r="AM231">
        <v>119</v>
      </c>
      <c r="AN231">
        <v>0</v>
      </c>
    </row>
    <row r="232" spans="1:40" x14ac:dyDescent="0.3">
      <c r="Y232">
        <v>118.4</v>
      </c>
      <c r="Z232">
        <v>0</v>
      </c>
      <c r="AA232">
        <v>0</v>
      </c>
      <c r="AB232">
        <v>0</v>
      </c>
      <c r="AC232">
        <v>0</v>
      </c>
      <c r="AD232">
        <v>0</v>
      </c>
      <c r="AE232">
        <v>0</v>
      </c>
      <c r="AF232">
        <v>0</v>
      </c>
      <c r="AG232">
        <v>0</v>
      </c>
      <c r="AH232">
        <v>126</v>
      </c>
      <c r="AI232">
        <v>0</v>
      </c>
      <c r="AJ232">
        <v>113</v>
      </c>
      <c r="AK232">
        <v>133.5</v>
      </c>
      <c r="AL232">
        <v>113</v>
      </c>
      <c r="AM232">
        <v>113</v>
      </c>
      <c r="AN232">
        <v>0</v>
      </c>
    </row>
    <row r="233" spans="1:40" x14ac:dyDescent="0.3">
      <c r="Y233">
        <v>207.54545454545453</v>
      </c>
      <c r="Z233">
        <v>0</v>
      </c>
      <c r="AA233">
        <v>0</v>
      </c>
      <c r="AB233">
        <v>207</v>
      </c>
      <c r="AC233">
        <v>0</v>
      </c>
      <c r="AD233">
        <v>0</v>
      </c>
      <c r="AE233">
        <v>0</v>
      </c>
      <c r="AF233">
        <v>0</v>
      </c>
      <c r="AG233">
        <v>233</v>
      </c>
      <c r="AH233">
        <v>0</v>
      </c>
      <c r="AI233">
        <v>233</v>
      </c>
      <c r="AJ233">
        <v>222</v>
      </c>
      <c r="AK233">
        <v>0</v>
      </c>
      <c r="AL233">
        <v>0</v>
      </c>
      <c r="AM233">
        <v>233</v>
      </c>
      <c r="AN233">
        <v>0</v>
      </c>
    </row>
    <row r="234" spans="1:40" x14ac:dyDescent="0.3">
      <c r="Y234">
        <v>114.6</v>
      </c>
      <c r="Z234">
        <v>0</v>
      </c>
      <c r="AA234">
        <v>125</v>
      </c>
      <c r="AB234">
        <v>0</v>
      </c>
      <c r="AC234">
        <v>129</v>
      </c>
      <c r="AD234">
        <v>125</v>
      </c>
      <c r="AE234">
        <v>0</v>
      </c>
      <c r="AF234">
        <v>109</v>
      </c>
      <c r="AG234">
        <v>109</v>
      </c>
      <c r="AH234">
        <v>109.33333333333333</v>
      </c>
      <c r="AI234">
        <v>0</v>
      </c>
      <c r="AJ234">
        <v>112</v>
      </c>
      <c r="AK234">
        <v>0</v>
      </c>
      <c r="AL234">
        <v>0</v>
      </c>
      <c r="AM234">
        <v>0</v>
      </c>
      <c r="AN234">
        <v>0</v>
      </c>
    </row>
    <row r="235" spans="1:40" x14ac:dyDescent="0.3">
      <c r="Y235">
        <v>0</v>
      </c>
      <c r="Z235">
        <v>0</v>
      </c>
      <c r="AA235">
        <v>0</v>
      </c>
      <c r="AB235">
        <v>0</v>
      </c>
      <c r="AC235">
        <v>0</v>
      </c>
      <c r="AD235">
        <v>0</v>
      </c>
      <c r="AE235">
        <v>0</v>
      </c>
      <c r="AF235">
        <v>0</v>
      </c>
      <c r="AG235">
        <v>0</v>
      </c>
      <c r="AH235">
        <v>0</v>
      </c>
      <c r="AI235">
        <v>0</v>
      </c>
      <c r="AJ235">
        <v>0</v>
      </c>
      <c r="AK235">
        <v>0</v>
      </c>
      <c r="AL235">
        <v>0</v>
      </c>
      <c r="AM235">
        <v>0</v>
      </c>
      <c r="AN235">
        <v>0</v>
      </c>
    </row>
    <row r="236" spans="1:40" x14ac:dyDescent="0.3">
      <c r="Y236">
        <v>96</v>
      </c>
      <c r="Z236">
        <v>0</v>
      </c>
      <c r="AA236">
        <v>0</v>
      </c>
      <c r="AB236">
        <v>0</v>
      </c>
      <c r="AC236">
        <v>0</v>
      </c>
      <c r="AD236">
        <v>0</v>
      </c>
      <c r="AE236">
        <v>96</v>
      </c>
      <c r="AF236">
        <v>0</v>
      </c>
      <c r="AG236">
        <v>0</v>
      </c>
      <c r="AH236">
        <v>0</v>
      </c>
      <c r="AI236">
        <v>0</v>
      </c>
      <c r="AJ236">
        <v>0</v>
      </c>
      <c r="AK236">
        <v>0</v>
      </c>
      <c r="AL236">
        <v>0</v>
      </c>
      <c r="AM236">
        <v>0</v>
      </c>
      <c r="AN236">
        <v>0</v>
      </c>
    </row>
    <row r="237" spans="1:40" x14ac:dyDescent="0.3">
      <c r="Y237">
        <v>0</v>
      </c>
      <c r="Z237">
        <v>0</v>
      </c>
      <c r="AA237">
        <v>0</v>
      </c>
      <c r="AB237">
        <v>0</v>
      </c>
      <c r="AC237">
        <v>0</v>
      </c>
      <c r="AD237">
        <v>0</v>
      </c>
      <c r="AE237">
        <v>0</v>
      </c>
      <c r="AF237">
        <v>0</v>
      </c>
      <c r="AG237">
        <v>0</v>
      </c>
      <c r="AH237">
        <v>0</v>
      </c>
      <c r="AI237">
        <v>0</v>
      </c>
      <c r="AJ237">
        <v>0</v>
      </c>
      <c r="AK237">
        <v>0</v>
      </c>
      <c r="AL237">
        <v>0</v>
      </c>
      <c r="AM237">
        <v>0</v>
      </c>
      <c r="AN237">
        <v>0</v>
      </c>
    </row>
    <row r="238" spans="1:40" x14ac:dyDescent="0.3">
      <c r="Y238">
        <v>138.30000000000001</v>
      </c>
      <c r="Z238">
        <v>0</v>
      </c>
      <c r="AA238">
        <v>0</v>
      </c>
      <c r="AB238">
        <v>124</v>
      </c>
      <c r="AC238">
        <v>124</v>
      </c>
      <c r="AD238">
        <v>0</v>
      </c>
      <c r="AE238">
        <v>154</v>
      </c>
      <c r="AF238">
        <v>0</v>
      </c>
      <c r="AG238">
        <v>140.33333333333334</v>
      </c>
      <c r="AH238">
        <v>129</v>
      </c>
      <c r="AI238">
        <v>148</v>
      </c>
      <c r="AJ238">
        <v>0</v>
      </c>
      <c r="AK238">
        <v>0</v>
      </c>
      <c r="AL238">
        <v>0</v>
      </c>
      <c r="AM238">
        <v>0</v>
      </c>
      <c r="AN238">
        <v>0</v>
      </c>
    </row>
    <row r="239" spans="1:40" x14ac:dyDescent="0.3">
      <c r="Y239">
        <v>0</v>
      </c>
      <c r="Z239">
        <v>0</v>
      </c>
      <c r="AA239">
        <v>0</v>
      </c>
      <c r="AB239">
        <v>0</v>
      </c>
      <c r="AC239">
        <v>0</v>
      </c>
      <c r="AD239">
        <v>0</v>
      </c>
      <c r="AE239">
        <v>0</v>
      </c>
      <c r="AF239">
        <v>0</v>
      </c>
      <c r="AG239">
        <v>0</v>
      </c>
      <c r="AH239">
        <v>0</v>
      </c>
      <c r="AI239">
        <v>0</v>
      </c>
      <c r="AJ239">
        <v>0</v>
      </c>
      <c r="AK239">
        <v>0</v>
      </c>
      <c r="AL239">
        <v>0</v>
      </c>
      <c r="AM239">
        <v>0</v>
      </c>
      <c r="AN239">
        <v>0</v>
      </c>
    </row>
    <row r="240" spans="1:40" x14ac:dyDescent="0.3">
      <c r="Y240">
        <v>48</v>
      </c>
      <c r="Z240">
        <v>0</v>
      </c>
      <c r="AA240">
        <v>0</v>
      </c>
      <c r="AB240">
        <v>0</v>
      </c>
      <c r="AC240">
        <v>0</v>
      </c>
      <c r="AD240">
        <v>0</v>
      </c>
      <c r="AE240">
        <v>0</v>
      </c>
      <c r="AF240">
        <v>0</v>
      </c>
      <c r="AG240">
        <v>0</v>
      </c>
      <c r="AH240">
        <v>48</v>
      </c>
      <c r="AI240">
        <v>48</v>
      </c>
      <c r="AJ240">
        <v>0</v>
      </c>
      <c r="AK240">
        <v>0</v>
      </c>
      <c r="AL240">
        <v>0</v>
      </c>
      <c r="AM240">
        <v>0</v>
      </c>
      <c r="AN240">
        <v>0</v>
      </c>
    </row>
    <row r="241" spans="25:40" x14ac:dyDescent="0.3">
      <c r="Y241">
        <v>124.4</v>
      </c>
      <c r="Z241">
        <v>134</v>
      </c>
      <c r="AA241">
        <v>124.5</v>
      </c>
      <c r="AB241">
        <v>121</v>
      </c>
      <c r="AC241">
        <v>121</v>
      </c>
      <c r="AD241">
        <v>116</v>
      </c>
      <c r="AE241">
        <v>130.5</v>
      </c>
      <c r="AF241">
        <v>0</v>
      </c>
      <c r="AG241">
        <v>0</v>
      </c>
      <c r="AH241">
        <v>0</v>
      </c>
      <c r="AI241">
        <v>0</v>
      </c>
      <c r="AJ241">
        <v>0</v>
      </c>
      <c r="AK241">
        <v>0</v>
      </c>
      <c r="AL241">
        <v>0</v>
      </c>
      <c r="AM241">
        <v>0</v>
      </c>
      <c r="AN241">
        <v>0</v>
      </c>
    </row>
    <row r="242" spans="25:40" x14ac:dyDescent="0.3">
      <c r="Y242">
        <v>126.7</v>
      </c>
      <c r="Z242">
        <v>136</v>
      </c>
      <c r="AA242">
        <v>135</v>
      </c>
      <c r="AB242">
        <v>0</v>
      </c>
      <c r="AC242">
        <v>0</v>
      </c>
      <c r="AD242">
        <v>0</v>
      </c>
      <c r="AE242">
        <v>118.2</v>
      </c>
      <c r="AF242">
        <v>0</v>
      </c>
      <c r="AG242">
        <v>0</v>
      </c>
      <c r="AH242">
        <v>0</v>
      </c>
      <c r="AI242">
        <v>0</v>
      </c>
      <c r="AJ242">
        <v>0</v>
      </c>
      <c r="AK242">
        <v>0</v>
      </c>
      <c r="AL242">
        <v>0</v>
      </c>
      <c r="AM242">
        <v>0</v>
      </c>
      <c r="AN242">
        <v>0</v>
      </c>
    </row>
    <row r="243" spans="25:40" x14ac:dyDescent="0.3">
      <c r="Y243">
        <v>0</v>
      </c>
      <c r="Z243">
        <v>0</v>
      </c>
      <c r="AA243">
        <v>0</v>
      </c>
      <c r="AB243">
        <v>0</v>
      </c>
      <c r="AC243">
        <v>0</v>
      </c>
      <c r="AD243">
        <v>0</v>
      </c>
      <c r="AE243">
        <v>0</v>
      </c>
      <c r="AF243">
        <v>0</v>
      </c>
      <c r="AG243">
        <v>0</v>
      </c>
      <c r="AH243">
        <v>0</v>
      </c>
      <c r="AI243">
        <v>0</v>
      </c>
      <c r="AJ243">
        <v>0</v>
      </c>
      <c r="AK243">
        <v>0</v>
      </c>
      <c r="AL243">
        <v>0</v>
      </c>
      <c r="AM243">
        <v>0</v>
      </c>
      <c r="AN243">
        <v>0</v>
      </c>
    </row>
    <row r="244" spans="25:40" x14ac:dyDescent="0.3">
      <c r="Y244">
        <v>187.66666666666666</v>
      </c>
      <c r="Z244">
        <v>0</v>
      </c>
      <c r="AA244">
        <v>0</v>
      </c>
      <c r="AB244">
        <v>0</v>
      </c>
      <c r="AC244">
        <v>185</v>
      </c>
      <c r="AD244">
        <v>0</v>
      </c>
      <c r="AE244">
        <v>0</v>
      </c>
      <c r="AF244">
        <v>0</v>
      </c>
      <c r="AG244">
        <v>185</v>
      </c>
      <c r="AH244">
        <v>188</v>
      </c>
      <c r="AI244">
        <v>0</v>
      </c>
      <c r="AJ244">
        <v>191</v>
      </c>
      <c r="AK244">
        <v>185</v>
      </c>
      <c r="AL244">
        <v>191</v>
      </c>
      <c r="AM244">
        <v>0</v>
      </c>
      <c r="AN244">
        <v>0</v>
      </c>
    </row>
    <row r="245" spans="25:40" x14ac:dyDescent="0.3">
      <c r="Y245">
        <v>175.55555555555554</v>
      </c>
      <c r="Z245">
        <v>0</v>
      </c>
      <c r="AA245">
        <v>0</v>
      </c>
      <c r="AB245">
        <v>0</v>
      </c>
      <c r="AC245">
        <v>0</v>
      </c>
      <c r="AD245">
        <v>0</v>
      </c>
      <c r="AE245">
        <v>0</v>
      </c>
      <c r="AF245">
        <v>0</v>
      </c>
      <c r="AG245">
        <v>186</v>
      </c>
      <c r="AH245">
        <v>171</v>
      </c>
      <c r="AI245">
        <v>0</v>
      </c>
      <c r="AJ245">
        <v>159</v>
      </c>
      <c r="AK245">
        <v>181</v>
      </c>
      <c r="AL245">
        <v>159</v>
      </c>
      <c r="AM245">
        <v>184.33333333333334</v>
      </c>
      <c r="AN245">
        <v>0</v>
      </c>
    </row>
    <row r="246" spans="25:40" x14ac:dyDescent="0.3">
      <c r="Y246">
        <v>178.44444444444446</v>
      </c>
      <c r="Z246">
        <v>0</v>
      </c>
      <c r="AA246">
        <v>0</v>
      </c>
      <c r="AB246">
        <v>0</v>
      </c>
      <c r="AC246">
        <v>0</v>
      </c>
      <c r="AD246">
        <v>0</v>
      </c>
      <c r="AE246">
        <v>0</v>
      </c>
      <c r="AF246">
        <v>0</v>
      </c>
      <c r="AG246">
        <v>191</v>
      </c>
      <c r="AH246">
        <v>0</v>
      </c>
      <c r="AI246">
        <v>192</v>
      </c>
      <c r="AJ246">
        <v>0</v>
      </c>
      <c r="AK246">
        <v>162</v>
      </c>
      <c r="AL246">
        <v>160.5</v>
      </c>
      <c r="AM246">
        <v>186</v>
      </c>
      <c r="AN246">
        <v>186.5</v>
      </c>
    </row>
    <row r="247" spans="25:40" x14ac:dyDescent="0.3">
      <c r="Y247">
        <v>132</v>
      </c>
      <c r="Z247">
        <v>143</v>
      </c>
      <c r="AA247">
        <v>0</v>
      </c>
      <c r="AB247">
        <v>0</v>
      </c>
      <c r="AC247">
        <v>0</v>
      </c>
      <c r="AD247">
        <v>120</v>
      </c>
      <c r="AE247">
        <v>0</v>
      </c>
      <c r="AF247">
        <v>0</v>
      </c>
      <c r="AG247">
        <v>116.33333333333333</v>
      </c>
      <c r="AH247">
        <v>0</v>
      </c>
      <c r="AI247">
        <v>0</v>
      </c>
      <c r="AJ247">
        <v>0</v>
      </c>
      <c r="AK247">
        <v>139</v>
      </c>
      <c r="AL247">
        <v>149</v>
      </c>
      <c r="AM247">
        <v>149</v>
      </c>
      <c r="AN247">
        <v>0</v>
      </c>
    </row>
    <row r="248" spans="25:40" x14ac:dyDescent="0.3">
      <c r="Y248">
        <v>127.88888888888889</v>
      </c>
      <c r="Z248">
        <v>0</v>
      </c>
      <c r="AA248">
        <v>0</v>
      </c>
      <c r="AB248">
        <v>0</v>
      </c>
      <c r="AC248">
        <v>0</v>
      </c>
      <c r="AD248">
        <v>0</v>
      </c>
      <c r="AE248">
        <v>143</v>
      </c>
      <c r="AF248">
        <v>141</v>
      </c>
      <c r="AG248">
        <v>104</v>
      </c>
      <c r="AH248">
        <v>105.5</v>
      </c>
      <c r="AI248">
        <v>0</v>
      </c>
      <c r="AJ248">
        <v>0</v>
      </c>
      <c r="AK248">
        <v>0</v>
      </c>
      <c r="AL248">
        <v>135</v>
      </c>
      <c r="AM248">
        <v>0</v>
      </c>
      <c r="AN248">
        <v>0</v>
      </c>
    </row>
    <row r="249" spans="25:40" x14ac:dyDescent="0.3">
      <c r="Y249">
        <v>117.21513002364067</v>
      </c>
      <c r="Z249">
        <v>138.98305084745763</v>
      </c>
      <c r="AA249">
        <v>128.43243243243242</v>
      </c>
      <c r="AB249">
        <v>126.60526315789474</v>
      </c>
      <c r="AC249">
        <v>123.79411764705883</v>
      </c>
      <c r="AD249">
        <v>124.92307692307692</v>
      </c>
      <c r="AE249">
        <v>124.02898550724638</v>
      </c>
      <c r="AF249">
        <v>112.34693877551021</v>
      </c>
      <c r="AG249">
        <v>112.37593984962406</v>
      </c>
      <c r="AH249">
        <v>109.69166666666666</v>
      </c>
      <c r="AI249">
        <v>105.2905982905983</v>
      </c>
      <c r="AJ249">
        <v>121.6875</v>
      </c>
      <c r="AK249">
        <v>123.5</v>
      </c>
      <c r="AL249">
        <v>125.46666666666667</v>
      </c>
      <c r="AM249">
        <v>123.2</v>
      </c>
      <c r="AN249">
        <v>141.80000000000001</v>
      </c>
    </row>
    <row r="250" spans="25:40" x14ac:dyDescent="0.3">
      <c r="Y250">
        <v>120.22222222222223</v>
      </c>
      <c r="Z250">
        <v>0</v>
      </c>
      <c r="AA250">
        <v>122</v>
      </c>
      <c r="AB250">
        <v>0</v>
      </c>
      <c r="AC250">
        <v>0</v>
      </c>
      <c r="AD250">
        <v>0</v>
      </c>
      <c r="AE250">
        <v>0</v>
      </c>
      <c r="AF250">
        <v>113</v>
      </c>
      <c r="AG250">
        <v>0</v>
      </c>
      <c r="AH250">
        <v>0</v>
      </c>
      <c r="AI250">
        <v>138</v>
      </c>
      <c r="AJ250">
        <v>112</v>
      </c>
      <c r="AK250">
        <v>112</v>
      </c>
      <c r="AL250">
        <v>122</v>
      </c>
      <c r="AM250">
        <v>0</v>
      </c>
      <c r="AN250">
        <v>0</v>
      </c>
    </row>
    <row r="251" spans="25:40" x14ac:dyDescent="0.3">
      <c r="Y251">
        <v>149.55555555555554</v>
      </c>
      <c r="Z251">
        <v>158</v>
      </c>
      <c r="AA251">
        <v>149</v>
      </c>
      <c r="AB251">
        <v>0</v>
      </c>
      <c r="AC251">
        <v>0</v>
      </c>
      <c r="AD251">
        <v>158</v>
      </c>
      <c r="AE251">
        <v>138.5</v>
      </c>
      <c r="AF251">
        <v>0</v>
      </c>
      <c r="AG251">
        <v>150</v>
      </c>
      <c r="AH251">
        <v>157</v>
      </c>
      <c r="AI251">
        <v>0</v>
      </c>
      <c r="AJ251">
        <v>0</v>
      </c>
      <c r="AK251">
        <v>148</v>
      </c>
      <c r="AL251">
        <v>0</v>
      </c>
      <c r="AM251">
        <v>0</v>
      </c>
      <c r="AN251">
        <v>0</v>
      </c>
    </row>
    <row r="252" spans="25:40" x14ac:dyDescent="0.3">
      <c r="Y252">
        <v>127.11111111111111</v>
      </c>
      <c r="Z252">
        <v>0</v>
      </c>
      <c r="AA252">
        <v>0</v>
      </c>
      <c r="AB252">
        <v>0</v>
      </c>
      <c r="AC252">
        <v>127</v>
      </c>
      <c r="AD252">
        <v>127</v>
      </c>
      <c r="AE252">
        <v>127.5</v>
      </c>
      <c r="AF252">
        <v>127</v>
      </c>
      <c r="AG252">
        <v>0</v>
      </c>
      <c r="AH252">
        <v>0</v>
      </c>
      <c r="AI252">
        <v>127</v>
      </c>
      <c r="AJ252">
        <v>0</v>
      </c>
      <c r="AK252">
        <v>0</v>
      </c>
      <c r="AL252">
        <v>0</v>
      </c>
      <c r="AM252">
        <v>0</v>
      </c>
      <c r="AN252">
        <v>0</v>
      </c>
    </row>
    <row r="253" spans="25:40" x14ac:dyDescent="0.3">
      <c r="Y253">
        <v>0</v>
      </c>
      <c r="Z253">
        <v>0</v>
      </c>
      <c r="AA253">
        <v>0</v>
      </c>
      <c r="AB253">
        <v>0</v>
      </c>
      <c r="AC253">
        <v>0</v>
      </c>
      <c r="AD253">
        <v>0</v>
      </c>
      <c r="AE253">
        <v>0</v>
      </c>
      <c r="AF253">
        <v>0</v>
      </c>
      <c r="AG253">
        <v>0</v>
      </c>
      <c r="AH253">
        <v>0</v>
      </c>
      <c r="AI253">
        <v>0</v>
      </c>
      <c r="AJ253">
        <v>0</v>
      </c>
      <c r="AK253">
        <v>0</v>
      </c>
      <c r="AL253">
        <v>0</v>
      </c>
      <c r="AM253">
        <v>0</v>
      </c>
      <c r="AN253">
        <v>0</v>
      </c>
    </row>
    <row r="254" spans="25:40" x14ac:dyDescent="0.3">
      <c r="Y254">
        <v>223</v>
      </c>
      <c r="Z254">
        <v>0</v>
      </c>
      <c r="AA254">
        <v>0</v>
      </c>
      <c r="AB254">
        <v>0</v>
      </c>
      <c r="AC254">
        <v>0</v>
      </c>
      <c r="AD254">
        <v>0</v>
      </c>
      <c r="AE254">
        <v>0</v>
      </c>
      <c r="AF254">
        <v>0</v>
      </c>
      <c r="AG254">
        <v>0</v>
      </c>
      <c r="AH254">
        <v>0</v>
      </c>
      <c r="AI254">
        <v>0</v>
      </c>
      <c r="AJ254">
        <v>0</v>
      </c>
      <c r="AK254">
        <v>225</v>
      </c>
      <c r="AL254">
        <v>0</v>
      </c>
      <c r="AM254">
        <v>0</v>
      </c>
      <c r="AN254">
        <v>228</v>
      </c>
    </row>
    <row r="255" spans="25:40" x14ac:dyDescent="0.3">
      <c r="Y255">
        <v>95</v>
      </c>
      <c r="Z255">
        <v>0</v>
      </c>
      <c r="AA255">
        <v>0</v>
      </c>
      <c r="AB255">
        <v>0</v>
      </c>
      <c r="AC255">
        <v>0</v>
      </c>
      <c r="AD255">
        <v>0</v>
      </c>
      <c r="AE255">
        <v>0</v>
      </c>
      <c r="AF255">
        <v>0</v>
      </c>
      <c r="AG255">
        <v>0</v>
      </c>
      <c r="AH255">
        <v>0</v>
      </c>
      <c r="AI255">
        <v>95</v>
      </c>
      <c r="AJ255">
        <v>95</v>
      </c>
      <c r="AK255">
        <v>95</v>
      </c>
      <c r="AL255">
        <v>0</v>
      </c>
      <c r="AM255">
        <v>0</v>
      </c>
      <c r="AN255">
        <v>0</v>
      </c>
    </row>
    <row r="256" spans="25:40" x14ac:dyDescent="0.3">
      <c r="Y256">
        <v>129</v>
      </c>
      <c r="Z256">
        <v>0</v>
      </c>
      <c r="AA256">
        <v>0</v>
      </c>
      <c r="AB256">
        <v>0</v>
      </c>
      <c r="AC256">
        <v>0</v>
      </c>
      <c r="AD256">
        <v>0</v>
      </c>
      <c r="AE256">
        <v>0</v>
      </c>
      <c r="AF256">
        <v>129</v>
      </c>
      <c r="AG256">
        <v>0</v>
      </c>
      <c r="AH256">
        <v>0</v>
      </c>
      <c r="AI256">
        <v>0</v>
      </c>
      <c r="AJ256">
        <v>0</v>
      </c>
      <c r="AK256">
        <v>0</v>
      </c>
      <c r="AL256">
        <v>129</v>
      </c>
      <c r="AM256">
        <v>0</v>
      </c>
      <c r="AN256">
        <v>0</v>
      </c>
    </row>
    <row r="257" spans="25:40" x14ac:dyDescent="0.3">
      <c r="Y257">
        <v>124.75</v>
      </c>
      <c r="Z257">
        <v>0</v>
      </c>
      <c r="AA257">
        <v>0</v>
      </c>
      <c r="AB257">
        <v>116</v>
      </c>
      <c r="AC257">
        <v>0</v>
      </c>
      <c r="AD257">
        <v>0</v>
      </c>
      <c r="AE257">
        <v>0</v>
      </c>
      <c r="AF257">
        <v>0</v>
      </c>
      <c r="AG257">
        <v>0</v>
      </c>
      <c r="AH257">
        <v>0</v>
      </c>
      <c r="AI257">
        <v>142</v>
      </c>
      <c r="AJ257">
        <v>0</v>
      </c>
      <c r="AK257">
        <v>113.5</v>
      </c>
      <c r="AL257">
        <v>111.33333333333333</v>
      </c>
      <c r="AM257">
        <v>0</v>
      </c>
      <c r="AN257">
        <v>0</v>
      </c>
    </row>
    <row r="258" spans="25:40" x14ac:dyDescent="0.3">
      <c r="Y258">
        <v>158.375</v>
      </c>
      <c r="Z258">
        <v>169</v>
      </c>
      <c r="AA258">
        <v>192</v>
      </c>
      <c r="AB258">
        <v>0</v>
      </c>
      <c r="AC258">
        <v>0</v>
      </c>
      <c r="AD258">
        <v>0</v>
      </c>
      <c r="AE258">
        <v>0</v>
      </c>
      <c r="AF258">
        <v>0</v>
      </c>
      <c r="AG258">
        <v>147.5</v>
      </c>
      <c r="AH258">
        <v>0</v>
      </c>
      <c r="AI258">
        <v>0</v>
      </c>
      <c r="AJ258">
        <v>153</v>
      </c>
      <c r="AK258">
        <v>163</v>
      </c>
      <c r="AL258">
        <v>0</v>
      </c>
      <c r="AM258">
        <v>0</v>
      </c>
      <c r="AN258">
        <v>0</v>
      </c>
    </row>
    <row r="259" spans="25:40" x14ac:dyDescent="0.3">
      <c r="Y259">
        <v>138.5</v>
      </c>
      <c r="Z259">
        <v>0</v>
      </c>
      <c r="AA259">
        <v>0</v>
      </c>
      <c r="AB259">
        <v>135</v>
      </c>
      <c r="AC259">
        <v>0</v>
      </c>
      <c r="AD259">
        <v>152</v>
      </c>
      <c r="AE259">
        <v>0</v>
      </c>
      <c r="AF259">
        <v>0</v>
      </c>
      <c r="AG259">
        <v>124</v>
      </c>
      <c r="AH259">
        <v>0</v>
      </c>
      <c r="AI259">
        <v>124</v>
      </c>
      <c r="AJ259">
        <v>134</v>
      </c>
      <c r="AK259">
        <v>0</v>
      </c>
      <c r="AL259">
        <v>0</v>
      </c>
      <c r="AM259">
        <v>0</v>
      </c>
      <c r="AN259">
        <v>0</v>
      </c>
    </row>
    <row r="260" spans="25:40" x14ac:dyDescent="0.3">
      <c r="Y260">
        <v>142</v>
      </c>
      <c r="Z260">
        <v>138</v>
      </c>
      <c r="AA260">
        <v>0</v>
      </c>
      <c r="AB260">
        <v>0</v>
      </c>
      <c r="AC260">
        <v>160</v>
      </c>
      <c r="AD260">
        <v>134</v>
      </c>
      <c r="AE260">
        <v>0</v>
      </c>
      <c r="AF260">
        <v>130</v>
      </c>
      <c r="AG260">
        <v>0</v>
      </c>
      <c r="AH260">
        <v>134</v>
      </c>
      <c r="AI260">
        <v>139</v>
      </c>
      <c r="AJ260">
        <v>150.5</v>
      </c>
      <c r="AK260">
        <v>0</v>
      </c>
      <c r="AL260">
        <v>0</v>
      </c>
      <c r="AM260">
        <v>0</v>
      </c>
      <c r="AN260">
        <v>0</v>
      </c>
    </row>
    <row r="261" spans="25:40" x14ac:dyDescent="0.3">
      <c r="Y261">
        <v>111.625</v>
      </c>
      <c r="Z261">
        <v>0</v>
      </c>
      <c r="AA261">
        <v>117</v>
      </c>
      <c r="AB261">
        <v>114</v>
      </c>
      <c r="AC261">
        <v>0</v>
      </c>
      <c r="AD261">
        <v>0</v>
      </c>
      <c r="AE261">
        <v>0</v>
      </c>
      <c r="AF261">
        <v>0</v>
      </c>
      <c r="AG261">
        <v>102</v>
      </c>
      <c r="AH261">
        <v>0</v>
      </c>
      <c r="AI261">
        <v>109</v>
      </c>
      <c r="AJ261">
        <v>119</v>
      </c>
      <c r="AK261">
        <v>0</v>
      </c>
      <c r="AL261">
        <v>0</v>
      </c>
      <c r="AM261">
        <v>0</v>
      </c>
      <c r="AN261">
        <v>0</v>
      </c>
    </row>
    <row r="262" spans="25:40" x14ac:dyDescent="0.3">
      <c r="Y262">
        <v>110.5</v>
      </c>
      <c r="Z262">
        <v>116</v>
      </c>
      <c r="AA262">
        <v>114</v>
      </c>
      <c r="AB262">
        <v>0</v>
      </c>
      <c r="AC262">
        <v>0</v>
      </c>
      <c r="AD262">
        <v>102</v>
      </c>
      <c r="AE262">
        <v>0</v>
      </c>
      <c r="AF262">
        <v>0</v>
      </c>
      <c r="AG262">
        <v>116</v>
      </c>
      <c r="AH262">
        <v>0</v>
      </c>
      <c r="AI262">
        <v>115</v>
      </c>
      <c r="AJ262">
        <v>103</v>
      </c>
      <c r="AK262">
        <v>0</v>
      </c>
      <c r="AL262">
        <v>0</v>
      </c>
      <c r="AM262">
        <v>0</v>
      </c>
      <c r="AN262">
        <v>0</v>
      </c>
    </row>
    <row r="263" spans="25:40" x14ac:dyDescent="0.3">
      <c r="Y263">
        <v>152.25</v>
      </c>
      <c r="Z263">
        <v>0</v>
      </c>
      <c r="AA263">
        <v>0</v>
      </c>
      <c r="AB263">
        <v>0</v>
      </c>
      <c r="AC263">
        <v>152</v>
      </c>
      <c r="AD263">
        <v>174</v>
      </c>
      <c r="AE263">
        <v>174</v>
      </c>
      <c r="AF263">
        <v>0</v>
      </c>
      <c r="AG263">
        <v>135</v>
      </c>
      <c r="AH263">
        <v>0</v>
      </c>
      <c r="AI263">
        <v>148</v>
      </c>
      <c r="AJ263">
        <v>148</v>
      </c>
      <c r="AK263">
        <v>0</v>
      </c>
      <c r="AL263">
        <v>0</v>
      </c>
      <c r="AM263">
        <v>0</v>
      </c>
      <c r="AN263">
        <v>0</v>
      </c>
    </row>
    <row r="264" spans="25:40" x14ac:dyDescent="0.3">
      <c r="Y264">
        <v>162</v>
      </c>
      <c r="Z264">
        <v>0</v>
      </c>
      <c r="AA264">
        <v>0</v>
      </c>
      <c r="AB264">
        <v>0</v>
      </c>
      <c r="AC264">
        <v>0</v>
      </c>
      <c r="AD264">
        <v>162</v>
      </c>
      <c r="AE264">
        <v>162</v>
      </c>
      <c r="AF264">
        <v>0</v>
      </c>
      <c r="AG264">
        <v>0</v>
      </c>
      <c r="AH264">
        <v>0</v>
      </c>
      <c r="AI264">
        <v>0</v>
      </c>
      <c r="AJ264">
        <v>0</v>
      </c>
      <c r="AK264">
        <v>0</v>
      </c>
      <c r="AL264">
        <v>0</v>
      </c>
      <c r="AM264">
        <v>0</v>
      </c>
      <c r="AN264">
        <v>0</v>
      </c>
    </row>
    <row r="265" spans="25:40" x14ac:dyDescent="0.3">
      <c r="Y265">
        <v>168.5</v>
      </c>
      <c r="Z265">
        <v>0</v>
      </c>
      <c r="AA265">
        <v>0</v>
      </c>
      <c r="AB265">
        <v>0</v>
      </c>
      <c r="AC265">
        <v>0</v>
      </c>
      <c r="AD265">
        <v>0</v>
      </c>
      <c r="AE265">
        <v>167</v>
      </c>
      <c r="AF265">
        <v>179</v>
      </c>
      <c r="AG265">
        <v>0</v>
      </c>
      <c r="AH265">
        <v>0</v>
      </c>
      <c r="AI265">
        <v>0</v>
      </c>
      <c r="AJ265">
        <v>0</v>
      </c>
      <c r="AK265">
        <v>0</v>
      </c>
      <c r="AL265">
        <v>0</v>
      </c>
      <c r="AM265">
        <v>0</v>
      </c>
      <c r="AN265">
        <v>0</v>
      </c>
    </row>
    <row r="266" spans="25:40" x14ac:dyDescent="0.3">
      <c r="Y266">
        <v>120.875</v>
      </c>
      <c r="Z266">
        <v>179</v>
      </c>
      <c r="AA266">
        <v>0</v>
      </c>
      <c r="AB266">
        <v>0</v>
      </c>
      <c r="AC266">
        <v>0</v>
      </c>
      <c r="AD266">
        <v>0</v>
      </c>
      <c r="AE266">
        <v>105.33333333333333</v>
      </c>
      <c r="AF266">
        <v>0</v>
      </c>
      <c r="AG266">
        <v>118</v>
      </c>
      <c r="AH266">
        <v>118</v>
      </c>
      <c r="AI266">
        <v>0</v>
      </c>
      <c r="AJ266">
        <v>0</v>
      </c>
      <c r="AK266">
        <v>0</v>
      </c>
      <c r="AL266">
        <v>0</v>
      </c>
      <c r="AM266">
        <v>0</v>
      </c>
      <c r="AN266">
        <v>0</v>
      </c>
    </row>
    <row r="267" spans="25:40" x14ac:dyDescent="0.3">
      <c r="Y267">
        <v>41</v>
      </c>
      <c r="Z267">
        <v>0</v>
      </c>
      <c r="AA267">
        <v>43</v>
      </c>
      <c r="AB267">
        <v>41</v>
      </c>
      <c r="AC267">
        <v>38</v>
      </c>
      <c r="AD267">
        <v>40</v>
      </c>
      <c r="AE267">
        <v>46</v>
      </c>
      <c r="AF267">
        <v>0</v>
      </c>
      <c r="AG267">
        <v>0</v>
      </c>
      <c r="AH267">
        <v>0</v>
      </c>
      <c r="AI267">
        <v>0</v>
      </c>
      <c r="AJ267">
        <v>0</v>
      </c>
      <c r="AK267">
        <v>0</v>
      </c>
      <c r="AL267">
        <v>0</v>
      </c>
      <c r="AM267">
        <v>0</v>
      </c>
      <c r="AN267">
        <v>0</v>
      </c>
    </row>
    <row r="268" spans="25:40" x14ac:dyDescent="0.3">
      <c r="Y268">
        <v>131.25</v>
      </c>
      <c r="Z268">
        <v>140.5</v>
      </c>
      <c r="AA268">
        <v>0</v>
      </c>
      <c r="AB268">
        <v>0</v>
      </c>
      <c r="AC268">
        <v>0</v>
      </c>
      <c r="AD268">
        <v>165</v>
      </c>
      <c r="AE268">
        <v>140</v>
      </c>
      <c r="AF268">
        <v>116</v>
      </c>
      <c r="AG268">
        <v>116</v>
      </c>
      <c r="AH268">
        <v>0</v>
      </c>
      <c r="AI268">
        <v>0</v>
      </c>
      <c r="AJ268">
        <v>0</v>
      </c>
      <c r="AK268">
        <v>0</v>
      </c>
      <c r="AL268">
        <v>0</v>
      </c>
      <c r="AM268">
        <v>0</v>
      </c>
      <c r="AN268">
        <v>0</v>
      </c>
    </row>
    <row r="269" spans="25:40" x14ac:dyDescent="0.3">
      <c r="Y269">
        <v>100.75</v>
      </c>
      <c r="Z269">
        <v>0</v>
      </c>
      <c r="AA269">
        <v>0</v>
      </c>
      <c r="AB269">
        <v>0</v>
      </c>
      <c r="AC269">
        <v>0</v>
      </c>
      <c r="AD269">
        <v>0</v>
      </c>
      <c r="AE269">
        <v>0</v>
      </c>
      <c r="AF269">
        <v>113.5</v>
      </c>
      <c r="AG269">
        <v>0</v>
      </c>
      <c r="AH269">
        <v>94.666666666666671</v>
      </c>
      <c r="AI269">
        <v>98.333333333333329</v>
      </c>
      <c r="AJ269">
        <v>0</v>
      </c>
      <c r="AK269">
        <v>0</v>
      </c>
      <c r="AL269">
        <v>0</v>
      </c>
      <c r="AM269">
        <v>0</v>
      </c>
      <c r="AN269">
        <v>0</v>
      </c>
    </row>
    <row r="270" spans="25:40" x14ac:dyDescent="0.3">
      <c r="Y270">
        <v>173.5</v>
      </c>
      <c r="Z270">
        <v>179</v>
      </c>
      <c r="AA270">
        <v>174</v>
      </c>
      <c r="AB270">
        <v>172</v>
      </c>
      <c r="AC270">
        <v>178</v>
      </c>
      <c r="AD270">
        <v>170.5</v>
      </c>
      <c r="AE270">
        <v>0</v>
      </c>
      <c r="AF270">
        <v>0</v>
      </c>
      <c r="AG270">
        <v>0</v>
      </c>
      <c r="AH270">
        <v>0</v>
      </c>
      <c r="AI270">
        <v>0</v>
      </c>
      <c r="AJ270">
        <v>0</v>
      </c>
      <c r="AK270">
        <v>0</v>
      </c>
      <c r="AL270">
        <v>0</v>
      </c>
      <c r="AM270">
        <v>0</v>
      </c>
      <c r="AN270">
        <v>0</v>
      </c>
    </row>
    <row r="271" spans="25:40" x14ac:dyDescent="0.3">
      <c r="Y271">
        <v>0</v>
      </c>
      <c r="Z271">
        <v>0</v>
      </c>
      <c r="AA271">
        <v>0</v>
      </c>
      <c r="AB271">
        <v>0</v>
      </c>
      <c r="AC271">
        <v>0</v>
      </c>
      <c r="AD271">
        <v>0</v>
      </c>
      <c r="AE271">
        <v>0</v>
      </c>
      <c r="AF271">
        <v>0</v>
      </c>
      <c r="AG271">
        <v>0</v>
      </c>
      <c r="AH271">
        <v>0</v>
      </c>
      <c r="AI271">
        <v>0</v>
      </c>
      <c r="AJ271">
        <v>0</v>
      </c>
      <c r="AK271">
        <v>0</v>
      </c>
      <c r="AL271">
        <v>0</v>
      </c>
      <c r="AM271">
        <v>0</v>
      </c>
      <c r="AN271">
        <v>0</v>
      </c>
    </row>
    <row r="272" spans="25:40" x14ac:dyDescent="0.3">
      <c r="Y272">
        <v>0</v>
      </c>
      <c r="Z272">
        <v>0</v>
      </c>
      <c r="AA272">
        <v>0</v>
      </c>
      <c r="AB272">
        <v>0</v>
      </c>
      <c r="AC272">
        <v>0</v>
      </c>
      <c r="AD272">
        <v>0</v>
      </c>
      <c r="AE272">
        <v>0</v>
      </c>
      <c r="AF272">
        <v>0</v>
      </c>
      <c r="AG272">
        <v>0</v>
      </c>
      <c r="AH272">
        <v>0</v>
      </c>
      <c r="AI272">
        <v>0</v>
      </c>
      <c r="AJ272">
        <v>0</v>
      </c>
      <c r="AK272">
        <v>0</v>
      </c>
      <c r="AL272">
        <v>0</v>
      </c>
      <c r="AM272">
        <v>0</v>
      </c>
      <c r="AN272">
        <v>0</v>
      </c>
    </row>
    <row r="273" spans="25:40" x14ac:dyDescent="0.3">
      <c r="Y273">
        <v>205.14285714285714</v>
      </c>
      <c r="Z273">
        <v>0</v>
      </c>
      <c r="AA273">
        <v>0</v>
      </c>
      <c r="AB273">
        <v>0</v>
      </c>
      <c r="AC273">
        <v>215</v>
      </c>
      <c r="AD273">
        <v>0</v>
      </c>
      <c r="AE273">
        <v>0</v>
      </c>
      <c r="AF273">
        <v>0</v>
      </c>
      <c r="AG273">
        <v>0</v>
      </c>
      <c r="AH273">
        <v>215</v>
      </c>
      <c r="AI273">
        <v>0</v>
      </c>
      <c r="AJ273">
        <v>0</v>
      </c>
      <c r="AK273">
        <v>0</v>
      </c>
      <c r="AL273">
        <v>0</v>
      </c>
      <c r="AM273">
        <v>0</v>
      </c>
      <c r="AN273">
        <v>0</v>
      </c>
    </row>
    <row r="274" spans="25:40" x14ac:dyDescent="0.3">
      <c r="Y274">
        <v>155.42857142857142</v>
      </c>
      <c r="Z274">
        <v>0</v>
      </c>
      <c r="AA274">
        <v>0</v>
      </c>
      <c r="AB274">
        <v>0</v>
      </c>
      <c r="AC274">
        <v>0</v>
      </c>
      <c r="AD274">
        <v>0</v>
      </c>
      <c r="AE274">
        <v>0</v>
      </c>
      <c r="AF274">
        <v>0</v>
      </c>
      <c r="AG274">
        <v>186</v>
      </c>
      <c r="AH274">
        <v>0</v>
      </c>
      <c r="AI274">
        <v>134</v>
      </c>
      <c r="AJ274">
        <v>0</v>
      </c>
      <c r="AK274">
        <v>0</v>
      </c>
      <c r="AL274">
        <v>0</v>
      </c>
      <c r="AM274">
        <v>134</v>
      </c>
      <c r="AN274">
        <v>186</v>
      </c>
    </row>
    <row r="275" spans="25:40" x14ac:dyDescent="0.3">
      <c r="Y275">
        <v>119.57142857142857</v>
      </c>
      <c r="Z275">
        <v>0</v>
      </c>
      <c r="AA275">
        <v>0</v>
      </c>
      <c r="AB275">
        <v>0</v>
      </c>
      <c r="AC275">
        <v>0</v>
      </c>
      <c r="AD275">
        <v>0</v>
      </c>
      <c r="AE275">
        <v>0</v>
      </c>
      <c r="AF275">
        <v>0</v>
      </c>
      <c r="AG275">
        <v>149</v>
      </c>
      <c r="AH275">
        <v>105.5</v>
      </c>
      <c r="AI275">
        <v>109</v>
      </c>
      <c r="AJ275">
        <v>0</v>
      </c>
      <c r="AK275">
        <v>129.5</v>
      </c>
      <c r="AL275">
        <v>0</v>
      </c>
      <c r="AM275">
        <v>0</v>
      </c>
      <c r="AN275">
        <v>0</v>
      </c>
    </row>
    <row r="276" spans="25:40" x14ac:dyDescent="0.3">
      <c r="Y276">
        <v>112.71428571428571</v>
      </c>
      <c r="Z276">
        <v>0</v>
      </c>
      <c r="AA276">
        <v>0</v>
      </c>
      <c r="AB276">
        <v>0</v>
      </c>
      <c r="AC276">
        <v>0</v>
      </c>
      <c r="AD276">
        <v>140</v>
      </c>
      <c r="AE276">
        <v>0</v>
      </c>
      <c r="AF276">
        <v>105</v>
      </c>
      <c r="AG276">
        <v>105</v>
      </c>
      <c r="AH276">
        <v>0</v>
      </c>
      <c r="AI276">
        <v>0</v>
      </c>
      <c r="AJ276">
        <v>116</v>
      </c>
      <c r="AK276">
        <v>0</v>
      </c>
      <c r="AL276">
        <v>109</v>
      </c>
      <c r="AM276">
        <v>0</v>
      </c>
      <c r="AN276">
        <v>0</v>
      </c>
    </row>
    <row r="277" spans="25:40" x14ac:dyDescent="0.3">
      <c r="Y277">
        <v>324.42857142857144</v>
      </c>
      <c r="Z277">
        <v>0</v>
      </c>
      <c r="AA277">
        <v>0</v>
      </c>
      <c r="AB277">
        <v>0</v>
      </c>
      <c r="AC277">
        <v>0</v>
      </c>
      <c r="AD277">
        <v>0</v>
      </c>
      <c r="AE277">
        <v>294</v>
      </c>
      <c r="AF277">
        <v>0</v>
      </c>
      <c r="AG277">
        <v>0</v>
      </c>
      <c r="AH277">
        <v>0</v>
      </c>
      <c r="AI277">
        <v>0</v>
      </c>
      <c r="AJ277">
        <v>0</v>
      </c>
      <c r="AK277">
        <v>0</v>
      </c>
      <c r="AL277">
        <v>507</v>
      </c>
      <c r="AM277">
        <v>0</v>
      </c>
      <c r="AN277">
        <v>0</v>
      </c>
    </row>
    <row r="278" spans="25:40" x14ac:dyDescent="0.3">
      <c r="Y278">
        <v>209</v>
      </c>
      <c r="Z278">
        <v>0</v>
      </c>
      <c r="AA278">
        <v>0</v>
      </c>
      <c r="AB278">
        <v>0</v>
      </c>
      <c r="AC278">
        <v>0</v>
      </c>
      <c r="AD278">
        <v>0</v>
      </c>
      <c r="AE278">
        <v>0</v>
      </c>
      <c r="AF278">
        <v>0</v>
      </c>
      <c r="AG278">
        <v>0</v>
      </c>
      <c r="AH278">
        <v>209</v>
      </c>
      <c r="AI278">
        <v>0</v>
      </c>
      <c r="AJ278">
        <v>209</v>
      </c>
      <c r="AK278">
        <v>209</v>
      </c>
      <c r="AL278">
        <v>0</v>
      </c>
      <c r="AM278">
        <v>0</v>
      </c>
      <c r="AN278">
        <v>0</v>
      </c>
    </row>
    <row r="279" spans="25:40" x14ac:dyDescent="0.3">
      <c r="Y279">
        <v>160.71428571428572</v>
      </c>
      <c r="Z279">
        <v>0</v>
      </c>
      <c r="AA279">
        <v>0</v>
      </c>
      <c r="AB279">
        <v>0</v>
      </c>
      <c r="AC279">
        <v>155</v>
      </c>
      <c r="AD279">
        <v>0</v>
      </c>
      <c r="AE279">
        <v>0</v>
      </c>
      <c r="AF279">
        <v>174</v>
      </c>
      <c r="AG279">
        <v>156</v>
      </c>
      <c r="AH279">
        <v>155</v>
      </c>
      <c r="AI279">
        <v>0</v>
      </c>
      <c r="AJ279">
        <v>155</v>
      </c>
      <c r="AK279">
        <v>0</v>
      </c>
      <c r="AL279">
        <v>0</v>
      </c>
      <c r="AM279">
        <v>0</v>
      </c>
      <c r="AN279">
        <v>0</v>
      </c>
    </row>
    <row r="280" spans="25:40" x14ac:dyDescent="0.3">
      <c r="Y280">
        <v>197.2</v>
      </c>
      <c r="Z280">
        <v>0</v>
      </c>
      <c r="AA280">
        <v>0</v>
      </c>
      <c r="AB280">
        <v>0</v>
      </c>
      <c r="AC280">
        <v>0</v>
      </c>
      <c r="AD280">
        <v>0</v>
      </c>
      <c r="AE280">
        <v>0</v>
      </c>
      <c r="AF280">
        <v>0</v>
      </c>
      <c r="AG280">
        <v>208</v>
      </c>
      <c r="AH280">
        <v>0</v>
      </c>
      <c r="AI280">
        <v>196</v>
      </c>
      <c r="AJ280">
        <v>196</v>
      </c>
      <c r="AK280">
        <v>0</v>
      </c>
      <c r="AL280">
        <v>0</v>
      </c>
      <c r="AM280">
        <v>0</v>
      </c>
      <c r="AN280">
        <v>0</v>
      </c>
    </row>
    <row r="281" spans="25:40" x14ac:dyDescent="0.3">
      <c r="Y281">
        <v>45.428571428571431</v>
      </c>
      <c r="Z281">
        <v>0</v>
      </c>
      <c r="AA281">
        <v>0</v>
      </c>
      <c r="AB281">
        <v>46</v>
      </c>
      <c r="AC281">
        <v>0</v>
      </c>
      <c r="AD281">
        <v>0</v>
      </c>
      <c r="AE281">
        <v>46</v>
      </c>
      <c r="AF281">
        <v>0</v>
      </c>
      <c r="AG281">
        <v>0</v>
      </c>
      <c r="AH281">
        <v>0</v>
      </c>
      <c r="AI281">
        <v>44</v>
      </c>
      <c r="AJ281">
        <v>44</v>
      </c>
      <c r="AK281">
        <v>0</v>
      </c>
      <c r="AL281">
        <v>0</v>
      </c>
      <c r="AM281">
        <v>0</v>
      </c>
      <c r="AN281">
        <v>0</v>
      </c>
    </row>
    <row r="282" spans="25:40" x14ac:dyDescent="0.3">
      <c r="Y282">
        <v>122.33333333333333</v>
      </c>
      <c r="Z282">
        <v>0</v>
      </c>
      <c r="AA282">
        <v>0</v>
      </c>
      <c r="AB282">
        <v>0</v>
      </c>
      <c r="AC282">
        <v>0</v>
      </c>
      <c r="AD282">
        <v>0</v>
      </c>
      <c r="AE282">
        <v>0</v>
      </c>
      <c r="AF282">
        <v>124</v>
      </c>
      <c r="AG282">
        <v>119</v>
      </c>
      <c r="AH282">
        <v>109</v>
      </c>
      <c r="AI282">
        <v>0</v>
      </c>
      <c r="AJ282">
        <v>129</v>
      </c>
      <c r="AK282">
        <v>139</v>
      </c>
      <c r="AL282">
        <v>0</v>
      </c>
      <c r="AM282">
        <v>0</v>
      </c>
      <c r="AN282">
        <v>0</v>
      </c>
    </row>
    <row r="283" spans="25:40" x14ac:dyDescent="0.3">
      <c r="Y283">
        <v>163.28571428571428</v>
      </c>
      <c r="Z283">
        <v>149</v>
      </c>
      <c r="AA283">
        <v>0</v>
      </c>
      <c r="AB283">
        <v>0</v>
      </c>
      <c r="AC283">
        <v>0</v>
      </c>
      <c r="AD283">
        <v>0</v>
      </c>
      <c r="AE283">
        <v>0</v>
      </c>
      <c r="AF283">
        <v>136</v>
      </c>
      <c r="AG283">
        <v>0</v>
      </c>
      <c r="AH283">
        <v>219</v>
      </c>
      <c r="AI283">
        <v>152</v>
      </c>
      <c r="AJ283">
        <v>0</v>
      </c>
      <c r="AK283">
        <v>215</v>
      </c>
      <c r="AL283">
        <v>0</v>
      </c>
      <c r="AM283">
        <v>0</v>
      </c>
      <c r="AN283">
        <v>0</v>
      </c>
    </row>
    <row r="284" spans="25:40" x14ac:dyDescent="0.3">
      <c r="Y284">
        <v>146.28571428571428</v>
      </c>
      <c r="Z284">
        <v>138.66666666666666</v>
      </c>
      <c r="AA284">
        <v>137</v>
      </c>
      <c r="AB284">
        <v>156</v>
      </c>
      <c r="AC284">
        <v>0</v>
      </c>
      <c r="AD284">
        <v>0</v>
      </c>
      <c r="AE284">
        <v>159</v>
      </c>
      <c r="AF284">
        <v>0</v>
      </c>
      <c r="AG284">
        <v>0</v>
      </c>
      <c r="AH284">
        <v>0</v>
      </c>
      <c r="AI284">
        <v>0</v>
      </c>
      <c r="AJ284">
        <v>0</v>
      </c>
      <c r="AK284">
        <v>0</v>
      </c>
      <c r="AL284">
        <v>0</v>
      </c>
      <c r="AM284">
        <v>0</v>
      </c>
      <c r="AN284">
        <v>0</v>
      </c>
    </row>
    <row r="285" spans="25:40" x14ac:dyDescent="0.3">
      <c r="Y285">
        <v>104.14285714285714</v>
      </c>
      <c r="Z285">
        <v>0</v>
      </c>
      <c r="AA285">
        <v>0</v>
      </c>
      <c r="AB285">
        <v>0</v>
      </c>
      <c r="AC285">
        <v>0</v>
      </c>
      <c r="AD285">
        <v>105</v>
      </c>
      <c r="AE285">
        <v>106</v>
      </c>
      <c r="AF285">
        <v>105</v>
      </c>
      <c r="AG285">
        <v>106</v>
      </c>
      <c r="AH285">
        <v>101</v>
      </c>
      <c r="AI285">
        <v>101</v>
      </c>
      <c r="AJ285">
        <v>0</v>
      </c>
      <c r="AK285">
        <v>0</v>
      </c>
      <c r="AL285">
        <v>0</v>
      </c>
      <c r="AM285">
        <v>0</v>
      </c>
      <c r="AN285">
        <v>0</v>
      </c>
    </row>
    <row r="286" spans="25:40" x14ac:dyDescent="0.3">
      <c r="Y286">
        <v>37.428571428571431</v>
      </c>
      <c r="Z286">
        <v>36</v>
      </c>
      <c r="AA286">
        <v>38</v>
      </c>
      <c r="AB286">
        <v>0</v>
      </c>
      <c r="AC286">
        <v>0</v>
      </c>
      <c r="AD286">
        <v>36</v>
      </c>
      <c r="AE286">
        <v>37</v>
      </c>
      <c r="AF286">
        <v>0</v>
      </c>
      <c r="AG286">
        <v>39</v>
      </c>
      <c r="AH286">
        <v>0</v>
      </c>
      <c r="AI286">
        <v>0</v>
      </c>
      <c r="AJ286">
        <v>0</v>
      </c>
      <c r="AK286">
        <v>0</v>
      </c>
      <c r="AL286">
        <v>0</v>
      </c>
      <c r="AM286">
        <v>0</v>
      </c>
      <c r="AN286">
        <v>0</v>
      </c>
    </row>
    <row r="287" spans="25:40" x14ac:dyDescent="0.3">
      <c r="Y287">
        <v>117.28571428571429</v>
      </c>
      <c r="Z287">
        <v>0</v>
      </c>
      <c r="AA287">
        <v>115</v>
      </c>
      <c r="AB287">
        <v>0</v>
      </c>
      <c r="AC287">
        <v>0</v>
      </c>
      <c r="AD287">
        <v>141</v>
      </c>
      <c r="AE287">
        <v>139</v>
      </c>
      <c r="AF287">
        <v>102.5</v>
      </c>
      <c r="AG287">
        <v>0</v>
      </c>
      <c r="AH287">
        <v>106</v>
      </c>
      <c r="AI287">
        <v>0</v>
      </c>
      <c r="AJ287">
        <v>0</v>
      </c>
      <c r="AK287">
        <v>0</v>
      </c>
      <c r="AL287">
        <v>0</v>
      </c>
      <c r="AM287">
        <v>0</v>
      </c>
      <c r="AN287">
        <v>0</v>
      </c>
    </row>
    <row r="288" spans="25:40" x14ac:dyDescent="0.3">
      <c r="Y288">
        <v>105.57142857142857</v>
      </c>
      <c r="Z288">
        <v>0</v>
      </c>
      <c r="AA288">
        <v>0</v>
      </c>
      <c r="AB288">
        <v>0</v>
      </c>
      <c r="AC288">
        <v>0</v>
      </c>
      <c r="AD288">
        <v>107</v>
      </c>
      <c r="AE288">
        <v>0</v>
      </c>
      <c r="AF288">
        <v>101</v>
      </c>
      <c r="AG288">
        <v>103</v>
      </c>
      <c r="AH288">
        <v>95</v>
      </c>
      <c r="AI288">
        <v>127</v>
      </c>
      <c r="AJ288">
        <v>0</v>
      </c>
      <c r="AK288">
        <v>0</v>
      </c>
      <c r="AL288">
        <v>0</v>
      </c>
      <c r="AM288">
        <v>0</v>
      </c>
      <c r="AN288">
        <v>0</v>
      </c>
    </row>
    <row r="289" spans="25:40" x14ac:dyDescent="0.3">
      <c r="Y289">
        <v>0</v>
      </c>
      <c r="Z289">
        <v>0</v>
      </c>
      <c r="AA289">
        <v>0</v>
      </c>
      <c r="AB289">
        <v>0</v>
      </c>
      <c r="AC289">
        <v>0</v>
      </c>
      <c r="AD289">
        <v>0</v>
      </c>
      <c r="AE289">
        <v>0</v>
      </c>
      <c r="AF289">
        <v>0</v>
      </c>
      <c r="AG289">
        <v>0</v>
      </c>
      <c r="AH289">
        <v>0</v>
      </c>
      <c r="AI289">
        <v>0</v>
      </c>
      <c r="AJ289">
        <v>0</v>
      </c>
      <c r="AK289">
        <v>0</v>
      </c>
      <c r="AL289">
        <v>0</v>
      </c>
      <c r="AM289">
        <v>0</v>
      </c>
      <c r="AN289">
        <v>0</v>
      </c>
    </row>
    <row r="290" spans="25:40" x14ac:dyDescent="0.3">
      <c r="Y290">
        <v>95.285714285714292</v>
      </c>
      <c r="Z290">
        <v>0</v>
      </c>
      <c r="AA290">
        <v>0</v>
      </c>
      <c r="AB290">
        <v>0</v>
      </c>
      <c r="AC290">
        <v>0</v>
      </c>
      <c r="AD290">
        <v>0</v>
      </c>
      <c r="AE290">
        <v>0</v>
      </c>
      <c r="AF290">
        <v>0</v>
      </c>
      <c r="AG290">
        <v>96</v>
      </c>
      <c r="AH290">
        <v>95</v>
      </c>
      <c r="AI290">
        <v>0</v>
      </c>
      <c r="AJ290">
        <v>0</v>
      </c>
      <c r="AK290">
        <v>0</v>
      </c>
      <c r="AL290">
        <v>0</v>
      </c>
      <c r="AM290">
        <v>0</v>
      </c>
      <c r="AN290">
        <v>0</v>
      </c>
    </row>
    <row r="291" spans="25:40" x14ac:dyDescent="0.3">
      <c r="Y291">
        <v>167.14285714285714</v>
      </c>
      <c r="Z291">
        <v>0</v>
      </c>
      <c r="AA291">
        <v>0</v>
      </c>
      <c r="AB291">
        <v>0</v>
      </c>
      <c r="AC291">
        <v>146</v>
      </c>
      <c r="AD291">
        <v>144</v>
      </c>
      <c r="AE291">
        <v>177</v>
      </c>
      <c r="AF291">
        <v>174.5</v>
      </c>
      <c r="AG291">
        <v>0</v>
      </c>
      <c r="AH291">
        <v>0</v>
      </c>
      <c r="AI291">
        <v>0</v>
      </c>
      <c r="AJ291">
        <v>0</v>
      </c>
      <c r="AK291">
        <v>0</v>
      </c>
      <c r="AL291">
        <v>0</v>
      </c>
      <c r="AM291">
        <v>0</v>
      </c>
      <c r="AN291">
        <v>0</v>
      </c>
    </row>
    <row r="292" spans="25:40" x14ac:dyDescent="0.3">
      <c r="Y292">
        <v>0</v>
      </c>
      <c r="Z292">
        <v>0</v>
      </c>
      <c r="AA292">
        <v>0</v>
      </c>
      <c r="AB292">
        <v>0</v>
      </c>
      <c r="AC292">
        <v>0</v>
      </c>
      <c r="AD292">
        <v>0</v>
      </c>
      <c r="AE292">
        <v>0</v>
      </c>
      <c r="AF292">
        <v>0</v>
      </c>
      <c r="AG292">
        <v>0</v>
      </c>
      <c r="AH292">
        <v>0</v>
      </c>
      <c r="AI292">
        <v>0</v>
      </c>
      <c r="AJ292">
        <v>0</v>
      </c>
      <c r="AK292">
        <v>0</v>
      </c>
      <c r="AL292">
        <v>0</v>
      </c>
      <c r="AM292">
        <v>0</v>
      </c>
      <c r="AN292">
        <v>0</v>
      </c>
    </row>
    <row r="293" spans="25:40" x14ac:dyDescent="0.3">
      <c r="Y293">
        <v>0</v>
      </c>
      <c r="Z293">
        <v>0</v>
      </c>
      <c r="AA293">
        <v>0</v>
      </c>
      <c r="AB293">
        <v>0</v>
      </c>
      <c r="AC293">
        <v>0</v>
      </c>
      <c r="AD293">
        <v>0</v>
      </c>
      <c r="AE293">
        <v>0</v>
      </c>
      <c r="AF293">
        <v>0</v>
      </c>
      <c r="AG293">
        <v>0</v>
      </c>
      <c r="AH293">
        <v>0</v>
      </c>
      <c r="AI293">
        <v>0</v>
      </c>
      <c r="AJ293">
        <v>0</v>
      </c>
      <c r="AK293">
        <v>0</v>
      </c>
      <c r="AL293">
        <v>0</v>
      </c>
      <c r="AM293">
        <v>0</v>
      </c>
      <c r="AN293">
        <v>0</v>
      </c>
    </row>
    <row r="294" spans="25:40" x14ac:dyDescent="0.3">
      <c r="Y294">
        <v>111.85714285714286</v>
      </c>
      <c r="Z294">
        <v>0</v>
      </c>
      <c r="AA294">
        <v>118</v>
      </c>
      <c r="AB294">
        <v>126</v>
      </c>
      <c r="AC294">
        <v>118</v>
      </c>
      <c r="AD294">
        <v>0</v>
      </c>
      <c r="AE294">
        <v>117</v>
      </c>
      <c r="AF294">
        <v>98</v>
      </c>
      <c r="AG294">
        <v>0</v>
      </c>
      <c r="AH294">
        <v>89</v>
      </c>
      <c r="AI294">
        <v>0</v>
      </c>
      <c r="AJ294">
        <v>0</v>
      </c>
      <c r="AK294">
        <v>0</v>
      </c>
      <c r="AL294">
        <v>0</v>
      </c>
      <c r="AM294">
        <v>0</v>
      </c>
      <c r="AN294">
        <v>0</v>
      </c>
    </row>
    <row r="295" spans="25:40" x14ac:dyDescent="0.3">
      <c r="Y295">
        <v>0</v>
      </c>
      <c r="Z295">
        <v>0</v>
      </c>
      <c r="AA295">
        <v>0</v>
      </c>
      <c r="AB295">
        <v>0</v>
      </c>
      <c r="AC295">
        <v>0</v>
      </c>
      <c r="AD295">
        <v>0</v>
      </c>
      <c r="AE295">
        <v>0</v>
      </c>
      <c r="AF295">
        <v>0</v>
      </c>
      <c r="AG295">
        <v>0</v>
      </c>
      <c r="AH295">
        <v>0</v>
      </c>
      <c r="AI295">
        <v>0</v>
      </c>
      <c r="AJ295">
        <v>0</v>
      </c>
      <c r="AK295">
        <v>0</v>
      </c>
      <c r="AL295">
        <v>0</v>
      </c>
      <c r="AM295">
        <v>0</v>
      </c>
      <c r="AN295">
        <v>0</v>
      </c>
    </row>
    <row r="296" spans="25:40" x14ac:dyDescent="0.3">
      <c r="Y296">
        <v>136</v>
      </c>
      <c r="Z296">
        <v>0</v>
      </c>
      <c r="AA296">
        <v>0</v>
      </c>
      <c r="AB296">
        <v>0</v>
      </c>
      <c r="AC296">
        <v>136</v>
      </c>
      <c r="AD296">
        <v>0</v>
      </c>
      <c r="AE296">
        <v>0</v>
      </c>
      <c r="AF296">
        <v>0</v>
      </c>
      <c r="AG296">
        <v>0</v>
      </c>
      <c r="AH296">
        <v>0</v>
      </c>
      <c r="AI296">
        <v>0</v>
      </c>
      <c r="AJ296">
        <v>0</v>
      </c>
      <c r="AK296">
        <v>0</v>
      </c>
      <c r="AL296">
        <v>0</v>
      </c>
      <c r="AM296">
        <v>0</v>
      </c>
      <c r="AN296">
        <v>0</v>
      </c>
    </row>
    <row r="297" spans="25:40" x14ac:dyDescent="0.3">
      <c r="Y297">
        <v>0</v>
      </c>
      <c r="Z297">
        <v>0</v>
      </c>
      <c r="AA297">
        <v>0</v>
      </c>
      <c r="AB297">
        <v>0</v>
      </c>
      <c r="AC297">
        <v>0</v>
      </c>
      <c r="AD297">
        <v>0</v>
      </c>
      <c r="AE297">
        <v>0</v>
      </c>
      <c r="AF297">
        <v>0</v>
      </c>
      <c r="AG297">
        <v>0</v>
      </c>
      <c r="AH297">
        <v>0</v>
      </c>
      <c r="AI297">
        <v>0</v>
      </c>
      <c r="AJ297">
        <v>0</v>
      </c>
      <c r="AK297">
        <v>0</v>
      </c>
      <c r="AL297">
        <v>0</v>
      </c>
      <c r="AM297">
        <v>0</v>
      </c>
      <c r="AN297">
        <v>0</v>
      </c>
    </row>
    <row r="298" spans="25:40" x14ac:dyDescent="0.3">
      <c r="Y298">
        <v>131.5</v>
      </c>
      <c r="Z298">
        <v>0</v>
      </c>
      <c r="AA298">
        <v>0</v>
      </c>
      <c r="AB298">
        <v>0</v>
      </c>
      <c r="AC298">
        <v>0</v>
      </c>
      <c r="AD298">
        <v>129</v>
      </c>
      <c r="AE298">
        <v>0</v>
      </c>
      <c r="AF298">
        <v>129</v>
      </c>
      <c r="AG298">
        <v>129</v>
      </c>
      <c r="AH298">
        <v>0</v>
      </c>
      <c r="AI298">
        <v>144</v>
      </c>
      <c r="AJ298">
        <v>0</v>
      </c>
      <c r="AK298">
        <v>0</v>
      </c>
      <c r="AL298">
        <v>0</v>
      </c>
      <c r="AM298">
        <v>129</v>
      </c>
      <c r="AN298">
        <v>129</v>
      </c>
    </row>
    <row r="299" spans="25:40" x14ac:dyDescent="0.3">
      <c r="Y299">
        <v>79</v>
      </c>
      <c r="Z299">
        <v>0</v>
      </c>
      <c r="AA299">
        <v>0</v>
      </c>
      <c r="AB299">
        <v>0</v>
      </c>
      <c r="AC299">
        <v>0</v>
      </c>
      <c r="AD299">
        <v>0</v>
      </c>
      <c r="AE299">
        <v>0</v>
      </c>
      <c r="AF299">
        <v>0</v>
      </c>
      <c r="AG299">
        <v>0</v>
      </c>
      <c r="AH299">
        <v>0</v>
      </c>
      <c r="AI299">
        <v>79</v>
      </c>
      <c r="AJ299">
        <v>79</v>
      </c>
      <c r="AK299">
        <v>0</v>
      </c>
      <c r="AL299">
        <v>0</v>
      </c>
      <c r="AM299">
        <v>0</v>
      </c>
      <c r="AN299">
        <v>0</v>
      </c>
    </row>
    <row r="300" spans="25:40" x14ac:dyDescent="0.3">
      <c r="Y300">
        <v>196</v>
      </c>
      <c r="Z300">
        <v>0</v>
      </c>
      <c r="AA300">
        <v>0</v>
      </c>
      <c r="AB300">
        <v>0</v>
      </c>
      <c r="AC300">
        <v>0</v>
      </c>
      <c r="AD300">
        <v>0</v>
      </c>
      <c r="AE300">
        <v>0</v>
      </c>
      <c r="AF300">
        <v>0</v>
      </c>
      <c r="AG300">
        <v>0</v>
      </c>
      <c r="AH300">
        <v>0</v>
      </c>
      <c r="AI300">
        <v>196</v>
      </c>
      <c r="AJ300">
        <v>196</v>
      </c>
      <c r="AK300">
        <v>0</v>
      </c>
      <c r="AL300">
        <v>0</v>
      </c>
      <c r="AM300">
        <v>0</v>
      </c>
      <c r="AN300">
        <v>0</v>
      </c>
    </row>
    <row r="301" spans="25:40" x14ac:dyDescent="0.3">
      <c r="Y301">
        <v>170.16666666666666</v>
      </c>
      <c r="Z301">
        <v>0</v>
      </c>
      <c r="AA301">
        <v>0</v>
      </c>
      <c r="AB301">
        <v>0</v>
      </c>
      <c r="AC301">
        <v>0</v>
      </c>
      <c r="AD301">
        <v>0</v>
      </c>
      <c r="AE301">
        <v>0</v>
      </c>
      <c r="AF301">
        <v>156</v>
      </c>
      <c r="AG301">
        <v>159</v>
      </c>
      <c r="AH301">
        <v>159</v>
      </c>
      <c r="AI301">
        <v>195.5</v>
      </c>
      <c r="AJ301">
        <v>0</v>
      </c>
      <c r="AK301">
        <v>0</v>
      </c>
      <c r="AL301">
        <v>0</v>
      </c>
      <c r="AM301">
        <v>0</v>
      </c>
      <c r="AN301">
        <v>0</v>
      </c>
    </row>
    <row r="302" spans="25:40" x14ac:dyDescent="0.3">
      <c r="Y302">
        <v>182</v>
      </c>
      <c r="Z302">
        <v>0</v>
      </c>
      <c r="AA302">
        <v>0</v>
      </c>
      <c r="AB302">
        <v>0</v>
      </c>
      <c r="AC302">
        <v>0</v>
      </c>
      <c r="AD302">
        <v>0</v>
      </c>
      <c r="AE302">
        <v>155</v>
      </c>
      <c r="AF302">
        <v>188</v>
      </c>
      <c r="AG302">
        <v>0</v>
      </c>
      <c r="AH302">
        <v>0</v>
      </c>
      <c r="AI302">
        <v>0</v>
      </c>
      <c r="AJ302">
        <v>0</v>
      </c>
      <c r="AK302">
        <v>0</v>
      </c>
      <c r="AL302">
        <v>155</v>
      </c>
      <c r="AM302">
        <v>0</v>
      </c>
      <c r="AN302">
        <v>210</v>
      </c>
    </row>
    <row r="303" spans="25:40" x14ac:dyDescent="0.3">
      <c r="Y303">
        <v>136.33333333333334</v>
      </c>
      <c r="Z303">
        <v>0</v>
      </c>
      <c r="AA303">
        <v>0</v>
      </c>
      <c r="AB303">
        <v>0</v>
      </c>
      <c r="AC303">
        <v>169</v>
      </c>
      <c r="AD303">
        <v>0</v>
      </c>
      <c r="AE303">
        <v>131</v>
      </c>
      <c r="AF303">
        <v>0</v>
      </c>
      <c r="AG303">
        <v>114</v>
      </c>
      <c r="AH303">
        <v>0</v>
      </c>
      <c r="AI303">
        <v>131</v>
      </c>
      <c r="AJ303">
        <v>0</v>
      </c>
      <c r="AK303">
        <v>0</v>
      </c>
      <c r="AL303">
        <v>159</v>
      </c>
      <c r="AM303">
        <v>0</v>
      </c>
      <c r="AN303">
        <v>0</v>
      </c>
    </row>
    <row r="304" spans="25:40" x14ac:dyDescent="0.3">
      <c r="Y304">
        <v>133.16666666666666</v>
      </c>
      <c r="Z304">
        <v>129</v>
      </c>
      <c r="AA304">
        <v>162</v>
      </c>
      <c r="AB304">
        <v>0</v>
      </c>
      <c r="AC304">
        <v>0</v>
      </c>
      <c r="AD304">
        <v>0</v>
      </c>
      <c r="AE304">
        <v>0</v>
      </c>
      <c r="AF304">
        <v>119</v>
      </c>
      <c r="AG304">
        <v>0</v>
      </c>
      <c r="AH304">
        <v>115</v>
      </c>
      <c r="AI304">
        <v>0</v>
      </c>
      <c r="AJ304">
        <v>0</v>
      </c>
      <c r="AK304">
        <v>0</v>
      </c>
      <c r="AL304">
        <v>0</v>
      </c>
      <c r="AM304">
        <v>0</v>
      </c>
      <c r="AN304">
        <v>0</v>
      </c>
    </row>
    <row r="305" spans="25:40" x14ac:dyDescent="0.3">
      <c r="Y305">
        <v>99</v>
      </c>
      <c r="Z305">
        <v>0</v>
      </c>
      <c r="AA305">
        <v>0</v>
      </c>
      <c r="AB305">
        <v>117</v>
      </c>
      <c r="AC305">
        <v>0</v>
      </c>
      <c r="AD305">
        <v>0</v>
      </c>
      <c r="AE305">
        <v>0</v>
      </c>
      <c r="AF305">
        <v>102</v>
      </c>
      <c r="AG305">
        <v>0</v>
      </c>
      <c r="AH305">
        <v>0</v>
      </c>
      <c r="AI305">
        <v>85</v>
      </c>
      <c r="AJ305">
        <v>85</v>
      </c>
      <c r="AK305">
        <v>106</v>
      </c>
      <c r="AL305">
        <v>0</v>
      </c>
      <c r="AM305">
        <v>99</v>
      </c>
      <c r="AN305">
        <v>0</v>
      </c>
    </row>
    <row r="306" spans="25:40" x14ac:dyDescent="0.3">
      <c r="Y306">
        <v>133</v>
      </c>
      <c r="Z306">
        <v>179</v>
      </c>
      <c r="AA306">
        <v>0</v>
      </c>
      <c r="AB306">
        <v>137</v>
      </c>
      <c r="AC306">
        <v>0</v>
      </c>
      <c r="AD306">
        <v>0</v>
      </c>
      <c r="AE306">
        <v>0</v>
      </c>
      <c r="AF306">
        <v>0</v>
      </c>
      <c r="AG306">
        <v>0</v>
      </c>
      <c r="AH306">
        <v>117</v>
      </c>
      <c r="AI306">
        <v>0</v>
      </c>
      <c r="AJ306">
        <v>124</v>
      </c>
      <c r="AK306">
        <v>0</v>
      </c>
      <c r="AL306">
        <v>0</v>
      </c>
      <c r="AM306">
        <v>0</v>
      </c>
      <c r="AN306">
        <v>0</v>
      </c>
    </row>
    <row r="307" spans="25:40" x14ac:dyDescent="0.3">
      <c r="Y307">
        <v>206.33333333333334</v>
      </c>
      <c r="Z307">
        <v>0</v>
      </c>
      <c r="AA307">
        <v>0</v>
      </c>
      <c r="AB307">
        <v>0</v>
      </c>
      <c r="AC307">
        <v>0</v>
      </c>
      <c r="AD307">
        <v>0</v>
      </c>
      <c r="AE307">
        <v>0</v>
      </c>
      <c r="AF307">
        <v>208</v>
      </c>
      <c r="AG307">
        <v>208</v>
      </c>
      <c r="AH307">
        <v>0</v>
      </c>
      <c r="AI307">
        <v>0</v>
      </c>
      <c r="AJ307">
        <v>198</v>
      </c>
      <c r="AK307">
        <v>0</v>
      </c>
      <c r="AL307">
        <v>0</v>
      </c>
      <c r="AM307">
        <v>0</v>
      </c>
      <c r="AN307">
        <v>0</v>
      </c>
    </row>
    <row r="308" spans="25:40" x14ac:dyDescent="0.3">
      <c r="Y308">
        <v>112.66666666666667</v>
      </c>
      <c r="Z308">
        <v>115.6</v>
      </c>
      <c r="AA308">
        <v>0</v>
      </c>
      <c r="AB308">
        <v>0</v>
      </c>
      <c r="AC308">
        <v>0</v>
      </c>
      <c r="AD308">
        <v>0</v>
      </c>
      <c r="AE308">
        <v>0</v>
      </c>
      <c r="AF308">
        <v>0</v>
      </c>
      <c r="AG308">
        <v>0</v>
      </c>
      <c r="AH308">
        <v>0</v>
      </c>
      <c r="AI308">
        <v>0</v>
      </c>
      <c r="AJ308">
        <v>0</v>
      </c>
      <c r="AK308">
        <v>98</v>
      </c>
      <c r="AL308">
        <v>0</v>
      </c>
      <c r="AM308">
        <v>0</v>
      </c>
      <c r="AN308">
        <v>0</v>
      </c>
    </row>
    <row r="309" spans="25:40" x14ac:dyDescent="0.3">
      <c r="Y309">
        <v>137</v>
      </c>
      <c r="Z309">
        <v>0</v>
      </c>
      <c r="AA309">
        <v>0</v>
      </c>
      <c r="AB309">
        <v>0</v>
      </c>
      <c r="AC309">
        <v>0</v>
      </c>
      <c r="AD309">
        <v>0</v>
      </c>
      <c r="AE309">
        <v>137</v>
      </c>
      <c r="AF309">
        <v>0</v>
      </c>
      <c r="AG309">
        <v>0</v>
      </c>
      <c r="AH309">
        <v>0</v>
      </c>
      <c r="AI309">
        <v>0</v>
      </c>
      <c r="AJ309">
        <v>0</v>
      </c>
      <c r="AK309">
        <v>0</v>
      </c>
      <c r="AL309">
        <v>0</v>
      </c>
      <c r="AM309">
        <v>0</v>
      </c>
      <c r="AN309">
        <v>0</v>
      </c>
    </row>
    <row r="310" spans="25:40" x14ac:dyDescent="0.3">
      <c r="Y310">
        <v>140.66666666666666</v>
      </c>
      <c r="Z310">
        <v>164</v>
      </c>
      <c r="AA310">
        <v>114</v>
      </c>
      <c r="AB310">
        <v>159</v>
      </c>
      <c r="AC310">
        <v>150</v>
      </c>
      <c r="AD310">
        <v>145</v>
      </c>
      <c r="AE310">
        <v>112</v>
      </c>
      <c r="AF310">
        <v>0</v>
      </c>
      <c r="AG310">
        <v>0</v>
      </c>
      <c r="AH310">
        <v>0</v>
      </c>
      <c r="AI310">
        <v>0</v>
      </c>
      <c r="AJ310">
        <v>0</v>
      </c>
      <c r="AK310">
        <v>0</v>
      </c>
      <c r="AL310">
        <v>0</v>
      </c>
      <c r="AM310">
        <v>0</v>
      </c>
      <c r="AN310">
        <v>0</v>
      </c>
    </row>
    <row r="311" spans="25:40" x14ac:dyDescent="0.3">
      <c r="Y311">
        <v>0</v>
      </c>
      <c r="Z311">
        <v>0</v>
      </c>
      <c r="AA311">
        <v>0</v>
      </c>
      <c r="AB311">
        <v>0</v>
      </c>
      <c r="AC311">
        <v>0</v>
      </c>
      <c r="AD311">
        <v>0</v>
      </c>
      <c r="AE311">
        <v>0</v>
      </c>
      <c r="AF311">
        <v>0</v>
      </c>
      <c r="AG311">
        <v>0</v>
      </c>
      <c r="AH311">
        <v>0</v>
      </c>
      <c r="AI311">
        <v>0</v>
      </c>
      <c r="AJ311">
        <v>0</v>
      </c>
      <c r="AK311">
        <v>0</v>
      </c>
      <c r="AL311">
        <v>0</v>
      </c>
      <c r="AM311">
        <v>0</v>
      </c>
      <c r="AN311">
        <v>0</v>
      </c>
    </row>
    <row r="312" spans="25:40" x14ac:dyDescent="0.3">
      <c r="Y312">
        <v>79.833333333333329</v>
      </c>
      <c r="Z312">
        <v>0</v>
      </c>
      <c r="AA312">
        <v>0</v>
      </c>
      <c r="AB312">
        <v>0</v>
      </c>
      <c r="AC312">
        <v>56.333333333333336</v>
      </c>
      <c r="AD312">
        <v>57</v>
      </c>
      <c r="AE312">
        <v>126.5</v>
      </c>
      <c r="AF312">
        <v>0</v>
      </c>
      <c r="AG312">
        <v>0</v>
      </c>
      <c r="AH312">
        <v>0</v>
      </c>
      <c r="AI312">
        <v>0</v>
      </c>
      <c r="AJ312">
        <v>0</v>
      </c>
      <c r="AK312">
        <v>0</v>
      </c>
      <c r="AL312">
        <v>0</v>
      </c>
      <c r="AM312">
        <v>0</v>
      </c>
      <c r="AN312">
        <v>0</v>
      </c>
    </row>
    <row r="313" spans="25:40" x14ac:dyDescent="0.3">
      <c r="Y313">
        <v>34.166666666666664</v>
      </c>
      <c r="Z313">
        <v>33.333333333333336</v>
      </c>
      <c r="AA313">
        <v>24</v>
      </c>
      <c r="AB313">
        <v>57</v>
      </c>
      <c r="AC313">
        <v>0</v>
      </c>
      <c r="AD313">
        <v>0</v>
      </c>
      <c r="AE313">
        <v>0</v>
      </c>
      <c r="AF313">
        <v>0</v>
      </c>
      <c r="AG313">
        <v>0</v>
      </c>
      <c r="AH313">
        <v>0</v>
      </c>
      <c r="AI313">
        <v>0</v>
      </c>
      <c r="AJ313">
        <v>0</v>
      </c>
      <c r="AK313">
        <v>0</v>
      </c>
      <c r="AL313">
        <v>0</v>
      </c>
      <c r="AM313">
        <v>0</v>
      </c>
      <c r="AN313">
        <v>0</v>
      </c>
    </row>
    <row r="314" spans="25:40" x14ac:dyDescent="0.3">
      <c r="Y314">
        <v>0</v>
      </c>
      <c r="Z314">
        <v>0</v>
      </c>
      <c r="AA314">
        <v>0</v>
      </c>
      <c r="AB314">
        <v>0</v>
      </c>
      <c r="AC314">
        <v>0</v>
      </c>
      <c r="AD314">
        <v>0</v>
      </c>
      <c r="AE314">
        <v>0</v>
      </c>
      <c r="AF314">
        <v>0</v>
      </c>
      <c r="AG314">
        <v>0</v>
      </c>
      <c r="AH314">
        <v>0</v>
      </c>
      <c r="AI314">
        <v>0</v>
      </c>
      <c r="AJ314">
        <v>0</v>
      </c>
      <c r="AK314">
        <v>0</v>
      </c>
      <c r="AL314">
        <v>0</v>
      </c>
      <c r="AM314">
        <v>0</v>
      </c>
      <c r="AN314">
        <v>0</v>
      </c>
    </row>
    <row r="315" spans="25:40" x14ac:dyDescent="0.3">
      <c r="Y315">
        <v>0</v>
      </c>
      <c r="Z315">
        <v>0</v>
      </c>
      <c r="AA315">
        <v>0</v>
      </c>
      <c r="AB315">
        <v>0</v>
      </c>
      <c r="AC315">
        <v>0</v>
      </c>
      <c r="AD315">
        <v>0</v>
      </c>
      <c r="AE315">
        <v>0</v>
      </c>
      <c r="AF315">
        <v>0</v>
      </c>
      <c r="AG315">
        <v>0</v>
      </c>
      <c r="AH315">
        <v>0</v>
      </c>
      <c r="AI315">
        <v>0</v>
      </c>
      <c r="AJ315">
        <v>0</v>
      </c>
      <c r="AK315">
        <v>0</v>
      </c>
      <c r="AL315">
        <v>0</v>
      </c>
      <c r="AM315">
        <v>0</v>
      </c>
      <c r="AN315">
        <v>0</v>
      </c>
    </row>
    <row r="316" spans="25:40" x14ac:dyDescent="0.3">
      <c r="Y316">
        <v>0</v>
      </c>
      <c r="Z316">
        <v>0</v>
      </c>
      <c r="AA316">
        <v>0</v>
      </c>
      <c r="AB316">
        <v>0</v>
      </c>
      <c r="AC316">
        <v>0</v>
      </c>
      <c r="AD316">
        <v>0</v>
      </c>
      <c r="AE316">
        <v>0</v>
      </c>
      <c r="AF316">
        <v>0</v>
      </c>
      <c r="AG316">
        <v>0</v>
      </c>
      <c r="AH316">
        <v>0</v>
      </c>
      <c r="AI316">
        <v>0</v>
      </c>
      <c r="AJ316">
        <v>0</v>
      </c>
      <c r="AK316">
        <v>0</v>
      </c>
      <c r="AL316">
        <v>0</v>
      </c>
      <c r="AM316">
        <v>0</v>
      </c>
      <c r="AN316">
        <v>0</v>
      </c>
    </row>
    <row r="317" spans="25:40" x14ac:dyDescent="0.3">
      <c r="Y317">
        <v>107</v>
      </c>
      <c r="Z317">
        <v>0</v>
      </c>
      <c r="AA317">
        <v>0</v>
      </c>
      <c r="AB317">
        <v>106</v>
      </c>
      <c r="AC317">
        <v>0</v>
      </c>
      <c r="AD317">
        <v>0</v>
      </c>
      <c r="AE317">
        <v>0</v>
      </c>
      <c r="AF317">
        <v>108</v>
      </c>
      <c r="AG317">
        <v>0</v>
      </c>
      <c r="AH317">
        <v>105</v>
      </c>
      <c r="AI317">
        <v>109</v>
      </c>
      <c r="AJ317">
        <v>0</v>
      </c>
      <c r="AK317">
        <v>0</v>
      </c>
      <c r="AL317">
        <v>0</v>
      </c>
      <c r="AM317">
        <v>0</v>
      </c>
      <c r="AN317">
        <v>0</v>
      </c>
    </row>
    <row r="318" spans="25:40" x14ac:dyDescent="0.3">
      <c r="Y318">
        <v>124.83333333333333</v>
      </c>
      <c r="Z318">
        <v>0</v>
      </c>
      <c r="AA318">
        <v>0</v>
      </c>
      <c r="AB318">
        <v>0</v>
      </c>
      <c r="AC318">
        <v>0</v>
      </c>
      <c r="AD318">
        <v>129</v>
      </c>
      <c r="AE318">
        <v>143</v>
      </c>
      <c r="AF318">
        <v>109</v>
      </c>
      <c r="AG318">
        <v>0</v>
      </c>
      <c r="AH318">
        <v>110</v>
      </c>
      <c r="AI318">
        <v>0</v>
      </c>
      <c r="AJ318">
        <v>0</v>
      </c>
      <c r="AK318">
        <v>0</v>
      </c>
      <c r="AL318">
        <v>0</v>
      </c>
      <c r="AM318">
        <v>0</v>
      </c>
      <c r="AN318">
        <v>0</v>
      </c>
    </row>
    <row r="319" spans="25:40" x14ac:dyDescent="0.3">
      <c r="Y319">
        <v>28.833333333333332</v>
      </c>
      <c r="Z319">
        <v>0</v>
      </c>
      <c r="AA319">
        <v>0</v>
      </c>
      <c r="AB319">
        <v>0</v>
      </c>
      <c r="AC319">
        <v>33</v>
      </c>
      <c r="AD319">
        <v>0</v>
      </c>
      <c r="AE319">
        <v>0</v>
      </c>
      <c r="AF319">
        <v>28</v>
      </c>
      <c r="AG319">
        <v>0</v>
      </c>
      <c r="AH319">
        <v>0</v>
      </c>
      <c r="AI319">
        <v>0</v>
      </c>
      <c r="AJ319">
        <v>0</v>
      </c>
      <c r="AK319">
        <v>0</v>
      </c>
      <c r="AL319">
        <v>0</v>
      </c>
      <c r="AM319">
        <v>0</v>
      </c>
      <c r="AN319">
        <v>0</v>
      </c>
    </row>
    <row r="320" spans="25:40" x14ac:dyDescent="0.3">
      <c r="Y320">
        <v>0</v>
      </c>
      <c r="Z320">
        <v>0</v>
      </c>
      <c r="AA320">
        <v>0</v>
      </c>
      <c r="AB320">
        <v>0</v>
      </c>
      <c r="AC320">
        <v>0</v>
      </c>
      <c r="AD320">
        <v>0</v>
      </c>
      <c r="AE320">
        <v>0</v>
      </c>
      <c r="AF320">
        <v>0</v>
      </c>
      <c r="AG320">
        <v>0</v>
      </c>
      <c r="AH320">
        <v>0</v>
      </c>
      <c r="AI320">
        <v>0</v>
      </c>
      <c r="AJ320">
        <v>0</v>
      </c>
      <c r="AK320">
        <v>0</v>
      </c>
      <c r="AL320">
        <v>0</v>
      </c>
      <c r="AM320">
        <v>0</v>
      </c>
      <c r="AN320">
        <v>0</v>
      </c>
    </row>
    <row r="321" spans="25:40" x14ac:dyDescent="0.3">
      <c r="Y321">
        <v>198.4</v>
      </c>
      <c r="Z321">
        <v>0</v>
      </c>
      <c r="AA321">
        <v>0</v>
      </c>
      <c r="AB321">
        <v>0</v>
      </c>
      <c r="AC321">
        <v>0</v>
      </c>
      <c r="AD321">
        <v>0</v>
      </c>
      <c r="AE321">
        <v>0</v>
      </c>
      <c r="AF321">
        <v>0</v>
      </c>
      <c r="AG321">
        <v>0</v>
      </c>
      <c r="AH321">
        <v>0</v>
      </c>
      <c r="AI321">
        <v>0</v>
      </c>
      <c r="AJ321">
        <v>0</v>
      </c>
      <c r="AK321">
        <v>0</v>
      </c>
      <c r="AL321">
        <v>0</v>
      </c>
      <c r="AM321">
        <v>0</v>
      </c>
      <c r="AN321">
        <v>0</v>
      </c>
    </row>
    <row r="322" spans="25:40" x14ac:dyDescent="0.3">
      <c r="Y322">
        <v>231.8</v>
      </c>
      <c r="Z322">
        <v>0</v>
      </c>
      <c r="AA322">
        <v>0</v>
      </c>
      <c r="AB322">
        <v>0</v>
      </c>
      <c r="AC322">
        <v>0</v>
      </c>
      <c r="AD322">
        <v>0</v>
      </c>
      <c r="AE322">
        <v>0</v>
      </c>
      <c r="AF322">
        <v>0</v>
      </c>
      <c r="AG322">
        <v>0</v>
      </c>
      <c r="AH322">
        <v>229</v>
      </c>
      <c r="AI322">
        <v>0</v>
      </c>
      <c r="AJ322">
        <v>231</v>
      </c>
      <c r="AK322">
        <v>0</v>
      </c>
      <c r="AL322">
        <v>0</v>
      </c>
      <c r="AM322">
        <v>0</v>
      </c>
      <c r="AN322">
        <v>231</v>
      </c>
    </row>
    <row r="323" spans="25:40" x14ac:dyDescent="0.3">
      <c r="Y323">
        <v>98.4</v>
      </c>
      <c r="Z323">
        <v>0</v>
      </c>
      <c r="AA323">
        <v>0</v>
      </c>
      <c r="AB323">
        <v>0</v>
      </c>
      <c r="AC323">
        <v>130</v>
      </c>
      <c r="AD323">
        <v>0</v>
      </c>
      <c r="AE323">
        <v>0</v>
      </c>
      <c r="AF323">
        <v>0</v>
      </c>
      <c r="AG323">
        <v>0</v>
      </c>
      <c r="AH323">
        <v>88</v>
      </c>
      <c r="AI323">
        <v>0</v>
      </c>
      <c r="AJ323">
        <v>0</v>
      </c>
      <c r="AK323">
        <v>0</v>
      </c>
      <c r="AL323">
        <v>0</v>
      </c>
      <c r="AM323">
        <v>92.5</v>
      </c>
      <c r="AN323">
        <v>89</v>
      </c>
    </row>
    <row r="324" spans="25:40" x14ac:dyDescent="0.3">
      <c r="Y324">
        <v>206.2</v>
      </c>
      <c r="Z324">
        <v>0</v>
      </c>
      <c r="AA324">
        <v>0</v>
      </c>
      <c r="AB324">
        <v>0</v>
      </c>
      <c r="AC324">
        <v>0</v>
      </c>
      <c r="AD324">
        <v>0</v>
      </c>
      <c r="AE324">
        <v>0</v>
      </c>
      <c r="AF324">
        <v>0</v>
      </c>
      <c r="AG324">
        <v>0</v>
      </c>
      <c r="AH324">
        <v>0</v>
      </c>
      <c r="AI324">
        <v>0</v>
      </c>
      <c r="AJ324">
        <v>0</v>
      </c>
      <c r="AK324">
        <v>192</v>
      </c>
      <c r="AL324">
        <v>0</v>
      </c>
      <c r="AM324">
        <v>180</v>
      </c>
      <c r="AN324">
        <v>0</v>
      </c>
    </row>
    <row r="325" spans="25:40" x14ac:dyDescent="0.3">
      <c r="Y325">
        <v>124.2</v>
      </c>
      <c r="Z325">
        <v>0</v>
      </c>
      <c r="AA325">
        <v>0</v>
      </c>
      <c r="AB325">
        <v>0</v>
      </c>
      <c r="AC325">
        <v>0</v>
      </c>
      <c r="AD325">
        <v>0</v>
      </c>
      <c r="AE325">
        <v>0</v>
      </c>
      <c r="AF325">
        <v>0</v>
      </c>
      <c r="AG325">
        <v>0</v>
      </c>
      <c r="AH325">
        <v>0</v>
      </c>
      <c r="AI325">
        <v>99</v>
      </c>
      <c r="AJ325">
        <v>0</v>
      </c>
      <c r="AK325">
        <v>112</v>
      </c>
      <c r="AL325">
        <v>149</v>
      </c>
      <c r="AM325">
        <v>0</v>
      </c>
      <c r="AN325">
        <v>0</v>
      </c>
    </row>
    <row r="326" spans="25:40" x14ac:dyDescent="0.3">
      <c r="Y326">
        <v>92</v>
      </c>
      <c r="Z326">
        <v>0</v>
      </c>
      <c r="AA326">
        <v>0</v>
      </c>
      <c r="AB326">
        <v>0</v>
      </c>
      <c r="AC326">
        <v>0</v>
      </c>
      <c r="AD326">
        <v>0</v>
      </c>
      <c r="AE326">
        <v>0</v>
      </c>
      <c r="AF326">
        <v>0</v>
      </c>
      <c r="AG326">
        <v>0</v>
      </c>
      <c r="AH326">
        <v>92</v>
      </c>
      <c r="AI326">
        <v>92</v>
      </c>
      <c r="AJ326">
        <v>92</v>
      </c>
      <c r="AK326">
        <v>92</v>
      </c>
      <c r="AL326">
        <v>0</v>
      </c>
      <c r="AM326">
        <v>0</v>
      </c>
      <c r="AN326">
        <v>92</v>
      </c>
    </row>
    <row r="327" spans="25:40" x14ac:dyDescent="0.3">
      <c r="Y327">
        <v>224.6</v>
      </c>
      <c r="Z327">
        <v>0</v>
      </c>
      <c r="AA327">
        <v>0</v>
      </c>
      <c r="AB327">
        <v>0</v>
      </c>
      <c r="AC327">
        <v>0</v>
      </c>
      <c r="AD327">
        <v>0</v>
      </c>
      <c r="AE327">
        <v>0</v>
      </c>
      <c r="AF327">
        <v>0</v>
      </c>
      <c r="AG327">
        <v>231</v>
      </c>
      <c r="AH327">
        <v>0</v>
      </c>
      <c r="AI327">
        <v>0</v>
      </c>
      <c r="AJ327">
        <v>0</v>
      </c>
      <c r="AK327">
        <v>0</v>
      </c>
      <c r="AL327">
        <v>231</v>
      </c>
      <c r="AM327">
        <v>0</v>
      </c>
      <c r="AN327">
        <v>220.33333333333334</v>
      </c>
    </row>
    <row r="328" spans="25:40" x14ac:dyDescent="0.3">
      <c r="Y328">
        <v>167</v>
      </c>
      <c r="Z328">
        <v>0</v>
      </c>
      <c r="AA328">
        <v>0</v>
      </c>
      <c r="AB328">
        <v>0</v>
      </c>
      <c r="AC328">
        <v>0</v>
      </c>
      <c r="AD328">
        <v>0</v>
      </c>
      <c r="AE328">
        <v>0</v>
      </c>
      <c r="AF328">
        <v>0</v>
      </c>
      <c r="AG328">
        <v>0</v>
      </c>
      <c r="AH328">
        <v>0</v>
      </c>
      <c r="AI328">
        <v>0</v>
      </c>
      <c r="AJ328">
        <v>0</v>
      </c>
      <c r="AK328">
        <v>0</v>
      </c>
      <c r="AL328">
        <v>0</v>
      </c>
      <c r="AM328">
        <v>0</v>
      </c>
      <c r="AN328">
        <v>0</v>
      </c>
    </row>
    <row r="329" spans="25:40" x14ac:dyDescent="0.3">
      <c r="Y329">
        <v>142.80000000000001</v>
      </c>
      <c r="Z329">
        <v>0</v>
      </c>
      <c r="AA329">
        <v>0</v>
      </c>
      <c r="AB329">
        <v>0</v>
      </c>
      <c r="AC329">
        <v>155</v>
      </c>
      <c r="AD329">
        <v>0</v>
      </c>
      <c r="AE329">
        <v>0</v>
      </c>
      <c r="AF329">
        <v>0</v>
      </c>
      <c r="AG329">
        <v>155</v>
      </c>
      <c r="AH329">
        <v>0</v>
      </c>
      <c r="AI329">
        <v>0</v>
      </c>
      <c r="AJ329">
        <v>0</v>
      </c>
      <c r="AK329">
        <v>0</v>
      </c>
      <c r="AL329">
        <v>115</v>
      </c>
      <c r="AM329">
        <v>135</v>
      </c>
      <c r="AN329">
        <v>154</v>
      </c>
    </row>
    <row r="330" spans="25:40" x14ac:dyDescent="0.3">
      <c r="Y330">
        <v>154.4</v>
      </c>
      <c r="Z330">
        <v>0</v>
      </c>
      <c r="AA330">
        <v>0</v>
      </c>
      <c r="AB330">
        <v>0</v>
      </c>
      <c r="AC330">
        <v>0</v>
      </c>
      <c r="AD330">
        <v>0</v>
      </c>
      <c r="AE330">
        <v>147</v>
      </c>
      <c r="AF330">
        <v>0</v>
      </c>
      <c r="AG330">
        <v>147</v>
      </c>
      <c r="AH330">
        <v>0</v>
      </c>
      <c r="AI330">
        <v>0</v>
      </c>
      <c r="AJ330">
        <v>0</v>
      </c>
      <c r="AK330">
        <v>0</v>
      </c>
      <c r="AL330">
        <v>0</v>
      </c>
      <c r="AM330">
        <v>0</v>
      </c>
      <c r="AN330">
        <v>0</v>
      </c>
    </row>
    <row r="331" spans="25:40" x14ac:dyDescent="0.3">
      <c r="Y331">
        <v>312.39999999999998</v>
      </c>
      <c r="Z331">
        <v>0</v>
      </c>
      <c r="AA331">
        <v>0</v>
      </c>
      <c r="AB331">
        <v>0</v>
      </c>
      <c r="AC331">
        <v>0</v>
      </c>
      <c r="AD331">
        <v>0</v>
      </c>
      <c r="AE331">
        <v>0</v>
      </c>
      <c r="AF331">
        <v>0</v>
      </c>
      <c r="AG331">
        <v>0</v>
      </c>
      <c r="AH331">
        <v>0</v>
      </c>
      <c r="AI331">
        <v>0</v>
      </c>
      <c r="AJ331">
        <v>314.75</v>
      </c>
      <c r="AK331">
        <v>303</v>
      </c>
      <c r="AL331">
        <v>0</v>
      </c>
      <c r="AM331">
        <v>0</v>
      </c>
      <c r="AN331">
        <v>0</v>
      </c>
    </row>
    <row r="332" spans="25:40" x14ac:dyDescent="0.3">
      <c r="Y332">
        <v>0</v>
      </c>
      <c r="Z332">
        <v>0</v>
      </c>
      <c r="AA332">
        <v>0</v>
      </c>
      <c r="AB332">
        <v>0</v>
      </c>
      <c r="AC332">
        <v>0</v>
      </c>
      <c r="AD332">
        <v>0</v>
      </c>
      <c r="AE332">
        <v>0</v>
      </c>
      <c r="AF332">
        <v>0</v>
      </c>
      <c r="AG332">
        <v>0</v>
      </c>
      <c r="AH332">
        <v>0</v>
      </c>
      <c r="AI332">
        <v>0</v>
      </c>
      <c r="AJ332">
        <v>0</v>
      </c>
      <c r="AK332">
        <v>0</v>
      </c>
      <c r="AL332">
        <v>0</v>
      </c>
      <c r="AM332">
        <v>0</v>
      </c>
      <c r="AN332">
        <v>0</v>
      </c>
    </row>
    <row r="333" spans="25:40" x14ac:dyDescent="0.3">
      <c r="Y333">
        <v>151.4</v>
      </c>
      <c r="Z333">
        <v>153</v>
      </c>
      <c r="AA333">
        <v>135</v>
      </c>
      <c r="AB333">
        <v>0</v>
      </c>
      <c r="AC333">
        <v>134</v>
      </c>
      <c r="AD333">
        <v>0</v>
      </c>
      <c r="AE333">
        <v>167.5</v>
      </c>
      <c r="AF333">
        <v>0</v>
      </c>
      <c r="AG333">
        <v>0</v>
      </c>
      <c r="AH333">
        <v>0</v>
      </c>
      <c r="AI333">
        <v>0</v>
      </c>
      <c r="AJ333">
        <v>0</v>
      </c>
      <c r="AK333">
        <v>0</v>
      </c>
      <c r="AL333">
        <v>0</v>
      </c>
      <c r="AM333">
        <v>0</v>
      </c>
      <c r="AN333">
        <v>0</v>
      </c>
    </row>
    <row r="334" spans="25:40" x14ac:dyDescent="0.3">
      <c r="Y334">
        <v>155.4</v>
      </c>
      <c r="Z334">
        <v>0</v>
      </c>
      <c r="AA334">
        <v>0</v>
      </c>
      <c r="AB334">
        <v>0</v>
      </c>
      <c r="AC334">
        <v>0</v>
      </c>
      <c r="AD334">
        <v>0</v>
      </c>
      <c r="AE334">
        <v>172.5</v>
      </c>
      <c r="AF334">
        <v>0</v>
      </c>
      <c r="AG334">
        <v>146</v>
      </c>
      <c r="AH334">
        <v>140</v>
      </c>
      <c r="AI334">
        <v>0</v>
      </c>
      <c r="AJ334">
        <v>0</v>
      </c>
      <c r="AK334">
        <v>0</v>
      </c>
      <c r="AL334">
        <v>0</v>
      </c>
      <c r="AM334">
        <v>0</v>
      </c>
      <c r="AN334">
        <v>0</v>
      </c>
    </row>
    <row r="335" spans="25:40" x14ac:dyDescent="0.3">
      <c r="Y335">
        <v>24</v>
      </c>
      <c r="Z335">
        <v>26</v>
      </c>
      <c r="AA335">
        <v>23.5</v>
      </c>
      <c r="AB335">
        <v>23.5</v>
      </c>
      <c r="AC335">
        <v>0</v>
      </c>
      <c r="AD335">
        <v>0</v>
      </c>
      <c r="AE335">
        <v>0</v>
      </c>
      <c r="AF335">
        <v>0</v>
      </c>
      <c r="AG335">
        <v>0</v>
      </c>
      <c r="AH335">
        <v>0</v>
      </c>
      <c r="AI335">
        <v>0</v>
      </c>
      <c r="AJ335">
        <v>0</v>
      </c>
      <c r="AK335">
        <v>0</v>
      </c>
      <c r="AL335">
        <v>0</v>
      </c>
      <c r="AM335">
        <v>0</v>
      </c>
      <c r="AN335">
        <v>0</v>
      </c>
    </row>
    <row r="336" spans="25:40" x14ac:dyDescent="0.3">
      <c r="Y336">
        <v>137.4</v>
      </c>
      <c r="Z336">
        <v>133</v>
      </c>
      <c r="AA336">
        <v>141</v>
      </c>
      <c r="AB336">
        <v>139</v>
      </c>
      <c r="AC336">
        <v>0</v>
      </c>
      <c r="AD336">
        <v>0</v>
      </c>
      <c r="AE336">
        <v>0</v>
      </c>
      <c r="AF336">
        <v>0</v>
      </c>
      <c r="AG336">
        <v>0</v>
      </c>
      <c r="AH336">
        <v>0</v>
      </c>
      <c r="AI336">
        <v>0</v>
      </c>
      <c r="AJ336">
        <v>0</v>
      </c>
      <c r="AK336">
        <v>0</v>
      </c>
      <c r="AL336">
        <v>0</v>
      </c>
      <c r="AM336">
        <v>0</v>
      </c>
      <c r="AN336">
        <v>0</v>
      </c>
    </row>
    <row r="337" spans="25:40" x14ac:dyDescent="0.3">
      <c r="Y337">
        <v>49.6</v>
      </c>
      <c r="Z337">
        <v>0</v>
      </c>
      <c r="AA337">
        <v>0</v>
      </c>
      <c r="AB337">
        <v>53</v>
      </c>
      <c r="AC337">
        <v>0</v>
      </c>
      <c r="AD337">
        <v>0</v>
      </c>
      <c r="AE337">
        <v>0</v>
      </c>
      <c r="AF337">
        <v>0</v>
      </c>
      <c r="AG337">
        <v>0</v>
      </c>
      <c r="AH337">
        <v>49</v>
      </c>
      <c r="AI337">
        <v>48.666666666666664</v>
      </c>
      <c r="AJ337">
        <v>0</v>
      </c>
      <c r="AK337">
        <v>0</v>
      </c>
      <c r="AL337">
        <v>0</v>
      </c>
      <c r="AM337">
        <v>0</v>
      </c>
      <c r="AN337">
        <v>0</v>
      </c>
    </row>
    <row r="338" spans="25:40" x14ac:dyDescent="0.3">
      <c r="Y338">
        <v>165.2</v>
      </c>
      <c r="Z338">
        <v>0</v>
      </c>
      <c r="AA338">
        <v>0</v>
      </c>
      <c r="AB338">
        <v>171.5</v>
      </c>
      <c r="AC338">
        <v>0</v>
      </c>
      <c r="AD338">
        <v>197</v>
      </c>
      <c r="AE338">
        <v>0</v>
      </c>
      <c r="AF338">
        <v>0</v>
      </c>
      <c r="AG338">
        <v>143</v>
      </c>
      <c r="AH338">
        <v>0</v>
      </c>
      <c r="AI338">
        <v>0</v>
      </c>
      <c r="AJ338">
        <v>0</v>
      </c>
      <c r="AK338">
        <v>0</v>
      </c>
      <c r="AL338">
        <v>0</v>
      </c>
      <c r="AM338">
        <v>0</v>
      </c>
      <c r="AN338">
        <v>0</v>
      </c>
    </row>
    <row r="339" spans="25:40" x14ac:dyDescent="0.3">
      <c r="Y339">
        <v>125.4</v>
      </c>
      <c r="Z339">
        <v>0</v>
      </c>
      <c r="AA339">
        <v>124.25</v>
      </c>
      <c r="AB339">
        <v>0</v>
      </c>
      <c r="AC339">
        <v>0</v>
      </c>
      <c r="AD339">
        <v>130</v>
      </c>
      <c r="AE339">
        <v>0</v>
      </c>
      <c r="AF339">
        <v>0</v>
      </c>
      <c r="AG339">
        <v>0</v>
      </c>
      <c r="AH339">
        <v>0</v>
      </c>
      <c r="AI339">
        <v>0</v>
      </c>
      <c r="AJ339">
        <v>0</v>
      </c>
      <c r="AK339">
        <v>0</v>
      </c>
      <c r="AL339">
        <v>0</v>
      </c>
      <c r="AM339">
        <v>0</v>
      </c>
      <c r="AN339">
        <v>0</v>
      </c>
    </row>
    <row r="340" spans="25:40" x14ac:dyDescent="0.3">
      <c r="Y340">
        <v>169</v>
      </c>
      <c r="Z340">
        <v>0</v>
      </c>
      <c r="AA340">
        <v>0</v>
      </c>
      <c r="AB340">
        <v>0</v>
      </c>
      <c r="AC340">
        <v>135</v>
      </c>
      <c r="AD340">
        <v>0</v>
      </c>
      <c r="AE340">
        <v>189.33333333333334</v>
      </c>
      <c r="AF340">
        <v>142</v>
      </c>
      <c r="AG340">
        <v>0</v>
      </c>
      <c r="AH340">
        <v>0</v>
      </c>
      <c r="AI340">
        <v>0</v>
      </c>
      <c r="AJ340">
        <v>0</v>
      </c>
      <c r="AK340">
        <v>0</v>
      </c>
      <c r="AL340">
        <v>0</v>
      </c>
      <c r="AM340">
        <v>0</v>
      </c>
      <c r="AN340">
        <v>0</v>
      </c>
    </row>
    <row r="341" spans="25:40" x14ac:dyDescent="0.3">
      <c r="Y341">
        <v>0</v>
      </c>
      <c r="Z341">
        <v>0</v>
      </c>
      <c r="AA341">
        <v>0</v>
      </c>
      <c r="AB341">
        <v>0</v>
      </c>
      <c r="AC341">
        <v>0</v>
      </c>
      <c r="AD341">
        <v>0</v>
      </c>
      <c r="AE341">
        <v>0</v>
      </c>
      <c r="AF341">
        <v>0</v>
      </c>
      <c r="AG341">
        <v>0</v>
      </c>
      <c r="AH341">
        <v>0</v>
      </c>
      <c r="AI341">
        <v>0</v>
      </c>
      <c r="AJ341">
        <v>0</v>
      </c>
      <c r="AK341">
        <v>0</v>
      </c>
      <c r="AL341">
        <v>0</v>
      </c>
      <c r="AM341">
        <v>0</v>
      </c>
      <c r="AN341">
        <v>0</v>
      </c>
    </row>
    <row r="342" spans="25:40" x14ac:dyDescent="0.3">
      <c r="Y342">
        <v>0</v>
      </c>
      <c r="Z342">
        <v>0</v>
      </c>
      <c r="AA342">
        <v>0</v>
      </c>
      <c r="AB342">
        <v>0</v>
      </c>
      <c r="AC342">
        <v>0</v>
      </c>
      <c r="AD342">
        <v>0</v>
      </c>
      <c r="AE342">
        <v>0</v>
      </c>
      <c r="AF342">
        <v>0</v>
      </c>
      <c r="AG342">
        <v>0</v>
      </c>
      <c r="AH342">
        <v>0</v>
      </c>
      <c r="AI342">
        <v>0</v>
      </c>
      <c r="AJ342">
        <v>0</v>
      </c>
      <c r="AK342">
        <v>0</v>
      </c>
      <c r="AL342">
        <v>0</v>
      </c>
      <c r="AM342">
        <v>0</v>
      </c>
      <c r="AN342">
        <v>0</v>
      </c>
    </row>
    <row r="343" spans="25:40" x14ac:dyDescent="0.3">
      <c r="Y343">
        <v>99.4</v>
      </c>
      <c r="Z343">
        <v>0</v>
      </c>
      <c r="AA343">
        <v>104</v>
      </c>
      <c r="AB343">
        <v>94</v>
      </c>
      <c r="AC343">
        <v>106</v>
      </c>
      <c r="AD343">
        <v>0</v>
      </c>
      <c r="AE343">
        <v>0</v>
      </c>
      <c r="AF343">
        <v>0</v>
      </c>
      <c r="AG343">
        <v>94</v>
      </c>
      <c r="AH343">
        <v>99</v>
      </c>
      <c r="AI343">
        <v>0</v>
      </c>
      <c r="AJ343">
        <v>0</v>
      </c>
      <c r="AK343">
        <v>0</v>
      </c>
      <c r="AL343">
        <v>0</v>
      </c>
      <c r="AM343">
        <v>0</v>
      </c>
      <c r="AN343">
        <v>0</v>
      </c>
    </row>
    <row r="344" spans="25:40" x14ac:dyDescent="0.3">
      <c r="Y344">
        <v>0</v>
      </c>
      <c r="Z344">
        <v>0</v>
      </c>
      <c r="AA344">
        <v>0</v>
      </c>
      <c r="AB344">
        <v>0</v>
      </c>
      <c r="AC344">
        <v>0</v>
      </c>
      <c r="AD344">
        <v>0</v>
      </c>
      <c r="AE344">
        <v>0</v>
      </c>
      <c r="AF344">
        <v>0</v>
      </c>
      <c r="AG344">
        <v>0</v>
      </c>
      <c r="AH344">
        <v>0</v>
      </c>
      <c r="AI344">
        <v>0</v>
      </c>
      <c r="AJ344">
        <v>0</v>
      </c>
      <c r="AK344">
        <v>0</v>
      </c>
      <c r="AL344">
        <v>0</v>
      </c>
      <c r="AM344">
        <v>0</v>
      </c>
      <c r="AN344">
        <v>0</v>
      </c>
    </row>
    <row r="345" spans="25:40" x14ac:dyDescent="0.3">
      <c r="Y345">
        <v>207.25</v>
      </c>
      <c r="Z345">
        <v>0</v>
      </c>
      <c r="AA345">
        <v>0</v>
      </c>
      <c r="AB345">
        <v>0</v>
      </c>
      <c r="AC345">
        <v>0</v>
      </c>
      <c r="AD345">
        <v>0</v>
      </c>
      <c r="AE345">
        <v>0</v>
      </c>
      <c r="AF345">
        <v>0</v>
      </c>
      <c r="AG345">
        <v>0</v>
      </c>
      <c r="AH345">
        <v>0</v>
      </c>
      <c r="AI345">
        <v>0</v>
      </c>
      <c r="AJ345">
        <v>0</v>
      </c>
      <c r="AK345">
        <v>0</v>
      </c>
      <c r="AL345">
        <v>264</v>
      </c>
      <c r="AM345">
        <v>0</v>
      </c>
      <c r="AN345">
        <v>274</v>
      </c>
    </row>
    <row r="346" spans="25:40" x14ac:dyDescent="0.3">
      <c r="Y346">
        <v>222.25</v>
      </c>
      <c r="Z346">
        <v>0</v>
      </c>
      <c r="AA346">
        <v>0</v>
      </c>
      <c r="AB346">
        <v>0</v>
      </c>
      <c r="AC346">
        <v>0</v>
      </c>
      <c r="AD346">
        <v>0</v>
      </c>
      <c r="AE346">
        <v>0</v>
      </c>
      <c r="AF346">
        <v>0</v>
      </c>
      <c r="AG346">
        <v>0</v>
      </c>
      <c r="AH346">
        <v>0</v>
      </c>
      <c r="AI346">
        <v>0</v>
      </c>
      <c r="AJ346">
        <v>0</v>
      </c>
      <c r="AK346">
        <v>0</v>
      </c>
      <c r="AL346">
        <v>0</v>
      </c>
      <c r="AM346">
        <v>0</v>
      </c>
      <c r="AN346">
        <v>199</v>
      </c>
    </row>
    <row r="347" spans="25:40" x14ac:dyDescent="0.3">
      <c r="Y347">
        <v>232.25</v>
      </c>
      <c r="Z347">
        <v>0</v>
      </c>
      <c r="AA347">
        <v>0</v>
      </c>
      <c r="AB347">
        <v>0</v>
      </c>
      <c r="AC347">
        <v>0</v>
      </c>
      <c r="AD347">
        <v>0</v>
      </c>
      <c r="AE347">
        <v>0</v>
      </c>
      <c r="AF347">
        <v>0</v>
      </c>
      <c r="AG347">
        <v>0</v>
      </c>
      <c r="AH347">
        <v>0</v>
      </c>
      <c r="AI347">
        <v>0</v>
      </c>
      <c r="AJ347">
        <v>0</v>
      </c>
      <c r="AK347">
        <v>0</v>
      </c>
      <c r="AL347">
        <v>0</v>
      </c>
      <c r="AM347">
        <v>231</v>
      </c>
      <c r="AN347">
        <v>0</v>
      </c>
    </row>
    <row r="348" spans="25:40" x14ac:dyDescent="0.3">
      <c r="Y348">
        <v>213.5</v>
      </c>
      <c r="Z348">
        <v>0</v>
      </c>
      <c r="AA348">
        <v>0</v>
      </c>
      <c r="AB348">
        <v>0</v>
      </c>
      <c r="AC348">
        <v>0</v>
      </c>
      <c r="AD348">
        <v>0</v>
      </c>
      <c r="AE348">
        <v>0</v>
      </c>
      <c r="AF348">
        <v>0</v>
      </c>
      <c r="AG348">
        <v>0</v>
      </c>
      <c r="AH348">
        <v>168</v>
      </c>
      <c r="AI348">
        <v>0</v>
      </c>
      <c r="AJ348">
        <v>0</v>
      </c>
      <c r="AK348">
        <v>0</v>
      </c>
      <c r="AL348">
        <v>205</v>
      </c>
      <c r="AM348">
        <v>240.5</v>
      </c>
      <c r="AN348">
        <v>0</v>
      </c>
    </row>
    <row r="349" spans="25:40" x14ac:dyDescent="0.3">
      <c r="Y349">
        <v>178.75</v>
      </c>
      <c r="Z349">
        <v>0</v>
      </c>
      <c r="AA349">
        <v>0</v>
      </c>
      <c r="AB349">
        <v>0</v>
      </c>
      <c r="AC349">
        <v>0</v>
      </c>
      <c r="AD349">
        <v>0</v>
      </c>
      <c r="AE349">
        <v>0</v>
      </c>
      <c r="AF349">
        <v>169</v>
      </c>
      <c r="AG349">
        <v>0</v>
      </c>
      <c r="AH349">
        <v>153</v>
      </c>
      <c r="AI349">
        <v>0</v>
      </c>
      <c r="AJ349">
        <v>0</v>
      </c>
      <c r="AK349">
        <v>169</v>
      </c>
      <c r="AL349">
        <v>0</v>
      </c>
      <c r="AM349">
        <v>0</v>
      </c>
      <c r="AN349">
        <v>0</v>
      </c>
    </row>
    <row r="350" spans="25:40" x14ac:dyDescent="0.3">
      <c r="Y350">
        <v>155.25</v>
      </c>
      <c r="Z350">
        <v>0</v>
      </c>
      <c r="AA350">
        <v>0</v>
      </c>
      <c r="AB350">
        <v>0</v>
      </c>
      <c r="AC350">
        <v>0</v>
      </c>
      <c r="AD350">
        <v>0</v>
      </c>
      <c r="AE350">
        <v>143</v>
      </c>
      <c r="AF350">
        <v>143</v>
      </c>
      <c r="AG350">
        <v>0</v>
      </c>
      <c r="AH350">
        <v>0</v>
      </c>
      <c r="AI350">
        <v>0</v>
      </c>
      <c r="AJ350">
        <v>0</v>
      </c>
      <c r="AK350">
        <v>0</v>
      </c>
      <c r="AL350">
        <v>0</v>
      </c>
      <c r="AM350">
        <v>0</v>
      </c>
      <c r="AN350">
        <v>164</v>
      </c>
    </row>
    <row r="351" spans="25:40" x14ac:dyDescent="0.3">
      <c r="Y351">
        <v>156.75</v>
      </c>
      <c r="Z351">
        <v>0</v>
      </c>
      <c r="AA351">
        <v>174</v>
      </c>
      <c r="AB351">
        <v>0</v>
      </c>
      <c r="AC351">
        <v>0</v>
      </c>
      <c r="AD351">
        <v>0</v>
      </c>
      <c r="AE351">
        <v>0</v>
      </c>
      <c r="AF351">
        <v>0</v>
      </c>
      <c r="AG351">
        <v>0</v>
      </c>
      <c r="AH351">
        <v>0</v>
      </c>
      <c r="AI351">
        <v>0</v>
      </c>
      <c r="AJ351">
        <v>0</v>
      </c>
      <c r="AK351">
        <v>0</v>
      </c>
      <c r="AL351">
        <v>150</v>
      </c>
      <c r="AM351">
        <v>153</v>
      </c>
      <c r="AN351">
        <v>0</v>
      </c>
    </row>
    <row r="352" spans="25:40" x14ac:dyDescent="0.3">
      <c r="Y352">
        <v>161.5</v>
      </c>
      <c r="Z352">
        <v>0</v>
      </c>
      <c r="AA352">
        <v>0</v>
      </c>
      <c r="AB352">
        <v>0</v>
      </c>
      <c r="AC352">
        <v>0</v>
      </c>
      <c r="AD352">
        <v>0</v>
      </c>
      <c r="AE352">
        <v>0</v>
      </c>
      <c r="AF352">
        <v>0</v>
      </c>
      <c r="AG352">
        <v>0</v>
      </c>
      <c r="AH352">
        <v>0</v>
      </c>
      <c r="AI352">
        <v>155</v>
      </c>
      <c r="AJ352">
        <v>0</v>
      </c>
      <c r="AK352">
        <v>155</v>
      </c>
      <c r="AL352">
        <v>0</v>
      </c>
      <c r="AM352">
        <v>0</v>
      </c>
      <c r="AN352">
        <v>168</v>
      </c>
    </row>
    <row r="353" spans="25:40" x14ac:dyDescent="0.3">
      <c r="Y353">
        <v>223</v>
      </c>
      <c r="Z353">
        <v>0</v>
      </c>
      <c r="AA353">
        <v>0</v>
      </c>
      <c r="AB353">
        <v>0</v>
      </c>
      <c r="AC353">
        <v>0</v>
      </c>
      <c r="AD353">
        <v>0</v>
      </c>
      <c r="AE353">
        <v>223</v>
      </c>
      <c r="AF353">
        <v>0</v>
      </c>
      <c r="AG353">
        <v>0</v>
      </c>
      <c r="AH353">
        <v>0</v>
      </c>
      <c r="AI353">
        <v>0</v>
      </c>
      <c r="AJ353">
        <v>0</v>
      </c>
      <c r="AK353">
        <v>0</v>
      </c>
      <c r="AL353">
        <v>223</v>
      </c>
      <c r="AM353">
        <v>0</v>
      </c>
      <c r="AN353">
        <v>0</v>
      </c>
    </row>
    <row r="354" spans="25:40" x14ac:dyDescent="0.3">
      <c r="Y354">
        <v>115.5</v>
      </c>
      <c r="Z354">
        <v>0</v>
      </c>
      <c r="AA354">
        <v>0</v>
      </c>
      <c r="AB354">
        <v>0</v>
      </c>
      <c r="AC354">
        <v>0</v>
      </c>
      <c r="AD354">
        <v>115</v>
      </c>
      <c r="AE354">
        <v>0</v>
      </c>
      <c r="AF354">
        <v>0</v>
      </c>
      <c r="AG354">
        <v>115</v>
      </c>
      <c r="AH354">
        <v>0</v>
      </c>
      <c r="AI354">
        <v>0</v>
      </c>
      <c r="AJ354">
        <v>116</v>
      </c>
      <c r="AK354">
        <v>0</v>
      </c>
      <c r="AL354">
        <v>0</v>
      </c>
      <c r="AM354">
        <v>0</v>
      </c>
      <c r="AN354">
        <v>0</v>
      </c>
    </row>
    <row r="355" spans="25:40" x14ac:dyDescent="0.3">
      <c r="Y355">
        <v>130.25</v>
      </c>
      <c r="Z355">
        <v>0</v>
      </c>
      <c r="AA355">
        <v>0</v>
      </c>
      <c r="AB355">
        <v>0</v>
      </c>
      <c r="AC355">
        <v>0</v>
      </c>
      <c r="AD355">
        <v>129</v>
      </c>
      <c r="AE355">
        <v>0</v>
      </c>
      <c r="AF355">
        <v>0</v>
      </c>
      <c r="AG355">
        <v>0</v>
      </c>
      <c r="AH355">
        <v>0</v>
      </c>
      <c r="AI355">
        <v>159</v>
      </c>
      <c r="AJ355">
        <v>0</v>
      </c>
      <c r="AK355">
        <v>114</v>
      </c>
      <c r="AL355">
        <v>119</v>
      </c>
      <c r="AM355">
        <v>0</v>
      </c>
      <c r="AN355">
        <v>0</v>
      </c>
    </row>
    <row r="356" spans="25:40" x14ac:dyDescent="0.3">
      <c r="Y356">
        <v>0</v>
      </c>
      <c r="Z356">
        <v>0</v>
      </c>
      <c r="AA356">
        <v>0</v>
      </c>
      <c r="AB356">
        <v>0</v>
      </c>
      <c r="AC356">
        <v>0</v>
      </c>
      <c r="AD356">
        <v>0</v>
      </c>
      <c r="AE356">
        <v>0</v>
      </c>
      <c r="AF356">
        <v>0</v>
      </c>
      <c r="AG356">
        <v>0</v>
      </c>
      <c r="AH356">
        <v>0</v>
      </c>
      <c r="AI356">
        <v>0</v>
      </c>
      <c r="AJ356">
        <v>0</v>
      </c>
      <c r="AK356">
        <v>0</v>
      </c>
      <c r="AL356">
        <v>0</v>
      </c>
      <c r="AM356">
        <v>0</v>
      </c>
      <c r="AN356">
        <v>0</v>
      </c>
    </row>
    <row r="357" spans="25:40" x14ac:dyDescent="0.3">
      <c r="Y357">
        <v>105.5</v>
      </c>
      <c r="Z357">
        <v>0</v>
      </c>
      <c r="AA357">
        <v>0</v>
      </c>
      <c r="AB357">
        <v>0</v>
      </c>
      <c r="AC357">
        <v>0</v>
      </c>
      <c r="AD357">
        <v>0</v>
      </c>
      <c r="AE357">
        <v>0</v>
      </c>
      <c r="AF357">
        <v>0</v>
      </c>
      <c r="AG357">
        <v>109</v>
      </c>
      <c r="AH357">
        <v>0</v>
      </c>
      <c r="AI357">
        <v>0</v>
      </c>
      <c r="AJ357">
        <v>99</v>
      </c>
      <c r="AK357">
        <v>102</v>
      </c>
      <c r="AL357">
        <v>112</v>
      </c>
      <c r="AM357">
        <v>0</v>
      </c>
      <c r="AN357">
        <v>0</v>
      </c>
    </row>
    <row r="358" spans="25:40" x14ac:dyDescent="0.3">
      <c r="Y358">
        <v>133</v>
      </c>
      <c r="Z358">
        <v>0</v>
      </c>
      <c r="AA358">
        <v>0</v>
      </c>
      <c r="AB358">
        <v>0</v>
      </c>
      <c r="AC358">
        <v>134</v>
      </c>
      <c r="AD358">
        <v>0</v>
      </c>
      <c r="AE358">
        <v>0</v>
      </c>
      <c r="AF358">
        <v>115</v>
      </c>
      <c r="AG358">
        <v>124</v>
      </c>
      <c r="AH358">
        <v>0</v>
      </c>
      <c r="AI358">
        <v>0</v>
      </c>
      <c r="AJ358">
        <v>0</v>
      </c>
      <c r="AK358">
        <v>0</v>
      </c>
      <c r="AL358">
        <v>159</v>
      </c>
      <c r="AM358">
        <v>0</v>
      </c>
      <c r="AN358">
        <v>0</v>
      </c>
    </row>
    <row r="359" spans="25:40" x14ac:dyDescent="0.3">
      <c r="Y359">
        <v>144.5</v>
      </c>
      <c r="Z359">
        <v>0</v>
      </c>
      <c r="AA359">
        <v>160</v>
      </c>
      <c r="AB359">
        <v>0</v>
      </c>
      <c r="AC359">
        <v>0</v>
      </c>
      <c r="AD359">
        <v>147</v>
      </c>
      <c r="AE359">
        <v>0</v>
      </c>
      <c r="AF359">
        <v>0</v>
      </c>
      <c r="AG359">
        <v>124</v>
      </c>
      <c r="AH359">
        <v>0</v>
      </c>
      <c r="AI359">
        <v>0</v>
      </c>
      <c r="AJ359">
        <v>0</v>
      </c>
      <c r="AK359">
        <v>147</v>
      </c>
      <c r="AL359">
        <v>0</v>
      </c>
      <c r="AM359">
        <v>0</v>
      </c>
      <c r="AN359">
        <v>0</v>
      </c>
    </row>
    <row r="360" spans="25:40" x14ac:dyDescent="0.3">
      <c r="Y360">
        <v>143.25</v>
      </c>
      <c r="Z360">
        <v>0</v>
      </c>
      <c r="AA360">
        <v>0</v>
      </c>
      <c r="AB360">
        <v>0</v>
      </c>
      <c r="AC360">
        <v>0</v>
      </c>
      <c r="AD360">
        <v>139</v>
      </c>
      <c r="AE360">
        <v>170</v>
      </c>
      <c r="AF360">
        <v>0</v>
      </c>
      <c r="AG360">
        <v>0</v>
      </c>
      <c r="AH360">
        <v>0</v>
      </c>
      <c r="AI360">
        <v>0</v>
      </c>
      <c r="AJ360">
        <v>125</v>
      </c>
      <c r="AK360">
        <v>0</v>
      </c>
      <c r="AL360">
        <v>0</v>
      </c>
      <c r="AM360">
        <v>0</v>
      </c>
      <c r="AN360">
        <v>0</v>
      </c>
    </row>
    <row r="361" spans="25:40" x14ac:dyDescent="0.3">
      <c r="Y361">
        <v>176.5</v>
      </c>
      <c r="Z361">
        <v>0</v>
      </c>
      <c r="AA361">
        <v>0</v>
      </c>
      <c r="AB361">
        <v>0</v>
      </c>
      <c r="AC361">
        <v>0</v>
      </c>
      <c r="AD361">
        <v>0</v>
      </c>
      <c r="AE361">
        <v>0</v>
      </c>
      <c r="AF361">
        <v>189</v>
      </c>
      <c r="AG361">
        <v>189</v>
      </c>
      <c r="AH361">
        <v>0</v>
      </c>
      <c r="AI361">
        <v>0</v>
      </c>
      <c r="AJ361">
        <v>0</v>
      </c>
      <c r="AK361">
        <v>0</v>
      </c>
      <c r="AL361">
        <v>0</v>
      </c>
      <c r="AM361">
        <v>0</v>
      </c>
      <c r="AN361">
        <v>0</v>
      </c>
    </row>
    <row r="362" spans="25:40" x14ac:dyDescent="0.3">
      <c r="Y362">
        <v>153.25</v>
      </c>
      <c r="Z362">
        <v>0</v>
      </c>
      <c r="AA362">
        <v>0</v>
      </c>
      <c r="AB362">
        <v>0</v>
      </c>
      <c r="AC362">
        <v>0</v>
      </c>
      <c r="AD362">
        <v>0</v>
      </c>
      <c r="AE362">
        <v>136</v>
      </c>
      <c r="AF362">
        <v>159</v>
      </c>
      <c r="AG362">
        <v>0</v>
      </c>
      <c r="AH362">
        <v>0</v>
      </c>
      <c r="AI362">
        <v>0</v>
      </c>
      <c r="AJ362">
        <v>0</v>
      </c>
      <c r="AK362">
        <v>0</v>
      </c>
      <c r="AL362">
        <v>0</v>
      </c>
      <c r="AM362">
        <v>0</v>
      </c>
      <c r="AN362">
        <v>0</v>
      </c>
    </row>
    <row r="363" spans="25:40" x14ac:dyDescent="0.3">
      <c r="Y363">
        <v>130.25</v>
      </c>
      <c r="Z363">
        <v>0</v>
      </c>
      <c r="AA363">
        <v>0</v>
      </c>
      <c r="AB363">
        <v>0</v>
      </c>
      <c r="AC363">
        <v>0</v>
      </c>
      <c r="AD363">
        <v>110</v>
      </c>
      <c r="AE363">
        <v>153</v>
      </c>
      <c r="AF363">
        <v>105</v>
      </c>
      <c r="AG363">
        <v>0</v>
      </c>
      <c r="AH363">
        <v>0</v>
      </c>
      <c r="AI363">
        <v>0</v>
      </c>
      <c r="AJ363">
        <v>0</v>
      </c>
      <c r="AK363">
        <v>0</v>
      </c>
      <c r="AL363">
        <v>0</v>
      </c>
      <c r="AM363">
        <v>0</v>
      </c>
      <c r="AN363">
        <v>0</v>
      </c>
    </row>
    <row r="364" spans="25:40" x14ac:dyDescent="0.3">
      <c r="Y364">
        <v>204.25</v>
      </c>
      <c r="Z364">
        <v>0</v>
      </c>
      <c r="AA364">
        <v>0</v>
      </c>
      <c r="AB364">
        <v>0</v>
      </c>
      <c r="AC364">
        <v>0</v>
      </c>
      <c r="AD364">
        <v>203.66666666666666</v>
      </c>
      <c r="AE364">
        <v>206</v>
      </c>
      <c r="AF364">
        <v>0</v>
      </c>
      <c r="AG364">
        <v>0</v>
      </c>
      <c r="AH364">
        <v>0</v>
      </c>
      <c r="AI364">
        <v>0</v>
      </c>
      <c r="AJ364">
        <v>0</v>
      </c>
      <c r="AK364">
        <v>0</v>
      </c>
      <c r="AL364">
        <v>0</v>
      </c>
      <c r="AM364">
        <v>0</v>
      </c>
      <c r="AN364">
        <v>0</v>
      </c>
    </row>
    <row r="365" spans="25:40" x14ac:dyDescent="0.3">
      <c r="Y365">
        <v>243</v>
      </c>
      <c r="Z365">
        <v>0</v>
      </c>
      <c r="AA365">
        <v>0</v>
      </c>
      <c r="AB365">
        <v>0</v>
      </c>
      <c r="AC365">
        <v>0</v>
      </c>
      <c r="AD365">
        <v>0</v>
      </c>
      <c r="AE365">
        <v>243</v>
      </c>
      <c r="AF365">
        <v>243</v>
      </c>
      <c r="AG365">
        <v>0</v>
      </c>
      <c r="AH365">
        <v>0</v>
      </c>
      <c r="AI365">
        <v>0</v>
      </c>
      <c r="AJ365">
        <v>0</v>
      </c>
      <c r="AK365">
        <v>0</v>
      </c>
      <c r="AL365">
        <v>0</v>
      </c>
      <c r="AM365">
        <v>0</v>
      </c>
      <c r="AN365">
        <v>0</v>
      </c>
    </row>
    <row r="366" spans="25:40" x14ac:dyDescent="0.3">
      <c r="Y366">
        <v>174</v>
      </c>
      <c r="Z366">
        <v>0</v>
      </c>
      <c r="AA366">
        <v>0</v>
      </c>
      <c r="AB366">
        <v>174</v>
      </c>
      <c r="AC366">
        <v>0</v>
      </c>
      <c r="AD366">
        <v>0</v>
      </c>
      <c r="AE366">
        <v>179</v>
      </c>
      <c r="AF366">
        <v>0</v>
      </c>
      <c r="AG366">
        <v>171.5</v>
      </c>
      <c r="AH366">
        <v>0</v>
      </c>
      <c r="AI366">
        <v>0</v>
      </c>
      <c r="AJ366">
        <v>0</v>
      </c>
      <c r="AK366">
        <v>0</v>
      </c>
      <c r="AL366">
        <v>0</v>
      </c>
      <c r="AM366">
        <v>0</v>
      </c>
      <c r="AN366">
        <v>0</v>
      </c>
    </row>
    <row r="367" spans="25:40" x14ac:dyDescent="0.3">
      <c r="Y367">
        <v>196.5</v>
      </c>
      <c r="Z367">
        <v>0</v>
      </c>
      <c r="AA367">
        <v>0</v>
      </c>
      <c r="AB367">
        <v>0</v>
      </c>
      <c r="AC367">
        <v>0</v>
      </c>
      <c r="AD367">
        <v>0</v>
      </c>
      <c r="AE367">
        <v>210</v>
      </c>
      <c r="AF367">
        <v>0</v>
      </c>
      <c r="AG367">
        <v>0</v>
      </c>
      <c r="AH367">
        <v>0</v>
      </c>
      <c r="AI367">
        <v>156</v>
      </c>
      <c r="AJ367">
        <v>0</v>
      </c>
      <c r="AK367">
        <v>0</v>
      </c>
      <c r="AL367">
        <v>0</v>
      </c>
      <c r="AM367">
        <v>0</v>
      </c>
      <c r="AN367">
        <v>0</v>
      </c>
    </row>
    <row r="368" spans="25:40" x14ac:dyDescent="0.3">
      <c r="Y368">
        <v>178</v>
      </c>
      <c r="Z368">
        <v>0</v>
      </c>
      <c r="AA368">
        <v>0</v>
      </c>
      <c r="AB368">
        <v>0</v>
      </c>
      <c r="AC368">
        <v>0</v>
      </c>
      <c r="AD368">
        <v>187</v>
      </c>
      <c r="AE368">
        <v>167</v>
      </c>
      <c r="AF368">
        <v>191</v>
      </c>
      <c r="AG368">
        <v>0</v>
      </c>
      <c r="AH368">
        <v>0</v>
      </c>
      <c r="AI368">
        <v>0</v>
      </c>
      <c r="AJ368">
        <v>0</v>
      </c>
      <c r="AK368">
        <v>0</v>
      </c>
      <c r="AL368">
        <v>0</v>
      </c>
      <c r="AM368">
        <v>0</v>
      </c>
      <c r="AN368">
        <v>0</v>
      </c>
    </row>
    <row r="369" spans="25:40" x14ac:dyDescent="0.3">
      <c r="Y369">
        <v>130.75</v>
      </c>
      <c r="Z369">
        <v>0</v>
      </c>
      <c r="AA369">
        <v>0</v>
      </c>
      <c r="AB369">
        <v>0</v>
      </c>
      <c r="AC369">
        <v>132</v>
      </c>
      <c r="AD369">
        <v>0</v>
      </c>
      <c r="AE369">
        <v>129.5</v>
      </c>
      <c r="AF369">
        <v>0</v>
      </c>
      <c r="AG369">
        <v>0</v>
      </c>
      <c r="AH369">
        <v>0</v>
      </c>
      <c r="AI369">
        <v>0</v>
      </c>
      <c r="AJ369">
        <v>0</v>
      </c>
      <c r="AK369">
        <v>0</v>
      </c>
      <c r="AL369">
        <v>0</v>
      </c>
      <c r="AM369">
        <v>0</v>
      </c>
      <c r="AN369">
        <v>0</v>
      </c>
    </row>
    <row r="370" spans="25:40" x14ac:dyDescent="0.3">
      <c r="Y370">
        <v>0</v>
      </c>
      <c r="Z370">
        <v>0</v>
      </c>
      <c r="AA370">
        <v>0</v>
      </c>
      <c r="AB370">
        <v>0</v>
      </c>
      <c r="AC370">
        <v>0</v>
      </c>
      <c r="AD370">
        <v>0</v>
      </c>
      <c r="AE370">
        <v>0</v>
      </c>
      <c r="AF370">
        <v>0</v>
      </c>
      <c r="AG370">
        <v>0</v>
      </c>
      <c r="AH370">
        <v>0</v>
      </c>
      <c r="AI370">
        <v>0</v>
      </c>
      <c r="AJ370">
        <v>0</v>
      </c>
      <c r="AK370">
        <v>0</v>
      </c>
      <c r="AL370">
        <v>0</v>
      </c>
      <c r="AM370">
        <v>0</v>
      </c>
      <c r="AN370">
        <v>0</v>
      </c>
    </row>
    <row r="371" spans="25:40" x14ac:dyDescent="0.3">
      <c r="Y371">
        <v>0</v>
      </c>
      <c r="Z371">
        <v>0</v>
      </c>
      <c r="AA371">
        <v>0</v>
      </c>
      <c r="AB371">
        <v>0</v>
      </c>
      <c r="AC371">
        <v>0</v>
      </c>
      <c r="AD371">
        <v>0</v>
      </c>
      <c r="AE371">
        <v>0</v>
      </c>
      <c r="AF371">
        <v>0</v>
      </c>
      <c r="AG371">
        <v>0</v>
      </c>
      <c r="AH371">
        <v>0</v>
      </c>
      <c r="AI371">
        <v>0</v>
      </c>
      <c r="AJ371">
        <v>0</v>
      </c>
      <c r="AK371">
        <v>0</v>
      </c>
      <c r="AL371">
        <v>0</v>
      </c>
      <c r="AM371">
        <v>0</v>
      </c>
      <c r="AN371">
        <v>0</v>
      </c>
    </row>
    <row r="372" spans="25:40" x14ac:dyDescent="0.3">
      <c r="Y372">
        <v>0</v>
      </c>
      <c r="Z372">
        <v>0</v>
      </c>
      <c r="AA372">
        <v>0</v>
      </c>
      <c r="AB372">
        <v>0</v>
      </c>
      <c r="AC372">
        <v>0</v>
      </c>
      <c r="AD372">
        <v>0</v>
      </c>
      <c r="AE372">
        <v>0</v>
      </c>
      <c r="AF372">
        <v>0</v>
      </c>
      <c r="AG372">
        <v>0</v>
      </c>
      <c r="AH372">
        <v>0</v>
      </c>
      <c r="AI372">
        <v>0</v>
      </c>
      <c r="AJ372">
        <v>0</v>
      </c>
      <c r="AK372">
        <v>0</v>
      </c>
      <c r="AL372">
        <v>0</v>
      </c>
      <c r="AM372">
        <v>0</v>
      </c>
      <c r="AN372">
        <v>0</v>
      </c>
    </row>
    <row r="373" spans="25:40" x14ac:dyDescent="0.3">
      <c r="Y373">
        <v>0</v>
      </c>
      <c r="Z373">
        <v>0</v>
      </c>
      <c r="AA373">
        <v>0</v>
      </c>
      <c r="AB373">
        <v>0</v>
      </c>
      <c r="AC373">
        <v>0</v>
      </c>
      <c r="AD373">
        <v>0</v>
      </c>
      <c r="AE373">
        <v>0</v>
      </c>
      <c r="AF373">
        <v>0</v>
      </c>
      <c r="AG373">
        <v>0</v>
      </c>
      <c r="AH373">
        <v>0</v>
      </c>
      <c r="AI373">
        <v>0</v>
      </c>
      <c r="AJ373">
        <v>0</v>
      </c>
      <c r="AK373">
        <v>0</v>
      </c>
      <c r="AL373">
        <v>0</v>
      </c>
      <c r="AM373">
        <v>0</v>
      </c>
      <c r="AN373">
        <v>0</v>
      </c>
    </row>
    <row r="374" spans="25:40" x14ac:dyDescent="0.3">
      <c r="Y374">
        <v>128</v>
      </c>
      <c r="Z374">
        <v>0</v>
      </c>
      <c r="AA374">
        <v>0</v>
      </c>
      <c r="AB374">
        <v>133</v>
      </c>
      <c r="AC374">
        <v>0</v>
      </c>
      <c r="AD374">
        <v>141</v>
      </c>
      <c r="AE374">
        <v>0</v>
      </c>
      <c r="AF374">
        <v>0</v>
      </c>
      <c r="AG374">
        <v>119</v>
      </c>
      <c r="AH374">
        <v>0</v>
      </c>
      <c r="AI374">
        <v>0</v>
      </c>
      <c r="AJ374">
        <v>0</v>
      </c>
      <c r="AK374">
        <v>0</v>
      </c>
      <c r="AL374">
        <v>0</v>
      </c>
      <c r="AM374">
        <v>0</v>
      </c>
      <c r="AN374">
        <v>0</v>
      </c>
    </row>
    <row r="375" spans="25:40" x14ac:dyDescent="0.3">
      <c r="Y375">
        <v>0</v>
      </c>
      <c r="Z375">
        <v>0</v>
      </c>
      <c r="AA375">
        <v>0</v>
      </c>
      <c r="AB375">
        <v>0</v>
      </c>
      <c r="AC375">
        <v>0</v>
      </c>
      <c r="AD375">
        <v>0</v>
      </c>
      <c r="AE375">
        <v>0</v>
      </c>
      <c r="AF375">
        <v>0</v>
      </c>
      <c r="AG375">
        <v>0</v>
      </c>
      <c r="AH375">
        <v>0</v>
      </c>
      <c r="AI375">
        <v>0</v>
      </c>
      <c r="AJ375">
        <v>0</v>
      </c>
      <c r="AK375">
        <v>0</v>
      </c>
      <c r="AL375">
        <v>0</v>
      </c>
      <c r="AM375">
        <v>0</v>
      </c>
      <c r="AN375">
        <v>0</v>
      </c>
    </row>
    <row r="376" spans="25:40" x14ac:dyDescent="0.3">
      <c r="Y376">
        <v>0</v>
      </c>
      <c r="Z376">
        <v>0</v>
      </c>
      <c r="AA376">
        <v>0</v>
      </c>
      <c r="AB376">
        <v>0</v>
      </c>
      <c r="AC376">
        <v>0</v>
      </c>
      <c r="AD376">
        <v>0</v>
      </c>
      <c r="AE376">
        <v>0</v>
      </c>
      <c r="AF376">
        <v>0</v>
      </c>
      <c r="AG376">
        <v>0</v>
      </c>
      <c r="AH376">
        <v>0</v>
      </c>
      <c r="AI376">
        <v>0</v>
      </c>
      <c r="AJ376">
        <v>0</v>
      </c>
      <c r="AK376">
        <v>0</v>
      </c>
      <c r="AL376">
        <v>0</v>
      </c>
      <c r="AM376">
        <v>0</v>
      </c>
      <c r="AN376">
        <v>0</v>
      </c>
    </row>
    <row r="377" spans="25:40" x14ac:dyDescent="0.3">
      <c r="Y377">
        <v>0</v>
      </c>
      <c r="Z377">
        <v>0</v>
      </c>
      <c r="AA377">
        <v>0</v>
      </c>
      <c r="AB377">
        <v>0</v>
      </c>
      <c r="AC377">
        <v>0</v>
      </c>
      <c r="AD377">
        <v>0</v>
      </c>
      <c r="AE377">
        <v>0</v>
      </c>
      <c r="AF377">
        <v>0</v>
      </c>
      <c r="AG377">
        <v>0</v>
      </c>
      <c r="AH377">
        <v>0</v>
      </c>
      <c r="AI377">
        <v>0</v>
      </c>
      <c r="AJ377">
        <v>0</v>
      </c>
      <c r="AK377">
        <v>0</v>
      </c>
      <c r="AL377">
        <v>0</v>
      </c>
      <c r="AM377">
        <v>0</v>
      </c>
      <c r="AN377">
        <v>0</v>
      </c>
    </row>
    <row r="378" spans="25:40" x14ac:dyDescent="0.3">
      <c r="Y378">
        <v>0</v>
      </c>
      <c r="Z378">
        <v>0</v>
      </c>
      <c r="AA378">
        <v>0</v>
      </c>
      <c r="AB378">
        <v>0</v>
      </c>
      <c r="AC378">
        <v>0</v>
      </c>
      <c r="AD378">
        <v>0</v>
      </c>
      <c r="AE378">
        <v>0</v>
      </c>
      <c r="AF378">
        <v>0</v>
      </c>
      <c r="AG378">
        <v>0</v>
      </c>
      <c r="AH378">
        <v>0</v>
      </c>
      <c r="AI378">
        <v>0</v>
      </c>
      <c r="AJ378">
        <v>0</v>
      </c>
      <c r="AK378">
        <v>0</v>
      </c>
      <c r="AL378">
        <v>0</v>
      </c>
      <c r="AM378">
        <v>0</v>
      </c>
      <c r="AN378">
        <v>0</v>
      </c>
    </row>
    <row r="379" spans="25:40" x14ac:dyDescent="0.3">
      <c r="Y379">
        <v>0</v>
      </c>
      <c r="Z379">
        <v>0</v>
      </c>
      <c r="AA379">
        <v>0</v>
      </c>
      <c r="AB379">
        <v>0</v>
      </c>
      <c r="AC379">
        <v>0</v>
      </c>
      <c r="AD379">
        <v>0</v>
      </c>
      <c r="AE379">
        <v>0</v>
      </c>
      <c r="AF379">
        <v>0</v>
      </c>
      <c r="AG379">
        <v>0</v>
      </c>
      <c r="AH379">
        <v>0</v>
      </c>
      <c r="AI379">
        <v>0</v>
      </c>
      <c r="AJ379">
        <v>0</v>
      </c>
      <c r="AK379">
        <v>0</v>
      </c>
      <c r="AL379">
        <v>0</v>
      </c>
      <c r="AM379">
        <v>0</v>
      </c>
      <c r="AN379">
        <v>0</v>
      </c>
    </row>
    <row r="380" spans="25:40" x14ac:dyDescent="0.3">
      <c r="Y380">
        <v>64.25</v>
      </c>
      <c r="Z380">
        <v>0</v>
      </c>
      <c r="AA380">
        <v>0</v>
      </c>
      <c r="AB380">
        <v>63.333333333333336</v>
      </c>
      <c r="AC380">
        <v>0</v>
      </c>
      <c r="AD380">
        <v>67</v>
      </c>
      <c r="AE380">
        <v>0</v>
      </c>
      <c r="AF380">
        <v>0</v>
      </c>
      <c r="AG380">
        <v>0</v>
      </c>
      <c r="AH380">
        <v>0</v>
      </c>
      <c r="AI380">
        <v>0</v>
      </c>
      <c r="AJ380">
        <v>0</v>
      </c>
      <c r="AK380">
        <v>0</v>
      </c>
      <c r="AL380">
        <v>0</v>
      </c>
      <c r="AM380">
        <v>0</v>
      </c>
      <c r="AN380">
        <v>0</v>
      </c>
    </row>
    <row r="381" spans="25:40" x14ac:dyDescent="0.3">
      <c r="Y381">
        <v>140.75</v>
      </c>
      <c r="Z381">
        <v>0</v>
      </c>
      <c r="AA381">
        <v>0</v>
      </c>
      <c r="AB381">
        <v>0</v>
      </c>
      <c r="AC381">
        <v>0</v>
      </c>
      <c r="AD381">
        <v>0</v>
      </c>
      <c r="AE381">
        <v>0</v>
      </c>
      <c r="AF381">
        <v>139.5</v>
      </c>
      <c r="AG381">
        <v>0</v>
      </c>
      <c r="AH381">
        <v>142</v>
      </c>
      <c r="AI381">
        <v>0</v>
      </c>
      <c r="AJ381">
        <v>0</v>
      </c>
      <c r="AK381">
        <v>0</v>
      </c>
      <c r="AL381">
        <v>0</v>
      </c>
      <c r="AM381">
        <v>0</v>
      </c>
      <c r="AN381">
        <v>0</v>
      </c>
    </row>
    <row r="382" spans="25:40" x14ac:dyDescent="0.3">
      <c r="Y382">
        <v>133.75</v>
      </c>
      <c r="Z382">
        <v>0</v>
      </c>
      <c r="AA382">
        <v>178</v>
      </c>
      <c r="AB382">
        <v>0</v>
      </c>
      <c r="AC382">
        <v>0</v>
      </c>
      <c r="AD382">
        <v>0</v>
      </c>
      <c r="AE382">
        <v>119</v>
      </c>
      <c r="AF382">
        <v>0</v>
      </c>
      <c r="AG382">
        <v>0</v>
      </c>
      <c r="AH382">
        <v>119</v>
      </c>
      <c r="AI382">
        <v>0</v>
      </c>
      <c r="AJ382">
        <v>0</v>
      </c>
      <c r="AK382">
        <v>0</v>
      </c>
      <c r="AL382">
        <v>0</v>
      </c>
      <c r="AM382">
        <v>0</v>
      </c>
      <c r="AN382">
        <v>0</v>
      </c>
    </row>
    <row r="383" spans="25:40" x14ac:dyDescent="0.3">
      <c r="Y383">
        <v>103</v>
      </c>
      <c r="Z383">
        <v>0</v>
      </c>
      <c r="AA383">
        <v>0</v>
      </c>
      <c r="AB383">
        <v>0</v>
      </c>
      <c r="AC383">
        <v>103</v>
      </c>
      <c r="AD383">
        <v>0</v>
      </c>
      <c r="AE383">
        <v>0</v>
      </c>
      <c r="AF383">
        <v>103</v>
      </c>
      <c r="AG383">
        <v>0</v>
      </c>
      <c r="AH383">
        <v>103</v>
      </c>
      <c r="AI383">
        <v>0</v>
      </c>
      <c r="AJ383">
        <v>0</v>
      </c>
      <c r="AK383">
        <v>0</v>
      </c>
      <c r="AL383">
        <v>0</v>
      </c>
      <c r="AM383">
        <v>0</v>
      </c>
      <c r="AN383">
        <v>0</v>
      </c>
    </row>
    <row r="384" spans="25:40" x14ac:dyDescent="0.3">
      <c r="Y384">
        <v>0</v>
      </c>
      <c r="Z384">
        <v>0</v>
      </c>
      <c r="AA384">
        <v>0</v>
      </c>
      <c r="AB384">
        <v>0</v>
      </c>
      <c r="AC384">
        <v>0</v>
      </c>
      <c r="AD384">
        <v>0</v>
      </c>
      <c r="AE384">
        <v>0</v>
      </c>
      <c r="AF384">
        <v>0</v>
      </c>
      <c r="AG384">
        <v>0</v>
      </c>
      <c r="AH384">
        <v>0</v>
      </c>
      <c r="AI384">
        <v>0</v>
      </c>
      <c r="AJ384">
        <v>0</v>
      </c>
      <c r="AK384">
        <v>0</v>
      </c>
      <c r="AL384">
        <v>0</v>
      </c>
      <c r="AM384">
        <v>0</v>
      </c>
      <c r="AN384">
        <v>0</v>
      </c>
    </row>
    <row r="385" spans="25:40" x14ac:dyDescent="0.3">
      <c r="Y385">
        <v>167.5</v>
      </c>
      <c r="Z385">
        <v>167</v>
      </c>
      <c r="AA385">
        <v>0</v>
      </c>
      <c r="AB385">
        <v>0</v>
      </c>
      <c r="AC385">
        <v>168</v>
      </c>
      <c r="AD385">
        <v>0</v>
      </c>
      <c r="AE385">
        <v>0</v>
      </c>
      <c r="AF385">
        <v>0</v>
      </c>
      <c r="AG385">
        <v>0</v>
      </c>
      <c r="AH385">
        <v>0</v>
      </c>
      <c r="AI385">
        <v>0</v>
      </c>
      <c r="AJ385">
        <v>0</v>
      </c>
      <c r="AK385">
        <v>0</v>
      </c>
      <c r="AL385">
        <v>0</v>
      </c>
      <c r="AM385">
        <v>0</v>
      </c>
      <c r="AN385">
        <v>0</v>
      </c>
    </row>
    <row r="386" spans="25:40" x14ac:dyDescent="0.3">
      <c r="Y386">
        <v>131.75</v>
      </c>
      <c r="Z386">
        <v>0</v>
      </c>
      <c r="AA386">
        <v>147</v>
      </c>
      <c r="AB386">
        <v>158</v>
      </c>
      <c r="AC386">
        <v>0</v>
      </c>
      <c r="AD386">
        <v>0</v>
      </c>
      <c r="AE386">
        <v>0</v>
      </c>
      <c r="AF386">
        <v>0</v>
      </c>
      <c r="AG386">
        <v>111</v>
      </c>
      <c r="AH386">
        <v>0</v>
      </c>
      <c r="AI386">
        <v>0</v>
      </c>
      <c r="AJ386">
        <v>0</v>
      </c>
      <c r="AK386">
        <v>0</v>
      </c>
      <c r="AL386">
        <v>0</v>
      </c>
      <c r="AM386">
        <v>0</v>
      </c>
      <c r="AN386">
        <v>0</v>
      </c>
    </row>
    <row r="387" spans="25:40" x14ac:dyDescent="0.3">
      <c r="Y387">
        <v>212.25</v>
      </c>
      <c r="Z387">
        <v>224</v>
      </c>
      <c r="AA387">
        <v>0</v>
      </c>
      <c r="AB387">
        <v>241</v>
      </c>
      <c r="AC387">
        <v>185</v>
      </c>
      <c r="AD387">
        <v>0</v>
      </c>
      <c r="AE387">
        <v>0</v>
      </c>
      <c r="AF387">
        <v>0</v>
      </c>
      <c r="AG387">
        <v>199</v>
      </c>
      <c r="AH387">
        <v>0</v>
      </c>
      <c r="AI387">
        <v>0</v>
      </c>
      <c r="AJ387">
        <v>0</v>
      </c>
      <c r="AK387">
        <v>0</v>
      </c>
      <c r="AL387">
        <v>0</v>
      </c>
      <c r="AM387">
        <v>0</v>
      </c>
      <c r="AN387">
        <v>0</v>
      </c>
    </row>
    <row r="388" spans="25:40" x14ac:dyDescent="0.3">
      <c r="Y388">
        <v>244.5</v>
      </c>
      <c r="Z388">
        <v>0</v>
      </c>
      <c r="AA388">
        <v>0</v>
      </c>
      <c r="AB388">
        <v>242</v>
      </c>
      <c r="AC388">
        <v>247</v>
      </c>
      <c r="AD388">
        <v>0</v>
      </c>
      <c r="AE388">
        <v>0</v>
      </c>
      <c r="AF388">
        <v>0</v>
      </c>
      <c r="AG388">
        <v>0</v>
      </c>
      <c r="AH388">
        <v>0</v>
      </c>
      <c r="AI388">
        <v>0</v>
      </c>
      <c r="AJ388">
        <v>0</v>
      </c>
      <c r="AK388">
        <v>0</v>
      </c>
      <c r="AL388">
        <v>0</v>
      </c>
      <c r="AM388">
        <v>0</v>
      </c>
      <c r="AN388">
        <v>0</v>
      </c>
    </row>
    <row r="389" spans="25:40" x14ac:dyDescent="0.3">
      <c r="Y389">
        <v>176</v>
      </c>
      <c r="Z389">
        <v>0</v>
      </c>
      <c r="AA389">
        <v>0</v>
      </c>
      <c r="AB389">
        <v>0</v>
      </c>
      <c r="AC389">
        <v>0</v>
      </c>
      <c r="AD389">
        <v>0</v>
      </c>
      <c r="AE389">
        <v>0</v>
      </c>
      <c r="AF389">
        <v>0</v>
      </c>
      <c r="AG389">
        <v>0</v>
      </c>
      <c r="AH389">
        <v>0</v>
      </c>
      <c r="AI389">
        <v>0</v>
      </c>
      <c r="AJ389">
        <v>0</v>
      </c>
      <c r="AK389">
        <v>0</v>
      </c>
      <c r="AL389">
        <v>176</v>
      </c>
      <c r="AM389">
        <v>176</v>
      </c>
      <c r="AN389">
        <v>0</v>
      </c>
    </row>
    <row r="390" spans="25:40" x14ac:dyDescent="0.3">
      <c r="Y390">
        <v>323.33333333333331</v>
      </c>
      <c r="Z390">
        <v>0</v>
      </c>
      <c r="AA390">
        <v>0</v>
      </c>
      <c r="AB390">
        <v>0</v>
      </c>
      <c r="AC390">
        <v>0</v>
      </c>
      <c r="AD390">
        <v>0</v>
      </c>
      <c r="AE390">
        <v>0</v>
      </c>
      <c r="AF390">
        <v>0</v>
      </c>
      <c r="AG390">
        <v>0</v>
      </c>
      <c r="AH390">
        <v>537</v>
      </c>
      <c r="AI390">
        <v>433</v>
      </c>
      <c r="AJ390">
        <v>0</v>
      </c>
      <c r="AK390">
        <v>0</v>
      </c>
      <c r="AL390">
        <v>0</v>
      </c>
      <c r="AM390">
        <v>0</v>
      </c>
      <c r="AN390">
        <v>0</v>
      </c>
    </row>
    <row r="391" spans="25:40" x14ac:dyDescent="0.3">
      <c r="Y391">
        <v>300.66666666666669</v>
      </c>
      <c r="Z391">
        <v>0</v>
      </c>
      <c r="AA391">
        <v>0</v>
      </c>
      <c r="AB391">
        <v>0</v>
      </c>
      <c r="AC391">
        <v>0</v>
      </c>
      <c r="AD391">
        <v>0</v>
      </c>
      <c r="AE391">
        <v>0</v>
      </c>
      <c r="AF391">
        <v>0</v>
      </c>
      <c r="AG391">
        <v>0</v>
      </c>
      <c r="AH391">
        <v>0</v>
      </c>
      <c r="AI391">
        <v>0</v>
      </c>
      <c r="AJ391">
        <v>0</v>
      </c>
      <c r="AK391">
        <v>0</v>
      </c>
      <c r="AL391">
        <v>0</v>
      </c>
      <c r="AM391">
        <v>0</v>
      </c>
      <c r="AN391">
        <v>0</v>
      </c>
    </row>
    <row r="392" spans="25:40" x14ac:dyDescent="0.3">
      <c r="Y392">
        <v>127.33333333333333</v>
      </c>
      <c r="Z392">
        <v>0</v>
      </c>
      <c r="AA392">
        <v>0</v>
      </c>
      <c r="AB392">
        <v>0</v>
      </c>
      <c r="AC392">
        <v>0</v>
      </c>
      <c r="AD392">
        <v>0</v>
      </c>
      <c r="AE392">
        <v>0</v>
      </c>
      <c r="AF392">
        <v>0</v>
      </c>
      <c r="AG392">
        <v>0</v>
      </c>
      <c r="AH392">
        <v>0</v>
      </c>
      <c r="AI392">
        <v>0</v>
      </c>
      <c r="AJ392">
        <v>0</v>
      </c>
      <c r="AK392">
        <v>0</v>
      </c>
      <c r="AL392">
        <v>0</v>
      </c>
      <c r="AM392">
        <v>120</v>
      </c>
      <c r="AN392">
        <v>142</v>
      </c>
    </row>
    <row r="393" spans="25:40" x14ac:dyDescent="0.3">
      <c r="Y393">
        <v>0</v>
      </c>
      <c r="Z393">
        <v>0</v>
      </c>
      <c r="AA393">
        <v>0</v>
      </c>
      <c r="AB393">
        <v>0</v>
      </c>
      <c r="AC393">
        <v>0</v>
      </c>
      <c r="AD393">
        <v>0</v>
      </c>
      <c r="AE393">
        <v>0</v>
      </c>
      <c r="AF393">
        <v>0</v>
      </c>
      <c r="AG393">
        <v>0</v>
      </c>
      <c r="AH393">
        <v>0</v>
      </c>
      <c r="AI393">
        <v>0</v>
      </c>
      <c r="AJ393">
        <v>0</v>
      </c>
      <c r="AK393">
        <v>0</v>
      </c>
      <c r="AL393">
        <v>0</v>
      </c>
      <c r="AM393">
        <v>0</v>
      </c>
      <c r="AN393">
        <v>0</v>
      </c>
    </row>
    <row r="394" spans="25:40" x14ac:dyDescent="0.3">
      <c r="Y394">
        <v>132.66666666666666</v>
      </c>
      <c r="Z394">
        <v>0</v>
      </c>
      <c r="AA394">
        <v>0</v>
      </c>
      <c r="AB394">
        <v>0</v>
      </c>
      <c r="AC394">
        <v>0</v>
      </c>
      <c r="AD394">
        <v>0</v>
      </c>
      <c r="AE394">
        <v>130</v>
      </c>
      <c r="AF394">
        <v>130</v>
      </c>
      <c r="AG394">
        <v>0</v>
      </c>
      <c r="AH394">
        <v>0</v>
      </c>
      <c r="AI394">
        <v>0</v>
      </c>
      <c r="AJ394">
        <v>0</v>
      </c>
      <c r="AK394">
        <v>138</v>
      </c>
      <c r="AL394">
        <v>0</v>
      </c>
      <c r="AM394">
        <v>0</v>
      </c>
      <c r="AN394">
        <v>0</v>
      </c>
    </row>
    <row r="395" spans="25:40" x14ac:dyDescent="0.3">
      <c r="Y395">
        <v>132.25</v>
      </c>
      <c r="Z395">
        <v>0</v>
      </c>
      <c r="AA395">
        <v>0</v>
      </c>
      <c r="AB395">
        <v>0</v>
      </c>
      <c r="AC395">
        <v>0</v>
      </c>
      <c r="AD395">
        <v>0</v>
      </c>
      <c r="AE395">
        <v>255</v>
      </c>
      <c r="AF395">
        <v>0</v>
      </c>
      <c r="AG395">
        <v>0</v>
      </c>
      <c r="AH395">
        <v>0</v>
      </c>
      <c r="AI395">
        <v>0</v>
      </c>
      <c r="AJ395">
        <v>0</v>
      </c>
      <c r="AK395">
        <v>0</v>
      </c>
      <c r="AL395">
        <v>0</v>
      </c>
      <c r="AM395">
        <v>274</v>
      </c>
      <c r="AN395">
        <v>0</v>
      </c>
    </row>
    <row r="396" spans="25:40" x14ac:dyDescent="0.3">
      <c r="Y396">
        <v>88</v>
      </c>
      <c r="Z396">
        <v>0</v>
      </c>
      <c r="AA396">
        <v>0</v>
      </c>
      <c r="AB396">
        <v>0</v>
      </c>
      <c r="AC396">
        <v>0</v>
      </c>
      <c r="AD396">
        <v>0</v>
      </c>
      <c r="AE396">
        <v>0</v>
      </c>
      <c r="AF396">
        <v>0</v>
      </c>
      <c r="AG396">
        <v>0</v>
      </c>
      <c r="AH396">
        <v>0</v>
      </c>
      <c r="AI396">
        <v>0</v>
      </c>
      <c r="AJ396">
        <v>85</v>
      </c>
      <c r="AK396">
        <v>0</v>
      </c>
      <c r="AL396">
        <v>0</v>
      </c>
      <c r="AM396">
        <v>94</v>
      </c>
      <c r="AN396">
        <v>0</v>
      </c>
    </row>
    <row r="397" spans="25:40" x14ac:dyDescent="0.3">
      <c r="Y397">
        <v>87</v>
      </c>
      <c r="Z397">
        <v>0</v>
      </c>
      <c r="AA397">
        <v>0</v>
      </c>
      <c r="AB397">
        <v>0</v>
      </c>
      <c r="AC397">
        <v>0</v>
      </c>
      <c r="AD397">
        <v>0</v>
      </c>
      <c r="AE397">
        <v>0</v>
      </c>
      <c r="AF397">
        <v>0</v>
      </c>
      <c r="AG397">
        <v>0</v>
      </c>
      <c r="AH397">
        <v>0</v>
      </c>
      <c r="AI397">
        <v>0</v>
      </c>
      <c r="AJ397">
        <v>85</v>
      </c>
      <c r="AK397">
        <v>88</v>
      </c>
      <c r="AL397">
        <v>0</v>
      </c>
      <c r="AM397">
        <v>0</v>
      </c>
      <c r="AN397">
        <v>0</v>
      </c>
    </row>
    <row r="398" spans="25:40" x14ac:dyDescent="0.3">
      <c r="Y398">
        <v>244</v>
      </c>
      <c r="Z398">
        <v>0</v>
      </c>
      <c r="AA398">
        <v>0</v>
      </c>
      <c r="AB398">
        <v>0</v>
      </c>
      <c r="AC398">
        <v>0</v>
      </c>
      <c r="AD398">
        <v>0</v>
      </c>
      <c r="AE398">
        <v>0</v>
      </c>
      <c r="AF398">
        <v>0</v>
      </c>
      <c r="AG398">
        <v>0</v>
      </c>
      <c r="AH398">
        <v>0</v>
      </c>
      <c r="AI398">
        <v>0</v>
      </c>
      <c r="AJ398">
        <v>244</v>
      </c>
      <c r="AK398">
        <v>0</v>
      </c>
      <c r="AL398">
        <v>0</v>
      </c>
      <c r="AM398">
        <v>244</v>
      </c>
      <c r="AN398">
        <v>244</v>
      </c>
    </row>
    <row r="399" spans="25:40" x14ac:dyDescent="0.3">
      <c r="Y399">
        <v>0</v>
      </c>
      <c r="Z399">
        <v>0</v>
      </c>
      <c r="AA399">
        <v>0</v>
      </c>
      <c r="AB399">
        <v>0</v>
      </c>
      <c r="AC399">
        <v>0</v>
      </c>
      <c r="AD399">
        <v>0</v>
      </c>
      <c r="AE399">
        <v>0</v>
      </c>
      <c r="AF399">
        <v>0</v>
      </c>
      <c r="AG399">
        <v>0</v>
      </c>
      <c r="AH399">
        <v>0</v>
      </c>
      <c r="AI399">
        <v>0</v>
      </c>
      <c r="AJ399">
        <v>0</v>
      </c>
      <c r="AK399">
        <v>0</v>
      </c>
      <c r="AL399">
        <v>0</v>
      </c>
      <c r="AM399">
        <v>0</v>
      </c>
      <c r="AN399">
        <v>0</v>
      </c>
    </row>
    <row r="400" spans="25:40" x14ac:dyDescent="0.3">
      <c r="Y400">
        <v>156.33333333333334</v>
      </c>
      <c r="Z400">
        <v>0</v>
      </c>
      <c r="AA400">
        <v>134</v>
      </c>
      <c r="AB400">
        <v>0</v>
      </c>
      <c r="AC400">
        <v>0</v>
      </c>
      <c r="AD400">
        <v>0</v>
      </c>
      <c r="AE400">
        <v>0</v>
      </c>
      <c r="AF400">
        <v>0</v>
      </c>
      <c r="AG400">
        <v>0</v>
      </c>
      <c r="AH400">
        <v>0</v>
      </c>
      <c r="AI400">
        <v>0</v>
      </c>
      <c r="AJ400">
        <v>145</v>
      </c>
      <c r="AK400">
        <v>0</v>
      </c>
      <c r="AL400">
        <v>0</v>
      </c>
      <c r="AM400">
        <v>0</v>
      </c>
      <c r="AN400">
        <v>0</v>
      </c>
    </row>
    <row r="401" spans="25:40" x14ac:dyDescent="0.3">
      <c r="Y401">
        <v>95</v>
      </c>
      <c r="Z401">
        <v>0</v>
      </c>
      <c r="AA401">
        <v>0</v>
      </c>
      <c r="AB401">
        <v>0</v>
      </c>
      <c r="AC401">
        <v>0</v>
      </c>
      <c r="AD401">
        <v>0</v>
      </c>
      <c r="AE401">
        <v>0</v>
      </c>
      <c r="AF401">
        <v>0</v>
      </c>
      <c r="AG401">
        <v>94</v>
      </c>
      <c r="AH401">
        <v>0</v>
      </c>
      <c r="AI401">
        <v>0</v>
      </c>
      <c r="AJ401">
        <v>95.5</v>
      </c>
      <c r="AK401">
        <v>0</v>
      </c>
      <c r="AL401">
        <v>0</v>
      </c>
      <c r="AM401">
        <v>0</v>
      </c>
      <c r="AN401">
        <v>0</v>
      </c>
    </row>
    <row r="402" spans="25:40" x14ac:dyDescent="0.3">
      <c r="Y402">
        <v>189</v>
      </c>
      <c r="Z402">
        <v>0</v>
      </c>
      <c r="AA402">
        <v>0</v>
      </c>
      <c r="AB402">
        <v>0</v>
      </c>
      <c r="AC402">
        <v>0</v>
      </c>
      <c r="AD402">
        <v>0</v>
      </c>
      <c r="AE402">
        <v>0</v>
      </c>
      <c r="AF402">
        <v>0</v>
      </c>
      <c r="AG402">
        <v>0</v>
      </c>
      <c r="AH402">
        <v>0</v>
      </c>
      <c r="AI402">
        <v>184</v>
      </c>
      <c r="AJ402">
        <v>0</v>
      </c>
      <c r="AK402">
        <v>0</v>
      </c>
      <c r="AL402">
        <v>0</v>
      </c>
      <c r="AM402">
        <v>0</v>
      </c>
      <c r="AN402">
        <v>191.5</v>
      </c>
    </row>
    <row r="403" spans="25:40" x14ac:dyDescent="0.3">
      <c r="Y403">
        <v>44</v>
      </c>
      <c r="Z403">
        <v>0</v>
      </c>
      <c r="AA403">
        <v>0</v>
      </c>
      <c r="AB403">
        <v>0</v>
      </c>
      <c r="AC403">
        <v>0</v>
      </c>
      <c r="AD403">
        <v>0</v>
      </c>
      <c r="AE403">
        <v>0</v>
      </c>
      <c r="AF403">
        <v>0</v>
      </c>
      <c r="AG403">
        <v>0</v>
      </c>
      <c r="AH403">
        <v>0</v>
      </c>
      <c r="AI403">
        <v>44</v>
      </c>
      <c r="AJ403">
        <v>0</v>
      </c>
      <c r="AK403">
        <v>44</v>
      </c>
      <c r="AL403">
        <v>0</v>
      </c>
      <c r="AM403">
        <v>0</v>
      </c>
      <c r="AN403">
        <v>0</v>
      </c>
    </row>
    <row r="404" spans="25:40" x14ac:dyDescent="0.3">
      <c r="Y404">
        <v>107</v>
      </c>
      <c r="Z404">
        <v>0</v>
      </c>
      <c r="AA404">
        <v>0</v>
      </c>
      <c r="AB404">
        <v>0</v>
      </c>
      <c r="AC404">
        <v>0</v>
      </c>
      <c r="AD404">
        <v>111</v>
      </c>
      <c r="AE404">
        <v>0</v>
      </c>
      <c r="AF404">
        <v>0</v>
      </c>
      <c r="AG404">
        <v>0</v>
      </c>
      <c r="AH404">
        <v>0</v>
      </c>
      <c r="AI404">
        <v>101</v>
      </c>
      <c r="AJ404">
        <v>109</v>
      </c>
      <c r="AK404">
        <v>0</v>
      </c>
      <c r="AL404">
        <v>0</v>
      </c>
      <c r="AM404">
        <v>0</v>
      </c>
      <c r="AN404">
        <v>0</v>
      </c>
    </row>
    <row r="405" spans="25:40" x14ac:dyDescent="0.3">
      <c r="Y405">
        <v>153</v>
      </c>
      <c r="Z405">
        <v>0</v>
      </c>
      <c r="AA405">
        <v>0</v>
      </c>
      <c r="AB405">
        <v>0</v>
      </c>
      <c r="AC405">
        <v>0</v>
      </c>
      <c r="AD405">
        <v>0</v>
      </c>
      <c r="AE405">
        <v>171</v>
      </c>
      <c r="AF405">
        <v>0</v>
      </c>
      <c r="AG405">
        <v>0</v>
      </c>
      <c r="AH405">
        <v>0</v>
      </c>
      <c r="AI405">
        <v>139</v>
      </c>
      <c r="AJ405">
        <v>149</v>
      </c>
      <c r="AK405">
        <v>0</v>
      </c>
      <c r="AL405">
        <v>0</v>
      </c>
      <c r="AM405">
        <v>0</v>
      </c>
      <c r="AN405">
        <v>0</v>
      </c>
    </row>
    <row r="406" spans="25:40" x14ac:dyDescent="0.3">
      <c r="Y406">
        <v>94.666666666666671</v>
      </c>
      <c r="Z406">
        <v>0</v>
      </c>
      <c r="AA406">
        <v>0</v>
      </c>
      <c r="AB406">
        <v>0</v>
      </c>
      <c r="AC406">
        <v>0</v>
      </c>
      <c r="AD406">
        <v>0</v>
      </c>
      <c r="AE406">
        <v>108</v>
      </c>
      <c r="AF406">
        <v>89</v>
      </c>
      <c r="AG406">
        <v>0</v>
      </c>
      <c r="AH406">
        <v>0</v>
      </c>
      <c r="AI406">
        <v>0</v>
      </c>
      <c r="AJ406">
        <v>0</v>
      </c>
      <c r="AK406">
        <v>0</v>
      </c>
      <c r="AL406">
        <v>87</v>
      </c>
      <c r="AM406">
        <v>0</v>
      </c>
      <c r="AN406">
        <v>0</v>
      </c>
    </row>
    <row r="407" spans="25:40" x14ac:dyDescent="0.3">
      <c r="Y407">
        <v>262</v>
      </c>
      <c r="Z407">
        <v>0</v>
      </c>
      <c r="AA407">
        <v>0</v>
      </c>
      <c r="AB407">
        <v>0</v>
      </c>
      <c r="AC407">
        <v>0</v>
      </c>
      <c r="AD407">
        <v>0</v>
      </c>
      <c r="AE407">
        <v>0</v>
      </c>
      <c r="AF407">
        <v>0</v>
      </c>
      <c r="AG407">
        <v>0</v>
      </c>
      <c r="AH407">
        <v>0</v>
      </c>
      <c r="AI407">
        <v>0</v>
      </c>
      <c r="AJ407">
        <v>0</v>
      </c>
      <c r="AK407">
        <v>0</v>
      </c>
      <c r="AL407">
        <v>0</v>
      </c>
      <c r="AM407">
        <v>262</v>
      </c>
      <c r="AN407">
        <v>0</v>
      </c>
    </row>
    <row r="408" spans="25:40" x14ac:dyDescent="0.3">
      <c r="Y408">
        <v>88</v>
      </c>
      <c r="Z408">
        <v>0</v>
      </c>
      <c r="AA408">
        <v>0</v>
      </c>
      <c r="AB408">
        <v>0</v>
      </c>
      <c r="AC408">
        <v>0</v>
      </c>
      <c r="AD408">
        <v>0</v>
      </c>
      <c r="AE408">
        <v>0</v>
      </c>
      <c r="AF408">
        <v>0</v>
      </c>
      <c r="AG408">
        <v>0</v>
      </c>
      <c r="AH408">
        <v>0</v>
      </c>
      <c r="AI408">
        <v>0</v>
      </c>
      <c r="AJ408">
        <v>0</v>
      </c>
      <c r="AK408">
        <v>0</v>
      </c>
      <c r="AL408">
        <v>0</v>
      </c>
      <c r="AM408">
        <v>0</v>
      </c>
      <c r="AN408">
        <v>264</v>
      </c>
    </row>
    <row r="409" spans="25:40" x14ac:dyDescent="0.3">
      <c r="Y409">
        <v>135.5</v>
      </c>
      <c r="Z409">
        <v>0</v>
      </c>
      <c r="AA409">
        <v>0</v>
      </c>
      <c r="AB409">
        <v>0</v>
      </c>
      <c r="AC409">
        <v>0</v>
      </c>
      <c r="AD409">
        <v>0</v>
      </c>
      <c r="AE409">
        <v>139</v>
      </c>
      <c r="AF409">
        <v>0</v>
      </c>
      <c r="AG409">
        <v>0</v>
      </c>
      <c r="AH409">
        <v>0</v>
      </c>
      <c r="AI409">
        <v>132</v>
      </c>
      <c r="AJ409">
        <v>139</v>
      </c>
      <c r="AK409">
        <v>0</v>
      </c>
      <c r="AL409">
        <v>0</v>
      </c>
      <c r="AM409">
        <v>0</v>
      </c>
      <c r="AN409">
        <v>0</v>
      </c>
    </row>
    <row r="410" spans="25:40" x14ac:dyDescent="0.3">
      <c r="Y410">
        <v>150.33333333333334</v>
      </c>
      <c r="Z410">
        <v>0</v>
      </c>
      <c r="AA410">
        <v>0</v>
      </c>
      <c r="AB410">
        <v>0</v>
      </c>
      <c r="AC410">
        <v>0</v>
      </c>
      <c r="AD410">
        <v>0</v>
      </c>
      <c r="AE410">
        <v>0</v>
      </c>
      <c r="AF410">
        <v>0</v>
      </c>
      <c r="AG410">
        <v>151</v>
      </c>
      <c r="AH410">
        <v>0</v>
      </c>
      <c r="AI410">
        <v>0</v>
      </c>
      <c r="AJ410">
        <v>0</v>
      </c>
      <c r="AK410">
        <v>151</v>
      </c>
      <c r="AL410">
        <v>0</v>
      </c>
      <c r="AM410">
        <v>149</v>
      </c>
      <c r="AN410">
        <v>0</v>
      </c>
    </row>
    <row r="411" spans="25:40" x14ac:dyDescent="0.3">
      <c r="Y411">
        <v>182</v>
      </c>
      <c r="Z411">
        <v>160</v>
      </c>
      <c r="AA411">
        <v>0</v>
      </c>
      <c r="AB411">
        <v>0</v>
      </c>
      <c r="AC411">
        <v>0</v>
      </c>
      <c r="AD411">
        <v>171</v>
      </c>
      <c r="AE411">
        <v>212</v>
      </c>
      <c r="AF411">
        <v>0</v>
      </c>
      <c r="AG411">
        <v>0</v>
      </c>
      <c r="AH411">
        <v>0</v>
      </c>
      <c r="AI411">
        <v>0</v>
      </c>
      <c r="AJ411">
        <v>0</v>
      </c>
      <c r="AK411">
        <v>0</v>
      </c>
      <c r="AL411">
        <v>0</v>
      </c>
      <c r="AM411">
        <v>0</v>
      </c>
      <c r="AN411">
        <v>185</v>
      </c>
    </row>
    <row r="412" spans="25:40" x14ac:dyDescent="0.3">
      <c r="Y412">
        <v>134</v>
      </c>
      <c r="Z412">
        <v>0</v>
      </c>
      <c r="AA412">
        <v>0</v>
      </c>
      <c r="AB412">
        <v>0</v>
      </c>
      <c r="AC412">
        <v>0</v>
      </c>
      <c r="AD412">
        <v>0</v>
      </c>
      <c r="AE412">
        <v>0</v>
      </c>
      <c r="AF412">
        <v>0</v>
      </c>
      <c r="AG412">
        <v>0</v>
      </c>
      <c r="AH412">
        <v>0</v>
      </c>
      <c r="AI412">
        <v>0</v>
      </c>
      <c r="AJ412">
        <v>134</v>
      </c>
      <c r="AK412">
        <v>0</v>
      </c>
      <c r="AL412">
        <v>0</v>
      </c>
      <c r="AM412">
        <v>0</v>
      </c>
      <c r="AN412">
        <v>0</v>
      </c>
    </row>
    <row r="413" spans="25:40" x14ac:dyDescent="0.3">
      <c r="Y413">
        <v>164.33333333333334</v>
      </c>
      <c r="Z413">
        <v>0</v>
      </c>
      <c r="AA413">
        <v>0</v>
      </c>
      <c r="AB413">
        <v>169</v>
      </c>
      <c r="AC413">
        <v>0</v>
      </c>
      <c r="AD413">
        <v>0</v>
      </c>
      <c r="AE413">
        <v>0</v>
      </c>
      <c r="AF413">
        <v>0</v>
      </c>
      <c r="AG413">
        <v>0</v>
      </c>
      <c r="AH413">
        <v>0</v>
      </c>
      <c r="AI413">
        <v>125</v>
      </c>
      <c r="AJ413">
        <v>0</v>
      </c>
      <c r="AK413">
        <v>0</v>
      </c>
      <c r="AL413">
        <v>0</v>
      </c>
      <c r="AM413">
        <v>0</v>
      </c>
      <c r="AN413">
        <v>0</v>
      </c>
    </row>
    <row r="414" spans="25:40" x14ac:dyDescent="0.3">
      <c r="Y414">
        <v>116.66666666666667</v>
      </c>
      <c r="Z414">
        <v>0</v>
      </c>
      <c r="AA414">
        <v>350</v>
      </c>
      <c r="AB414">
        <v>0</v>
      </c>
      <c r="AC414">
        <v>0</v>
      </c>
      <c r="AD414">
        <v>0</v>
      </c>
      <c r="AE414">
        <v>0</v>
      </c>
      <c r="AF414">
        <v>0</v>
      </c>
      <c r="AG414">
        <v>0</v>
      </c>
      <c r="AH414">
        <v>0</v>
      </c>
      <c r="AI414">
        <v>0</v>
      </c>
      <c r="AJ414">
        <v>0</v>
      </c>
      <c r="AK414">
        <v>0</v>
      </c>
      <c r="AL414">
        <v>0</v>
      </c>
      <c r="AM414">
        <v>0</v>
      </c>
      <c r="AN414">
        <v>0</v>
      </c>
    </row>
    <row r="415" spans="25:40" x14ac:dyDescent="0.3">
      <c r="Y415">
        <v>149.66666666666666</v>
      </c>
      <c r="Z415">
        <v>0</v>
      </c>
      <c r="AA415">
        <v>0</v>
      </c>
      <c r="AB415">
        <v>0</v>
      </c>
      <c r="AC415">
        <v>0</v>
      </c>
      <c r="AD415">
        <v>0</v>
      </c>
      <c r="AE415">
        <v>0</v>
      </c>
      <c r="AF415">
        <v>0</v>
      </c>
      <c r="AG415">
        <v>149</v>
      </c>
      <c r="AH415">
        <v>0</v>
      </c>
      <c r="AI415">
        <v>0</v>
      </c>
      <c r="AJ415">
        <v>0</v>
      </c>
      <c r="AK415">
        <v>0</v>
      </c>
      <c r="AL415">
        <v>0</v>
      </c>
      <c r="AM415">
        <v>150</v>
      </c>
      <c r="AN415">
        <v>0</v>
      </c>
    </row>
    <row r="416" spans="25:40" x14ac:dyDescent="0.3">
      <c r="Y416">
        <v>119</v>
      </c>
      <c r="Z416">
        <v>0</v>
      </c>
      <c r="AA416">
        <v>0</v>
      </c>
      <c r="AB416">
        <v>0</v>
      </c>
      <c r="AC416">
        <v>0</v>
      </c>
      <c r="AD416">
        <v>0</v>
      </c>
      <c r="AE416">
        <v>0</v>
      </c>
      <c r="AF416">
        <v>0</v>
      </c>
      <c r="AG416">
        <v>159</v>
      </c>
      <c r="AH416">
        <v>99</v>
      </c>
      <c r="AI416">
        <v>0</v>
      </c>
      <c r="AJ416">
        <v>0</v>
      </c>
      <c r="AK416">
        <v>0</v>
      </c>
      <c r="AL416">
        <v>99</v>
      </c>
      <c r="AM416">
        <v>0</v>
      </c>
      <c r="AN416">
        <v>0</v>
      </c>
    </row>
    <row r="417" spans="25:40" x14ac:dyDescent="0.3">
      <c r="Y417">
        <v>218</v>
      </c>
      <c r="Z417">
        <v>0</v>
      </c>
      <c r="AA417">
        <v>0</v>
      </c>
      <c r="AB417">
        <v>0</v>
      </c>
      <c r="AC417">
        <v>0</v>
      </c>
      <c r="AD417">
        <v>0</v>
      </c>
      <c r="AE417">
        <v>0</v>
      </c>
      <c r="AF417">
        <v>0</v>
      </c>
      <c r="AG417">
        <v>0</v>
      </c>
      <c r="AH417">
        <v>335</v>
      </c>
      <c r="AI417">
        <v>319</v>
      </c>
      <c r="AJ417">
        <v>0</v>
      </c>
      <c r="AK417">
        <v>0</v>
      </c>
      <c r="AL417">
        <v>0</v>
      </c>
      <c r="AM417">
        <v>0</v>
      </c>
      <c r="AN417">
        <v>0</v>
      </c>
    </row>
    <row r="418" spans="25:40" x14ac:dyDescent="0.3">
      <c r="Y418">
        <v>115.66666666666667</v>
      </c>
      <c r="Z418">
        <v>0</v>
      </c>
      <c r="AA418">
        <v>0</v>
      </c>
      <c r="AB418">
        <v>0</v>
      </c>
      <c r="AC418">
        <v>0</v>
      </c>
      <c r="AD418">
        <v>0</v>
      </c>
      <c r="AE418">
        <v>138</v>
      </c>
      <c r="AF418">
        <v>110</v>
      </c>
      <c r="AG418">
        <v>0</v>
      </c>
      <c r="AH418">
        <v>0</v>
      </c>
      <c r="AI418">
        <v>0</v>
      </c>
      <c r="AJ418">
        <v>99</v>
      </c>
      <c r="AK418">
        <v>0</v>
      </c>
      <c r="AL418">
        <v>0</v>
      </c>
      <c r="AM418">
        <v>0</v>
      </c>
      <c r="AN418">
        <v>0</v>
      </c>
    </row>
    <row r="419" spans="25:40" x14ac:dyDescent="0.3">
      <c r="Y419">
        <v>148</v>
      </c>
      <c r="Z419">
        <v>0</v>
      </c>
      <c r="AA419">
        <v>0</v>
      </c>
      <c r="AB419">
        <v>0</v>
      </c>
      <c r="AC419">
        <v>174</v>
      </c>
      <c r="AD419">
        <v>0</v>
      </c>
      <c r="AE419">
        <v>135</v>
      </c>
      <c r="AF419">
        <v>135</v>
      </c>
      <c r="AG419">
        <v>0</v>
      </c>
      <c r="AH419">
        <v>0</v>
      </c>
      <c r="AI419">
        <v>0</v>
      </c>
      <c r="AJ419">
        <v>0</v>
      </c>
      <c r="AK419">
        <v>0</v>
      </c>
      <c r="AL419">
        <v>0</v>
      </c>
      <c r="AM419">
        <v>0</v>
      </c>
      <c r="AN419">
        <v>0</v>
      </c>
    </row>
    <row r="420" spans="25:40" x14ac:dyDescent="0.3">
      <c r="Y420">
        <v>254.33333333333334</v>
      </c>
      <c r="Z420">
        <v>0</v>
      </c>
      <c r="AA420">
        <v>0</v>
      </c>
      <c r="AB420">
        <v>0</v>
      </c>
      <c r="AC420">
        <v>0</v>
      </c>
      <c r="AD420">
        <v>0</v>
      </c>
      <c r="AE420">
        <v>270</v>
      </c>
      <c r="AF420">
        <v>246.5</v>
      </c>
      <c r="AG420">
        <v>0</v>
      </c>
      <c r="AH420">
        <v>0</v>
      </c>
      <c r="AI420">
        <v>0</v>
      </c>
      <c r="AJ420">
        <v>0</v>
      </c>
      <c r="AK420">
        <v>0</v>
      </c>
      <c r="AL420">
        <v>0</v>
      </c>
      <c r="AM420">
        <v>0</v>
      </c>
      <c r="AN420">
        <v>0</v>
      </c>
    </row>
    <row r="421" spans="25:40" x14ac:dyDescent="0.3">
      <c r="Y421">
        <v>155.66666666666666</v>
      </c>
      <c r="Z421">
        <v>0</v>
      </c>
      <c r="AA421">
        <v>155</v>
      </c>
      <c r="AB421">
        <v>0</v>
      </c>
      <c r="AC421">
        <v>0</v>
      </c>
      <c r="AD421">
        <v>0</v>
      </c>
      <c r="AE421">
        <v>156</v>
      </c>
      <c r="AF421">
        <v>0</v>
      </c>
      <c r="AG421">
        <v>0</v>
      </c>
      <c r="AH421">
        <v>0</v>
      </c>
      <c r="AI421">
        <v>0</v>
      </c>
      <c r="AJ421">
        <v>0</v>
      </c>
      <c r="AK421">
        <v>0</v>
      </c>
      <c r="AL421">
        <v>0</v>
      </c>
      <c r="AM421">
        <v>0</v>
      </c>
      <c r="AN421">
        <v>0</v>
      </c>
    </row>
    <row r="422" spans="25:40" x14ac:dyDescent="0.3">
      <c r="Y422">
        <v>121.33333333333333</v>
      </c>
      <c r="Z422">
        <v>0</v>
      </c>
      <c r="AA422">
        <v>0</v>
      </c>
      <c r="AB422">
        <v>0</v>
      </c>
      <c r="AC422">
        <v>0</v>
      </c>
      <c r="AD422">
        <v>0</v>
      </c>
      <c r="AE422">
        <v>146</v>
      </c>
      <c r="AF422">
        <v>109</v>
      </c>
      <c r="AG422">
        <v>0</v>
      </c>
      <c r="AH422">
        <v>0</v>
      </c>
      <c r="AI422">
        <v>0</v>
      </c>
      <c r="AJ422">
        <v>0</v>
      </c>
      <c r="AK422">
        <v>0</v>
      </c>
      <c r="AL422">
        <v>0</v>
      </c>
      <c r="AM422">
        <v>0</v>
      </c>
      <c r="AN422">
        <v>0</v>
      </c>
    </row>
    <row r="423" spans="25:40" x14ac:dyDescent="0.3">
      <c r="Y423">
        <v>178.66666666666666</v>
      </c>
      <c r="Z423">
        <v>0</v>
      </c>
      <c r="AA423">
        <v>0</v>
      </c>
      <c r="AB423">
        <v>0</v>
      </c>
      <c r="AC423">
        <v>0</v>
      </c>
      <c r="AD423">
        <v>157</v>
      </c>
      <c r="AE423">
        <v>220</v>
      </c>
      <c r="AF423">
        <v>0</v>
      </c>
      <c r="AG423">
        <v>0</v>
      </c>
      <c r="AH423">
        <v>159</v>
      </c>
      <c r="AI423">
        <v>0</v>
      </c>
      <c r="AJ423">
        <v>0</v>
      </c>
      <c r="AK423">
        <v>0</v>
      </c>
      <c r="AL423">
        <v>0</v>
      </c>
      <c r="AM423">
        <v>0</v>
      </c>
      <c r="AN423">
        <v>0</v>
      </c>
    </row>
    <row r="424" spans="25:40" x14ac:dyDescent="0.3">
      <c r="Y424">
        <v>50</v>
      </c>
      <c r="Z424">
        <v>0</v>
      </c>
      <c r="AA424">
        <v>53</v>
      </c>
      <c r="AB424">
        <v>0</v>
      </c>
      <c r="AC424">
        <v>53</v>
      </c>
      <c r="AD424">
        <v>0</v>
      </c>
      <c r="AE424">
        <v>44</v>
      </c>
      <c r="AF424">
        <v>0</v>
      </c>
      <c r="AG424">
        <v>0</v>
      </c>
      <c r="AH424">
        <v>0</v>
      </c>
      <c r="AI424">
        <v>0</v>
      </c>
      <c r="AJ424">
        <v>0</v>
      </c>
      <c r="AK424">
        <v>0</v>
      </c>
      <c r="AL424">
        <v>0</v>
      </c>
      <c r="AM424">
        <v>0</v>
      </c>
      <c r="AN424">
        <v>0</v>
      </c>
    </row>
    <row r="425" spans="25:40" x14ac:dyDescent="0.3">
      <c r="Y425">
        <v>0</v>
      </c>
      <c r="Z425">
        <v>0</v>
      </c>
      <c r="AA425">
        <v>0</v>
      </c>
      <c r="AB425">
        <v>0</v>
      </c>
      <c r="AC425">
        <v>0</v>
      </c>
      <c r="AD425">
        <v>0</v>
      </c>
      <c r="AE425">
        <v>0</v>
      </c>
      <c r="AF425">
        <v>0</v>
      </c>
      <c r="AG425">
        <v>0</v>
      </c>
      <c r="AH425">
        <v>0</v>
      </c>
      <c r="AI425">
        <v>0</v>
      </c>
      <c r="AJ425">
        <v>0</v>
      </c>
      <c r="AK425">
        <v>0</v>
      </c>
      <c r="AL425">
        <v>0</v>
      </c>
      <c r="AM425">
        <v>0</v>
      </c>
      <c r="AN425">
        <v>0</v>
      </c>
    </row>
    <row r="426" spans="25:40" x14ac:dyDescent="0.3">
      <c r="Y426">
        <v>140.66666666666666</v>
      </c>
      <c r="Z426">
        <v>0</v>
      </c>
      <c r="AA426">
        <v>0</v>
      </c>
      <c r="AB426">
        <v>0</v>
      </c>
      <c r="AC426">
        <v>0</v>
      </c>
      <c r="AD426">
        <v>140</v>
      </c>
      <c r="AE426">
        <v>141</v>
      </c>
      <c r="AF426">
        <v>0</v>
      </c>
      <c r="AG426">
        <v>0</v>
      </c>
      <c r="AH426">
        <v>0</v>
      </c>
      <c r="AI426">
        <v>0</v>
      </c>
      <c r="AJ426">
        <v>0</v>
      </c>
      <c r="AK426">
        <v>0</v>
      </c>
      <c r="AL426">
        <v>0</v>
      </c>
      <c r="AM426">
        <v>0</v>
      </c>
      <c r="AN426">
        <v>0</v>
      </c>
    </row>
    <row r="427" spans="25:40" x14ac:dyDescent="0.3">
      <c r="Y427">
        <v>152.66666666666666</v>
      </c>
      <c r="Z427">
        <v>0</v>
      </c>
      <c r="AA427">
        <v>0</v>
      </c>
      <c r="AB427">
        <v>0</v>
      </c>
      <c r="AC427">
        <v>0</v>
      </c>
      <c r="AD427">
        <v>0</v>
      </c>
      <c r="AE427">
        <v>173</v>
      </c>
      <c r="AF427">
        <v>144</v>
      </c>
      <c r="AG427">
        <v>141</v>
      </c>
      <c r="AH427">
        <v>0</v>
      </c>
      <c r="AI427">
        <v>0</v>
      </c>
      <c r="AJ427">
        <v>0</v>
      </c>
      <c r="AK427">
        <v>0</v>
      </c>
      <c r="AL427">
        <v>0</v>
      </c>
      <c r="AM427">
        <v>0</v>
      </c>
      <c r="AN427">
        <v>0</v>
      </c>
    </row>
    <row r="428" spans="25:40" x14ac:dyDescent="0.3">
      <c r="Y428">
        <v>0</v>
      </c>
      <c r="Z428">
        <v>0</v>
      </c>
      <c r="AA428">
        <v>0</v>
      </c>
      <c r="AB428">
        <v>0</v>
      </c>
      <c r="AC428">
        <v>0</v>
      </c>
      <c r="AD428">
        <v>0</v>
      </c>
      <c r="AE428">
        <v>0</v>
      </c>
      <c r="AF428">
        <v>0</v>
      </c>
      <c r="AG428">
        <v>0</v>
      </c>
      <c r="AH428">
        <v>0</v>
      </c>
      <c r="AI428">
        <v>0</v>
      </c>
      <c r="AJ428">
        <v>0</v>
      </c>
      <c r="AK428">
        <v>0</v>
      </c>
      <c r="AL428">
        <v>0</v>
      </c>
      <c r="AM428">
        <v>0</v>
      </c>
      <c r="AN428">
        <v>0</v>
      </c>
    </row>
    <row r="429" spans="25:40" x14ac:dyDescent="0.3">
      <c r="Y429">
        <v>39</v>
      </c>
      <c r="Z429">
        <v>39</v>
      </c>
      <c r="AA429">
        <v>39</v>
      </c>
      <c r="AB429">
        <v>0</v>
      </c>
      <c r="AC429">
        <v>0</v>
      </c>
      <c r="AD429">
        <v>0</v>
      </c>
      <c r="AE429">
        <v>0</v>
      </c>
      <c r="AF429">
        <v>0</v>
      </c>
      <c r="AG429">
        <v>0</v>
      </c>
      <c r="AH429">
        <v>0</v>
      </c>
      <c r="AI429">
        <v>0</v>
      </c>
      <c r="AJ429">
        <v>0</v>
      </c>
      <c r="AK429">
        <v>0</v>
      </c>
      <c r="AL429">
        <v>0</v>
      </c>
      <c r="AM429">
        <v>0</v>
      </c>
      <c r="AN429">
        <v>0</v>
      </c>
    </row>
    <row r="430" spans="25:40" x14ac:dyDescent="0.3">
      <c r="Y430">
        <v>0</v>
      </c>
      <c r="Z430">
        <v>0</v>
      </c>
      <c r="AA430">
        <v>0</v>
      </c>
      <c r="AB430">
        <v>0</v>
      </c>
      <c r="AC430">
        <v>0</v>
      </c>
      <c r="AD430">
        <v>0</v>
      </c>
      <c r="AE430">
        <v>0</v>
      </c>
      <c r="AF430">
        <v>0</v>
      </c>
      <c r="AG430">
        <v>0</v>
      </c>
      <c r="AH430">
        <v>0</v>
      </c>
      <c r="AI430">
        <v>0</v>
      </c>
      <c r="AJ430">
        <v>0</v>
      </c>
      <c r="AK430">
        <v>0</v>
      </c>
      <c r="AL430">
        <v>0</v>
      </c>
      <c r="AM430">
        <v>0</v>
      </c>
      <c r="AN430">
        <v>0</v>
      </c>
    </row>
    <row r="431" spans="25:40" x14ac:dyDescent="0.3">
      <c r="Y431">
        <v>0</v>
      </c>
      <c r="Z431">
        <v>0</v>
      </c>
      <c r="AA431">
        <v>0</v>
      </c>
      <c r="AB431">
        <v>0</v>
      </c>
      <c r="AC431">
        <v>0</v>
      </c>
      <c r="AD431">
        <v>0</v>
      </c>
      <c r="AE431">
        <v>0</v>
      </c>
      <c r="AF431">
        <v>0</v>
      </c>
      <c r="AG431">
        <v>0</v>
      </c>
      <c r="AH431">
        <v>0</v>
      </c>
      <c r="AI431">
        <v>0</v>
      </c>
      <c r="AJ431">
        <v>0</v>
      </c>
      <c r="AK431">
        <v>0</v>
      </c>
      <c r="AL431">
        <v>0</v>
      </c>
      <c r="AM431">
        <v>0</v>
      </c>
      <c r="AN431">
        <v>0</v>
      </c>
    </row>
    <row r="432" spans="25:40" x14ac:dyDescent="0.3">
      <c r="Y432">
        <v>85.333333333333329</v>
      </c>
      <c r="Z432">
        <v>0</v>
      </c>
      <c r="AA432">
        <v>0</v>
      </c>
      <c r="AB432">
        <v>0</v>
      </c>
      <c r="AC432">
        <v>0</v>
      </c>
      <c r="AD432">
        <v>0</v>
      </c>
      <c r="AE432">
        <v>0</v>
      </c>
      <c r="AF432">
        <v>0</v>
      </c>
      <c r="AG432">
        <v>82</v>
      </c>
      <c r="AH432">
        <v>0</v>
      </c>
      <c r="AI432">
        <v>87</v>
      </c>
      <c r="AJ432">
        <v>0</v>
      </c>
      <c r="AK432">
        <v>0</v>
      </c>
      <c r="AL432">
        <v>0</v>
      </c>
      <c r="AM432">
        <v>0</v>
      </c>
      <c r="AN432">
        <v>0</v>
      </c>
    </row>
    <row r="433" spans="25:40" x14ac:dyDescent="0.3">
      <c r="Y433">
        <v>151.66666666666666</v>
      </c>
      <c r="Z433">
        <v>150</v>
      </c>
      <c r="AA433">
        <v>151</v>
      </c>
      <c r="AB433">
        <v>0</v>
      </c>
      <c r="AC433">
        <v>154</v>
      </c>
      <c r="AD433">
        <v>0</v>
      </c>
      <c r="AE433">
        <v>0</v>
      </c>
      <c r="AF433">
        <v>0</v>
      </c>
      <c r="AG433">
        <v>0</v>
      </c>
      <c r="AH433">
        <v>0</v>
      </c>
      <c r="AI433">
        <v>0</v>
      </c>
      <c r="AJ433">
        <v>0</v>
      </c>
      <c r="AK433">
        <v>0</v>
      </c>
      <c r="AL433">
        <v>0</v>
      </c>
      <c r="AM433">
        <v>0</v>
      </c>
      <c r="AN433">
        <v>0</v>
      </c>
    </row>
    <row r="434" spans="25:40" x14ac:dyDescent="0.3">
      <c r="Y434">
        <v>125</v>
      </c>
      <c r="Z434">
        <v>125</v>
      </c>
      <c r="AA434">
        <v>125</v>
      </c>
      <c r="AB434">
        <v>0</v>
      </c>
      <c r="AC434">
        <v>125</v>
      </c>
      <c r="AD434">
        <v>0</v>
      </c>
      <c r="AE434">
        <v>0</v>
      </c>
      <c r="AF434">
        <v>0</v>
      </c>
      <c r="AG434">
        <v>0</v>
      </c>
      <c r="AH434">
        <v>0</v>
      </c>
      <c r="AI434">
        <v>0</v>
      </c>
      <c r="AJ434">
        <v>0</v>
      </c>
      <c r="AK434">
        <v>0</v>
      </c>
      <c r="AL434">
        <v>0</v>
      </c>
      <c r="AM434">
        <v>0</v>
      </c>
      <c r="AN434">
        <v>0</v>
      </c>
    </row>
    <row r="435" spans="25:40" x14ac:dyDescent="0.3">
      <c r="Y435">
        <v>167</v>
      </c>
      <c r="Z435">
        <v>0</v>
      </c>
      <c r="AA435">
        <v>0</v>
      </c>
      <c r="AB435">
        <v>0</v>
      </c>
      <c r="AC435">
        <v>0</v>
      </c>
      <c r="AD435">
        <v>167</v>
      </c>
      <c r="AE435">
        <v>0</v>
      </c>
      <c r="AF435">
        <v>0</v>
      </c>
      <c r="AG435">
        <v>0</v>
      </c>
      <c r="AH435">
        <v>0</v>
      </c>
      <c r="AI435">
        <v>0</v>
      </c>
      <c r="AJ435">
        <v>0</v>
      </c>
      <c r="AK435">
        <v>0</v>
      </c>
      <c r="AL435">
        <v>0</v>
      </c>
      <c r="AM435">
        <v>0</v>
      </c>
      <c r="AN435">
        <v>0</v>
      </c>
    </row>
    <row r="436" spans="25:40" x14ac:dyDescent="0.3">
      <c r="Y436">
        <v>158</v>
      </c>
      <c r="Z436">
        <v>0</v>
      </c>
      <c r="AA436">
        <v>0</v>
      </c>
      <c r="AB436">
        <v>0</v>
      </c>
      <c r="AC436">
        <v>0</v>
      </c>
      <c r="AD436">
        <v>150</v>
      </c>
      <c r="AE436">
        <v>0</v>
      </c>
      <c r="AF436">
        <v>162</v>
      </c>
      <c r="AG436">
        <v>0</v>
      </c>
      <c r="AH436">
        <v>0</v>
      </c>
      <c r="AI436">
        <v>0</v>
      </c>
      <c r="AJ436">
        <v>0</v>
      </c>
      <c r="AK436">
        <v>0</v>
      </c>
      <c r="AL436">
        <v>0</v>
      </c>
      <c r="AM436">
        <v>0</v>
      </c>
      <c r="AN436">
        <v>0</v>
      </c>
    </row>
    <row r="437" spans="25:40" x14ac:dyDescent="0.3">
      <c r="Y437">
        <v>141.66666666666666</v>
      </c>
      <c r="Z437">
        <v>0</v>
      </c>
      <c r="AA437">
        <v>0</v>
      </c>
      <c r="AB437">
        <v>0</v>
      </c>
      <c r="AC437">
        <v>0</v>
      </c>
      <c r="AD437">
        <v>147</v>
      </c>
      <c r="AE437">
        <v>149</v>
      </c>
      <c r="AF437">
        <v>129</v>
      </c>
      <c r="AG437">
        <v>0</v>
      </c>
      <c r="AH437">
        <v>0</v>
      </c>
      <c r="AI437">
        <v>0</v>
      </c>
      <c r="AJ437">
        <v>0</v>
      </c>
      <c r="AK437">
        <v>0</v>
      </c>
      <c r="AL437">
        <v>0</v>
      </c>
      <c r="AM437">
        <v>0</v>
      </c>
      <c r="AN437">
        <v>0</v>
      </c>
    </row>
    <row r="438" spans="25:40" x14ac:dyDescent="0.3">
      <c r="Y438">
        <v>125.33333333333333</v>
      </c>
      <c r="Z438">
        <v>126</v>
      </c>
      <c r="AA438">
        <v>0</v>
      </c>
      <c r="AB438">
        <v>0</v>
      </c>
      <c r="AC438">
        <v>0</v>
      </c>
      <c r="AD438">
        <v>125</v>
      </c>
      <c r="AE438">
        <v>0</v>
      </c>
      <c r="AF438">
        <v>0</v>
      </c>
      <c r="AG438">
        <v>0</v>
      </c>
      <c r="AH438">
        <v>0</v>
      </c>
      <c r="AI438">
        <v>0</v>
      </c>
      <c r="AJ438">
        <v>0</v>
      </c>
      <c r="AK438">
        <v>0</v>
      </c>
      <c r="AL438">
        <v>0</v>
      </c>
      <c r="AM438">
        <v>0</v>
      </c>
      <c r="AN438">
        <v>0</v>
      </c>
    </row>
    <row r="439" spans="25:40" x14ac:dyDescent="0.3">
      <c r="Y439">
        <v>141</v>
      </c>
      <c r="Z439">
        <v>0</v>
      </c>
      <c r="AA439">
        <v>0</v>
      </c>
      <c r="AB439">
        <v>0</v>
      </c>
      <c r="AC439">
        <v>0</v>
      </c>
      <c r="AD439">
        <v>159</v>
      </c>
      <c r="AE439">
        <v>0</v>
      </c>
      <c r="AF439">
        <v>0</v>
      </c>
      <c r="AG439">
        <v>132</v>
      </c>
      <c r="AH439">
        <v>0</v>
      </c>
      <c r="AI439">
        <v>0</v>
      </c>
      <c r="AJ439">
        <v>0</v>
      </c>
      <c r="AK439">
        <v>0</v>
      </c>
      <c r="AL439">
        <v>0</v>
      </c>
      <c r="AM439">
        <v>0</v>
      </c>
      <c r="AN439">
        <v>0</v>
      </c>
    </row>
    <row r="440" spans="25:40" x14ac:dyDescent="0.3">
      <c r="Y440">
        <v>191.33333333333334</v>
      </c>
      <c r="Z440">
        <v>0</v>
      </c>
      <c r="AA440">
        <v>0</v>
      </c>
      <c r="AB440">
        <v>0</v>
      </c>
      <c r="AC440">
        <v>166</v>
      </c>
      <c r="AD440">
        <v>204</v>
      </c>
      <c r="AE440">
        <v>0</v>
      </c>
      <c r="AF440">
        <v>0</v>
      </c>
      <c r="AG440">
        <v>0</v>
      </c>
      <c r="AH440">
        <v>0</v>
      </c>
      <c r="AI440">
        <v>0</v>
      </c>
      <c r="AJ440">
        <v>0</v>
      </c>
      <c r="AK440">
        <v>0</v>
      </c>
      <c r="AL440">
        <v>0</v>
      </c>
      <c r="AM440">
        <v>0</v>
      </c>
      <c r="AN440">
        <v>0</v>
      </c>
    </row>
    <row r="441" spans="25:40" x14ac:dyDescent="0.3">
      <c r="Y441">
        <v>197.2</v>
      </c>
      <c r="Z441">
        <v>0</v>
      </c>
      <c r="AA441">
        <v>0</v>
      </c>
      <c r="AB441">
        <v>0</v>
      </c>
      <c r="AC441">
        <v>0</v>
      </c>
      <c r="AD441">
        <v>0</v>
      </c>
      <c r="AE441">
        <v>0</v>
      </c>
      <c r="AF441">
        <v>0</v>
      </c>
      <c r="AG441">
        <v>208</v>
      </c>
      <c r="AH441">
        <v>0</v>
      </c>
      <c r="AI441">
        <v>196</v>
      </c>
      <c r="AJ441">
        <v>196</v>
      </c>
      <c r="AK441">
        <v>0</v>
      </c>
      <c r="AL441">
        <v>0</v>
      </c>
      <c r="AM441">
        <v>0</v>
      </c>
      <c r="AN441">
        <v>0</v>
      </c>
    </row>
    <row r="442" spans="25:40" x14ac:dyDescent="0.3">
      <c r="Y442">
        <v>0</v>
      </c>
      <c r="Z442">
        <v>0</v>
      </c>
      <c r="AA442">
        <v>0</v>
      </c>
      <c r="AB442">
        <v>0</v>
      </c>
      <c r="AC442">
        <v>0</v>
      </c>
      <c r="AD442">
        <v>0</v>
      </c>
      <c r="AE442">
        <v>0</v>
      </c>
      <c r="AF442">
        <v>0</v>
      </c>
      <c r="AG442">
        <v>0</v>
      </c>
      <c r="AH442">
        <v>0</v>
      </c>
      <c r="AI442">
        <v>0</v>
      </c>
      <c r="AJ442">
        <v>0</v>
      </c>
      <c r="AK442">
        <v>0</v>
      </c>
      <c r="AL442">
        <v>0</v>
      </c>
      <c r="AM442">
        <v>0</v>
      </c>
      <c r="AN442">
        <v>0</v>
      </c>
    </row>
    <row r="443" spans="25:40" x14ac:dyDescent="0.3">
      <c r="Y443">
        <v>0</v>
      </c>
      <c r="Z443">
        <v>0</v>
      </c>
      <c r="AA443">
        <v>0</v>
      </c>
      <c r="AB443">
        <v>0</v>
      </c>
      <c r="AC443">
        <v>0</v>
      </c>
      <c r="AD443">
        <v>0</v>
      </c>
      <c r="AE443">
        <v>0</v>
      </c>
      <c r="AF443">
        <v>0</v>
      </c>
      <c r="AG443">
        <v>0</v>
      </c>
      <c r="AH443">
        <v>0</v>
      </c>
      <c r="AI443">
        <v>0</v>
      </c>
      <c r="AJ443">
        <v>0</v>
      </c>
      <c r="AK443">
        <v>0</v>
      </c>
      <c r="AL443">
        <v>0</v>
      </c>
      <c r="AM443">
        <v>0</v>
      </c>
      <c r="AN443">
        <v>0</v>
      </c>
    </row>
    <row r="444" spans="25:40" x14ac:dyDescent="0.3">
      <c r="Y444">
        <v>103</v>
      </c>
      <c r="Z444">
        <v>0</v>
      </c>
      <c r="AA444">
        <v>0</v>
      </c>
      <c r="AB444">
        <v>0</v>
      </c>
      <c r="AC444">
        <v>0</v>
      </c>
      <c r="AD444">
        <v>0</v>
      </c>
      <c r="AE444">
        <v>0</v>
      </c>
      <c r="AF444">
        <v>0</v>
      </c>
      <c r="AG444">
        <v>103</v>
      </c>
      <c r="AH444">
        <v>103</v>
      </c>
      <c r="AI444">
        <v>0</v>
      </c>
      <c r="AJ444">
        <v>0</v>
      </c>
      <c r="AK444">
        <v>0</v>
      </c>
      <c r="AL444">
        <v>0</v>
      </c>
      <c r="AM444">
        <v>0</v>
      </c>
      <c r="AN444">
        <v>0</v>
      </c>
    </row>
    <row r="445" spans="25:40" x14ac:dyDescent="0.3">
      <c r="Y445">
        <v>128.33333333333334</v>
      </c>
      <c r="Z445">
        <v>0</v>
      </c>
      <c r="AA445">
        <v>0</v>
      </c>
      <c r="AB445">
        <v>0</v>
      </c>
      <c r="AC445">
        <v>125.5</v>
      </c>
      <c r="AD445">
        <v>0</v>
      </c>
      <c r="AE445">
        <v>0</v>
      </c>
      <c r="AF445">
        <v>0</v>
      </c>
      <c r="AG445">
        <v>0</v>
      </c>
      <c r="AH445">
        <v>134</v>
      </c>
      <c r="AI445">
        <v>0</v>
      </c>
      <c r="AJ445">
        <v>0</v>
      </c>
      <c r="AK445">
        <v>0</v>
      </c>
      <c r="AL445">
        <v>0</v>
      </c>
      <c r="AM445">
        <v>0</v>
      </c>
      <c r="AN445">
        <v>0</v>
      </c>
    </row>
    <row r="446" spans="25:40" x14ac:dyDescent="0.3">
      <c r="Y446">
        <v>150</v>
      </c>
      <c r="Z446">
        <v>0</v>
      </c>
      <c r="AA446">
        <v>0</v>
      </c>
      <c r="AB446">
        <v>0</v>
      </c>
      <c r="AC446">
        <v>0</v>
      </c>
      <c r="AD446">
        <v>0</v>
      </c>
      <c r="AE446">
        <v>0</v>
      </c>
      <c r="AF446">
        <v>151</v>
      </c>
      <c r="AG446">
        <v>148</v>
      </c>
      <c r="AH446">
        <v>151</v>
      </c>
      <c r="AI446">
        <v>0</v>
      </c>
      <c r="AJ446">
        <v>0</v>
      </c>
      <c r="AK446">
        <v>0</v>
      </c>
      <c r="AL446">
        <v>0</v>
      </c>
      <c r="AM446">
        <v>0</v>
      </c>
      <c r="AN446">
        <v>0</v>
      </c>
    </row>
    <row r="447" spans="25:40" x14ac:dyDescent="0.3">
      <c r="Y447">
        <v>140</v>
      </c>
      <c r="Z447">
        <v>0</v>
      </c>
      <c r="AA447">
        <v>0</v>
      </c>
      <c r="AB447">
        <v>0</v>
      </c>
      <c r="AC447">
        <v>0</v>
      </c>
      <c r="AD447">
        <v>0</v>
      </c>
      <c r="AE447">
        <v>140</v>
      </c>
      <c r="AF447">
        <v>140</v>
      </c>
      <c r="AG447">
        <v>0</v>
      </c>
      <c r="AH447">
        <v>140</v>
      </c>
      <c r="AI447">
        <v>0</v>
      </c>
      <c r="AJ447">
        <v>0</v>
      </c>
      <c r="AK447">
        <v>0</v>
      </c>
      <c r="AL447">
        <v>0</v>
      </c>
      <c r="AM447">
        <v>0</v>
      </c>
      <c r="AN447">
        <v>0</v>
      </c>
    </row>
    <row r="448" spans="25:40" x14ac:dyDescent="0.3">
      <c r="Y448">
        <v>0</v>
      </c>
      <c r="Z448">
        <v>0</v>
      </c>
      <c r="AA448">
        <v>0</v>
      </c>
      <c r="AB448">
        <v>0</v>
      </c>
      <c r="AC448">
        <v>0</v>
      </c>
      <c r="AD448">
        <v>0</v>
      </c>
      <c r="AE448">
        <v>0</v>
      </c>
      <c r="AF448">
        <v>0</v>
      </c>
      <c r="AG448">
        <v>0</v>
      </c>
      <c r="AH448">
        <v>0</v>
      </c>
      <c r="AI448">
        <v>0</v>
      </c>
      <c r="AJ448">
        <v>0</v>
      </c>
      <c r="AK448">
        <v>0</v>
      </c>
      <c r="AL448">
        <v>0</v>
      </c>
      <c r="AM448">
        <v>0</v>
      </c>
      <c r="AN448">
        <v>0</v>
      </c>
    </row>
    <row r="449" spans="25:40" x14ac:dyDescent="0.3">
      <c r="Y449">
        <v>0</v>
      </c>
      <c r="Z449">
        <v>0</v>
      </c>
      <c r="AA449">
        <v>0</v>
      </c>
      <c r="AB449">
        <v>0</v>
      </c>
      <c r="AC449">
        <v>0</v>
      </c>
      <c r="AD449">
        <v>0</v>
      </c>
      <c r="AE449">
        <v>0</v>
      </c>
      <c r="AF449">
        <v>0</v>
      </c>
      <c r="AG449">
        <v>0</v>
      </c>
      <c r="AH449">
        <v>0</v>
      </c>
      <c r="AI449">
        <v>0</v>
      </c>
      <c r="AJ449">
        <v>0</v>
      </c>
      <c r="AK449">
        <v>0</v>
      </c>
      <c r="AL449">
        <v>0</v>
      </c>
      <c r="AM449">
        <v>0</v>
      </c>
      <c r="AN449">
        <v>0</v>
      </c>
    </row>
    <row r="450" spans="25:40" x14ac:dyDescent="0.3">
      <c r="Y450">
        <v>114</v>
      </c>
      <c r="Z450">
        <v>0</v>
      </c>
      <c r="AA450">
        <v>0</v>
      </c>
      <c r="AB450">
        <v>114</v>
      </c>
      <c r="AC450">
        <v>0</v>
      </c>
      <c r="AD450">
        <v>0</v>
      </c>
      <c r="AE450">
        <v>0</v>
      </c>
      <c r="AF450">
        <v>114</v>
      </c>
      <c r="AG450">
        <v>0</v>
      </c>
      <c r="AH450">
        <v>114</v>
      </c>
      <c r="AI450">
        <v>0</v>
      </c>
      <c r="AJ450">
        <v>0</v>
      </c>
      <c r="AK450">
        <v>0</v>
      </c>
      <c r="AL450">
        <v>0</v>
      </c>
      <c r="AM450">
        <v>0</v>
      </c>
      <c r="AN450">
        <v>0</v>
      </c>
    </row>
    <row r="451" spans="25:40" x14ac:dyDescent="0.3">
      <c r="Y451">
        <v>41.333333333333336</v>
      </c>
      <c r="Z451">
        <v>0</v>
      </c>
      <c r="AA451">
        <v>38</v>
      </c>
      <c r="AB451">
        <v>42</v>
      </c>
      <c r="AC451">
        <v>44</v>
      </c>
      <c r="AD451">
        <v>0</v>
      </c>
      <c r="AE451">
        <v>0</v>
      </c>
      <c r="AF451">
        <v>0</v>
      </c>
      <c r="AG451">
        <v>0</v>
      </c>
      <c r="AH451">
        <v>0</v>
      </c>
      <c r="AI451">
        <v>0</v>
      </c>
      <c r="AJ451">
        <v>0</v>
      </c>
      <c r="AK451">
        <v>0</v>
      </c>
      <c r="AL451">
        <v>0</v>
      </c>
      <c r="AM451">
        <v>0</v>
      </c>
      <c r="AN451">
        <v>0</v>
      </c>
    </row>
    <row r="452" spans="25:40" x14ac:dyDescent="0.3">
      <c r="Y452">
        <v>151.33333333333334</v>
      </c>
      <c r="Z452">
        <v>0</v>
      </c>
      <c r="AA452">
        <v>0</v>
      </c>
      <c r="AB452">
        <v>0</v>
      </c>
      <c r="AC452">
        <v>151.33333333333334</v>
      </c>
      <c r="AD452">
        <v>0</v>
      </c>
      <c r="AE452">
        <v>0</v>
      </c>
      <c r="AF452">
        <v>0</v>
      </c>
      <c r="AG452">
        <v>0</v>
      </c>
      <c r="AH452">
        <v>0</v>
      </c>
      <c r="AI452">
        <v>0</v>
      </c>
      <c r="AJ452">
        <v>0</v>
      </c>
      <c r="AK452">
        <v>0</v>
      </c>
      <c r="AL452">
        <v>0</v>
      </c>
      <c r="AM452">
        <v>0</v>
      </c>
      <c r="AN452">
        <v>0</v>
      </c>
    </row>
    <row r="453" spans="25:40" x14ac:dyDescent="0.3">
      <c r="Y453">
        <v>167</v>
      </c>
      <c r="Z453">
        <v>0</v>
      </c>
      <c r="AA453">
        <v>0</v>
      </c>
      <c r="AB453">
        <v>0</v>
      </c>
      <c r="AC453">
        <v>183</v>
      </c>
      <c r="AD453">
        <v>0</v>
      </c>
      <c r="AE453">
        <v>159</v>
      </c>
      <c r="AF453">
        <v>159</v>
      </c>
      <c r="AG453">
        <v>0</v>
      </c>
      <c r="AH453">
        <v>0</v>
      </c>
      <c r="AI453">
        <v>0</v>
      </c>
      <c r="AJ453">
        <v>0</v>
      </c>
      <c r="AK453">
        <v>0</v>
      </c>
      <c r="AL453">
        <v>0</v>
      </c>
      <c r="AM453">
        <v>0</v>
      </c>
      <c r="AN453">
        <v>0</v>
      </c>
    </row>
    <row r="454" spans="25:40" x14ac:dyDescent="0.3">
      <c r="Y454">
        <v>0</v>
      </c>
      <c r="Z454">
        <v>0</v>
      </c>
      <c r="AA454">
        <v>0</v>
      </c>
      <c r="AB454">
        <v>0</v>
      </c>
      <c r="AC454">
        <v>0</v>
      </c>
      <c r="AD454">
        <v>0</v>
      </c>
      <c r="AE454">
        <v>0</v>
      </c>
      <c r="AF454">
        <v>0</v>
      </c>
      <c r="AG454">
        <v>0</v>
      </c>
      <c r="AH454">
        <v>0</v>
      </c>
      <c r="AI454">
        <v>0</v>
      </c>
      <c r="AJ454">
        <v>0</v>
      </c>
      <c r="AK454">
        <v>0</v>
      </c>
      <c r="AL454">
        <v>0</v>
      </c>
      <c r="AM454">
        <v>0</v>
      </c>
      <c r="AN454">
        <v>0</v>
      </c>
    </row>
    <row r="455" spans="25:40" x14ac:dyDescent="0.3">
      <c r="Y455">
        <v>130.33333333333334</v>
      </c>
      <c r="Z455">
        <v>0</v>
      </c>
      <c r="AA455">
        <v>0</v>
      </c>
      <c r="AB455">
        <v>131</v>
      </c>
      <c r="AC455">
        <v>130</v>
      </c>
      <c r="AD455">
        <v>0</v>
      </c>
      <c r="AE455">
        <v>0</v>
      </c>
      <c r="AF455">
        <v>0</v>
      </c>
      <c r="AG455">
        <v>130</v>
      </c>
      <c r="AH455">
        <v>0</v>
      </c>
      <c r="AI455">
        <v>0</v>
      </c>
      <c r="AJ455">
        <v>0</v>
      </c>
      <c r="AK455">
        <v>0</v>
      </c>
      <c r="AL455">
        <v>0</v>
      </c>
      <c r="AM455">
        <v>0</v>
      </c>
      <c r="AN455">
        <v>0</v>
      </c>
    </row>
    <row r="456" spans="25:40" x14ac:dyDescent="0.3">
      <c r="Y456">
        <v>175</v>
      </c>
      <c r="Z456">
        <v>0</v>
      </c>
      <c r="AA456">
        <v>0</v>
      </c>
      <c r="AB456">
        <v>0</v>
      </c>
      <c r="AC456">
        <v>0</v>
      </c>
      <c r="AD456">
        <v>0</v>
      </c>
      <c r="AE456">
        <v>0</v>
      </c>
      <c r="AF456">
        <v>175</v>
      </c>
      <c r="AG456">
        <v>0</v>
      </c>
      <c r="AH456">
        <v>0</v>
      </c>
      <c r="AI456">
        <v>0</v>
      </c>
      <c r="AJ456">
        <v>0</v>
      </c>
      <c r="AK456">
        <v>0</v>
      </c>
      <c r="AL456">
        <v>0</v>
      </c>
      <c r="AM456">
        <v>0</v>
      </c>
      <c r="AN456">
        <v>0</v>
      </c>
    </row>
    <row r="457" spans="25:40" x14ac:dyDescent="0.3">
      <c r="Y457">
        <v>107</v>
      </c>
      <c r="Z457">
        <v>0</v>
      </c>
      <c r="AA457">
        <v>0</v>
      </c>
      <c r="AB457">
        <v>0</v>
      </c>
      <c r="AC457">
        <v>0</v>
      </c>
      <c r="AD457">
        <v>0</v>
      </c>
      <c r="AE457">
        <v>0</v>
      </c>
      <c r="AF457">
        <v>0</v>
      </c>
      <c r="AG457">
        <v>0</v>
      </c>
      <c r="AH457">
        <v>110</v>
      </c>
      <c r="AI457">
        <v>0</v>
      </c>
      <c r="AJ457">
        <v>0</v>
      </c>
      <c r="AK457">
        <v>0</v>
      </c>
      <c r="AL457">
        <v>104</v>
      </c>
      <c r="AM457">
        <v>0</v>
      </c>
      <c r="AN457">
        <v>0</v>
      </c>
    </row>
    <row r="458" spans="25:40" x14ac:dyDescent="0.3">
      <c r="Y458">
        <v>258</v>
      </c>
      <c r="Z458">
        <v>0</v>
      </c>
      <c r="AA458">
        <v>0</v>
      </c>
      <c r="AB458">
        <v>0</v>
      </c>
      <c r="AC458">
        <v>0</v>
      </c>
      <c r="AD458">
        <v>0</v>
      </c>
      <c r="AE458">
        <v>0</v>
      </c>
      <c r="AF458">
        <v>0</v>
      </c>
      <c r="AG458">
        <v>0</v>
      </c>
      <c r="AH458">
        <v>0</v>
      </c>
      <c r="AI458">
        <v>0</v>
      </c>
      <c r="AJ458">
        <v>0</v>
      </c>
      <c r="AK458">
        <v>0</v>
      </c>
      <c r="AL458">
        <v>0</v>
      </c>
      <c r="AM458">
        <v>234</v>
      </c>
      <c r="AN458">
        <v>0</v>
      </c>
    </row>
    <row r="459" spans="25:40" x14ac:dyDescent="0.3">
      <c r="Y459">
        <v>217.5</v>
      </c>
      <c r="Z459">
        <v>0</v>
      </c>
      <c r="AA459">
        <v>0</v>
      </c>
      <c r="AB459">
        <v>0</v>
      </c>
      <c r="AC459">
        <v>0</v>
      </c>
      <c r="AD459">
        <v>0</v>
      </c>
      <c r="AE459">
        <v>0</v>
      </c>
      <c r="AF459">
        <v>0</v>
      </c>
      <c r="AG459">
        <v>0</v>
      </c>
      <c r="AH459">
        <v>0</v>
      </c>
      <c r="AI459">
        <v>0</v>
      </c>
      <c r="AJ459">
        <v>0</v>
      </c>
      <c r="AK459">
        <v>0</v>
      </c>
      <c r="AL459">
        <v>0</v>
      </c>
      <c r="AM459">
        <v>0</v>
      </c>
      <c r="AN459">
        <v>0</v>
      </c>
    </row>
    <row r="460" spans="25:40" x14ac:dyDescent="0.3">
      <c r="Y460">
        <v>138.5</v>
      </c>
      <c r="Z460">
        <v>0</v>
      </c>
      <c r="AA460">
        <v>0</v>
      </c>
      <c r="AB460">
        <v>0</v>
      </c>
      <c r="AC460">
        <v>0</v>
      </c>
      <c r="AD460">
        <v>0</v>
      </c>
      <c r="AE460">
        <v>0</v>
      </c>
      <c r="AF460">
        <v>0</v>
      </c>
      <c r="AG460">
        <v>0</v>
      </c>
      <c r="AH460">
        <v>88</v>
      </c>
      <c r="AI460">
        <v>0</v>
      </c>
      <c r="AJ460">
        <v>0</v>
      </c>
      <c r="AK460">
        <v>0</v>
      </c>
      <c r="AL460">
        <v>0</v>
      </c>
      <c r="AM460">
        <v>0</v>
      </c>
      <c r="AN460">
        <v>0</v>
      </c>
    </row>
    <row r="461" spans="25:40" x14ac:dyDescent="0.3">
      <c r="Y461">
        <v>170.5</v>
      </c>
      <c r="Z461">
        <v>0</v>
      </c>
      <c r="AA461">
        <v>0</v>
      </c>
      <c r="AB461">
        <v>0</v>
      </c>
      <c r="AC461">
        <v>0</v>
      </c>
      <c r="AD461">
        <v>0</v>
      </c>
      <c r="AE461">
        <v>0</v>
      </c>
      <c r="AF461">
        <v>0</v>
      </c>
      <c r="AG461">
        <v>0</v>
      </c>
      <c r="AH461">
        <v>0</v>
      </c>
      <c r="AI461">
        <v>0</v>
      </c>
      <c r="AJ461">
        <v>0</v>
      </c>
      <c r="AK461">
        <v>0</v>
      </c>
      <c r="AL461">
        <v>0</v>
      </c>
      <c r="AM461">
        <v>0</v>
      </c>
      <c r="AN461">
        <v>149</v>
      </c>
    </row>
    <row r="462" spans="25:40" x14ac:dyDescent="0.3">
      <c r="Y462">
        <v>190.5</v>
      </c>
      <c r="Z462">
        <v>0</v>
      </c>
      <c r="AA462">
        <v>0</v>
      </c>
      <c r="AB462">
        <v>0</v>
      </c>
      <c r="AC462">
        <v>0</v>
      </c>
      <c r="AD462">
        <v>0</v>
      </c>
      <c r="AE462">
        <v>0</v>
      </c>
      <c r="AF462">
        <v>0</v>
      </c>
      <c r="AG462">
        <v>0</v>
      </c>
      <c r="AH462">
        <v>0</v>
      </c>
      <c r="AI462">
        <v>0</v>
      </c>
      <c r="AJ462">
        <v>0</v>
      </c>
      <c r="AK462">
        <v>0</v>
      </c>
      <c r="AL462">
        <v>0</v>
      </c>
      <c r="AM462">
        <v>183</v>
      </c>
      <c r="AN462">
        <v>0</v>
      </c>
    </row>
    <row r="463" spans="25:40" x14ac:dyDescent="0.3">
      <c r="Y463">
        <v>27</v>
      </c>
      <c r="Z463">
        <v>0</v>
      </c>
      <c r="AA463">
        <v>0</v>
      </c>
      <c r="AB463">
        <v>0</v>
      </c>
      <c r="AC463">
        <v>0</v>
      </c>
      <c r="AD463">
        <v>0</v>
      </c>
      <c r="AE463">
        <v>0</v>
      </c>
      <c r="AF463">
        <v>0</v>
      </c>
      <c r="AG463">
        <v>0</v>
      </c>
      <c r="AH463">
        <v>0</v>
      </c>
      <c r="AI463">
        <v>0</v>
      </c>
      <c r="AJ463">
        <v>0</v>
      </c>
      <c r="AK463">
        <v>27</v>
      </c>
      <c r="AL463">
        <v>27</v>
      </c>
      <c r="AM463">
        <v>0</v>
      </c>
      <c r="AN463">
        <v>0</v>
      </c>
    </row>
    <row r="464" spans="25:40" x14ac:dyDescent="0.3">
      <c r="Y464">
        <v>209</v>
      </c>
      <c r="Z464">
        <v>0</v>
      </c>
      <c r="AA464">
        <v>219</v>
      </c>
      <c r="AB464">
        <v>0</v>
      </c>
      <c r="AC464">
        <v>0</v>
      </c>
      <c r="AD464">
        <v>0</v>
      </c>
      <c r="AE464">
        <v>0</v>
      </c>
      <c r="AF464">
        <v>0</v>
      </c>
      <c r="AG464">
        <v>0</v>
      </c>
      <c r="AH464">
        <v>0</v>
      </c>
      <c r="AI464">
        <v>0</v>
      </c>
      <c r="AJ464">
        <v>0</v>
      </c>
      <c r="AK464">
        <v>199</v>
      </c>
      <c r="AL464">
        <v>0</v>
      </c>
      <c r="AM464">
        <v>0</v>
      </c>
      <c r="AN464">
        <v>0</v>
      </c>
    </row>
    <row r="465" spans="25:40" x14ac:dyDescent="0.3">
      <c r="Y465">
        <v>0</v>
      </c>
      <c r="Z465">
        <v>0</v>
      </c>
      <c r="AA465">
        <v>0</v>
      </c>
      <c r="AB465">
        <v>0</v>
      </c>
      <c r="AC465">
        <v>0</v>
      </c>
      <c r="AD465">
        <v>0</v>
      </c>
      <c r="AE465">
        <v>0</v>
      </c>
      <c r="AF465">
        <v>0</v>
      </c>
      <c r="AG465">
        <v>0</v>
      </c>
      <c r="AH465">
        <v>0</v>
      </c>
      <c r="AI465">
        <v>0</v>
      </c>
      <c r="AJ465">
        <v>0</v>
      </c>
      <c r="AK465">
        <v>0</v>
      </c>
      <c r="AL465">
        <v>0</v>
      </c>
      <c r="AM465">
        <v>0</v>
      </c>
      <c r="AN465">
        <v>0</v>
      </c>
    </row>
    <row r="466" spans="25:40" x14ac:dyDescent="0.3">
      <c r="Y466">
        <v>143</v>
      </c>
      <c r="Z466">
        <v>0</v>
      </c>
      <c r="AA466">
        <v>0</v>
      </c>
      <c r="AB466">
        <v>0</v>
      </c>
      <c r="AC466">
        <v>0</v>
      </c>
      <c r="AD466">
        <v>0</v>
      </c>
      <c r="AE466">
        <v>0</v>
      </c>
      <c r="AF466">
        <v>0</v>
      </c>
      <c r="AG466">
        <v>0</v>
      </c>
      <c r="AH466">
        <v>0</v>
      </c>
      <c r="AI466">
        <v>130</v>
      </c>
      <c r="AJ466">
        <v>0</v>
      </c>
      <c r="AK466">
        <v>0</v>
      </c>
      <c r="AL466">
        <v>156</v>
      </c>
      <c r="AM466">
        <v>0</v>
      </c>
      <c r="AN466">
        <v>0</v>
      </c>
    </row>
    <row r="467" spans="25:40" x14ac:dyDescent="0.3">
      <c r="Y467">
        <v>145</v>
      </c>
      <c r="Z467">
        <v>0</v>
      </c>
      <c r="AA467">
        <v>0</v>
      </c>
      <c r="AB467">
        <v>0</v>
      </c>
      <c r="AC467">
        <v>0</v>
      </c>
      <c r="AD467">
        <v>0</v>
      </c>
      <c r="AE467">
        <v>139</v>
      </c>
      <c r="AF467">
        <v>0</v>
      </c>
      <c r="AG467">
        <v>0</v>
      </c>
      <c r="AH467">
        <v>0</v>
      </c>
      <c r="AI467">
        <v>151</v>
      </c>
      <c r="AJ467">
        <v>0</v>
      </c>
      <c r="AK467">
        <v>0</v>
      </c>
      <c r="AL467">
        <v>0</v>
      </c>
      <c r="AM467">
        <v>0</v>
      </c>
      <c r="AN467">
        <v>0</v>
      </c>
    </row>
    <row r="468" spans="25:40" x14ac:dyDescent="0.3">
      <c r="Y468">
        <v>0</v>
      </c>
      <c r="Z468">
        <v>0</v>
      </c>
      <c r="AA468">
        <v>0</v>
      </c>
      <c r="AB468">
        <v>0</v>
      </c>
      <c r="AC468">
        <v>0</v>
      </c>
      <c r="AD468">
        <v>0</v>
      </c>
      <c r="AE468">
        <v>0</v>
      </c>
      <c r="AF468">
        <v>0</v>
      </c>
      <c r="AG468">
        <v>0</v>
      </c>
      <c r="AH468">
        <v>0</v>
      </c>
      <c r="AI468">
        <v>0</v>
      </c>
      <c r="AJ468">
        <v>0</v>
      </c>
      <c r="AK468">
        <v>0</v>
      </c>
      <c r="AL468">
        <v>0</v>
      </c>
      <c r="AM468">
        <v>0</v>
      </c>
      <c r="AN468">
        <v>0</v>
      </c>
    </row>
    <row r="469" spans="25:40" x14ac:dyDescent="0.3">
      <c r="Y469">
        <v>91.5</v>
      </c>
      <c r="Z469">
        <v>0</v>
      </c>
      <c r="AA469">
        <v>0</v>
      </c>
      <c r="AB469">
        <v>0</v>
      </c>
      <c r="AC469">
        <v>0</v>
      </c>
      <c r="AD469">
        <v>0</v>
      </c>
      <c r="AE469">
        <v>0</v>
      </c>
      <c r="AF469">
        <v>0</v>
      </c>
      <c r="AG469">
        <v>0</v>
      </c>
      <c r="AH469">
        <v>0</v>
      </c>
      <c r="AI469">
        <v>0</v>
      </c>
      <c r="AJ469">
        <v>0</v>
      </c>
      <c r="AK469">
        <v>88</v>
      </c>
      <c r="AL469">
        <v>0</v>
      </c>
      <c r="AM469">
        <v>0</v>
      </c>
      <c r="AN469">
        <v>95</v>
      </c>
    </row>
    <row r="470" spans="25:40" x14ac:dyDescent="0.3">
      <c r="Y470">
        <v>248.5</v>
      </c>
      <c r="Z470">
        <v>0</v>
      </c>
      <c r="AA470">
        <v>0</v>
      </c>
      <c r="AB470">
        <v>0</v>
      </c>
      <c r="AC470">
        <v>0</v>
      </c>
      <c r="AD470">
        <v>0</v>
      </c>
      <c r="AE470">
        <v>0</v>
      </c>
      <c r="AF470">
        <v>0</v>
      </c>
      <c r="AG470">
        <v>0</v>
      </c>
      <c r="AH470">
        <v>0</v>
      </c>
      <c r="AI470">
        <v>0</v>
      </c>
      <c r="AJ470">
        <v>0</v>
      </c>
      <c r="AK470">
        <v>0</v>
      </c>
      <c r="AL470">
        <v>0</v>
      </c>
      <c r="AM470">
        <v>0</v>
      </c>
      <c r="AN470">
        <v>0</v>
      </c>
    </row>
    <row r="471" spans="25:40" x14ac:dyDescent="0.3">
      <c r="Y471">
        <v>147.5</v>
      </c>
      <c r="Z471">
        <v>0</v>
      </c>
      <c r="AA471">
        <v>0</v>
      </c>
      <c r="AB471">
        <v>0</v>
      </c>
      <c r="AC471">
        <v>0</v>
      </c>
      <c r="AD471">
        <v>0</v>
      </c>
      <c r="AE471">
        <v>0</v>
      </c>
      <c r="AF471">
        <v>0</v>
      </c>
      <c r="AG471">
        <v>0</v>
      </c>
      <c r="AH471">
        <v>136</v>
      </c>
      <c r="AI471">
        <v>0</v>
      </c>
      <c r="AJ471">
        <v>0</v>
      </c>
      <c r="AK471">
        <v>159</v>
      </c>
      <c r="AL471">
        <v>0</v>
      </c>
      <c r="AM471">
        <v>0</v>
      </c>
      <c r="AN471">
        <v>0</v>
      </c>
    </row>
    <row r="472" spans="25:40" x14ac:dyDescent="0.3">
      <c r="Y472">
        <v>110.5</v>
      </c>
      <c r="Z472">
        <v>0</v>
      </c>
      <c r="AA472">
        <v>0</v>
      </c>
      <c r="AB472">
        <v>0</v>
      </c>
      <c r="AC472">
        <v>0</v>
      </c>
      <c r="AD472">
        <v>0</v>
      </c>
      <c r="AE472">
        <v>0</v>
      </c>
      <c r="AF472">
        <v>0</v>
      </c>
      <c r="AG472">
        <v>0</v>
      </c>
      <c r="AH472">
        <v>112</v>
      </c>
      <c r="AI472">
        <v>0</v>
      </c>
      <c r="AJ472">
        <v>0</v>
      </c>
      <c r="AK472">
        <v>109</v>
      </c>
      <c r="AL472">
        <v>0</v>
      </c>
      <c r="AM472">
        <v>0</v>
      </c>
      <c r="AN472">
        <v>0</v>
      </c>
    </row>
    <row r="473" spans="25:40" x14ac:dyDescent="0.3">
      <c r="Y473">
        <v>119</v>
      </c>
      <c r="Z473">
        <v>0</v>
      </c>
      <c r="AA473">
        <v>0</v>
      </c>
      <c r="AB473">
        <v>0</v>
      </c>
      <c r="AC473">
        <v>0</v>
      </c>
      <c r="AD473">
        <v>0</v>
      </c>
      <c r="AE473">
        <v>0</v>
      </c>
      <c r="AF473">
        <v>0</v>
      </c>
      <c r="AG473">
        <v>0</v>
      </c>
      <c r="AH473">
        <v>0</v>
      </c>
      <c r="AI473">
        <v>0</v>
      </c>
      <c r="AJ473">
        <v>119</v>
      </c>
      <c r="AK473">
        <v>119</v>
      </c>
      <c r="AL473">
        <v>0</v>
      </c>
      <c r="AM473">
        <v>0</v>
      </c>
      <c r="AN473">
        <v>0</v>
      </c>
    </row>
    <row r="474" spans="25:40" x14ac:dyDescent="0.3">
      <c r="Y474">
        <v>112</v>
      </c>
      <c r="Z474">
        <v>0</v>
      </c>
      <c r="AA474">
        <v>0</v>
      </c>
      <c r="AB474">
        <v>0</v>
      </c>
      <c r="AC474">
        <v>0</v>
      </c>
      <c r="AD474">
        <v>0</v>
      </c>
      <c r="AE474">
        <v>0</v>
      </c>
      <c r="AF474">
        <v>0</v>
      </c>
      <c r="AG474">
        <v>0</v>
      </c>
      <c r="AH474">
        <v>0</v>
      </c>
      <c r="AI474">
        <v>0</v>
      </c>
      <c r="AJ474">
        <v>112</v>
      </c>
      <c r="AK474">
        <v>0</v>
      </c>
      <c r="AL474">
        <v>0</v>
      </c>
      <c r="AM474">
        <v>0</v>
      </c>
      <c r="AN474">
        <v>0</v>
      </c>
    </row>
    <row r="475" spans="25:40" x14ac:dyDescent="0.3">
      <c r="Y475">
        <v>101</v>
      </c>
      <c r="Z475">
        <v>0</v>
      </c>
      <c r="AA475">
        <v>0</v>
      </c>
      <c r="AB475">
        <v>0</v>
      </c>
      <c r="AC475">
        <v>0</v>
      </c>
      <c r="AD475">
        <v>0</v>
      </c>
      <c r="AE475">
        <v>0</v>
      </c>
      <c r="AF475">
        <v>0</v>
      </c>
      <c r="AG475">
        <v>0</v>
      </c>
      <c r="AH475">
        <v>100</v>
      </c>
      <c r="AI475">
        <v>0</v>
      </c>
      <c r="AJ475">
        <v>102</v>
      </c>
      <c r="AK475">
        <v>0</v>
      </c>
      <c r="AL475">
        <v>0</v>
      </c>
      <c r="AM475">
        <v>0</v>
      </c>
      <c r="AN475">
        <v>0</v>
      </c>
    </row>
    <row r="476" spans="25:40" x14ac:dyDescent="0.3">
      <c r="Y476">
        <v>101.5</v>
      </c>
      <c r="Z476">
        <v>0</v>
      </c>
      <c r="AA476">
        <v>0</v>
      </c>
      <c r="AB476">
        <v>0</v>
      </c>
      <c r="AC476">
        <v>0</v>
      </c>
      <c r="AD476">
        <v>0</v>
      </c>
      <c r="AE476">
        <v>0</v>
      </c>
      <c r="AF476">
        <v>0</v>
      </c>
      <c r="AG476">
        <v>0</v>
      </c>
      <c r="AH476">
        <v>99</v>
      </c>
      <c r="AI476">
        <v>104</v>
      </c>
      <c r="AJ476">
        <v>0</v>
      </c>
      <c r="AK476">
        <v>0</v>
      </c>
      <c r="AL476">
        <v>0</v>
      </c>
      <c r="AM476">
        <v>0</v>
      </c>
      <c r="AN476">
        <v>0</v>
      </c>
    </row>
    <row r="477" spans="25:40" x14ac:dyDescent="0.3">
      <c r="Y477">
        <v>190</v>
      </c>
      <c r="Z477">
        <v>0</v>
      </c>
      <c r="AA477">
        <v>0</v>
      </c>
      <c r="AB477">
        <v>0</v>
      </c>
      <c r="AC477">
        <v>0</v>
      </c>
      <c r="AD477">
        <v>0</v>
      </c>
      <c r="AE477">
        <v>0</v>
      </c>
      <c r="AF477">
        <v>0</v>
      </c>
      <c r="AG477">
        <v>0</v>
      </c>
      <c r="AH477">
        <v>0</v>
      </c>
      <c r="AI477">
        <v>0</v>
      </c>
      <c r="AJ477">
        <v>0</v>
      </c>
      <c r="AK477">
        <v>0</v>
      </c>
      <c r="AL477">
        <v>0</v>
      </c>
      <c r="AM477">
        <v>570</v>
      </c>
      <c r="AN477">
        <v>0</v>
      </c>
    </row>
    <row r="478" spans="25:40" x14ac:dyDescent="0.3">
      <c r="Y478">
        <v>166.5</v>
      </c>
      <c r="Z478">
        <v>0</v>
      </c>
      <c r="AA478">
        <v>0</v>
      </c>
      <c r="AB478">
        <v>0</v>
      </c>
      <c r="AC478">
        <v>0</v>
      </c>
      <c r="AD478">
        <v>0</v>
      </c>
      <c r="AE478">
        <v>0</v>
      </c>
      <c r="AF478">
        <v>149</v>
      </c>
      <c r="AG478">
        <v>0</v>
      </c>
      <c r="AH478">
        <v>0</v>
      </c>
      <c r="AI478">
        <v>0</v>
      </c>
      <c r="AJ478">
        <v>0</v>
      </c>
      <c r="AK478">
        <v>0</v>
      </c>
      <c r="AL478">
        <v>0</v>
      </c>
      <c r="AM478">
        <v>184</v>
      </c>
      <c r="AN478">
        <v>0</v>
      </c>
    </row>
    <row r="479" spans="25:40" x14ac:dyDescent="0.3">
      <c r="Y479">
        <v>206</v>
      </c>
      <c r="Z479">
        <v>0</v>
      </c>
      <c r="AA479">
        <v>0</v>
      </c>
      <c r="AB479">
        <v>0</v>
      </c>
      <c r="AC479">
        <v>0</v>
      </c>
      <c r="AD479">
        <v>0</v>
      </c>
      <c r="AE479">
        <v>0</v>
      </c>
      <c r="AF479">
        <v>0</v>
      </c>
      <c r="AG479">
        <v>0</v>
      </c>
      <c r="AH479">
        <v>180</v>
      </c>
      <c r="AI479">
        <v>0</v>
      </c>
      <c r="AJ479">
        <v>0</v>
      </c>
      <c r="AK479">
        <v>0</v>
      </c>
      <c r="AL479">
        <v>0</v>
      </c>
      <c r="AM479">
        <v>0</v>
      </c>
      <c r="AN479">
        <v>0</v>
      </c>
    </row>
    <row r="480" spans="25:40" x14ac:dyDescent="0.3">
      <c r="Y480">
        <v>168</v>
      </c>
      <c r="Z480">
        <v>0</v>
      </c>
      <c r="AA480">
        <v>0</v>
      </c>
      <c r="AB480">
        <v>0</v>
      </c>
      <c r="AC480">
        <v>0</v>
      </c>
      <c r="AD480">
        <v>0</v>
      </c>
      <c r="AE480">
        <v>0</v>
      </c>
      <c r="AF480">
        <v>0</v>
      </c>
      <c r="AG480">
        <v>0</v>
      </c>
      <c r="AH480">
        <v>143</v>
      </c>
      <c r="AI480">
        <v>0</v>
      </c>
      <c r="AJ480">
        <v>0</v>
      </c>
      <c r="AK480">
        <v>0</v>
      </c>
      <c r="AL480">
        <v>0</v>
      </c>
      <c r="AM480">
        <v>0</v>
      </c>
      <c r="AN480">
        <v>0</v>
      </c>
    </row>
    <row r="481" spans="25:40" x14ac:dyDescent="0.3">
      <c r="Y481">
        <v>137.5</v>
      </c>
      <c r="Z481">
        <v>0</v>
      </c>
      <c r="AA481">
        <v>0</v>
      </c>
      <c r="AB481">
        <v>0</v>
      </c>
      <c r="AC481">
        <v>0</v>
      </c>
      <c r="AD481">
        <v>0</v>
      </c>
      <c r="AE481">
        <v>0</v>
      </c>
      <c r="AF481">
        <v>0</v>
      </c>
      <c r="AG481">
        <v>0</v>
      </c>
      <c r="AH481">
        <v>131</v>
      </c>
      <c r="AI481">
        <v>0</v>
      </c>
      <c r="AJ481">
        <v>0</v>
      </c>
      <c r="AK481">
        <v>144</v>
      </c>
      <c r="AL481">
        <v>0</v>
      </c>
      <c r="AM481">
        <v>0</v>
      </c>
      <c r="AN481">
        <v>0</v>
      </c>
    </row>
    <row r="482" spans="25:40" x14ac:dyDescent="0.3">
      <c r="Y482">
        <v>106</v>
      </c>
      <c r="Z482">
        <v>0</v>
      </c>
      <c r="AA482">
        <v>0</v>
      </c>
      <c r="AB482">
        <v>0</v>
      </c>
      <c r="AC482">
        <v>0</v>
      </c>
      <c r="AD482">
        <v>0</v>
      </c>
      <c r="AE482">
        <v>0</v>
      </c>
      <c r="AF482">
        <v>0</v>
      </c>
      <c r="AG482">
        <v>0</v>
      </c>
      <c r="AH482">
        <v>103</v>
      </c>
      <c r="AI482">
        <v>0</v>
      </c>
      <c r="AJ482">
        <v>109</v>
      </c>
      <c r="AK482">
        <v>0</v>
      </c>
      <c r="AL482">
        <v>0</v>
      </c>
      <c r="AM482">
        <v>0</v>
      </c>
      <c r="AN482">
        <v>0</v>
      </c>
    </row>
    <row r="483" spans="25:40" x14ac:dyDescent="0.3">
      <c r="Y483">
        <v>152</v>
      </c>
      <c r="Z483">
        <v>0</v>
      </c>
      <c r="AA483">
        <v>0</v>
      </c>
      <c r="AB483">
        <v>0</v>
      </c>
      <c r="AC483">
        <v>0</v>
      </c>
      <c r="AD483">
        <v>0</v>
      </c>
      <c r="AE483">
        <v>0</v>
      </c>
      <c r="AF483">
        <v>135</v>
      </c>
      <c r="AG483">
        <v>0</v>
      </c>
      <c r="AH483">
        <v>0</v>
      </c>
      <c r="AI483">
        <v>0</v>
      </c>
      <c r="AJ483">
        <v>0</v>
      </c>
      <c r="AK483">
        <v>0</v>
      </c>
      <c r="AL483">
        <v>169</v>
      </c>
      <c r="AM483">
        <v>0</v>
      </c>
      <c r="AN483">
        <v>0</v>
      </c>
    </row>
    <row r="484" spans="25:40" x14ac:dyDescent="0.3">
      <c r="Y484">
        <v>91</v>
      </c>
      <c r="Z484">
        <v>0</v>
      </c>
      <c r="AA484">
        <v>0</v>
      </c>
      <c r="AB484">
        <v>0</v>
      </c>
      <c r="AC484">
        <v>0</v>
      </c>
      <c r="AD484">
        <v>0</v>
      </c>
      <c r="AE484">
        <v>0</v>
      </c>
      <c r="AF484">
        <v>0</v>
      </c>
      <c r="AG484">
        <v>0</v>
      </c>
      <c r="AH484">
        <v>0</v>
      </c>
      <c r="AI484">
        <v>0</v>
      </c>
      <c r="AJ484">
        <v>0</v>
      </c>
      <c r="AK484">
        <v>0</v>
      </c>
      <c r="AL484">
        <v>0</v>
      </c>
      <c r="AM484">
        <v>0</v>
      </c>
      <c r="AN484">
        <v>0</v>
      </c>
    </row>
    <row r="485" spans="25:40" x14ac:dyDescent="0.3">
      <c r="Y485">
        <v>0</v>
      </c>
      <c r="Z485">
        <v>0</v>
      </c>
      <c r="AA485">
        <v>0</v>
      </c>
      <c r="AB485">
        <v>0</v>
      </c>
      <c r="AC485">
        <v>0</v>
      </c>
      <c r="AD485">
        <v>0</v>
      </c>
      <c r="AE485">
        <v>0</v>
      </c>
      <c r="AF485">
        <v>0</v>
      </c>
      <c r="AG485">
        <v>0</v>
      </c>
      <c r="AH485">
        <v>0</v>
      </c>
      <c r="AI485">
        <v>0</v>
      </c>
      <c r="AJ485">
        <v>0</v>
      </c>
      <c r="AK485">
        <v>0</v>
      </c>
      <c r="AL485">
        <v>0</v>
      </c>
      <c r="AM485">
        <v>0</v>
      </c>
      <c r="AN485">
        <v>0</v>
      </c>
    </row>
    <row r="486" spans="25:40" x14ac:dyDescent="0.3">
      <c r="Y486">
        <v>216.5</v>
      </c>
      <c r="Z486">
        <v>0</v>
      </c>
      <c r="AA486">
        <v>0</v>
      </c>
      <c r="AB486">
        <v>0</v>
      </c>
      <c r="AC486">
        <v>0</v>
      </c>
      <c r="AD486">
        <v>0</v>
      </c>
      <c r="AE486">
        <v>0</v>
      </c>
      <c r="AF486">
        <v>0</v>
      </c>
      <c r="AG486">
        <v>0</v>
      </c>
      <c r="AH486">
        <v>0</v>
      </c>
      <c r="AI486">
        <v>0</v>
      </c>
      <c r="AJ486">
        <v>0</v>
      </c>
      <c r="AK486">
        <v>0</v>
      </c>
      <c r="AL486">
        <v>0</v>
      </c>
      <c r="AM486">
        <v>0</v>
      </c>
      <c r="AN486">
        <v>0</v>
      </c>
    </row>
    <row r="487" spans="25:40" x14ac:dyDescent="0.3">
      <c r="Y487">
        <v>0</v>
      </c>
      <c r="Z487">
        <v>0</v>
      </c>
      <c r="AA487">
        <v>0</v>
      </c>
      <c r="AB487">
        <v>0</v>
      </c>
      <c r="AC487">
        <v>0</v>
      </c>
      <c r="AD487">
        <v>0</v>
      </c>
      <c r="AE487">
        <v>0</v>
      </c>
      <c r="AF487">
        <v>0</v>
      </c>
      <c r="AG487">
        <v>0</v>
      </c>
      <c r="AH487">
        <v>0</v>
      </c>
      <c r="AI487">
        <v>0</v>
      </c>
      <c r="AJ487">
        <v>0</v>
      </c>
      <c r="AK487">
        <v>0</v>
      </c>
      <c r="AL487">
        <v>0</v>
      </c>
      <c r="AM487">
        <v>0</v>
      </c>
      <c r="AN487">
        <v>0</v>
      </c>
    </row>
    <row r="488" spans="25:40" x14ac:dyDescent="0.3">
      <c r="Y488">
        <v>173</v>
      </c>
      <c r="Z488">
        <v>0</v>
      </c>
      <c r="AA488">
        <v>0</v>
      </c>
      <c r="AB488">
        <v>0</v>
      </c>
      <c r="AC488">
        <v>0</v>
      </c>
      <c r="AD488">
        <v>0</v>
      </c>
      <c r="AE488">
        <v>0</v>
      </c>
      <c r="AF488">
        <v>0</v>
      </c>
      <c r="AG488">
        <v>162</v>
      </c>
      <c r="AH488">
        <v>0</v>
      </c>
      <c r="AI488">
        <v>0</v>
      </c>
      <c r="AJ488">
        <v>0</v>
      </c>
      <c r="AK488">
        <v>184</v>
      </c>
      <c r="AL488">
        <v>0</v>
      </c>
      <c r="AM488">
        <v>0</v>
      </c>
      <c r="AN488">
        <v>0</v>
      </c>
    </row>
    <row r="489" spans="25:40" x14ac:dyDescent="0.3">
      <c r="Y489">
        <v>162.5</v>
      </c>
      <c r="Z489">
        <v>0</v>
      </c>
      <c r="AA489">
        <v>0</v>
      </c>
      <c r="AB489">
        <v>0</v>
      </c>
      <c r="AC489">
        <v>0</v>
      </c>
      <c r="AD489">
        <v>0</v>
      </c>
      <c r="AE489">
        <v>0</v>
      </c>
      <c r="AF489">
        <v>0</v>
      </c>
      <c r="AG489">
        <v>0</v>
      </c>
      <c r="AH489">
        <v>0</v>
      </c>
      <c r="AI489">
        <v>0</v>
      </c>
      <c r="AJ489">
        <v>0</v>
      </c>
      <c r="AK489">
        <v>0</v>
      </c>
      <c r="AL489">
        <v>325</v>
      </c>
      <c r="AM489">
        <v>0</v>
      </c>
      <c r="AN489">
        <v>0</v>
      </c>
    </row>
    <row r="490" spans="25:40" x14ac:dyDescent="0.3">
      <c r="Y490">
        <v>201.5</v>
      </c>
      <c r="Z490">
        <v>0</v>
      </c>
      <c r="AA490">
        <v>0</v>
      </c>
      <c r="AB490">
        <v>0</v>
      </c>
      <c r="AC490">
        <v>0</v>
      </c>
      <c r="AD490">
        <v>0</v>
      </c>
      <c r="AE490">
        <v>0</v>
      </c>
      <c r="AF490">
        <v>0</v>
      </c>
      <c r="AG490">
        <v>0</v>
      </c>
      <c r="AH490">
        <v>0</v>
      </c>
      <c r="AI490">
        <v>0</v>
      </c>
      <c r="AJ490">
        <v>0</v>
      </c>
      <c r="AK490">
        <v>0</v>
      </c>
      <c r="AL490">
        <v>0</v>
      </c>
      <c r="AM490">
        <v>192</v>
      </c>
      <c r="AN490">
        <v>0</v>
      </c>
    </row>
    <row r="491" spans="25:40" x14ac:dyDescent="0.3">
      <c r="Y491">
        <v>176.5</v>
      </c>
      <c r="Z491">
        <v>0</v>
      </c>
      <c r="AA491">
        <v>0</v>
      </c>
      <c r="AB491">
        <v>0</v>
      </c>
      <c r="AC491">
        <v>0</v>
      </c>
      <c r="AD491">
        <v>0</v>
      </c>
      <c r="AE491">
        <v>164</v>
      </c>
      <c r="AF491">
        <v>0</v>
      </c>
      <c r="AG491">
        <v>0</v>
      </c>
      <c r="AH491">
        <v>0</v>
      </c>
      <c r="AI491">
        <v>0</v>
      </c>
      <c r="AJ491">
        <v>0</v>
      </c>
      <c r="AK491">
        <v>0</v>
      </c>
      <c r="AL491">
        <v>0</v>
      </c>
      <c r="AM491">
        <v>0</v>
      </c>
      <c r="AN491">
        <v>189</v>
      </c>
    </row>
    <row r="492" spans="25:40" x14ac:dyDescent="0.3">
      <c r="Y492">
        <v>109.5</v>
      </c>
      <c r="Z492">
        <v>0</v>
      </c>
      <c r="AA492">
        <v>0</v>
      </c>
      <c r="AB492">
        <v>0</v>
      </c>
      <c r="AC492">
        <v>0</v>
      </c>
      <c r="AD492">
        <v>0</v>
      </c>
      <c r="AE492">
        <v>0</v>
      </c>
      <c r="AF492">
        <v>0</v>
      </c>
      <c r="AG492">
        <v>0</v>
      </c>
      <c r="AH492">
        <v>105</v>
      </c>
      <c r="AI492">
        <v>0</v>
      </c>
      <c r="AJ492">
        <v>0</v>
      </c>
      <c r="AK492">
        <v>114</v>
      </c>
      <c r="AL492">
        <v>0</v>
      </c>
      <c r="AM492">
        <v>0</v>
      </c>
      <c r="AN492">
        <v>0</v>
      </c>
    </row>
    <row r="493" spans="25:40" x14ac:dyDescent="0.3">
      <c r="Y493">
        <v>226</v>
      </c>
      <c r="Z493">
        <v>0</v>
      </c>
      <c r="AA493">
        <v>0</v>
      </c>
      <c r="AB493">
        <v>0</v>
      </c>
      <c r="AC493">
        <v>0</v>
      </c>
      <c r="AD493">
        <v>0</v>
      </c>
      <c r="AE493">
        <v>0</v>
      </c>
      <c r="AF493">
        <v>0</v>
      </c>
      <c r="AG493">
        <v>0</v>
      </c>
      <c r="AH493">
        <v>0</v>
      </c>
      <c r="AI493">
        <v>226</v>
      </c>
      <c r="AJ493">
        <v>0</v>
      </c>
      <c r="AK493">
        <v>0</v>
      </c>
      <c r="AL493">
        <v>0</v>
      </c>
      <c r="AM493">
        <v>0</v>
      </c>
      <c r="AN493">
        <v>0</v>
      </c>
    </row>
    <row r="494" spans="25:40" x14ac:dyDescent="0.3">
      <c r="Y494">
        <v>446.5</v>
      </c>
      <c r="Z494">
        <v>0</v>
      </c>
      <c r="AA494">
        <v>0</v>
      </c>
      <c r="AB494">
        <v>0</v>
      </c>
      <c r="AC494">
        <v>0</v>
      </c>
      <c r="AD494">
        <v>0</v>
      </c>
      <c r="AE494">
        <v>0</v>
      </c>
      <c r="AF494">
        <v>0</v>
      </c>
      <c r="AG494">
        <v>0</v>
      </c>
      <c r="AH494">
        <v>560</v>
      </c>
      <c r="AI494">
        <v>333</v>
      </c>
      <c r="AJ494">
        <v>0</v>
      </c>
      <c r="AK494">
        <v>0</v>
      </c>
      <c r="AL494">
        <v>0</v>
      </c>
      <c r="AM494">
        <v>0</v>
      </c>
      <c r="AN494">
        <v>0</v>
      </c>
    </row>
    <row r="495" spans="25:40" x14ac:dyDescent="0.3">
      <c r="Y495">
        <v>0</v>
      </c>
      <c r="Z495">
        <v>0</v>
      </c>
      <c r="AA495">
        <v>0</v>
      </c>
      <c r="AB495">
        <v>0</v>
      </c>
      <c r="AC495">
        <v>0</v>
      </c>
      <c r="AD495">
        <v>0</v>
      </c>
      <c r="AE495">
        <v>0</v>
      </c>
      <c r="AF495">
        <v>0</v>
      </c>
      <c r="AG495">
        <v>0</v>
      </c>
      <c r="AH495">
        <v>0</v>
      </c>
      <c r="AI495">
        <v>0</v>
      </c>
      <c r="AJ495">
        <v>0</v>
      </c>
      <c r="AK495">
        <v>0</v>
      </c>
      <c r="AL495">
        <v>0</v>
      </c>
      <c r="AM495">
        <v>0</v>
      </c>
      <c r="AN495">
        <v>0</v>
      </c>
    </row>
    <row r="496" spans="25:40" x14ac:dyDescent="0.3">
      <c r="Y496">
        <v>189</v>
      </c>
      <c r="Z496">
        <v>0</v>
      </c>
      <c r="AA496">
        <v>0</v>
      </c>
      <c r="AB496">
        <v>0</v>
      </c>
      <c r="AC496">
        <v>0</v>
      </c>
      <c r="AD496">
        <v>0</v>
      </c>
      <c r="AE496">
        <v>0</v>
      </c>
      <c r="AF496">
        <v>0</v>
      </c>
      <c r="AG496">
        <v>0</v>
      </c>
      <c r="AH496">
        <v>189</v>
      </c>
      <c r="AI496">
        <v>0</v>
      </c>
      <c r="AJ496">
        <v>0</v>
      </c>
      <c r="AK496">
        <v>0</v>
      </c>
      <c r="AL496">
        <v>0</v>
      </c>
      <c r="AM496">
        <v>0</v>
      </c>
      <c r="AN496">
        <v>0</v>
      </c>
    </row>
    <row r="497" spans="25:40" x14ac:dyDescent="0.3">
      <c r="Y497">
        <v>181.5</v>
      </c>
      <c r="Z497">
        <v>0</v>
      </c>
      <c r="AA497">
        <v>0</v>
      </c>
      <c r="AB497">
        <v>0</v>
      </c>
      <c r="AC497">
        <v>0</v>
      </c>
      <c r="AD497">
        <v>0</v>
      </c>
      <c r="AE497">
        <v>0</v>
      </c>
      <c r="AF497">
        <v>0</v>
      </c>
      <c r="AG497">
        <v>0</v>
      </c>
      <c r="AH497">
        <v>0</v>
      </c>
      <c r="AI497">
        <v>0</v>
      </c>
      <c r="AJ497">
        <v>0</v>
      </c>
      <c r="AK497">
        <v>0</v>
      </c>
      <c r="AL497">
        <v>0</v>
      </c>
      <c r="AM497">
        <v>0</v>
      </c>
      <c r="AN497">
        <v>162</v>
      </c>
    </row>
    <row r="498" spans="25:40" x14ac:dyDescent="0.3">
      <c r="Y498">
        <v>244.5</v>
      </c>
      <c r="Z498">
        <v>0</v>
      </c>
      <c r="AA498">
        <v>0</v>
      </c>
      <c r="AB498">
        <v>0</v>
      </c>
      <c r="AC498">
        <v>0</v>
      </c>
      <c r="AD498">
        <v>0</v>
      </c>
      <c r="AE498">
        <v>0</v>
      </c>
      <c r="AF498">
        <v>0</v>
      </c>
      <c r="AG498">
        <v>0</v>
      </c>
      <c r="AH498">
        <v>0</v>
      </c>
      <c r="AI498">
        <v>0</v>
      </c>
      <c r="AJ498">
        <v>0</v>
      </c>
      <c r="AK498">
        <v>0</v>
      </c>
      <c r="AL498">
        <v>0</v>
      </c>
      <c r="AM498">
        <v>0</v>
      </c>
      <c r="AN498">
        <v>0</v>
      </c>
    </row>
    <row r="499" spans="25:40" x14ac:dyDescent="0.3">
      <c r="Y499">
        <v>144</v>
      </c>
      <c r="Z499">
        <v>0</v>
      </c>
      <c r="AA499">
        <v>0</v>
      </c>
      <c r="AB499">
        <v>0</v>
      </c>
      <c r="AC499">
        <v>0</v>
      </c>
      <c r="AD499">
        <v>0</v>
      </c>
      <c r="AE499">
        <v>139</v>
      </c>
      <c r="AF499">
        <v>0</v>
      </c>
      <c r="AG499">
        <v>0</v>
      </c>
      <c r="AH499">
        <v>0</v>
      </c>
      <c r="AI499">
        <v>0</v>
      </c>
      <c r="AJ499">
        <v>0</v>
      </c>
      <c r="AK499">
        <v>0</v>
      </c>
      <c r="AL499">
        <v>0</v>
      </c>
      <c r="AM499">
        <v>149</v>
      </c>
      <c r="AN499">
        <v>0</v>
      </c>
    </row>
    <row r="500" spans="25:40" x14ac:dyDescent="0.3">
      <c r="Y500">
        <v>37</v>
      </c>
      <c r="Z500">
        <v>0</v>
      </c>
      <c r="AA500">
        <v>0</v>
      </c>
      <c r="AB500">
        <v>0</v>
      </c>
      <c r="AC500">
        <v>0</v>
      </c>
      <c r="AD500">
        <v>0</v>
      </c>
      <c r="AE500">
        <v>0</v>
      </c>
      <c r="AF500">
        <v>0</v>
      </c>
      <c r="AG500">
        <v>0</v>
      </c>
      <c r="AH500">
        <v>0</v>
      </c>
      <c r="AI500">
        <v>37</v>
      </c>
      <c r="AJ500">
        <v>0</v>
      </c>
      <c r="AK500">
        <v>0</v>
      </c>
      <c r="AL500">
        <v>0</v>
      </c>
      <c r="AM500">
        <v>0</v>
      </c>
      <c r="AN500">
        <v>0</v>
      </c>
    </row>
    <row r="501" spans="25:40" x14ac:dyDescent="0.3">
      <c r="Y501">
        <v>160.5</v>
      </c>
      <c r="Z501">
        <v>0</v>
      </c>
      <c r="AA501">
        <v>0</v>
      </c>
      <c r="AB501">
        <v>0</v>
      </c>
      <c r="AC501">
        <v>0</v>
      </c>
      <c r="AD501">
        <v>0</v>
      </c>
      <c r="AE501">
        <v>0</v>
      </c>
      <c r="AF501">
        <v>0</v>
      </c>
      <c r="AG501">
        <v>0</v>
      </c>
      <c r="AH501">
        <v>0</v>
      </c>
      <c r="AI501">
        <v>147</v>
      </c>
      <c r="AJ501">
        <v>0</v>
      </c>
      <c r="AK501">
        <v>0</v>
      </c>
      <c r="AL501">
        <v>0</v>
      </c>
      <c r="AM501">
        <v>0</v>
      </c>
      <c r="AN501">
        <v>174</v>
      </c>
    </row>
    <row r="502" spans="25:40" x14ac:dyDescent="0.3">
      <c r="Y502">
        <v>156</v>
      </c>
      <c r="Z502">
        <v>0</v>
      </c>
      <c r="AA502">
        <v>0</v>
      </c>
      <c r="AB502">
        <v>0</v>
      </c>
      <c r="AC502">
        <v>0</v>
      </c>
      <c r="AD502">
        <v>156</v>
      </c>
      <c r="AE502">
        <v>0</v>
      </c>
      <c r="AF502">
        <v>0</v>
      </c>
      <c r="AG502">
        <v>0</v>
      </c>
      <c r="AH502">
        <v>0</v>
      </c>
      <c r="AI502">
        <v>0</v>
      </c>
      <c r="AJ502">
        <v>156</v>
      </c>
      <c r="AK502">
        <v>0</v>
      </c>
      <c r="AL502">
        <v>0</v>
      </c>
      <c r="AM502">
        <v>0</v>
      </c>
      <c r="AN502">
        <v>0</v>
      </c>
    </row>
    <row r="503" spans="25:40" x14ac:dyDescent="0.3">
      <c r="Y503">
        <v>132</v>
      </c>
      <c r="Z503">
        <v>0</v>
      </c>
      <c r="AA503">
        <v>149</v>
      </c>
      <c r="AB503">
        <v>0</v>
      </c>
      <c r="AC503">
        <v>0</v>
      </c>
      <c r="AD503">
        <v>0</v>
      </c>
      <c r="AE503">
        <v>0</v>
      </c>
      <c r="AF503">
        <v>0</v>
      </c>
      <c r="AG503">
        <v>0</v>
      </c>
      <c r="AH503">
        <v>0</v>
      </c>
      <c r="AI503">
        <v>0</v>
      </c>
      <c r="AJ503">
        <v>115</v>
      </c>
      <c r="AK503">
        <v>0</v>
      </c>
      <c r="AL503">
        <v>0</v>
      </c>
      <c r="AM503">
        <v>0</v>
      </c>
      <c r="AN503">
        <v>0</v>
      </c>
    </row>
    <row r="504" spans="25:40" x14ac:dyDescent="0.3">
      <c r="Y504">
        <v>139.5</v>
      </c>
      <c r="Z504">
        <v>0</v>
      </c>
      <c r="AA504">
        <v>0</v>
      </c>
      <c r="AB504">
        <v>0</v>
      </c>
      <c r="AC504">
        <v>0</v>
      </c>
      <c r="AD504">
        <v>0</v>
      </c>
      <c r="AE504">
        <v>141</v>
      </c>
      <c r="AF504">
        <v>0</v>
      </c>
      <c r="AG504">
        <v>0</v>
      </c>
      <c r="AH504">
        <v>0</v>
      </c>
      <c r="AI504">
        <v>0</v>
      </c>
      <c r="AJ504">
        <v>0</v>
      </c>
      <c r="AK504">
        <v>0</v>
      </c>
      <c r="AL504">
        <v>138</v>
      </c>
      <c r="AM504">
        <v>0</v>
      </c>
      <c r="AN504">
        <v>0</v>
      </c>
    </row>
    <row r="505" spans="25:40" x14ac:dyDescent="0.3">
      <c r="Y505">
        <v>101.5</v>
      </c>
      <c r="Z505">
        <v>0</v>
      </c>
      <c r="AA505">
        <v>0</v>
      </c>
      <c r="AB505">
        <v>0</v>
      </c>
      <c r="AC505">
        <v>0</v>
      </c>
      <c r="AD505">
        <v>0</v>
      </c>
      <c r="AE505">
        <v>0</v>
      </c>
      <c r="AF505">
        <v>0</v>
      </c>
      <c r="AG505">
        <v>104</v>
      </c>
      <c r="AH505">
        <v>0</v>
      </c>
      <c r="AI505">
        <v>0</v>
      </c>
      <c r="AJ505">
        <v>0</v>
      </c>
      <c r="AK505">
        <v>99</v>
      </c>
      <c r="AL505">
        <v>0</v>
      </c>
      <c r="AM505">
        <v>0</v>
      </c>
      <c r="AN505">
        <v>0</v>
      </c>
    </row>
    <row r="506" spans="25:40" x14ac:dyDescent="0.3">
      <c r="Y506">
        <v>208.5</v>
      </c>
      <c r="Z506">
        <v>0</v>
      </c>
      <c r="AA506">
        <v>0</v>
      </c>
      <c r="AB506">
        <v>0</v>
      </c>
      <c r="AC506">
        <v>0</v>
      </c>
      <c r="AD506">
        <v>0</v>
      </c>
      <c r="AE506">
        <v>0</v>
      </c>
      <c r="AF506">
        <v>0</v>
      </c>
      <c r="AG506">
        <v>0</v>
      </c>
      <c r="AH506">
        <v>0</v>
      </c>
      <c r="AI506">
        <v>220</v>
      </c>
      <c r="AJ506">
        <v>197</v>
      </c>
      <c r="AK506">
        <v>0</v>
      </c>
      <c r="AL506">
        <v>0</v>
      </c>
      <c r="AM506">
        <v>0</v>
      </c>
      <c r="AN506">
        <v>0</v>
      </c>
    </row>
    <row r="507" spans="25:40" x14ac:dyDescent="0.3">
      <c r="Y507">
        <v>157.5</v>
      </c>
      <c r="Z507">
        <v>0</v>
      </c>
      <c r="AA507">
        <v>0</v>
      </c>
      <c r="AB507">
        <v>0</v>
      </c>
      <c r="AC507">
        <v>0</v>
      </c>
      <c r="AD507">
        <v>0</v>
      </c>
      <c r="AE507">
        <v>0</v>
      </c>
      <c r="AF507">
        <v>156</v>
      </c>
      <c r="AG507">
        <v>0</v>
      </c>
      <c r="AH507">
        <v>0</v>
      </c>
      <c r="AI507">
        <v>0</v>
      </c>
      <c r="AJ507">
        <v>159</v>
      </c>
      <c r="AK507">
        <v>0</v>
      </c>
      <c r="AL507">
        <v>0</v>
      </c>
      <c r="AM507">
        <v>0</v>
      </c>
      <c r="AN507">
        <v>0</v>
      </c>
    </row>
    <row r="508" spans="25:40" x14ac:dyDescent="0.3">
      <c r="Y508">
        <v>42</v>
      </c>
      <c r="Z508">
        <v>0</v>
      </c>
      <c r="AA508">
        <v>0</v>
      </c>
      <c r="AB508">
        <v>0</v>
      </c>
      <c r="AC508">
        <v>0</v>
      </c>
      <c r="AD508">
        <v>0</v>
      </c>
      <c r="AE508">
        <v>42</v>
      </c>
      <c r="AF508">
        <v>0</v>
      </c>
      <c r="AG508">
        <v>0</v>
      </c>
      <c r="AH508">
        <v>0</v>
      </c>
      <c r="AI508">
        <v>0</v>
      </c>
      <c r="AJ508">
        <v>0</v>
      </c>
      <c r="AK508">
        <v>0</v>
      </c>
      <c r="AL508">
        <v>0</v>
      </c>
      <c r="AM508">
        <v>0</v>
      </c>
      <c r="AN508">
        <v>0</v>
      </c>
    </row>
    <row r="509" spans="25:40" x14ac:dyDescent="0.3">
      <c r="Y509">
        <v>166.5</v>
      </c>
      <c r="Z509">
        <v>0</v>
      </c>
      <c r="AA509">
        <v>0</v>
      </c>
      <c r="AB509">
        <v>0</v>
      </c>
      <c r="AC509">
        <v>0</v>
      </c>
      <c r="AD509">
        <v>168</v>
      </c>
      <c r="AE509">
        <v>165</v>
      </c>
      <c r="AF509">
        <v>0</v>
      </c>
      <c r="AG509">
        <v>0</v>
      </c>
      <c r="AH509">
        <v>0</v>
      </c>
      <c r="AI509">
        <v>0</v>
      </c>
      <c r="AJ509">
        <v>0</v>
      </c>
      <c r="AK509">
        <v>0</v>
      </c>
      <c r="AL509">
        <v>0</v>
      </c>
      <c r="AM509">
        <v>0</v>
      </c>
      <c r="AN509">
        <v>0</v>
      </c>
    </row>
    <row r="510" spans="25:40" x14ac:dyDescent="0.3">
      <c r="Y510">
        <v>153</v>
      </c>
      <c r="Z510">
        <v>0</v>
      </c>
      <c r="AA510">
        <v>0</v>
      </c>
      <c r="AB510">
        <v>0</v>
      </c>
      <c r="AC510">
        <v>0</v>
      </c>
      <c r="AD510">
        <v>142</v>
      </c>
      <c r="AE510">
        <v>164</v>
      </c>
      <c r="AF510">
        <v>0</v>
      </c>
      <c r="AG510">
        <v>0</v>
      </c>
      <c r="AH510">
        <v>0</v>
      </c>
      <c r="AI510">
        <v>0</v>
      </c>
      <c r="AJ510">
        <v>0</v>
      </c>
      <c r="AK510">
        <v>0</v>
      </c>
      <c r="AL510">
        <v>0</v>
      </c>
      <c r="AM510">
        <v>0</v>
      </c>
      <c r="AN510">
        <v>0</v>
      </c>
    </row>
    <row r="511" spans="25:40" x14ac:dyDescent="0.3">
      <c r="Y511">
        <v>148</v>
      </c>
      <c r="Z511">
        <v>0</v>
      </c>
      <c r="AA511">
        <v>0</v>
      </c>
      <c r="AB511">
        <v>0</v>
      </c>
      <c r="AC511">
        <v>0</v>
      </c>
      <c r="AD511">
        <v>0</v>
      </c>
      <c r="AE511">
        <v>148</v>
      </c>
      <c r="AF511">
        <v>0</v>
      </c>
      <c r="AG511">
        <v>0</v>
      </c>
      <c r="AH511">
        <v>0</v>
      </c>
      <c r="AI511">
        <v>0</v>
      </c>
      <c r="AJ511">
        <v>0</v>
      </c>
      <c r="AK511">
        <v>0</v>
      </c>
      <c r="AL511">
        <v>0</v>
      </c>
      <c r="AM511">
        <v>0</v>
      </c>
      <c r="AN511">
        <v>0</v>
      </c>
    </row>
    <row r="512" spans="25:40" x14ac:dyDescent="0.3">
      <c r="Y512">
        <v>161</v>
      </c>
      <c r="Z512">
        <v>0</v>
      </c>
      <c r="AA512">
        <v>0</v>
      </c>
      <c r="AB512">
        <v>0</v>
      </c>
      <c r="AC512">
        <v>0</v>
      </c>
      <c r="AD512">
        <v>0</v>
      </c>
      <c r="AE512">
        <v>161</v>
      </c>
      <c r="AF512">
        <v>0</v>
      </c>
      <c r="AG512">
        <v>0</v>
      </c>
      <c r="AH512">
        <v>0</v>
      </c>
      <c r="AI512">
        <v>0</v>
      </c>
      <c r="AJ512">
        <v>0</v>
      </c>
      <c r="AK512">
        <v>0</v>
      </c>
      <c r="AL512">
        <v>0</v>
      </c>
      <c r="AM512">
        <v>0</v>
      </c>
      <c r="AN512">
        <v>0</v>
      </c>
    </row>
    <row r="513" spans="25:40" x14ac:dyDescent="0.3">
      <c r="Y513">
        <v>121.5</v>
      </c>
      <c r="Z513">
        <v>0</v>
      </c>
      <c r="AA513">
        <v>0</v>
      </c>
      <c r="AB513">
        <v>0</v>
      </c>
      <c r="AC513">
        <v>0</v>
      </c>
      <c r="AD513">
        <v>0</v>
      </c>
      <c r="AE513">
        <v>121.5</v>
      </c>
      <c r="AF513">
        <v>0</v>
      </c>
      <c r="AG513">
        <v>0</v>
      </c>
      <c r="AH513">
        <v>0</v>
      </c>
      <c r="AI513">
        <v>0</v>
      </c>
      <c r="AJ513">
        <v>0</v>
      </c>
      <c r="AK513">
        <v>0</v>
      </c>
      <c r="AL513">
        <v>0</v>
      </c>
      <c r="AM513">
        <v>0</v>
      </c>
      <c r="AN513">
        <v>0</v>
      </c>
    </row>
    <row r="514" spans="25:40" x14ac:dyDescent="0.3">
      <c r="Y514">
        <v>168</v>
      </c>
      <c r="Z514">
        <v>0</v>
      </c>
      <c r="AA514">
        <v>168</v>
      </c>
      <c r="AB514">
        <v>0</v>
      </c>
      <c r="AC514">
        <v>0</v>
      </c>
      <c r="AD514">
        <v>0</v>
      </c>
      <c r="AE514">
        <v>168</v>
      </c>
      <c r="AF514">
        <v>0</v>
      </c>
      <c r="AG514">
        <v>0</v>
      </c>
      <c r="AH514">
        <v>0</v>
      </c>
      <c r="AI514">
        <v>0</v>
      </c>
      <c r="AJ514">
        <v>0</v>
      </c>
      <c r="AK514">
        <v>0</v>
      </c>
      <c r="AL514">
        <v>0</v>
      </c>
      <c r="AM514">
        <v>0</v>
      </c>
      <c r="AN514">
        <v>0</v>
      </c>
    </row>
    <row r="515" spans="25:40" x14ac:dyDescent="0.3">
      <c r="Y515">
        <v>177</v>
      </c>
      <c r="Z515">
        <v>0</v>
      </c>
      <c r="AA515">
        <v>0</v>
      </c>
      <c r="AB515">
        <v>0</v>
      </c>
      <c r="AC515">
        <v>0</v>
      </c>
      <c r="AD515">
        <v>0</v>
      </c>
      <c r="AE515">
        <v>208</v>
      </c>
      <c r="AF515">
        <v>0</v>
      </c>
      <c r="AG515">
        <v>146</v>
      </c>
      <c r="AH515">
        <v>0</v>
      </c>
      <c r="AI515">
        <v>0</v>
      </c>
      <c r="AJ515">
        <v>0</v>
      </c>
      <c r="AK515">
        <v>0</v>
      </c>
      <c r="AL515">
        <v>0</v>
      </c>
      <c r="AM515">
        <v>0</v>
      </c>
      <c r="AN515">
        <v>0</v>
      </c>
    </row>
    <row r="516" spans="25:40" x14ac:dyDescent="0.3">
      <c r="Y516">
        <v>0</v>
      </c>
      <c r="Z516">
        <v>0</v>
      </c>
      <c r="AA516">
        <v>0</v>
      </c>
      <c r="AB516">
        <v>0</v>
      </c>
      <c r="AC516">
        <v>0</v>
      </c>
      <c r="AD516">
        <v>0</v>
      </c>
      <c r="AE516">
        <v>0</v>
      </c>
      <c r="AF516">
        <v>0</v>
      </c>
      <c r="AG516">
        <v>0</v>
      </c>
      <c r="AH516">
        <v>0</v>
      </c>
      <c r="AI516">
        <v>0</v>
      </c>
      <c r="AJ516">
        <v>0</v>
      </c>
      <c r="AK516">
        <v>0</v>
      </c>
      <c r="AL516">
        <v>0</v>
      </c>
      <c r="AM516">
        <v>0</v>
      </c>
      <c r="AN516">
        <v>0</v>
      </c>
    </row>
    <row r="517" spans="25:40" x14ac:dyDescent="0.3">
      <c r="Y517">
        <v>33.299999999999997</v>
      </c>
      <c r="Z517">
        <v>33.6</v>
      </c>
      <c r="AA517">
        <v>33</v>
      </c>
      <c r="AB517">
        <v>0</v>
      </c>
      <c r="AC517">
        <v>0</v>
      </c>
      <c r="AD517">
        <v>0</v>
      </c>
      <c r="AE517">
        <v>0</v>
      </c>
      <c r="AF517">
        <v>0</v>
      </c>
      <c r="AG517">
        <v>0</v>
      </c>
      <c r="AH517">
        <v>0</v>
      </c>
      <c r="AI517">
        <v>0</v>
      </c>
      <c r="AJ517">
        <v>0</v>
      </c>
      <c r="AK517">
        <v>0</v>
      </c>
      <c r="AL517">
        <v>0</v>
      </c>
      <c r="AM517">
        <v>0</v>
      </c>
      <c r="AN517">
        <v>0</v>
      </c>
    </row>
    <row r="518" spans="25:40" x14ac:dyDescent="0.3">
      <c r="Y518">
        <v>38.5</v>
      </c>
      <c r="Z518">
        <v>38.5</v>
      </c>
      <c r="AA518">
        <v>0</v>
      </c>
      <c r="AB518">
        <v>0</v>
      </c>
      <c r="AC518">
        <v>0</v>
      </c>
      <c r="AD518">
        <v>0</v>
      </c>
      <c r="AE518">
        <v>0</v>
      </c>
      <c r="AF518">
        <v>0</v>
      </c>
      <c r="AG518">
        <v>0</v>
      </c>
      <c r="AH518">
        <v>0</v>
      </c>
      <c r="AI518">
        <v>0</v>
      </c>
      <c r="AJ518">
        <v>0</v>
      </c>
      <c r="AK518">
        <v>0</v>
      </c>
      <c r="AL518">
        <v>0</v>
      </c>
      <c r="AM518">
        <v>0</v>
      </c>
      <c r="AN518">
        <v>0</v>
      </c>
    </row>
    <row r="519" spans="25:40" x14ac:dyDescent="0.3">
      <c r="Y519">
        <v>0</v>
      </c>
      <c r="Z519">
        <v>0</v>
      </c>
      <c r="AA519">
        <v>0</v>
      </c>
      <c r="AB519">
        <v>0</v>
      </c>
      <c r="AC519">
        <v>0</v>
      </c>
      <c r="AD519">
        <v>0</v>
      </c>
      <c r="AE519">
        <v>0</v>
      </c>
      <c r="AF519">
        <v>0</v>
      </c>
      <c r="AG519">
        <v>0</v>
      </c>
      <c r="AH519">
        <v>0</v>
      </c>
      <c r="AI519">
        <v>0</v>
      </c>
      <c r="AJ519">
        <v>0</v>
      </c>
      <c r="AK519">
        <v>0</v>
      </c>
      <c r="AL519">
        <v>0</v>
      </c>
      <c r="AM519">
        <v>0</v>
      </c>
      <c r="AN519">
        <v>0</v>
      </c>
    </row>
    <row r="520" spans="25:40" x14ac:dyDescent="0.3">
      <c r="Y520">
        <v>0</v>
      </c>
      <c r="Z520">
        <v>0</v>
      </c>
      <c r="AA520">
        <v>0</v>
      </c>
      <c r="AB520">
        <v>0</v>
      </c>
      <c r="AC520">
        <v>0</v>
      </c>
      <c r="AD520">
        <v>0</v>
      </c>
      <c r="AE520">
        <v>0</v>
      </c>
      <c r="AF520">
        <v>0</v>
      </c>
      <c r="AG520">
        <v>0</v>
      </c>
      <c r="AH520">
        <v>0</v>
      </c>
      <c r="AI520">
        <v>0</v>
      </c>
      <c r="AJ520">
        <v>0</v>
      </c>
      <c r="AK520">
        <v>0</v>
      </c>
      <c r="AL520">
        <v>0</v>
      </c>
      <c r="AM520">
        <v>0</v>
      </c>
      <c r="AN520">
        <v>0</v>
      </c>
    </row>
    <row r="521" spans="25:40" x14ac:dyDescent="0.3">
      <c r="Y521">
        <v>187</v>
      </c>
      <c r="Z521">
        <v>0</v>
      </c>
      <c r="AA521">
        <v>0</v>
      </c>
      <c r="AB521">
        <v>0</v>
      </c>
      <c r="AC521">
        <v>0</v>
      </c>
      <c r="AD521">
        <v>0</v>
      </c>
      <c r="AE521">
        <v>187</v>
      </c>
      <c r="AF521">
        <v>0</v>
      </c>
      <c r="AG521">
        <v>0</v>
      </c>
      <c r="AH521">
        <v>0</v>
      </c>
      <c r="AI521">
        <v>187</v>
      </c>
      <c r="AJ521">
        <v>0</v>
      </c>
      <c r="AK521">
        <v>0</v>
      </c>
      <c r="AL521">
        <v>0</v>
      </c>
      <c r="AM521">
        <v>0</v>
      </c>
      <c r="AN521">
        <v>0</v>
      </c>
    </row>
    <row r="522" spans="25:40" x14ac:dyDescent="0.3">
      <c r="Y522">
        <v>115.5</v>
      </c>
      <c r="Z522">
        <v>0</v>
      </c>
      <c r="AA522">
        <v>0</v>
      </c>
      <c r="AB522">
        <v>0</v>
      </c>
      <c r="AC522">
        <v>0</v>
      </c>
      <c r="AD522">
        <v>0</v>
      </c>
      <c r="AE522">
        <v>0</v>
      </c>
      <c r="AF522">
        <v>0</v>
      </c>
      <c r="AG522">
        <v>0</v>
      </c>
      <c r="AH522">
        <v>102</v>
      </c>
      <c r="AI522">
        <v>129</v>
      </c>
      <c r="AJ522">
        <v>0</v>
      </c>
      <c r="AK522">
        <v>0</v>
      </c>
      <c r="AL522">
        <v>0</v>
      </c>
      <c r="AM522">
        <v>0</v>
      </c>
      <c r="AN522">
        <v>0</v>
      </c>
    </row>
    <row r="523" spans="25:40" x14ac:dyDescent="0.3">
      <c r="Y523">
        <v>158.5</v>
      </c>
      <c r="Z523">
        <v>0</v>
      </c>
      <c r="AA523">
        <v>164</v>
      </c>
      <c r="AB523">
        <v>0</v>
      </c>
      <c r="AC523">
        <v>0</v>
      </c>
      <c r="AD523">
        <v>0</v>
      </c>
      <c r="AE523">
        <v>0</v>
      </c>
      <c r="AF523">
        <v>0</v>
      </c>
      <c r="AG523">
        <v>0</v>
      </c>
      <c r="AH523">
        <v>0</v>
      </c>
      <c r="AI523">
        <v>153</v>
      </c>
      <c r="AJ523">
        <v>0</v>
      </c>
      <c r="AK523">
        <v>0</v>
      </c>
      <c r="AL523">
        <v>0</v>
      </c>
      <c r="AM523">
        <v>0</v>
      </c>
      <c r="AN523">
        <v>0</v>
      </c>
    </row>
    <row r="524" spans="25:40" x14ac:dyDescent="0.3">
      <c r="Y524">
        <v>42.5</v>
      </c>
      <c r="Z524">
        <v>0</v>
      </c>
      <c r="AA524">
        <v>0</v>
      </c>
      <c r="AB524">
        <v>0</v>
      </c>
      <c r="AC524">
        <v>0</v>
      </c>
      <c r="AD524">
        <v>42.5</v>
      </c>
      <c r="AE524">
        <v>0</v>
      </c>
      <c r="AF524">
        <v>0</v>
      </c>
      <c r="AG524">
        <v>0</v>
      </c>
      <c r="AH524">
        <v>0</v>
      </c>
      <c r="AI524">
        <v>0</v>
      </c>
      <c r="AJ524">
        <v>0</v>
      </c>
      <c r="AK524">
        <v>0</v>
      </c>
      <c r="AL524">
        <v>0</v>
      </c>
      <c r="AM524">
        <v>0</v>
      </c>
      <c r="AN524">
        <v>0</v>
      </c>
    </row>
    <row r="525" spans="25:40" x14ac:dyDescent="0.3">
      <c r="Y525">
        <v>0</v>
      </c>
      <c r="Z525">
        <v>0</v>
      </c>
      <c r="AA525">
        <v>0</v>
      </c>
      <c r="AB525">
        <v>0</v>
      </c>
      <c r="AC525">
        <v>0</v>
      </c>
      <c r="AD525">
        <v>0</v>
      </c>
      <c r="AE525">
        <v>0</v>
      </c>
      <c r="AF525">
        <v>0</v>
      </c>
      <c r="AG525">
        <v>0</v>
      </c>
      <c r="AH525">
        <v>0</v>
      </c>
      <c r="AI525">
        <v>0</v>
      </c>
      <c r="AJ525">
        <v>0</v>
      </c>
      <c r="AK525">
        <v>0</v>
      </c>
      <c r="AL525">
        <v>0</v>
      </c>
      <c r="AM525">
        <v>0</v>
      </c>
      <c r="AN525">
        <v>0</v>
      </c>
    </row>
    <row r="526" spans="25:40" x14ac:dyDescent="0.3">
      <c r="Y526">
        <v>124</v>
      </c>
      <c r="Z526">
        <v>0</v>
      </c>
      <c r="AA526">
        <v>0</v>
      </c>
      <c r="AB526">
        <v>0</v>
      </c>
      <c r="AC526">
        <v>0</v>
      </c>
      <c r="AD526">
        <v>0</v>
      </c>
      <c r="AE526">
        <v>0</v>
      </c>
      <c r="AF526">
        <v>0</v>
      </c>
      <c r="AG526">
        <v>129</v>
      </c>
      <c r="AH526">
        <v>0</v>
      </c>
      <c r="AI526">
        <v>119</v>
      </c>
      <c r="AJ526">
        <v>0</v>
      </c>
      <c r="AK526">
        <v>0</v>
      </c>
      <c r="AL526">
        <v>0</v>
      </c>
      <c r="AM526">
        <v>0</v>
      </c>
      <c r="AN526">
        <v>0</v>
      </c>
    </row>
    <row r="527" spans="25:40" x14ac:dyDescent="0.3">
      <c r="Y527">
        <v>111.5</v>
      </c>
      <c r="Z527">
        <v>0</v>
      </c>
      <c r="AA527">
        <v>0</v>
      </c>
      <c r="AB527">
        <v>0</v>
      </c>
      <c r="AC527">
        <v>0</v>
      </c>
      <c r="AD527">
        <v>0</v>
      </c>
      <c r="AE527">
        <v>118</v>
      </c>
      <c r="AF527">
        <v>0</v>
      </c>
      <c r="AG527">
        <v>0</v>
      </c>
      <c r="AH527">
        <v>105</v>
      </c>
      <c r="AI527">
        <v>0</v>
      </c>
      <c r="AJ527">
        <v>0</v>
      </c>
      <c r="AK527">
        <v>0</v>
      </c>
      <c r="AL527">
        <v>0</v>
      </c>
      <c r="AM527">
        <v>0</v>
      </c>
      <c r="AN527">
        <v>0</v>
      </c>
    </row>
    <row r="528" spans="25:40" x14ac:dyDescent="0.3">
      <c r="Y528">
        <v>0</v>
      </c>
      <c r="Z528">
        <v>0</v>
      </c>
      <c r="AA528">
        <v>0</v>
      </c>
      <c r="AB528">
        <v>0</v>
      </c>
      <c r="AC528">
        <v>0</v>
      </c>
      <c r="AD528">
        <v>0</v>
      </c>
      <c r="AE528">
        <v>0</v>
      </c>
      <c r="AF528">
        <v>0</v>
      </c>
      <c r="AG528">
        <v>0</v>
      </c>
      <c r="AH528">
        <v>0</v>
      </c>
      <c r="AI528">
        <v>0</v>
      </c>
      <c r="AJ528">
        <v>0</v>
      </c>
      <c r="AK528">
        <v>0</v>
      </c>
      <c r="AL528">
        <v>0</v>
      </c>
      <c r="AM528">
        <v>0</v>
      </c>
      <c r="AN528">
        <v>0</v>
      </c>
    </row>
    <row r="529" spans="25:40" x14ac:dyDescent="0.3">
      <c r="Y529">
        <v>151.5</v>
      </c>
      <c r="Z529">
        <v>0</v>
      </c>
      <c r="AA529">
        <v>0</v>
      </c>
      <c r="AB529">
        <v>148</v>
      </c>
      <c r="AC529">
        <v>0</v>
      </c>
      <c r="AD529">
        <v>155</v>
      </c>
      <c r="AE529">
        <v>0</v>
      </c>
      <c r="AF529">
        <v>0</v>
      </c>
      <c r="AG529">
        <v>0</v>
      </c>
      <c r="AH529">
        <v>0</v>
      </c>
      <c r="AI529">
        <v>0</v>
      </c>
      <c r="AJ529">
        <v>0</v>
      </c>
      <c r="AK529">
        <v>0</v>
      </c>
      <c r="AL529">
        <v>0</v>
      </c>
      <c r="AM529">
        <v>0</v>
      </c>
      <c r="AN529">
        <v>0</v>
      </c>
    </row>
    <row r="530" spans="25:40" x14ac:dyDescent="0.3">
      <c r="Y530">
        <v>0</v>
      </c>
      <c r="Z530">
        <v>0</v>
      </c>
      <c r="AA530">
        <v>0</v>
      </c>
      <c r="AB530">
        <v>0</v>
      </c>
      <c r="AC530">
        <v>0</v>
      </c>
      <c r="AD530">
        <v>0</v>
      </c>
      <c r="AE530">
        <v>0</v>
      </c>
      <c r="AF530">
        <v>0</v>
      </c>
      <c r="AG530">
        <v>0</v>
      </c>
      <c r="AH530">
        <v>0</v>
      </c>
      <c r="AI530">
        <v>0</v>
      </c>
      <c r="AJ530">
        <v>0</v>
      </c>
      <c r="AK530">
        <v>0</v>
      </c>
      <c r="AL530">
        <v>0</v>
      </c>
      <c r="AM530">
        <v>0</v>
      </c>
      <c r="AN530">
        <v>0</v>
      </c>
    </row>
    <row r="531" spans="25:40" x14ac:dyDescent="0.3">
      <c r="Y531">
        <v>104.5</v>
      </c>
      <c r="Z531">
        <v>0</v>
      </c>
      <c r="AA531">
        <v>0</v>
      </c>
      <c r="AB531">
        <v>0</v>
      </c>
      <c r="AC531">
        <v>105</v>
      </c>
      <c r="AD531">
        <v>0</v>
      </c>
      <c r="AE531">
        <v>104</v>
      </c>
      <c r="AF531">
        <v>0</v>
      </c>
      <c r="AG531">
        <v>0</v>
      </c>
      <c r="AH531">
        <v>0</v>
      </c>
      <c r="AI531">
        <v>0</v>
      </c>
      <c r="AJ531">
        <v>0</v>
      </c>
      <c r="AK531">
        <v>0</v>
      </c>
      <c r="AL531">
        <v>0</v>
      </c>
      <c r="AM531">
        <v>0</v>
      </c>
      <c r="AN531">
        <v>0</v>
      </c>
    </row>
    <row r="532" spans="25:40" x14ac:dyDescent="0.3">
      <c r="Y532">
        <v>347</v>
      </c>
      <c r="Z532">
        <v>0</v>
      </c>
      <c r="AA532">
        <v>0</v>
      </c>
      <c r="AB532">
        <v>0</v>
      </c>
      <c r="AC532">
        <v>349</v>
      </c>
      <c r="AD532">
        <v>345</v>
      </c>
      <c r="AE532">
        <v>0</v>
      </c>
      <c r="AF532">
        <v>0</v>
      </c>
      <c r="AG532">
        <v>0</v>
      </c>
      <c r="AH532">
        <v>0</v>
      </c>
      <c r="AI532">
        <v>0</v>
      </c>
      <c r="AJ532">
        <v>0</v>
      </c>
      <c r="AK532">
        <v>0</v>
      </c>
      <c r="AL532">
        <v>0</v>
      </c>
      <c r="AM532">
        <v>0</v>
      </c>
      <c r="AN532">
        <v>0</v>
      </c>
    </row>
    <row r="533" spans="25:40" x14ac:dyDescent="0.3">
      <c r="Y533">
        <v>136</v>
      </c>
      <c r="Z533">
        <v>0</v>
      </c>
      <c r="AA533">
        <v>114</v>
      </c>
      <c r="AB533">
        <v>0</v>
      </c>
      <c r="AC533">
        <v>0</v>
      </c>
      <c r="AD533">
        <v>158</v>
      </c>
      <c r="AE533">
        <v>0</v>
      </c>
      <c r="AF533">
        <v>0</v>
      </c>
      <c r="AG533">
        <v>0</v>
      </c>
      <c r="AH533">
        <v>0</v>
      </c>
      <c r="AI533">
        <v>0</v>
      </c>
      <c r="AJ533">
        <v>0</v>
      </c>
      <c r="AK533">
        <v>0</v>
      </c>
      <c r="AL533">
        <v>0</v>
      </c>
      <c r="AM533">
        <v>0</v>
      </c>
      <c r="AN533">
        <v>0</v>
      </c>
    </row>
    <row r="534" spans="25:40" x14ac:dyDescent="0.3">
      <c r="Y534">
        <v>52</v>
      </c>
      <c r="Z534">
        <v>0</v>
      </c>
      <c r="AA534">
        <v>0</v>
      </c>
      <c r="AB534">
        <v>0</v>
      </c>
      <c r="AC534">
        <v>0</v>
      </c>
      <c r="AD534">
        <v>52</v>
      </c>
      <c r="AE534">
        <v>0</v>
      </c>
      <c r="AF534">
        <v>0</v>
      </c>
      <c r="AG534">
        <v>0</v>
      </c>
      <c r="AH534">
        <v>0</v>
      </c>
      <c r="AI534">
        <v>0</v>
      </c>
      <c r="AJ534">
        <v>0</v>
      </c>
      <c r="AK534">
        <v>0</v>
      </c>
      <c r="AL534">
        <v>0</v>
      </c>
      <c r="AM534">
        <v>0</v>
      </c>
      <c r="AN534">
        <v>0</v>
      </c>
    </row>
    <row r="535" spans="25:40" x14ac:dyDescent="0.3">
      <c r="Y535">
        <v>149</v>
      </c>
      <c r="Z535">
        <v>0</v>
      </c>
      <c r="AA535">
        <v>0</v>
      </c>
      <c r="AB535">
        <v>0</v>
      </c>
      <c r="AC535">
        <v>0</v>
      </c>
      <c r="AD535">
        <v>0</v>
      </c>
      <c r="AE535">
        <v>0</v>
      </c>
      <c r="AF535">
        <v>154</v>
      </c>
      <c r="AG535">
        <v>0</v>
      </c>
      <c r="AH535">
        <v>144</v>
      </c>
      <c r="AI535">
        <v>0</v>
      </c>
      <c r="AJ535">
        <v>0</v>
      </c>
      <c r="AK535">
        <v>0</v>
      </c>
      <c r="AL535">
        <v>0</v>
      </c>
      <c r="AM535">
        <v>0</v>
      </c>
      <c r="AN535">
        <v>0</v>
      </c>
    </row>
    <row r="536" spans="25:40" x14ac:dyDescent="0.3">
      <c r="Y536">
        <v>0</v>
      </c>
      <c r="Z536">
        <v>0</v>
      </c>
      <c r="AA536">
        <v>0</v>
      </c>
      <c r="AB536">
        <v>0</v>
      </c>
      <c r="AC536">
        <v>0</v>
      </c>
      <c r="AD536">
        <v>0</v>
      </c>
      <c r="AE536">
        <v>0</v>
      </c>
      <c r="AF536">
        <v>0</v>
      </c>
      <c r="AG536">
        <v>0</v>
      </c>
      <c r="AH536">
        <v>0</v>
      </c>
      <c r="AI536">
        <v>0</v>
      </c>
      <c r="AJ536">
        <v>0</v>
      </c>
      <c r="AK536">
        <v>0</v>
      </c>
      <c r="AL536">
        <v>0</v>
      </c>
      <c r="AM536">
        <v>0</v>
      </c>
      <c r="AN536">
        <v>0</v>
      </c>
    </row>
    <row r="537" spans="25:40" x14ac:dyDescent="0.3">
      <c r="Y537">
        <v>88</v>
      </c>
      <c r="Z537">
        <v>0</v>
      </c>
      <c r="AA537">
        <v>0</v>
      </c>
      <c r="AB537">
        <v>0</v>
      </c>
      <c r="AC537">
        <v>0</v>
      </c>
      <c r="AD537">
        <v>0</v>
      </c>
      <c r="AE537">
        <v>0</v>
      </c>
      <c r="AF537">
        <v>0</v>
      </c>
      <c r="AG537">
        <v>0</v>
      </c>
      <c r="AH537">
        <v>88</v>
      </c>
      <c r="AI537">
        <v>0</v>
      </c>
      <c r="AJ537">
        <v>0</v>
      </c>
      <c r="AK537">
        <v>0</v>
      </c>
      <c r="AL537">
        <v>0</v>
      </c>
      <c r="AM537">
        <v>0</v>
      </c>
      <c r="AN537">
        <v>0</v>
      </c>
    </row>
    <row r="538" spans="25:40" x14ac:dyDescent="0.3">
      <c r="Y538">
        <v>163.5</v>
      </c>
      <c r="Z538">
        <v>174</v>
      </c>
      <c r="AA538">
        <v>0</v>
      </c>
      <c r="AB538">
        <v>0</v>
      </c>
      <c r="AC538">
        <v>153</v>
      </c>
      <c r="AD538">
        <v>0</v>
      </c>
      <c r="AE538">
        <v>0</v>
      </c>
      <c r="AF538">
        <v>0</v>
      </c>
      <c r="AG538">
        <v>0</v>
      </c>
      <c r="AH538">
        <v>0</v>
      </c>
      <c r="AI538">
        <v>0</v>
      </c>
      <c r="AJ538">
        <v>0</v>
      </c>
      <c r="AK538">
        <v>0</v>
      </c>
      <c r="AL538">
        <v>0</v>
      </c>
      <c r="AM538">
        <v>0</v>
      </c>
      <c r="AN538">
        <v>0</v>
      </c>
    </row>
    <row r="539" spans="25:40" x14ac:dyDescent="0.3">
      <c r="Y539">
        <v>0</v>
      </c>
      <c r="Z539">
        <v>0</v>
      </c>
      <c r="AA539">
        <v>0</v>
      </c>
      <c r="AB539">
        <v>0</v>
      </c>
      <c r="AC539">
        <v>0</v>
      </c>
      <c r="AD539">
        <v>0</v>
      </c>
      <c r="AE539">
        <v>0</v>
      </c>
      <c r="AF539">
        <v>0</v>
      </c>
      <c r="AG539">
        <v>0</v>
      </c>
      <c r="AH539">
        <v>0</v>
      </c>
      <c r="AI539">
        <v>0</v>
      </c>
      <c r="AJ539">
        <v>0</v>
      </c>
      <c r="AK539">
        <v>0</v>
      </c>
      <c r="AL539">
        <v>0</v>
      </c>
      <c r="AM539">
        <v>0</v>
      </c>
      <c r="AN539">
        <v>0</v>
      </c>
    </row>
    <row r="540" spans="25:40" x14ac:dyDescent="0.3">
      <c r="Y540">
        <v>181.5</v>
      </c>
      <c r="Z540">
        <v>0</v>
      </c>
      <c r="AA540">
        <v>0</v>
      </c>
      <c r="AB540">
        <v>182</v>
      </c>
      <c r="AC540">
        <v>181</v>
      </c>
      <c r="AD540">
        <v>0</v>
      </c>
      <c r="AE540">
        <v>0</v>
      </c>
      <c r="AF540">
        <v>0</v>
      </c>
      <c r="AG540">
        <v>0</v>
      </c>
      <c r="AH540">
        <v>0</v>
      </c>
      <c r="AI540">
        <v>0</v>
      </c>
      <c r="AJ540">
        <v>0</v>
      </c>
      <c r="AK540">
        <v>0</v>
      </c>
      <c r="AL540">
        <v>0</v>
      </c>
      <c r="AM540">
        <v>0</v>
      </c>
      <c r="AN540">
        <v>0</v>
      </c>
    </row>
    <row r="541" spans="25:40" x14ac:dyDescent="0.3">
      <c r="Y541">
        <v>126.5</v>
      </c>
      <c r="Z541">
        <v>0</v>
      </c>
      <c r="AA541">
        <v>0</v>
      </c>
      <c r="AB541">
        <v>0</v>
      </c>
      <c r="AC541">
        <v>126.5</v>
      </c>
      <c r="AD541">
        <v>0</v>
      </c>
      <c r="AE541">
        <v>0</v>
      </c>
      <c r="AF541">
        <v>0</v>
      </c>
      <c r="AG541">
        <v>0</v>
      </c>
      <c r="AH541">
        <v>0</v>
      </c>
      <c r="AI541">
        <v>0</v>
      </c>
      <c r="AJ541">
        <v>0</v>
      </c>
      <c r="AK541">
        <v>0</v>
      </c>
      <c r="AL541">
        <v>0</v>
      </c>
      <c r="AM541">
        <v>0</v>
      </c>
      <c r="AN541">
        <v>0</v>
      </c>
    </row>
    <row r="542" spans="25:40" x14ac:dyDescent="0.3">
      <c r="Y542">
        <v>158.5</v>
      </c>
      <c r="Z542">
        <v>0</v>
      </c>
      <c r="AA542">
        <v>0</v>
      </c>
      <c r="AB542">
        <v>0</v>
      </c>
      <c r="AC542">
        <v>193</v>
      </c>
      <c r="AD542">
        <v>0</v>
      </c>
      <c r="AE542">
        <v>0</v>
      </c>
      <c r="AF542">
        <v>0</v>
      </c>
      <c r="AG542">
        <v>124</v>
      </c>
      <c r="AH542">
        <v>0</v>
      </c>
      <c r="AI542">
        <v>0</v>
      </c>
      <c r="AJ542">
        <v>0</v>
      </c>
      <c r="AK542">
        <v>0</v>
      </c>
      <c r="AL542">
        <v>0</v>
      </c>
      <c r="AM542">
        <v>0</v>
      </c>
      <c r="AN542">
        <v>0</v>
      </c>
    </row>
    <row r="543" spans="25:40" x14ac:dyDescent="0.3">
      <c r="Y543">
        <v>0</v>
      </c>
      <c r="Z543">
        <v>0</v>
      </c>
      <c r="AA543">
        <v>0</v>
      </c>
      <c r="AB543">
        <v>0</v>
      </c>
      <c r="AC543">
        <v>0</v>
      </c>
      <c r="AD543">
        <v>0</v>
      </c>
      <c r="AE543">
        <v>0</v>
      </c>
      <c r="AF543">
        <v>0</v>
      </c>
      <c r="AG543">
        <v>0</v>
      </c>
      <c r="AH543">
        <v>0</v>
      </c>
      <c r="AI543">
        <v>0</v>
      </c>
      <c r="AJ543">
        <v>0</v>
      </c>
      <c r="AK543">
        <v>0</v>
      </c>
      <c r="AL543">
        <v>0</v>
      </c>
      <c r="AM543">
        <v>0</v>
      </c>
      <c r="AN543">
        <v>0</v>
      </c>
    </row>
    <row r="544" spans="25:40" x14ac:dyDescent="0.3">
      <c r="Y544">
        <v>0</v>
      </c>
      <c r="Z544">
        <v>0</v>
      </c>
      <c r="AA544">
        <v>0</v>
      </c>
      <c r="AB544">
        <v>0</v>
      </c>
      <c r="AC544">
        <v>0</v>
      </c>
      <c r="AD544">
        <v>0</v>
      </c>
      <c r="AE544">
        <v>0</v>
      </c>
      <c r="AF544">
        <v>0</v>
      </c>
      <c r="AG544">
        <v>0</v>
      </c>
      <c r="AH544">
        <v>0</v>
      </c>
      <c r="AI544">
        <v>0</v>
      </c>
      <c r="AJ544">
        <v>0</v>
      </c>
      <c r="AK544">
        <v>0</v>
      </c>
      <c r="AL544">
        <v>0</v>
      </c>
      <c r="AM544">
        <v>0</v>
      </c>
      <c r="AN544">
        <v>0</v>
      </c>
    </row>
    <row r="545" spans="25:40" x14ac:dyDescent="0.3">
      <c r="Y545">
        <v>137</v>
      </c>
      <c r="Z545">
        <v>0</v>
      </c>
      <c r="AA545">
        <v>0</v>
      </c>
      <c r="AB545">
        <v>0</v>
      </c>
      <c r="AC545">
        <v>0</v>
      </c>
      <c r="AD545">
        <v>0</v>
      </c>
      <c r="AE545">
        <v>0</v>
      </c>
      <c r="AF545">
        <v>137</v>
      </c>
      <c r="AG545">
        <v>0</v>
      </c>
      <c r="AH545">
        <v>137</v>
      </c>
      <c r="AI545">
        <v>0</v>
      </c>
      <c r="AJ545">
        <v>0</v>
      </c>
      <c r="AK545">
        <v>0</v>
      </c>
      <c r="AL545">
        <v>0</v>
      </c>
      <c r="AM545">
        <v>0</v>
      </c>
      <c r="AN545">
        <v>0</v>
      </c>
    </row>
    <row r="546" spans="25:40" x14ac:dyDescent="0.3">
      <c r="Y546">
        <v>183</v>
      </c>
      <c r="Z546">
        <v>0</v>
      </c>
      <c r="AA546">
        <v>0</v>
      </c>
      <c r="AB546">
        <v>0</v>
      </c>
      <c r="AC546">
        <v>0</v>
      </c>
      <c r="AD546">
        <v>0</v>
      </c>
      <c r="AE546">
        <v>214</v>
      </c>
      <c r="AF546">
        <v>0</v>
      </c>
      <c r="AG546">
        <v>0</v>
      </c>
      <c r="AH546">
        <v>152</v>
      </c>
      <c r="AI546">
        <v>0</v>
      </c>
      <c r="AJ546">
        <v>0</v>
      </c>
      <c r="AK546">
        <v>0</v>
      </c>
      <c r="AL546">
        <v>0</v>
      </c>
      <c r="AM546">
        <v>0</v>
      </c>
      <c r="AN546">
        <v>0</v>
      </c>
    </row>
    <row r="547" spans="25:40" x14ac:dyDescent="0.3">
      <c r="Y547">
        <v>151</v>
      </c>
      <c r="Z547">
        <v>0</v>
      </c>
      <c r="AA547">
        <v>0</v>
      </c>
      <c r="AB547">
        <v>188</v>
      </c>
      <c r="AC547">
        <v>0</v>
      </c>
      <c r="AD547">
        <v>0</v>
      </c>
      <c r="AE547">
        <v>0</v>
      </c>
      <c r="AF547">
        <v>0</v>
      </c>
      <c r="AG547">
        <v>114</v>
      </c>
      <c r="AH547">
        <v>0</v>
      </c>
      <c r="AI547">
        <v>0</v>
      </c>
      <c r="AJ547">
        <v>0</v>
      </c>
      <c r="AK547">
        <v>0</v>
      </c>
      <c r="AL547">
        <v>0</v>
      </c>
      <c r="AM547">
        <v>0</v>
      </c>
      <c r="AN547">
        <v>0</v>
      </c>
    </row>
    <row r="548" spans="25:40" x14ac:dyDescent="0.3">
      <c r="Y548">
        <v>0</v>
      </c>
      <c r="Z548">
        <v>0</v>
      </c>
      <c r="AA548">
        <v>0</v>
      </c>
      <c r="AB548">
        <v>0</v>
      </c>
      <c r="AC548">
        <v>0</v>
      </c>
      <c r="AD548">
        <v>0</v>
      </c>
      <c r="AE548">
        <v>0</v>
      </c>
      <c r="AF548">
        <v>0</v>
      </c>
      <c r="AG548">
        <v>0</v>
      </c>
      <c r="AH548">
        <v>0</v>
      </c>
      <c r="AI548">
        <v>0</v>
      </c>
      <c r="AJ548">
        <v>0</v>
      </c>
      <c r="AK548">
        <v>0</v>
      </c>
      <c r="AL548">
        <v>0</v>
      </c>
      <c r="AM548">
        <v>0</v>
      </c>
      <c r="AN548">
        <v>0</v>
      </c>
    </row>
    <row r="549" spans="25:40" x14ac:dyDescent="0.3">
      <c r="Y549">
        <v>0</v>
      </c>
      <c r="Z549">
        <v>0</v>
      </c>
      <c r="AA549">
        <v>0</v>
      </c>
      <c r="AB549">
        <v>0</v>
      </c>
      <c r="AC549">
        <v>0</v>
      </c>
      <c r="AD549">
        <v>0</v>
      </c>
      <c r="AE549">
        <v>0</v>
      </c>
      <c r="AF549">
        <v>0</v>
      </c>
      <c r="AG549">
        <v>0</v>
      </c>
      <c r="AH549">
        <v>0</v>
      </c>
      <c r="AI549">
        <v>0</v>
      </c>
      <c r="AJ549">
        <v>0</v>
      </c>
      <c r="AK549">
        <v>0</v>
      </c>
      <c r="AL549">
        <v>0</v>
      </c>
      <c r="AM549">
        <v>0</v>
      </c>
      <c r="AN549">
        <v>0</v>
      </c>
    </row>
    <row r="550" spans="25:40" x14ac:dyDescent="0.3">
      <c r="Y550">
        <v>0</v>
      </c>
      <c r="Z550">
        <v>0</v>
      </c>
      <c r="AA550">
        <v>0</v>
      </c>
      <c r="AB550">
        <v>0</v>
      </c>
      <c r="AC550">
        <v>0</v>
      </c>
      <c r="AD550">
        <v>0</v>
      </c>
      <c r="AE550">
        <v>0</v>
      </c>
      <c r="AF550">
        <v>0</v>
      </c>
      <c r="AG550">
        <v>0</v>
      </c>
      <c r="AH550">
        <v>0</v>
      </c>
      <c r="AI550">
        <v>0</v>
      </c>
      <c r="AJ550">
        <v>0</v>
      </c>
      <c r="AK550">
        <v>0</v>
      </c>
      <c r="AL550">
        <v>0</v>
      </c>
      <c r="AM550">
        <v>0</v>
      </c>
      <c r="AN550">
        <v>0</v>
      </c>
    </row>
    <row r="551" spans="25:40" x14ac:dyDescent="0.3">
      <c r="Y551">
        <v>0</v>
      </c>
      <c r="Z551">
        <v>0</v>
      </c>
      <c r="AA551">
        <v>0</v>
      </c>
      <c r="AB551">
        <v>0</v>
      </c>
      <c r="AC551">
        <v>0</v>
      </c>
      <c r="AD551">
        <v>0</v>
      </c>
      <c r="AE551">
        <v>0</v>
      </c>
      <c r="AF551">
        <v>0</v>
      </c>
      <c r="AG551">
        <v>0</v>
      </c>
      <c r="AH551">
        <v>0</v>
      </c>
      <c r="AI551">
        <v>0</v>
      </c>
      <c r="AJ551">
        <v>0</v>
      </c>
      <c r="AK551">
        <v>0</v>
      </c>
      <c r="AL551">
        <v>0</v>
      </c>
      <c r="AM551">
        <v>0</v>
      </c>
      <c r="AN551">
        <v>0</v>
      </c>
    </row>
    <row r="552" spans="25:40" x14ac:dyDescent="0.3">
      <c r="Y552">
        <v>0</v>
      </c>
      <c r="Z552">
        <v>0</v>
      </c>
      <c r="AA552">
        <v>0</v>
      </c>
      <c r="AB552">
        <v>0</v>
      </c>
      <c r="AC552">
        <v>0</v>
      </c>
      <c r="AD552">
        <v>0</v>
      </c>
      <c r="AE552">
        <v>0</v>
      </c>
      <c r="AF552">
        <v>0</v>
      </c>
      <c r="AG552">
        <v>0</v>
      </c>
      <c r="AH552">
        <v>0</v>
      </c>
      <c r="AI552">
        <v>0</v>
      </c>
      <c r="AJ552">
        <v>0</v>
      </c>
      <c r="AK552">
        <v>0</v>
      </c>
      <c r="AL552">
        <v>0</v>
      </c>
      <c r="AM552">
        <v>0</v>
      </c>
      <c r="AN552">
        <v>0</v>
      </c>
    </row>
    <row r="553" spans="25:40" x14ac:dyDescent="0.3">
      <c r="Y553">
        <v>144</v>
      </c>
      <c r="Z553">
        <v>0</v>
      </c>
      <c r="AA553">
        <v>160</v>
      </c>
      <c r="AB553">
        <v>128</v>
      </c>
      <c r="AC553">
        <v>0</v>
      </c>
      <c r="AD553">
        <v>0</v>
      </c>
      <c r="AE553">
        <v>0</v>
      </c>
      <c r="AF553">
        <v>0</v>
      </c>
      <c r="AG553">
        <v>0</v>
      </c>
      <c r="AH553">
        <v>0</v>
      </c>
      <c r="AI553">
        <v>0</v>
      </c>
      <c r="AJ553">
        <v>0</v>
      </c>
      <c r="AK553">
        <v>0</v>
      </c>
      <c r="AL553">
        <v>0</v>
      </c>
      <c r="AM553">
        <v>0</v>
      </c>
      <c r="AN553">
        <v>0</v>
      </c>
    </row>
    <row r="554" spans="25:40" x14ac:dyDescent="0.3">
      <c r="Y554">
        <v>47</v>
      </c>
      <c r="Z554">
        <v>0</v>
      </c>
      <c r="AA554">
        <v>47</v>
      </c>
      <c r="AB554">
        <v>47</v>
      </c>
      <c r="AC554">
        <v>0</v>
      </c>
      <c r="AD554">
        <v>0</v>
      </c>
      <c r="AE554">
        <v>0</v>
      </c>
      <c r="AF554">
        <v>0</v>
      </c>
      <c r="AG554">
        <v>0</v>
      </c>
      <c r="AH554">
        <v>0</v>
      </c>
      <c r="AI554">
        <v>0</v>
      </c>
      <c r="AJ554">
        <v>0</v>
      </c>
      <c r="AK554">
        <v>0</v>
      </c>
      <c r="AL554">
        <v>0</v>
      </c>
      <c r="AM554">
        <v>0</v>
      </c>
      <c r="AN554">
        <v>0</v>
      </c>
    </row>
    <row r="555" spans="25:40" x14ac:dyDescent="0.3">
      <c r="Y555">
        <v>114.5</v>
      </c>
      <c r="Z555">
        <v>0</v>
      </c>
      <c r="AA555">
        <v>114</v>
      </c>
      <c r="AB555">
        <v>115</v>
      </c>
      <c r="AC555">
        <v>0</v>
      </c>
      <c r="AD555">
        <v>0</v>
      </c>
      <c r="AE555">
        <v>0</v>
      </c>
      <c r="AF555">
        <v>0</v>
      </c>
      <c r="AG555">
        <v>0</v>
      </c>
      <c r="AH555">
        <v>0</v>
      </c>
      <c r="AI555">
        <v>0</v>
      </c>
      <c r="AJ555">
        <v>0</v>
      </c>
      <c r="AK555">
        <v>0</v>
      </c>
      <c r="AL555">
        <v>0</v>
      </c>
      <c r="AM555">
        <v>0</v>
      </c>
      <c r="AN555">
        <v>0</v>
      </c>
    </row>
    <row r="556" spans="25:40" x14ac:dyDescent="0.3">
      <c r="Y556">
        <v>156</v>
      </c>
      <c r="Z556">
        <v>0</v>
      </c>
      <c r="AA556">
        <v>0</v>
      </c>
      <c r="AB556">
        <v>172</v>
      </c>
      <c r="AC556">
        <v>0</v>
      </c>
      <c r="AD556">
        <v>0</v>
      </c>
      <c r="AE556">
        <v>140</v>
      </c>
      <c r="AF556">
        <v>0</v>
      </c>
      <c r="AG556">
        <v>0</v>
      </c>
      <c r="AH556">
        <v>0</v>
      </c>
      <c r="AI556">
        <v>0</v>
      </c>
      <c r="AJ556">
        <v>0</v>
      </c>
      <c r="AK556">
        <v>0</v>
      </c>
      <c r="AL556">
        <v>0</v>
      </c>
      <c r="AM556">
        <v>0</v>
      </c>
      <c r="AN556">
        <v>0</v>
      </c>
    </row>
    <row r="557" spans="25:40" x14ac:dyDescent="0.3">
      <c r="Y557">
        <v>147</v>
      </c>
      <c r="Z557">
        <v>0</v>
      </c>
      <c r="AA557">
        <v>0</v>
      </c>
      <c r="AB557">
        <v>147</v>
      </c>
      <c r="AC557">
        <v>0</v>
      </c>
      <c r="AD557">
        <v>0</v>
      </c>
      <c r="AE557">
        <v>0</v>
      </c>
      <c r="AF557">
        <v>147</v>
      </c>
      <c r="AG557">
        <v>0</v>
      </c>
      <c r="AH557">
        <v>0</v>
      </c>
      <c r="AI557">
        <v>0</v>
      </c>
      <c r="AJ557">
        <v>0</v>
      </c>
      <c r="AK557">
        <v>0</v>
      </c>
      <c r="AL557">
        <v>0</v>
      </c>
      <c r="AM557">
        <v>0</v>
      </c>
      <c r="AN557">
        <v>0</v>
      </c>
    </row>
    <row r="558" spans="25:40" x14ac:dyDescent="0.3">
      <c r="Y558">
        <v>153.5</v>
      </c>
      <c r="Z558">
        <v>0</v>
      </c>
      <c r="AA558">
        <v>0</v>
      </c>
      <c r="AB558">
        <v>150</v>
      </c>
      <c r="AC558">
        <v>157</v>
      </c>
      <c r="AD558">
        <v>0</v>
      </c>
      <c r="AE558">
        <v>0</v>
      </c>
      <c r="AF558">
        <v>0</v>
      </c>
      <c r="AG558">
        <v>0</v>
      </c>
      <c r="AH558">
        <v>0</v>
      </c>
      <c r="AI558">
        <v>0</v>
      </c>
      <c r="AJ558">
        <v>0</v>
      </c>
      <c r="AK558">
        <v>0</v>
      </c>
      <c r="AL558">
        <v>0</v>
      </c>
      <c r="AM558">
        <v>0</v>
      </c>
      <c r="AN558">
        <v>0</v>
      </c>
    </row>
    <row r="559" spans="25:40" x14ac:dyDescent="0.3">
      <c r="Y559">
        <v>167.5</v>
      </c>
      <c r="Z559">
        <v>139</v>
      </c>
      <c r="AA559">
        <v>0</v>
      </c>
      <c r="AB559">
        <v>196</v>
      </c>
      <c r="AC559">
        <v>0</v>
      </c>
      <c r="AD559">
        <v>0</v>
      </c>
      <c r="AE559">
        <v>0</v>
      </c>
      <c r="AF559">
        <v>0</v>
      </c>
      <c r="AG559">
        <v>0</v>
      </c>
      <c r="AH559">
        <v>0</v>
      </c>
      <c r="AI559">
        <v>0</v>
      </c>
      <c r="AJ559">
        <v>0</v>
      </c>
      <c r="AK559">
        <v>0</v>
      </c>
      <c r="AL559">
        <v>0</v>
      </c>
      <c r="AM559">
        <v>0</v>
      </c>
      <c r="AN559">
        <v>0</v>
      </c>
    </row>
    <row r="560" spans="25:40" x14ac:dyDescent="0.3">
      <c r="Y560">
        <v>149</v>
      </c>
      <c r="Z560">
        <v>0</v>
      </c>
      <c r="AA560">
        <v>0</v>
      </c>
      <c r="AB560">
        <v>0</v>
      </c>
      <c r="AC560">
        <v>0</v>
      </c>
      <c r="AD560">
        <v>0</v>
      </c>
      <c r="AE560">
        <v>0</v>
      </c>
      <c r="AF560">
        <v>0</v>
      </c>
      <c r="AG560">
        <v>0</v>
      </c>
      <c r="AH560">
        <v>0</v>
      </c>
      <c r="AI560">
        <v>0</v>
      </c>
      <c r="AJ560">
        <v>0</v>
      </c>
      <c r="AK560">
        <v>0</v>
      </c>
      <c r="AL560">
        <v>0</v>
      </c>
      <c r="AM560">
        <v>0</v>
      </c>
      <c r="AN560">
        <v>0</v>
      </c>
    </row>
    <row r="561" spans="25:40" x14ac:dyDescent="0.3">
      <c r="Y561">
        <v>0</v>
      </c>
      <c r="Z561">
        <v>0</v>
      </c>
      <c r="AA561">
        <v>0</v>
      </c>
      <c r="AB561">
        <v>0</v>
      </c>
      <c r="AC561">
        <v>0</v>
      </c>
      <c r="AD561">
        <v>0</v>
      </c>
      <c r="AE561">
        <v>0</v>
      </c>
      <c r="AF561">
        <v>0</v>
      </c>
      <c r="AG561">
        <v>0</v>
      </c>
      <c r="AH561">
        <v>0</v>
      </c>
      <c r="AI561">
        <v>0</v>
      </c>
      <c r="AJ561">
        <v>0</v>
      </c>
      <c r="AK561">
        <v>0</v>
      </c>
      <c r="AL561">
        <v>0</v>
      </c>
      <c r="AM561">
        <v>0</v>
      </c>
      <c r="AN561">
        <v>0</v>
      </c>
    </row>
    <row r="562" spans="25:40" x14ac:dyDescent="0.3">
      <c r="Y562">
        <v>273</v>
      </c>
      <c r="Z562">
        <v>0</v>
      </c>
      <c r="AA562">
        <v>0</v>
      </c>
      <c r="AB562">
        <v>0</v>
      </c>
      <c r="AC562">
        <v>0</v>
      </c>
      <c r="AD562">
        <v>0</v>
      </c>
      <c r="AE562">
        <v>0</v>
      </c>
      <c r="AF562">
        <v>0</v>
      </c>
      <c r="AG562">
        <v>0</v>
      </c>
      <c r="AH562">
        <v>0</v>
      </c>
      <c r="AI562">
        <v>0</v>
      </c>
      <c r="AJ562">
        <v>0</v>
      </c>
      <c r="AK562">
        <v>0</v>
      </c>
      <c r="AL562">
        <v>0</v>
      </c>
      <c r="AM562">
        <v>0</v>
      </c>
      <c r="AN562">
        <v>0</v>
      </c>
    </row>
    <row r="563" spans="25:40" x14ac:dyDescent="0.3">
      <c r="Y563">
        <v>261</v>
      </c>
      <c r="Z563">
        <v>0</v>
      </c>
      <c r="AA563">
        <v>0</v>
      </c>
      <c r="AB563">
        <v>0</v>
      </c>
      <c r="AC563">
        <v>0</v>
      </c>
      <c r="AD563">
        <v>0</v>
      </c>
      <c r="AE563">
        <v>0</v>
      </c>
      <c r="AF563">
        <v>0</v>
      </c>
      <c r="AG563">
        <v>0</v>
      </c>
      <c r="AH563">
        <v>0</v>
      </c>
      <c r="AI563">
        <v>0</v>
      </c>
      <c r="AJ563">
        <v>0</v>
      </c>
      <c r="AK563">
        <v>0</v>
      </c>
      <c r="AL563">
        <v>0</v>
      </c>
      <c r="AM563">
        <v>0</v>
      </c>
      <c r="AN563">
        <v>261</v>
      </c>
    </row>
    <row r="564" spans="25:40" x14ac:dyDescent="0.3">
      <c r="Y564">
        <v>190</v>
      </c>
      <c r="Z564">
        <v>0</v>
      </c>
      <c r="AA564">
        <v>0</v>
      </c>
      <c r="AB564">
        <v>0</v>
      </c>
      <c r="AC564">
        <v>0</v>
      </c>
      <c r="AD564">
        <v>0</v>
      </c>
      <c r="AE564">
        <v>0</v>
      </c>
      <c r="AF564">
        <v>0</v>
      </c>
      <c r="AG564">
        <v>0</v>
      </c>
      <c r="AH564">
        <v>0</v>
      </c>
      <c r="AI564">
        <v>0</v>
      </c>
      <c r="AJ564">
        <v>0</v>
      </c>
      <c r="AK564">
        <v>0</v>
      </c>
      <c r="AL564">
        <v>0</v>
      </c>
      <c r="AM564">
        <v>0</v>
      </c>
      <c r="AN564">
        <v>190</v>
      </c>
    </row>
    <row r="565" spans="25:40" x14ac:dyDescent="0.3">
      <c r="Y565">
        <v>124</v>
      </c>
      <c r="Z565">
        <v>0</v>
      </c>
      <c r="AA565">
        <v>0</v>
      </c>
      <c r="AB565">
        <v>0</v>
      </c>
      <c r="AC565">
        <v>0</v>
      </c>
      <c r="AD565">
        <v>0</v>
      </c>
      <c r="AE565">
        <v>0</v>
      </c>
      <c r="AF565">
        <v>0</v>
      </c>
      <c r="AG565">
        <v>0</v>
      </c>
      <c r="AH565">
        <v>0</v>
      </c>
      <c r="AI565">
        <v>0</v>
      </c>
      <c r="AJ565">
        <v>0</v>
      </c>
      <c r="AK565">
        <v>124</v>
      </c>
      <c r="AL565">
        <v>0</v>
      </c>
      <c r="AM565">
        <v>0</v>
      </c>
      <c r="AN565">
        <v>0</v>
      </c>
    </row>
    <row r="566" spans="25:40" x14ac:dyDescent="0.3">
      <c r="Y566">
        <v>190</v>
      </c>
      <c r="Z566">
        <v>0</v>
      </c>
      <c r="AA566">
        <v>0</v>
      </c>
      <c r="AB566">
        <v>0</v>
      </c>
      <c r="AC566">
        <v>0</v>
      </c>
      <c r="AD566">
        <v>0</v>
      </c>
      <c r="AE566">
        <v>0</v>
      </c>
      <c r="AF566">
        <v>0</v>
      </c>
      <c r="AG566">
        <v>0</v>
      </c>
      <c r="AH566">
        <v>0</v>
      </c>
      <c r="AI566">
        <v>0</v>
      </c>
      <c r="AJ566">
        <v>0</v>
      </c>
      <c r="AK566">
        <v>0</v>
      </c>
      <c r="AL566">
        <v>0</v>
      </c>
      <c r="AM566">
        <v>570</v>
      </c>
      <c r="AN566">
        <v>0</v>
      </c>
    </row>
    <row r="567" spans="25:40" x14ac:dyDescent="0.3">
      <c r="Y567">
        <v>246</v>
      </c>
      <c r="Z567">
        <v>0</v>
      </c>
      <c r="AA567">
        <v>0</v>
      </c>
      <c r="AB567">
        <v>0</v>
      </c>
      <c r="AC567">
        <v>0</v>
      </c>
      <c r="AD567">
        <v>0</v>
      </c>
      <c r="AE567">
        <v>0</v>
      </c>
      <c r="AF567">
        <v>0</v>
      </c>
      <c r="AG567">
        <v>0</v>
      </c>
      <c r="AH567">
        <v>0</v>
      </c>
      <c r="AI567">
        <v>0</v>
      </c>
      <c r="AJ567">
        <v>0</v>
      </c>
      <c r="AK567">
        <v>0</v>
      </c>
      <c r="AL567">
        <v>0</v>
      </c>
      <c r="AM567">
        <v>0</v>
      </c>
      <c r="AN567">
        <v>0</v>
      </c>
    </row>
    <row r="568" spans="25:40" x14ac:dyDescent="0.3">
      <c r="Y568">
        <v>220</v>
      </c>
      <c r="Z568">
        <v>0</v>
      </c>
      <c r="AA568">
        <v>0</v>
      </c>
      <c r="AB568">
        <v>0</v>
      </c>
      <c r="AC568">
        <v>0</v>
      </c>
      <c r="AD568">
        <v>0</v>
      </c>
      <c r="AE568">
        <v>0</v>
      </c>
      <c r="AF568">
        <v>0</v>
      </c>
      <c r="AG568">
        <v>0</v>
      </c>
      <c r="AH568">
        <v>0</v>
      </c>
      <c r="AI568">
        <v>0</v>
      </c>
      <c r="AJ568">
        <v>0</v>
      </c>
      <c r="AK568">
        <v>0</v>
      </c>
      <c r="AL568">
        <v>0</v>
      </c>
      <c r="AM568">
        <v>0</v>
      </c>
      <c r="AN568">
        <v>0</v>
      </c>
    </row>
    <row r="569" spans="25:40" x14ac:dyDescent="0.3">
      <c r="Y569">
        <v>153</v>
      </c>
      <c r="Z569">
        <v>0</v>
      </c>
      <c r="AA569">
        <v>0</v>
      </c>
      <c r="AB569">
        <v>0</v>
      </c>
      <c r="AC569">
        <v>0</v>
      </c>
      <c r="AD569">
        <v>0</v>
      </c>
      <c r="AE569">
        <v>0</v>
      </c>
      <c r="AF569">
        <v>0</v>
      </c>
      <c r="AG569">
        <v>0</v>
      </c>
      <c r="AH569">
        <v>0</v>
      </c>
      <c r="AI569">
        <v>0</v>
      </c>
      <c r="AJ569">
        <v>0</v>
      </c>
      <c r="AK569">
        <v>0</v>
      </c>
      <c r="AL569">
        <v>153</v>
      </c>
      <c r="AM569">
        <v>0</v>
      </c>
      <c r="AN569">
        <v>0</v>
      </c>
    </row>
    <row r="570" spans="25:40" x14ac:dyDescent="0.3">
      <c r="Y570">
        <v>115</v>
      </c>
      <c r="Z570">
        <v>0</v>
      </c>
      <c r="AA570">
        <v>0</v>
      </c>
      <c r="AB570">
        <v>0</v>
      </c>
      <c r="AC570">
        <v>0</v>
      </c>
      <c r="AD570">
        <v>0</v>
      </c>
      <c r="AE570">
        <v>0</v>
      </c>
      <c r="AF570">
        <v>0</v>
      </c>
      <c r="AG570">
        <v>0</v>
      </c>
      <c r="AH570">
        <v>0</v>
      </c>
      <c r="AI570">
        <v>0</v>
      </c>
      <c r="AJ570">
        <v>0</v>
      </c>
      <c r="AK570">
        <v>0</v>
      </c>
      <c r="AL570">
        <v>115</v>
      </c>
      <c r="AM570">
        <v>0</v>
      </c>
      <c r="AN570">
        <v>0</v>
      </c>
    </row>
    <row r="571" spans="25:40" x14ac:dyDescent="0.3">
      <c r="Y571">
        <v>0</v>
      </c>
      <c r="Z571">
        <v>0</v>
      </c>
      <c r="AA571">
        <v>0</v>
      </c>
      <c r="AB571">
        <v>0</v>
      </c>
      <c r="AC571">
        <v>0</v>
      </c>
      <c r="AD571">
        <v>0</v>
      </c>
      <c r="AE571">
        <v>0</v>
      </c>
      <c r="AF571">
        <v>0</v>
      </c>
      <c r="AG571">
        <v>0</v>
      </c>
      <c r="AH571">
        <v>0</v>
      </c>
      <c r="AI571">
        <v>0</v>
      </c>
      <c r="AJ571">
        <v>0</v>
      </c>
      <c r="AK571">
        <v>0</v>
      </c>
      <c r="AL571">
        <v>0</v>
      </c>
      <c r="AM571">
        <v>0</v>
      </c>
      <c r="AN571">
        <v>0</v>
      </c>
    </row>
    <row r="572" spans="25:40" x14ac:dyDescent="0.3">
      <c r="Y572">
        <v>0</v>
      </c>
      <c r="Z572">
        <v>0</v>
      </c>
      <c r="AA572">
        <v>0</v>
      </c>
      <c r="AB572">
        <v>0</v>
      </c>
      <c r="AC572">
        <v>0</v>
      </c>
      <c r="AD572">
        <v>0</v>
      </c>
      <c r="AE572">
        <v>0</v>
      </c>
      <c r="AF572">
        <v>0</v>
      </c>
      <c r="AG572">
        <v>0</v>
      </c>
      <c r="AH572">
        <v>0</v>
      </c>
      <c r="AI572">
        <v>0</v>
      </c>
      <c r="AJ572">
        <v>0</v>
      </c>
      <c r="AK572">
        <v>0</v>
      </c>
      <c r="AL572">
        <v>0</v>
      </c>
      <c r="AM572">
        <v>0</v>
      </c>
      <c r="AN572">
        <v>0</v>
      </c>
    </row>
    <row r="573" spans="25:40" x14ac:dyDescent="0.3">
      <c r="Y573">
        <v>0</v>
      </c>
      <c r="Z573">
        <v>0</v>
      </c>
      <c r="AA573">
        <v>0</v>
      </c>
      <c r="AB573">
        <v>0</v>
      </c>
      <c r="AC573">
        <v>0</v>
      </c>
      <c r="AD573">
        <v>0</v>
      </c>
      <c r="AE573">
        <v>0</v>
      </c>
      <c r="AF573">
        <v>0</v>
      </c>
      <c r="AG573">
        <v>0</v>
      </c>
      <c r="AH573">
        <v>0</v>
      </c>
      <c r="AI573">
        <v>0</v>
      </c>
      <c r="AJ573">
        <v>0</v>
      </c>
      <c r="AK573">
        <v>0</v>
      </c>
      <c r="AL573">
        <v>0</v>
      </c>
      <c r="AM573">
        <v>0</v>
      </c>
      <c r="AN573">
        <v>0</v>
      </c>
    </row>
    <row r="574" spans="25:40" x14ac:dyDescent="0.3">
      <c r="Y574">
        <v>91</v>
      </c>
      <c r="Z574">
        <v>0</v>
      </c>
      <c r="AA574">
        <v>0</v>
      </c>
      <c r="AB574">
        <v>0</v>
      </c>
      <c r="AC574">
        <v>0</v>
      </c>
      <c r="AD574">
        <v>0</v>
      </c>
      <c r="AE574">
        <v>0</v>
      </c>
      <c r="AF574">
        <v>0</v>
      </c>
      <c r="AG574">
        <v>0</v>
      </c>
      <c r="AH574">
        <v>0</v>
      </c>
      <c r="AI574">
        <v>0</v>
      </c>
      <c r="AJ574">
        <v>0</v>
      </c>
      <c r="AK574">
        <v>0</v>
      </c>
      <c r="AL574">
        <v>91</v>
      </c>
      <c r="AM574">
        <v>0</v>
      </c>
      <c r="AN574">
        <v>0</v>
      </c>
    </row>
    <row r="575" spans="25:40" x14ac:dyDescent="0.3">
      <c r="Y575">
        <v>178</v>
      </c>
      <c r="Z575">
        <v>0</v>
      </c>
      <c r="AA575">
        <v>0</v>
      </c>
      <c r="AB575">
        <v>0</v>
      </c>
      <c r="AC575">
        <v>0</v>
      </c>
      <c r="AD575">
        <v>0</v>
      </c>
      <c r="AE575">
        <v>0</v>
      </c>
      <c r="AF575">
        <v>0</v>
      </c>
      <c r="AG575">
        <v>0</v>
      </c>
      <c r="AH575">
        <v>0</v>
      </c>
      <c r="AI575">
        <v>0</v>
      </c>
      <c r="AJ575">
        <v>178</v>
      </c>
      <c r="AK575">
        <v>0</v>
      </c>
      <c r="AL575">
        <v>0</v>
      </c>
      <c r="AM575">
        <v>0</v>
      </c>
      <c r="AN575">
        <v>0</v>
      </c>
    </row>
    <row r="576" spans="25:40" x14ac:dyDescent="0.3">
      <c r="Y576">
        <v>139</v>
      </c>
      <c r="Z576">
        <v>0</v>
      </c>
      <c r="AA576">
        <v>0</v>
      </c>
      <c r="AB576">
        <v>0</v>
      </c>
      <c r="AC576">
        <v>0</v>
      </c>
      <c r="AD576">
        <v>0</v>
      </c>
      <c r="AE576">
        <v>0</v>
      </c>
      <c r="AF576">
        <v>0</v>
      </c>
      <c r="AG576">
        <v>0</v>
      </c>
      <c r="AH576">
        <v>0</v>
      </c>
      <c r="AI576">
        <v>0</v>
      </c>
      <c r="AJ576">
        <v>0</v>
      </c>
      <c r="AK576">
        <v>0</v>
      </c>
      <c r="AL576">
        <v>0</v>
      </c>
      <c r="AM576">
        <v>139</v>
      </c>
      <c r="AN576">
        <v>0</v>
      </c>
    </row>
    <row r="577" spans="25:40" x14ac:dyDescent="0.3">
      <c r="Y577">
        <v>192</v>
      </c>
      <c r="Z577">
        <v>0</v>
      </c>
      <c r="AA577">
        <v>0</v>
      </c>
      <c r="AB577">
        <v>0</v>
      </c>
      <c r="AC577">
        <v>0</v>
      </c>
      <c r="AD577">
        <v>0</v>
      </c>
      <c r="AE577">
        <v>0</v>
      </c>
      <c r="AF577">
        <v>0</v>
      </c>
      <c r="AG577">
        <v>0</v>
      </c>
      <c r="AH577">
        <v>0</v>
      </c>
      <c r="AI577">
        <v>0</v>
      </c>
      <c r="AJ577">
        <v>0</v>
      </c>
      <c r="AK577">
        <v>0</v>
      </c>
      <c r="AL577">
        <v>0</v>
      </c>
      <c r="AM577">
        <v>0</v>
      </c>
      <c r="AN577">
        <v>0</v>
      </c>
    </row>
    <row r="578" spans="25:40" x14ac:dyDescent="0.3">
      <c r="Y578">
        <v>0</v>
      </c>
      <c r="Z578">
        <v>0</v>
      </c>
      <c r="AA578">
        <v>0</v>
      </c>
      <c r="AB578">
        <v>0</v>
      </c>
      <c r="AC578">
        <v>0</v>
      </c>
      <c r="AD578">
        <v>0</v>
      </c>
      <c r="AE578">
        <v>0</v>
      </c>
      <c r="AF578">
        <v>0</v>
      </c>
      <c r="AG578">
        <v>0</v>
      </c>
      <c r="AH578">
        <v>0</v>
      </c>
      <c r="AI578">
        <v>0</v>
      </c>
      <c r="AJ578">
        <v>0</v>
      </c>
      <c r="AK578">
        <v>0</v>
      </c>
      <c r="AL578">
        <v>0</v>
      </c>
      <c r="AM578">
        <v>0</v>
      </c>
      <c r="AN578">
        <v>0</v>
      </c>
    </row>
    <row r="579" spans="25:40" x14ac:dyDescent="0.3">
      <c r="Y579">
        <v>273</v>
      </c>
      <c r="Z579">
        <v>0</v>
      </c>
      <c r="AA579">
        <v>0</v>
      </c>
      <c r="AB579">
        <v>0</v>
      </c>
      <c r="AC579">
        <v>0</v>
      </c>
      <c r="AD579">
        <v>0</v>
      </c>
      <c r="AE579">
        <v>0</v>
      </c>
      <c r="AF579">
        <v>0</v>
      </c>
      <c r="AG579">
        <v>0</v>
      </c>
      <c r="AH579">
        <v>0</v>
      </c>
      <c r="AI579">
        <v>0</v>
      </c>
      <c r="AJ579">
        <v>0</v>
      </c>
      <c r="AK579">
        <v>0</v>
      </c>
      <c r="AL579">
        <v>0</v>
      </c>
      <c r="AM579">
        <v>0</v>
      </c>
      <c r="AN579">
        <v>0</v>
      </c>
    </row>
    <row r="580" spans="25:40" x14ac:dyDescent="0.3">
      <c r="Y580">
        <v>183</v>
      </c>
      <c r="Z580">
        <v>0</v>
      </c>
      <c r="AA580">
        <v>0</v>
      </c>
      <c r="AB580">
        <v>0</v>
      </c>
      <c r="AC580">
        <v>0</v>
      </c>
      <c r="AD580">
        <v>0</v>
      </c>
      <c r="AE580">
        <v>0</v>
      </c>
      <c r="AF580">
        <v>0</v>
      </c>
      <c r="AG580">
        <v>0</v>
      </c>
      <c r="AH580">
        <v>0</v>
      </c>
      <c r="AI580">
        <v>0</v>
      </c>
      <c r="AJ580">
        <v>0</v>
      </c>
      <c r="AK580">
        <v>0</v>
      </c>
      <c r="AL580">
        <v>0</v>
      </c>
      <c r="AM580">
        <v>0</v>
      </c>
      <c r="AN580">
        <v>183</v>
      </c>
    </row>
    <row r="581" spans="25:40" x14ac:dyDescent="0.3">
      <c r="Y581">
        <v>174</v>
      </c>
      <c r="Z581">
        <v>0</v>
      </c>
      <c r="AA581">
        <v>0</v>
      </c>
      <c r="AB581">
        <v>0</v>
      </c>
      <c r="AC581">
        <v>0</v>
      </c>
      <c r="AD581">
        <v>0</v>
      </c>
      <c r="AE581">
        <v>0</v>
      </c>
      <c r="AF581">
        <v>0</v>
      </c>
      <c r="AG581">
        <v>0</v>
      </c>
      <c r="AH581">
        <v>0</v>
      </c>
      <c r="AI581">
        <v>0</v>
      </c>
      <c r="AJ581">
        <v>0</v>
      </c>
      <c r="AK581">
        <v>0</v>
      </c>
      <c r="AL581">
        <v>0</v>
      </c>
      <c r="AM581">
        <v>174</v>
      </c>
      <c r="AN581">
        <v>0</v>
      </c>
    </row>
    <row r="582" spans="25:40" x14ac:dyDescent="0.3">
      <c r="Y582">
        <v>0</v>
      </c>
      <c r="Z582">
        <v>0</v>
      </c>
      <c r="AA582">
        <v>0</v>
      </c>
      <c r="AB582">
        <v>0</v>
      </c>
      <c r="AC582">
        <v>0</v>
      </c>
      <c r="AD582">
        <v>0</v>
      </c>
      <c r="AE582">
        <v>0</v>
      </c>
      <c r="AF582">
        <v>0</v>
      </c>
      <c r="AG582">
        <v>0</v>
      </c>
      <c r="AH582">
        <v>0</v>
      </c>
      <c r="AI582">
        <v>0</v>
      </c>
      <c r="AJ582">
        <v>0</v>
      </c>
      <c r="AK582">
        <v>0</v>
      </c>
      <c r="AL582">
        <v>0</v>
      </c>
      <c r="AM582">
        <v>0</v>
      </c>
      <c r="AN582">
        <v>0</v>
      </c>
    </row>
    <row r="583" spans="25:40" x14ac:dyDescent="0.3">
      <c r="Y583">
        <v>0</v>
      </c>
      <c r="Z583">
        <v>0</v>
      </c>
      <c r="AA583">
        <v>0</v>
      </c>
      <c r="AB583">
        <v>0</v>
      </c>
      <c r="AC583">
        <v>0</v>
      </c>
      <c r="AD583">
        <v>0</v>
      </c>
      <c r="AE583">
        <v>0</v>
      </c>
      <c r="AF583">
        <v>0</v>
      </c>
      <c r="AG583">
        <v>0</v>
      </c>
      <c r="AH583">
        <v>0</v>
      </c>
      <c r="AI583">
        <v>0</v>
      </c>
      <c r="AJ583">
        <v>0</v>
      </c>
      <c r="AK583">
        <v>0</v>
      </c>
      <c r="AL583">
        <v>0</v>
      </c>
      <c r="AM583">
        <v>0</v>
      </c>
      <c r="AN583">
        <v>0</v>
      </c>
    </row>
    <row r="584" spans="25:40" x14ac:dyDescent="0.3">
      <c r="Y584">
        <v>177</v>
      </c>
      <c r="Z584">
        <v>0</v>
      </c>
      <c r="AA584">
        <v>0</v>
      </c>
      <c r="AB584">
        <v>0</v>
      </c>
      <c r="AC584">
        <v>0</v>
      </c>
      <c r="AD584">
        <v>0</v>
      </c>
      <c r="AE584">
        <v>0</v>
      </c>
      <c r="AF584">
        <v>0</v>
      </c>
      <c r="AG584">
        <v>0</v>
      </c>
      <c r="AH584">
        <v>0</v>
      </c>
      <c r="AI584">
        <v>0</v>
      </c>
      <c r="AJ584">
        <v>0</v>
      </c>
      <c r="AK584">
        <v>0</v>
      </c>
      <c r="AL584">
        <v>0</v>
      </c>
      <c r="AM584">
        <v>0</v>
      </c>
      <c r="AN584">
        <v>177</v>
      </c>
    </row>
    <row r="585" spans="25:40" x14ac:dyDescent="0.3">
      <c r="Y585">
        <v>253</v>
      </c>
      <c r="Z585">
        <v>0</v>
      </c>
      <c r="AA585">
        <v>0</v>
      </c>
      <c r="AB585">
        <v>0</v>
      </c>
      <c r="AC585">
        <v>0</v>
      </c>
      <c r="AD585">
        <v>0</v>
      </c>
      <c r="AE585">
        <v>0</v>
      </c>
      <c r="AF585">
        <v>0</v>
      </c>
      <c r="AG585">
        <v>0</v>
      </c>
      <c r="AH585">
        <v>0</v>
      </c>
      <c r="AI585">
        <v>0</v>
      </c>
      <c r="AJ585">
        <v>0</v>
      </c>
      <c r="AK585">
        <v>0</v>
      </c>
      <c r="AL585">
        <v>0</v>
      </c>
      <c r="AM585">
        <v>0</v>
      </c>
      <c r="AN585">
        <v>0</v>
      </c>
    </row>
    <row r="586" spans="25:40" x14ac:dyDescent="0.3">
      <c r="Y586">
        <v>333</v>
      </c>
      <c r="Z586">
        <v>0</v>
      </c>
      <c r="AA586">
        <v>0</v>
      </c>
      <c r="AB586">
        <v>0</v>
      </c>
      <c r="AC586">
        <v>0</v>
      </c>
      <c r="AD586">
        <v>0</v>
      </c>
      <c r="AE586">
        <v>0</v>
      </c>
      <c r="AF586">
        <v>0</v>
      </c>
      <c r="AG586">
        <v>0</v>
      </c>
      <c r="AH586">
        <v>0</v>
      </c>
      <c r="AI586">
        <v>0</v>
      </c>
      <c r="AJ586">
        <v>0</v>
      </c>
      <c r="AK586">
        <v>0</v>
      </c>
      <c r="AL586">
        <v>333</v>
      </c>
      <c r="AM586">
        <v>0</v>
      </c>
      <c r="AN586">
        <v>0</v>
      </c>
    </row>
    <row r="587" spans="25:40" x14ac:dyDescent="0.3">
      <c r="Y587">
        <v>0</v>
      </c>
      <c r="Z587">
        <v>0</v>
      </c>
      <c r="AA587">
        <v>0</v>
      </c>
      <c r="AB587">
        <v>0</v>
      </c>
      <c r="AC587">
        <v>0</v>
      </c>
      <c r="AD587">
        <v>0</v>
      </c>
      <c r="AE587">
        <v>0</v>
      </c>
      <c r="AF587">
        <v>0</v>
      </c>
      <c r="AG587">
        <v>0</v>
      </c>
      <c r="AH587">
        <v>0</v>
      </c>
      <c r="AI587">
        <v>0</v>
      </c>
      <c r="AJ587">
        <v>0</v>
      </c>
      <c r="AK587">
        <v>0</v>
      </c>
      <c r="AL587">
        <v>0</v>
      </c>
      <c r="AM587">
        <v>0</v>
      </c>
      <c r="AN587">
        <v>0</v>
      </c>
    </row>
    <row r="588" spans="25:40" x14ac:dyDescent="0.3">
      <c r="Y588">
        <v>167</v>
      </c>
      <c r="Z588">
        <v>0</v>
      </c>
      <c r="AA588">
        <v>0</v>
      </c>
      <c r="AB588">
        <v>0</v>
      </c>
      <c r="AC588">
        <v>0</v>
      </c>
      <c r="AD588">
        <v>0</v>
      </c>
      <c r="AE588">
        <v>0</v>
      </c>
      <c r="AF588">
        <v>0</v>
      </c>
      <c r="AG588">
        <v>0</v>
      </c>
      <c r="AH588">
        <v>0</v>
      </c>
      <c r="AI588">
        <v>0</v>
      </c>
      <c r="AJ588">
        <v>0</v>
      </c>
      <c r="AK588">
        <v>0</v>
      </c>
      <c r="AL588">
        <v>0</v>
      </c>
      <c r="AM588">
        <v>0</v>
      </c>
      <c r="AN588">
        <v>167</v>
      </c>
    </row>
    <row r="589" spans="25:40" x14ac:dyDescent="0.3">
      <c r="Y589">
        <v>168</v>
      </c>
      <c r="Z589">
        <v>0</v>
      </c>
      <c r="AA589">
        <v>0</v>
      </c>
      <c r="AB589">
        <v>0</v>
      </c>
      <c r="AC589">
        <v>0</v>
      </c>
      <c r="AD589">
        <v>0</v>
      </c>
      <c r="AE589">
        <v>0</v>
      </c>
      <c r="AF589">
        <v>0</v>
      </c>
      <c r="AG589">
        <v>0</v>
      </c>
      <c r="AH589">
        <v>0</v>
      </c>
      <c r="AI589">
        <v>0</v>
      </c>
      <c r="AJ589">
        <v>0</v>
      </c>
      <c r="AK589">
        <v>0</v>
      </c>
      <c r="AL589">
        <v>168</v>
      </c>
      <c r="AM589">
        <v>0</v>
      </c>
      <c r="AN589">
        <v>0</v>
      </c>
    </row>
    <row r="590" spans="25:40" x14ac:dyDescent="0.3">
      <c r="Y590">
        <v>202</v>
      </c>
      <c r="Z590">
        <v>0</v>
      </c>
      <c r="AA590">
        <v>0</v>
      </c>
      <c r="AB590">
        <v>0</v>
      </c>
      <c r="AC590">
        <v>0</v>
      </c>
      <c r="AD590">
        <v>0</v>
      </c>
      <c r="AE590">
        <v>0</v>
      </c>
      <c r="AF590">
        <v>0</v>
      </c>
      <c r="AG590">
        <v>0</v>
      </c>
      <c r="AH590">
        <v>0</v>
      </c>
      <c r="AI590">
        <v>0</v>
      </c>
      <c r="AJ590">
        <v>0</v>
      </c>
      <c r="AK590">
        <v>0</v>
      </c>
      <c r="AL590">
        <v>0</v>
      </c>
      <c r="AM590">
        <v>0</v>
      </c>
      <c r="AN590">
        <v>0</v>
      </c>
    </row>
    <row r="591" spans="25:40" x14ac:dyDescent="0.3">
      <c r="Y591">
        <v>170</v>
      </c>
      <c r="Z591">
        <v>0</v>
      </c>
      <c r="AA591">
        <v>0</v>
      </c>
      <c r="AB591">
        <v>0</v>
      </c>
      <c r="AC591">
        <v>0</v>
      </c>
      <c r="AD591">
        <v>0</v>
      </c>
      <c r="AE591">
        <v>0</v>
      </c>
      <c r="AF591">
        <v>0</v>
      </c>
      <c r="AG591">
        <v>0</v>
      </c>
      <c r="AH591">
        <v>0</v>
      </c>
      <c r="AI591">
        <v>0</v>
      </c>
      <c r="AJ591">
        <v>0</v>
      </c>
      <c r="AK591">
        <v>0</v>
      </c>
      <c r="AL591">
        <v>0</v>
      </c>
      <c r="AM591">
        <v>0</v>
      </c>
      <c r="AN591">
        <v>0</v>
      </c>
    </row>
    <row r="592" spans="25:40" x14ac:dyDescent="0.3">
      <c r="Y592">
        <v>269</v>
      </c>
      <c r="Z592">
        <v>0</v>
      </c>
      <c r="AA592">
        <v>0</v>
      </c>
      <c r="AB592">
        <v>0</v>
      </c>
      <c r="AC592">
        <v>0</v>
      </c>
      <c r="AD592">
        <v>0</v>
      </c>
      <c r="AE592">
        <v>0</v>
      </c>
      <c r="AF592">
        <v>0</v>
      </c>
      <c r="AG592">
        <v>0</v>
      </c>
      <c r="AH592">
        <v>0</v>
      </c>
      <c r="AI592">
        <v>0</v>
      </c>
      <c r="AJ592">
        <v>0</v>
      </c>
      <c r="AK592">
        <v>0</v>
      </c>
      <c r="AL592">
        <v>0</v>
      </c>
      <c r="AM592">
        <v>0</v>
      </c>
      <c r="AN592">
        <v>0</v>
      </c>
    </row>
    <row r="593" spans="25:40" x14ac:dyDescent="0.3">
      <c r="Y593">
        <v>117</v>
      </c>
      <c r="Z593">
        <v>0</v>
      </c>
      <c r="AA593">
        <v>0</v>
      </c>
      <c r="AB593">
        <v>0</v>
      </c>
      <c r="AC593">
        <v>0</v>
      </c>
      <c r="AD593">
        <v>0</v>
      </c>
      <c r="AE593">
        <v>0</v>
      </c>
      <c r="AF593">
        <v>0</v>
      </c>
      <c r="AG593">
        <v>0</v>
      </c>
      <c r="AH593">
        <v>0</v>
      </c>
      <c r="AI593">
        <v>0</v>
      </c>
      <c r="AJ593">
        <v>0</v>
      </c>
      <c r="AK593">
        <v>117</v>
      </c>
      <c r="AL593">
        <v>0</v>
      </c>
      <c r="AM593">
        <v>0</v>
      </c>
      <c r="AN593">
        <v>0</v>
      </c>
    </row>
    <row r="594" spans="25:40" x14ac:dyDescent="0.3">
      <c r="Y594">
        <v>113</v>
      </c>
      <c r="Z594">
        <v>0</v>
      </c>
      <c r="AA594">
        <v>0</v>
      </c>
      <c r="AB594">
        <v>0</v>
      </c>
      <c r="AC594">
        <v>0</v>
      </c>
      <c r="AD594">
        <v>0</v>
      </c>
      <c r="AE594">
        <v>0</v>
      </c>
      <c r="AF594">
        <v>0</v>
      </c>
      <c r="AG594">
        <v>0</v>
      </c>
      <c r="AH594">
        <v>0</v>
      </c>
      <c r="AI594">
        <v>0</v>
      </c>
      <c r="AJ594">
        <v>0</v>
      </c>
      <c r="AK594">
        <v>113</v>
      </c>
      <c r="AL594">
        <v>0</v>
      </c>
      <c r="AM594">
        <v>0</v>
      </c>
      <c r="AN594">
        <v>0</v>
      </c>
    </row>
    <row r="595" spans="25:40" x14ac:dyDescent="0.3">
      <c r="Y595">
        <v>142</v>
      </c>
      <c r="Z595">
        <v>0</v>
      </c>
      <c r="AA595">
        <v>0</v>
      </c>
      <c r="AB595">
        <v>0</v>
      </c>
      <c r="AC595">
        <v>0</v>
      </c>
      <c r="AD595">
        <v>0</v>
      </c>
      <c r="AE595">
        <v>0</v>
      </c>
      <c r="AF595">
        <v>0</v>
      </c>
      <c r="AG595">
        <v>0</v>
      </c>
      <c r="AH595">
        <v>0</v>
      </c>
      <c r="AI595">
        <v>0</v>
      </c>
      <c r="AJ595">
        <v>0</v>
      </c>
      <c r="AK595">
        <v>142</v>
      </c>
      <c r="AL595">
        <v>0</v>
      </c>
      <c r="AM595">
        <v>0</v>
      </c>
      <c r="AN595">
        <v>0</v>
      </c>
    </row>
    <row r="596" spans="25:40" x14ac:dyDescent="0.3">
      <c r="Y596">
        <v>140</v>
      </c>
      <c r="Z596">
        <v>0</v>
      </c>
      <c r="AA596">
        <v>0</v>
      </c>
      <c r="AB596">
        <v>0</v>
      </c>
      <c r="AC596">
        <v>0</v>
      </c>
      <c r="AD596">
        <v>0</v>
      </c>
      <c r="AE596">
        <v>0</v>
      </c>
      <c r="AF596">
        <v>0</v>
      </c>
      <c r="AG596">
        <v>0</v>
      </c>
      <c r="AH596">
        <v>0</v>
      </c>
      <c r="AI596">
        <v>0</v>
      </c>
      <c r="AJ596">
        <v>140</v>
      </c>
      <c r="AK596">
        <v>0</v>
      </c>
      <c r="AL596">
        <v>0</v>
      </c>
      <c r="AM596">
        <v>0</v>
      </c>
      <c r="AN596">
        <v>0</v>
      </c>
    </row>
    <row r="597" spans="25:40" x14ac:dyDescent="0.3">
      <c r="Y597">
        <v>115</v>
      </c>
      <c r="Z597">
        <v>0</v>
      </c>
      <c r="AA597">
        <v>0</v>
      </c>
      <c r="AB597">
        <v>0</v>
      </c>
      <c r="AC597">
        <v>0</v>
      </c>
      <c r="AD597">
        <v>0</v>
      </c>
      <c r="AE597">
        <v>0</v>
      </c>
      <c r="AF597">
        <v>0</v>
      </c>
      <c r="AG597">
        <v>0</v>
      </c>
      <c r="AH597">
        <v>0</v>
      </c>
      <c r="AI597">
        <v>0</v>
      </c>
      <c r="AJ597">
        <v>115</v>
      </c>
      <c r="AK597">
        <v>0</v>
      </c>
      <c r="AL597">
        <v>0</v>
      </c>
      <c r="AM597">
        <v>0</v>
      </c>
      <c r="AN597">
        <v>0</v>
      </c>
    </row>
    <row r="598" spans="25:40" x14ac:dyDescent="0.3">
      <c r="Y598">
        <v>159</v>
      </c>
      <c r="Z598">
        <v>0</v>
      </c>
      <c r="AA598">
        <v>0</v>
      </c>
      <c r="AB598">
        <v>0</v>
      </c>
      <c r="AC598">
        <v>0</v>
      </c>
      <c r="AD598">
        <v>0</v>
      </c>
      <c r="AE598">
        <v>0</v>
      </c>
      <c r="AF598">
        <v>0</v>
      </c>
      <c r="AG598">
        <v>0</v>
      </c>
      <c r="AH598">
        <v>0</v>
      </c>
      <c r="AI598">
        <v>0</v>
      </c>
      <c r="AJ598">
        <v>159</v>
      </c>
      <c r="AK598">
        <v>0</v>
      </c>
      <c r="AL598">
        <v>0</v>
      </c>
      <c r="AM598">
        <v>0</v>
      </c>
      <c r="AN598">
        <v>0</v>
      </c>
    </row>
    <row r="599" spans="25:40" x14ac:dyDescent="0.3">
      <c r="Y599">
        <v>0</v>
      </c>
      <c r="Z599">
        <v>0</v>
      </c>
      <c r="AA599">
        <v>0</v>
      </c>
      <c r="AB599">
        <v>0</v>
      </c>
      <c r="AC599">
        <v>0</v>
      </c>
      <c r="AD599">
        <v>0</v>
      </c>
      <c r="AE599">
        <v>0</v>
      </c>
      <c r="AF599">
        <v>0</v>
      </c>
      <c r="AG599">
        <v>0</v>
      </c>
      <c r="AH599">
        <v>0</v>
      </c>
      <c r="AI599">
        <v>0</v>
      </c>
      <c r="AJ599">
        <v>0</v>
      </c>
      <c r="AK599">
        <v>0</v>
      </c>
      <c r="AL599">
        <v>0</v>
      </c>
      <c r="AM599">
        <v>0</v>
      </c>
      <c r="AN599">
        <v>0</v>
      </c>
    </row>
    <row r="600" spans="25:40" x14ac:dyDescent="0.3">
      <c r="Y600">
        <v>202</v>
      </c>
      <c r="Z600">
        <v>0</v>
      </c>
      <c r="AA600">
        <v>0</v>
      </c>
      <c r="AB600">
        <v>0</v>
      </c>
      <c r="AC600">
        <v>0</v>
      </c>
      <c r="AD600">
        <v>0</v>
      </c>
      <c r="AE600">
        <v>0</v>
      </c>
      <c r="AF600">
        <v>0</v>
      </c>
      <c r="AG600">
        <v>0</v>
      </c>
      <c r="AH600">
        <v>0</v>
      </c>
      <c r="AI600">
        <v>0</v>
      </c>
      <c r="AJ600">
        <v>0</v>
      </c>
      <c r="AK600">
        <v>0</v>
      </c>
      <c r="AL600">
        <v>0</v>
      </c>
      <c r="AM600">
        <v>0</v>
      </c>
      <c r="AN600">
        <v>202</v>
      </c>
    </row>
    <row r="601" spans="25:40" x14ac:dyDescent="0.3">
      <c r="Y601">
        <v>146.29569892473117</v>
      </c>
      <c r="Z601">
        <v>0</v>
      </c>
      <c r="AA601">
        <v>150.80000000000001</v>
      </c>
      <c r="AB601">
        <v>142</v>
      </c>
      <c r="AC601">
        <v>0</v>
      </c>
      <c r="AD601">
        <v>0</v>
      </c>
      <c r="AE601">
        <v>145</v>
      </c>
      <c r="AF601">
        <v>140.66666666666666</v>
      </c>
      <c r="AG601">
        <v>137.38888888888889</v>
      </c>
      <c r="AH601">
        <v>142.39130434782609</v>
      </c>
      <c r="AI601">
        <v>133.52173913043478</v>
      </c>
      <c r="AJ601">
        <v>138.18181818181819</v>
      </c>
      <c r="AK601">
        <v>137</v>
      </c>
      <c r="AL601">
        <v>144.91666666666666</v>
      </c>
      <c r="AM601">
        <v>149.5</v>
      </c>
      <c r="AN601">
        <v>158.45454545454547</v>
      </c>
    </row>
    <row r="602" spans="25:40" x14ac:dyDescent="0.3">
      <c r="Y602">
        <v>201</v>
      </c>
      <c r="Z602">
        <v>0</v>
      </c>
      <c r="AA602">
        <v>0</v>
      </c>
      <c r="AB602">
        <v>0</v>
      </c>
      <c r="AC602">
        <v>0</v>
      </c>
      <c r="AD602">
        <v>0</v>
      </c>
      <c r="AE602">
        <v>0</v>
      </c>
      <c r="AF602">
        <v>0</v>
      </c>
      <c r="AG602">
        <v>0</v>
      </c>
      <c r="AH602">
        <v>0</v>
      </c>
      <c r="AI602">
        <v>0</v>
      </c>
      <c r="AJ602">
        <v>0</v>
      </c>
      <c r="AK602">
        <v>0</v>
      </c>
      <c r="AL602">
        <v>0</v>
      </c>
      <c r="AM602">
        <v>201</v>
      </c>
      <c r="AN602">
        <v>0</v>
      </c>
    </row>
    <row r="603" spans="25:40" x14ac:dyDescent="0.3">
      <c r="Y603">
        <v>0</v>
      </c>
      <c r="Z603">
        <v>0</v>
      </c>
      <c r="AA603">
        <v>0</v>
      </c>
      <c r="AB603">
        <v>0</v>
      </c>
      <c r="AC603">
        <v>0</v>
      </c>
      <c r="AD603">
        <v>0</v>
      </c>
      <c r="AE603">
        <v>0</v>
      </c>
      <c r="AF603">
        <v>0</v>
      </c>
      <c r="AG603">
        <v>0</v>
      </c>
      <c r="AH603">
        <v>0</v>
      </c>
      <c r="AI603">
        <v>0</v>
      </c>
      <c r="AJ603">
        <v>0</v>
      </c>
      <c r="AK603">
        <v>0</v>
      </c>
      <c r="AL603">
        <v>0</v>
      </c>
      <c r="AM603">
        <v>0</v>
      </c>
      <c r="AN603">
        <v>0</v>
      </c>
    </row>
    <row r="604" spans="25:40" x14ac:dyDescent="0.3">
      <c r="Y604">
        <v>0</v>
      </c>
      <c r="Z604">
        <v>0</v>
      </c>
      <c r="AA604">
        <v>0</v>
      </c>
      <c r="AB604">
        <v>0</v>
      </c>
      <c r="AC604">
        <v>0</v>
      </c>
      <c r="AD604">
        <v>0</v>
      </c>
      <c r="AE604">
        <v>0</v>
      </c>
      <c r="AF604">
        <v>0</v>
      </c>
      <c r="AG604">
        <v>0</v>
      </c>
      <c r="AH604">
        <v>0</v>
      </c>
      <c r="AI604">
        <v>0</v>
      </c>
      <c r="AJ604">
        <v>0</v>
      </c>
      <c r="AK604">
        <v>0</v>
      </c>
      <c r="AL604">
        <v>0</v>
      </c>
      <c r="AM604">
        <v>0</v>
      </c>
      <c r="AN604">
        <v>0</v>
      </c>
    </row>
    <row r="605" spans="25:40" x14ac:dyDescent="0.3">
      <c r="Y605">
        <v>153</v>
      </c>
      <c r="Z605">
        <v>0</v>
      </c>
      <c r="AA605">
        <v>0</v>
      </c>
      <c r="AB605">
        <v>0</v>
      </c>
      <c r="AC605">
        <v>0</v>
      </c>
      <c r="AD605">
        <v>0</v>
      </c>
      <c r="AE605">
        <v>0</v>
      </c>
      <c r="AF605">
        <v>0</v>
      </c>
      <c r="AG605">
        <v>0</v>
      </c>
      <c r="AH605">
        <v>0</v>
      </c>
      <c r="AI605">
        <v>0</v>
      </c>
      <c r="AJ605">
        <v>0</v>
      </c>
      <c r="AK605">
        <v>0</v>
      </c>
      <c r="AL605">
        <v>0</v>
      </c>
      <c r="AM605">
        <v>0</v>
      </c>
      <c r="AN605">
        <v>0</v>
      </c>
    </row>
    <row r="606" spans="25:40" x14ac:dyDescent="0.3">
      <c r="Y606">
        <v>187</v>
      </c>
      <c r="Z606">
        <v>0</v>
      </c>
      <c r="AA606">
        <v>0</v>
      </c>
      <c r="AB606">
        <v>0</v>
      </c>
      <c r="AC606">
        <v>0</v>
      </c>
      <c r="AD606">
        <v>0</v>
      </c>
      <c r="AE606">
        <v>0</v>
      </c>
      <c r="AF606">
        <v>0</v>
      </c>
      <c r="AG606">
        <v>0</v>
      </c>
      <c r="AH606">
        <v>0</v>
      </c>
      <c r="AI606">
        <v>0</v>
      </c>
      <c r="AJ606">
        <v>0</v>
      </c>
      <c r="AK606">
        <v>0</v>
      </c>
      <c r="AL606">
        <v>0</v>
      </c>
      <c r="AM606">
        <v>0</v>
      </c>
      <c r="AN606">
        <v>0</v>
      </c>
    </row>
    <row r="607" spans="25:40" x14ac:dyDescent="0.3">
      <c r="Y607">
        <v>0</v>
      </c>
      <c r="Z607">
        <v>0</v>
      </c>
      <c r="AA607">
        <v>0</v>
      </c>
      <c r="AB607">
        <v>0</v>
      </c>
      <c r="AC607">
        <v>0</v>
      </c>
      <c r="AD607">
        <v>0</v>
      </c>
      <c r="AE607">
        <v>0</v>
      </c>
      <c r="AF607">
        <v>0</v>
      </c>
      <c r="AG607">
        <v>0</v>
      </c>
      <c r="AH607">
        <v>0</v>
      </c>
      <c r="AI607">
        <v>0</v>
      </c>
      <c r="AJ607">
        <v>0</v>
      </c>
      <c r="AK607">
        <v>0</v>
      </c>
      <c r="AL607">
        <v>0</v>
      </c>
      <c r="AM607">
        <v>0</v>
      </c>
      <c r="AN607">
        <v>0</v>
      </c>
    </row>
    <row r="608" spans="25:40" x14ac:dyDescent="0.3">
      <c r="Y608">
        <v>139</v>
      </c>
      <c r="Z608">
        <v>0</v>
      </c>
      <c r="AA608">
        <v>0</v>
      </c>
      <c r="AB608">
        <v>0</v>
      </c>
      <c r="AC608">
        <v>0</v>
      </c>
      <c r="AD608">
        <v>0</v>
      </c>
      <c r="AE608">
        <v>0</v>
      </c>
      <c r="AF608">
        <v>0</v>
      </c>
      <c r="AG608">
        <v>0</v>
      </c>
      <c r="AH608">
        <v>0</v>
      </c>
      <c r="AI608">
        <v>0</v>
      </c>
      <c r="AJ608">
        <v>0</v>
      </c>
      <c r="AK608">
        <v>0</v>
      </c>
      <c r="AL608">
        <v>0</v>
      </c>
      <c r="AM608">
        <v>0</v>
      </c>
      <c r="AN608">
        <v>139</v>
      </c>
    </row>
    <row r="609" spans="25:40" x14ac:dyDescent="0.3">
      <c r="Y609">
        <v>153</v>
      </c>
      <c r="Z609">
        <v>0</v>
      </c>
      <c r="AA609">
        <v>0</v>
      </c>
      <c r="AB609">
        <v>0</v>
      </c>
      <c r="AC609">
        <v>0</v>
      </c>
      <c r="AD609">
        <v>0</v>
      </c>
      <c r="AE609">
        <v>0</v>
      </c>
      <c r="AF609">
        <v>0</v>
      </c>
      <c r="AG609">
        <v>0</v>
      </c>
      <c r="AH609">
        <v>0</v>
      </c>
      <c r="AI609">
        <v>0</v>
      </c>
      <c r="AJ609">
        <v>0</v>
      </c>
      <c r="AK609">
        <v>0</v>
      </c>
      <c r="AL609">
        <v>0</v>
      </c>
      <c r="AM609">
        <v>0</v>
      </c>
      <c r="AN609">
        <v>0</v>
      </c>
    </row>
    <row r="610" spans="25:40" x14ac:dyDescent="0.3">
      <c r="Y610">
        <v>164</v>
      </c>
      <c r="Z610">
        <v>0</v>
      </c>
      <c r="AA610">
        <v>0</v>
      </c>
      <c r="AB610">
        <v>0</v>
      </c>
      <c r="AC610">
        <v>0</v>
      </c>
      <c r="AD610">
        <v>0</v>
      </c>
      <c r="AE610">
        <v>0</v>
      </c>
      <c r="AF610">
        <v>0</v>
      </c>
      <c r="AG610">
        <v>0</v>
      </c>
      <c r="AH610">
        <v>0</v>
      </c>
      <c r="AI610">
        <v>0</v>
      </c>
      <c r="AJ610">
        <v>0</v>
      </c>
      <c r="AK610">
        <v>0</v>
      </c>
      <c r="AL610">
        <v>0</v>
      </c>
      <c r="AM610">
        <v>164</v>
      </c>
      <c r="AN610">
        <v>0</v>
      </c>
    </row>
    <row r="611" spans="25:40" x14ac:dyDescent="0.3">
      <c r="Y611">
        <v>270</v>
      </c>
      <c r="Z611">
        <v>0</v>
      </c>
      <c r="AA611">
        <v>0</v>
      </c>
      <c r="AB611">
        <v>0</v>
      </c>
      <c r="AC611">
        <v>0</v>
      </c>
      <c r="AD611">
        <v>0</v>
      </c>
      <c r="AE611">
        <v>0</v>
      </c>
      <c r="AF611">
        <v>0</v>
      </c>
      <c r="AG611">
        <v>0</v>
      </c>
      <c r="AH611">
        <v>0</v>
      </c>
      <c r="AI611">
        <v>0</v>
      </c>
      <c r="AJ611">
        <v>0</v>
      </c>
      <c r="AK611">
        <v>270</v>
      </c>
      <c r="AL611">
        <v>0</v>
      </c>
      <c r="AM611">
        <v>0</v>
      </c>
      <c r="AN611">
        <v>0</v>
      </c>
    </row>
    <row r="612" spans="25:40" x14ac:dyDescent="0.3">
      <c r="Y612">
        <v>194</v>
      </c>
      <c r="Z612">
        <v>0</v>
      </c>
      <c r="AA612">
        <v>0</v>
      </c>
      <c r="AB612">
        <v>0</v>
      </c>
      <c r="AC612">
        <v>0</v>
      </c>
      <c r="AD612">
        <v>0</v>
      </c>
      <c r="AE612">
        <v>0</v>
      </c>
      <c r="AF612">
        <v>0</v>
      </c>
      <c r="AG612">
        <v>0</v>
      </c>
      <c r="AH612">
        <v>0</v>
      </c>
      <c r="AI612">
        <v>0</v>
      </c>
      <c r="AJ612">
        <v>194</v>
      </c>
      <c r="AK612">
        <v>0</v>
      </c>
      <c r="AL612">
        <v>0</v>
      </c>
      <c r="AM612">
        <v>0</v>
      </c>
      <c r="AN612">
        <v>0</v>
      </c>
    </row>
    <row r="613" spans="25:40" x14ac:dyDescent="0.3">
      <c r="Y613">
        <v>277</v>
      </c>
      <c r="Z613">
        <v>0</v>
      </c>
      <c r="AA613">
        <v>0</v>
      </c>
      <c r="AB613">
        <v>0</v>
      </c>
      <c r="AC613">
        <v>0</v>
      </c>
      <c r="AD613">
        <v>0</v>
      </c>
      <c r="AE613">
        <v>0</v>
      </c>
      <c r="AF613">
        <v>0</v>
      </c>
      <c r="AG613">
        <v>0</v>
      </c>
      <c r="AH613">
        <v>0</v>
      </c>
      <c r="AI613">
        <v>0</v>
      </c>
      <c r="AJ613">
        <v>277</v>
      </c>
      <c r="AK613">
        <v>0</v>
      </c>
      <c r="AL613">
        <v>0</v>
      </c>
      <c r="AM613">
        <v>0</v>
      </c>
      <c r="AN613">
        <v>0</v>
      </c>
    </row>
    <row r="614" spans="25:40" x14ac:dyDescent="0.3">
      <c r="Y614">
        <v>161</v>
      </c>
      <c r="Z614">
        <v>0</v>
      </c>
      <c r="AA614">
        <v>0</v>
      </c>
      <c r="AB614">
        <v>0</v>
      </c>
      <c r="AC614">
        <v>0</v>
      </c>
      <c r="AD614">
        <v>0</v>
      </c>
      <c r="AE614">
        <v>0</v>
      </c>
      <c r="AF614">
        <v>0</v>
      </c>
      <c r="AG614">
        <v>0</v>
      </c>
      <c r="AH614">
        <v>0</v>
      </c>
      <c r="AI614">
        <v>161</v>
      </c>
      <c r="AJ614">
        <v>0</v>
      </c>
      <c r="AK614">
        <v>0</v>
      </c>
      <c r="AL614">
        <v>0</v>
      </c>
      <c r="AM614">
        <v>0</v>
      </c>
      <c r="AN614">
        <v>0</v>
      </c>
    </row>
    <row r="615" spans="25:40" x14ac:dyDescent="0.3">
      <c r="Y615">
        <v>190</v>
      </c>
      <c r="Z615">
        <v>0</v>
      </c>
      <c r="AA615">
        <v>0</v>
      </c>
      <c r="AB615">
        <v>0</v>
      </c>
      <c r="AC615">
        <v>0</v>
      </c>
      <c r="AD615">
        <v>0</v>
      </c>
      <c r="AE615">
        <v>0</v>
      </c>
      <c r="AF615">
        <v>0</v>
      </c>
      <c r="AG615">
        <v>0</v>
      </c>
      <c r="AH615">
        <v>0</v>
      </c>
      <c r="AI615">
        <v>0</v>
      </c>
      <c r="AJ615">
        <v>0</v>
      </c>
      <c r="AK615">
        <v>0</v>
      </c>
      <c r="AL615">
        <v>0</v>
      </c>
      <c r="AM615">
        <v>0</v>
      </c>
      <c r="AN615">
        <v>0</v>
      </c>
    </row>
    <row r="616" spans="25:40" x14ac:dyDescent="0.3">
      <c r="Y616">
        <v>0</v>
      </c>
      <c r="Z616">
        <v>0</v>
      </c>
      <c r="AA616">
        <v>0</v>
      </c>
      <c r="AB616">
        <v>0</v>
      </c>
      <c r="AC616">
        <v>0</v>
      </c>
      <c r="AD616">
        <v>0</v>
      </c>
      <c r="AE616">
        <v>0</v>
      </c>
      <c r="AF616">
        <v>0</v>
      </c>
      <c r="AG616">
        <v>0</v>
      </c>
      <c r="AH616">
        <v>0</v>
      </c>
      <c r="AI616">
        <v>0</v>
      </c>
      <c r="AJ616">
        <v>0</v>
      </c>
      <c r="AK616">
        <v>0</v>
      </c>
      <c r="AL616">
        <v>0</v>
      </c>
      <c r="AM616">
        <v>0</v>
      </c>
      <c r="AN616">
        <v>0</v>
      </c>
    </row>
    <row r="617" spans="25:40" x14ac:dyDescent="0.3">
      <c r="Y617">
        <v>112</v>
      </c>
      <c r="Z617">
        <v>0</v>
      </c>
      <c r="AA617">
        <v>0</v>
      </c>
      <c r="AB617">
        <v>0</v>
      </c>
      <c r="AC617">
        <v>0</v>
      </c>
      <c r="AD617">
        <v>0</v>
      </c>
      <c r="AE617">
        <v>0</v>
      </c>
      <c r="AF617">
        <v>0</v>
      </c>
      <c r="AG617">
        <v>0</v>
      </c>
      <c r="AH617">
        <v>0</v>
      </c>
      <c r="AI617">
        <v>0</v>
      </c>
      <c r="AJ617">
        <v>0</v>
      </c>
      <c r="AK617">
        <v>0</v>
      </c>
      <c r="AL617">
        <v>0</v>
      </c>
      <c r="AM617">
        <v>112</v>
      </c>
      <c r="AN617">
        <v>0</v>
      </c>
    </row>
    <row r="618" spans="25:40" x14ac:dyDescent="0.3">
      <c r="Y618">
        <v>0</v>
      </c>
      <c r="Z618">
        <v>0</v>
      </c>
      <c r="AA618">
        <v>0</v>
      </c>
      <c r="AB618">
        <v>0</v>
      </c>
      <c r="AC618">
        <v>0</v>
      </c>
      <c r="AD618">
        <v>0</v>
      </c>
      <c r="AE618">
        <v>0</v>
      </c>
      <c r="AF618">
        <v>0</v>
      </c>
      <c r="AG618">
        <v>0</v>
      </c>
      <c r="AH618">
        <v>0</v>
      </c>
      <c r="AI618">
        <v>0</v>
      </c>
      <c r="AJ618">
        <v>0</v>
      </c>
      <c r="AK618">
        <v>0</v>
      </c>
      <c r="AL618">
        <v>0</v>
      </c>
      <c r="AM618">
        <v>0</v>
      </c>
      <c r="AN618">
        <v>0</v>
      </c>
    </row>
    <row r="619" spans="25:40" x14ac:dyDescent="0.3">
      <c r="Y619">
        <v>0</v>
      </c>
      <c r="Z619">
        <v>0</v>
      </c>
      <c r="AA619">
        <v>0</v>
      </c>
      <c r="AB619">
        <v>0</v>
      </c>
      <c r="AC619">
        <v>0</v>
      </c>
      <c r="AD619">
        <v>0</v>
      </c>
      <c r="AE619">
        <v>0</v>
      </c>
      <c r="AF619">
        <v>0</v>
      </c>
      <c r="AG619">
        <v>0</v>
      </c>
      <c r="AH619">
        <v>0</v>
      </c>
      <c r="AI619">
        <v>0</v>
      </c>
      <c r="AJ619">
        <v>0</v>
      </c>
      <c r="AK619">
        <v>0</v>
      </c>
      <c r="AL619">
        <v>0</v>
      </c>
      <c r="AM619">
        <v>0</v>
      </c>
      <c r="AN619">
        <v>0</v>
      </c>
    </row>
    <row r="620" spans="25:40" x14ac:dyDescent="0.3">
      <c r="Y620">
        <v>148</v>
      </c>
      <c r="Z620">
        <v>0</v>
      </c>
      <c r="AA620">
        <v>0</v>
      </c>
      <c r="AB620">
        <v>0</v>
      </c>
      <c r="AC620">
        <v>0</v>
      </c>
      <c r="AD620">
        <v>0</v>
      </c>
      <c r="AE620">
        <v>0</v>
      </c>
      <c r="AF620">
        <v>0</v>
      </c>
      <c r="AG620">
        <v>0</v>
      </c>
      <c r="AH620">
        <v>0</v>
      </c>
      <c r="AI620">
        <v>0</v>
      </c>
      <c r="AJ620">
        <v>148</v>
      </c>
      <c r="AK620">
        <v>0</v>
      </c>
      <c r="AL620">
        <v>0</v>
      </c>
      <c r="AM620">
        <v>0</v>
      </c>
      <c r="AN620">
        <v>0</v>
      </c>
    </row>
    <row r="621" spans="25:40" x14ac:dyDescent="0.3">
      <c r="Y621">
        <v>247</v>
      </c>
      <c r="Z621">
        <v>0</v>
      </c>
      <c r="AA621">
        <v>0</v>
      </c>
      <c r="AB621">
        <v>0</v>
      </c>
      <c r="AC621">
        <v>0</v>
      </c>
      <c r="AD621">
        <v>0</v>
      </c>
      <c r="AE621">
        <v>0</v>
      </c>
      <c r="AF621">
        <v>0</v>
      </c>
      <c r="AG621">
        <v>0</v>
      </c>
      <c r="AH621">
        <v>0</v>
      </c>
      <c r="AI621">
        <v>0</v>
      </c>
      <c r="AJ621">
        <v>0</v>
      </c>
      <c r="AK621">
        <v>0</v>
      </c>
      <c r="AL621">
        <v>0</v>
      </c>
      <c r="AM621">
        <v>0</v>
      </c>
      <c r="AN621">
        <v>247</v>
      </c>
    </row>
    <row r="622" spans="25:40" x14ac:dyDescent="0.3">
      <c r="Y622">
        <v>201</v>
      </c>
      <c r="Z622">
        <v>0</v>
      </c>
      <c r="AA622">
        <v>0</v>
      </c>
      <c r="AB622">
        <v>0</v>
      </c>
      <c r="AC622">
        <v>0</v>
      </c>
      <c r="AD622">
        <v>0</v>
      </c>
      <c r="AE622">
        <v>0</v>
      </c>
      <c r="AF622">
        <v>0</v>
      </c>
      <c r="AG622">
        <v>0</v>
      </c>
      <c r="AH622">
        <v>0</v>
      </c>
      <c r="AI622">
        <v>0</v>
      </c>
      <c r="AJ622">
        <v>0</v>
      </c>
      <c r="AK622">
        <v>0</v>
      </c>
      <c r="AL622">
        <v>0</v>
      </c>
      <c r="AM622">
        <v>0</v>
      </c>
      <c r="AN622">
        <v>0</v>
      </c>
    </row>
    <row r="623" spans="25:40" x14ac:dyDescent="0.3">
      <c r="Y623">
        <v>139</v>
      </c>
      <c r="Z623">
        <v>0</v>
      </c>
      <c r="AA623">
        <v>0</v>
      </c>
      <c r="AB623">
        <v>0</v>
      </c>
      <c r="AC623">
        <v>0</v>
      </c>
      <c r="AD623">
        <v>0</v>
      </c>
      <c r="AE623">
        <v>0</v>
      </c>
      <c r="AF623">
        <v>0</v>
      </c>
      <c r="AG623">
        <v>0</v>
      </c>
      <c r="AH623">
        <v>0</v>
      </c>
      <c r="AI623">
        <v>0</v>
      </c>
      <c r="AJ623">
        <v>0</v>
      </c>
      <c r="AK623">
        <v>0</v>
      </c>
      <c r="AL623">
        <v>0</v>
      </c>
      <c r="AM623">
        <v>139</v>
      </c>
      <c r="AN623">
        <v>0</v>
      </c>
    </row>
    <row r="624" spans="25:40" x14ac:dyDescent="0.3">
      <c r="Y624">
        <v>237</v>
      </c>
      <c r="Z624">
        <v>0</v>
      </c>
      <c r="AA624">
        <v>0</v>
      </c>
      <c r="AB624">
        <v>0</v>
      </c>
      <c r="AC624">
        <v>0</v>
      </c>
      <c r="AD624">
        <v>0</v>
      </c>
      <c r="AE624">
        <v>0</v>
      </c>
      <c r="AF624">
        <v>0</v>
      </c>
      <c r="AG624">
        <v>0</v>
      </c>
      <c r="AH624">
        <v>0</v>
      </c>
      <c r="AI624">
        <v>0</v>
      </c>
      <c r="AJ624">
        <v>0</v>
      </c>
      <c r="AK624">
        <v>0</v>
      </c>
      <c r="AL624">
        <v>0</v>
      </c>
      <c r="AM624">
        <v>0</v>
      </c>
      <c r="AN624">
        <v>0</v>
      </c>
    </row>
    <row r="625" spans="25:40" x14ac:dyDescent="0.3">
      <c r="Y625">
        <v>0</v>
      </c>
      <c r="Z625">
        <v>0</v>
      </c>
      <c r="AA625">
        <v>0</v>
      </c>
      <c r="AB625">
        <v>0</v>
      </c>
      <c r="AC625">
        <v>0</v>
      </c>
      <c r="AD625">
        <v>0</v>
      </c>
      <c r="AE625">
        <v>0</v>
      </c>
      <c r="AF625">
        <v>0</v>
      </c>
      <c r="AG625">
        <v>0</v>
      </c>
      <c r="AH625">
        <v>0</v>
      </c>
      <c r="AI625">
        <v>0</v>
      </c>
      <c r="AJ625">
        <v>0</v>
      </c>
      <c r="AK625">
        <v>0</v>
      </c>
      <c r="AL625">
        <v>0</v>
      </c>
      <c r="AM625">
        <v>0</v>
      </c>
      <c r="AN625">
        <v>0</v>
      </c>
    </row>
    <row r="626" spans="25:40" x14ac:dyDescent="0.3">
      <c r="Y626">
        <v>239</v>
      </c>
      <c r="Z626">
        <v>0</v>
      </c>
      <c r="AA626">
        <v>0</v>
      </c>
      <c r="AB626">
        <v>0</v>
      </c>
      <c r="AC626">
        <v>0</v>
      </c>
      <c r="AD626">
        <v>0</v>
      </c>
      <c r="AE626">
        <v>0</v>
      </c>
      <c r="AF626">
        <v>0</v>
      </c>
      <c r="AG626">
        <v>0</v>
      </c>
      <c r="AH626">
        <v>0</v>
      </c>
      <c r="AI626">
        <v>0</v>
      </c>
      <c r="AJ626">
        <v>0</v>
      </c>
      <c r="AK626">
        <v>0</v>
      </c>
      <c r="AL626">
        <v>239</v>
      </c>
      <c r="AM626">
        <v>0</v>
      </c>
      <c r="AN626">
        <v>0</v>
      </c>
    </row>
    <row r="627" spans="25:40" x14ac:dyDescent="0.3">
      <c r="Y627">
        <v>211</v>
      </c>
      <c r="Z627">
        <v>0</v>
      </c>
      <c r="AA627">
        <v>0</v>
      </c>
      <c r="AB627">
        <v>0</v>
      </c>
      <c r="AC627">
        <v>0</v>
      </c>
      <c r="AD627">
        <v>0</v>
      </c>
      <c r="AE627">
        <v>0</v>
      </c>
      <c r="AF627">
        <v>0</v>
      </c>
      <c r="AG627">
        <v>0</v>
      </c>
      <c r="AH627">
        <v>0</v>
      </c>
      <c r="AI627">
        <v>0</v>
      </c>
      <c r="AJ627">
        <v>0</v>
      </c>
      <c r="AK627">
        <v>0</v>
      </c>
      <c r="AL627">
        <v>0</v>
      </c>
      <c r="AM627">
        <v>0</v>
      </c>
      <c r="AN627">
        <v>0</v>
      </c>
    </row>
    <row r="628" spans="25:40" x14ac:dyDescent="0.3">
      <c r="Y628">
        <v>314</v>
      </c>
      <c r="Z628">
        <v>0</v>
      </c>
      <c r="AA628">
        <v>0</v>
      </c>
      <c r="AB628">
        <v>0</v>
      </c>
      <c r="AC628">
        <v>0</v>
      </c>
      <c r="AD628">
        <v>0</v>
      </c>
      <c r="AE628">
        <v>0</v>
      </c>
      <c r="AF628">
        <v>0</v>
      </c>
      <c r="AG628">
        <v>0</v>
      </c>
      <c r="AH628">
        <v>0</v>
      </c>
      <c r="AI628">
        <v>0</v>
      </c>
      <c r="AJ628">
        <v>0</v>
      </c>
      <c r="AK628">
        <v>0</v>
      </c>
      <c r="AL628">
        <v>0</v>
      </c>
      <c r="AM628">
        <v>0</v>
      </c>
      <c r="AN628">
        <v>0</v>
      </c>
    </row>
    <row r="629" spans="25:40" x14ac:dyDescent="0.3">
      <c r="Y629">
        <v>0</v>
      </c>
      <c r="Z629">
        <v>0</v>
      </c>
      <c r="AA629">
        <v>0</v>
      </c>
      <c r="AB629">
        <v>0</v>
      </c>
      <c r="AC629">
        <v>0</v>
      </c>
      <c r="AD629">
        <v>0</v>
      </c>
      <c r="AE629">
        <v>0</v>
      </c>
      <c r="AF629">
        <v>0</v>
      </c>
      <c r="AG629">
        <v>0</v>
      </c>
      <c r="AH629">
        <v>0</v>
      </c>
      <c r="AI629">
        <v>0</v>
      </c>
      <c r="AJ629">
        <v>0</v>
      </c>
      <c r="AK629">
        <v>0</v>
      </c>
      <c r="AL629">
        <v>0</v>
      </c>
      <c r="AM629">
        <v>0</v>
      </c>
      <c r="AN629">
        <v>0</v>
      </c>
    </row>
    <row r="630" spans="25:40" x14ac:dyDescent="0.3">
      <c r="Y630">
        <v>0</v>
      </c>
      <c r="Z630">
        <v>0</v>
      </c>
      <c r="AA630">
        <v>0</v>
      </c>
      <c r="AB630">
        <v>0</v>
      </c>
      <c r="AC630">
        <v>0</v>
      </c>
      <c r="AD630">
        <v>0</v>
      </c>
      <c r="AE630">
        <v>0</v>
      </c>
      <c r="AF630">
        <v>0</v>
      </c>
      <c r="AG630">
        <v>0</v>
      </c>
      <c r="AH630">
        <v>0</v>
      </c>
      <c r="AI630">
        <v>0</v>
      </c>
      <c r="AJ630">
        <v>0</v>
      </c>
      <c r="AK630">
        <v>0</v>
      </c>
      <c r="AL630">
        <v>0</v>
      </c>
      <c r="AM630">
        <v>0</v>
      </c>
      <c r="AN630">
        <v>0</v>
      </c>
    </row>
    <row r="631" spans="25:40" x14ac:dyDescent="0.3">
      <c r="Y631">
        <v>252</v>
      </c>
      <c r="Z631">
        <v>0</v>
      </c>
      <c r="AA631">
        <v>0</v>
      </c>
      <c r="AB631">
        <v>0</v>
      </c>
      <c r="AC631">
        <v>0</v>
      </c>
      <c r="AD631">
        <v>0</v>
      </c>
      <c r="AE631">
        <v>0</v>
      </c>
      <c r="AF631">
        <v>0</v>
      </c>
      <c r="AG631">
        <v>0</v>
      </c>
      <c r="AH631">
        <v>0</v>
      </c>
      <c r="AI631">
        <v>0</v>
      </c>
      <c r="AJ631">
        <v>0</v>
      </c>
      <c r="AK631">
        <v>0</v>
      </c>
      <c r="AL631">
        <v>0</v>
      </c>
      <c r="AM631">
        <v>0</v>
      </c>
      <c r="AN631">
        <v>0</v>
      </c>
    </row>
    <row r="632" spans="25:40" x14ac:dyDescent="0.3">
      <c r="Y632">
        <v>120</v>
      </c>
      <c r="Z632">
        <v>0</v>
      </c>
      <c r="AA632">
        <v>0</v>
      </c>
      <c r="AB632">
        <v>0</v>
      </c>
      <c r="AC632">
        <v>0</v>
      </c>
      <c r="AD632">
        <v>0</v>
      </c>
      <c r="AE632">
        <v>0</v>
      </c>
      <c r="AF632">
        <v>0</v>
      </c>
      <c r="AG632">
        <v>0</v>
      </c>
      <c r="AH632">
        <v>0</v>
      </c>
      <c r="AI632">
        <v>0</v>
      </c>
      <c r="AJ632">
        <v>0</v>
      </c>
      <c r="AK632">
        <v>120</v>
      </c>
      <c r="AL632">
        <v>0</v>
      </c>
      <c r="AM632">
        <v>0</v>
      </c>
      <c r="AN632">
        <v>0</v>
      </c>
    </row>
    <row r="633" spans="25:40" x14ac:dyDescent="0.3">
      <c r="Y633">
        <v>92</v>
      </c>
      <c r="Z633">
        <v>0</v>
      </c>
      <c r="AA633">
        <v>0</v>
      </c>
      <c r="AB633">
        <v>0</v>
      </c>
      <c r="AC633">
        <v>0</v>
      </c>
      <c r="AD633">
        <v>0</v>
      </c>
      <c r="AE633">
        <v>0</v>
      </c>
      <c r="AF633">
        <v>0</v>
      </c>
      <c r="AG633">
        <v>0</v>
      </c>
      <c r="AH633">
        <v>0</v>
      </c>
      <c r="AI633">
        <v>0</v>
      </c>
      <c r="AJ633">
        <v>92</v>
      </c>
      <c r="AK633">
        <v>0</v>
      </c>
      <c r="AL633">
        <v>0</v>
      </c>
      <c r="AM633">
        <v>0</v>
      </c>
      <c r="AN633">
        <v>0</v>
      </c>
    </row>
    <row r="634" spans="25:40" x14ac:dyDescent="0.3">
      <c r="Y634">
        <v>223</v>
      </c>
      <c r="Z634">
        <v>0</v>
      </c>
      <c r="AA634">
        <v>0</v>
      </c>
      <c r="AB634">
        <v>0</v>
      </c>
      <c r="AC634">
        <v>0</v>
      </c>
      <c r="AD634">
        <v>0</v>
      </c>
      <c r="AE634">
        <v>0</v>
      </c>
      <c r="AF634">
        <v>0</v>
      </c>
      <c r="AG634">
        <v>0</v>
      </c>
      <c r="AH634">
        <v>0</v>
      </c>
      <c r="AI634">
        <v>0</v>
      </c>
      <c r="AJ634">
        <v>0</v>
      </c>
      <c r="AK634">
        <v>0</v>
      </c>
      <c r="AL634">
        <v>0</v>
      </c>
      <c r="AM634">
        <v>0</v>
      </c>
      <c r="AN634">
        <v>0</v>
      </c>
    </row>
    <row r="635" spans="25:40" x14ac:dyDescent="0.3">
      <c r="Y635">
        <v>622</v>
      </c>
      <c r="Z635">
        <v>0</v>
      </c>
      <c r="AA635">
        <v>0</v>
      </c>
      <c r="AB635">
        <v>0</v>
      </c>
      <c r="AC635">
        <v>0</v>
      </c>
      <c r="AD635">
        <v>0</v>
      </c>
      <c r="AE635">
        <v>0</v>
      </c>
      <c r="AF635">
        <v>0</v>
      </c>
      <c r="AG635">
        <v>0</v>
      </c>
      <c r="AH635">
        <v>0</v>
      </c>
      <c r="AI635">
        <v>0</v>
      </c>
      <c r="AJ635">
        <v>0</v>
      </c>
      <c r="AK635">
        <v>0</v>
      </c>
      <c r="AL635">
        <v>0</v>
      </c>
      <c r="AM635">
        <v>0</v>
      </c>
      <c r="AN635">
        <v>622</v>
      </c>
    </row>
    <row r="636" spans="25:40" x14ac:dyDescent="0.3">
      <c r="Y636">
        <v>180</v>
      </c>
      <c r="Z636">
        <v>0</v>
      </c>
      <c r="AA636">
        <v>0</v>
      </c>
      <c r="AB636">
        <v>0</v>
      </c>
      <c r="AC636">
        <v>0</v>
      </c>
      <c r="AD636">
        <v>0</v>
      </c>
      <c r="AE636">
        <v>0</v>
      </c>
      <c r="AF636">
        <v>0</v>
      </c>
      <c r="AG636">
        <v>0</v>
      </c>
      <c r="AH636">
        <v>0</v>
      </c>
      <c r="AI636">
        <v>0</v>
      </c>
      <c r="AJ636">
        <v>0</v>
      </c>
      <c r="AK636">
        <v>0</v>
      </c>
      <c r="AL636">
        <v>180</v>
      </c>
      <c r="AM636">
        <v>0</v>
      </c>
      <c r="AN636">
        <v>0</v>
      </c>
    </row>
    <row r="637" spans="25:40" x14ac:dyDescent="0.3">
      <c r="Y637">
        <v>0</v>
      </c>
      <c r="Z637">
        <v>0</v>
      </c>
      <c r="AA637">
        <v>0</v>
      </c>
      <c r="AB637">
        <v>0</v>
      </c>
      <c r="AC637">
        <v>0</v>
      </c>
      <c r="AD637">
        <v>0</v>
      </c>
      <c r="AE637">
        <v>0</v>
      </c>
      <c r="AF637">
        <v>0</v>
      </c>
      <c r="AG637">
        <v>0</v>
      </c>
      <c r="AH637">
        <v>0</v>
      </c>
      <c r="AI637">
        <v>0</v>
      </c>
      <c r="AJ637">
        <v>0</v>
      </c>
      <c r="AK637">
        <v>0</v>
      </c>
      <c r="AL637">
        <v>0</v>
      </c>
      <c r="AM637">
        <v>0</v>
      </c>
      <c r="AN637">
        <v>0</v>
      </c>
    </row>
    <row r="638" spans="25:40" x14ac:dyDescent="0.3">
      <c r="Y638">
        <v>0</v>
      </c>
      <c r="Z638">
        <v>0</v>
      </c>
      <c r="AA638">
        <v>0</v>
      </c>
      <c r="AB638">
        <v>0</v>
      </c>
      <c r="AC638">
        <v>0</v>
      </c>
      <c r="AD638">
        <v>0</v>
      </c>
      <c r="AE638">
        <v>0</v>
      </c>
      <c r="AF638">
        <v>0</v>
      </c>
      <c r="AG638">
        <v>0</v>
      </c>
      <c r="AH638">
        <v>0</v>
      </c>
      <c r="AI638">
        <v>0</v>
      </c>
      <c r="AJ638">
        <v>0</v>
      </c>
      <c r="AK638">
        <v>0</v>
      </c>
      <c r="AL638">
        <v>0</v>
      </c>
      <c r="AM638">
        <v>0</v>
      </c>
      <c r="AN638">
        <v>0</v>
      </c>
    </row>
    <row r="639" spans="25:40" x14ac:dyDescent="0.3">
      <c r="Y639">
        <v>0</v>
      </c>
      <c r="Z639">
        <v>0</v>
      </c>
      <c r="AA639">
        <v>0</v>
      </c>
      <c r="AB639">
        <v>0</v>
      </c>
      <c r="AC639">
        <v>0</v>
      </c>
      <c r="AD639">
        <v>0</v>
      </c>
      <c r="AE639">
        <v>0</v>
      </c>
      <c r="AF639">
        <v>0</v>
      </c>
      <c r="AG639">
        <v>0</v>
      </c>
      <c r="AH639">
        <v>0</v>
      </c>
      <c r="AI639">
        <v>0</v>
      </c>
      <c r="AJ639">
        <v>0</v>
      </c>
      <c r="AK639">
        <v>0</v>
      </c>
      <c r="AL639">
        <v>0</v>
      </c>
      <c r="AM639">
        <v>0</v>
      </c>
      <c r="AN639">
        <v>0</v>
      </c>
    </row>
    <row r="640" spans="25:40" x14ac:dyDescent="0.3">
      <c r="Y640">
        <v>0</v>
      </c>
      <c r="Z640">
        <v>0</v>
      </c>
      <c r="AA640">
        <v>0</v>
      </c>
      <c r="AB640">
        <v>0</v>
      </c>
      <c r="AC640">
        <v>0</v>
      </c>
      <c r="AD640">
        <v>0</v>
      </c>
      <c r="AE640">
        <v>0</v>
      </c>
      <c r="AF640">
        <v>0</v>
      </c>
      <c r="AG640">
        <v>0</v>
      </c>
      <c r="AH640">
        <v>0</v>
      </c>
      <c r="AI640">
        <v>0</v>
      </c>
      <c r="AJ640">
        <v>0</v>
      </c>
      <c r="AK640">
        <v>0</v>
      </c>
      <c r="AL640">
        <v>0</v>
      </c>
      <c r="AM640">
        <v>0</v>
      </c>
      <c r="AN640">
        <v>0</v>
      </c>
    </row>
    <row r="641" spans="25:40" x14ac:dyDescent="0.3">
      <c r="Y641">
        <v>123</v>
      </c>
      <c r="Z641">
        <v>0</v>
      </c>
      <c r="AA641">
        <v>0</v>
      </c>
      <c r="AB641">
        <v>0</v>
      </c>
      <c r="AC641">
        <v>0</v>
      </c>
      <c r="AD641">
        <v>0</v>
      </c>
      <c r="AE641">
        <v>0</v>
      </c>
      <c r="AF641">
        <v>0</v>
      </c>
      <c r="AG641">
        <v>0</v>
      </c>
      <c r="AH641">
        <v>0</v>
      </c>
      <c r="AI641">
        <v>0</v>
      </c>
      <c r="AJ641">
        <v>0</v>
      </c>
      <c r="AK641">
        <v>123</v>
      </c>
      <c r="AL641">
        <v>0</v>
      </c>
      <c r="AM641">
        <v>0</v>
      </c>
      <c r="AN641">
        <v>0</v>
      </c>
    </row>
    <row r="642" spans="25:40" x14ac:dyDescent="0.3">
      <c r="Y642">
        <v>199</v>
      </c>
      <c r="Z642">
        <v>0</v>
      </c>
      <c r="AA642">
        <v>0</v>
      </c>
      <c r="AB642">
        <v>0</v>
      </c>
      <c r="AC642">
        <v>0</v>
      </c>
      <c r="AD642">
        <v>0</v>
      </c>
      <c r="AE642">
        <v>0</v>
      </c>
      <c r="AF642">
        <v>0</v>
      </c>
      <c r="AG642">
        <v>0</v>
      </c>
      <c r="AH642">
        <v>0</v>
      </c>
      <c r="AI642">
        <v>0</v>
      </c>
      <c r="AJ642">
        <v>0</v>
      </c>
      <c r="AK642">
        <v>199</v>
      </c>
      <c r="AL642">
        <v>0</v>
      </c>
      <c r="AM642">
        <v>0</v>
      </c>
      <c r="AN642">
        <v>0</v>
      </c>
    </row>
    <row r="643" spans="25:40" x14ac:dyDescent="0.3">
      <c r="Y643">
        <v>0</v>
      </c>
      <c r="Z643">
        <v>0</v>
      </c>
      <c r="AA643">
        <v>0</v>
      </c>
      <c r="AB643">
        <v>0</v>
      </c>
      <c r="AC643">
        <v>0</v>
      </c>
      <c r="AD643">
        <v>0</v>
      </c>
      <c r="AE643">
        <v>0</v>
      </c>
      <c r="AF643">
        <v>0</v>
      </c>
      <c r="AG643">
        <v>0</v>
      </c>
      <c r="AH643">
        <v>0</v>
      </c>
      <c r="AI643">
        <v>0</v>
      </c>
      <c r="AJ643">
        <v>0</v>
      </c>
      <c r="AK643">
        <v>0</v>
      </c>
      <c r="AL643">
        <v>0</v>
      </c>
      <c r="AM643">
        <v>0</v>
      </c>
      <c r="AN643">
        <v>0</v>
      </c>
    </row>
    <row r="644" spans="25:40" x14ac:dyDescent="0.3">
      <c r="Y644">
        <v>132</v>
      </c>
      <c r="Z644">
        <v>0</v>
      </c>
      <c r="AA644">
        <v>0</v>
      </c>
      <c r="AB644">
        <v>0</v>
      </c>
      <c r="AC644">
        <v>0</v>
      </c>
      <c r="AD644">
        <v>0</v>
      </c>
      <c r="AE644">
        <v>0</v>
      </c>
      <c r="AF644">
        <v>0</v>
      </c>
      <c r="AG644">
        <v>0</v>
      </c>
      <c r="AH644">
        <v>0</v>
      </c>
      <c r="AI644">
        <v>0</v>
      </c>
      <c r="AJ644">
        <v>132</v>
      </c>
      <c r="AK644">
        <v>0</v>
      </c>
      <c r="AL644">
        <v>0</v>
      </c>
      <c r="AM644">
        <v>0</v>
      </c>
      <c r="AN644">
        <v>0</v>
      </c>
    </row>
    <row r="645" spans="25:40" x14ac:dyDescent="0.3">
      <c r="Y645">
        <v>0</v>
      </c>
      <c r="Z645">
        <v>0</v>
      </c>
      <c r="AA645">
        <v>0</v>
      </c>
      <c r="AB645">
        <v>0</v>
      </c>
      <c r="AC645">
        <v>0</v>
      </c>
      <c r="AD645">
        <v>0</v>
      </c>
      <c r="AE645">
        <v>0</v>
      </c>
      <c r="AF645">
        <v>0</v>
      </c>
      <c r="AG645">
        <v>0</v>
      </c>
      <c r="AH645">
        <v>0</v>
      </c>
      <c r="AI645">
        <v>0</v>
      </c>
      <c r="AJ645">
        <v>0</v>
      </c>
      <c r="AK645">
        <v>0</v>
      </c>
      <c r="AL645">
        <v>0</v>
      </c>
      <c r="AM645">
        <v>0</v>
      </c>
      <c r="AN645">
        <v>0</v>
      </c>
    </row>
    <row r="646" spans="25:40" x14ac:dyDescent="0.3">
      <c r="Y646">
        <v>0</v>
      </c>
      <c r="Z646">
        <v>0</v>
      </c>
      <c r="AA646">
        <v>0</v>
      </c>
      <c r="AB646">
        <v>0</v>
      </c>
      <c r="AC646">
        <v>0</v>
      </c>
      <c r="AD646">
        <v>0</v>
      </c>
      <c r="AE646">
        <v>0</v>
      </c>
      <c r="AF646">
        <v>0</v>
      </c>
      <c r="AG646">
        <v>0</v>
      </c>
      <c r="AH646">
        <v>0</v>
      </c>
      <c r="AI646">
        <v>0</v>
      </c>
      <c r="AJ646">
        <v>0</v>
      </c>
      <c r="AK646">
        <v>0</v>
      </c>
      <c r="AL646">
        <v>0</v>
      </c>
      <c r="AM646">
        <v>0</v>
      </c>
      <c r="AN646">
        <v>0</v>
      </c>
    </row>
    <row r="647" spans="25:40" x14ac:dyDescent="0.3">
      <c r="Y647">
        <v>254</v>
      </c>
      <c r="Z647">
        <v>0</v>
      </c>
      <c r="AA647">
        <v>0</v>
      </c>
      <c r="AB647">
        <v>0</v>
      </c>
      <c r="AC647">
        <v>0</v>
      </c>
      <c r="AD647">
        <v>0</v>
      </c>
      <c r="AE647">
        <v>0</v>
      </c>
      <c r="AF647">
        <v>0</v>
      </c>
      <c r="AG647">
        <v>0</v>
      </c>
      <c r="AH647">
        <v>0</v>
      </c>
      <c r="AI647">
        <v>0</v>
      </c>
      <c r="AJ647">
        <v>0</v>
      </c>
      <c r="AK647">
        <v>0</v>
      </c>
      <c r="AL647">
        <v>0</v>
      </c>
      <c r="AM647">
        <v>0</v>
      </c>
      <c r="AN647">
        <v>0</v>
      </c>
    </row>
    <row r="648" spans="25:40" x14ac:dyDescent="0.3">
      <c r="Y648">
        <v>111</v>
      </c>
      <c r="Z648">
        <v>0</v>
      </c>
      <c r="AA648">
        <v>0</v>
      </c>
      <c r="AB648">
        <v>0</v>
      </c>
      <c r="AC648">
        <v>0</v>
      </c>
      <c r="AD648">
        <v>0</v>
      </c>
      <c r="AE648">
        <v>0</v>
      </c>
      <c r="AF648">
        <v>0</v>
      </c>
      <c r="AG648">
        <v>0</v>
      </c>
      <c r="AH648">
        <v>0</v>
      </c>
      <c r="AI648">
        <v>0</v>
      </c>
      <c r="AJ648">
        <v>0</v>
      </c>
      <c r="AK648">
        <v>111</v>
      </c>
      <c r="AL648">
        <v>0</v>
      </c>
      <c r="AM648">
        <v>0</v>
      </c>
      <c r="AN648">
        <v>0</v>
      </c>
    </row>
    <row r="649" spans="25:40" x14ac:dyDescent="0.3">
      <c r="Y649">
        <v>0</v>
      </c>
      <c r="Z649">
        <v>0</v>
      </c>
      <c r="AA649">
        <v>0</v>
      </c>
      <c r="AB649">
        <v>0</v>
      </c>
      <c r="AC649">
        <v>0</v>
      </c>
      <c r="AD649">
        <v>0</v>
      </c>
      <c r="AE649">
        <v>0</v>
      </c>
      <c r="AF649">
        <v>0</v>
      </c>
      <c r="AG649">
        <v>0</v>
      </c>
      <c r="AH649">
        <v>0</v>
      </c>
      <c r="AI649">
        <v>0</v>
      </c>
      <c r="AJ649">
        <v>0</v>
      </c>
      <c r="AK649">
        <v>0</v>
      </c>
      <c r="AL649">
        <v>0</v>
      </c>
      <c r="AM649">
        <v>0</v>
      </c>
      <c r="AN649">
        <v>0</v>
      </c>
    </row>
    <row r="650" spans="25:40" x14ac:dyDescent="0.3">
      <c r="Y650">
        <v>202</v>
      </c>
      <c r="Z650">
        <v>0</v>
      </c>
      <c r="AA650">
        <v>0</v>
      </c>
      <c r="AB650">
        <v>0</v>
      </c>
      <c r="AC650">
        <v>0</v>
      </c>
      <c r="AD650">
        <v>0</v>
      </c>
      <c r="AE650">
        <v>0</v>
      </c>
      <c r="AF650">
        <v>0</v>
      </c>
      <c r="AG650">
        <v>0</v>
      </c>
      <c r="AH650">
        <v>0</v>
      </c>
      <c r="AI650">
        <v>0</v>
      </c>
      <c r="AJ650">
        <v>0</v>
      </c>
      <c r="AK650">
        <v>0</v>
      </c>
      <c r="AL650">
        <v>0</v>
      </c>
      <c r="AM650">
        <v>202</v>
      </c>
      <c r="AN650">
        <v>0</v>
      </c>
    </row>
    <row r="651" spans="25:40" x14ac:dyDescent="0.3">
      <c r="Y651">
        <v>193</v>
      </c>
      <c r="Z651">
        <v>0</v>
      </c>
      <c r="AA651">
        <v>0</v>
      </c>
      <c r="AB651">
        <v>0</v>
      </c>
      <c r="AC651">
        <v>0</v>
      </c>
      <c r="AD651">
        <v>0</v>
      </c>
      <c r="AE651">
        <v>0</v>
      </c>
      <c r="AF651">
        <v>0</v>
      </c>
      <c r="AG651">
        <v>0</v>
      </c>
      <c r="AH651">
        <v>0</v>
      </c>
      <c r="AI651">
        <v>0</v>
      </c>
      <c r="AJ651">
        <v>0</v>
      </c>
      <c r="AK651">
        <v>0</v>
      </c>
      <c r="AL651">
        <v>0</v>
      </c>
      <c r="AM651">
        <v>193</v>
      </c>
      <c r="AN651">
        <v>0</v>
      </c>
    </row>
    <row r="652" spans="25:40" x14ac:dyDescent="0.3">
      <c r="Y652">
        <v>139</v>
      </c>
      <c r="Z652">
        <v>0</v>
      </c>
      <c r="AA652">
        <v>0</v>
      </c>
      <c r="AB652">
        <v>0</v>
      </c>
      <c r="AC652">
        <v>0</v>
      </c>
      <c r="AD652">
        <v>0</v>
      </c>
      <c r="AE652">
        <v>0</v>
      </c>
      <c r="AF652">
        <v>0</v>
      </c>
      <c r="AG652">
        <v>0</v>
      </c>
      <c r="AH652">
        <v>0</v>
      </c>
      <c r="AI652">
        <v>0</v>
      </c>
      <c r="AJ652">
        <v>0</v>
      </c>
      <c r="AK652">
        <v>0</v>
      </c>
      <c r="AL652">
        <v>0</v>
      </c>
      <c r="AM652">
        <v>139</v>
      </c>
      <c r="AN652">
        <v>0</v>
      </c>
    </row>
    <row r="653" spans="25:40" x14ac:dyDescent="0.3">
      <c r="Y653">
        <v>254</v>
      </c>
      <c r="Z653">
        <v>0</v>
      </c>
      <c r="AA653">
        <v>0</v>
      </c>
      <c r="AB653">
        <v>0</v>
      </c>
      <c r="AC653">
        <v>0</v>
      </c>
      <c r="AD653">
        <v>0</v>
      </c>
      <c r="AE653">
        <v>0</v>
      </c>
      <c r="AF653">
        <v>0</v>
      </c>
      <c r="AG653">
        <v>0</v>
      </c>
      <c r="AH653">
        <v>0</v>
      </c>
      <c r="AI653">
        <v>0</v>
      </c>
      <c r="AJ653">
        <v>0</v>
      </c>
      <c r="AK653">
        <v>0</v>
      </c>
      <c r="AL653">
        <v>0</v>
      </c>
      <c r="AM653">
        <v>0</v>
      </c>
      <c r="AN653">
        <v>254</v>
      </c>
    </row>
    <row r="654" spans="25:40" x14ac:dyDescent="0.3">
      <c r="Y654">
        <v>0</v>
      </c>
      <c r="Z654">
        <v>0</v>
      </c>
      <c r="AA654">
        <v>0</v>
      </c>
      <c r="AB654">
        <v>0</v>
      </c>
      <c r="AC654">
        <v>0</v>
      </c>
      <c r="AD654">
        <v>0</v>
      </c>
      <c r="AE654">
        <v>0</v>
      </c>
      <c r="AF654">
        <v>0</v>
      </c>
      <c r="AG654">
        <v>0</v>
      </c>
      <c r="AH654">
        <v>0</v>
      </c>
      <c r="AI654">
        <v>0</v>
      </c>
      <c r="AJ654">
        <v>0</v>
      </c>
      <c r="AK654">
        <v>0</v>
      </c>
      <c r="AL654">
        <v>0</v>
      </c>
      <c r="AM654">
        <v>0</v>
      </c>
      <c r="AN654">
        <v>0</v>
      </c>
    </row>
    <row r="655" spans="25:40" x14ac:dyDescent="0.3">
      <c r="Y655">
        <v>155</v>
      </c>
      <c r="Z655">
        <v>0</v>
      </c>
      <c r="AA655">
        <v>0</v>
      </c>
      <c r="AB655">
        <v>0</v>
      </c>
      <c r="AC655">
        <v>0</v>
      </c>
      <c r="AD655">
        <v>0</v>
      </c>
      <c r="AE655">
        <v>0</v>
      </c>
      <c r="AF655">
        <v>0</v>
      </c>
      <c r="AG655">
        <v>0</v>
      </c>
      <c r="AH655">
        <v>0</v>
      </c>
      <c r="AI655">
        <v>0</v>
      </c>
      <c r="AJ655">
        <v>0</v>
      </c>
      <c r="AK655">
        <v>0</v>
      </c>
      <c r="AL655">
        <v>155</v>
      </c>
      <c r="AM655">
        <v>0</v>
      </c>
      <c r="AN655">
        <v>0</v>
      </c>
    </row>
    <row r="656" spans="25:40" x14ac:dyDescent="0.3">
      <c r="Y656">
        <v>0</v>
      </c>
      <c r="Z656">
        <v>0</v>
      </c>
      <c r="AA656">
        <v>0</v>
      </c>
      <c r="AB656">
        <v>0</v>
      </c>
      <c r="AC656">
        <v>0</v>
      </c>
      <c r="AD656">
        <v>0</v>
      </c>
      <c r="AE656">
        <v>0</v>
      </c>
      <c r="AF656">
        <v>0</v>
      </c>
      <c r="AG656">
        <v>0</v>
      </c>
      <c r="AH656">
        <v>0</v>
      </c>
      <c r="AI656">
        <v>0</v>
      </c>
      <c r="AJ656">
        <v>0</v>
      </c>
      <c r="AK656">
        <v>0</v>
      </c>
      <c r="AL656">
        <v>0</v>
      </c>
      <c r="AM656">
        <v>0</v>
      </c>
      <c r="AN656">
        <v>0</v>
      </c>
    </row>
    <row r="657" spans="25:40" x14ac:dyDescent="0.3">
      <c r="Y657">
        <v>140</v>
      </c>
      <c r="Z657">
        <v>0</v>
      </c>
      <c r="AA657">
        <v>0</v>
      </c>
      <c r="AB657">
        <v>0</v>
      </c>
      <c r="AC657">
        <v>0</v>
      </c>
      <c r="AD657">
        <v>0</v>
      </c>
      <c r="AE657">
        <v>0</v>
      </c>
      <c r="AF657">
        <v>0</v>
      </c>
      <c r="AG657">
        <v>0</v>
      </c>
      <c r="AH657">
        <v>0</v>
      </c>
      <c r="AI657">
        <v>0</v>
      </c>
      <c r="AJ657">
        <v>0</v>
      </c>
      <c r="AK657">
        <v>0</v>
      </c>
      <c r="AL657">
        <v>140</v>
      </c>
      <c r="AM657">
        <v>0</v>
      </c>
      <c r="AN657">
        <v>0</v>
      </c>
    </row>
    <row r="658" spans="25:40" x14ac:dyDescent="0.3">
      <c r="Y658">
        <v>246</v>
      </c>
      <c r="Z658">
        <v>0</v>
      </c>
      <c r="AA658">
        <v>0</v>
      </c>
      <c r="AB658">
        <v>0</v>
      </c>
      <c r="AC658">
        <v>0</v>
      </c>
      <c r="AD658">
        <v>0</v>
      </c>
      <c r="AE658">
        <v>0</v>
      </c>
      <c r="AF658">
        <v>0</v>
      </c>
      <c r="AG658">
        <v>0</v>
      </c>
      <c r="AH658">
        <v>0</v>
      </c>
      <c r="AI658">
        <v>0</v>
      </c>
      <c r="AJ658">
        <v>0</v>
      </c>
      <c r="AK658">
        <v>0</v>
      </c>
      <c r="AL658">
        <v>0</v>
      </c>
      <c r="AM658">
        <v>0</v>
      </c>
      <c r="AN658">
        <v>0</v>
      </c>
    </row>
    <row r="659" spans="25:40" x14ac:dyDescent="0.3">
      <c r="Y659">
        <v>138</v>
      </c>
      <c r="Z659">
        <v>0</v>
      </c>
      <c r="AA659">
        <v>0</v>
      </c>
      <c r="AB659">
        <v>0</v>
      </c>
      <c r="AC659">
        <v>0</v>
      </c>
      <c r="AD659">
        <v>0</v>
      </c>
      <c r="AE659">
        <v>0</v>
      </c>
      <c r="AF659">
        <v>0</v>
      </c>
      <c r="AG659">
        <v>0</v>
      </c>
      <c r="AH659">
        <v>0</v>
      </c>
      <c r="AI659">
        <v>0</v>
      </c>
      <c r="AJ659">
        <v>0</v>
      </c>
      <c r="AK659">
        <v>0</v>
      </c>
      <c r="AL659">
        <v>0</v>
      </c>
      <c r="AM659">
        <v>138</v>
      </c>
      <c r="AN659">
        <v>0</v>
      </c>
    </row>
    <row r="660" spans="25:40" x14ac:dyDescent="0.3">
      <c r="Y660">
        <v>220</v>
      </c>
      <c r="Z660">
        <v>0</v>
      </c>
      <c r="AA660">
        <v>0</v>
      </c>
      <c r="AB660">
        <v>0</v>
      </c>
      <c r="AC660">
        <v>0</v>
      </c>
      <c r="AD660">
        <v>0</v>
      </c>
      <c r="AE660">
        <v>0</v>
      </c>
      <c r="AF660">
        <v>0</v>
      </c>
      <c r="AG660">
        <v>0</v>
      </c>
      <c r="AH660">
        <v>0</v>
      </c>
      <c r="AI660">
        <v>0</v>
      </c>
      <c r="AJ660">
        <v>0</v>
      </c>
      <c r="AK660">
        <v>0</v>
      </c>
      <c r="AL660">
        <v>0</v>
      </c>
      <c r="AM660">
        <v>0</v>
      </c>
      <c r="AN660">
        <v>0</v>
      </c>
    </row>
    <row r="661" spans="25:40" x14ac:dyDescent="0.3">
      <c r="Y661">
        <v>265</v>
      </c>
      <c r="Z661">
        <v>0</v>
      </c>
      <c r="AA661">
        <v>0</v>
      </c>
      <c r="AB661">
        <v>0</v>
      </c>
      <c r="AC661">
        <v>0</v>
      </c>
      <c r="AD661">
        <v>0</v>
      </c>
      <c r="AE661">
        <v>0</v>
      </c>
      <c r="AF661">
        <v>0</v>
      </c>
      <c r="AG661">
        <v>0</v>
      </c>
      <c r="AH661">
        <v>0</v>
      </c>
      <c r="AI661">
        <v>0</v>
      </c>
      <c r="AJ661">
        <v>0</v>
      </c>
      <c r="AK661">
        <v>0</v>
      </c>
      <c r="AL661">
        <v>0</v>
      </c>
      <c r="AM661">
        <v>0</v>
      </c>
      <c r="AN661">
        <v>0</v>
      </c>
    </row>
    <row r="662" spans="25:40" x14ac:dyDescent="0.3">
      <c r="Y662">
        <v>267</v>
      </c>
      <c r="Z662">
        <v>0</v>
      </c>
      <c r="AA662">
        <v>0</v>
      </c>
      <c r="AB662">
        <v>0</v>
      </c>
      <c r="AC662">
        <v>0</v>
      </c>
      <c r="AD662">
        <v>0</v>
      </c>
      <c r="AE662">
        <v>0</v>
      </c>
      <c r="AF662">
        <v>0</v>
      </c>
      <c r="AG662">
        <v>0</v>
      </c>
      <c r="AH662">
        <v>0</v>
      </c>
      <c r="AI662">
        <v>0</v>
      </c>
      <c r="AJ662">
        <v>0</v>
      </c>
      <c r="AK662">
        <v>0</v>
      </c>
      <c r="AL662">
        <v>0</v>
      </c>
      <c r="AM662">
        <v>0</v>
      </c>
      <c r="AN662">
        <v>0</v>
      </c>
    </row>
    <row r="663" spans="25:40" x14ac:dyDescent="0.3">
      <c r="Y663">
        <v>0</v>
      </c>
      <c r="Z663">
        <v>0</v>
      </c>
      <c r="AA663">
        <v>0</v>
      </c>
      <c r="AB663">
        <v>0</v>
      </c>
      <c r="AC663">
        <v>0</v>
      </c>
      <c r="AD663">
        <v>0</v>
      </c>
      <c r="AE663">
        <v>0</v>
      </c>
      <c r="AF663">
        <v>0</v>
      </c>
      <c r="AG663">
        <v>0</v>
      </c>
      <c r="AH663">
        <v>0</v>
      </c>
      <c r="AI663">
        <v>0</v>
      </c>
      <c r="AJ663">
        <v>0</v>
      </c>
      <c r="AK663">
        <v>0</v>
      </c>
      <c r="AL663">
        <v>0</v>
      </c>
      <c r="AM663">
        <v>0</v>
      </c>
      <c r="AN663">
        <v>0</v>
      </c>
    </row>
    <row r="664" spans="25:40" x14ac:dyDescent="0.3">
      <c r="Y664">
        <v>117</v>
      </c>
      <c r="Z664">
        <v>0</v>
      </c>
      <c r="AA664">
        <v>0</v>
      </c>
      <c r="AB664">
        <v>0</v>
      </c>
      <c r="AC664">
        <v>0</v>
      </c>
      <c r="AD664">
        <v>0</v>
      </c>
      <c r="AE664">
        <v>0</v>
      </c>
      <c r="AF664">
        <v>0</v>
      </c>
      <c r="AG664">
        <v>0</v>
      </c>
      <c r="AH664">
        <v>0</v>
      </c>
      <c r="AI664">
        <v>0</v>
      </c>
      <c r="AJ664">
        <v>0</v>
      </c>
      <c r="AK664">
        <v>117</v>
      </c>
      <c r="AL664">
        <v>0</v>
      </c>
      <c r="AM664">
        <v>0</v>
      </c>
      <c r="AN664">
        <v>0</v>
      </c>
    </row>
    <row r="665" spans="25:40" x14ac:dyDescent="0.3">
      <c r="Y665">
        <v>139</v>
      </c>
      <c r="Z665">
        <v>0</v>
      </c>
      <c r="AA665">
        <v>0</v>
      </c>
      <c r="AB665">
        <v>0</v>
      </c>
      <c r="AC665">
        <v>0</v>
      </c>
      <c r="AD665">
        <v>0</v>
      </c>
      <c r="AE665">
        <v>0</v>
      </c>
      <c r="AF665">
        <v>0</v>
      </c>
      <c r="AG665">
        <v>0</v>
      </c>
      <c r="AH665">
        <v>0</v>
      </c>
      <c r="AI665">
        <v>0</v>
      </c>
      <c r="AJ665">
        <v>0</v>
      </c>
      <c r="AK665">
        <v>139</v>
      </c>
      <c r="AL665">
        <v>0</v>
      </c>
      <c r="AM665">
        <v>0</v>
      </c>
      <c r="AN665">
        <v>0</v>
      </c>
    </row>
    <row r="666" spans="25:40" x14ac:dyDescent="0.3">
      <c r="Y666">
        <v>148</v>
      </c>
      <c r="Z666">
        <v>0</v>
      </c>
      <c r="AA666">
        <v>0</v>
      </c>
      <c r="AB666">
        <v>0</v>
      </c>
      <c r="AC666">
        <v>0</v>
      </c>
      <c r="AD666">
        <v>0</v>
      </c>
      <c r="AE666">
        <v>0</v>
      </c>
      <c r="AF666">
        <v>0</v>
      </c>
      <c r="AG666">
        <v>0</v>
      </c>
      <c r="AH666">
        <v>0</v>
      </c>
      <c r="AI666">
        <v>0</v>
      </c>
      <c r="AJ666">
        <v>148</v>
      </c>
      <c r="AK666">
        <v>0</v>
      </c>
      <c r="AL666">
        <v>0</v>
      </c>
      <c r="AM666">
        <v>0</v>
      </c>
      <c r="AN666">
        <v>0</v>
      </c>
    </row>
    <row r="667" spans="25:40" x14ac:dyDescent="0.3">
      <c r="Y667">
        <v>145</v>
      </c>
      <c r="Z667">
        <v>0</v>
      </c>
      <c r="AA667">
        <v>0</v>
      </c>
      <c r="AB667">
        <v>0</v>
      </c>
      <c r="AC667">
        <v>0</v>
      </c>
      <c r="AD667">
        <v>0</v>
      </c>
      <c r="AE667">
        <v>0</v>
      </c>
      <c r="AF667">
        <v>0</v>
      </c>
      <c r="AG667">
        <v>0</v>
      </c>
      <c r="AH667">
        <v>0</v>
      </c>
      <c r="AI667">
        <v>0</v>
      </c>
      <c r="AJ667">
        <v>145</v>
      </c>
      <c r="AK667">
        <v>0</v>
      </c>
      <c r="AL667">
        <v>0</v>
      </c>
      <c r="AM667">
        <v>0</v>
      </c>
      <c r="AN667">
        <v>0</v>
      </c>
    </row>
    <row r="668" spans="25:40" x14ac:dyDescent="0.3">
      <c r="Y668">
        <v>65</v>
      </c>
      <c r="Z668">
        <v>0</v>
      </c>
      <c r="AA668">
        <v>0</v>
      </c>
      <c r="AB668">
        <v>0</v>
      </c>
      <c r="AC668">
        <v>0</v>
      </c>
      <c r="AD668">
        <v>0</v>
      </c>
      <c r="AE668">
        <v>0</v>
      </c>
      <c r="AF668">
        <v>0</v>
      </c>
      <c r="AG668">
        <v>0</v>
      </c>
      <c r="AH668">
        <v>0</v>
      </c>
      <c r="AI668">
        <v>0</v>
      </c>
      <c r="AJ668">
        <v>65</v>
      </c>
      <c r="AK668">
        <v>0</v>
      </c>
      <c r="AL668">
        <v>0</v>
      </c>
      <c r="AM668">
        <v>0</v>
      </c>
      <c r="AN668">
        <v>0</v>
      </c>
    </row>
    <row r="669" spans="25:40" x14ac:dyDescent="0.3">
      <c r="Y669">
        <v>163</v>
      </c>
      <c r="Z669">
        <v>0</v>
      </c>
      <c r="AA669">
        <v>0</v>
      </c>
      <c r="AB669">
        <v>0</v>
      </c>
      <c r="AC669">
        <v>0</v>
      </c>
      <c r="AD669">
        <v>0</v>
      </c>
      <c r="AE669">
        <v>163</v>
      </c>
      <c r="AF669">
        <v>0</v>
      </c>
      <c r="AG669">
        <v>0</v>
      </c>
      <c r="AH669">
        <v>0</v>
      </c>
      <c r="AI669">
        <v>0</v>
      </c>
      <c r="AJ669">
        <v>0</v>
      </c>
      <c r="AK669">
        <v>0</v>
      </c>
      <c r="AL669">
        <v>0</v>
      </c>
      <c r="AM669">
        <v>0</v>
      </c>
      <c r="AN669">
        <v>0</v>
      </c>
    </row>
    <row r="670" spans="25:40" x14ac:dyDescent="0.3">
      <c r="Y670">
        <v>166</v>
      </c>
      <c r="Z670">
        <v>0</v>
      </c>
      <c r="AA670">
        <v>0</v>
      </c>
      <c r="AB670">
        <v>0</v>
      </c>
      <c r="AC670">
        <v>0</v>
      </c>
      <c r="AD670">
        <v>0</v>
      </c>
      <c r="AE670">
        <v>166</v>
      </c>
      <c r="AF670">
        <v>0</v>
      </c>
      <c r="AG670">
        <v>0</v>
      </c>
      <c r="AH670">
        <v>0</v>
      </c>
      <c r="AI670">
        <v>0</v>
      </c>
      <c r="AJ670">
        <v>0</v>
      </c>
      <c r="AK670">
        <v>0</v>
      </c>
      <c r="AL670">
        <v>0</v>
      </c>
      <c r="AM670">
        <v>0</v>
      </c>
      <c r="AN670">
        <v>0</v>
      </c>
    </row>
    <row r="671" spans="25:40" x14ac:dyDescent="0.3">
      <c r="Y671">
        <v>213</v>
      </c>
      <c r="Z671">
        <v>0</v>
      </c>
      <c r="AA671">
        <v>0</v>
      </c>
      <c r="AB671">
        <v>0</v>
      </c>
      <c r="AC671">
        <v>0</v>
      </c>
      <c r="AD671">
        <v>0</v>
      </c>
      <c r="AE671">
        <v>213</v>
      </c>
      <c r="AF671">
        <v>0</v>
      </c>
      <c r="AG671">
        <v>0</v>
      </c>
      <c r="AH671">
        <v>0</v>
      </c>
      <c r="AI671">
        <v>0</v>
      </c>
      <c r="AJ671">
        <v>0</v>
      </c>
      <c r="AK671">
        <v>0</v>
      </c>
      <c r="AL671">
        <v>0</v>
      </c>
      <c r="AM671">
        <v>0</v>
      </c>
      <c r="AN671">
        <v>0</v>
      </c>
    </row>
    <row r="672" spans="25:40" x14ac:dyDescent="0.3">
      <c r="Y672">
        <v>376</v>
      </c>
      <c r="Z672">
        <v>0</v>
      </c>
      <c r="AA672">
        <v>0</v>
      </c>
      <c r="AB672">
        <v>0</v>
      </c>
      <c r="AC672">
        <v>0</v>
      </c>
      <c r="AD672">
        <v>0</v>
      </c>
      <c r="AE672">
        <v>376</v>
      </c>
      <c r="AF672">
        <v>0</v>
      </c>
      <c r="AG672">
        <v>0</v>
      </c>
      <c r="AH672">
        <v>0</v>
      </c>
      <c r="AI672">
        <v>0</v>
      </c>
      <c r="AJ672">
        <v>0</v>
      </c>
      <c r="AK672">
        <v>0</v>
      </c>
      <c r="AL672">
        <v>0</v>
      </c>
      <c r="AM672">
        <v>0</v>
      </c>
      <c r="AN672">
        <v>0</v>
      </c>
    </row>
    <row r="673" spans="25:40" x14ac:dyDescent="0.3">
      <c r="Y673">
        <v>173</v>
      </c>
      <c r="Z673">
        <v>0</v>
      </c>
      <c r="AA673">
        <v>0</v>
      </c>
      <c r="AB673">
        <v>0</v>
      </c>
      <c r="AC673">
        <v>0</v>
      </c>
      <c r="AD673">
        <v>0</v>
      </c>
      <c r="AE673">
        <v>173</v>
      </c>
      <c r="AF673">
        <v>0</v>
      </c>
      <c r="AG673">
        <v>0</v>
      </c>
      <c r="AH673">
        <v>0</v>
      </c>
      <c r="AI673">
        <v>0</v>
      </c>
      <c r="AJ673">
        <v>0</v>
      </c>
      <c r="AK673">
        <v>0</v>
      </c>
      <c r="AL673">
        <v>0</v>
      </c>
      <c r="AM673">
        <v>0</v>
      </c>
      <c r="AN673">
        <v>0</v>
      </c>
    </row>
    <row r="674" spans="25:40" x14ac:dyDescent="0.3">
      <c r="Y674">
        <v>368</v>
      </c>
      <c r="Z674">
        <v>0</v>
      </c>
      <c r="AA674">
        <v>0</v>
      </c>
      <c r="AB674">
        <v>0</v>
      </c>
      <c r="AC674">
        <v>0</v>
      </c>
      <c r="AD674">
        <v>0</v>
      </c>
      <c r="AE674">
        <v>368</v>
      </c>
      <c r="AF674">
        <v>0</v>
      </c>
      <c r="AG674">
        <v>0</v>
      </c>
      <c r="AH674">
        <v>0</v>
      </c>
      <c r="AI674">
        <v>0</v>
      </c>
      <c r="AJ674">
        <v>0</v>
      </c>
      <c r="AK674">
        <v>0</v>
      </c>
      <c r="AL674">
        <v>0</v>
      </c>
      <c r="AM674">
        <v>0</v>
      </c>
      <c r="AN674">
        <v>0</v>
      </c>
    </row>
    <row r="675" spans="25:40" x14ac:dyDescent="0.3">
      <c r="Y675">
        <v>355</v>
      </c>
      <c r="Z675">
        <v>0</v>
      </c>
      <c r="AA675">
        <v>0</v>
      </c>
      <c r="AB675">
        <v>0</v>
      </c>
      <c r="AC675">
        <v>0</v>
      </c>
      <c r="AD675">
        <v>0</v>
      </c>
      <c r="AE675">
        <v>355</v>
      </c>
      <c r="AF675">
        <v>0</v>
      </c>
      <c r="AG675">
        <v>0</v>
      </c>
      <c r="AH675">
        <v>0</v>
      </c>
      <c r="AI675">
        <v>0</v>
      </c>
      <c r="AJ675">
        <v>0</v>
      </c>
      <c r="AK675">
        <v>0</v>
      </c>
      <c r="AL675">
        <v>0</v>
      </c>
      <c r="AM675">
        <v>0</v>
      </c>
      <c r="AN675">
        <v>0</v>
      </c>
    </row>
    <row r="676" spans="25:40" x14ac:dyDescent="0.3">
      <c r="Y676">
        <v>222</v>
      </c>
      <c r="Z676">
        <v>0</v>
      </c>
      <c r="AA676">
        <v>0</v>
      </c>
      <c r="AB676">
        <v>0</v>
      </c>
      <c r="AC676">
        <v>0</v>
      </c>
      <c r="AD676">
        <v>0</v>
      </c>
      <c r="AE676">
        <v>222</v>
      </c>
      <c r="AF676">
        <v>0</v>
      </c>
      <c r="AG676">
        <v>0</v>
      </c>
      <c r="AH676">
        <v>0</v>
      </c>
      <c r="AI676">
        <v>0</v>
      </c>
      <c r="AJ676">
        <v>0</v>
      </c>
      <c r="AK676">
        <v>0</v>
      </c>
      <c r="AL676">
        <v>0</v>
      </c>
      <c r="AM676">
        <v>0</v>
      </c>
      <c r="AN676">
        <v>0</v>
      </c>
    </row>
    <row r="677" spans="25:40" x14ac:dyDescent="0.3">
      <c r="Y677">
        <v>187</v>
      </c>
      <c r="Z677">
        <v>0</v>
      </c>
      <c r="AA677">
        <v>0</v>
      </c>
      <c r="AB677">
        <v>0</v>
      </c>
      <c r="AC677">
        <v>0</v>
      </c>
      <c r="AD677">
        <v>0</v>
      </c>
      <c r="AE677">
        <v>187</v>
      </c>
      <c r="AF677">
        <v>0</v>
      </c>
      <c r="AG677">
        <v>0</v>
      </c>
      <c r="AH677">
        <v>0</v>
      </c>
      <c r="AI677">
        <v>0</v>
      </c>
      <c r="AJ677">
        <v>0</v>
      </c>
      <c r="AK677">
        <v>0</v>
      </c>
      <c r="AL677">
        <v>0</v>
      </c>
      <c r="AM677">
        <v>0</v>
      </c>
      <c r="AN677">
        <v>0</v>
      </c>
    </row>
    <row r="678" spans="25:40" x14ac:dyDescent="0.3">
      <c r="Y678">
        <v>135.5</v>
      </c>
      <c r="Z678">
        <v>0</v>
      </c>
      <c r="AA678">
        <v>0</v>
      </c>
      <c r="AB678">
        <v>0</v>
      </c>
      <c r="AC678">
        <v>0</v>
      </c>
      <c r="AD678">
        <v>0</v>
      </c>
      <c r="AE678">
        <v>139</v>
      </c>
      <c r="AF678">
        <v>0</v>
      </c>
      <c r="AG678">
        <v>0</v>
      </c>
      <c r="AH678">
        <v>0</v>
      </c>
      <c r="AI678">
        <v>132</v>
      </c>
      <c r="AJ678">
        <v>139</v>
      </c>
      <c r="AK678">
        <v>0</v>
      </c>
      <c r="AL678">
        <v>0</v>
      </c>
      <c r="AM678">
        <v>0</v>
      </c>
      <c r="AN678">
        <v>0</v>
      </c>
    </row>
    <row r="679" spans="25:40" x14ac:dyDescent="0.3">
      <c r="Y679">
        <v>171</v>
      </c>
      <c r="Z679">
        <v>0</v>
      </c>
      <c r="AA679">
        <v>0</v>
      </c>
      <c r="AB679">
        <v>0</v>
      </c>
      <c r="AC679">
        <v>0</v>
      </c>
      <c r="AD679">
        <v>0</v>
      </c>
      <c r="AE679">
        <v>171</v>
      </c>
      <c r="AF679">
        <v>0</v>
      </c>
      <c r="AG679">
        <v>0</v>
      </c>
      <c r="AH679">
        <v>0</v>
      </c>
      <c r="AI679">
        <v>0</v>
      </c>
      <c r="AJ679">
        <v>0</v>
      </c>
      <c r="AK679">
        <v>0</v>
      </c>
      <c r="AL679">
        <v>0</v>
      </c>
      <c r="AM679">
        <v>0</v>
      </c>
      <c r="AN679">
        <v>0</v>
      </c>
    </row>
    <row r="680" spans="25:40" x14ac:dyDescent="0.3">
      <c r="Y680">
        <v>0</v>
      </c>
      <c r="Z680">
        <v>0</v>
      </c>
      <c r="AA680">
        <v>0</v>
      </c>
      <c r="AB680">
        <v>0</v>
      </c>
      <c r="AC680">
        <v>0</v>
      </c>
      <c r="AD680">
        <v>0</v>
      </c>
      <c r="AE680">
        <v>0</v>
      </c>
      <c r="AF680">
        <v>0</v>
      </c>
      <c r="AG680">
        <v>0</v>
      </c>
      <c r="AH680">
        <v>0</v>
      </c>
      <c r="AI680">
        <v>0</v>
      </c>
      <c r="AJ680">
        <v>0</v>
      </c>
      <c r="AK680">
        <v>0</v>
      </c>
      <c r="AL680">
        <v>0</v>
      </c>
      <c r="AM680">
        <v>0</v>
      </c>
      <c r="AN680">
        <v>0</v>
      </c>
    </row>
    <row r="681" spans="25:40" x14ac:dyDescent="0.3">
      <c r="Y681">
        <v>166</v>
      </c>
      <c r="Z681">
        <v>0</v>
      </c>
      <c r="AA681">
        <v>0</v>
      </c>
      <c r="AB681">
        <v>0</v>
      </c>
      <c r="AC681">
        <v>0</v>
      </c>
      <c r="AD681">
        <v>0</v>
      </c>
      <c r="AE681">
        <v>166</v>
      </c>
      <c r="AF681">
        <v>0</v>
      </c>
      <c r="AG681">
        <v>0</v>
      </c>
      <c r="AH681">
        <v>0</v>
      </c>
      <c r="AI681">
        <v>0</v>
      </c>
      <c r="AJ681">
        <v>0</v>
      </c>
      <c r="AK681">
        <v>0</v>
      </c>
      <c r="AL681">
        <v>0</v>
      </c>
      <c r="AM681">
        <v>0</v>
      </c>
      <c r="AN681">
        <v>0</v>
      </c>
    </row>
    <row r="682" spans="25:40" x14ac:dyDescent="0.3">
      <c r="Y682">
        <v>177</v>
      </c>
      <c r="Z682">
        <v>0</v>
      </c>
      <c r="AA682">
        <v>0</v>
      </c>
      <c r="AB682">
        <v>0</v>
      </c>
      <c r="AC682">
        <v>0</v>
      </c>
      <c r="AD682">
        <v>0</v>
      </c>
      <c r="AE682">
        <v>177</v>
      </c>
      <c r="AF682">
        <v>0</v>
      </c>
      <c r="AG682">
        <v>0</v>
      </c>
      <c r="AH682">
        <v>0</v>
      </c>
      <c r="AI682">
        <v>0</v>
      </c>
      <c r="AJ682">
        <v>0</v>
      </c>
      <c r="AK682">
        <v>0</v>
      </c>
      <c r="AL682">
        <v>0</v>
      </c>
      <c r="AM682">
        <v>0</v>
      </c>
      <c r="AN682">
        <v>0</v>
      </c>
    </row>
    <row r="683" spans="25:40" x14ac:dyDescent="0.3">
      <c r="Y683">
        <v>130</v>
      </c>
      <c r="Z683">
        <v>0</v>
      </c>
      <c r="AA683">
        <v>0</v>
      </c>
      <c r="AB683">
        <v>0</v>
      </c>
      <c r="AC683">
        <v>0</v>
      </c>
      <c r="AD683">
        <v>0</v>
      </c>
      <c r="AE683">
        <v>130</v>
      </c>
      <c r="AF683">
        <v>0</v>
      </c>
      <c r="AG683">
        <v>0</v>
      </c>
      <c r="AH683">
        <v>0</v>
      </c>
      <c r="AI683">
        <v>0</v>
      </c>
      <c r="AJ683">
        <v>0</v>
      </c>
      <c r="AK683">
        <v>0</v>
      </c>
      <c r="AL683">
        <v>0</v>
      </c>
      <c r="AM683">
        <v>0</v>
      </c>
      <c r="AN683">
        <v>0</v>
      </c>
    </row>
    <row r="684" spans="25:40" x14ac:dyDescent="0.3">
      <c r="Y684">
        <v>155</v>
      </c>
      <c r="Z684">
        <v>0</v>
      </c>
      <c r="AA684">
        <v>0</v>
      </c>
      <c r="AB684">
        <v>0</v>
      </c>
      <c r="AC684">
        <v>0</v>
      </c>
      <c r="AD684">
        <v>0</v>
      </c>
      <c r="AE684">
        <v>155</v>
      </c>
      <c r="AF684">
        <v>0</v>
      </c>
      <c r="AG684">
        <v>0</v>
      </c>
      <c r="AH684">
        <v>0</v>
      </c>
      <c r="AI684">
        <v>0</v>
      </c>
      <c r="AJ684">
        <v>0</v>
      </c>
      <c r="AK684">
        <v>0</v>
      </c>
      <c r="AL684">
        <v>0</v>
      </c>
      <c r="AM684">
        <v>0</v>
      </c>
      <c r="AN684">
        <v>0</v>
      </c>
    </row>
    <row r="685" spans="25:40" x14ac:dyDescent="0.3">
      <c r="Y685">
        <v>152</v>
      </c>
      <c r="Z685">
        <v>0</v>
      </c>
      <c r="AA685">
        <v>0</v>
      </c>
      <c r="AB685">
        <v>0</v>
      </c>
      <c r="AC685">
        <v>0</v>
      </c>
      <c r="AD685">
        <v>0</v>
      </c>
      <c r="AE685">
        <v>152</v>
      </c>
      <c r="AF685">
        <v>0</v>
      </c>
      <c r="AG685">
        <v>0</v>
      </c>
      <c r="AH685">
        <v>0</v>
      </c>
      <c r="AI685">
        <v>0</v>
      </c>
      <c r="AJ685">
        <v>0</v>
      </c>
      <c r="AK685">
        <v>0</v>
      </c>
      <c r="AL685">
        <v>0</v>
      </c>
      <c r="AM685">
        <v>0</v>
      </c>
      <c r="AN685">
        <v>0</v>
      </c>
    </row>
    <row r="686" spans="25:40" x14ac:dyDescent="0.3">
      <c r="Y686">
        <v>135</v>
      </c>
      <c r="Z686">
        <v>0</v>
      </c>
      <c r="AA686">
        <v>0</v>
      </c>
      <c r="AB686">
        <v>0</v>
      </c>
      <c r="AC686">
        <v>0</v>
      </c>
      <c r="AD686">
        <v>0</v>
      </c>
      <c r="AE686">
        <v>135</v>
      </c>
      <c r="AF686">
        <v>0</v>
      </c>
      <c r="AG686">
        <v>0</v>
      </c>
      <c r="AH686">
        <v>0</v>
      </c>
      <c r="AI686">
        <v>0</v>
      </c>
      <c r="AJ686">
        <v>0</v>
      </c>
      <c r="AK686">
        <v>0</v>
      </c>
      <c r="AL686">
        <v>0</v>
      </c>
      <c r="AM686">
        <v>0</v>
      </c>
      <c r="AN686">
        <v>0</v>
      </c>
    </row>
    <row r="687" spans="25:40" x14ac:dyDescent="0.3">
      <c r="Y687">
        <v>209</v>
      </c>
      <c r="Z687">
        <v>0</v>
      </c>
      <c r="AA687">
        <v>0</v>
      </c>
      <c r="AB687">
        <v>0</v>
      </c>
      <c r="AC687">
        <v>0</v>
      </c>
      <c r="AD687">
        <v>0</v>
      </c>
      <c r="AE687">
        <v>209</v>
      </c>
      <c r="AF687">
        <v>0</v>
      </c>
      <c r="AG687">
        <v>0</v>
      </c>
      <c r="AH687">
        <v>0</v>
      </c>
      <c r="AI687">
        <v>0</v>
      </c>
      <c r="AJ687">
        <v>0</v>
      </c>
      <c r="AK687">
        <v>0</v>
      </c>
      <c r="AL687">
        <v>0</v>
      </c>
      <c r="AM687">
        <v>0</v>
      </c>
      <c r="AN687">
        <v>0</v>
      </c>
    </row>
    <row r="688" spans="25:40" x14ac:dyDescent="0.3">
      <c r="Y688">
        <v>159</v>
      </c>
      <c r="Z688">
        <v>0</v>
      </c>
      <c r="AA688">
        <v>0</v>
      </c>
      <c r="AB688">
        <v>0</v>
      </c>
      <c r="AC688">
        <v>0</v>
      </c>
      <c r="AD688">
        <v>0</v>
      </c>
      <c r="AE688">
        <v>159</v>
      </c>
      <c r="AF688">
        <v>0</v>
      </c>
      <c r="AG688">
        <v>0</v>
      </c>
      <c r="AH688">
        <v>0</v>
      </c>
      <c r="AI688">
        <v>0</v>
      </c>
      <c r="AJ688">
        <v>0</v>
      </c>
      <c r="AK688">
        <v>0</v>
      </c>
      <c r="AL688">
        <v>0</v>
      </c>
      <c r="AM688">
        <v>0</v>
      </c>
      <c r="AN688">
        <v>0</v>
      </c>
    </row>
    <row r="689" spans="25:40" x14ac:dyDescent="0.3">
      <c r="Y689">
        <v>152</v>
      </c>
      <c r="Z689">
        <v>0</v>
      </c>
      <c r="AA689">
        <v>0</v>
      </c>
      <c r="AB689">
        <v>0</v>
      </c>
      <c r="AC689">
        <v>0</v>
      </c>
      <c r="AD689">
        <v>0</v>
      </c>
      <c r="AE689">
        <v>152</v>
      </c>
      <c r="AF689">
        <v>0</v>
      </c>
      <c r="AG689">
        <v>0</v>
      </c>
      <c r="AH689">
        <v>0</v>
      </c>
      <c r="AI689">
        <v>0</v>
      </c>
      <c r="AJ689">
        <v>0</v>
      </c>
      <c r="AK689">
        <v>0</v>
      </c>
      <c r="AL689">
        <v>0</v>
      </c>
      <c r="AM689">
        <v>0</v>
      </c>
      <c r="AN689">
        <v>0</v>
      </c>
    </row>
    <row r="690" spans="25:40" x14ac:dyDescent="0.3">
      <c r="Y690">
        <v>173</v>
      </c>
      <c r="Z690">
        <v>0</v>
      </c>
      <c r="AA690">
        <v>0</v>
      </c>
      <c r="AB690">
        <v>0</v>
      </c>
      <c r="AC690">
        <v>0</v>
      </c>
      <c r="AD690">
        <v>0</v>
      </c>
      <c r="AE690">
        <v>173</v>
      </c>
      <c r="AF690">
        <v>0</v>
      </c>
      <c r="AG690">
        <v>0</v>
      </c>
      <c r="AH690">
        <v>0</v>
      </c>
      <c r="AI690">
        <v>0</v>
      </c>
      <c r="AJ690">
        <v>0</v>
      </c>
      <c r="AK690">
        <v>0</v>
      </c>
      <c r="AL690">
        <v>0</v>
      </c>
      <c r="AM690">
        <v>0</v>
      </c>
      <c r="AN690">
        <v>0</v>
      </c>
    </row>
    <row r="691" spans="25:40" x14ac:dyDescent="0.3">
      <c r="Y691">
        <v>132.25</v>
      </c>
      <c r="Z691">
        <v>0</v>
      </c>
      <c r="AA691">
        <v>0</v>
      </c>
      <c r="AB691">
        <v>0</v>
      </c>
      <c r="AC691">
        <v>0</v>
      </c>
      <c r="AD691">
        <v>0</v>
      </c>
      <c r="AE691">
        <v>255</v>
      </c>
      <c r="AF691">
        <v>0</v>
      </c>
      <c r="AG691">
        <v>0</v>
      </c>
      <c r="AH691">
        <v>0</v>
      </c>
      <c r="AI691">
        <v>0</v>
      </c>
      <c r="AJ691">
        <v>0</v>
      </c>
      <c r="AK691">
        <v>0</v>
      </c>
      <c r="AL691">
        <v>0</v>
      </c>
      <c r="AM691">
        <v>274</v>
      </c>
      <c r="AN691">
        <v>0</v>
      </c>
    </row>
    <row r="692" spans="25:40" x14ac:dyDescent="0.3">
      <c r="Y692">
        <v>322</v>
      </c>
      <c r="Z692">
        <v>0</v>
      </c>
      <c r="AA692">
        <v>0</v>
      </c>
      <c r="AB692">
        <v>0</v>
      </c>
      <c r="AC692">
        <v>0</v>
      </c>
      <c r="AD692">
        <v>0</v>
      </c>
      <c r="AE692">
        <v>322</v>
      </c>
      <c r="AF692">
        <v>0</v>
      </c>
      <c r="AG692">
        <v>0</v>
      </c>
      <c r="AH692">
        <v>0</v>
      </c>
      <c r="AI692">
        <v>0</v>
      </c>
      <c r="AJ692">
        <v>0</v>
      </c>
      <c r="AK692">
        <v>0</v>
      </c>
      <c r="AL692">
        <v>0</v>
      </c>
      <c r="AM692">
        <v>0</v>
      </c>
      <c r="AN692">
        <v>0</v>
      </c>
    </row>
    <row r="693" spans="25:40" x14ac:dyDescent="0.3">
      <c r="Y693">
        <v>130.76455696202532</v>
      </c>
      <c r="Z693">
        <v>147.44444444444446</v>
      </c>
      <c r="AA693">
        <v>133.8125</v>
      </c>
      <c r="AB693">
        <v>122.46666666666667</v>
      </c>
      <c r="AC693">
        <v>127</v>
      </c>
      <c r="AD693">
        <v>131.19999999999999</v>
      </c>
      <c r="AE693">
        <v>141.38888888888889</v>
      </c>
      <c r="AF693">
        <v>127.52380952380952</v>
      </c>
      <c r="AG693">
        <v>121.1875</v>
      </c>
      <c r="AH693">
        <v>123.31914893617021</v>
      </c>
      <c r="AI693">
        <v>132.125</v>
      </c>
      <c r="AJ693">
        <v>134.2280701754386</v>
      </c>
      <c r="AK693">
        <v>133.85</v>
      </c>
      <c r="AL693">
        <v>133.9</v>
      </c>
      <c r="AM693">
        <v>144.33333333333334</v>
      </c>
      <c r="AN693">
        <v>148</v>
      </c>
    </row>
    <row r="694" spans="25:40" x14ac:dyDescent="0.3">
      <c r="Y694">
        <v>0</v>
      </c>
      <c r="Z694">
        <v>0</v>
      </c>
      <c r="AA694">
        <v>0</v>
      </c>
      <c r="AB694">
        <v>0</v>
      </c>
      <c r="AC694">
        <v>0</v>
      </c>
      <c r="AD694">
        <v>0</v>
      </c>
      <c r="AE694">
        <v>0</v>
      </c>
      <c r="AF694">
        <v>0</v>
      </c>
      <c r="AG694">
        <v>0</v>
      </c>
      <c r="AH694">
        <v>0</v>
      </c>
      <c r="AI694">
        <v>0</v>
      </c>
      <c r="AJ694">
        <v>0</v>
      </c>
      <c r="AK694">
        <v>0</v>
      </c>
      <c r="AL694">
        <v>0</v>
      </c>
      <c r="AM694">
        <v>0</v>
      </c>
      <c r="AN694">
        <v>0</v>
      </c>
    </row>
    <row r="695" spans="25:40" x14ac:dyDescent="0.3">
      <c r="Y695">
        <v>0</v>
      </c>
      <c r="Z695">
        <v>0</v>
      </c>
      <c r="AA695">
        <v>0</v>
      </c>
      <c r="AB695">
        <v>0</v>
      </c>
      <c r="AC695">
        <v>0</v>
      </c>
      <c r="AD695">
        <v>0</v>
      </c>
      <c r="AE695">
        <v>0</v>
      </c>
      <c r="AF695">
        <v>0</v>
      </c>
      <c r="AG695">
        <v>0</v>
      </c>
      <c r="AH695">
        <v>0</v>
      </c>
      <c r="AI695">
        <v>0</v>
      </c>
      <c r="AJ695">
        <v>0</v>
      </c>
      <c r="AK695">
        <v>0</v>
      </c>
      <c r="AL695">
        <v>0</v>
      </c>
      <c r="AM695">
        <v>0</v>
      </c>
      <c r="AN695">
        <v>0</v>
      </c>
    </row>
    <row r="696" spans="25:40" x14ac:dyDescent="0.3">
      <c r="Y696">
        <v>264</v>
      </c>
      <c r="Z696">
        <v>0</v>
      </c>
      <c r="AA696">
        <v>0</v>
      </c>
      <c r="AB696">
        <v>0</v>
      </c>
      <c r="AC696">
        <v>0</v>
      </c>
      <c r="AD696">
        <v>0</v>
      </c>
      <c r="AE696">
        <v>0</v>
      </c>
      <c r="AF696">
        <v>0</v>
      </c>
      <c r="AG696">
        <v>0</v>
      </c>
      <c r="AH696">
        <v>0</v>
      </c>
      <c r="AI696">
        <v>264</v>
      </c>
      <c r="AJ696">
        <v>0</v>
      </c>
      <c r="AK696">
        <v>0</v>
      </c>
      <c r="AL696">
        <v>0</v>
      </c>
      <c r="AM696">
        <v>0</v>
      </c>
      <c r="AN696">
        <v>0</v>
      </c>
    </row>
    <row r="697" spans="25:40" x14ac:dyDescent="0.3">
      <c r="Y697">
        <v>143</v>
      </c>
      <c r="Z697">
        <v>0</v>
      </c>
      <c r="AA697">
        <v>0</v>
      </c>
      <c r="AB697">
        <v>0</v>
      </c>
      <c r="AC697">
        <v>0</v>
      </c>
      <c r="AD697">
        <v>0</v>
      </c>
      <c r="AE697">
        <v>0</v>
      </c>
      <c r="AF697">
        <v>0</v>
      </c>
      <c r="AG697">
        <v>0</v>
      </c>
      <c r="AH697">
        <v>0</v>
      </c>
      <c r="AI697">
        <v>143</v>
      </c>
      <c r="AJ697">
        <v>0</v>
      </c>
      <c r="AK697">
        <v>0</v>
      </c>
      <c r="AL697">
        <v>0</v>
      </c>
      <c r="AM697">
        <v>0</v>
      </c>
      <c r="AN697">
        <v>0</v>
      </c>
    </row>
    <row r="698" spans="25:40" x14ac:dyDescent="0.3">
      <c r="Y698">
        <v>0</v>
      </c>
      <c r="Z698">
        <v>0</v>
      </c>
      <c r="AA698">
        <v>0</v>
      </c>
      <c r="AB698">
        <v>0</v>
      </c>
      <c r="AC698">
        <v>0</v>
      </c>
      <c r="AD698">
        <v>0</v>
      </c>
      <c r="AE698">
        <v>0</v>
      </c>
      <c r="AF698">
        <v>0</v>
      </c>
      <c r="AG698">
        <v>0</v>
      </c>
      <c r="AH698">
        <v>0</v>
      </c>
      <c r="AI698">
        <v>0</v>
      </c>
      <c r="AJ698">
        <v>0</v>
      </c>
      <c r="AK698">
        <v>0</v>
      </c>
      <c r="AL698">
        <v>0</v>
      </c>
      <c r="AM698">
        <v>0</v>
      </c>
      <c r="AN698">
        <v>0</v>
      </c>
    </row>
    <row r="699" spans="25:40" x14ac:dyDescent="0.3">
      <c r="Y699">
        <v>146</v>
      </c>
      <c r="Z699">
        <v>146</v>
      </c>
      <c r="AA699">
        <v>0</v>
      </c>
      <c r="AB699">
        <v>0</v>
      </c>
      <c r="AC699">
        <v>0</v>
      </c>
      <c r="AD699">
        <v>0</v>
      </c>
      <c r="AE699">
        <v>0</v>
      </c>
      <c r="AF699">
        <v>0</v>
      </c>
      <c r="AG699">
        <v>0</v>
      </c>
      <c r="AH699">
        <v>0</v>
      </c>
      <c r="AI699">
        <v>0</v>
      </c>
      <c r="AJ699">
        <v>0</v>
      </c>
      <c r="AK699">
        <v>0</v>
      </c>
      <c r="AL699">
        <v>0</v>
      </c>
      <c r="AM699">
        <v>0</v>
      </c>
      <c r="AN699">
        <v>0</v>
      </c>
    </row>
    <row r="700" spans="25:40" x14ac:dyDescent="0.3">
      <c r="Y700">
        <v>30</v>
      </c>
      <c r="Z700">
        <v>30</v>
      </c>
      <c r="AA700">
        <v>0</v>
      </c>
      <c r="AB700">
        <v>0</v>
      </c>
      <c r="AC700">
        <v>0</v>
      </c>
      <c r="AD700">
        <v>0</v>
      </c>
      <c r="AE700">
        <v>0</v>
      </c>
      <c r="AF700">
        <v>0</v>
      </c>
      <c r="AG700">
        <v>0</v>
      </c>
      <c r="AH700">
        <v>0</v>
      </c>
      <c r="AI700">
        <v>0</v>
      </c>
      <c r="AJ700">
        <v>0</v>
      </c>
      <c r="AK700">
        <v>0</v>
      </c>
      <c r="AL700">
        <v>0</v>
      </c>
      <c r="AM700">
        <v>0</v>
      </c>
      <c r="AN700">
        <v>0</v>
      </c>
    </row>
    <row r="701" spans="25:40" x14ac:dyDescent="0.3">
      <c r="Y701">
        <v>37</v>
      </c>
      <c r="Z701">
        <v>37</v>
      </c>
      <c r="AA701">
        <v>0</v>
      </c>
      <c r="AB701">
        <v>0</v>
      </c>
      <c r="AC701">
        <v>0</v>
      </c>
      <c r="AD701">
        <v>0</v>
      </c>
      <c r="AE701">
        <v>0</v>
      </c>
      <c r="AF701">
        <v>0</v>
      </c>
      <c r="AG701">
        <v>0</v>
      </c>
      <c r="AH701">
        <v>0</v>
      </c>
      <c r="AI701">
        <v>0</v>
      </c>
      <c r="AJ701">
        <v>0</v>
      </c>
      <c r="AK701">
        <v>0</v>
      </c>
      <c r="AL701">
        <v>0</v>
      </c>
      <c r="AM701">
        <v>0</v>
      </c>
      <c r="AN701">
        <v>0</v>
      </c>
    </row>
    <row r="702" spans="25:40" x14ac:dyDescent="0.3">
      <c r="Y702">
        <v>133</v>
      </c>
      <c r="Z702">
        <v>133</v>
      </c>
      <c r="AA702">
        <v>0</v>
      </c>
      <c r="AB702">
        <v>0</v>
      </c>
      <c r="AC702">
        <v>0</v>
      </c>
      <c r="AD702">
        <v>0</v>
      </c>
      <c r="AE702">
        <v>0</v>
      </c>
      <c r="AF702">
        <v>0</v>
      </c>
      <c r="AG702">
        <v>0</v>
      </c>
      <c r="AH702">
        <v>0</v>
      </c>
      <c r="AI702">
        <v>0</v>
      </c>
      <c r="AJ702">
        <v>0</v>
      </c>
      <c r="AK702">
        <v>0</v>
      </c>
      <c r="AL702">
        <v>0</v>
      </c>
      <c r="AM702">
        <v>0</v>
      </c>
      <c r="AN702">
        <v>0</v>
      </c>
    </row>
    <row r="703" spans="25:40" x14ac:dyDescent="0.3">
      <c r="Y703">
        <v>0</v>
      </c>
      <c r="Z703">
        <v>0</v>
      </c>
      <c r="AA703">
        <v>0</v>
      </c>
      <c r="AB703">
        <v>0</v>
      </c>
      <c r="AC703">
        <v>0</v>
      </c>
      <c r="AD703">
        <v>0</v>
      </c>
      <c r="AE703">
        <v>0</v>
      </c>
      <c r="AF703">
        <v>0</v>
      </c>
      <c r="AG703">
        <v>0</v>
      </c>
      <c r="AH703">
        <v>0</v>
      </c>
      <c r="AI703">
        <v>0</v>
      </c>
      <c r="AJ703">
        <v>0</v>
      </c>
      <c r="AK703">
        <v>0</v>
      </c>
      <c r="AL703">
        <v>0</v>
      </c>
      <c r="AM703">
        <v>0</v>
      </c>
      <c r="AN703">
        <v>0</v>
      </c>
    </row>
    <row r="704" spans="25:40" x14ac:dyDescent="0.3">
      <c r="Y704">
        <v>150</v>
      </c>
      <c r="Z704">
        <v>150</v>
      </c>
      <c r="AA704">
        <v>0</v>
      </c>
      <c r="AB704">
        <v>0</v>
      </c>
      <c r="AC704">
        <v>0</v>
      </c>
      <c r="AD704">
        <v>0</v>
      </c>
      <c r="AE704">
        <v>0</v>
      </c>
      <c r="AF704">
        <v>0</v>
      </c>
      <c r="AG704">
        <v>0</v>
      </c>
      <c r="AH704">
        <v>0</v>
      </c>
      <c r="AI704">
        <v>0</v>
      </c>
      <c r="AJ704">
        <v>0</v>
      </c>
      <c r="AK704">
        <v>0</v>
      </c>
      <c r="AL704">
        <v>0</v>
      </c>
      <c r="AM704">
        <v>0</v>
      </c>
      <c r="AN704">
        <v>0</v>
      </c>
    </row>
    <row r="705" spans="25:40" x14ac:dyDescent="0.3">
      <c r="Y705">
        <v>261</v>
      </c>
      <c r="Z705">
        <v>261</v>
      </c>
      <c r="AA705">
        <v>0</v>
      </c>
      <c r="AB705">
        <v>0</v>
      </c>
      <c r="AC705">
        <v>0</v>
      </c>
      <c r="AD705">
        <v>0</v>
      </c>
      <c r="AE705">
        <v>0</v>
      </c>
      <c r="AF705">
        <v>0</v>
      </c>
      <c r="AG705">
        <v>0</v>
      </c>
      <c r="AH705">
        <v>0</v>
      </c>
      <c r="AI705">
        <v>0</v>
      </c>
      <c r="AJ705">
        <v>0</v>
      </c>
      <c r="AK705">
        <v>0</v>
      </c>
      <c r="AL705">
        <v>0</v>
      </c>
      <c r="AM705">
        <v>0</v>
      </c>
      <c r="AN705">
        <v>0</v>
      </c>
    </row>
    <row r="706" spans="25:40" x14ac:dyDescent="0.3">
      <c r="Y706">
        <v>0</v>
      </c>
      <c r="Z706">
        <v>0</v>
      </c>
      <c r="AA706">
        <v>0</v>
      </c>
      <c r="AB706">
        <v>0</v>
      </c>
      <c r="AC706">
        <v>0</v>
      </c>
      <c r="AD706">
        <v>0</v>
      </c>
      <c r="AE706">
        <v>0</v>
      </c>
      <c r="AF706">
        <v>0</v>
      </c>
      <c r="AG706">
        <v>0</v>
      </c>
      <c r="AH706">
        <v>0</v>
      </c>
      <c r="AI706">
        <v>0</v>
      </c>
      <c r="AJ706">
        <v>0</v>
      </c>
      <c r="AK706">
        <v>0</v>
      </c>
      <c r="AL706">
        <v>0</v>
      </c>
      <c r="AM706">
        <v>0</v>
      </c>
      <c r="AN706">
        <v>0</v>
      </c>
    </row>
    <row r="707" spans="25:40" x14ac:dyDescent="0.3">
      <c r="Y707">
        <v>46</v>
      </c>
      <c r="Z707">
        <v>46</v>
      </c>
      <c r="AA707">
        <v>0</v>
      </c>
      <c r="AB707">
        <v>0</v>
      </c>
      <c r="AC707">
        <v>0</v>
      </c>
      <c r="AD707">
        <v>0</v>
      </c>
      <c r="AE707">
        <v>0</v>
      </c>
      <c r="AF707">
        <v>0</v>
      </c>
      <c r="AG707">
        <v>0</v>
      </c>
      <c r="AH707">
        <v>0</v>
      </c>
      <c r="AI707">
        <v>0</v>
      </c>
      <c r="AJ707">
        <v>0</v>
      </c>
      <c r="AK707">
        <v>0</v>
      </c>
      <c r="AL707">
        <v>0</v>
      </c>
      <c r="AM707">
        <v>0</v>
      </c>
      <c r="AN707">
        <v>0</v>
      </c>
    </row>
    <row r="708" spans="25:40" x14ac:dyDescent="0.3">
      <c r="Y708">
        <v>146</v>
      </c>
      <c r="Z708">
        <v>146</v>
      </c>
      <c r="AA708">
        <v>0</v>
      </c>
      <c r="AB708">
        <v>0</v>
      </c>
      <c r="AC708">
        <v>0</v>
      </c>
      <c r="AD708">
        <v>0</v>
      </c>
      <c r="AE708">
        <v>0</v>
      </c>
      <c r="AF708">
        <v>0</v>
      </c>
      <c r="AG708">
        <v>0</v>
      </c>
      <c r="AH708">
        <v>0</v>
      </c>
      <c r="AI708">
        <v>0</v>
      </c>
      <c r="AJ708">
        <v>0</v>
      </c>
      <c r="AK708">
        <v>0</v>
      </c>
      <c r="AL708">
        <v>0</v>
      </c>
      <c r="AM708">
        <v>0</v>
      </c>
      <c r="AN708">
        <v>0</v>
      </c>
    </row>
    <row r="709" spans="25:40" x14ac:dyDescent="0.3">
      <c r="Y709">
        <v>139</v>
      </c>
      <c r="Z709">
        <v>0</v>
      </c>
      <c r="AA709">
        <v>0</v>
      </c>
      <c r="AB709">
        <v>0</v>
      </c>
      <c r="AC709">
        <v>0</v>
      </c>
      <c r="AD709">
        <v>0</v>
      </c>
      <c r="AE709">
        <v>0</v>
      </c>
      <c r="AF709">
        <v>0</v>
      </c>
      <c r="AG709">
        <v>0</v>
      </c>
      <c r="AH709">
        <v>0</v>
      </c>
      <c r="AI709">
        <v>139</v>
      </c>
      <c r="AJ709">
        <v>0</v>
      </c>
      <c r="AK709">
        <v>0</v>
      </c>
      <c r="AL709">
        <v>0</v>
      </c>
      <c r="AM709">
        <v>0</v>
      </c>
      <c r="AN709">
        <v>0</v>
      </c>
    </row>
    <row r="710" spans="25:40" x14ac:dyDescent="0.3">
      <c r="Y710">
        <v>136</v>
      </c>
      <c r="Z710">
        <v>0</v>
      </c>
      <c r="AA710">
        <v>0</v>
      </c>
      <c r="AB710">
        <v>0</v>
      </c>
      <c r="AC710">
        <v>0</v>
      </c>
      <c r="AD710">
        <v>0</v>
      </c>
      <c r="AE710">
        <v>0</v>
      </c>
      <c r="AF710">
        <v>0</v>
      </c>
      <c r="AG710">
        <v>0</v>
      </c>
      <c r="AH710">
        <v>0</v>
      </c>
      <c r="AI710">
        <v>136</v>
      </c>
      <c r="AJ710">
        <v>0</v>
      </c>
      <c r="AK710">
        <v>0</v>
      </c>
      <c r="AL710">
        <v>0</v>
      </c>
      <c r="AM710">
        <v>0</v>
      </c>
      <c r="AN710">
        <v>0</v>
      </c>
    </row>
    <row r="711" spans="25:40" x14ac:dyDescent="0.3">
      <c r="Y711">
        <v>0</v>
      </c>
      <c r="Z711">
        <v>0</v>
      </c>
      <c r="AA711">
        <v>0</v>
      </c>
      <c r="AB711">
        <v>0</v>
      </c>
      <c r="AC711">
        <v>0</v>
      </c>
      <c r="AD711">
        <v>0</v>
      </c>
      <c r="AE711">
        <v>0</v>
      </c>
      <c r="AF711">
        <v>0</v>
      </c>
      <c r="AG711">
        <v>0</v>
      </c>
      <c r="AH711">
        <v>0</v>
      </c>
      <c r="AI711">
        <v>0</v>
      </c>
      <c r="AJ711">
        <v>0</v>
      </c>
      <c r="AK711">
        <v>0</v>
      </c>
      <c r="AL711">
        <v>0</v>
      </c>
      <c r="AM711">
        <v>0</v>
      </c>
      <c r="AN711">
        <v>0</v>
      </c>
    </row>
    <row r="712" spans="25:40" x14ac:dyDescent="0.3">
      <c r="Y712">
        <v>204.03708307437333</v>
      </c>
      <c r="Z712">
        <v>260.49236641221376</v>
      </c>
      <c r="AA712">
        <v>259.27804878048778</v>
      </c>
      <c r="AB712">
        <v>261.25210084033614</v>
      </c>
      <c r="AC712">
        <v>259.12345679012344</v>
      </c>
      <c r="AD712">
        <v>186.1881188118812</v>
      </c>
      <c r="AE712">
        <v>183.26485693323551</v>
      </c>
      <c r="AF712">
        <v>187.36858974358975</v>
      </c>
      <c r="AG712">
        <v>188.09318181818182</v>
      </c>
      <c r="AH712">
        <v>186.62216624685138</v>
      </c>
      <c r="AI712">
        <v>181.74509803921569</v>
      </c>
      <c r="AJ712">
        <v>174.91099476439791</v>
      </c>
      <c r="AK712">
        <v>204.57419354838709</v>
      </c>
      <c r="AL712">
        <v>210.68846153846152</v>
      </c>
      <c r="AM712">
        <v>250.171875</v>
      </c>
      <c r="AN712">
        <v>252.20689655172413</v>
      </c>
    </row>
    <row r="713" spans="25:40" x14ac:dyDescent="0.3">
      <c r="Y713">
        <v>100</v>
      </c>
      <c r="Z713">
        <v>0</v>
      </c>
      <c r="AA713">
        <v>0</v>
      </c>
      <c r="AB713">
        <v>0</v>
      </c>
      <c r="AC713">
        <v>0</v>
      </c>
      <c r="AD713">
        <v>100</v>
      </c>
      <c r="AE713">
        <v>0</v>
      </c>
      <c r="AF713">
        <v>0</v>
      </c>
      <c r="AG713">
        <v>0</v>
      </c>
      <c r="AH713">
        <v>0</v>
      </c>
      <c r="AI713">
        <v>0</v>
      </c>
      <c r="AJ713">
        <v>0</v>
      </c>
      <c r="AK713">
        <v>0</v>
      </c>
      <c r="AL713">
        <v>0</v>
      </c>
      <c r="AM713">
        <v>0</v>
      </c>
      <c r="AN713">
        <v>0</v>
      </c>
    </row>
    <row r="714" spans="25:40" x14ac:dyDescent="0.3">
      <c r="Y714">
        <v>192</v>
      </c>
      <c r="Z714">
        <v>0</v>
      </c>
      <c r="AA714">
        <v>0</v>
      </c>
      <c r="AB714">
        <v>0</v>
      </c>
      <c r="AC714">
        <v>0</v>
      </c>
      <c r="AD714">
        <v>192</v>
      </c>
      <c r="AE714">
        <v>0</v>
      </c>
      <c r="AF714">
        <v>0</v>
      </c>
      <c r="AG714">
        <v>0</v>
      </c>
      <c r="AH714">
        <v>0</v>
      </c>
      <c r="AI714">
        <v>0</v>
      </c>
      <c r="AJ714">
        <v>0</v>
      </c>
      <c r="AK714">
        <v>0</v>
      </c>
      <c r="AL714">
        <v>0</v>
      </c>
      <c r="AM714">
        <v>0</v>
      </c>
      <c r="AN714">
        <v>0</v>
      </c>
    </row>
    <row r="715" spans="25:40" x14ac:dyDescent="0.3">
      <c r="Y715">
        <v>55</v>
      </c>
      <c r="Z715">
        <v>0</v>
      </c>
      <c r="AA715">
        <v>0</v>
      </c>
      <c r="AB715">
        <v>0</v>
      </c>
      <c r="AC715">
        <v>0</v>
      </c>
      <c r="AD715">
        <v>55</v>
      </c>
      <c r="AE715">
        <v>0</v>
      </c>
      <c r="AF715">
        <v>0</v>
      </c>
      <c r="AG715">
        <v>0</v>
      </c>
      <c r="AH715">
        <v>0</v>
      </c>
      <c r="AI715">
        <v>0</v>
      </c>
      <c r="AJ715">
        <v>0</v>
      </c>
      <c r="AK715">
        <v>0</v>
      </c>
      <c r="AL715">
        <v>0</v>
      </c>
      <c r="AM715">
        <v>0</v>
      </c>
      <c r="AN715">
        <v>0</v>
      </c>
    </row>
    <row r="716" spans="25:40" x14ac:dyDescent="0.3">
      <c r="Y716">
        <v>201</v>
      </c>
      <c r="Z716">
        <v>0</v>
      </c>
      <c r="AA716">
        <v>0</v>
      </c>
      <c r="AB716">
        <v>0</v>
      </c>
      <c r="AC716">
        <v>0</v>
      </c>
      <c r="AD716">
        <v>201</v>
      </c>
      <c r="AE716">
        <v>0</v>
      </c>
      <c r="AF716">
        <v>0</v>
      </c>
      <c r="AG716">
        <v>0</v>
      </c>
      <c r="AH716">
        <v>0</v>
      </c>
      <c r="AI716">
        <v>0</v>
      </c>
      <c r="AJ716">
        <v>0</v>
      </c>
      <c r="AK716">
        <v>0</v>
      </c>
      <c r="AL716">
        <v>0</v>
      </c>
      <c r="AM716">
        <v>0</v>
      </c>
      <c r="AN716">
        <v>0</v>
      </c>
    </row>
    <row r="717" spans="25:40" x14ac:dyDescent="0.3">
      <c r="Y717">
        <v>220</v>
      </c>
      <c r="Z717">
        <v>0</v>
      </c>
      <c r="AA717">
        <v>0</v>
      </c>
      <c r="AB717">
        <v>0</v>
      </c>
      <c r="AC717">
        <v>0</v>
      </c>
      <c r="AD717">
        <v>220</v>
      </c>
      <c r="AE717">
        <v>0</v>
      </c>
      <c r="AF717">
        <v>0</v>
      </c>
      <c r="AG717">
        <v>0</v>
      </c>
      <c r="AH717">
        <v>0</v>
      </c>
      <c r="AI717">
        <v>0</v>
      </c>
      <c r="AJ717">
        <v>0</v>
      </c>
      <c r="AK717">
        <v>0</v>
      </c>
      <c r="AL717">
        <v>0</v>
      </c>
      <c r="AM717">
        <v>0</v>
      </c>
      <c r="AN717">
        <v>0</v>
      </c>
    </row>
    <row r="718" spans="25:40" x14ac:dyDescent="0.3">
      <c r="Y718">
        <v>224</v>
      </c>
      <c r="Z718">
        <v>0</v>
      </c>
      <c r="AA718">
        <v>0</v>
      </c>
      <c r="AB718">
        <v>0</v>
      </c>
      <c r="AC718">
        <v>0</v>
      </c>
      <c r="AD718">
        <v>0</v>
      </c>
      <c r="AE718">
        <v>224</v>
      </c>
      <c r="AF718">
        <v>0</v>
      </c>
      <c r="AG718">
        <v>0</v>
      </c>
      <c r="AH718">
        <v>0</v>
      </c>
      <c r="AI718">
        <v>0</v>
      </c>
      <c r="AJ718">
        <v>0</v>
      </c>
      <c r="AK718">
        <v>0</v>
      </c>
      <c r="AL718">
        <v>0</v>
      </c>
      <c r="AM718">
        <v>0</v>
      </c>
      <c r="AN718">
        <v>0</v>
      </c>
    </row>
    <row r="719" spans="25:40" x14ac:dyDescent="0.3">
      <c r="Y719">
        <v>38</v>
      </c>
      <c r="Z719">
        <v>0</v>
      </c>
      <c r="AA719">
        <v>0</v>
      </c>
      <c r="AB719">
        <v>0</v>
      </c>
      <c r="AC719">
        <v>0</v>
      </c>
      <c r="AD719">
        <v>38</v>
      </c>
      <c r="AE719">
        <v>0</v>
      </c>
      <c r="AF719">
        <v>0</v>
      </c>
      <c r="AG719">
        <v>0</v>
      </c>
      <c r="AH719">
        <v>0</v>
      </c>
      <c r="AI719">
        <v>0</v>
      </c>
      <c r="AJ719">
        <v>0</v>
      </c>
      <c r="AK719">
        <v>0</v>
      </c>
      <c r="AL719">
        <v>0</v>
      </c>
      <c r="AM719">
        <v>0</v>
      </c>
      <c r="AN719">
        <v>0</v>
      </c>
    </row>
    <row r="720" spans="25:40" x14ac:dyDescent="0.3">
      <c r="Y720">
        <v>216</v>
      </c>
      <c r="Z720">
        <v>0</v>
      </c>
      <c r="AA720">
        <v>0</v>
      </c>
      <c r="AB720">
        <v>0</v>
      </c>
      <c r="AC720">
        <v>0</v>
      </c>
      <c r="AD720">
        <v>216</v>
      </c>
      <c r="AE720">
        <v>0</v>
      </c>
      <c r="AF720">
        <v>0</v>
      </c>
      <c r="AG720">
        <v>0</v>
      </c>
      <c r="AH720">
        <v>0</v>
      </c>
      <c r="AI720">
        <v>0</v>
      </c>
      <c r="AJ720">
        <v>0</v>
      </c>
      <c r="AK720">
        <v>0</v>
      </c>
      <c r="AL720">
        <v>0</v>
      </c>
      <c r="AM720">
        <v>0</v>
      </c>
      <c r="AN720">
        <v>0</v>
      </c>
    </row>
    <row r="721" spans="25:40" x14ac:dyDescent="0.3">
      <c r="Y721">
        <v>0</v>
      </c>
      <c r="Z721">
        <v>0</v>
      </c>
      <c r="AA721">
        <v>0</v>
      </c>
      <c r="AB721">
        <v>0</v>
      </c>
      <c r="AC721">
        <v>0</v>
      </c>
      <c r="AD721">
        <v>0</v>
      </c>
      <c r="AE721">
        <v>0</v>
      </c>
      <c r="AF721">
        <v>0</v>
      </c>
      <c r="AG721">
        <v>0</v>
      </c>
      <c r="AH721">
        <v>0</v>
      </c>
      <c r="AI721">
        <v>0</v>
      </c>
      <c r="AJ721">
        <v>0</v>
      </c>
      <c r="AK721">
        <v>0</v>
      </c>
      <c r="AL721">
        <v>0</v>
      </c>
      <c r="AM721">
        <v>0</v>
      </c>
      <c r="AN721">
        <v>0</v>
      </c>
    </row>
    <row r="722" spans="25:40" x14ac:dyDescent="0.3">
      <c r="Y722">
        <v>102</v>
      </c>
      <c r="Z722">
        <v>0</v>
      </c>
      <c r="AA722">
        <v>0</v>
      </c>
      <c r="AB722">
        <v>0</v>
      </c>
      <c r="AC722">
        <v>0</v>
      </c>
      <c r="AD722">
        <v>0</v>
      </c>
      <c r="AE722">
        <v>0</v>
      </c>
      <c r="AF722">
        <v>0</v>
      </c>
      <c r="AG722">
        <v>0</v>
      </c>
      <c r="AH722">
        <v>0</v>
      </c>
      <c r="AI722">
        <v>102</v>
      </c>
      <c r="AJ722">
        <v>0</v>
      </c>
      <c r="AK722">
        <v>0</v>
      </c>
      <c r="AL722">
        <v>0</v>
      </c>
      <c r="AM722">
        <v>0</v>
      </c>
      <c r="AN722">
        <v>0</v>
      </c>
    </row>
    <row r="723" spans="25:40" x14ac:dyDescent="0.3">
      <c r="Y723">
        <v>0</v>
      </c>
      <c r="Z723">
        <v>0</v>
      </c>
      <c r="AA723">
        <v>0</v>
      </c>
      <c r="AB723">
        <v>0</v>
      </c>
      <c r="AC723">
        <v>0</v>
      </c>
      <c r="AD723">
        <v>0</v>
      </c>
      <c r="AE723">
        <v>0</v>
      </c>
      <c r="AF723">
        <v>0</v>
      </c>
      <c r="AG723">
        <v>0</v>
      </c>
      <c r="AH723">
        <v>0</v>
      </c>
      <c r="AI723">
        <v>0</v>
      </c>
      <c r="AJ723">
        <v>0</v>
      </c>
      <c r="AK723">
        <v>0</v>
      </c>
      <c r="AL723">
        <v>0</v>
      </c>
      <c r="AM723">
        <v>0</v>
      </c>
      <c r="AN723">
        <v>0</v>
      </c>
    </row>
    <row r="724" spans="25:40" x14ac:dyDescent="0.3">
      <c r="Y724">
        <v>129</v>
      </c>
      <c r="Z724">
        <v>0</v>
      </c>
      <c r="AA724">
        <v>0</v>
      </c>
      <c r="AB724">
        <v>0</v>
      </c>
      <c r="AC724">
        <v>0</v>
      </c>
      <c r="AD724">
        <v>0</v>
      </c>
      <c r="AE724">
        <v>0</v>
      </c>
      <c r="AF724">
        <v>0</v>
      </c>
      <c r="AG724">
        <v>0</v>
      </c>
      <c r="AH724">
        <v>0</v>
      </c>
      <c r="AI724">
        <v>129</v>
      </c>
      <c r="AJ724">
        <v>0</v>
      </c>
      <c r="AK724">
        <v>0</v>
      </c>
      <c r="AL724">
        <v>0</v>
      </c>
      <c r="AM724">
        <v>0</v>
      </c>
      <c r="AN724">
        <v>0</v>
      </c>
    </row>
    <row r="725" spans="25:40" x14ac:dyDescent="0.3">
      <c r="Y725">
        <v>0</v>
      </c>
      <c r="Z725">
        <v>0</v>
      </c>
      <c r="AA725">
        <v>0</v>
      </c>
      <c r="AB725">
        <v>0</v>
      </c>
      <c r="AC725">
        <v>0</v>
      </c>
      <c r="AD725">
        <v>0</v>
      </c>
      <c r="AE725">
        <v>0</v>
      </c>
      <c r="AF725">
        <v>0</v>
      </c>
      <c r="AG725">
        <v>0</v>
      </c>
      <c r="AH725">
        <v>0</v>
      </c>
      <c r="AI725">
        <v>0</v>
      </c>
      <c r="AJ725">
        <v>0</v>
      </c>
      <c r="AK725">
        <v>0</v>
      </c>
      <c r="AL725">
        <v>0</v>
      </c>
      <c r="AM725">
        <v>0</v>
      </c>
      <c r="AN725">
        <v>0</v>
      </c>
    </row>
    <row r="726" spans="25:40" x14ac:dyDescent="0.3">
      <c r="Y726">
        <v>0</v>
      </c>
      <c r="Z726">
        <v>0</v>
      </c>
      <c r="AA726">
        <v>0</v>
      </c>
      <c r="AB726">
        <v>0</v>
      </c>
      <c r="AC726">
        <v>0</v>
      </c>
      <c r="AD726">
        <v>0</v>
      </c>
      <c r="AE726">
        <v>0</v>
      </c>
      <c r="AF726">
        <v>0</v>
      </c>
      <c r="AG726">
        <v>0</v>
      </c>
      <c r="AH726">
        <v>0</v>
      </c>
      <c r="AI726">
        <v>0</v>
      </c>
      <c r="AJ726">
        <v>0</v>
      </c>
      <c r="AK726">
        <v>0</v>
      </c>
      <c r="AL726">
        <v>0</v>
      </c>
      <c r="AM726">
        <v>0</v>
      </c>
      <c r="AN726">
        <v>0</v>
      </c>
    </row>
    <row r="727" spans="25:40" x14ac:dyDescent="0.3">
      <c r="Y727">
        <v>0</v>
      </c>
      <c r="Z727">
        <v>0</v>
      </c>
      <c r="AA727">
        <v>0</v>
      </c>
      <c r="AB727">
        <v>0</v>
      </c>
      <c r="AC727">
        <v>0</v>
      </c>
      <c r="AD727">
        <v>0</v>
      </c>
      <c r="AE727">
        <v>0</v>
      </c>
      <c r="AF727">
        <v>0</v>
      </c>
      <c r="AG727">
        <v>0</v>
      </c>
      <c r="AH727">
        <v>0</v>
      </c>
      <c r="AI727">
        <v>0</v>
      </c>
      <c r="AJ727">
        <v>0</v>
      </c>
      <c r="AK727">
        <v>0</v>
      </c>
      <c r="AL727">
        <v>0</v>
      </c>
      <c r="AM727">
        <v>0</v>
      </c>
      <c r="AN727">
        <v>0</v>
      </c>
    </row>
    <row r="728" spans="25:40" x14ac:dyDescent="0.3">
      <c r="Y728">
        <v>145</v>
      </c>
      <c r="Z728">
        <v>0</v>
      </c>
      <c r="AA728">
        <v>0</v>
      </c>
      <c r="AB728">
        <v>0</v>
      </c>
      <c r="AC728">
        <v>0</v>
      </c>
      <c r="AD728">
        <v>145</v>
      </c>
      <c r="AE728">
        <v>0</v>
      </c>
      <c r="AF728">
        <v>0</v>
      </c>
      <c r="AG728">
        <v>0</v>
      </c>
      <c r="AH728">
        <v>0</v>
      </c>
      <c r="AI728">
        <v>0</v>
      </c>
      <c r="AJ728">
        <v>0</v>
      </c>
      <c r="AK728">
        <v>0</v>
      </c>
      <c r="AL728">
        <v>0</v>
      </c>
      <c r="AM728">
        <v>0</v>
      </c>
      <c r="AN728">
        <v>0</v>
      </c>
    </row>
    <row r="729" spans="25:40" x14ac:dyDescent="0.3">
      <c r="Y729">
        <v>161</v>
      </c>
      <c r="Z729">
        <v>0</v>
      </c>
      <c r="AA729">
        <v>0</v>
      </c>
      <c r="AB729">
        <v>0</v>
      </c>
      <c r="AC729">
        <v>0</v>
      </c>
      <c r="AD729">
        <v>161</v>
      </c>
      <c r="AE729">
        <v>0</v>
      </c>
      <c r="AF729">
        <v>0</v>
      </c>
      <c r="AG729">
        <v>0</v>
      </c>
      <c r="AH729">
        <v>0</v>
      </c>
      <c r="AI729">
        <v>0</v>
      </c>
      <c r="AJ729">
        <v>0</v>
      </c>
      <c r="AK729">
        <v>0</v>
      </c>
      <c r="AL729">
        <v>0</v>
      </c>
      <c r="AM729">
        <v>0</v>
      </c>
      <c r="AN729">
        <v>0</v>
      </c>
    </row>
    <row r="730" spans="25:40" x14ac:dyDescent="0.3">
      <c r="Y730">
        <v>130</v>
      </c>
      <c r="Z730">
        <v>0</v>
      </c>
      <c r="AA730">
        <v>0</v>
      </c>
      <c r="AB730">
        <v>0</v>
      </c>
      <c r="AC730">
        <v>0</v>
      </c>
      <c r="AD730">
        <v>130</v>
      </c>
      <c r="AE730">
        <v>0</v>
      </c>
      <c r="AF730">
        <v>0</v>
      </c>
      <c r="AG730">
        <v>0</v>
      </c>
      <c r="AH730">
        <v>0</v>
      </c>
      <c r="AI730">
        <v>0</v>
      </c>
      <c r="AJ730">
        <v>0</v>
      </c>
      <c r="AK730">
        <v>0</v>
      </c>
      <c r="AL730">
        <v>0</v>
      </c>
      <c r="AM730">
        <v>0</v>
      </c>
      <c r="AN730">
        <v>0</v>
      </c>
    </row>
    <row r="731" spans="25:40" x14ac:dyDescent="0.3">
      <c r="Y731">
        <v>183</v>
      </c>
      <c r="Z731">
        <v>0</v>
      </c>
      <c r="AA731">
        <v>0</v>
      </c>
      <c r="AB731">
        <v>0</v>
      </c>
      <c r="AC731">
        <v>0</v>
      </c>
      <c r="AD731">
        <v>183</v>
      </c>
      <c r="AE731">
        <v>0</v>
      </c>
      <c r="AF731">
        <v>0</v>
      </c>
      <c r="AG731">
        <v>0</v>
      </c>
      <c r="AH731">
        <v>0</v>
      </c>
      <c r="AI731">
        <v>0</v>
      </c>
      <c r="AJ731">
        <v>0</v>
      </c>
      <c r="AK731">
        <v>0</v>
      </c>
      <c r="AL731">
        <v>0</v>
      </c>
      <c r="AM731">
        <v>0</v>
      </c>
      <c r="AN731">
        <v>0</v>
      </c>
    </row>
    <row r="732" spans="25:40" x14ac:dyDescent="0.3">
      <c r="Y732">
        <v>0</v>
      </c>
      <c r="Z732">
        <v>0</v>
      </c>
      <c r="AA732">
        <v>0</v>
      </c>
      <c r="AB732">
        <v>0</v>
      </c>
      <c r="AC732">
        <v>0</v>
      </c>
      <c r="AD732">
        <v>0</v>
      </c>
      <c r="AE732">
        <v>0</v>
      </c>
      <c r="AF732">
        <v>0</v>
      </c>
      <c r="AG732">
        <v>0</v>
      </c>
      <c r="AH732">
        <v>0</v>
      </c>
      <c r="AI732">
        <v>0</v>
      </c>
      <c r="AJ732">
        <v>0</v>
      </c>
      <c r="AK732">
        <v>0</v>
      </c>
      <c r="AL732">
        <v>0</v>
      </c>
      <c r="AM732">
        <v>0</v>
      </c>
      <c r="AN732">
        <v>0</v>
      </c>
    </row>
    <row r="733" spans="25:40" x14ac:dyDescent="0.3">
      <c r="Y733">
        <v>0</v>
      </c>
      <c r="Z733">
        <v>0</v>
      </c>
      <c r="AA733">
        <v>0</v>
      </c>
      <c r="AB733">
        <v>0</v>
      </c>
      <c r="AC733">
        <v>0</v>
      </c>
      <c r="AD733">
        <v>0</v>
      </c>
      <c r="AE733">
        <v>0</v>
      </c>
      <c r="AF733">
        <v>0</v>
      </c>
      <c r="AG733">
        <v>0</v>
      </c>
      <c r="AH733">
        <v>0</v>
      </c>
      <c r="AI733">
        <v>0</v>
      </c>
      <c r="AJ733">
        <v>0</v>
      </c>
      <c r="AK733">
        <v>0</v>
      </c>
      <c r="AL733">
        <v>0</v>
      </c>
      <c r="AM733">
        <v>0</v>
      </c>
      <c r="AN733">
        <v>0</v>
      </c>
    </row>
    <row r="734" spans="25:40" x14ac:dyDescent="0.3">
      <c r="Y734">
        <v>0</v>
      </c>
      <c r="Z734">
        <v>0</v>
      </c>
      <c r="AA734">
        <v>0</v>
      </c>
      <c r="AB734">
        <v>0</v>
      </c>
      <c r="AC734">
        <v>0</v>
      </c>
      <c r="AD734">
        <v>0</v>
      </c>
      <c r="AE734">
        <v>0</v>
      </c>
      <c r="AF734">
        <v>0</v>
      </c>
      <c r="AG734">
        <v>0</v>
      </c>
      <c r="AH734">
        <v>0</v>
      </c>
      <c r="AI734">
        <v>0</v>
      </c>
      <c r="AJ734">
        <v>0</v>
      </c>
      <c r="AK734">
        <v>0</v>
      </c>
      <c r="AL734">
        <v>0</v>
      </c>
      <c r="AM734">
        <v>0</v>
      </c>
      <c r="AN734">
        <v>0</v>
      </c>
    </row>
    <row r="735" spans="25:40" x14ac:dyDescent="0.3">
      <c r="Y735">
        <v>295</v>
      </c>
      <c r="Z735">
        <v>0</v>
      </c>
      <c r="AA735">
        <v>0</v>
      </c>
      <c r="AB735">
        <v>0</v>
      </c>
      <c r="AC735">
        <v>0</v>
      </c>
      <c r="AD735">
        <v>295</v>
      </c>
      <c r="AE735">
        <v>0</v>
      </c>
      <c r="AF735">
        <v>0</v>
      </c>
      <c r="AG735">
        <v>0</v>
      </c>
      <c r="AH735">
        <v>0</v>
      </c>
      <c r="AI735">
        <v>0</v>
      </c>
      <c r="AJ735">
        <v>0</v>
      </c>
      <c r="AK735">
        <v>0</v>
      </c>
      <c r="AL735">
        <v>0</v>
      </c>
      <c r="AM735">
        <v>0</v>
      </c>
      <c r="AN735">
        <v>0</v>
      </c>
    </row>
    <row r="736" spans="25:40" x14ac:dyDescent="0.3">
      <c r="Y736">
        <v>174</v>
      </c>
      <c r="Z736">
        <v>0</v>
      </c>
      <c r="AA736">
        <v>0</v>
      </c>
      <c r="AB736">
        <v>0</v>
      </c>
      <c r="AC736">
        <v>0</v>
      </c>
      <c r="AD736">
        <v>174</v>
      </c>
      <c r="AE736">
        <v>0</v>
      </c>
      <c r="AF736">
        <v>0</v>
      </c>
      <c r="AG736">
        <v>0</v>
      </c>
      <c r="AH736">
        <v>0</v>
      </c>
      <c r="AI736">
        <v>0</v>
      </c>
      <c r="AJ736">
        <v>0</v>
      </c>
      <c r="AK736">
        <v>0</v>
      </c>
      <c r="AL736">
        <v>0</v>
      </c>
      <c r="AM736">
        <v>0</v>
      </c>
      <c r="AN736">
        <v>0</v>
      </c>
    </row>
    <row r="737" spans="25:40" x14ac:dyDescent="0.3">
      <c r="Y737">
        <v>103</v>
      </c>
      <c r="Z737">
        <v>0</v>
      </c>
      <c r="AA737">
        <v>0</v>
      </c>
      <c r="AB737">
        <v>0</v>
      </c>
      <c r="AC737">
        <v>0</v>
      </c>
      <c r="AD737">
        <v>0</v>
      </c>
      <c r="AE737">
        <v>0</v>
      </c>
      <c r="AF737">
        <v>0</v>
      </c>
      <c r="AG737">
        <v>0</v>
      </c>
      <c r="AH737">
        <v>103</v>
      </c>
      <c r="AI737">
        <v>0</v>
      </c>
      <c r="AJ737">
        <v>0</v>
      </c>
      <c r="AK737">
        <v>0</v>
      </c>
      <c r="AL737">
        <v>0</v>
      </c>
      <c r="AM737">
        <v>0</v>
      </c>
      <c r="AN737">
        <v>0</v>
      </c>
    </row>
    <row r="738" spans="25:40" x14ac:dyDescent="0.3">
      <c r="Y738">
        <v>274</v>
      </c>
      <c r="Z738">
        <v>0</v>
      </c>
      <c r="AA738">
        <v>0</v>
      </c>
      <c r="AB738">
        <v>0</v>
      </c>
      <c r="AC738">
        <v>0</v>
      </c>
      <c r="AD738">
        <v>0</v>
      </c>
      <c r="AE738">
        <v>0</v>
      </c>
      <c r="AF738">
        <v>0</v>
      </c>
      <c r="AG738">
        <v>0</v>
      </c>
      <c r="AH738">
        <v>274</v>
      </c>
      <c r="AI738">
        <v>0</v>
      </c>
      <c r="AJ738">
        <v>0</v>
      </c>
      <c r="AK738">
        <v>0</v>
      </c>
      <c r="AL738">
        <v>0</v>
      </c>
      <c r="AM738">
        <v>0</v>
      </c>
      <c r="AN738">
        <v>0</v>
      </c>
    </row>
    <row r="739" spans="25:40" x14ac:dyDescent="0.3">
      <c r="Y739">
        <v>169</v>
      </c>
      <c r="Z739">
        <v>0</v>
      </c>
      <c r="AA739">
        <v>0</v>
      </c>
      <c r="AB739">
        <v>0</v>
      </c>
      <c r="AC739">
        <v>0</v>
      </c>
      <c r="AD739">
        <v>0</v>
      </c>
      <c r="AE739">
        <v>0</v>
      </c>
      <c r="AF739">
        <v>0</v>
      </c>
      <c r="AG739">
        <v>0</v>
      </c>
      <c r="AH739">
        <v>169</v>
      </c>
      <c r="AI739">
        <v>0</v>
      </c>
      <c r="AJ739">
        <v>0</v>
      </c>
      <c r="AK739">
        <v>0</v>
      </c>
      <c r="AL739">
        <v>0</v>
      </c>
      <c r="AM739">
        <v>0</v>
      </c>
      <c r="AN739">
        <v>0</v>
      </c>
    </row>
    <row r="740" spans="25:40" x14ac:dyDescent="0.3">
      <c r="Y740">
        <v>211</v>
      </c>
      <c r="Z740">
        <v>0</v>
      </c>
      <c r="AA740">
        <v>0</v>
      </c>
      <c r="AB740">
        <v>0</v>
      </c>
      <c r="AC740">
        <v>0</v>
      </c>
      <c r="AD740">
        <v>0</v>
      </c>
      <c r="AE740">
        <v>0</v>
      </c>
      <c r="AF740">
        <v>0</v>
      </c>
      <c r="AG740">
        <v>0</v>
      </c>
      <c r="AH740">
        <v>211</v>
      </c>
      <c r="AI740">
        <v>0</v>
      </c>
      <c r="AJ740">
        <v>0</v>
      </c>
      <c r="AK740">
        <v>0</v>
      </c>
      <c r="AL740">
        <v>0</v>
      </c>
      <c r="AM740">
        <v>0</v>
      </c>
      <c r="AN740">
        <v>0</v>
      </c>
    </row>
    <row r="741" spans="25:40" x14ac:dyDescent="0.3">
      <c r="Y741">
        <v>177</v>
      </c>
      <c r="Z741">
        <v>0</v>
      </c>
      <c r="AA741">
        <v>0</v>
      </c>
      <c r="AB741">
        <v>0</v>
      </c>
      <c r="AC741">
        <v>0</v>
      </c>
      <c r="AD741">
        <v>0</v>
      </c>
      <c r="AE741">
        <v>0</v>
      </c>
      <c r="AF741">
        <v>0</v>
      </c>
      <c r="AG741">
        <v>0</v>
      </c>
      <c r="AH741">
        <v>177</v>
      </c>
      <c r="AI741">
        <v>0</v>
      </c>
      <c r="AJ741">
        <v>0</v>
      </c>
      <c r="AK741">
        <v>0</v>
      </c>
      <c r="AL741">
        <v>0</v>
      </c>
      <c r="AM741">
        <v>0</v>
      </c>
      <c r="AN741">
        <v>0</v>
      </c>
    </row>
    <row r="742" spans="25:40" x14ac:dyDescent="0.3">
      <c r="Y742">
        <v>104</v>
      </c>
      <c r="Z742">
        <v>0</v>
      </c>
      <c r="AA742">
        <v>0</v>
      </c>
      <c r="AB742">
        <v>0</v>
      </c>
      <c r="AC742">
        <v>0</v>
      </c>
      <c r="AD742">
        <v>0</v>
      </c>
      <c r="AE742">
        <v>0</v>
      </c>
      <c r="AF742">
        <v>0</v>
      </c>
      <c r="AG742">
        <v>0</v>
      </c>
      <c r="AH742">
        <v>104</v>
      </c>
      <c r="AI742">
        <v>0</v>
      </c>
      <c r="AJ742">
        <v>0</v>
      </c>
      <c r="AK742">
        <v>0</v>
      </c>
      <c r="AL742">
        <v>0</v>
      </c>
      <c r="AM742">
        <v>0</v>
      </c>
      <c r="AN742">
        <v>0</v>
      </c>
    </row>
    <row r="743" spans="25:40" x14ac:dyDescent="0.3">
      <c r="Y743">
        <v>0</v>
      </c>
      <c r="Z743">
        <v>0</v>
      </c>
      <c r="AA743">
        <v>0</v>
      </c>
      <c r="AB743">
        <v>0</v>
      </c>
      <c r="AC743">
        <v>0</v>
      </c>
      <c r="AD743">
        <v>0</v>
      </c>
      <c r="AE743">
        <v>0</v>
      </c>
      <c r="AF743">
        <v>0</v>
      </c>
      <c r="AG743">
        <v>0</v>
      </c>
      <c r="AH743">
        <v>0</v>
      </c>
      <c r="AI743">
        <v>0</v>
      </c>
      <c r="AJ743">
        <v>0</v>
      </c>
      <c r="AK743">
        <v>0</v>
      </c>
      <c r="AL743">
        <v>0</v>
      </c>
      <c r="AM743">
        <v>0</v>
      </c>
      <c r="AN743">
        <v>0</v>
      </c>
    </row>
    <row r="744" spans="25:40" x14ac:dyDescent="0.3">
      <c r="Y744">
        <v>217</v>
      </c>
      <c r="Z744">
        <v>0</v>
      </c>
      <c r="AA744">
        <v>0</v>
      </c>
      <c r="AB744">
        <v>0</v>
      </c>
      <c r="AC744">
        <v>0</v>
      </c>
      <c r="AD744">
        <v>217</v>
      </c>
      <c r="AE744">
        <v>0</v>
      </c>
      <c r="AF744">
        <v>0</v>
      </c>
      <c r="AG744">
        <v>0</v>
      </c>
      <c r="AH744">
        <v>0</v>
      </c>
      <c r="AI744">
        <v>0</v>
      </c>
      <c r="AJ744">
        <v>0</v>
      </c>
      <c r="AK744">
        <v>0</v>
      </c>
      <c r="AL744">
        <v>0</v>
      </c>
      <c r="AM744">
        <v>0</v>
      </c>
      <c r="AN744">
        <v>0</v>
      </c>
    </row>
    <row r="745" spans="25:40" x14ac:dyDescent="0.3">
      <c r="Y745">
        <v>107</v>
      </c>
      <c r="Z745">
        <v>0</v>
      </c>
      <c r="AA745">
        <v>0</v>
      </c>
      <c r="AB745">
        <v>0</v>
      </c>
      <c r="AC745">
        <v>107</v>
      </c>
      <c r="AD745">
        <v>0</v>
      </c>
      <c r="AE745">
        <v>0</v>
      </c>
      <c r="AF745">
        <v>0</v>
      </c>
      <c r="AG745">
        <v>0</v>
      </c>
      <c r="AH745">
        <v>0</v>
      </c>
      <c r="AI745">
        <v>0</v>
      </c>
      <c r="AJ745">
        <v>0</v>
      </c>
      <c r="AK745">
        <v>0</v>
      </c>
      <c r="AL745">
        <v>0</v>
      </c>
      <c r="AM745">
        <v>0</v>
      </c>
      <c r="AN745">
        <v>0</v>
      </c>
    </row>
    <row r="746" spans="25:40" x14ac:dyDescent="0.3">
      <c r="Y746">
        <v>0</v>
      </c>
      <c r="Z746">
        <v>0</v>
      </c>
      <c r="AA746">
        <v>0</v>
      </c>
      <c r="AB746">
        <v>0</v>
      </c>
      <c r="AC746">
        <v>0</v>
      </c>
      <c r="AD746">
        <v>0</v>
      </c>
      <c r="AE746">
        <v>0</v>
      </c>
      <c r="AF746">
        <v>0</v>
      </c>
      <c r="AG746">
        <v>0</v>
      </c>
      <c r="AH746">
        <v>0</v>
      </c>
      <c r="AI746">
        <v>0</v>
      </c>
      <c r="AJ746">
        <v>0</v>
      </c>
      <c r="AK746">
        <v>0</v>
      </c>
      <c r="AL746">
        <v>0</v>
      </c>
      <c r="AM746">
        <v>0</v>
      </c>
      <c r="AN746">
        <v>0</v>
      </c>
    </row>
    <row r="747" spans="25:40" x14ac:dyDescent="0.3">
      <c r="Y747">
        <v>0</v>
      </c>
      <c r="Z747">
        <v>0</v>
      </c>
      <c r="AA747">
        <v>0</v>
      </c>
      <c r="AB747">
        <v>0</v>
      </c>
      <c r="AC747">
        <v>0</v>
      </c>
      <c r="AD747">
        <v>0</v>
      </c>
      <c r="AE747">
        <v>0</v>
      </c>
      <c r="AF747">
        <v>0</v>
      </c>
      <c r="AG747">
        <v>0</v>
      </c>
      <c r="AH747">
        <v>0</v>
      </c>
      <c r="AI747">
        <v>0</v>
      </c>
      <c r="AJ747">
        <v>0</v>
      </c>
      <c r="AK747">
        <v>0</v>
      </c>
      <c r="AL747">
        <v>0</v>
      </c>
      <c r="AM747">
        <v>0</v>
      </c>
      <c r="AN747">
        <v>0</v>
      </c>
    </row>
    <row r="748" spans="25:40" x14ac:dyDescent="0.3">
      <c r="Y748">
        <v>161</v>
      </c>
      <c r="Z748">
        <v>0</v>
      </c>
      <c r="AA748">
        <v>0</v>
      </c>
      <c r="AB748">
        <v>0</v>
      </c>
      <c r="AC748">
        <v>161</v>
      </c>
      <c r="AD748">
        <v>0</v>
      </c>
      <c r="AE748">
        <v>0</v>
      </c>
      <c r="AF748">
        <v>0</v>
      </c>
      <c r="AG748">
        <v>0</v>
      </c>
      <c r="AH748">
        <v>0</v>
      </c>
      <c r="AI748">
        <v>0</v>
      </c>
      <c r="AJ748">
        <v>0</v>
      </c>
      <c r="AK748">
        <v>0</v>
      </c>
      <c r="AL748">
        <v>0</v>
      </c>
      <c r="AM748">
        <v>0</v>
      </c>
      <c r="AN748">
        <v>0</v>
      </c>
    </row>
    <row r="749" spans="25:40" x14ac:dyDescent="0.3">
      <c r="Y749">
        <v>116</v>
      </c>
      <c r="Z749">
        <v>0</v>
      </c>
      <c r="AA749">
        <v>0</v>
      </c>
      <c r="AB749">
        <v>0</v>
      </c>
      <c r="AC749">
        <v>116</v>
      </c>
      <c r="AD749">
        <v>0</v>
      </c>
      <c r="AE749">
        <v>0</v>
      </c>
      <c r="AF749">
        <v>0</v>
      </c>
      <c r="AG749">
        <v>0</v>
      </c>
      <c r="AH749">
        <v>0</v>
      </c>
      <c r="AI749">
        <v>0</v>
      </c>
      <c r="AJ749">
        <v>0</v>
      </c>
      <c r="AK749">
        <v>0</v>
      </c>
      <c r="AL749">
        <v>0</v>
      </c>
      <c r="AM749">
        <v>0</v>
      </c>
      <c r="AN749">
        <v>0</v>
      </c>
    </row>
    <row r="750" spans="25:40" x14ac:dyDescent="0.3">
      <c r="Y750">
        <v>189</v>
      </c>
      <c r="Z750">
        <v>0</v>
      </c>
      <c r="AA750">
        <v>0</v>
      </c>
      <c r="AB750">
        <v>0</v>
      </c>
      <c r="AC750">
        <v>189</v>
      </c>
      <c r="AD750">
        <v>0</v>
      </c>
      <c r="AE750">
        <v>0</v>
      </c>
      <c r="AF750">
        <v>0</v>
      </c>
      <c r="AG750">
        <v>0</v>
      </c>
      <c r="AH750">
        <v>0</v>
      </c>
      <c r="AI750">
        <v>0</v>
      </c>
      <c r="AJ750">
        <v>0</v>
      </c>
      <c r="AK750">
        <v>0</v>
      </c>
      <c r="AL750">
        <v>0</v>
      </c>
      <c r="AM750">
        <v>0</v>
      </c>
      <c r="AN750">
        <v>0</v>
      </c>
    </row>
    <row r="751" spans="25:40" x14ac:dyDescent="0.3">
      <c r="Y751">
        <v>127</v>
      </c>
      <c r="Z751">
        <v>0</v>
      </c>
      <c r="AA751">
        <v>0</v>
      </c>
      <c r="AB751">
        <v>0</v>
      </c>
      <c r="AC751">
        <v>0</v>
      </c>
      <c r="AD751">
        <v>0</v>
      </c>
      <c r="AE751">
        <v>0</v>
      </c>
      <c r="AF751">
        <v>0</v>
      </c>
      <c r="AG751">
        <v>0</v>
      </c>
      <c r="AH751">
        <v>127</v>
      </c>
      <c r="AI751">
        <v>0</v>
      </c>
      <c r="AJ751">
        <v>0</v>
      </c>
      <c r="AK751">
        <v>0</v>
      </c>
      <c r="AL751">
        <v>0</v>
      </c>
      <c r="AM751">
        <v>0</v>
      </c>
      <c r="AN751">
        <v>0</v>
      </c>
    </row>
    <row r="752" spans="25:40" x14ac:dyDescent="0.3">
      <c r="Y752">
        <v>97</v>
      </c>
      <c r="Z752">
        <v>0</v>
      </c>
      <c r="AA752">
        <v>0</v>
      </c>
      <c r="AB752">
        <v>0</v>
      </c>
      <c r="AC752">
        <v>0</v>
      </c>
      <c r="AD752">
        <v>0</v>
      </c>
      <c r="AE752">
        <v>0</v>
      </c>
      <c r="AF752">
        <v>0</v>
      </c>
      <c r="AG752">
        <v>0</v>
      </c>
      <c r="AH752">
        <v>97</v>
      </c>
      <c r="AI752">
        <v>0</v>
      </c>
      <c r="AJ752">
        <v>0</v>
      </c>
      <c r="AK752">
        <v>0</v>
      </c>
      <c r="AL752">
        <v>0</v>
      </c>
      <c r="AM752">
        <v>0</v>
      </c>
      <c r="AN752">
        <v>0</v>
      </c>
    </row>
    <row r="753" spans="25:40" x14ac:dyDescent="0.3">
      <c r="Y753">
        <v>177</v>
      </c>
      <c r="Z753">
        <v>0</v>
      </c>
      <c r="AA753">
        <v>0</v>
      </c>
      <c r="AB753">
        <v>0</v>
      </c>
      <c r="AC753">
        <v>0</v>
      </c>
      <c r="AD753">
        <v>0</v>
      </c>
      <c r="AE753">
        <v>0</v>
      </c>
      <c r="AF753">
        <v>0</v>
      </c>
      <c r="AG753">
        <v>0</v>
      </c>
      <c r="AH753">
        <v>177</v>
      </c>
      <c r="AI753">
        <v>0</v>
      </c>
      <c r="AJ753">
        <v>0</v>
      </c>
      <c r="AK753">
        <v>0</v>
      </c>
      <c r="AL753">
        <v>0</v>
      </c>
      <c r="AM753">
        <v>0</v>
      </c>
      <c r="AN753">
        <v>0</v>
      </c>
    </row>
    <row r="754" spans="25:40" x14ac:dyDescent="0.3">
      <c r="Y754">
        <v>150</v>
      </c>
      <c r="Z754">
        <v>0</v>
      </c>
      <c r="AA754">
        <v>0</v>
      </c>
      <c r="AB754">
        <v>0</v>
      </c>
      <c r="AC754">
        <v>0</v>
      </c>
      <c r="AD754">
        <v>0</v>
      </c>
      <c r="AE754">
        <v>0</v>
      </c>
      <c r="AF754">
        <v>0</v>
      </c>
      <c r="AG754">
        <v>0</v>
      </c>
      <c r="AH754">
        <v>150</v>
      </c>
      <c r="AI754">
        <v>0</v>
      </c>
      <c r="AJ754">
        <v>0</v>
      </c>
      <c r="AK754">
        <v>0</v>
      </c>
      <c r="AL754">
        <v>0</v>
      </c>
      <c r="AM754">
        <v>0</v>
      </c>
      <c r="AN754">
        <v>0</v>
      </c>
    </row>
    <row r="755" spans="25:40" x14ac:dyDescent="0.3">
      <c r="Y755">
        <v>117</v>
      </c>
      <c r="Z755">
        <v>0</v>
      </c>
      <c r="AA755">
        <v>0</v>
      </c>
      <c r="AB755">
        <v>0</v>
      </c>
      <c r="AC755">
        <v>0</v>
      </c>
      <c r="AD755">
        <v>0</v>
      </c>
      <c r="AE755">
        <v>0</v>
      </c>
      <c r="AF755">
        <v>0</v>
      </c>
      <c r="AG755">
        <v>0</v>
      </c>
      <c r="AH755">
        <v>117</v>
      </c>
      <c r="AI755">
        <v>0</v>
      </c>
      <c r="AJ755">
        <v>0</v>
      </c>
      <c r="AK755">
        <v>0</v>
      </c>
      <c r="AL755">
        <v>0</v>
      </c>
      <c r="AM755">
        <v>0</v>
      </c>
      <c r="AN755">
        <v>0</v>
      </c>
    </row>
    <row r="756" spans="25:40" x14ac:dyDescent="0.3">
      <c r="Y756">
        <v>156</v>
      </c>
      <c r="Z756">
        <v>0</v>
      </c>
      <c r="AA756">
        <v>0</v>
      </c>
      <c r="AB756">
        <v>0</v>
      </c>
      <c r="AC756">
        <v>0</v>
      </c>
      <c r="AD756">
        <v>0</v>
      </c>
      <c r="AE756">
        <v>0</v>
      </c>
      <c r="AF756">
        <v>0</v>
      </c>
      <c r="AG756">
        <v>0</v>
      </c>
      <c r="AH756">
        <v>156</v>
      </c>
      <c r="AI756">
        <v>0</v>
      </c>
      <c r="AJ756">
        <v>0</v>
      </c>
      <c r="AK756">
        <v>0</v>
      </c>
      <c r="AL756">
        <v>0</v>
      </c>
      <c r="AM756">
        <v>0</v>
      </c>
      <c r="AN756">
        <v>0</v>
      </c>
    </row>
    <row r="757" spans="25:40" x14ac:dyDescent="0.3">
      <c r="Y757">
        <v>118</v>
      </c>
      <c r="Z757">
        <v>0</v>
      </c>
      <c r="AA757">
        <v>0</v>
      </c>
      <c r="AB757">
        <v>0</v>
      </c>
      <c r="AC757">
        <v>0</v>
      </c>
      <c r="AD757">
        <v>0</v>
      </c>
      <c r="AE757">
        <v>0</v>
      </c>
      <c r="AF757">
        <v>0</v>
      </c>
      <c r="AG757">
        <v>118</v>
      </c>
      <c r="AH757">
        <v>0</v>
      </c>
      <c r="AI757">
        <v>0</v>
      </c>
      <c r="AJ757">
        <v>0</v>
      </c>
      <c r="AK757">
        <v>0</v>
      </c>
      <c r="AL757">
        <v>0</v>
      </c>
      <c r="AM757">
        <v>0</v>
      </c>
      <c r="AN757">
        <v>0</v>
      </c>
    </row>
    <row r="758" spans="25:40" x14ac:dyDescent="0.3">
      <c r="Y758">
        <v>0</v>
      </c>
      <c r="Z758">
        <v>0</v>
      </c>
      <c r="AA758">
        <v>0</v>
      </c>
      <c r="AB758">
        <v>0</v>
      </c>
      <c r="AC758">
        <v>0</v>
      </c>
      <c r="AD758">
        <v>0</v>
      </c>
      <c r="AE758">
        <v>0</v>
      </c>
      <c r="AF758">
        <v>0</v>
      </c>
      <c r="AG758">
        <v>0</v>
      </c>
      <c r="AH758">
        <v>0</v>
      </c>
      <c r="AI758">
        <v>0</v>
      </c>
      <c r="AJ758">
        <v>0</v>
      </c>
      <c r="AK758">
        <v>0</v>
      </c>
      <c r="AL758">
        <v>0</v>
      </c>
      <c r="AM758">
        <v>0</v>
      </c>
      <c r="AN758">
        <v>0</v>
      </c>
    </row>
    <row r="759" spans="25:40" x14ac:dyDescent="0.3">
      <c r="Y759">
        <v>0</v>
      </c>
      <c r="Z759">
        <v>0</v>
      </c>
      <c r="AA759">
        <v>0</v>
      </c>
      <c r="AB759">
        <v>0</v>
      </c>
      <c r="AC759">
        <v>0</v>
      </c>
      <c r="AD759">
        <v>0</v>
      </c>
      <c r="AE759">
        <v>0</v>
      </c>
      <c r="AF759">
        <v>0</v>
      </c>
      <c r="AG759">
        <v>0</v>
      </c>
      <c r="AH759">
        <v>0</v>
      </c>
      <c r="AI759">
        <v>0</v>
      </c>
      <c r="AJ759">
        <v>0</v>
      </c>
      <c r="AK759">
        <v>0</v>
      </c>
      <c r="AL759">
        <v>0</v>
      </c>
      <c r="AM759">
        <v>0</v>
      </c>
      <c r="AN759">
        <v>0</v>
      </c>
    </row>
    <row r="760" spans="25:40" x14ac:dyDescent="0.3">
      <c r="Y760">
        <v>94</v>
      </c>
      <c r="Z760">
        <v>0</v>
      </c>
      <c r="AA760">
        <v>0</v>
      </c>
      <c r="AB760">
        <v>0</v>
      </c>
      <c r="AC760">
        <v>0</v>
      </c>
      <c r="AD760">
        <v>0</v>
      </c>
      <c r="AE760">
        <v>0</v>
      </c>
      <c r="AF760">
        <v>0</v>
      </c>
      <c r="AG760">
        <v>94</v>
      </c>
      <c r="AH760">
        <v>0</v>
      </c>
      <c r="AI760">
        <v>0</v>
      </c>
      <c r="AJ760">
        <v>0</v>
      </c>
      <c r="AK760">
        <v>0</v>
      </c>
      <c r="AL760">
        <v>0</v>
      </c>
      <c r="AM760">
        <v>0</v>
      </c>
      <c r="AN760">
        <v>0</v>
      </c>
    </row>
    <row r="761" spans="25:40" x14ac:dyDescent="0.3">
      <c r="Y761">
        <v>49</v>
      </c>
      <c r="Z761">
        <v>0</v>
      </c>
      <c r="AA761">
        <v>0</v>
      </c>
      <c r="AB761">
        <v>0</v>
      </c>
      <c r="AC761">
        <v>0</v>
      </c>
      <c r="AD761">
        <v>0</v>
      </c>
      <c r="AE761">
        <v>0</v>
      </c>
      <c r="AF761">
        <v>0</v>
      </c>
      <c r="AG761">
        <v>0</v>
      </c>
      <c r="AH761">
        <v>49</v>
      </c>
      <c r="AI761">
        <v>0</v>
      </c>
      <c r="AJ761">
        <v>0</v>
      </c>
      <c r="AK761">
        <v>0</v>
      </c>
      <c r="AL761">
        <v>0</v>
      </c>
      <c r="AM761">
        <v>0</v>
      </c>
      <c r="AN761">
        <v>0</v>
      </c>
    </row>
    <row r="762" spans="25:40" x14ac:dyDescent="0.3">
      <c r="Y762">
        <v>99</v>
      </c>
      <c r="Z762">
        <v>0</v>
      </c>
      <c r="AA762">
        <v>0</v>
      </c>
      <c r="AB762">
        <v>0</v>
      </c>
      <c r="AC762">
        <v>0</v>
      </c>
      <c r="AD762">
        <v>0</v>
      </c>
      <c r="AE762">
        <v>0</v>
      </c>
      <c r="AF762">
        <v>0</v>
      </c>
      <c r="AG762">
        <v>0</v>
      </c>
      <c r="AH762">
        <v>99</v>
      </c>
      <c r="AI762">
        <v>0</v>
      </c>
      <c r="AJ762">
        <v>0</v>
      </c>
      <c r="AK762">
        <v>0</v>
      </c>
      <c r="AL762">
        <v>0</v>
      </c>
      <c r="AM762">
        <v>0</v>
      </c>
      <c r="AN762">
        <v>0</v>
      </c>
    </row>
    <row r="763" spans="25:40" x14ac:dyDescent="0.3">
      <c r="Y763">
        <v>197</v>
      </c>
      <c r="Z763">
        <v>0</v>
      </c>
      <c r="AA763">
        <v>0</v>
      </c>
      <c r="AB763">
        <v>0</v>
      </c>
      <c r="AC763">
        <v>0</v>
      </c>
      <c r="AD763">
        <v>0</v>
      </c>
      <c r="AE763">
        <v>0</v>
      </c>
      <c r="AF763">
        <v>0</v>
      </c>
      <c r="AG763">
        <v>197</v>
      </c>
      <c r="AH763">
        <v>0</v>
      </c>
      <c r="AI763">
        <v>0</v>
      </c>
      <c r="AJ763">
        <v>0</v>
      </c>
      <c r="AK763">
        <v>0</v>
      </c>
      <c r="AL763">
        <v>0</v>
      </c>
      <c r="AM763">
        <v>0</v>
      </c>
      <c r="AN763">
        <v>0</v>
      </c>
    </row>
    <row r="764" spans="25:40" x14ac:dyDescent="0.3">
      <c r="Y764">
        <v>142</v>
      </c>
      <c r="Z764">
        <v>0</v>
      </c>
      <c r="AA764">
        <v>0</v>
      </c>
      <c r="AB764">
        <v>0</v>
      </c>
      <c r="AC764">
        <v>142</v>
      </c>
      <c r="AD764">
        <v>0</v>
      </c>
      <c r="AE764">
        <v>0</v>
      </c>
      <c r="AF764">
        <v>0</v>
      </c>
      <c r="AG764">
        <v>0</v>
      </c>
      <c r="AH764">
        <v>0</v>
      </c>
      <c r="AI764">
        <v>0</v>
      </c>
      <c r="AJ764">
        <v>0</v>
      </c>
      <c r="AK764">
        <v>0</v>
      </c>
      <c r="AL764">
        <v>0</v>
      </c>
      <c r="AM764">
        <v>0</v>
      </c>
      <c r="AN764">
        <v>0</v>
      </c>
    </row>
    <row r="765" spans="25:40" x14ac:dyDescent="0.3">
      <c r="Y765">
        <v>0</v>
      </c>
      <c r="Z765">
        <v>0</v>
      </c>
      <c r="AA765">
        <v>0</v>
      </c>
      <c r="AB765">
        <v>0</v>
      </c>
      <c r="AC765">
        <v>0</v>
      </c>
      <c r="AD765">
        <v>0</v>
      </c>
      <c r="AE765">
        <v>0</v>
      </c>
      <c r="AF765">
        <v>0</v>
      </c>
      <c r="AG765">
        <v>0</v>
      </c>
      <c r="AH765">
        <v>0</v>
      </c>
      <c r="AI765">
        <v>0</v>
      </c>
      <c r="AJ765">
        <v>0</v>
      </c>
      <c r="AK765">
        <v>0</v>
      </c>
      <c r="AL765">
        <v>0</v>
      </c>
      <c r="AM765">
        <v>0</v>
      </c>
      <c r="AN765">
        <v>0</v>
      </c>
    </row>
    <row r="766" spans="25:40" x14ac:dyDescent="0.3">
      <c r="Y766">
        <v>147</v>
      </c>
      <c r="Z766">
        <v>0</v>
      </c>
      <c r="AA766">
        <v>0</v>
      </c>
      <c r="AB766">
        <v>0</v>
      </c>
      <c r="AC766">
        <v>147</v>
      </c>
      <c r="AD766">
        <v>0</v>
      </c>
      <c r="AE766">
        <v>0</v>
      </c>
      <c r="AF766">
        <v>0</v>
      </c>
      <c r="AG766">
        <v>0</v>
      </c>
      <c r="AH766">
        <v>0</v>
      </c>
      <c r="AI766">
        <v>0</v>
      </c>
      <c r="AJ766">
        <v>0</v>
      </c>
      <c r="AK766">
        <v>0</v>
      </c>
      <c r="AL766">
        <v>0</v>
      </c>
      <c r="AM766">
        <v>0</v>
      </c>
      <c r="AN766">
        <v>0</v>
      </c>
    </row>
    <row r="767" spans="25:40" x14ac:dyDescent="0.3">
      <c r="Y767">
        <v>172</v>
      </c>
      <c r="Z767">
        <v>0</v>
      </c>
      <c r="AA767">
        <v>0</v>
      </c>
      <c r="AB767">
        <v>0</v>
      </c>
      <c r="AC767">
        <v>172</v>
      </c>
      <c r="AD767">
        <v>0</v>
      </c>
      <c r="AE767">
        <v>0</v>
      </c>
      <c r="AF767">
        <v>0</v>
      </c>
      <c r="AG767">
        <v>0</v>
      </c>
      <c r="AH767">
        <v>0</v>
      </c>
      <c r="AI767">
        <v>0</v>
      </c>
      <c r="AJ767">
        <v>0</v>
      </c>
      <c r="AK767">
        <v>0</v>
      </c>
      <c r="AL767">
        <v>0</v>
      </c>
      <c r="AM767">
        <v>0</v>
      </c>
      <c r="AN767">
        <v>0</v>
      </c>
    </row>
    <row r="768" spans="25:40" x14ac:dyDescent="0.3">
      <c r="Y768">
        <v>66</v>
      </c>
      <c r="Z768">
        <v>0</v>
      </c>
      <c r="AA768">
        <v>0</v>
      </c>
      <c r="AB768">
        <v>0</v>
      </c>
      <c r="AC768">
        <v>66</v>
      </c>
      <c r="AD768">
        <v>0</v>
      </c>
      <c r="AE768">
        <v>0</v>
      </c>
      <c r="AF768">
        <v>0</v>
      </c>
      <c r="AG768">
        <v>0</v>
      </c>
      <c r="AH768">
        <v>0</v>
      </c>
      <c r="AI768">
        <v>0</v>
      </c>
      <c r="AJ768">
        <v>0</v>
      </c>
      <c r="AK768">
        <v>0</v>
      </c>
      <c r="AL768">
        <v>0</v>
      </c>
      <c r="AM768">
        <v>0</v>
      </c>
      <c r="AN768">
        <v>0</v>
      </c>
    </row>
    <row r="769" spans="25:40" x14ac:dyDescent="0.3">
      <c r="Y769">
        <v>148</v>
      </c>
      <c r="Z769">
        <v>0</v>
      </c>
      <c r="AA769">
        <v>0</v>
      </c>
      <c r="AB769">
        <v>0</v>
      </c>
      <c r="AC769">
        <v>148</v>
      </c>
      <c r="AD769">
        <v>0</v>
      </c>
      <c r="AE769">
        <v>0</v>
      </c>
      <c r="AF769">
        <v>0</v>
      </c>
      <c r="AG769">
        <v>0</v>
      </c>
      <c r="AH769">
        <v>0</v>
      </c>
      <c r="AI769">
        <v>0</v>
      </c>
      <c r="AJ769">
        <v>0</v>
      </c>
      <c r="AK769">
        <v>0</v>
      </c>
      <c r="AL769">
        <v>0</v>
      </c>
      <c r="AM769">
        <v>0</v>
      </c>
      <c r="AN769">
        <v>0</v>
      </c>
    </row>
    <row r="770" spans="25:40" x14ac:dyDescent="0.3">
      <c r="Y770">
        <v>0</v>
      </c>
      <c r="Z770">
        <v>0</v>
      </c>
      <c r="AA770">
        <v>0</v>
      </c>
      <c r="AB770">
        <v>0</v>
      </c>
      <c r="AC770">
        <v>0</v>
      </c>
      <c r="AD770">
        <v>0</v>
      </c>
      <c r="AE770">
        <v>0</v>
      </c>
      <c r="AF770">
        <v>0</v>
      </c>
      <c r="AG770">
        <v>0</v>
      </c>
      <c r="AH770">
        <v>0</v>
      </c>
      <c r="AI770">
        <v>0</v>
      </c>
      <c r="AJ770">
        <v>0</v>
      </c>
      <c r="AK770">
        <v>0</v>
      </c>
      <c r="AL770">
        <v>0</v>
      </c>
      <c r="AM770">
        <v>0</v>
      </c>
      <c r="AN770">
        <v>0</v>
      </c>
    </row>
    <row r="771" spans="25:40" x14ac:dyDescent="0.3">
      <c r="Y771">
        <v>117</v>
      </c>
      <c r="Z771">
        <v>0</v>
      </c>
      <c r="AA771">
        <v>0</v>
      </c>
      <c r="AB771">
        <v>0</v>
      </c>
      <c r="AC771">
        <v>117</v>
      </c>
      <c r="AD771">
        <v>0</v>
      </c>
      <c r="AE771">
        <v>0</v>
      </c>
      <c r="AF771">
        <v>0</v>
      </c>
      <c r="AG771">
        <v>0</v>
      </c>
      <c r="AH771">
        <v>0</v>
      </c>
      <c r="AI771">
        <v>0</v>
      </c>
      <c r="AJ771">
        <v>0</v>
      </c>
      <c r="AK771">
        <v>0</v>
      </c>
      <c r="AL771">
        <v>0</v>
      </c>
      <c r="AM771">
        <v>0</v>
      </c>
      <c r="AN771">
        <v>0</v>
      </c>
    </row>
    <row r="772" spans="25:40" x14ac:dyDescent="0.3">
      <c r="Y772">
        <v>162</v>
      </c>
      <c r="Z772">
        <v>0</v>
      </c>
      <c r="AA772">
        <v>0</v>
      </c>
      <c r="AB772">
        <v>0</v>
      </c>
      <c r="AC772">
        <v>162</v>
      </c>
      <c r="AD772">
        <v>0</v>
      </c>
      <c r="AE772">
        <v>0</v>
      </c>
      <c r="AF772">
        <v>0</v>
      </c>
      <c r="AG772">
        <v>0</v>
      </c>
      <c r="AH772">
        <v>0</v>
      </c>
      <c r="AI772">
        <v>0</v>
      </c>
      <c r="AJ772">
        <v>0</v>
      </c>
      <c r="AK772">
        <v>0</v>
      </c>
      <c r="AL772">
        <v>0</v>
      </c>
      <c r="AM772">
        <v>0</v>
      </c>
      <c r="AN772">
        <v>0</v>
      </c>
    </row>
    <row r="773" spans="25:40" x14ac:dyDescent="0.3">
      <c r="Y773">
        <v>0</v>
      </c>
      <c r="Z773">
        <v>0</v>
      </c>
      <c r="AA773">
        <v>0</v>
      </c>
      <c r="AB773">
        <v>0</v>
      </c>
      <c r="AC773">
        <v>0</v>
      </c>
      <c r="AD773">
        <v>0</v>
      </c>
      <c r="AE773">
        <v>0</v>
      </c>
      <c r="AF773">
        <v>0</v>
      </c>
      <c r="AG773">
        <v>0</v>
      </c>
      <c r="AH773">
        <v>0</v>
      </c>
      <c r="AI773">
        <v>0</v>
      </c>
      <c r="AJ773">
        <v>0</v>
      </c>
      <c r="AK773">
        <v>0</v>
      </c>
      <c r="AL773">
        <v>0</v>
      </c>
      <c r="AM773">
        <v>0</v>
      </c>
      <c r="AN773">
        <v>0</v>
      </c>
    </row>
    <row r="774" spans="25:40" x14ac:dyDescent="0.3">
      <c r="Y774">
        <v>202</v>
      </c>
      <c r="Z774">
        <v>0</v>
      </c>
      <c r="AA774">
        <v>0</v>
      </c>
      <c r="AB774">
        <v>0</v>
      </c>
      <c r="AC774">
        <v>202</v>
      </c>
      <c r="AD774">
        <v>0</v>
      </c>
      <c r="AE774">
        <v>0</v>
      </c>
      <c r="AF774">
        <v>0</v>
      </c>
      <c r="AG774">
        <v>0</v>
      </c>
      <c r="AH774">
        <v>0</v>
      </c>
      <c r="AI774">
        <v>0</v>
      </c>
      <c r="AJ774">
        <v>0</v>
      </c>
      <c r="AK774">
        <v>0</v>
      </c>
      <c r="AL774">
        <v>0</v>
      </c>
      <c r="AM774">
        <v>0</v>
      </c>
      <c r="AN774">
        <v>0</v>
      </c>
    </row>
    <row r="775" spans="25:40" x14ac:dyDescent="0.3">
      <c r="Y775">
        <v>39</v>
      </c>
      <c r="Z775">
        <v>0</v>
      </c>
      <c r="AA775">
        <v>0</v>
      </c>
      <c r="AB775">
        <v>0</v>
      </c>
      <c r="AC775">
        <v>39</v>
      </c>
      <c r="AD775">
        <v>0</v>
      </c>
      <c r="AE775">
        <v>0</v>
      </c>
      <c r="AF775">
        <v>0</v>
      </c>
      <c r="AG775">
        <v>0</v>
      </c>
      <c r="AH775">
        <v>0</v>
      </c>
      <c r="AI775">
        <v>0</v>
      </c>
      <c r="AJ775">
        <v>0</v>
      </c>
      <c r="AK775">
        <v>0</v>
      </c>
      <c r="AL775">
        <v>0</v>
      </c>
      <c r="AM775">
        <v>0</v>
      </c>
      <c r="AN775">
        <v>0</v>
      </c>
    </row>
    <row r="776" spans="25:40" x14ac:dyDescent="0.3">
      <c r="Y776">
        <v>193</v>
      </c>
      <c r="Z776">
        <v>0</v>
      </c>
      <c r="AA776">
        <v>0</v>
      </c>
      <c r="AB776">
        <v>0</v>
      </c>
      <c r="AC776">
        <v>193</v>
      </c>
      <c r="AD776">
        <v>0</v>
      </c>
      <c r="AE776">
        <v>0</v>
      </c>
      <c r="AF776">
        <v>0</v>
      </c>
      <c r="AG776">
        <v>0</v>
      </c>
      <c r="AH776">
        <v>0</v>
      </c>
      <c r="AI776">
        <v>0</v>
      </c>
      <c r="AJ776">
        <v>0</v>
      </c>
      <c r="AK776">
        <v>0</v>
      </c>
      <c r="AL776">
        <v>0</v>
      </c>
      <c r="AM776">
        <v>0</v>
      </c>
      <c r="AN776">
        <v>0</v>
      </c>
    </row>
    <row r="777" spans="25:40" x14ac:dyDescent="0.3">
      <c r="Y777">
        <v>147</v>
      </c>
      <c r="Z777">
        <v>0</v>
      </c>
      <c r="AA777">
        <v>0</v>
      </c>
      <c r="AB777">
        <v>0</v>
      </c>
      <c r="AC777">
        <v>147</v>
      </c>
      <c r="AD777">
        <v>0</v>
      </c>
      <c r="AE777">
        <v>0</v>
      </c>
      <c r="AF777">
        <v>0</v>
      </c>
      <c r="AG777">
        <v>0</v>
      </c>
      <c r="AH777">
        <v>0</v>
      </c>
      <c r="AI777">
        <v>0</v>
      </c>
      <c r="AJ777">
        <v>0</v>
      </c>
      <c r="AK777">
        <v>0</v>
      </c>
      <c r="AL777">
        <v>0</v>
      </c>
      <c r="AM777">
        <v>0</v>
      </c>
      <c r="AN777">
        <v>0</v>
      </c>
    </row>
    <row r="778" spans="25:40" x14ac:dyDescent="0.3">
      <c r="Y778">
        <v>133</v>
      </c>
      <c r="Z778">
        <v>0</v>
      </c>
      <c r="AA778">
        <v>133</v>
      </c>
      <c r="AB778">
        <v>0</v>
      </c>
      <c r="AC778">
        <v>0</v>
      </c>
      <c r="AD778">
        <v>0</v>
      </c>
      <c r="AE778">
        <v>0</v>
      </c>
      <c r="AF778">
        <v>0</v>
      </c>
      <c r="AG778">
        <v>0</v>
      </c>
      <c r="AH778">
        <v>0</v>
      </c>
      <c r="AI778">
        <v>0</v>
      </c>
      <c r="AJ778">
        <v>0</v>
      </c>
      <c r="AK778">
        <v>0</v>
      </c>
      <c r="AL778">
        <v>0</v>
      </c>
      <c r="AM778">
        <v>0</v>
      </c>
      <c r="AN778">
        <v>0</v>
      </c>
    </row>
    <row r="779" spans="25:40" x14ac:dyDescent="0.3">
      <c r="Y779">
        <v>159</v>
      </c>
      <c r="Z779">
        <v>0</v>
      </c>
      <c r="AA779">
        <v>0</v>
      </c>
      <c r="AB779">
        <v>0</v>
      </c>
      <c r="AC779">
        <v>159</v>
      </c>
      <c r="AD779">
        <v>0</v>
      </c>
      <c r="AE779">
        <v>0</v>
      </c>
      <c r="AF779">
        <v>0</v>
      </c>
      <c r="AG779">
        <v>0</v>
      </c>
      <c r="AH779">
        <v>0</v>
      </c>
      <c r="AI779">
        <v>0</v>
      </c>
      <c r="AJ779">
        <v>0</v>
      </c>
      <c r="AK779">
        <v>0</v>
      </c>
      <c r="AL779">
        <v>0</v>
      </c>
      <c r="AM779">
        <v>0</v>
      </c>
      <c r="AN779">
        <v>0</v>
      </c>
    </row>
    <row r="780" spans="25:40" x14ac:dyDescent="0.3">
      <c r="Y780">
        <v>158</v>
      </c>
      <c r="Z780">
        <v>0</v>
      </c>
      <c r="AA780">
        <v>0</v>
      </c>
      <c r="AB780">
        <v>0</v>
      </c>
      <c r="AC780">
        <v>158</v>
      </c>
      <c r="AD780">
        <v>0</v>
      </c>
      <c r="AE780">
        <v>0</v>
      </c>
      <c r="AF780">
        <v>0</v>
      </c>
      <c r="AG780">
        <v>0</v>
      </c>
      <c r="AH780">
        <v>0</v>
      </c>
      <c r="AI780">
        <v>0</v>
      </c>
      <c r="AJ780">
        <v>0</v>
      </c>
      <c r="AK780">
        <v>0</v>
      </c>
      <c r="AL780">
        <v>0</v>
      </c>
      <c r="AM780">
        <v>0</v>
      </c>
      <c r="AN780">
        <v>0</v>
      </c>
    </row>
    <row r="781" spans="25:40" x14ac:dyDescent="0.3">
      <c r="Y781">
        <v>118</v>
      </c>
      <c r="Z781">
        <v>0</v>
      </c>
      <c r="AA781">
        <v>0</v>
      </c>
      <c r="AB781">
        <v>0</v>
      </c>
      <c r="AC781">
        <v>118</v>
      </c>
      <c r="AD781">
        <v>0</v>
      </c>
      <c r="AE781">
        <v>0</v>
      </c>
      <c r="AF781">
        <v>0</v>
      </c>
      <c r="AG781">
        <v>0</v>
      </c>
      <c r="AH781">
        <v>0</v>
      </c>
      <c r="AI781">
        <v>0</v>
      </c>
      <c r="AJ781">
        <v>0</v>
      </c>
      <c r="AK781">
        <v>0</v>
      </c>
      <c r="AL781">
        <v>0</v>
      </c>
      <c r="AM781">
        <v>0</v>
      </c>
      <c r="AN781">
        <v>0</v>
      </c>
    </row>
    <row r="782" spans="25:40" x14ac:dyDescent="0.3">
      <c r="Y782">
        <v>0</v>
      </c>
      <c r="Z782">
        <v>0</v>
      </c>
      <c r="AA782">
        <v>0</v>
      </c>
      <c r="AB782">
        <v>0</v>
      </c>
      <c r="AC782">
        <v>0</v>
      </c>
      <c r="AD782">
        <v>0</v>
      </c>
      <c r="AE782">
        <v>0</v>
      </c>
      <c r="AF782">
        <v>0</v>
      </c>
      <c r="AG782">
        <v>0</v>
      </c>
      <c r="AH782">
        <v>0</v>
      </c>
      <c r="AI782">
        <v>0</v>
      </c>
      <c r="AJ782">
        <v>0</v>
      </c>
      <c r="AK782">
        <v>0</v>
      </c>
      <c r="AL782">
        <v>0</v>
      </c>
      <c r="AM782">
        <v>0</v>
      </c>
      <c r="AN782">
        <v>0</v>
      </c>
    </row>
    <row r="783" spans="25:40" x14ac:dyDescent="0.3">
      <c r="Y783">
        <v>187</v>
      </c>
      <c r="Z783">
        <v>0</v>
      </c>
      <c r="AA783">
        <v>0</v>
      </c>
      <c r="AB783">
        <v>0</v>
      </c>
      <c r="AC783">
        <v>187</v>
      </c>
      <c r="AD783">
        <v>0</v>
      </c>
      <c r="AE783">
        <v>0</v>
      </c>
      <c r="AF783">
        <v>0</v>
      </c>
      <c r="AG783">
        <v>0</v>
      </c>
      <c r="AH783">
        <v>0</v>
      </c>
      <c r="AI783">
        <v>0</v>
      </c>
      <c r="AJ783">
        <v>0</v>
      </c>
      <c r="AK783">
        <v>0</v>
      </c>
      <c r="AL783">
        <v>0</v>
      </c>
      <c r="AM783">
        <v>0</v>
      </c>
      <c r="AN783">
        <v>0</v>
      </c>
    </row>
    <row r="784" spans="25:40" x14ac:dyDescent="0.3">
      <c r="Y784">
        <v>103</v>
      </c>
      <c r="Z784">
        <v>0</v>
      </c>
      <c r="AA784">
        <v>0</v>
      </c>
      <c r="AB784">
        <v>0</v>
      </c>
      <c r="AC784">
        <v>103</v>
      </c>
      <c r="AD784">
        <v>0</v>
      </c>
      <c r="AE784">
        <v>0</v>
      </c>
      <c r="AF784">
        <v>0</v>
      </c>
      <c r="AG784">
        <v>0</v>
      </c>
      <c r="AH784">
        <v>0</v>
      </c>
      <c r="AI784">
        <v>0</v>
      </c>
      <c r="AJ784">
        <v>0</v>
      </c>
      <c r="AK784">
        <v>0</v>
      </c>
      <c r="AL784">
        <v>0</v>
      </c>
      <c r="AM784">
        <v>0</v>
      </c>
      <c r="AN784">
        <v>0</v>
      </c>
    </row>
    <row r="785" spans="25:40" x14ac:dyDescent="0.3">
      <c r="Y785">
        <v>47</v>
      </c>
      <c r="Z785">
        <v>0</v>
      </c>
      <c r="AA785">
        <v>0</v>
      </c>
      <c r="AB785">
        <v>0</v>
      </c>
      <c r="AC785">
        <v>47</v>
      </c>
      <c r="AD785">
        <v>0</v>
      </c>
      <c r="AE785">
        <v>0</v>
      </c>
      <c r="AF785">
        <v>0</v>
      </c>
      <c r="AG785">
        <v>0</v>
      </c>
      <c r="AH785">
        <v>0</v>
      </c>
      <c r="AI785">
        <v>0</v>
      </c>
      <c r="AJ785">
        <v>0</v>
      </c>
      <c r="AK785">
        <v>0</v>
      </c>
      <c r="AL785">
        <v>0</v>
      </c>
      <c r="AM785">
        <v>0</v>
      </c>
      <c r="AN785">
        <v>0</v>
      </c>
    </row>
    <row r="786" spans="25:40" x14ac:dyDescent="0.3">
      <c r="Y786">
        <v>0</v>
      </c>
      <c r="Z786">
        <v>0</v>
      </c>
      <c r="AA786">
        <v>0</v>
      </c>
      <c r="AB786">
        <v>0</v>
      </c>
      <c r="AC786">
        <v>0</v>
      </c>
      <c r="AD786">
        <v>0</v>
      </c>
      <c r="AE786">
        <v>0</v>
      </c>
      <c r="AF786">
        <v>0</v>
      </c>
      <c r="AG786">
        <v>0</v>
      </c>
      <c r="AH786">
        <v>0</v>
      </c>
      <c r="AI786">
        <v>0</v>
      </c>
      <c r="AJ786">
        <v>0</v>
      </c>
      <c r="AK786">
        <v>0</v>
      </c>
      <c r="AL786">
        <v>0</v>
      </c>
      <c r="AM786">
        <v>0</v>
      </c>
      <c r="AN786">
        <v>0</v>
      </c>
    </row>
    <row r="787" spans="25:40" x14ac:dyDescent="0.3">
      <c r="Y787">
        <v>0</v>
      </c>
      <c r="Z787">
        <v>0</v>
      </c>
      <c r="AA787">
        <v>0</v>
      </c>
      <c r="AB787">
        <v>0</v>
      </c>
      <c r="AC787">
        <v>0</v>
      </c>
      <c r="AD787">
        <v>0</v>
      </c>
      <c r="AE787">
        <v>0</v>
      </c>
      <c r="AF787">
        <v>0</v>
      </c>
      <c r="AG787">
        <v>0</v>
      </c>
      <c r="AH787">
        <v>0</v>
      </c>
      <c r="AI787">
        <v>0</v>
      </c>
      <c r="AJ787">
        <v>0</v>
      </c>
      <c r="AK787">
        <v>0</v>
      </c>
      <c r="AL787">
        <v>0</v>
      </c>
      <c r="AM787">
        <v>0</v>
      </c>
      <c r="AN787">
        <v>0</v>
      </c>
    </row>
    <row r="788" spans="25:40" x14ac:dyDescent="0.3">
      <c r="Y788">
        <v>198</v>
      </c>
      <c r="Z788">
        <v>0</v>
      </c>
      <c r="AA788">
        <v>0</v>
      </c>
      <c r="AB788">
        <v>0</v>
      </c>
      <c r="AC788">
        <v>198</v>
      </c>
      <c r="AD788">
        <v>0</v>
      </c>
      <c r="AE788">
        <v>0</v>
      </c>
      <c r="AF788">
        <v>0</v>
      </c>
      <c r="AG788">
        <v>0</v>
      </c>
      <c r="AH788">
        <v>0</v>
      </c>
      <c r="AI788">
        <v>0</v>
      </c>
      <c r="AJ788">
        <v>0</v>
      </c>
      <c r="AK788">
        <v>0</v>
      </c>
      <c r="AL788">
        <v>0</v>
      </c>
      <c r="AM788">
        <v>0</v>
      </c>
      <c r="AN788">
        <v>0</v>
      </c>
    </row>
    <row r="789" spans="25:40" x14ac:dyDescent="0.3">
      <c r="Y789">
        <v>0</v>
      </c>
      <c r="Z789">
        <v>0</v>
      </c>
      <c r="AA789">
        <v>0</v>
      </c>
      <c r="AB789">
        <v>0</v>
      </c>
      <c r="AC789">
        <v>0</v>
      </c>
      <c r="AD789">
        <v>0</v>
      </c>
      <c r="AE789">
        <v>0</v>
      </c>
      <c r="AF789">
        <v>0</v>
      </c>
      <c r="AG789">
        <v>0</v>
      </c>
      <c r="AH789">
        <v>0</v>
      </c>
      <c r="AI789">
        <v>0</v>
      </c>
      <c r="AJ789">
        <v>0</v>
      </c>
      <c r="AK789">
        <v>0</v>
      </c>
      <c r="AL789">
        <v>0</v>
      </c>
      <c r="AM789">
        <v>0</v>
      </c>
      <c r="AN789">
        <v>0</v>
      </c>
    </row>
    <row r="790" spans="25:40" x14ac:dyDescent="0.3">
      <c r="Y790">
        <v>178</v>
      </c>
      <c r="Z790">
        <v>0</v>
      </c>
      <c r="AA790">
        <v>0</v>
      </c>
      <c r="AB790">
        <v>0</v>
      </c>
      <c r="AC790">
        <v>178</v>
      </c>
      <c r="AD790">
        <v>0</v>
      </c>
      <c r="AE790">
        <v>0</v>
      </c>
      <c r="AF790">
        <v>0</v>
      </c>
      <c r="AG790">
        <v>0</v>
      </c>
      <c r="AH790">
        <v>0</v>
      </c>
      <c r="AI790">
        <v>0</v>
      </c>
      <c r="AJ790">
        <v>0</v>
      </c>
      <c r="AK790">
        <v>0</v>
      </c>
      <c r="AL790">
        <v>0</v>
      </c>
      <c r="AM790">
        <v>0</v>
      </c>
      <c r="AN790">
        <v>0</v>
      </c>
    </row>
    <row r="791" spans="25:40" x14ac:dyDescent="0.3">
      <c r="Y791">
        <v>0</v>
      </c>
      <c r="Z791">
        <v>0</v>
      </c>
      <c r="AA791">
        <v>0</v>
      </c>
      <c r="AB791">
        <v>0</v>
      </c>
      <c r="AC791">
        <v>0</v>
      </c>
      <c r="AD791">
        <v>0</v>
      </c>
      <c r="AE791">
        <v>0</v>
      </c>
      <c r="AF791">
        <v>0</v>
      </c>
      <c r="AG791">
        <v>0</v>
      </c>
      <c r="AH791">
        <v>0</v>
      </c>
      <c r="AI791">
        <v>0</v>
      </c>
      <c r="AJ791">
        <v>0</v>
      </c>
      <c r="AK791">
        <v>0</v>
      </c>
      <c r="AL791">
        <v>0</v>
      </c>
      <c r="AM791">
        <v>0</v>
      </c>
      <c r="AN791">
        <v>0</v>
      </c>
    </row>
    <row r="792" spans="25:40" x14ac:dyDescent="0.3">
      <c r="Y792">
        <v>34</v>
      </c>
      <c r="Z792">
        <v>0</v>
      </c>
      <c r="AA792">
        <v>0</v>
      </c>
      <c r="AB792">
        <v>34</v>
      </c>
      <c r="AC792">
        <v>0</v>
      </c>
      <c r="AD792">
        <v>0</v>
      </c>
      <c r="AE792">
        <v>0</v>
      </c>
      <c r="AF792">
        <v>0</v>
      </c>
      <c r="AG792">
        <v>0</v>
      </c>
      <c r="AH792">
        <v>0</v>
      </c>
      <c r="AI792">
        <v>0</v>
      </c>
      <c r="AJ792">
        <v>0</v>
      </c>
      <c r="AK792">
        <v>0</v>
      </c>
      <c r="AL792">
        <v>0</v>
      </c>
      <c r="AM792">
        <v>0</v>
      </c>
      <c r="AN792">
        <v>0</v>
      </c>
    </row>
    <row r="793" spans="25:40" x14ac:dyDescent="0.3">
      <c r="Y793">
        <v>0</v>
      </c>
      <c r="Z793">
        <v>0</v>
      </c>
      <c r="AA793">
        <v>0</v>
      </c>
      <c r="AB793">
        <v>0</v>
      </c>
      <c r="AC793">
        <v>0</v>
      </c>
      <c r="AD793">
        <v>0</v>
      </c>
      <c r="AE793">
        <v>0</v>
      </c>
      <c r="AF793">
        <v>0</v>
      </c>
      <c r="AG793">
        <v>0</v>
      </c>
      <c r="AH793">
        <v>0</v>
      </c>
      <c r="AI793">
        <v>0</v>
      </c>
      <c r="AJ793">
        <v>0</v>
      </c>
      <c r="AK793">
        <v>0</v>
      </c>
      <c r="AL793">
        <v>0</v>
      </c>
      <c r="AM793">
        <v>0</v>
      </c>
      <c r="AN793">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1FF7F-6B1F-4A99-A0DA-AD272E492790}">
  <dimension ref="A1:AN230"/>
  <sheetViews>
    <sheetView zoomScale="70" zoomScaleNormal="70" workbookViewId="0">
      <selection activeCell="E33" sqref="E33"/>
    </sheetView>
  </sheetViews>
  <sheetFormatPr defaultRowHeight="15" x14ac:dyDescent="0.3"/>
  <cols>
    <col min="1" max="2" width="21.85546875" customWidth="1"/>
    <col min="3" max="3" width="34.5703125" customWidth="1"/>
    <col min="4" max="4" width="21.85546875" customWidth="1"/>
    <col min="5" max="21" width="16.140625" customWidth="1"/>
    <col min="25" max="40" width="16.140625" customWidth="1"/>
  </cols>
  <sheetData>
    <row r="1" spans="1:40" x14ac:dyDescent="0.3">
      <c r="A1" s="513" t="s">
        <v>1367</v>
      </c>
      <c r="B1" s="513" t="s">
        <v>1368</v>
      </c>
      <c r="C1" s="513" t="s">
        <v>450</v>
      </c>
      <c r="D1" s="513" t="s">
        <v>39</v>
      </c>
      <c r="E1" s="513" t="s">
        <v>1528</v>
      </c>
      <c r="F1" s="620" t="s">
        <v>1535</v>
      </c>
      <c r="G1" s="513">
        <v>2024</v>
      </c>
      <c r="H1" s="513">
        <v>2023</v>
      </c>
      <c r="I1" s="513">
        <v>2022</v>
      </c>
      <c r="J1" s="513">
        <v>2021</v>
      </c>
      <c r="K1" s="513">
        <v>2020</v>
      </c>
      <c r="L1" s="513">
        <v>2019</v>
      </c>
      <c r="M1" s="513">
        <v>2018</v>
      </c>
      <c r="N1" s="513">
        <v>2017</v>
      </c>
      <c r="O1" s="513">
        <v>2016</v>
      </c>
      <c r="P1" s="513">
        <v>2015</v>
      </c>
      <c r="Q1" s="513">
        <v>2014</v>
      </c>
      <c r="R1" s="513">
        <v>2013</v>
      </c>
      <c r="S1" s="513">
        <v>2012</v>
      </c>
      <c r="T1" s="513">
        <v>2011</v>
      </c>
      <c r="U1" s="513">
        <v>2010</v>
      </c>
      <c r="W1" t="s">
        <v>1791</v>
      </c>
      <c r="Y1" s="620" t="s">
        <v>1535</v>
      </c>
      <c r="Z1" s="513">
        <v>2024</v>
      </c>
      <c r="AA1" s="513">
        <v>2023</v>
      </c>
      <c r="AB1" s="513">
        <v>2022</v>
      </c>
      <c r="AC1" s="513">
        <v>2021</v>
      </c>
      <c r="AD1" s="513">
        <v>2020</v>
      </c>
      <c r="AE1" s="513">
        <v>2019</v>
      </c>
      <c r="AF1" s="513">
        <v>2018</v>
      </c>
      <c r="AG1" s="513">
        <v>2017</v>
      </c>
      <c r="AH1" s="513">
        <v>2016</v>
      </c>
      <c r="AI1" s="513">
        <v>2015</v>
      </c>
      <c r="AJ1" s="513">
        <v>2014</v>
      </c>
      <c r="AK1" s="513">
        <v>2013</v>
      </c>
      <c r="AL1" s="513">
        <v>2012</v>
      </c>
      <c r="AM1" s="513">
        <v>2011</v>
      </c>
      <c r="AN1" s="513">
        <v>2010</v>
      </c>
    </row>
    <row r="2" spans="1:40" x14ac:dyDescent="0.3">
      <c r="A2" s="489" t="s">
        <v>1414</v>
      </c>
      <c r="B2" s="489" t="s">
        <v>1430</v>
      </c>
      <c r="C2" s="489" t="s">
        <v>1431</v>
      </c>
      <c r="D2" s="489" t="s">
        <v>46</v>
      </c>
      <c r="E2" s="619">
        <v>4826</v>
      </c>
      <c r="F2" s="621">
        <f>Y2</f>
        <v>71212.546265560173</v>
      </c>
      <c r="G2" s="501">
        <f t="shared" ref="G2:U17" si="0">IF(Z2&gt;0,Z2,IF(H2&gt;0,H2,0))</f>
        <v>72400.721374045796</v>
      </c>
      <c r="H2" s="501">
        <f t="shared" si="0"/>
        <v>68796.403892944043</v>
      </c>
      <c r="I2" s="501">
        <f t="shared" si="0"/>
        <v>61813.372549019608</v>
      </c>
      <c r="J2" s="501">
        <f t="shared" si="0"/>
        <v>62622.567073170729</v>
      </c>
      <c r="K2" s="501">
        <f t="shared" si="0"/>
        <v>60597.72277227723</v>
      </c>
      <c r="L2" s="501">
        <f t="shared" si="0"/>
        <v>78453.066030814385</v>
      </c>
      <c r="M2" s="501">
        <f t="shared" si="0"/>
        <v>77916.250803858522</v>
      </c>
      <c r="N2" s="501">
        <f t="shared" si="0"/>
        <v>75896.709090909091</v>
      </c>
      <c r="O2" s="501">
        <f t="shared" si="0"/>
        <v>72998.032828282827</v>
      </c>
      <c r="P2" s="501">
        <f t="shared" si="0"/>
        <v>65748.76470588235</v>
      </c>
      <c r="Q2" s="501">
        <f t="shared" si="0"/>
        <v>62010.33507853403</v>
      </c>
      <c r="R2" s="501">
        <f t="shared" si="0"/>
        <v>66224.167741935482</v>
      </c>
      <c r="S2" s="501">
        <f t="shared" si="0"/>
        <v>61414.79536679537</v>
      </c>
      <c r="T2" s="501">
        <f t="shared" si="0"/>
        <v>71111.661538461543</v>
      </c>
      <c r="U2" s="501">
        <f t="shared" si="0"/>
        <v>61899.395348837206</v>
      </c>
      <c r="W2" t="s">
        <v>1790</v>
      </c>
      <c r="Y2" s="621">
        <v>71212.546265560173</v>
      </c>
      <c r="Z2" s="501">
        <v>72400.721374045796</v>
      </c>
      <c r="AA2" s="501">
        <v>68796.403892944043</v>
      </c>
      <c r="AB2" s="501">
        <v>61813.372549019608</v>
      </c>
      <c r="AC2" s="501">
        <v>62622.567073170729</v>
      </c>
      <c r="AD2" s="501">
        <v>60597.72277227723</v>
      </c>
      <c r="AE2" s="501">
        <v>78453.066030814385</v>
      </c>
      <c r="AF2" s="501">
        <v>77916.250803858522</v>
      </c>
      <c r="AG2" s="501">
        <v>75896.709090909091</v>
      </c>
      <c r="AH2" s="501">
        <v>72998.032828282827</v>
      </c>
      <c r="AI2" s="501">
        <v>65748.76470588235</v>
      </c>
      <c r="AJ2" s="501">
        <v>62010.33507853403</v>
      </c>
      <c r="AK2" s="501">
        <v>66224.167741935482</v>
      </c>
      <c r="AL2" s="501">
        <v>61414.79536679537</v>
      </c>
      <c r="AM2" s="501">
        <v>71111.661538461543</v>
      </c>
      <c r="AN2" s="501">
        <v>61899.395348837206</v>
      </c>
    </row>
    <row r="3" spans="1:40" x14ac:dyDescent="0.3">
      <c r="A3" s="489" t="s">
        <v>1414</v>
      </c>
      <c r="B3" s="489" t="s">
        <v>1428</v>
      </c>
      <c r="C3" s="489" t="s">
        <v>1429</v>
      </c>
      <c r="D3" s="489" t="s">
        <v>46</v>
      </c>
      <c r="E3" s="619">
        <v>2174</v>
      </c>
      <c r="F3" s="621">
        <f t="shared" ref="F3:F66" si="1">Y3</f>
        <v>69220.762189512418</v>
      </c>
      <c r="G3" s="501">
        <f t="shared" si="0"/>
        <v>79081.25</v>
      </c>
      <c r="H3" s="501">
        <f t="shared" si="0"/>
        <v>76823.632352941175</v>
      </c>
      <c r="I3" s="501">
        <f t="shared" si="0"/>
        <v>73072.045454545456</v>
      </c>
      <c r="J3" s="501">
        <f t="shared" si="0"/>
        <v>71691.95</v>
      </c>
      <c r="K3" s="501">
        <f t="shared" si="0"/>
        <v>72633.642857142855</v>
      </c>
      <c r="L3" s="501">
        <f t="shared" si="0"/>
        <v>73865.345612134348</v>
      </c>
      <c r="M3" s="501">
        <f t="shared" si="0"/>
        <v>67040.156962025314</v>
      </c>
      <c r="N3" s="501">
        <f t="shared" si="0"/>
        <v>64145.469168900803</v>
      </c>
      <c r="O3" s="501">
        <f t="shared" si="0"/>
        <v>62144.360576923078</v>
      </c>
      <c r="P3" s="501">
        <f t="shared" si="0"/>
        <v>55176.530120481926</v>
      </c>
      <c r="Q3" s="501">
        <f t="shared" si="0"/>
        <v>0</v>
      </c>
      <c r="R3" s="501">
        <f t="shared" si="0"/>
        <v>0</v>
      </c>
      <c r="S3" s="501">
        <f t="shared" si="0"/>
        <v>0</v>
      </c>
      <c r="T3" s="501">
        <f t="shared" si="0"/>
        <v>0</v>
      </c>
      <c r="U3" s="501">
        <f t="shared" si="0"/>
        <v>0</v>
      </c>
      <c r="Y3" s="621">
        <v>69220.762189512418</v>
      </c>
      <c r="Z3" s="501">
        <v>79081.25</v>
      </c>
      <c r="AA3" s="501">
        <v>76823.632352941175</v>
      </c>
      <c r="AB3" s="501">
        <v>73072.045454545456</v>
      </c>
      <c r="AC3" s="501">
        <v>71691.95</v>
      </c>
      <c r="AD3" s="501">
        <v>72633.642857142855</v>
      </c>
      <c r="AE3" s="501">
        <v>73865.345612134348</v>
      </c>
      <c r="AF3" s="501">
        <v>67040.156962025314</v>
      </c>
      <c r="AG3" s="501">
        <v>64145.469168900803</v>
      </c>
      <c r="AH3" s="501">
        <v>62144.360576923078</v>
      </c>
      <c r="AI3" s="501">
        <v>55176.530120481926</v>
      </c>
      <c r="AJ3" s="501">
        <v>0</v>
      </c>
      <c r="AK3" s="501">
        <v>0</v>
      </c>
      <c r="AL3" s="501">
        <v>0</v>
      </c>
      <c r="AM3" s="501">
        <v>0</v>
      </c>
      <c r="AN3" s="501">
        <v>0</v>
      </c>
    </row>
    <row r="4" spans="1:40" x14ac:dyDescent="0.3">
      <c r="A4" s="489" t="s">
        <v>1441</v>
      </c>
      <c r="B4" s="489" t="s">
        <v>1447</v>
      </c>
      <c r="C4" s="489" t="s">
        <v>1448</v>
      </c>
      <c r="D4" s="489" t="s">
        <v>46</v>
      </c>
      <c r="E4" s="619">
        <v>1174</v>
      </c>
      <c r="F4" s="621">
        <f t="shared" si="1"/>
        <v>55214.145655877343</v>
      </c>
      <c r="G4" s="501">
        <f t="shared" si="0"/>
        <v>77402</v>
      </c>
      <c r="H4" s="501">
        <f t="shared" si="0"/>
        <v>92360</v>
      </c>
      <c r="I4" s="501">
        <f t="shared" si="0"/>
        <v>77841</v>
      </c>
      <c r="J4" s="501">
        <f t="shared" si="0"/>
        <v>70664.333333333328</v>
      </c>
      <c r="K4" s="501">
        <f t="shared" si="0"/>
        <v>66571</v>
      </c>
      <c r="L4" s="501">
        <f t="shared" si="0"/>
        <v>62694.174683544305</v>
      </c>
      <c r="M4" s="501">
        <f t="shared" si="0"/>
        <v>58127.343373493975</v>
      </c>
      <c r="N4" s="501">
        <f t="shared" si="0"/>
        <v>49074.704433497536</v>
      </c>
      <c r="O4" s="501">
        <f t="shared" si="0"/>
        <v>47981.981595092024</v>
      </c>
      <c r="P4" s="501">
        <f t="shared" si="0"/>
        <v>53650.816326530614</v>
      </c>
      <c r="Q4" s="501">
        <f t="shared" si="0"/>
        <v>56803.404255319147</v>
      </c>
      <c r="R4" s="501">
        <f t="shared" si="0"/>
        <v>53603.684210526313</v>
      </c>
      <c r="S4" s="501">
        <f t="shared" si="0"/>
        <v>51462.90625</v>
      </c>
      <c r="T4" s="501">
        <f t="shared" si="0"/>
        <v>43530.083333333336</v>
      </c>
      <c r="U4" s="501">
        <f t="shared" si="0"/>
        <v>38264.891304347824</v>
      </c>
      <c r="Y4" s="621">
        <v>55214.145655877343</v>
      </c>
      <c r="Z4" s="501">
        <v>77402</v>
      </c>
      <c r="AA4" s="501">
        <v>92360</v>
      </c>
      <c r="AB4" s="501">
        <v>77841</v>
      </c>
      <c r="AC4" s="501">
        <v>70664.333333333328</v>
      </c>
      <c r="AD4" s="501">
        <v>66571</v>
      </c>
      <c r="AE4" s="501">
        <v>62694.174683544305</v>
      </c>
      <c r="AF4" s="501">
        <v>58127.343373493975</v>
      </c>
      <c r="AG4" s="501">
        <v>49074.704433497536</v>
      </c>
      <c r="AH4" s="501">
        <v>47981.981595092024</v>
      </c>
      <c r="AI4" s="501">
        <v>53650.816326530614</v>
      </c>
      <c r="AJ4" s="501">
        <v>56803.404255319147</v>
      </c>
      <c r="AK4" s="501">
        <v>53603.684210526313</v>
      </c>
      <c r="AL4" s="501">
        <v>51462.90625</v>
      </c>
      <c r="AM4" s="501">
        <v>43530.083333333336</v>
      </c>
      <c r="AN4" s="501">
        <v>38264.891304347824</v>
      </c>
    </row>
    <row r="5" spans="1:40" x14ac:dyDescent="0.3">
      <c r="A5" s="489" t="s">
        <v>1417</v>
      </c>
      <c r="B5" s="489" t="s">
        <v>1418</v>
      </c>
      <c r="C5" s="489" t="s">
        <v>1232</v>
      </c>
      <c r="D5" s="489" t="s">
        <v>141</v>
      </c>
      <c r="E5" s="619">
        <v>1068</v>
      </c>
      <c r="F5" s="621">
        <f t="shared" si="1"/>
        <v>43302.136704119854</v>
      </c>
      <c r="G5" s="501">
        <f t="shared" si="0"/>
        <v>40829.753036437251</v>
      </c>
      <c r="H5" s="501">
        <f t="shared" si="0"/>
        <v>44898.876777251186</v>
      </c>
      <c r="I5" s="501">
        <f t="shared" si="0"/>
        <v>43538.458937198069</v>
      </c>
      <c r="J5" s="501">
        <f t="shared" si="0"/>
        <v>42233.449494949498</v>
      </c>
      <c r="K5" s="501">
        <f t="shared" si="0"/>
        <v>46122.761904761908</v>
      </c>
      <c r="L5" s="501">
        <f t="shared" si="0"/>
        <v>44948.366666666669</v>
      </c>
      <c r="M5" s="501">
        <f t="shared" si="0"/>
        <v>45270</v>
      </c>
      <c r="N5" s="501">
        <f t="shared" si="0"/>
        <v>0</v>
      </c>
      <c r="O5" s="501">
        <f t="shared" si="0"/>
        <v>0</v>
      </c>
      <c r="P5" s="501">
        <f t="shared" si="0"/>
        <v>0</v>
      </c>
      <c r="Q5" s="501">
        <f t="shared" si="0"/>
        <v>0</v>
      </c>
      <c r="R5" s="501">
        <f t="shared" si="0"/>
        <v>0</v>
      </c>
      <c r="S5" s="501">
        <f t="shared" si="0"/>
        <v>0</v>
      </c>
      <c r="T5" s="501">
        <f t="shared" si="0"/>
        <v>0</v>
      </c>
      <c r="U5" s="501">
        <f t="shared" si="0"/>
        <v>0</v>
      </c>
      <c r="Y5" s="621">
        <v>43302.136704119854</v>
      </c>
      <c r="Z5" s="501">
        <v>40829.753036437251</v>
      </c>
      <c r="AA5" s="501">
        <v>44898.876777251186</v>
      </c>
      <c r="AB5" s="501">
        <v>43538.458937198069</v>
      </c>
      <c r="AC5" s="501">
        <v>42233.449494949498</v>
      </c>
      <c r="AD5" s="501">
        <v>46122.761904761908</v>
      </c>
      <c r="AE5" s="501">
        <v>44948.366666666669</v>
      </c>
      <c r="AF5" s="501">
        <v>45270</v>
      </c>
      <c r="AG5" s="501">
        <v>0</v>
      </c>
      <c r="AH5" s="501">
        <v>0</v>
      </c>
      <c r="AI5" s="501">
        <v>0</v>
      </c>
      <c r="AJ5" s="501">
        <v>0</v>
      </c>
      <c r="AK5" s="501">
        <v>0</v>
      </c>
      <c r="AL5" s="501">
        <v>0</v>
      </c>
      <c r="AM5" s="501">
        <v>0</v>
      </c>
      <c r="AN5" s="501">
        <v>0</v>
      </c>
    </row>
    <row r="6" spans="1:40" x14ac:dyDescent="0.3">
      <c r="A6" s="489" t="s">
        <v>1414</v>
      </c>
      <c r="B6" s="489" t="s">
        <v>1540</v>
      </c>
      <c r="C6" s="489" t="s">
        <v>1541</v>
      </c>
      <c r="D6" s="489" t="s">
        <v>46</v>
      </c>
      <c r="E6" s="619">
        <v>965</v>
      </c>
      <c r="F6" s="621">
        <f t="shared" si="1"/>
        <v>94332.474611398968</v>
      </c>
      <c r="G6" s="501">
        <f t="shared" si="0"/>
        <v>110059.62162162163</v>
      </c>
      <c r="H6" s="501">
        <f t="shared" si="0"/>
        <v>103871.77611940299</v>
      </c>
      <c r="I6" s="501">
        <f t="shared" si="0"/>
        <v>101817.02564102564</v>
      </c>
      <c r="J6" s="501">
        <f t="shared" si="0"/>
        <v>97978.875</v>
      </c>
      <c r="K6" s="501">
        <f t="shared" si="0"/>
        <v>98410.916666666672</v>
      </c>
      <c r="L6" s="501">
        <f t="shared" si="0"/>
        <v>96528.719444444447</v>
      </c>
      <c r="M6" s="501">
        <f t="shared" si="0"/>
        <v>91803.325966850825</v>
      </c>
      <c r="N6" s="501">
        <f t="shared" si="0"/>
        <v>86984.380952380947</v>
      </c>
      <c r="O6" s="501">
        <f t="shared" si="0"/>
        <v>86619.55072463768</v>
      </c>
      <c r="P6" s="501">
        <f t="shared" si="0"/>
        <v>82159.702702702707</v>
      </c>
      <c r="Q6" s="501">
        <f t="shared" si="0"/>
        <v>83933.777777777781</v>
      </c>
      <c r="R6" s="501">
        <f t="shared" si="0"/>
        <v>0</v>
      </c>
      <c r="S6" s="501">
        <f t="shared" si="0"/>
        <v>0</v>
      </c>
      <c r="T6" s="501">
        <f t="shared" si="0"/>
        <v>0</v>
      </c>
      <c r="U6" s="501">
        <f t="shared" si="0"/>
        <v>0</v>
      </c>
      <c r="Y6" s="621">
        <v>94332.474611398968</v>
      </c>
      <c r="Z6" s="501">
        <v>110059.62162162163</v>
      </c>
      <c r="AA6" s="501">
        <v>103871.77611940299</v>
      </c>
      <c r="AB6" s="501">
        <v>101817.02564102564</v>
      </c>
      <c r="AC6" s="501">
        <v>97978.875</v>
      </c>
      <c r="AD6" s="501">
        <v>98410.916666666672</v>
      </c>
      <c r="AE6" s="501">
        <v>96528.719444444447</v>
      </c>
      <c r="AF6" s="501">
        <v>91803.325966850825</v>
      </c>
      <c r="AG6" s="501">
        <v>86984.380952380947</v>
      </c>
      <c r="AH6" s="501">
        <v>86619.55072463768</v>
      </c>
      <c r="AI6" s="501">
        <v>82159.702702702707</v>
      </c>
      <c r="AJ6" s="501">
        <v>83933.777777777781</v>
      </c>
      <c r="AK6" s="501">
        <v>0</v>
      </c>
      <c r="AL6" s="501">
        <v>0</v>
      </c>
      <c r="AM6" s="501">
        <v>0</v>
      </c>
      <c r="AN6" s="501">
        <v>0</v>
      </c>
    </row>
    <row r="7" spans="1:40" x14ac:dyDescent="0.3">
      <c r="A7" s="489" t="s">
        <v>1432</v>
      </c>
      <c r="B7" s="489" t="s">
        <v>1433</v>
      </c>
      <c r="C7" s="489" t="s">
        <v>1434</v>
      </c>
      <c r="D7" s="489" t="s">
        <v>141</v>
      </c>
      <c r="E7" s="619">
        <v>952</v>
      </c>
      <c r="F7" s="621">
        <f t="shared" si="1"/>
        <v>55753.928571428572</v>
      </c>
      <c r="G7" s="501">
        <f t="shared" si="0"/>
        <v>57099.66972477064</v>
      </c>
      <c r="H7" s="501">
        <f t="shared" si="0"/>
        <v>56453.592997811815</v>
      </c>
      <c r="I7" s="501">
        <f t="shared" si="0"/>
        <v>54758.682719546741</v>
      </c>
      <c r="J7" s="501">
        <f t="shared" si="0"/>
        <v>52265.727272727272</v>
      </c>
      <c r="K7" s="501">
        <f t="shared" si="0"/>
        <v>0</v>
      </c>
      <c r="L7" s="501">
        <f t="shared" si="0"/>
        <v>0</v>
      </c>
      <c r="M7" s="501">
        <f t="shared" si="0"/>
        <v>0</v>
      </c>
      <c r="N7" s="501">
        <f t="shared" si="0"/>
        <v>0</v>
      </c>
      <c r="O7" s="501">
        <f t="shared" si="0"/>
        <v>0</v>
      </c>
      <c r="P7" s="501">
        <f t="shared" si="0"/>
        <v>0</v>
      </c>
      <c r="Q7" s="501">
        <f t="shared" si="0"/>
        <v>0</v>
      </c>
      <c r="R7" s="501">
        <f t="shared" si="0"/>
        <v>0</v>
      </c>
      <c r="S7" s="501">
        <f t="shared" si="0"/>
        <v>0</v>
      </c>
      <c r="T7" s="501">
        <f t="shared" si="0"/>
        <v>0</v>
      </c>
      <c r="U7" s="501">
        <f t="shared" si="0"/>
        <v>0</v>
      </c>
      <c r="Y7" s="621">
        <v>55753.928571428572</v>
      </c>
      <c r="Z7" s="501">
        <v>57099.66972477064</v>
      </c>
      <c r="AA7" s="501">
        <v>56453.592997811815</v>
      </c>
      <c r="AB7" s="501">
        <v>54758.682719546741</v>
      </c>
      <c r="AC7" s="501">
        <v>52265.727272727272</v>
      </c>
      <c r="AD7" s="501">
        <v>0</v>
      </c>
      <c r="AE7" s="501">
        <v>0</v>
      </c>
      <c r="AF7" s="501">
        <v>0</v>
      </c>
      <c r="AG7" s="501">
        <v>0</v>
      </c>
      <c r="AH7" s="501">
        <v>0</v>
      </c>
      <c r="AI7" s="501">
        <v>0</v>
      </c>
      <c r="AJ7" s="501">
        <v>0</v>
      </c>
      <c r="AK7" s="501">
        <v>0</v>
      </c>
      <c r="AL7" s="501">
        <v>0</v>
      </c>
      <c r="AM7" s="501">
        <v>0</v>
      </c>
      <c r="AN7" s="501">
        <v>0</v>
      </c>
    </row>
    <row r="8" spans="1:40" x14ac:dyDescent="0.3">
      <c r="A8" s="489" t="s">
        <v>1414</v>
      </c>
      <c r="B8" s="489" t="s">
        <v>1370</v>
      </c>
      <c r="C8" s="489" t="s">
        <v>1416</v>
      </c>
      <c r="D8" s="489" t="s">
        <v>46</v>
      </c>
      <c r="E8" s="619">
        <v>843</v>
      </c>
      <c r="F8" s="621">
        <f t="shared" si="1"/>
        <v>68523.913301662702</v>
      </c>
      <c r="G8" s="501">
        <f t="shared" si="0"/>
        <v>74633.65625</v>
      </c>
      <c r="H8" s="501">
        <f t="shared" si="0"/>
        <v>74581.8125</v>
      </c>
      <c r="I8" s="501">
        <f t="shared" si="0"/>
        <v>72866.95</v>
      </c>
      <c r="J8" s="501">
        <f t="shared" si="0"/>
        <v>72973.392857142855</v>
      </c>
      <c r="K8" s="501">
        <f t="shared" si="0"/>
        <v>68681.185185185182</v>
      </c>
      <c r="L8" s="501">
        <f t="shared" si="0"/>
        <v>67118.917218543051</v>
      </c>
      <c r="M8" s="501">
        <f t="shared" si="0"/>
        <v>67811.126865671642</v>
      </c>
      <c r="N8" s="501">
        <f t="shared" si="0"/>
        <v>68595.962406015038</v>
      </c>
      <c r="O8" s="501">
        <f t="shared" si="0"/>
        <v>65681.010204081627</v>
      </c>
      <c r="P8" s="501">
        <f t="shared" si="0"/>
        <v>0</v>
      </c>
      <c r="Q8" s="501">
        <f t="shared" si="0"/>
        <v>0</v>
      </c>
      <c r="R8" s="501">
        <f t="shared" si="0"/>
        <v>0</v>
      </c>
      <c r="S8" s="501">
        <f t="shared" si="0"/>
        <v>0</v>
      </c>
      <c r="T8" s="501">
        <f t="shared" si="0"/>
        <v>0</v>
      </c>
      <c r="U8" s="501">
        <f t="shared" si="0"/>
        <v>0</v>
      </c>
      <c r="Y8" s="621">
        <v>68523.913301662702</v>
      </c>
      <c r="Z8" s="501">
        <v>74633.65625</v>
      </c>
      <c r="AA8" s="501">
        <v>74581.8125</v>
      </c>
      <c r="AB8" s="501">
        <v>72866.95</v>
      </c>
      <c r="AC8" s="501">
        <v>72973.392857142855</v>
      </c>
      <c r="AD8" s="501">
        <v>68681.185185185182</v>
      </c>
      <c r="AE8" s="501">
        <v>67118.917218543051</v>
      </c>
      <c r="AF8" s="501">
        <v>67811.126865671642</v>
      </c>
      <c r="AG8" s="501">
        <v>68595.962406015038</v>
      </c>
      <c r="AH8" s="501">
        <v>65681.010204081627</v>
      </c>
      <c r="AI8" s="501">
        <v>0</v>
      </c>
      <c r="AJ8" s="501">
        <v>0</v>
      </c>
      <c r="AK8" s="501">
        <v>0</v>
      </c>
      <c r="AL8" s="501">
        <v>0</v>
      </c>
      <c r="AM8" s="501">
        <v>0</v>
      </c>
      <c r="AN8" s="501">
        <v>0</v>
      </c>
    </row>
    <row r="9" spans="1:40" x14ac:dyDescent="0.3">
      <c r="A9" s="489" t="s">
        <v>1441</v>
      </c>
      <c r="B9" s="489" t="s">
        <v>1542</v>
      </c>
      <c r="C9" s="489" t="s">
        <v>1543</v>
      </c>
      <c r="D9" s="489" t="s">
        <v>46</v>
      </c>
      <c r="E9" s="619">
        <v>837</v>
      </c>
      <c r="F9" s="621">
        <f t="shared" si="1"/>
        <v>64630.178098676297</v>
      </c>
      <c r="G9" s="501">
        <f t="shared" si="0"/>
        <v>60748.217391304344</v>
      </c>
      <c r="H9" s="501">
        <f t="shared" si="0"/>
        <v>62595.962962962964</v>
      </c>
      <c r="I9" s="501">
        <f t="shared" si="0"/>
        <v>65280</v>
      </c>
      <c r="J9" s="501">
        <f t="shared" si="0"/>
        <v>58797.85</v>
      </c>
      <c r="K9" s="501">
        <f t="shared" si="0"/>
        <v>53823.5</v>
      </c>
      <c r="L9" s="501">
        <f t="shared" si="0"/>
        <v>54330.584615384614</v>
      </c>
      <c r="M9" s="501">
        <f t="shared" si="0"/>
        <v>80328.5</v>
      </c>
      <c r="N9" s="501">
        <f t="shared" si="0"/>
        <v>77260.731707317071</v>
      </c>
      <c r="O9" s="501">
        <f t="shared" si="0"/>
        <v>74858.287671232873</v>
      </c>
      <c r="P9" s="501">
        <f t="shared" si="0"/>
        <v>72055.90625</v>
      </c>
      <c r="Q9" s="501">
        <f t="shared" si="0"/>
        <v>67351.5625</v>
      </c>
      <c r="R9" s="501">
        <f t="shared" si="0"/>
        <v>62560.456140350878</v>
      </c>
      <c r="S9" s="501">
        <f t="shared" si="0"/>
        <v>60085.981481481482</v>
      </c>
      <c r="T9" s="501">
        <f t="shared" si="0"/>
        <v>60527.138613861389</v>
      </c>
      <c r="U9" s="501">
        <f t="shared" si="0"/>
        <v>62192.703703703701</v>
      </c>
      <c r="Y9" s="621">
        <v>64630.178098676297</v>
      </c>
      <c r="Z9" s="501">
        <v>60748.217391304344</v>
      </c>
      <c r="AA9" s="501">
        <v>62595.962962962964</v>
      </c>
      <c r="AB9" s="501">
        <v>65280</v>
      </c>
      <c r="AC9" s="501">
        <v>58797.85</v>
      </c>
      <c r="AD9" s="501">
        <v>53823.5</v>
      </c>
      <c r="AE9" s="501">
        <v>54330.584615384614</v>
      </c>
      <c r="AF9" s="501">
        <v>80328.5</v>
      </c>
      <c r="AG9" s="501">
        <v>77260.731707317071</v>
      </c>
      <c r="AH9" s="501">
        <v>74858.287671232873</v>
      </c>
      <c r="AI9" s="501">
        <v>72055.90625</v>
      </c>
      <c r="AJ9" s="501">
        <v>67351.5625</v>
      </c>
      <c r="AK9" s="501">
        <v>62560.456140350878</v>
      </c>
      <c r="AL9" s="501">
        <v>60085.981481481482</v>
      </c>
      <c r="AM9" s="501">
        <v>60527.138613861389</v>
      </c>
      <c r="AN9" s="501">
        <v>62192.703703703701</v>
      </c>
    </row>
    <row r="10" spans="1:40" x14ac:dyDescent="0.3">
      <c r="A10" s="489" t="s">
        <v>1441</v>
      </c>
      <c r="B10" s="489" t="s">
        <v>1444</v>
      </c>
      <c r="C10" s="489" t="s">
        <v>870</v>
      </c>
      <c r="D10" s="489" t="s">
        <v>46</v>
      </c>
      <c r="E10" s="619">
        <v>837</v>
      </c>
      <c r="F10" s="621">
        <f t="shared" si="1"/>
        <v>44765.837485172007</v>
      </c>
      <c r="G10" s="501">
        <f t="shared" si="0"/>
        <v>47675.932203389828</v>
      </c>
      <c r="H10" s="501">
        <f t="shared" si="0"/>
        <v>46963.972972972973</v>
      </c>
      <c r="I10" s="501">
        <f t="shared" si="0"/>
        <v>45723.15789473684</v>
      </c>
      <c r="J10" s="501">
        <f t="shared" si="0"/>
        <v>46707.794117647056</v>
      </c>
      <c r="K10" s="501">
        <f t="shared" si="0"/>
        <v>46837.84</v>
      </c>
      <c r="L10" s="501">
        <f t="shared" si="0"/>
        <v>45820.057971014496</v>
      </c>
      <c r="M10" s="501">
        <f t="shared" si="0"/>
        <v>44840.78231292517</v>
      </c>
      <c r="N10" s="501">
        <f t="shared" si="0"/>
        <v>44312.383458646618</v>
      </c>
      <c r="O10" s="501">
        <f t="shared" si="0"/>
        <v>44722.60833333333</v>
      </c>
      <c r="P10" s="501">
        <f t="shared" si="0"/>
        <v>43545.923076923078</v>
      </c>
      <c r="Q10" s="501">
        <f t="shared" si="0"/>
        <v>40090.375</v>
      </c>
      <c r="R10" s="501">
        <f t="shared" si="0"/>
        <v>41500.071428571428</v>
      </c>
      <c r="S10" s="501">
        <f t="shared" si="0"/>
        <v>41010.800000000003</v>
      </c>
      <c r="T10" s="501">
        <f t="shared" si="0"/>
        <v>38736.300000000003</v>
      </c>
      <c r="U10" s="501">
        <f t="shared" si="0"/>
        <v>37265.4</v>
      </c>
      <c r="Y10" s="621">
        <v>44765.837485172007</v>
      </c>
      <c r="Z10" s="501">
        <v>47675.932203389828</v>
      </c>
      <c r="AA10" s="501">
        <v>46963.972972972973</v>
      </c>
      <c r="AB10" s="501">
        <v>45723.15789473684</v>
      </c>
      <c r="AC10" s="501">
        <v>46707.794117647056</v>
      </c>
      <c r="AD10" s="501">
        <v>46837.84</v>
      </c>
      <c r="AE10" s="501">
        <v>45820.057971014496</v>
      </c>
      <c r="AF10" s="501">
        <v>44840.78231292517</v>
      </c>
      <c r="AG10" s="501">
        <v>44312.383458646618</v>
      </c>
      <c r="AH10" s="501">
        <v>44722.60833333333</v>
      </c>
      <c r="AI10" s="501">
        <v>43545.923076923078</v>
      </c>
      <c r="AJ10" s="501">
        <v>40090.375</v>
      </c>
      <c r="AK10" s="501">
        <v>41500.071428571428</v>
      </c>
      <c r="AL10" s="501">
        <v>41010.800000000003</v>
      </c>
      <c r="AM10" s="501">
        <v>38736.300000000003</v>
      </c>
      <c r="AN10" s="501">
        <v>37265.4</v>
      </c>
    </row>
    <row r="11" spans="1:40" x14ac:dyDescent="0.3">
      <c r="A11" s="489" t="s">
        <v>1544</v>
      </c>
      <c r="B11" s="489" t="s">
        <v>1545</v>
      </c>
      <c r="C11" s="489" t="s">
        <v>1546</v>
      </c>
      <c r="D11" s="489" t="s">
        <v>46</v>
      </c>
      <c r="E11" s="619">
        <v>837</v>
      </c>
      <c r="F11" s="621">
        <f t="shared" si="1"/>
        <v>55235.547192353646</v>
      </c>
      <c r="G11" s="501">
        <f t="shared" si="0"/>
        <v>113456</v>
      </c>
      <c r="H11" s="501">
        <f t="shared" si="0"/>
        <v>67752</v>
      </c>
      <c r="I11" s="501">
        <f t="shared" si="0"/>
        <v>59287.199999999997</v>
      </c>
      <c r="J11" s="501">
        <f t="shared" si="0"/>
        <v>67677.333333333328</v>
      </c>
      <c r="K11" s="501">
        <f t="shared" si="0"/>
        <v>50422.666666666664</v>
      </c>
      <c r="L11" s="501">
        <f t="shared" si="0"/>
        <v>58063.171366594361</v>
      </c>
      <c r="M11" s="501">
        <f t="shared" si="0"/>
        <v>53572.513888888891</v>
      </c>
      <c r="N11" s="501">
        <f t="shared" si="0"/>
        <v>52128.016806722691</v>
      </c>
      <c r="O11" s="501">
        <f t="shared" si="0"/>
        <v>49100.86</v>
      </c>
      <c r="P11" s="501">
        <f t="shared" si="0"/>
        <v>47948</v>
      </c>
      <c r="Q11" s="501">
        <f t="shared" si="0"/>
        <v>47170.866666666669</v>
      </c>
      <c r="R11" s="501">
        <f t="shared" si="0"/>
        <v>0</v>
      </c>
      <c r="S11" s="501">
        <f t="shared" si="0"/>
        <v>0</v>
      </c>
      <c r="T11" s="501">
        <f t="shared" si="0"/>
        <v>0</v>
      </c>
      <c r="U11" s="501">
        <f t="shared" si="0"/>
        <v>0</v>
      </c>
      <c r="Y11" s="621">
        <v>55235.547192353646</v>
      </c>
      <c r="Z11" s="501">
        <v>113456</v>
      </c>
      <c r="AA11" s="501">
        <v>67752</v>
      </c>
      <c r="AB11" s="501">
        <v>59287.199999999997</v>
      </c>
      <c r="AC11" s="501">
        <v>67677.333333333328</v>
      </c>
      <c r="AD11" s="501">
        <v>50422.666666666664</v>
      </c>
      <c r="AE11" s="501">
        <v>58063.171366594361</v>
      </c>
      <c r="AF11" s="501">
        <v>53572.513888888891</v>
      </c>
      <c r="AG11" s="501">
        <v>52128.016806722691</v>
      </c>
      <c r="AH11" s="501">
        <v>49100.86</v>
      </c>
      <c r="AI11" s="501">
        <v>47948</v>
      </c>
      <c r="AJ11" s="501">
        <v>47170.866666666669</v>
      </c>
      <c r="AK11" s="501">
        <v>0</v>
      </c>
      <c r="AL11" s="501">
        <v>0</v>
      </c>
      <c r="AM11" s="501">
        <v>0</v>
      </c>
      <c r="AN11" s="501">
        <v>0</v>
      </c>
    </row>
    <row r="12" spans="1:40" x14ac:dyDescent="0.3">
      <c r="A12" s="489" t="s">
        <v>1414</v>
      </c>
      <c r="B12" s="489" t="s">
        <v>1369</v>
      </c>
      <c r="C12" s="489" t="s">
        <v>1415</v>
      </c>
      <c r="D12" s="489" t="s">
        <v>46</v>
      </c>
      <c r="E12" s="619">
        <v>806</v>
      </c>
      <c r="F12" s="621">
        <f t="shared" si="1"/>
        <v>60134.672456575681</v>
      </c>
      <c r="G12" s="501">
        <f t="shared" si="0"/>
        <v>65389.16</v>
      </c>
      <c r="H12" s="501">
        <f t="shared" si="0"/>
        <v>66177.117647058825</v>
      </c>
      <c r="I12" s="501">
        <f t="shared" si="0"/>
        <v>64074.9</v>
      </c>
      <c r="J12" s="501">
        <f t="shared" si="0"/>
        <v>67802.153846153844</v>
      </c>
      <c r="K12" s="501">
        <f t="shared" si="0"/>
        <v>62194.304347826088</v>
      </c>
      <c r="L12" s="501">
        <f t="shared" si="0"/>
        <v>59628.955479452052</v>
      </c>
      <c r="M12" s="501">
        <f t="shared" si="0"/>
        <v>58892.572916666664</v>
      </c>
      <c r="N12" s="501">
        <f t="shared" si="0"/>
        <v>58611.485380116959</v>
      </c>
      <c r="O12" s="501">
        <f t="shared" si="0"/>
        <v>55894.615384615383</v>
      </c>
      <c r="P12" s="501">
        <f t="shared" si="0"/>
        <v>0</v>
      </c>
      <c r="Q12" s="501">
        <f t="shared" si="0"/>
        <v>0</v>
      </c>
      <c r="R12" s="501">
        <f t="shared" si="0"/>
        <v>0</v>
      </c>
      <c r="S12" s="501">
        <f t="shared" si="0"/>
        <v>0</v>
      </c>
      <c r="T12" s="501">
        <f t="shared" si="0"/>
        <v>0</v>
      </c>
      <c r="U12" s="501">
        <f t="shared" si="0"/>
        <v>0</v>
      </c>
      <c r="Y12" s="621">
        <v>60134.672456575681</v>
      </c>
      <c r="Z12" s="501">
        <v>65389.16</v>
      </c>
      <c r="AA12" s="501">
        <v>66177.117647058825</v>
      </c>
      <c r="AB12" s="501">
        <v>64074.9</v>
      </c>
      <c r="AC12" s="501">
        <v>67802.153846153844</v>
      </c>
      <c r="AD12" s="501">
        <v>62194.304347826088</v>
      </c>
      <c r="AE12" s="501">
        <v>59628.955479452052</v>
      </c>
      <c r="AF12" s="501">
        <v>58892.572916666664</v>
      </c>
      <c r="AG12" s="501">
        <v>58611.485380116959</v>
      </c>
      <c r="AH12" s="501">
        <v>55894.615384615383</v>
      </c>
      <c r="AI12" s="501">
        <v>0</v>
      </c>
      <c r="AJ12" s="501">
        <v>0</v>
      </c>
      <c r="AK12" s="501">
        <v>0</v>
      </c>
      <c r="AL12" s="501">
        <v>0</v>
      </c>
      <c r="AM12" s="501">
        <v>0</v>
      </c>
      <c r="AN12" s="501">
        <v>0</v>
      </c>
    </row>
    <row r="13" spans="1:40" x14ac:dyDescent="0.3">
      <c r="A13" s="489" t="s">
        <v>1414</v>
      </c>
      <c r="B13" s="489" t="s">
        <v>1435</v>
      </c>
      <c r="C13" s="489" t="s">
        <v>1436</v>
      </c>
      <c r="D13" s="489" t="s">
        <v>141</v>
      </c>
      <c r="E13" s="619">
        <v>771</v>
      </c>
      <c r="F13" s="621">
        <f t="shared" si="1"/>
        <v>76758.931258106357</v>
      </c>
      <c r="G13" s="501">
        <f t="shared" si="0"/>
        <v>83005.0625</v>
      </c>
      <c r="H13" s="501">
        <f t="shared" si="0"/>
        <v>80944.666666666672</v>
      </c>
      <c r="I13" s="501">
        <f t="shared" si="0"/>
        <v>72673.392857142855</v>
      </c>
      <c r="J13" s="501">
        <f t="shared" si="0"/>
        <v>72406.075949367092</v>
      </c>
      <c r="K13" s="501">
        <f t="shared" si="0"/>
        <v>71291.7</v>
      </c>
      <c r="L13" s="501">
        <f t="shared" si="0"/>
        <v>59391</v>
      </c>
      <c r="M13" s="501">
        <f t="shared" si="0"/>
        <v>0</v>
      </c>
      <c r="N13" s="501">
        <f t="shared" si="0"/>
        <v>0</v>
      </c>
      <c r="O13" s="501">
        <f t="shared" si="0"/>
        <v>0</v>
      </c>
      <c r="P13" s="501">
        <f t="shared" si="0"/>
        <v>0</v>
      </c>
      <c r="Q13" s="501">
        <f t="shared" si="0"/>
        <v>0</v>
      </c>
      <c r="R13" s="501">
        <f t="shared" si="0"/>
        <v>0</v>
      </c>
      <c r="S13" s="501">
        <f t="shared" si="0"/>
        <v>0</v>
      </c>
      <c r="T13" s="501">
        <f t="shared" si="0"/>
        <v>0</v>
      </c>
      <c r="U13" s="501">
        <f t="shared" si="0"/>
        <v>0</v>
      </c>
      <c r="Y13" s="621">
        <v>76758.931258106357</v>
      </c>
      <c r="Z13" s="501">
        <v>83005.0625</v>
      </c>
      <c r="AA13" s="501">
        <v>80944.666666666672</v>
      </c>
      <c r="AB13" s="501">
        <v>72673.392857142855</v>
      </c>
      <c r="AC13" s="501">
        <v>72406.075949367092</v>
      </c>
      <c r="AD13" s="501">
        <v>71291.7</v>
      </c>
      <c r="AE13" s="501">
        <v>59391</v>
      </c>
      <c r="AF13" s="501">
        <v>0</v>
      </c>
      <c r="AG13" s="501">
        <v>0</v>
      </c>
      <c r="AH13" s="501">
        <v>0</v>
      </c>
      <c r="AI13" s="501">
        <v>0</v>
      </c>
      <c r="AJ13" s="501">
        <v>0</v>
      </c>
      <c r="AK13" s="501">
        <v>0</v>
      </c>
      <c r="AL13" s="501">
        <v>0</v>
      </c>
      <c r="AM13" s="501">
        <v>0</v>
      </c>
      <c r="AN13" s="501">
        <v>0</v>
      </c>
    </row>
    <row r="14" spans="1:40" x14ac:dyDescent="0.3">
      <c r="A14" s="489" t="s">
        <v>1441</v>
      </c>
      <c r="B14" s="489" t="s">
        <v>1445</v>
      </c>
      <c r="C14" s="489" t="s">
        <v>346</v>
      </c>
      <c r="D14" s="489" t="s">
        <v>46</v>
      </c>
      <c r="E14" s="619">
        <v>725</v>
      </c>
      <c r="F14" s="621">
        <f t="shared" si="1"/>
        <v>35147.95681511471</v>
      </c>
      <c r="G14" s="501">
        <f t="shared" si="0"/>
        <v>37538.32075471698</v>
      </c>
      <c r="H14" s="501">
        <f t="shared" si="0"/>
        <v>36785.5</v>
      </c>
      <c r="I14" s="501">
        <f t="shared" si="0"/>
        <v>35342.538461538461</v>
      </c>
      <c r="J14" s="501">
        <f t="shared" si="0"/>
        <v>35244.518518518518</v>
      </c>
      <c r="K14" s="501">
        <f t="shared" si="0"/>
        <v>34368.1</v>
      </c>
      <c r="L14" s="501">
        <f t="shared" si="0"/>
        <v>36262.612903225803</v>
      </c>
      <c r="M14" s="501">
        <f t="shared" si="0"/>
        <v>36466.32394366197</v>
      </c>
      <c r="N14" s="501">
        <f t="shared" si="0"/>
        <v>34809.469696969696</v>
      </c>
      <c r="O14" s="501">
        <f t="shared" si="0"/>
        <v>35252.049180327871</v>
      </c>
      <c r="P14" s="501">
        <f t="shared" si="0"/>
        <v>35105.630952380954</v>
      </c>
      <c r="Q14" s="501">
        <f t="shared" si="0"/>
        <v>34022</v>
      </c>
      <c r="R14" s="501">
        <f t="shared" si="0"/>
        <v>33304.830188679247</v>
      </c>
      <c r="S14" s="501">
        <f t="shared" si="0"/>
        <v>33593.531914893618</v>
      </c>
      <c r="T14" s="501">
        <f t="shared" si="0"/>
        <v>32861.26666666667</v>
      </c>
      <c r="U14" s="501">
        <f t="shared" si="0"/>
        <v>32239.444444444445</v>
      </c>
      <c r="Y14" s="621">
        <v>35147.95681511471</v>
      </c>
      <c r="Z14" s="501">
        <v>37538.32075471698</v>
      </c>
      <c r="AA14" s="501">
        <v>36785.5</v>
      </c>
      <c r="AB14" s="501">
        <v>35342.538461538461</v>
      </c>
      <c r="AC14" s="501">
        <v>35244.518518518518</v>
      </c>
      <c r="AD14" s="501">
        <v>34368.1</v>
      </c>
      <c r="AE14" s="501">
        <v>36262.612903225803</v>
      </c>
      <c r="AF14" s="501">
        <v>36466.32394366197</v>
      </c>
      <c r="AG14" s="501">
        <v>34809.469696969696</v>
      </c>
      <c r="AH14" s="501">
        <v>35252.049180327871</v>
      </c>
      <c r="AI14" s="501">
        <v>35105.630952380954</v>
      </c>
      <c r="AJ14" s="501">
        <v>34022</v>
      </c>
      <c r="AK14" s="501">
        <v>33304.830188679247</v>
      </c>
      <c r="AL14" s="501">
        <v>33593.531914893618</v>
      </c>
      <c r="AM14" s="501">
        <v>32861.26666666667</v>
      </c>
      <c r="AN14" s="501">
        <v>32239.444444444445</v>
      </c>
    </row>
    <row r="15" spans="1:40" x14ac:dyDescent="0.3">
      <c r="A15" s="489" t="s">
        <v>1451</v>
      </c>
      <c r="B15" s="489" t="s">
        <v>1452</v>
      </c>
      <c r="C15" s="489" t="s">
        <v>1453</v>
      </c>
      <c r="D15" s="489" t="s">
        <v>141</v>
      </c>
      <c r="E15" s="619">
        <v>672</v>
      </c>
      <c r="F15" s="621">
        <f t="shared" si="1"/>
        <v>57900.925595238092</v>
      </c>
      <c r="G15" s="501">
        <f t="shared" si="0"/>
        <v>59583.409090909088</v>
      </c>
      <c r="H15" s="501">
        <f t="shared" si="0"/>
        <v>58869.708215297447</v>
      </c>
      <c r="I15" s="501">
        <f t="shared" si="0"/>
        <v>56645.590443686007</v>
      </c>
      <c r="J15" s="501">
        <f t="shared" si="0"/>
        <v>55105.5</v>
      </c>
      <c r="K15" s="501">
        <f t="shared" si="0"/>
        <v>0</v>
      </c>
      <c r="L15" s="501">
        <f t="shared" si="0"/>
        <v>0</v>
      </c>
      <c r="M15" s="501">
        <f t="shared" si="0"/>
        <v>0</v>
      </c>
      <c r="N15" s="501">
        <f t="shared" si="0"/>
        <v>0</v>
      </c>
      <c r="O15" s="501">
        <f t="shared" si="0"/>
        <v>0</v>
      </c>
      <c r="P15" s="501">
        <f t="shared" si="0"/>
        <v>0</v>
      </c>
      <c r="Q15" s="501">
        <f t="shared" si="0"/>
        <v>0</v>
      </c>
      <c r="R15" s="501">
        <f t="shared" si="0"/>
        <v>0</v>
      </c>
      <c r="S15" s="501">
        <f t="shared" si="0"/>
        <v>0</v>
      </c>
      <c r="T15" s="501">
        <f t="shared" si="0"/>
        <v>0</v>
      </c>
      <c r="U15" s="501">
        <f t="shared" si="0"/>
        <v>0</v>
      </c>
      <c r="Y15" s="621">
        <v>57900.925595238092</v>
      </c>
      <c r="Z15" s="501">
        <v>59583.409090909088</v>
      </c>
      <c r="AA15" s="501">
        <v>58869.708215297447</v>
      </c>
      <c r="AB15" s="501">
        <v>56645.590443686007</v>
      </c>
      <c r="AC15" s="501">
        <v>55105.5</v>
      </c>
      <c r="AD15" s="501">
        <v>0</v>
      </c>
      <c r="AE15" s="501">
        <v>0</v>
      </c>
      <c r="AF15" s="501">
        <v>0</v>
      </c>
      <c r="AG15" s="501">
        <v>0</v>
      </c>
      <c r="AH15" s="501">
        <v>0</v>
      </c>
      <c r="AI15" s="501">
        <v>0</v>
      </c>
      <c r="AJ15" s="501">
        <v>0</v>
      </c>
      <c r="AK15" s="501">
        <v>0</v>
      </c>
      <c r="AL15" s="501">
        <v>0</v>
      </c>
      <c r="AM15" s="501">
        <v>0</v>
      </c>
      <c r="AN15" s="501">
        <v>0</v>
      </c>
    </row>
    <row r="16" spans="1:40" x14ac:dyDescent="0.3">
      <c r="A16" s="489" t="s">
        <v>1422</v>
      </c>
      <c r="B16" s="489" t="s">
        <v>1547</v>
      </c>
      <c r="C16" s="489" t="s">
        <v>1548</v>
      </c>
      <c r="D16" s="489" t="s">
        <v>46</v>
      </c>
      <c r="E16" s="619">
        <v>670</v>
      </c>
      <c r="F16" s="621">
        <f t="shared" si="1"/>
        <v>32421.361194029851</v>
      </c>
      <c r="G16" s="501">
        <f t="shared" si="0"/>
        <v>35208.292682926833</v>
      </c>
      <c r="H16" s="501">
        <f t="shared" si="0"/>
        <v>33850</v>
      </c>
      <c r="I16" s="501">
        <f t="shared" si="0"/>
        <v>33469.333333333336</v>
      </c>
      <c r="J16" s="501">
        <f t="shared" si="0"/>
        <v>34683.5</v>
      </c>
      <c r="K16" s="501">
        <f t="shared" si="0"/>
        <v>33594.083333333336</v>
      </c>
      <c r="L16" s="501">
        <f t="shared" si="0"/>
        <v>32192.333333333332</v>
      </c>
      <c r="M16" s="501">
        <f t="shared" si="0"/>
        <v>32706.1875</v>
      </c>
      <c r="N16" s="501">
        <f t="shared" si="0"/>
        <v>32091.75</v>
      </c>
      <c r="O16" s="501">
        <f t="shared" si="0"/>
        <v>31701.970588235294</v>
      </c>
      <c r="P16" s="501">
        <f t="shared" si="0"/>
        <v>32385.728571428572</v>
      </c>
      <c r="Q16" s="501">
        <f t="shared" si="0"/>
        <v>31602.4126984127</v>
      </c>
      <c r="R16" s="501">
        <f t="shared" si="0"/>
        <v>31456.275862068964</v>
      </c>
      <c r="S16" s="501">
        <f t="shared" si="0"/>
        <v>32083</v>
      </c>
      <c r="T16" s="501">
        <f t="shared" si="0"/>
        <v>28919.666666666668</v>
      </c>
      <c r="U16" s="501">
        <f t="shared" si="0"/>
        <v>32322</v>
      </c>
      <c r="Y16" s="621">
        <v>32421.361194029851</v>
      </c>
      <c r="Z16" s="501">
        <v>35208.292682926833</v>
      </c>
      <c r="AA16" s="501">
        <v>33850</v>
      </c>
      <c r="AB16" s="501">
        <v>33469.333333333336</v>
      </c>
      <c r="AC16" s="501">
        <v>34683.5</v>
      </c>
      <c r="AD16" s="501">
        <v>33594.083333333336</v>
      </c>
      <c r="AE16" s="501">
        <v>32192.333333333332</v>
      </c>
      <c r="AF16" s="501">
        <v>32706.1875</v>
      </c>
      <c r="AG16" s="501">
        <v>32091.75</v>
      </c>
      <c r="AH16" s="501">
        <v>31701.970588235294</v>
      </c>
      <c r="AI16" s="501">
        <v>32385.728571428572</v>
      </c>
      <c r="AJ16" s="501">
        <v>31602.4126984127</v>
      </c>
      <c r="AK16" s="501">
        <v>31456.275862068964</v>
      </c>
      <c r="AL16" s="501">
        <v>32083</v>
      </c>
      <c r="AM16" s="501">
        <v>28919.666666666668</v>
      </c>
      <c r="AN16" s="501">
        <v>32322</v>
      </c>
    </row>
    <row r="17" spans="1:40" x14ac:dyDescent="0.3">
      <c r="A17" s="489" t="s">
        <v>1441</v>
      </c>
      <c r="B17" s="489" t="s">
        <v>1447</v>
      </c>
      <c r="C17" s="489" t="s">
        <v>1448</v>
      </c>
      <c r="D17" s="489" t="s">
        <v>1529</v>
      </c>
      <c r="E17" s="619">
        <v>484</v>
      </c>
      <c r="F17" s="621">
        <f t="shared" si="1"/>
        <v>65201.42768595041</v>
      </c>
      <c r="G17" s="501">
        <f t="shared" si="0"/>
        <v>67224.363636363632</v>
      </c>
      <c r="H17" s="501">
        <f t="shared" si="0"/>
        <v>67224.363636363632</v>
      </c>
      <c r="I17" s="501">
        <f t="shared" si="0"/>
        <v>67224.363636363632</v>
      </c>
      <c r="J17" s="501">
        <f t="shared" si="0"/>
        <v>67224.363636363632</v>
      </c>
      <c r="K17" s="501">
        <f t="shared" si="0"/>
        <v>67224.363636363632</v>
      </c>
      <c r="L17" s="501">
        <f t="shared" si="0"/>
        <v>67224.363636363632</v>
      </c>
      <c r="M17" s="501">
        <f t="shared" si="0"/>
        <v>67224.363636363632</v>
      </c>
      <c r="N17" s="501">
        <f t="shared" si="0"/>
        <v>64279.75451263538</v>
      </c>
      <c r="O17" s="501">
        <f t="shared" si="0"/>
        <v>60205.833333333336</v>
      </c>
      <c r="P17" s="501">
        <f t="shared" si="0"/>
        <v>48669</v>
      </c>
      <c r="Q17" s="501">
        <f t="shared" si="0"/>
        <v>48669</v>
      </c>
      <c r="R17" s="501">
        <f t="shared" si="0"/>
        <v>48669</v>
      </c>
      <c r="S17" s="501">
        <f t="shared" si="0"/>
        <v>48669</v>
      </c>
      <c r="T17" s="501">
        <f t="shared" si="0"/>
        <v>48669</v>
      </c>
      <c r="U17" s="501">
        <f t="shared" si="0"/>
        <v>0</v>
      </c>
      <c r="Y17" s="621">
        <v>65201.42768595041</v>
      </c>
      <c r="Z17" s="501">
        <v>0</v>
      </c>
      <c r="AA17" s="501">
        <v>0</v>
      </c>
      <c r="AB17" s="501">
        <v>0</v>
      </c>
      <c r="AC17" s="501">
        <v>0</v>
      </c>
      <c r="AD17" s="501">
        <v>0</v>
      </c>
      <c r="AE17" s="501">
        <v>0</v>
      </c>
      <c r="AF17" s="501">
        <v>67224.363636363632</v>
      </c>
      <c r="AG17" s="501">
        <v>64279.75451263538</v>
      </c>
      <c r="AH17" s="501">
        <v>60205.833333333336</v>
      </c>
      <c r="AI17" s="501">
        <v>0</v>
      </c>
      <c r="AJ17" s="501">
        <v>0</v>
      </c>
      <c r="AK17" s="501">
        <v>0</v>
      </c>
      <c r="AL17" s="501">
        <v>0</v>
      </c>
      <c r="AM17" s="501">
        <v>48669</v>
      </c>
      <c r="AN17" s="501">
        <v>0</v>
      </c>
    </row>
    <row r="18" spans="1:40" x14ac:dyDescent="0.3">
      <c r="A18" s="489" t="s">
        <v>1419</v>
      </c>
      <c r="B18" s="489" t="s">
        <v>1420</v>
      </c>
      <c r="C18" s="489" t="s">
        <v>1421</v>
      </c>
      <c r="D18" s="489" t="s">
        <v>141</v>
      </c>
      <c r="E18" s="619">
        <v>436</v>
      </c>
      <c r="F18" s="621">
        <f t="shared" si="1"/>
        <v>53393.697247706419</v>
      </c>
      <c r="G18" s="501">
        <f t="shared" ref="G18:U33" si="2">IF(Z18&gt;0,Z18,IF(H18&gt;0,H18,0))</f>
        <v>50783.697478991598</v>
      </c>
      <c r="H18" s="501">
        <f t="shared" si="2"/>
        <v>53777.609756097561</v>
      </c>
      <c r="I18" s="501">
        <f t="shared" si="2"/>
        <v>55552.307692307695</v>
      </c>
      <c r="J18" s="501">
        <f t="shared" si="2"/>
        <v>66033.333333333328</v>
      </c>
      <c r="K18" s="501">
        <f t="shared" si="2"/>
        <v>0</v>
      </c>
      <c r="L18" s="501">
        <f t="shared" si="2"/>
        <v>0</v>
      </c>
      <c r="M18" s="501">
        <f t="shared" si="2"/>
        <v>0</v>
      </c>
      <c r="N18" s="501">
        <f t="shared" si="2"/>
        <v>0</v>
      </c>
      <c r="O18" s="501">
        <f t="shared" si="2"/>
        <v>0</v>
      </c>
      <c r="P18" s="501">
        <f t="shared" si="2"/>
        <v>0</v>
      </c>
      <c r="Q18" s="501">
        <f t="shared" si="2"/>
        <v>0</v>
      </c>
      <c r="R18" s="501">
        <f t="shared" si="2"/>
        <v>0</v>
      </c>
      <c r="S18" s="501">
        <f t="shared" si="2"/>
        <v>0</v>
      </c>
      <c r="T18" s="501">
        <f t="shared" si="2"/>
        <v>0</v>
      </c>
      <c r="U18" s="501">
        <f t="shared" si="2"/>
        <v>0</v>
      </c>
      <c r="Y18" s="621">
        <v>53393.697247706419</v>
      </c>
      <c r="Z18" s="501">
        <v>50783.697478991598</v>
      </c>
      <c r="AA18" s="501">
        <v>53777.609756097561</v>
      </c>
      <c r="AB18" s="501">
        <v>55552.307692307695</v>
      </c>
      <c r="AC18" s="501">
        <v>66033.333333333328</v>
      </c>
      <c r="AD18" s="501">
        <v>0</v>
      </c>
      <c r="AE18" s="501">
        <v>0</v>
      </c>
      <c r="AF18" s="501">
        <v>0</v>
      </c>
      <c r="AG18" s="501">
        <v>0</v>
      </c>
      <c r="AH18" s="501">
        <v>0</v>
      </c>
      <c r="AI18" s="501">
        <v>0</v>
      </c>
      <c r="AJ18" s="501">
        <v>0</v>
      </c>
      <c r="AK18" s="501">
        <v>0</v>
      </c>
      <c r="AL18" s="501">
        <v>0</v>
      </c>
      <c r="AM18" s="501">
        <v>0</v>
      </c>
      <c r="AN18" s="501">
        <v>0</v>
      </c>
    </row>
    <row r="19" spans="1:40" x14ac:dyDescent="0.3">
      <c r="A19" s="489" t="s">
        <v>1426</v>
      </c>
      <c r="B19" s="489" t="s">
        <v>343</v>
      </c>
      <c r="C19" s="489" t="s">
        <v>343</v>
      </c>
      <c r="D19" s="489" t="s">
        <v>1929</v>
      </c>
      <c r="E19" s="619">
        <v>423</v>
      </c>
      <c r="F19" s="621">
        <f t="shared" si="1"/>
        <v>28704.238770685581</v>
      </c>
      <c r="G19" s="501">
        <f t="shared" si="2"/>
        <v>26131.25</v>
      </c>
      <c r="H19" s="501">
        <f t="shared" si="2"/>
        <v>30261.888888888891</v>
      </c>
      <c r="I19" s="501">
        <f t="shared" si="2"/>
        <v>29525.666666666668</v>
      </c>
      <c r="J19" s="501">
        <f t="shared" si="2"/>
        <v>28223</v>
      </c>
      <c r="K19" s="501">
        <f t="shared" si="2"/>
        <v>27491.111111111109</v>
      </c>
      <c r="L19" s="501">
        <f t="shared" si="2"/>
        <v>27998.434782608696</v>
      </c>
      <c r="M19" s="501">
        <f t="shared" si="2"/>
        <v>29347.4</v>
      </c>
      <c r="N19" s="501">
        <f t="shared" si="2"/>
        <v>28634.454545454544</v>
      </c>
      <c r="O19" s="501">
        <f t="shared" si="2"/>
        <v>26861.636363636364</v>
      </c>
      <c r="P19" s="501">
        <f t="shared" si="2"/>
        <v>29995.962962962964</v>
      </c>
      <c r="Q19" s="501">
        <f t="shared" si="2"/>
        <v>28500.035714285714</v>
      </c>
      <c r="R19" s="501">
        <f t="shared" si="2"/>
        <v>28034.938461538462</v>
      </c>
      <c r="S19" s="501">
        <f t="shared" si="2"/>
        <v>24815</v>
      </c>
      <c r="T19" s="501">
        <f t="shared" si="2"/>
        <v>23490</v>
      </c>
      <c r="U19" s="501">
        <f t="shared" si="2"/>
        <v>0</v>
      </c>
      <c r="Y19" s="621">
        <v>28704.238770685581</v>
      </c>
      <c r="Z19" s="501">
        <v>26131.25</v>
      </c>
      <c r="AA19" s="501">
        <v>30261.888888888891</v>
      </c>
      <c r="AB19" s="501">
        <v>29525.666666666668</v>
      </c>
      <c r="AC19" s="501">
        <v>28223</v>
      </c>
      <c r="AD19" s="501">
        <v>27491.111111111109</v>
      </c>
      <c r="AE19" s="501">
        <v>27998.434782608696</v>
      </c>
      <c r="AF19" s="501">
        <v>29347.4</v>
      </c>
      <c r="AG19" s="501">
        <v>28634.454545454544</v>
      </c>
      <c r="AH19" s="501">
        <v>26861.636363636364</v>
      </c>
      <c r="AI19" s="501">
        <v>29995.962962962964</v>
      </c>
      <c r="AJ19" s="501">
        <v>28500.035714285714</v>
      </c>
      <c r="AK19" s="501">
        <v>28034.938461538462</v>
      </c>
      <c r="AL19" s="501">
        <v>24815</v>
      </c>
      <c r="AM19" s="501">
        <v>23490</v>
      </c>
      <c r="AN19" s="501">
        <v>0</v>
      </c>
    </row>
    <row r="20" spans="1:40" x14ac:dyDescent="0.3">
      <c r="A20" s="489" t="s">
        <v>1419</v>
      </c>
      <c r="B20" s="489" t="s">
        <v>1446</v>
      </c>
      <c r="C20" s="489" t="s">
        <v>1218</v>
      </c>
      <c r="D20" s="489" t="s">
        <v>141</v>
      </c>
      <c r="E20" s="619">
        <v>422</v>
      </c>
      <c r="F20" s="621">
        <f t="shared" si="1"/>
        <v>52414.225118483409</v>
      </c>
      <c r="G20" s="501">
        <f t="shared" si="2"/>
        <v>48023.08</v>
      </c>
      <c r="H20" s="501">
        <f t="shared" si="2"/>
        <v>47321.072916666664</v>
      </c>
      <c r="I20" s="501">
        <f t="shared" si="2"/>
        <v>57986.75</v>
      </c>
      <c r="J20" s="501">
        <f t="shared" si="2"/>
        <v>61234.875</v>
      </c>
      <c r="K20" s="501">
        <f t="shared" si="2"/>
        <v>56314.466666666667</v>
      </c>
      <c r="L20" s="501">
        <f t="shared" si="2"/>
        <v>57667.183908045976</v>
      </c>
      <c r="M20" s="501">
        <f t="shared" si="2"/>
        <v>0</v>
      </c>
      <c r="N20" s="501">
        <f t="shared" si="2"/>
        <v>0</v>
      </c>
      <c r="O20" s="501">
        <f t="shared" si="2"/>
        <v>0</v>
      </c>
      <c r="P20" s="501">
        <f t="shared" si="2"/>
        <v>0</v>
      </c>
      <c r="Q20" s="501">
        <f t="shared" si="2"/>
        <v>0</v>
      </c>
      <c r="R20" s="501">
        <f t="shared" si="2"/>
        <v>0</v>
      </c>
      <c r="S20" s="501">
        <f t="shared" si="2"/>
        <v>0</v>
      </c>
      <c r="T20" s="501">
        <f t="shared" si="2"/>
        <v>0</v>
      </c>
      <c r="U20" s="501">
        <f t="shared" si="2"/>
        <v>0</v>
      </c>
      <c r="Y20" s="621">
        <v>52414.225118483409</v>
      </c>
      <c r="Z20" s="501">
        <v>48023.08</v>
      </c>
      <c r="AA20" s="501">
        <v>47321.072916666664</v>
      </c>
      <c r="AB20" s="501">
        <v>57986.75</v>
      </c>
      <c r="AC20" s="501">
        <v>61234.875</v>
      </c>
      <c r="AD20" s="501">
        <v>56314.466666666667</v>
      </c>
      <c r="AE20" s="501">
        <v>57667.183908045976</v>
      </c>
      <c r="AF20" s="501">
        <v>0</v>
      </c>
      <c r="AG20" s="501">
        <v>0</v>
      </c>
      <c r="AH20" s="501">
        <v>0</v>
      </c>
      <c r="AI20" s="501">
        <v>0</v>
      </c>
      <c r="AJ20" s="501">
        <v>0</v>
      </c>
      <c r="AK20" s="501">
        <v>0</v>
      </c>
      <c r="AL20" s="501">
        <v>0</v>
      </c>
      <c r="AM20" s="501">
        <v>0</v>
      </c>
      <c r="AN20" s="501">
        <v>0</v>
      </c>
    </row>
    <row r="21" spans="1:40" x14ac:dyDescent="0.3">
      <c r="A21" s="489" t="s">
        <v>1441</v>
      </c>
      <c r="B21" s="489" t="s">
        <v>1549</v>
      </c>
      <c r="C21" s="489" t="s">
        <v>1550</v>
      </c>
      <c r="D21" s="489" t="s">
        <v>46</v>
      </c>
      <c r="E21" s="619">
        <v>409</v>
      </c>
      <c r="F21" s="621">
        <f t="shared" si="1"/>
        <v>38361.095354523226</v>
      </c>
      <c r="G21" s="501">
        <f t="shared" si="2"/>
        <v>42755.529411764706</v>
      </c>
      <c r="H21" s="501">
        <f t="shared" si="2"/>
        <v>36845</v>
      </c>
      <c r="I21" s="501">
        <f t="shared" si="2"/>
        <v>39927.368421052633</v>
      </c>
      <c r="J21" s="501">
        <f t="shared" si="2"/>
        <v>35049.894736842107</v>
      </c>
      <c r="K21" s="501">
        <f t="shared" si="2"/>
        <v>37005.523809523809</v>
      </c>
      <c r="L21" s="501">
        <f t="shared" si="2"/>
        <v>42238.270833333336</v>
      </c>
      <c r="M21" s="501">
        <f t="shared" si="2"/>
        <v>39356.448979591834</v>
      </c>
      <c r="N21" s="501">
        <f t="shared" si="2"/>
        <v>38398.866666666669</v>
      </c>
      <c r="O21" s="501">
        <f t="shared" si="2"/>
        <v>34920.323529411762</v>
      </c>
      <c r="P21" s="501">
        <f t="shared" si="2"/>
        <v>35813.300000000003</v>
      </c>
      <c r="Q21" s="501">
        <f t="shared" si="2"/>
        <v>38229.599999999999</v>
      </c>
      <c r="R21" s="501">
        <f t="shared" si="2"/>
        <v>36641.199999999997</v>
      </c>
      <c r="S21" s="501">
        <f t="shared" si="2"/>
        <v>34645.17391304348</v>
      </c>
      <c r="T21" s="501">
        <f t="shared" si="2"/>
        <v>33296.333333333336</v>
      </c>
      <c r="U21" s="501">
        <f t="shared" si="2"/>
        <v>31244</v>
      </c>
      <c r="Y21" s="621">
        <v>38361.095354523226</v>
      </c>
      <c r="Z21" s="501">
        <v>42755.529411764706</v>
      </c>
      <c r="AA21" s="501">
        <v>36845</v>
      </c>
      <c r="AB21" s="501">
        <v>39927.368421052633</v>
      </c>
      <c r="AC21" s="501">
        <v>35049.894736842107</v>
      </c>
      <c r="AD21" s="501">
        <v>37005.523809523809</v>
      </c>
      <c r="AE21" s="501">
        <v>42238.270833333336</v>
      </c>
      <c r="AF21" s="501">
        <v>39356.448979591834</v>
      </c>
      <c r="AG21" s="501">
        <v>38398.866666666669</v>
      </c>
      <c r="AH21" s="501">
        <v>34920.323529411762</v>
      </c>
      <c r="AI21" s="501">
        <v>35813.300000000003</v>
      </c>
      <c r="AJ21" s="501">
        <v>38229.599999999999</v>
      </c>
      <c r="AK21" s="501">
        <v>36641.199999999997</v>
      </c>
      <c r="AL21" s="501">
        <v>34645.17391304348</v>
      </c>
      <c r="AM21" s="501">
        <v>33296.333333333336</v>
      </c>
      <c r="AN21" s="501">
        <v>31244</v>
      </c>
    </row>
    <row r="22" spans="1:40" x14ac:dyDescent="0.3">
      <c r="A22" s="489" t="s">
        <v>1414</v>
      </c>
      <c r="B22" s="489" t="s">
        <v>1449</v>
      </c>
      <c r="C22" s="489" t="s">
        <v>1450</v>
      </c>
      <c r="D22" s="489" t="s">
        <v>141</v>
      </c>
      <c r="E22" s="619">
        <v>396</v>
      </c>
      <c r="F22" s="621">
        <f t="shared" si="1"/>
        <v>89067.494949494954</v>
      </c>
      <c r="G22" s="501">
        <f t="shared" si="2"/>
        <v>92181.991150442482</v>
      </c>
      <c r="H22" s="501">
        <f t="shared" si="2"/>
        <v>90068</v>
      </c>
      <c r="I22" s="501">
        <f t="shared" si="2"/>
        <v>85538.233333333337</v>
      </c>
      <c r="J22" s="501">
        <f t="shared" si="2"/>
        <v>83279.117647058825</v>
      </c>
      <c r="K22" s="501">
        <f t="shared" si="2"/>
        <v>90281.75</v>
      </c>
      <c r="L22" s="501">
        <f t="shared" si="2"/>
        <v>0</v>
      </c>
      <c r="M22" s="501">
        <f t="shared" si="2"/>
        <v>0</v>
      </c>
      <c r="N22" s="501">
        <f t="shared" si="2"/>
        <v>0</v>
      </c>
      <c r="O22" s="501">
        <f t="shared" si="2"/>
        <v>0</v>
      </c>
      <c r="P22" s="501">
        <f t="shared" si="2"/>
        <v>0</v>
      </c>
      <c r="Q22" s="501">
        <f t="shared" si="2"/>
        <v>0</v>
      </c>
      <c r="R22" s="501">
        <f t="shared" si="2"/>
        <v>0</v>
      </c>
      <c r="S22" s="501">
        <f t="shared" si="2"/>
        <v>0</v>
      </c>
      <c r="T22" s="501">
        <f t="shared" si="2"/>
        <v>0</v>
      </c>
      <c r="U22" s="501">
        <f t="shared" si="2"/>
        <v>0</v>
      </c>
      <c r="Y22" s="621">
        <v>89067.494949494954</v>
      </c>
      <c r="Z22" s="501">
        <v>92181.991150442482</v>
      </c>
      <c r="AA22" s="501">
        <v>90068</v>
      </c>
      <c r="AB22" s="501">
        <v>85538.233333333337</v>
      </c>
      <c r="AC22" s="501">
        <v>83279.117647058825</v>
      </c>
      <c r="AD22" s="501">
        <v>90281.75</v>
      </c>
      <c r="AE22" s="501">
        <v>0</v>
      </c>
      <c r="AF22" s="501">
        <v>0</v>
      </c>
      <c r="AG22" s="501">
        <v>0</v>
      </c>
      <c r="AH22" s="501">
        <v>0</v>
      </c>
      <c r="AI22" s="501">
        <v>0</v>
      </c>
      <c r="AJ22" s="501">
        <v>0</v>
      </c>
      <c r="AK22" s="501">
        <v>0</v>
      </c>
      <c r="AL22" s="501">
        <v>0</v>
      </c>
      <c r="AM22" s="501">
        <v>0</v>
      </c>
      <c r="AN22" s="501">
        <v>0</v>
      </c>
    </row>
    <row r="23" spans="1:40" x14ac:dyDescent="0.3">
      <c r="A23" s="489" t="s">
        <v>1441</v>
      </c>
      <c r="B23" s="489" t="s">
        <v>1551</v>
      </c>
      <c r="C23" s="489" t="s">
        <v>1552</v>
      </c>
      <c r="D23" s="489" t="s">
        <v>46</v>
      </c>
      <c r="E23" s="619">
        <v>394</v>
      </c>
      <c r="F23" s="621">
        <f t="shared" si="1"/>
        <v>42387.176470588238</v>
      </c>
      <c r="G23" s="501">
        <f t="shared" si="2"/>
        <v>47397.444444444445</v>
      </c>
      <c r="H23" s="501">
        <f t="shared" si="2"/>
        <v>44442.6875</v>
      </c>
      <c r="I23" s="501">
        <f t="shared" si="2"/>
        <v>44431.199999999997</v>
      </c>
      <c r="J23" s="501">
        <f t="shared" si="2"/>
        <v>45211.9</v>
      </c>
      <c r="K23" s="501">
        <f t="shared" si="2"/>
        <v>45093</v>
      </c>
      <c r="L23" s="501">
        <f t="shared" si="2"/>
        <v>46726.333333333336</v>
      </c>
      <c r="M23" s="501">
        <f t="shared" si="2"/>
        <v>42451.75</v>
      </c>
      <c r="N23" s="501">
        <f t="shared" si="2"/>
        <v>42499.895833333336</v>
      </c>
      <c r="O23" s="501">
        <f t="shared" si="2"/>
        <v>42649.851063829788</v>
      </c>
      <c r="P23" s="501">
        <f t="shared" si="2"/>
        <v>42522.737500000003</v>
      </c>
      <c r="Q23" s="501">
        <f t="shared" si="2"/>
        <v>41462.280701754389</v>
      </c>
      <c r="R23" s="501">
        <f t="shared" si="2"/>
        <v>39971.275000000001</v>
      </c>
      <c r="S23" s="501">
        <f t="shared" si="2"/>
        <v>38463.9</v>
      </c>
      <c r="T23" s="501">
        <f t="shared" si="2"/>
        <v>40883.333333333336</v>
      </c>
      <c r="U23" s="501">
        <f t="shared" si="2"/>
        <v>36230</v>
      </c>
      <c r="Y23" s="621">
        <v>42387.176470588238</v>
      </c>
      <c r="Z23" s="501">
        <v>47397.444444444445</v>
      </c>
      <c r="AA23" s="501">
        <v>44442.6875</v>
      </c>
      <c r="AB23" s="501">
        <v>44431.199999999997</v>
      </c>
      <c r="AC23" s="501">
        <v>45211.9</v>
      </c>
      <c r="AD23" s="501">
        <v>45093</v>
      </c>
      <c r="AE23" s="501">
        <v>46726.333333333336</v>
      </c>
      <c r="AF23" s="501">
        <v>42451.75</v>
      </c>
      <c r="AG23" s="501">
        <v>42499.895833333336</v>
      </c>
      <c r="AH23" s="501">
        <v>42649.851063829788</v>
      </c>
      <c r="AI23" s="501">
        <v>42522.737500000003</v>
      </c>
      <c r="AJ23" s="501">
        <v>41462.280701754389</v>
      </c>
      <c r="AK23" s="501">
        <v>39971.275000000001</v>
      </c>
      <c r="AL23" s="501">
        <v>38463.9</v>
      </c>
      <c r="AM23" s="501">
        <v>40883.333333333336</v>
      </c>
      <c r="AN23" s="501">
        <v>36230</v>
      </c>
    </row>
    <row r="24" spans="1:40" x14ac:dyDescent="0.3">
      <c r="A24" s="489" t="s">
        <v>1422</v>
      </c>
      <c r="B24" s="489" t="s">
        <v>1423</v>
      </c>
      <c r="C24" s="489" t="s">
        <v>1424</v>
      </c>
      <c r="D24" s="489" t="s">
        <v>46</v>
      </c>
      <c r="E24" s="619">
        <v>387</v>
      </c>
      <c r="F24" s="621">
        <f t="shared" si="1"/>
        <v>40505.308290155437</v>
      </c>
      <c r="G24" s="501">
        <f t="shared" si="2"/>
        <v>46071.333333333336</v>
      </c>
      <c r="H24" s="501">
        <f t="shared" si="2"/>
        <v>47307.258064516129</v>
      </c>
      <c r="I24" s="501">
        <f t="shared" si="2"/>
        <v>42881.9</v>
      </c>
      <c r="J24" s="501">
        <f t="shared" si="2"/>
        <v>43321.428571428572</v>
      </c>
      <c r="K24" s="501">
        <f t="shared" si="2"/>
        <v>42550</v>
      </c>
      <c r="L24" s="501">
        <f t="shared" si="2"/>
        <v>41340.013513513513</v>
      </c>
      <c r="M24" s="501">
        <f t="shared" si="2"/>
        <v>40264.927710843374</v>
      </c>
      <c r="N24" s="501">
        <f t="shared" si="2"/>
        <v>40005.765957446805</v>
      </c>
      <c r="O24" s="501">
        <f t="shared" si="2"/>
        <v>39519.800000000003</v>
      </c>
      <c r="P24" s="501">
        <f t="shared" si="2"/>
        <v>35118.058823529413</v>
      </c>
      <c r="Q24" s="501">
        <f t="shared" si="2"/>
        <v>32457.642857142859</v>
      </c>
      <c r="R24" s="501">
        <f t="shared" si="2"/>
        <v>34697.875</v>
      </c>
      <c r="S24" s="501">
        <f t="shared" si="2"/>
        <v>33670.875</v>
      </c>
      <c r="T24" s="501">
        <f t="shared" si="2"/>
        <v>33077.599999999999</v>
      </c>
      <c r="U24" s="501">
        <f t="shared" si="2"/>
        <v>0</v>
      </c>
      <c r="Y24" s="621">
        <v>40505.308290155437</v>
      </c>
      <c r="Z24" s="501">
        <v>46071.333333333336</v>
      </c>
      <c r="AA24" s="501">
        <v>47307.258064516129</v>
      </c>
      <c r="AB24" s="501">
        <v>42881.9</v>
      </c>
      <c r="AC24" s="501">
        <v>43321.428571428572</v>
      </c>
      <c r="AD24" s="501">
        <v>42550</v>
      </c>
      <c r="AE24" s="501">
        <v>41340.013513513513</v>
      </c>
      <c r="AF24" s="501">
        <v>40264.927710843374</v>
      </c>
      <c r="AG24" s="501">
        <v>40005.765957446805</v>
      </c>
      <c r="AH24" s="501">
        <v>39519.800000000003</v>
      </c>
      <c r="AI24" s="501">
        <v>35118.058823529413</v>
      </c>
      <c r="AJ24" s="501">
        <v>32457.642857142859</v>
      </c>
      <c r="AK24" s="501">
        <v>34697.875</v>
      </c>
      <c r="AL24" s="501">
        <v>33670.875</v>
      </c>
      <c r="AM24" s="501">
        <v>33077.599999999999</v>
      </c>
      <c r="AN24" s="501">
        <v>0</v>
      </c>
    </row>
    <row r="25" spans="1:40" x14ac:dyDescent="0.3">
      <c r="A25" s="489" t="s">
        <v>1414</v>
      </c>
      <c r="B25" s="489" t="s">
        <v>1430</v>
      </c>
      <c r="C25" s="489" t="s">
        <v>1431</v>
      </c>
      <c r="D25" s="489" t="s">
        <v>1530</v>
      </c>
      <c r="E25" s="619">
        <v>373</v>
      </c>
      <c r="F25" s="621">
        <f t="shared" si="1"/>
        <v>75457.941018766753</v>
      </c>
      <c r="G25" s="501">
        <f t="shared" si="2"/>
        <v>79208.03333333334</v>
      </c>
      <c r="H25" s="501">
        <f t="shared" si="2"/>
        <v>79208.03333333334</v>
      </c>
      <c r="I25" s="501">
        <f t="shared" si="2"/>
        <v>79208.03333333334</v>
      </c>
      <c r="J25" s="501">
        <f t="shared" si="2"/>
        <v>79208.03333333334</v>
      </c>
      <c r="K25" s="501">
        <f t="shared" si="2"/>
        <v>79208.03333333334</v>
      </c>
      <c r="L25" s="501">
        <f t="shared" si="2"/>
        <v>79208.03333333334</v>
      </c>
      <c r="M25" s="501">
        <f t="shared" si="2"/>
        <v>79208.03333333334</v>
      </c>
      <c r="N25" s="501">
        <f t="shared" si="2"/>
        <v>78248.227272727279</v>
      </c>
      <c r="O25" s="501">
        <f t="shared" si="2"/>
        <v>76797.070796460175</v>
      </c>
      <c r="P25" s="501">
        <f t="shared" si="2"/>
        <v>75837.702127659577</v>
      </c>
      <c r="Q25" s="501">
        <f t="shared" si="2"/>
        <v>67750.573770491799</v>
      </c>
      <c r="R25" s="501">
        <f t="shared" si="2"/>
        <v>79708</v>
      </c>
      <c r="S25" s="501">
        <f t="shared" si="2"/>
        <v>79708</v>
      </c>
      <c r="T25" s="501">
        <f t="shared" si="2"/>
        <v>64302.909090909088</v>
      </c>
      <c r="U25" s="501">
        <f t="shared" si="2"/>
        <v>64302.909090909088</v>
      </c>
      <c r="Y25" s="621">
        <v>75457.941018766753</v>
      </c>
      <c r="Z25" s="501">
        <v>0</v>
      </c>
      <c r="AA25" s="501">
        <v>0</v>
      </c>
      <c r="AB25" s="501">
        <v>0</v>
      </c>
      <c r="AC25" s="501">
        <v>0</v>
      </c>
      <c r="AD25" s="501">
        <v>0</v>
      </c>
      <c r="AE25" s="501">
        <v>0</v>
      </c>
      <c r="AF25" s="501">
        <v>79208.03333333334</v>
      </c>
      <c r="AG25" s="501">
        <v>78248.227272727279</v>
      </c>
      <c r="AH25" s="501">
        <v>76797.070796460175</v>
      </c>
      <c r="AI25" s="501">
        <v>75837.702127659577</v>
      </c>
      <c r="AJ25" s="501">
        <v>67750.573770491799</v>
      </c>
      <c r="AK25" s="501">
        <v>0</v>
      </c>
      <c r="AL25" s="501">
        <v>79708</v>
      </c>
      <c r="AM25" s="501">
        <v>0</v>
      </c>
      <c r="AN25" s="501">
        <v>64302.909090909088</v>
      </c>
    </row>
    <row r="26" spans="1:40" x14ac:dyDescent="0.3">
      <c r="A26" s="489" t="s">
        <v>1454</v>
      </c>
      <c r="B26" s="489" t="s">
        <v>1553</v>
      </c>
      <c r="C26" s="489" t="s">
        <v>1554</v>
      </c>
      <c r="D26" s="489" t="s">
        <v>46</v>
      </c>
      <c r="E26" s="619">
        <v>344</v>
      </c>
      <c r="F26" s="621">
        <f t="shared" si="1"/>
        <v>30237.839650145772</v>
      </c>
      <c r="G26" s="501">
        <f t="shared" si="2"/>
        <v>31721.5</v>
      </c>
      <c r="H26" s="501">
        <f t="shared" si="2"/>
        <v>30004.333333333332</v>
      </c>
      <c r="I26" s="501">
        <f t="shared" si="2"/>
        <v>32013.666666666668</v>
      </c>
      <c r="J26" s="501">
        <f t="shared" si="2"/>
        <v>30947.625</v>
      </c>
      <c r="K26" s="501">
        <f t="shared" si="2"/>
        <v>30546</v>
      </c>
      <c r="L26" s="501">
        <f t="shared" si="2"/>
        <v>30448.92</v>
      </c>
      <c r="M26" s="501">
        <f t="shared" si="2"/>
        <v>31474.093023255813</v>
      </c>
      <c r="N26" s="501">
        <f t="shared" si="2"/>
        <v>30807.766666666666</v>
      </c>
      <c r="O26" s="501">
        <f t="shared" si="2"/>
        <v>30806.5</v>
      </c>
      <c r="P26" s="501">
        <f t="shared" si="2"/>
        <v>29585.599999999999</v>
      </c>
      <c r="Q26" s="501">
        <f t="shared" si="2"/>
        <v>30791</v>
      </c>
      <c r="R26" s="501">
        <f t="shared" si="2"/>
        <v>29195.532258064515</v>
      </c>
      <c r="S26" s="501">
        <f t="shared" si="2"/>
        <v>28550.815789473683</v>
      </c>
      <c r="T26" s="501">
        <f t="shared" si="2"/>
        <v>30254.523809523809</v>
      </c>
      <c r="U26" s="501">
        <f t="shared" si="2"/>
        <v>28722.5</v>
      </c>
      <c r="Y26" s="621">
        <v>30237.839650145772</v>
      </c>
      <c r="Z26" s="501">
        <v>31721.5</v>
      </c>
      <c r="AA26" s="501">
        <v>30004.333333333332</v>
      </c>
      <c r="AB26" s="501">
        <v>32013.666666666668</v>
      </c>
      <c r="AC26" s="501">
        <v>30947.625</v>
      </c>
      <c r="AD26" s="501">
        <v>30546</v>
      </c>
      <c r="AE26" s="501">
        <v>30448.92</v>
      </c>
      <c r="AF26" s="501">
        <v>31474.093023255813</v>
      </c>
      <c r="AG26" s="501">
        <v>30807.766666666666</v>
      </c>
      <c r="AH26" s="501">
        <v>30806.5</v>
      </c>
      <c r="AI26" s="501">
        <v>29585.599999999999</v>
      </c>
      <c r="AJ26" s="501">
        <v>30791</v>
      </c>
      <c r="AK26" s="501">
        <v>29195.532258064515</v>
      </c>
      <c r="AL26" s="501">
        <v>28550.815789473683</v>
      </c>
      <c r="AM26" s="501">
        <v>30254.523809523809</v>
      </c>
      <c r="AN26" s="501">
        <v>28722.5</v>
      </c>
    </row>
    <row r="27" spans="1:40" x14ac:dyDescent="0.3">
      <c r="A27" s="489" t="s">
        <v>1432</v>
      </c>
      <c r="B27" s="489" t="s">
        <v>1555</v>
      </c>
      <c r="C27" s="489" t="s">
        <v>1556</v>
      </c>
      <c r="D27" s="489" t="s">
        <v>141</v>
      </c>
      <c r="E27" s="619">
        <v>341</v>
      </c>
      <c r="F27" s="621">
        <f t="shared" si="1"/>
        <v>54953.533724340174</v>
      </c>
      <c r="G27" s="501">
        <f t="shared" si="2"/>
        <v>57019.951219512193</v>
      </c>
      <c r="H27" s="501">
        <f t="shared" si="2"/>
        <v>56781.910447761191</v>
      </c>
      <c r="I27" s="501">
        <f t="shared" si="2"/>
        <v>54609.903225806454</v>
      </c>
      <c r="J27" s="501">
        <f t="shared" si="2"/>
        <v>53443.311926605507</v>
      </c>
      <c r="K27" s="501">
        <f t="shared" si="2"/>
        <v>0</v>
      </c>
      <c r="L27" s="501">
        <f t="shared" si="2"/>
        <v>0</v>
      </c>
      <c r="M27" s="501">
        <f t="shared" si="2"/>
        <v>0</v>
      </c>
      <c r="N27" s="501">
        <f t="shared" si="2"/>
        <v>0</v>
      </c>
      <c r="O27" s="501">
        <f t="shared" si="2"/>
        <v>0</v>
      </c>
      <c r="P27" s="501">
        <f t="shared" si="2"/>
        <v>0</v>
      </c>
      <c r="Q27" s="501">
        <f t="shared" si="2"/>
        <v>0</v>
      </c>
      <c r="R27" s="501">
        <f t="shared" si="2"/>
        <v>0</v>
      </c>
      <c r="S27" s="501">
        <f t="shared" si="2"/>
        <v>0</v>
      </c>
      <c r="T27" s="501">
        <f t="shared" si="2"/>
        <v>0</v>
      </c>
      <c r="U27" s="501">
        <f t="shared" si="2"/>
        <v>0</v>
      </c>
      <c r="Y27" s="621">
        <v>54953.533724340174</v>
      </c>
      <c r="Z27" s="501">
        <v>57019.951219512193</v>
      </c>
      <c r="AA27" s="501">
        <v>56781.910447761191</v>
      </c>
      <c r="AB27" s="501">
        <v>54609.903225806454</v>
      </c>
      <c r="AC27" s="501">
        <v>53443.311926605507</v>
      </c>
      <c r="AD27" s="501">
        <v>0</v>
      </c>
      <c r="AE27" s="501">
        <v>0</v>
      </c>
      <c r="AF27" s="501">
        <v>0</v>
      </c>
      <c r="AG27" s="501">
        <v>0</v>
      </c>
      <c r="AH27" s="501">
        <v>0</v>
      </c>
      <c r="AI27" s="501">
        <v>0</v>
      </c>
      <c r="AJ27" s="501">
        <v>0</v>
      </c>
      <c r="AK27" s="501">
        <v>0</v>
      </c>
      <c r="AL27" s="501">
        <v>0</v>
      </c>
      <c r="AM27" s="501">
        <v>0</v>
      </c>
      <c r="AN27" s="501">
        <v>0</v>
      </c>
    </row>
    <row r="28" spans="1:40" x14ac:dyDescent="0.3">
      <c r="A28" s="489" t="s">
        <v>1426</v>
      </c>
      <c r="B28" s="489" t="s">
        <v>343</v>
      </c>
      <c r="C28" s="489" t="s">
        <v>343</v>
      </c>
      <c r="D28" s="489" t="s">
        <v>1936</v>
      </c>
      <c r="E28" s="619">
        <v>325</v>
      </c>
      <c r="F28" s="621">
        <f t="shared" si="1"/>
        <v>29367.621538461539</v>
      </c>
      <c r="G28" s="501">
        <f t="shared" si="2"/>
        <v>30519.5</v>
      </c>
      <c r="H28" s="501">
        <f t="shared" si="2"/>
        <v>30519.5</v>
      </c>
      <c r="I28" s="501">
        <f t="shared" si="2"/>
        <v>30519.5</v>
      </c>
      <c r="J28" s="501">
        <f t="shared" si="2"/>
        <v>30519.5</v>
      </c>
      <c r="K28" s="501">
        <f t="shared" si="2"/>
        <v>30519.5</v>
      </c>
      <c r="L28" s="501">
        <f t="shared" si="2"/>
        <v>30519.5</v>
      </c>
      <c r="M28" s="501">
        <f t="shared" si="2"/>
        <v>29666.55072463768</v>
      </c>
      <c r="N28" s="501">
        <f t="shared" si="2"/>
        <v>28516.078431372549</v>
      </c>
      <c r="O28" s="501">
        <f t="shared" si="2"/>
        <v>28092.538461538461</v>
      </c>
      <c r="P28" s="501">
        <f t="shared" si="2"/>
        <v>30127.5390625</v>
      </c>
      <c r="Q28" s="501">
        <f t="shared" si="2"/>
        <v>27815</v>
      </c>
      <c r="R28" s="501">
        <f t="shared" si="2"/>
        <v>0</v>
      </c>
      <c r="S28" s="501">
        <f t="shared" si="2"/>
        <v>0</v>
      </c>
      <c r="T28" s="501">
        <f t="shared" si="2"/>
        <v>0</v>
      </c>
      <c r="U28" s="501">
        <f t="shared" si="2"/>
        <v>0</v>
      </c>
      <c r="Y28" s="621">
        <v>29367.621538461539</v>
      </c>
      <c r="Z28" s="501">
        <v>0</v>
      </c>
      <c r="AA28" s="501">
        <v>0</v>
      </c>
      <c r="AB28" s="501">
        <v>0</v>
      </c>
      <c r="AC28" s="501">
        <v>0</v>
      </c>
      <c r="AD28" s="501">
        <v>0</v>
      </c>
      <c r="AE28" s="501">
        <v>30519.5</v>
      </c>
      <c r="AF28" s="501">
        <v>29666.55072463768</v>
      </c>
      <c r="AG28" s="501">
        <v>28516.078431372549</v>
      </c>
      <c r="AH28" s="501">
        <v>28092.538461538461</v>
      </c>
      <c r="AI28" s="501">
        <v>30127.5390625</v>
      </c>
      <c r="AJ28" s="501">
        <v>27815</v>
      </c>
      <c r="AK28" s="501">
        <v>0</v>
      </c>
      <c r="AL28" s="501">
        <v>0</v>
      </c>
      <c r="AM28" s="501">
        <v>0</v>
      </c>
      <c r="AN28" s="501">
        <v>0</v>
      </c>
    </row>
    <row r="29" spans="1:40" x14ac:dyDescent="0.3">
      <c r="A29" s="489" t="s">
        <v>1441</v>
      </c>
      <c r="B29" s="489" t="s">
        <v>1447</v>
      </c>
      <c r="C29" s="489" t="s">
        <v>1448</v>
      </c>
      <c r="D29" s="489" t="s">
        <v>1530</v>
      </c>
      <c r="E29" s="619">
        <v>313</v>
      </c>
      <c r="F29" s="621">
        <f t="shared" si="1"/>
        <v>65260.246006389774</v>
      </c>
      <c r="G29" s="501">
        <f t="shared" si="2"/>
        <v>66128.800000000003</v>
      </c>
      <c r="H29" s="501">
        <f t="shared" si="2"/>
        <v>66128.800000000003</v>
      </c>
      <c r="I29" s="501">
        <f t="shared" si="2"/>
        <v>66128.800000000003</v>
      </c>
      <c r="J29" s="501">
        <f t="shared" si="2"/>
        <v>66128.800000000003</v>
      </c>
      <c r="K29" s="501">
        <f t="shared" si="2"/>
        <v>66128.800000000003</v>
      </c>
      <c r="L29" s="501">
        <f t="shared" si="2"/>
        <v>66128.800000000003</v>
      </c>
      <c r="M29" s="501">
        <f t="shared" si="2"/>
        <v>66128.800000000003</v>
      </c>
      <c r="N29" s="501">
        <f t="shared" si="2"/>
        <v>66296.461538461532</v>
      </c>
      <c r="O29" s="501">
        <f t="shared" si="2"/>
        <v>61083</v>
      </c>
      <c r="P29" s="501">
        <f t="shared" si="2"/>
        <v>58961</v>
      </c>
      <c r="Q29" s="501">
        <f t="shared" si="2"/>
        <v>58961</v>
      </c>
      <c r="R29" s="501">
        <f t="shared" si="2"/>
        <v>58961</v>
      </c>
      <c r="S29" s="501">
        <f t="shared" si="2"/>
        <v>58961</v>
      </c>
      <c r="T29" s="501">
        <f t="shared" si="2"/>
        <v>54752.904761904763</v>
      </c>
      <c r="U29" s="501">
        <f t="shared" si="2"/>
        <v>0</v>
      </c>
      <c r="Y29" s="621">
        <v>65260.246006389774</v>
      </c>
      <c r="Z29" s="501">
        <v>0</v>
      </c>
      <c r="AA29" s="501">
        <v>0</v>
      </c>
      <c r="AB29" s="501">
        <v>0</v>
      </c>
      <c r="AC29" s="501">
        <v>0</v>
      </c>
      <c r="AD29" s="501">
        <v>0</v>
      </c>
      <c r="AE29" s="501">
        <v>0</v>
      </c>
      <c r="AF29" s="501">
        <v>66128.800000000003</v>
      </c>
      <c r="AG29" s="501">
        <v>66296.461538461532</v>
      </c>
      <c r="AH29" s="501">
        <v>61083</v>
      </c>
      <c r="AI29" s="501">
        <v>0</v>
      </c>
      <c r="AJ29" s="501">
        <v>0</v>
      </c>
      <c r="AK29" s="501">
        <v>0</v>
      </c>
      <c r="AL29" s="501">
        <v>58961</v>
      </c>
      <c r="AM29" s="501">
        <v>54752.904761904763</v>
      </c>
      <c r="AN29" s="501">
        <v>0</v>
      </c>
    </row>
    <row r="30" spans="1:40" x14ac:dyDescent="0.3">
      <c r="A30" s="489" t="s">
        <v>1426</v>
      </c>
      <c r="B30" s="489" t="s">
        <v>1427</v>
      </c>
      <c r="C30" s="489" t="s">
        <v>1427</v>
      </c>
      <c r="D30" s="489" t="s">
        <v>1936</v>
      </c>
      <c r="E30" s="619">
        <v>303</v>
      </c>
      <c r="F30" s="621">
        <f t="shared" si="1"/>
        <v>33074.82508250825</v>
      </c>
      <c r="G30" s="501">
        <f t="shared" si="2"/>
        <v>35049</v>
      </c>
      <c r="H30" s="501">
        <f t="shared" si="2"/>
        <v>38795.901960784315</v>
      </c>
      <c r="I30" s="501">
        <f t="shared" si="2"/>
        <v>34344</v>
      </c>
      <c r="J30" s="501">
        <f t="shared" si="2"/>
        <v>31506.481481481482</v>
      </c>
      <c r="K30" s="501">
        <f t="shared" si="2"/>
        <v>31249.477272727272</v>
      </c>
      <c r="L30" s="501">
        <f t="shared" si="2"/>
        <v>31740.208333333332</v>
      </c>
      <c r="M30" s="501">
        <f t="shared" si="2"/>
        <v>0</v>
      </c>
      <c r="N30" s="501">
        <f t="shared" si="2"/>
        <v>0</v>
      </c>
      <c r="O30" s="501">
        <f t="shared" si="2"/>
        <v>0</v>
      </c>
      <c r="P30" s="501">
        <f t="shared" si="2"/>
        <v>0</v>
      </c>
      <c r="Q30" s="501">
        <f t="shared" si="2"/>
        <v>0</v>
      </c>
      <c r="R30" s="501">
        <f t="shared" si="2"/>
        <v>0</v>
      </c>
      <c r="S30" s="501">
        <f t="shared" si="2"/>
        <v>0</v>
      </c>
      <c r="T30" s="501">
        <f t="shared" si="2"/>
        <v>0</v>
      </c>
      <c r="U30" s="501">
        <f t="shared" si="2"/>
        <v>0</v>
      </c>
      <c r="Y30" s="621">
        <v>33074.82508250825</v>
      </c>
      <c r="Z30" s="501">
        <v>35049</v>
      </c>
      <c r="AA30" s="501">
        <v>38795.901960784315</v>
      </c>
      <c r="AB30" s="501">
        <v>34344</v>
      </c>
      <c r="AC30" s="501">
        <v>31506.481481481482</v>
      </c>
      <c r="AD30" s="501">
        <v>31249.477272727272</v>
      </c>
      <c r="AE30" s="501">
        <v>31740.208333333332</v>
      </c>
      <c r="AF30" s="501">
        <v>0</v>
      </c>
      <c r="AG30" s="501">
        <v>0</v>
      </c>
      <c r="AH30" s="501">
        <v>0</v>
      </c>
      <c r="AI30" s="501">
        <v>0</v>
      </c>
      <c r="AJ30" s="501">
        <v>0</v>
      </c>
      <c r="AK30" s="501">
        <v>0</v>
      </c>
      <c r="AL30" s="501">
        <v>0</v>
      </c>
      <c r="AM30" s="501">
        <v>0</v>
      </c>
      <c r="AN30" s="501">
        <v>0</v>
      </c>
    </row>
    <row r="31" spans="1:40" x14ac:dyDescent="0.3">
      <c r="A31" s="489" t="s">
        <v>1451</v>
      </c>
      <c r="B31" s="489" t="s">
        <v>1557</v>
      </c>
      <c r="C31" s="489" t="s">
        <v>1558</v>
      </c>
      <c r="D31" s="489" t="s">
        <v>141</v>
      </c>
      <c r="E31" s="619">
        <v>289</v>
      </c>
      <c r="F31" s="621">
        <f t="shared" si="1"/>
        <v>52206.844290657442</v>
      </c>
      <c r="G31" s="501">
        <f t="shared" si="2"/>
        <v>62734</v>
      </c>
      <c r="H31" s="501">
        <f t="shared" si="2"/>
        <v>62734</v>
      </c>
      <c r="I31" s="501">
        <f t="shared" si="2"/>
        <v>45200</v>
      </c>
      <c r="J31" s="501">
        <f t="shared" si="2"/>
        <v>52409.839285714283</v>
      </c>
      <c r="K31" s="501">
        <f t="shared" si="2"/>
        <v>43584.142857142855</v>
      </c>
      <c r="L31" s="501">
        <f t="shared" si="2"/>
        <v>0</v>
      </c>
      <c r="M31" s="501">
        <f t="shared" si="2"/>
        <v>0</v>
      </c>
      <c r="N31" s="501">
        <f t="shared" si="2"/>
        <v>0</v>
      </c>
      <c r="O31" s="501">
        <f t="shared" si="2"/>
        <v>0</v>
      </c>
      <c r="P31" s="501">
        <f t="shared" si="2"/>
        <v>0</v>
      </c>
      <c r="Q31" s="501">
        <f t="shared" si="2"/>
        <v>0</v>
      </c>
      <c r="R31" s="501">
        <f t="shared" si="2"/>
        <v>0</v>
      </c>
      <c r="S31" s="501">
        <f t="shared" si="2"/>
        <v>0</v>
      </c>
      <c r="T31" s="501">
        <f t="shared" si="2"/>
        <v>0</v>
      </c>
      <c r="U31" s="501">
        <f t="shared" si="2"/>
        <v>0</v>
      </c>
      <c r="Y31" s="621">
        <v>52206.844290657442</v>
      </c>
      <c r="Z31" s="501">
        <v>0</v>
      </c>
      <c r="AA31" s="501">
        <v>62734</v>
      </c>
      <c r="AB31" s="501">
        <v>45200</v>
      </c>
      <c r="AC31" s="501">
        <v>52409.839285714283</v>
      </c>
      <c r="AD31" s="501">
        <v>43584.142857142855</v>
      </c>
      <c r="AE31" s="501">
        <v>0</v>
      </c>
      <c r="AF31" s="501">
        <v>0</v>
      </c>
      <c r="AG31" s="501">
        <v>0</v>
      </c>
      <c r="AH31" s="501">
        <v>0</v>
      </c>
      <c r="AI31" s="501">
        <v>0</v>
      </c>
      <c r="AJ31" s="501">
        <v>0</v>
      </c>
      <c r="AK31" s="501">
        <v>0</v>
      </c>
      <c r="AL31" s="501">
        <v>0</v>
      </c>
      <c r="AM31" s="501">
        <v>0</v>
      </c>
      <c r="AN31" s="501">
        <v>0</v>
      </c>
    </row>
    <row r="32" spans="1:40" x14ac:dyDescent="0.3">
      <c r="A32" s="489" t="s">
        <v>1414</v>
      </c>
      <c r="B32" s="489" t="s">
        <v>1559</v>
      </c>
      <c r="C32" s="489" t="s">
        <v>1560</v>
      </c>
      <c r="D32" s="489" t="s">
        <v>46</v>
      </c>
      <c r="E32" s="619">
        <v>281</v>
      </c>
      <c r="F32" s="621">
        <f t="shared" si="1"/>
        <v>59192.454212454213</v>
      </c>
      <c r="G32" s="501">
        <f t="shared" si="2"/>
        <v>61307.25</v>
      </c>
      <c r="H32" s="501">
        <f t="shared" si="2"/>
        <v>61307.25</v>
      </c>
      <c r="I32" s="501">
        <f t="shared" si="2"/>
        <v>61029.5</v>
      </c>
      <c r="J32" s="501">
        <f t="shared" si="2"/>
        <v>63727</v>
      </c>
      <c r="K32" s="501">
        <f t="shared" si="2"/>
        <v>58066</v>
      </c>
      <c r="L32" s="501">
        <f t="shared" si="2"/>
        <v>58776.4</v>
      </c>
      <c r="M32" s="501">
        <f t="shared" si="2"/>
        <v>60808.823529411762</v>
      </c>
      <c r="N32" s="501">
        <f t="shared" si="2"/>
        <v>59082.210526315786</v>
      </c>
      <c r="O32" s="501">
        <f t="shared" si="2"/>
        <v>62732.791666666664</v>
      </c>
      <c r="P32" s="501">
        <f t="shared" si="2"/>
        <v>60866.6</v>
      </c>
      <c r="Q32" s="501">
        <f t="shared" si="2"/>
        <v>61023.723404255317</v>
      </c>
      <c r="R32" s="501">
        <f t="shared" si="2"/>
        <v>58521.058823529413</v>
      </c>
      <c r="S32" s="501">
        <f t="shared" si="2"/>
        <v>57812.269230769234</v>
      </c>
      <c r="T32" s="501">
        <f t="shared" si="2"/>
        <v>55506.814814814818</v>
      </c>
      <c r="U32" s="501">
        <f t="shared" si="2"/>
        <v>56566.076923076922</v>
      </c>
      <c r="Y32" s="621">
        <v>59192.454212454213</v>
      </c>
      <c r="Z32" s="623">
        <v>0</v>
      </c>
      <c r="AA32" s="501">
        <v>61307.25</v>
      </c>
      <c r="AB32" s="623">
        <v>61029.5</v>
      </c>
      <c r="AC32" s="501">
        <v>63727</v>
      </c>
      <c r="AD32" s="501">
        <v>58066</v>
      </c>
      <c r="AE32" s="501">
        <v>58776.4</v>
      </c>
      <c r="AF32" s="501">
        <v>60808.823529411762</v>
      </c>
      <c r="AG32" s="501">
        <v>59082.210526315786</v>
      </c>
      <c r="AH32" s="501">
        <v>62732.791666666664</v>
      </c>
      <c r="AI32" s="501">
        <v>60866.6</v>
      </c>
      <c r="AJ32" s="501">
        <v>61023.723404255317</v>
      </c>
      <c r="AK32" s="501">
        <v>58521.058823529413</v>
      </c>
      <c r="AL32" s="501">
        <v>57812.269230769234</v>
      </c>
      <c r="AM32" s="501">
        <v>55506.814814814818</v>
      </c>
      <c r="AN32" s="501">
        <v>56566.076923076922</v>
      </c>
    </row>
    <row r="33" spans="1:40" x14ac:dyDescent="0.3">
      <c r="A33" s="489" t="s">
        <v>1426</v>
      </c>
      <c r="B33" s="489" t="s">
        <v>816</v>
      </c>
      <c r="C33" s="489" t="s">
        <v>816</v>
      </c>
      <c r="D33" s="489" t="s">
        <v>1929</v>
      </c>
      <c r="E33" s="619">
        <v>238</v>
      </c>
      <c r="F33" s="621">
        <f t="shared" si="1"/>
        <v>29751.074235807861</v>
      </c>
      <c r="G33" s="501">
        <f t="shared" si="2"/>
        <v>34596.333333333336</v>
      </c>
      <c r="H33" s="501">
        <f t="shared" si="2"/>
        <v>35345</v>
      </c>
      <c r="I33" s="501">
        <f t="shared" si="2"/>
        <v>31526.75</v>
      </c>
      <c r="J33" s="501">
        <f t="shared" si="2"/>
        <v>30401</v>
      </c>
      <c r="K33" s="501">
        <f t="shared" si="2"/>
        <v>28643</v>
      </c>
      <c r="L33" s="501">
        <f t="shared" si="2"/>
        <v>29968.583333333332</v>
      </c>
      <c r="M33" s="501">
        <f t="shared" si="2"/>
        <v>28845.909090909092</v>
      </c>
      <c r="N33" s="501">
        <f t="shared" si="2"/>
        <v>31875.666666666668</v>
      </c>
      <c r="O33" s="501">
        <f t="shared" si="2"/>
        <v>33250.333333333336</v>
      </c>
      <c r="P33" s="501">
        <f t="shared" si="2"/>
        <v>31438.25</v>
      </c>
      <c r="Q33" s="501">
        <f t="shared" si="2"/>
        <v>28716.727272727272</v>
      </c>
      <c r="R33" s="501">
        <f t="shared" si="2"/>
        <v>29092.53125</v>
      </c>
      <c r="S33" s="501">
        <f t="shared" si="2"/>
        <v>29282.948717948719</v>
      </c>
      <c r="T33" s="501">
        <f t="shared" si="2"/>
        <v>29969.341463414636</v>
      </c>
      <c r="U33" s="501">
        <f t="shared" si="2"/>
        <v>29340.714285714286</v>
      </c>
      <c r="Y33" s="621">
        <v>29751.074235807861</v>
      </c>
      <c r="Z33" s="501">
        <v>34596.333333333336</v>
      </c>
      <c r="AA33" s="501">
        <v>35345</v>
      </c>
      <c r="AB33" s="501">
        <v>31526.75</v>
      </c>
      <c r="AC33" s="501">
        <v>30401</v>
      </c>
      <c r="AD33" s="501">
        <v>28643</v>
      </c>
      <c r="AE33" s="501">
        <v>29968.583333333332</v>
      </c>
      <c r="AF33" s="501">
        <v>28845.909090909092</v>
      </c>
      <c r="AG33" s="501">
        <v>31875.666666666668</v>
      </c>
      <c r="AH33" s="501">
        <v>33250.333333333336</v>
      </c>
      <c r="AI33" s="501">
        <v>31438.25</v>
      </c>
      <c r="AJ33" s="501">
        <v>28716.727272727272</v>
      </c>
      <c r="AK33" s="501">
        <v>29092.53125</v>
      </c>
      <c r="AL33" s="501">
        <v>29282.948717948719</v>
      </c>
      <c r="AM33" s="501">
        <v>29969.341463414636</v>
      </c>
      <c r="AN33" s="501">
        <v>29340.714285714286</v>
      </c>
    </row>
    <row r="34" spans="1:40" x14ac:dyDescent="0.3">
      <c r="A34" s="489" t="s">
        <v>1561</v>
      </c>
      <c r="B34" s="489" t="s">
        <v>1562</v>
      </c>
      <c r="C34" s="489" t="s">
        <v>1563</v>
      </c>
      <c r="D34" s="489" t="s">
        <v>141</v>
      </c>
      <c r="E34" s="619">
        <v>237</v>
      </c>
      <c r="F34" s="621">
        <f t="shared" si="1"/>
        <v>35680.286919831226</v>
      </c>
      <c r="G34" s="501">
        <f t="shared" ref="G34:U49" si="3">IF(Z34&gt;0,Z34,IF(H34&gt;0,H34,0))</f>
        <v>40786.800000000003</v>
      </c>
      <c r="H34" s="501">
        <f t="shared" si="3"/>
        <v>39983</v>
      </c>
      <c r="I34" s="501">
        <f t="shared" si="3"/>
        <v>39983</v>
      </c>
      <c r="J34" s="501">
        <f t="shared" si="3"/>
        <v>39566.833333333336</v>
      </c>
      <c r="K34" s="501">
        <f t="shared" si="3"/>
        <v>39681.473684210527</v>
      </c>
      <c r="L34" s="501">
        <f t="shared" si="3"/>
        <v>36108.436363636363</v>
      </c>
      <c r="M34" s="501">
        <f t="shared" si="3"/>
        <v>34475.260869565216</v>
      </c>
      <c r="N34" s="501">
        <f t="shared" si="3"/>
        <v>33103.425000000003</v>
      </c>
      <c r="O34" s="501">
        <f t="shared" si="3"/>
        <v>32210</v>
      </c>
      <c r="P34" s="501">
        <f t="shared" si="3"/>
        <v>0</v>
      </c>
      <c r="Q34" s="501">
        <f t="shared" si="3"/>
        <v>0</v>
      </c>
      <c r="R34" s="501">
        <f t="shared" si="3"/>
        <v>0</v>
      </c>
      <c r="S34" s="501">
        <f t="shared" si="3"/>
        <v>0</v>
      </c>
      <c r="T34" s="501">
        <f t="shared" si="3"/>
        <v>0</v>
      </c>
      <c r="U34" s="501">
        <f t="shared" si="3"/>
        <v>0</v>
      </c>
      <c r="Y34" s="621">
        <v>35680.286919831226</v>
      </c>
      <c r="Z34" s="501">
        <v>40786.800000000003</v>
      </c>
      <c r="AA34" s="501">
        <v>0</v>
      </c>
      <c r="AB34" s="501">
        <v>39983</v>
      </c>
      <c r="AC34" s="501">
        <v>39566.833333333336</v>
      </c>
      <c r="AD34" s="501">
        <v>39681.473684210527</v>
      </c>
      <c r="AE34" s="501">
        <v>36108.436363636363</v>
      </c>
      <c r="AF34" s="501">
        <v>34475.260869565216</v>
      </c>
      <c r="AG34" s="501">
        <v>33103.425000000003</v>
      </c>
      <c r="AH34" s="501">
        <v>32210</v>
      </c>
      <c r="AI34" s="501">
        <v>0</v>
      </c>
      <c r="AJ34" s="501">
        <v>0</v>
      </c>
      <c r="AK34" s="501">
        <v>0</v>
      </c>
      <c r="AL34" s="501">
        <v>0</v>
      </c>
      <c r="AM34" s="501">
        <v>0</v>
      </c>
      <c r="AN34" s="501">
        <v>0</v>
      </c>
    </row>
    <row r="35" spans="1:40" x14ac:dyDescent="0.3">
      <c r="A35" s="489" t="s">
        <v>1564</v>
      </c>
      <c r="B35" s="489" t="s">
        <v>1565</v>
      </c>
      <c r="C35" s="489" t="s">
        <v>1566</v>
      </c>
      <c r="D35" s="489" t="s">
        <v>141</v>
      </c>
      <c r="E35" s="619">
        <v>237</v>
      </c>
      <c r="F35" s="621">
        <f t="shared" si="1"/>
        <v>39010.43459915612</v>
      </c>
      <c r="G35" s="501">
        <f t="shared" si="3"/>
        <v>38018.617021276594</v>
      </c>
      <c r="H35" s="501">
        <f t="shared" si="3"/>
        <v>40467.166666666664</v>
      </c>
      <c r="I35" s="501">
        <f t="shared" si="3"/>
        <v>0</v>
      </c>
      <c r="J35" s="501">
        <f t="shared" si="3"/>
        <v>0</v>
      </c>
      <c r="K35" s="501">
        <f t="shared" si="3"/>
        <v>0</v>
      </c>
      <c r="L35" s="501">
        <f t="shared" si="3"/>
        <v>0</v>
      </c>
      <c r="M35" s="501">
        <f t="shared" si="3"/>
        <v>0</v>
      </c>
      <c r="N35" s="501">
        <f t="shared" si="3"/>
        <v>0</v>
      </c>
      <c r="O35" s="501">
        <f t="shared" si="3"/>
        <v>0</v>
      </c>
      <c r="P35" s="501">
        <f t="shared" si="3"/>
        <v>0</v>
      </c>
      <c r="Q35" s="501">
        <f t="shared" si="3"/>
        <v>0</v>
      </c>
      <c r="R35" s="501">
        <f t="shared" si="3"/>
        <v>0</v>
      </c>
      <c r="S35" s="501">
        <f t="shared" si="3"/>
        <v>0</v>
      </c>
      <c r="T35" s="501">
        <f t="shared" si="3"/>
        <v>0</v>
      </c>
      <c r="U35" s="501">
        <f t="shared" si="3"/>
        <v>0</v>
      </c>
      <c r="Y35" s="621">
        <v>39010.43459915612</v>
      </c>
      <c r="Z35" s="501">
        <v>38018.617021276594</v>
      </c>
      <c r="AA35" s="501">
        <v>40467.166666666664</v>
      </c>
      <c r="AB35" s="501">
        <v>0</v>
      </c>
      <c r="AC35" s="501">
        <v>0</v>
      </c>
      <c r="AD35" s="501">
        <v>0</v>
      </c>
      <c r="AE35" s="501">
        <v>0</v>
      </c>
      <c r="AF35" s="501">
        <v>0</v>
      </c>
      <c r="AG35" s="501">
        <v>0</v>
      </c>
      <c r="AH35" s="501">
        <v>0</v>
      </c>
      <c r="AI35" s="501">
        <v>0</v>
      </c>
      <c r="AJ35" s="501">
        <v>0</v>
      </c>
      <c r="AK35" s="501">
        <v>0</v>
      </c>
      <c r="AL35" s="501">
        <v>0</v>
      </c>
      <c r="AM35" s="501">
        <v>0</v>
      </c>
      <c r="AN35" s="501">
        <v>0</v>
      </c>
    </row>
    <row r="36" spans="1:40" x14ac:dyDescent="0.3">
      <c r="A36" s="489" t="s">
        <v>1567</v>
      </c>
      <c r="B36" s="489">
        <v>508</v>
      </c>
      <c r="C36" s="489" t="s">
        <v>865</v>
      </c>
      <c r="D36" s="489" t="s">
        <v>46</v>
      </c>
      <c r="E36" s="619">
        <v>234</v>
      </c>
      <c r="F36" s="621">
        <f t="shared" si="1"/>
        <v>35710.880341880344</v>
      </c>
      <c r="G36" s="501">
        <f t="shared" si="3"/>
        <v>44976</v>
      </c>
      <c r="H36" s="501">
        <f t="shared" si="3"/>
        <v>59351</v>
      </c>
      <c r="I36" s="501">
        <f t="shared" si="3"/>
        <v>40404.25</v>
      </c>
      <c r="J36" s="501">
        <f t="shared" si="3"/>
        <v>43359.5</v>
      </c>
      <c r="K36" s="501">
        <f t="shared" si="3"/>
        <v>43730</v>
      </c>
      <c r="L36" s="501">
        <f t="shared" si="3"/>
        <v>48488.428571428572</v>
      </c>
      <c r="M36" s="501">
        <f t="shared" si="3"/>
        <v>42997.5</v>
      </c>
      <c r="N36" s="501">
        <f t="shared" si="3"/>
        <v>38131</v>
      </c>
      <c r="O36" s="501">
        <f t="shared" si="3"/>
        <v>38041.4375</v>
      </c>
      <c r="P36" s="501">
        <f t="shared" si="3"/>
        <v>35654.083333333336</v>
      </c>
      <c r="Q36" s="501">
        <f t="shared" si="3"/>
        <v>35285.941176470587</v>
      </c>
      <c r="R36" s="501">
        <f t="shared" si="3"/>
        <v>33523.547945205479</v>
      </c>
      <c r="S36" s="501">
        <f t="shared" si="3"/>
        <v>33820.529411764706</v>
      </c>
      <c r="T36" s="501">
        <f t="shared" si="3"/>
        <v>34343.214285714283</v>
      </c>
      <c r="U36" s="501">
        <f t="shared" si="3"/>
        <v>0</v>
      </c>
      <c r="Y36" s="621">
        <v>35710.880341880344</v>
      </c>
      <c r="Z36" s="501">
        <v>44976</v>
      </c>
      <c r="AA36" s="501">
        <v>59351</v>
      </c>
      <c r="AB36" s="501">
        <v>40404.25</v>
      </c>
      <c r="AC36" s="501">
        <v>43359.5</v>
      </c>
      <c r="AD36" s="501">
        <v>43730</v>
      </c>
      <c r="AE36" s="501">
        <v>48488.428571428572</v>
      </c>
      <c r="AF36" s="501">
        <v>42997.5</v>
      </c>
      <c r="AG36" s="501">
        <v>38131</v>
      </c>
      <c r="AH36" s="501">
        <v>38041.4375</v>
      </c>
      <c r="AI36" s="501">
        <v>35654.083333333336</v>
      </c>
      <c r="AJ36" s="501">
        <v>35285.941176470587</v>
      </c>
      <c r="AK36" s="501">
        <v>33523.547945205479</v>
      </c>
      <c r="AL36" s="501">
        <v>33820.529411764706</v>
      </c>
      <c r="AM36" s="501">
        <v>34343.214285714283</v>
      </c>
      <c r="AN36" s="501">
        <v>0</v>
      </c>
    </row>
    <row r="37" spans="1:40" x14ac:dyDescent="0.3">
      <c r="A37" s="489" t="s">
        <v>1414</v>
      </c>
      <c r="B37" s="489" t="s">
        <v>1568</v>
      </c>
      <c r="C37" s="489" t="s">
        <v>1569</v>
      </c>
      <c r="D37" s="489" t="s">
        <v>46</v>
      </c>
      <c r="E37" s="619">
        <v>225</v>
      </c>
      <c r="F37" s="621">
        <f t="shared" si="1"/>
        <v>64727.558035714283</v>
      </c>
      <c r="G37" s="501">
        <f t="shared" si="3"/>
        <v>75801.5</v>
      </c>
      <c r="H37" s="501">
        <f t="shared" si="3"/>
        <v>69311.833333333328</v>
      </c>
      <c r="I37" s="501">
        <f t="shared" si="3"/>
        <v>67351.333333333328</v>
      </c>
      <c r="J37" s="501">
        <f t="shared" si="3"/>
        <v>76216</v>
      </c>
      <c r="K37" s="501">
        <f t="shared" si="3"/>
        <v>70970</v>
      </c>
      <c r="L37" s="501">
        <f t="shared" si="3"/>
        <v>70970</v>
      </c>
      <c r="M37" s="501">
        <f t="shared" si="3"/>
        <v>61162.583333333336</v>
      </c>
      <c r="N37" s="501">
        <f t="shared" si="3"/>
        <v>70187.857142857145</v>
      </c>
      <c r="O37" s="501">
        <f t="shared" si="3"/>
        <v>70523.181818181823</v>
      </c>
      <c r="P37" s="501">
        <f t="shared" si="3"/>
        <v>70853.666666666672</v>
      </c>
      <c r="Q37" s="501">
        <f t="shared" si="3"/>
        <v>63252.836734693876</v>
      </c>
      <c r="R37" s="501">
        <f t="shared" si="3"/>
        <v>66838.53125</v>
      </c>
      <c r="S37" s="501">
        <f t="shared" si="3"/>
        <v>63788.838709677417</v>
      </c>
      <c r="T37" s="501">
        <f t="shared" si="3"/>
        <v>57115.875</v>
      </c>
      <c r="U37" s="501">
        <f t="shared" si="3"/>
        <v>44553.727272727272</v>
      </c>
      <c r="Y37" s="621">
        <v>64727.558035714283</v>
      </c>
      <c r="Z37" s="501">
        <v>75801.5</v>
      </c>
      <c r="AA37" s="501">
        <v>69311.833333333328</v>
      </c>
      <c r="AB37" s="501">
        <v>67351.333333333328</v>
      </c>
      <c r="AC37" s="501">
        <v>76216</v>
      </c>
      <c r="AD37" s="501">
        <v>0</v>
      </c>
      <c r="AE37" s="501">
        <v>70970</v>
      </c>
      <c r="AF37" s="501">
        <v>61162.583333333336</v>
      </c>
      <c r="AG37" s="501">
        <v>70187.857142857145</v>
      </c>
      <c r="AH37" s="501">
        <v>70523.181818181823</v>
      </c>
      <c r="AI37" s="501">
        <v>70853.666666666672</v>
      </c>
      <c r="AJ37" s="501">
        <v>63252.836734693876</v>
      </c>
      <c r="AK37" s="501">
        <v>66838.53125</v>
      </c>
      <c r="AL37" s="501">
        <v>63788.838709677417</v>
      </c>
      <c r="AM37" s="501">
        <v>57115.875</v>
      </c>
      <c r="AN37" s="501">
        <v>44553.727272727272</v>
      </c>
    </row>
    <row r="38" spans="1:40" x14ac:dyDescent="0.3">
      <c r="A38" s="489" t="s">
        <v>1414</v>
      </c>
      <c r="B38" s="489" t="s">
        <v>1570</v>
      </c>
      <c r="C38" s="489" t="s">
        <v>1571</v>
      </c>
      <c r="D38" s="489" t="s">
        <v>46</v>
      </c>
      <c r="E38" s="619">
        <v>222</v>
      </c>
      <c r="F38" s="621">
        <f t="shared" si="1"/>
        <v>31604.184684684686</v>
      </c>
      <c r="G38" s="501">
        <f t="shared" si="3"/>
        <v>39925</v>
      </c>
      <c r="H38" s="501">
        <f t="shared" si="3"/>
        <v>39925</v>
      </c>
      <c r="I38" s="501">
        <f t="shared" si="3"/>
        <v>39925</v>
      </c>
      <c r="J38" s="501">
        <f t="shared" si="3"/>
        <v>42558</v>
      </c>
      <c r="K38" s="501">
        <f t="shared" si="3"/>
        <v>37865.5</v>
      </c>
      <c r="L38" s="501">
        <f t="shared" si="3"/>
        <v>34364.75</v>
      </c>
      <c r="M38" s="501">
        <f t="shared" si="3"/>
        <v>32890.872549019608</v>
      </c>
      <c r="N38" s="501">
        <f t="shared" si="3"/>
        <v>29330.32</v>
      </c>
      <c r="O38" s="501">
        <f t="shared" si="3"/>
        <v>28316</v>
      </c>
      <c r="P38" s="501">
        <f t="shared" si="3"/>
        <v>28773.047619047618</v>
      </c>
      <c r="Q38" s="501">
        <f t="shared" si="3"/>
        <v>29762.5</v>
      </c>
      <c r="R38" s="501">
        <f t="shared" si="3"/>
        <v>27945.333333333332</v>
      </c>
      <c r="S38" s="501">
        <f t="shared" si="3"/>
        <v>0</v>
      </c>
      <c r="T38" s="501">
        <f t="shared" si="3"/>
        <v>0</v>
      </c>
      <c r="U38" s="501">
        <f t="shared" si="3"/>
        <v>0</v>
      </c>
      <c r="Y38" s="621">
        <v>31604.184684684686</v>
      </c>
      <c r="Z38" s="623">
        <v>0</v>
      </c>
      <c r="AA38" s="501">
        <v>39925</v>
      </c>
      <c r="AB38" s="501">
        <v>39925</v>
      </c>
      <c r="AC38" s="501">
        <v>42558</v>
      </c>
      <c r="AD38" s="501">
        <v>37865.5</v>
      </c>
      <c r="AE38" s="501">
        <v>34364.75</v>
      </c>
      <c r="AF38" s="501">
        <v>32890.872549019608</v>
      </c>
      <c r="AG38" s="501">
        <v>29330.32</v>
      </c>
      <c r="AH38" s="501">
        <v>28316</v>
      </c>
      <c r="AI38" s="501">
        <v>28773.047619047618</v>
      </c>
      <c r="AJ38" s="501">
        <v>29762.5</v>
      </c>
      <c r="AK38" s="501">
        <v>27945.333333333332</v>
      </c>
      <c r="AL38" s="501">
        <v>0</v>
      </c>
      <c r="AM38" s="501">
        <v>0</v>
      </c>
      <c r="AN38" s="501">
        <v>0</v>
      </c>
    </row>
    <row r="39" spans="1:40" x14ac:dyDescent="0.3">
      <c r="A39" s="489" t="s">
        <v>1572</v>
      </c>
      <c r="B39" s="489" t="s">
        <v>1573</v>
      </c>
      <c r="C39" s="489" t="s">
        <v>1834</v>
      </c>
      <c r="D39" s="489" t="s">
        <v>1530</v>
      </c>
      <c r="E39" s="619">
        <v>221</v>
      </c>
      <c r="F39" s="621">
        <f t="shared" si="1"/>
        <v>83769.398190045249</v>
      </c>
      <c r="G39" s="501">
        <f t="shared" si="3"/>
        <v>86668.6</v>
      </c>
      <c r="H39" s="501">
        <f t="shared" si="3"/>
        <v>86668.6</v>
      </c>
      <c r="I39" s="501">
        <f t="shared" si="3"/>
        <v>86668.6</v>
      </c>
      <c r="J39" s="501">
        <f t="shared" si="3"/>
        <v>86668.6</v>
      </c>
      <c r="K39" s="501">
        <f t="shared" si="3"/>
        <v>86668.6</v>
      </c>
      <c r="L39" s="501">
        <f t="shared" si="3"/>
        <v>86668.6</v>
      </c>
      <c r="M39" s="501">
        <f t="shared" si="3"/>
        <v>88489.21428571429</v>
      </c>
      <c r="N39" s="501">
        <f t="shared" si="3"/>
        <v>85794.572916666672</v>
      </c>
      <c r="O39" s="501">
        <f t="shared" si="3"/>
        <v>84274</v>
      </c>
      <c r="P39" s="501">
        <f t="shared" si="3"/>
        <v>92988</v>
      </c>
      <c r="Q39" s="501">
        <f t="shared" si="3"/>
        <v>92988</v>
      </c>
      <c r="R39" s="501">
        <f t="shared" si="3"/>
        <v>92988</v>
      </c>
      <c r="S39" s="501">
        <f t="shared" si="3"/>
        <v>67560.096774193546</v>
      </c>
      <c r="T39" s="501">
        <f t="shared" si="3"/>
        <v>0</v>
      </c>
      <c r="U39" s="501">
        <f t="shared" si="3"/>
        <v>0</v>
      </c>
      <c r="Y39" s="621">
        <v>83769.398190045249</v>
      </c>
      <c r="Z39" s="501">
        <v>0</v>
      </c>
      <c r="AA39" s="501">
        <v>0</v>
      </c>
      <c r="AB39" s="501">
        <v>0</v>
      </c>
      <c r="AC39" s="501">
        <v>0</v>
      </c>
      <c r="AD39" s="501">
        <v>0</v>
      </c>
      <c r="AE39" s="501">
        <v>86668.6</v>
      </c>
      <c r="AF39" s="501">
        <v>88489.21428571429</v>
      </c>
      <c r="AG39" s="501">
        <v>85794.572916666672</v>
      </c>
      <c r="AH39" s="501">
        <v>84274</v>
      </c>
      <c r="AI39" s="501">
        <v>0</v>
      </c>
      <c r="AJ39" s="501">
        <v>0</v>
      </c>
      <c r="AK39" s="501">
        <v>92988</v>
      </c>
      <c r="AL39" s="501">
        <v>67560.096774193546</v>
      </c>
      <c r="AM39" s="501">
        <v>0</v>
      </c>
      <c r="AN39" s="501">
        <v>0</v>
      </c>
    </row>
    <row r="40" spans="1:40" x14ac:dyDescent="0.3">
      <c r="A40" s="489" t="s">
        <v>1544</v>
      </c>
      <c r="B40" s="489" t="s">
        <v>1574</v>
      </c>
      <c r="C40" s="489" t="s">
        <v>1575</v>
      </c>
      <c r="D40" s="489" t="s">
        <v>141</v>
      </c>
      <c r="E40" s="619">
        <v>211</v>
      </c>
      <c r="F40" s="621">
        <f t="shared" si="1"/>
        <v>73654.056872037909</v>
      </c>
      <c r="G40" s="501">
        <f t="shared" si="3"/>
        <v>74063.279069767435</v>
      </c>
      <c r="H40" s="501">
        <f t="shared" si="3"/>
        <v>73642.299145299141</v>
      </c>
      <c r="I40" s="501">
        <f t="shared" si="3"/>
        <v>73336</v>
      </c>
      <c r="J40" s="501">
        <f t="shared" si="3"/>
        <v>0</v>
      </c>
      <c r="K40" s="501">
        <f t="shared" si="3"/>
        <v>0</v>
      </c>
      <c r="L40" s="501">
        <f t="shared" si="3"/>
        <v>0</v>
      </c>
      <c r="M40" s="501">
        <f t="shared" si="3"/>
        <v>0</v>
      </c>
      <c r="N40" s="501">
        <f t="shared" si="3"/>
        <v>0</v>
      </c>
      <c r="O40" s="501">
        <f t="shared" si="3"/>
        <v>0</v>
      </c>
      <c r="P40" s="501">
        <f t="shared" si="3"/>
        <v>0</v>
      </c>
      <c r="Q40" s="501">
        <f t="shared" si="3"/>
        <v>0</v>
      </c>
      <c r="R40" s="501">
        <f t="shared" si="3"/>
        <v>0</v>
      </c>
      <c r="S40" s="501">
        <f t="shared" si="3"/>
        <v>0</v>
      </c>
      <c r="T40" s="501">
        <f t="shared" si="3"/>
        <v>0</v>
      </c>
      <c r="U40" s="501">
        <f t="shared" si="3"/>
        <v>0</v>
      </c>
      <c r="Y40" s="621">
        <v>73654.056872037909</v>
      </c>
      <c r="Z40" s="501">
        <v>74063.279069767435</v>
      </c>
      <c r="AA40" s="501">
        <v>73642.299145299141</v>
      </c>
      <c r="AB40" s="501">
        <v>73336</v>
      </c>
      <c r="AC40" s="501">
        <v>0</v>
      </c>
      <c r="AD40" s="501">
        <v>0</v>
      </c>
      <c r="AE40" s="501">
        <v>0</v>
      </c>
      <c r="AF40" s="501">
        <v>0</v>
      </c>
      <c r="AG40" s="501">
        <v>0</v>
      </c>
      <c r="AH40" s="501">
        <v>0</v>
      </c>
      <c r="AI40" s="501">
        <v>0</v>
      </c>
      <c r="AJ40" s="501">
        <v>0</v>
      </c>
      <c r="AK40" s="501">
        <v>0</v>
      </c>
      <c r="AL40" s="501">
        <v>0</v>
      </c>
      <c r="AM40" s="501">
        <v>0</v>
      </c>
      <c r="AN40" s="501">
        <v>0</v>
      </c>
    </row>
    <row r="41" spans="1:40" x14ac:dyDescent="0.3">
      <c r="A41" s="489" t="s">
        <v>1451</v>
      </c>
      <c r="B41" s="489" t="s">
        <v>1576</v>
      </c>
      <c r="C41" s="489" t="s">
        <v>1577</v>
      </c>
      <c r="D41" s="489" t="s">
        <v>46</v>
      </c>
      <c r="E41" s="619">
        <v>201</v>
      </c>
      <c r="F41" s="621">
        <f t="shared" si="1"/>
        <v>62773.009950248757</v>
      </c>
      <c r="G41" s="501">
        <f t="shared" si="3"/>
        <v>60808.76774193548</v>
      </c>
      <c r="H41" s="501">
        <f t="shared" si="3"/>
        <v>60808.76774193548</v>
      </c>
      <c r="I41" s="501">
        <f t="shared" si="3"/>
        <v>60808.76774193548</v>
      </c>
      <c r="J41" s="501">
        <f t="shared" si="3"/>
        <v>60808.76774193548</v>
      </c>
      <c r="K41" s="501">
        <f t="shared" si="3"/>
        <v>60808.76774193548</v>
      </c>
      <c r="L41" s="501">
        <f t="shared" si="3"/>
        <v>60808.76774193548</v>
      </c>
      <c r="M41" s="501">
        <f t="shared" si="3"/>
        <v>70511.69767441861</v>
      </c>
      <c r="N41" s="501">
        <f t="shared" si="3"/>
        <v>61642</v>
      </c>
      <c r="O41" s="501">
        <f t="shared" si="3"/>
        <v>61642</v>
      </c>
      <c r="P41" s="501">
        <f t="shared" si="3"/>
        <v>56871</v>
      </c>
      <c r="Q41" s="501">
        <f t="shared" si="3"/>
        <v>56871</v>
      </c>
      <c r="R41" s="501">
        <f t="shared" si="3"/>
        <v>56871</v>
      </c>
      <c r="S41" s="501">
        <f t="shared" si="3"/>
        <v>56871</v>
      </c>
      <c r="T41" s="501">
        <f t="shared" si="3"/>
        <v>0</v>
      </c>
      <c r="U41" s="501">
        <f t="shared" si="3"/>
        <v>0</v>
      </c>
      <c r="Y41" s="621">
        <v>62773.009950248757</v>
      </c>
      <c r="Z41" s="501">
        <v>0</v>
      </c>
      <c r="AA41" s="501">
        <v>0</v>
      </c>
      <c r="AB41" s="501">
        <v>0</v>
      </c>
      <c r="AC41" s="501">
        <v>0</v>
      </c>
      <c r="AD41" s="501">
        <v>0</v>
      </c>
      <c r="AE41" s="501">
        <v>60808.76774193548</v>
      </c>
      <c r="AF41" s="501">
        <v>70511.69767441861</v>
      </c>
      <c r="AG41" s="623">
        <v>0</v>
      </c>
      <c r="AH41" s="501">
        <v>61642</v>
      </c>
      <c r="AI41" s="501">
        <v>0</v>
      </c>
      <c r="AJ41" s="501">
        <v>0</v>
      </c>
      <c r="AK41" s="501">
        <v>0</v>
      </c>
      <c r="AL41" s="501">
        <v>56871</v>
      </c>
      <c r="AM41" s="501">
        <v>0</v>
      </c>
      <c r="AN41" s="501">
        <v>0</v>
      </c>
    </row>
    <row r="42" spans="1:40" x14ac:dyDescent="0.3">
      <c r="A42" s="489" t="s">
        <v>1544</v>
      </c>
      <c r="B42" s="489" t="s">
        <v>1578</v>
      </c>
      <c r="C42" s="489" t="s">
        <v>337</v>
      </c>
      <c r="D42" s="489" t="s">
        <v>46</v>
      </c>
      <c r="E42" s="619">
        <v>200</v>
      </c>
      <c r="F42" s="621">
        <f t="shared" si="1"/>
        <v>31492.21608040201</v>
      </c>
      <c r="G42" s="501">
        <f t="shared" si="3"/>
        <v>39174.333333333336</v>
      </c>
      <c r="H42" s="501">
        <f t="shared" si="3"/>
        <v>36314.800000000003</v>
      </c>
      <c r="I42" s="501">
        <f t="shared" si="3"/>
        <v>34673.333333333336</v>
      </c>
      <c r="J42" s="501">
        <f t="shared" si="3"/>
        <v>33808.066666666666</v>
      </c>
      <c r="K42" s="501">
        <f t="shared" si="3"/>
        <v>35888.400000000001</v>
      </c>
      <c r="L42" s="501">
        <f t="shared" si="3"/>
        <v>33815.857142857145</v>
      </c>
      <c r="M42" s="501">
        <f t="shared" si="3"/>
        <v>31363.423076923078</v>
      </c>
      <c r="N42" s="501">
        <f t="shared" si="3"/>
        <v>31769.821428571428</v>
      </c>
      <c r="O42" s="501">
        <f t="shared" si="3"/>
        <v>31806</v>
      </c>
      <c r="P42" s="501">
        <f t="shared" si="3"/>
        <v>29610.428571428572</v>
      </c>
      <c r="Q42" s="501">
        <f t="shared" si="3"/>
        <v>27691.285714285714</v>
      </c>
      <c r="R42" s="501">
        <f t="shared" si="3"/>
        <v>27424.783783783783</v>
      </c>
      <c r="S42" s="501">
        <f t="shared" si="3"/>
        <v>26776.5</v>
      </c>
      <c r="T42" s="501">
        <f t="shared" si="3"/>
        <v>25683.333333333332</v>
      </c>
      <c r="U42" s="501">
        <f t="shared" si="3"/>
        <v>0</v>
      </c>
      <c r="Y42" s="621">
        <v>31492.21608040201</v>
      </c>
      <c r="Z42" s="501">
        <v>39174.333333333336</v>
      </c>
      <c r="AA42" s="501">
        <v>36314.800000000003</v>
      </c>
      <c r="AB42" s="501">
        <v>34673.333333333336</v>
      </c>
      <c r="AC42" s="501">
        <v>33808.066666666666</v>
      </c>
      <c r="AD42" s="501">
        <v>35888.400000000001</v>
      </c>
      <c r="AE42" s="501">
        <v>33815.857142857145</v>
      </c>
      <c r="AF42" s="501">
        <v>31363.423076923078</v>
      </c>
      <c r="AG42" s="501">
        <v>31769.821428571428</v>
      </c>
      <c r="AH42" s="501">
        <v>31806</v>
      </c>
      <c r="AI42" s="501">
        <v>29610.428571428572</v>
      </c>
      <c r="AJ42" s="501">
        <v>27691.285714285714</v>
      </c>
      <c r="AK42" s="501">
        <v>27424.783783783783</v>
      </c>
      <c r="AL42" s="501">
        <v>26776.5</v>
      </c>
      <c r="AM42" s="501">
        <v>25683.333333333332</v>
      </c>
      <c r="AN42" s="501">
        <v>0</v>
      </c>
    </row>
    <row r="43" spans="1:40" x14ac:dyDescent="0.3">
      <c r="A43" s="489" t="s">
        <v>1426</v>
      </c>
      <c r="B43" s="489" t="s">
        <v>1579</v>
      </c>
      <c r="C43" s="489" t="s">
        <v>1580</v>
      </c>
      <c r="D43" s="489" t="s">
        <v>46</v>
      </c>
      <c r="E43" s="619">
        <v>199</v>
      </c>
      <c r="F43" s="621">
        <f t="shared" si="1"/>
        <v>44060.884422110554</v>
      </c>
      <c r="G43" s="501">
        <f t="shared" si="3"/>
        <v>43485.521739130432</v>
      </c>
      <c r="H43" s="501">
        <f t="shared" si="3"/>
        <v>43485.521739130432</v>
      </c>
      <c r="I43" s="501">
        <f t="shared" si="3"/>
        <v>43485.521739130432</v>
      </c>
      <c r="J43" s="501">
        <f t="shared" si="3"/>
        <v>43485.521739130432</v>
      </c>
      <c r="K43" s="501">
        <f t="shared" si="3"/>
        <v>43485.521739130432</v>
      </c>
      <c r="L43" s="501">
        <f t="shared" si="3"/>
        <v>44586.402298850575</v>
      </c>
      <c r="M43" s="501">
        <f t="shared" si="3"/>
        <v>43748.255813953489</v>
      </c>
      <c r="N43" s="501">
        <f t="shared" si="3"/>
        <v>42194</v>
      </c>
      <c r="O43" s="501">
        <f t="shared" si="3"/>
        <v>0</v>
      </c>
      <c r="P43" s="501">
        <f t="shared" si="3"/>
        <v>0</v>
      </c>
      <c r="Q43" s="501">
        <f t="shared" si="3"/>
        <v>0</v>
      </c>
      <c r="R43" s="501">
        <f t="shared" si="3"/>
        <v>0</v>
      </c>
      <c r="S43" s="501">
        <f t="shared" si="3"/>
        <v>0</v>
      </c>
      <c r="T43" s="501">
        <f t="shared" si="3"/>
        <v>0</v>
      </c>
      <c r="U43" s="501">
        <f t="shared" si="3"/>
        <v>0</v>
      </c>
      <c r="Y43" s="621">
        <v>44060.884422110554</v>
      </c>
      <c r="Z43" s="501">
        <v>0</v>
      </c>
      <c r="AA43" s="501">
        <v>0</v>
      </c>
      <c r="AB43" s="501">
        <v>0</v>
      </c>
      <c r="AC43" s="501">
        <v>0</v>
      </c>
      <c r="AD43" s="501">
        <v>43485.521739130432</v>
      </c>
      <c r="AE43" s="501">
        <v>44586.402298850575</v>
      </c>
      <c r="AF43" s="501">
        <v>43748.255813953489</v>
      </c>
      <c r="AG43" s="501">
        <v>42194</v>
      </c>
      <c r="AH43" s="501">
        <v>0</v>
      </c>
      <c r="AI43" s="501">
        <v>0</v>
      </c>
      <c r="AJ43" s="501">
        <v>0</v>
      </c>
      <c r="AK43" s="501">
        <v>0</v>
      </c>
      <c r="AL43" s="501">
        <v>0</v>
      </c>
      <c r="AM43" s="501">
        <v>0</v>
      </c>
      <c r="AN43" s="501">
        <v>0</v>
      </c>
    </row>
    <row r="44" spans="1:40" x14ac:dyDescent="0.3">
      <c r="A44" s="489" t="s">
        <v>1441</v>
      </c>
      <c r="B44" s="489" t="s">
        <v>1549</v>
      </c>
      <c r="C44" s="489" t="s">
        <v>1550</v>
      </c>
      <c r="D44" s="489" t="s">
        <v>1530</v>
      </c>
      <c r="E44" s="619">
        <v>189</v>
      </c>
      <c r="F44" s="621">
        <f t="shared" si="1"/>
        <v>36418.031746031746</v>
      </c>
      <c r="G44" s="501">
        <f t="shared" si="3"/>
        <v>193951.25</v>
      </c>
      <c r="H44" s="501">
        <f t="shared" si="3"/>
        <v>193951.25</v>
      </c>
      <c r="I44" s="501">
        <f t="shared" si="3"/>
        <v>193951.25</v>
      </c>
      <c r="J44" s="501">
        <f t="shared" si="3"/>
        <v>193951.25</v>
      </c>
      <c r="K44" s="501">
        <f t="shared" si="3"/>
        <v>193951.25</v>
      </c>
      <c r="L44" s="501">
        <f t="shared" si="3"/>
        <v>34214.14</v>
      </c>
      <c r="M44" s="501">
        <f t="shared" si="3"/>
        <v>33149.216867469877</v>
      </c>
      <c r="N44" s="501">
        <f t="shared" si="3"/>
        <v>31524.370370370369</v>
      </c>
      <c r="O44" s="501">
        <f t="shared" si="3"/>
        <v>32600.454545454544</v>
      </c>
      <c r="P44" s="501">
        <f t="shared" si="3"/>
        <v>30855.285714285714</v>
      </c>
      <c r="Q44" s="501">
        <f t="shared" si="3"/>
        <v>33715</v>
      </c>
      <c r="R44" s="501">
        <f t="shared" si="3"/>
        <v>33498</v>
      </c>
      <c r="S44" s="501">
        <f t="shared" si="3"/>
        <v>30622.666666666668</v>
      </c>
      <c r="T44" s="501">
        <f t="shared" si="3"/>
        <v>30140</v>
      </c>
      <c r="U44" s="501">
        <f t="shared" si="3"/>
        <v>0</v>
      </c>
      <c r="Y44" s="621">
        <v>36418.031746031746</v>
      </c>
      <c r="Z44" s="501">
        <v>0</v>
      </c>
      <c r="AA44" s="501">
        <v>0</v>
      </c>
      <c r="AB44" s="501">
        <v>0</v>
      </c>
      <c r="AC44" s="501">
        <v>0</v>
      </c>
      <c r="AD44" s="501">
        <v>193951.25</v>
      </c>
      <c r="AE44" s="501">
        <v>34214.14</v>
      </c>
      <c r="AF44" s="501">
        <v>33149.216867469877</v>
      </c>
      <c r="AG44" s="501">
        <v>31524.370370370369</v>
      </c>
      <c r="AH44" s="501">
        <v>32600.454545454544</v>
      </c>
      <c r="AI44" s="501">
        <v>30855.285714285714</v>
      </c>
      <c r="AJ44" s="501">
        <v>33715</v>
      </c>
      <c r="AK44" s="501">
        <v>33498</v>
      </c>
      <c r="AL44" s="501">
        <v>30622.666666666668</v>
      </c>
      <c r="AM44" s="501">
        <v>30140</v>
      </c>
      <c r="AN44" s="501">
        <v>0</v>
      </c>
    </row>
    <row r="45" spans="1:40" x14ac:dyDescent="0.3">
      <c r="A45" s="489" t="s">
        <v>1426</v>
      </c>
      <c r="B45" s="489" t="s">
        <v>1579</v>
      </c>
      <c r="C45" s="489" t="s">
        <v>1580</v>
      </c>
      <c r="D45" s="489" t="s">
        <v>141</v>
      </c>
      <c r="E45" s="619">
        <v>188</v>
      </c>
      <c r="F45" s="621">
        <f t="shared" si="1"/>
        <v>54829.654255319147</v>
      </c>
      <c r="G45" s="501">
        <f t="shared" si="3"/>
        <v>68490</v>
      </c>
      <c r="H45" s="501">
        <f t="shared" si="3"/>
        <v>72995</v>
      </c>
      <c r="I45" s="501">
        <f t="shared" si="3"/>
        <v>59333.692307692305</v>
      </c>
      <c r="J45" s="501">
        <f t="shared" si="3"/>
        <v>51973.375</v>
      </c>
      <c r="K45" s="501">
        <f t="shared" si="3"/>
        <v>0</v>
      </c>
      <c r="L45" s="501">
        <f t="shared" si="3"/>
        <v>0</v>
      </c>
      <c r="M45" s="501">
        <f t="shared" si="3"/>
        <v>0</v>
      </c>
      <c r="N45" s="501">
        <f t="shared" si="3"/>
        <v>0</v>
      </c>
      <c r="O45" s="501">
        <f t="shared" si="3"/>
        <v>0</v>
      </c>
      <c r="P45" s="501">
        <f t="shared" si="3"/>
        <v>0</v>
      </c>
      <c r="Q45" s="501">
        <f t="shared" si="3"/>
        <v>0</v>
      </c>
      <c r="R45" s="501">
        <f t="shared" si="3"/>
        <v>0</v>
      </c>
      <c r="S45" s="501">
        <f t="shared" si="3"/>
        <v>0</v>
      </c>
      <c r="T45" s="501">
        <f t="shared" si="3"/>
        <v>0</v>
      </c>
      <c r="U45" s="501">
        <f t="shared" si="3"/>
        <v>0</v>
      </c>
      <c r="Y45" s="621">
        <v>54829.654255319147</v>
      </c>
      <c r="Z45" s="501">
        <v>68490</v>
      </c>
      <c r="AA45" s="501">
        <v>72995</v>
      </c>
      <c r="AB45" s="501">
        <v>59333.692307692305</v>
      </c>
      <c r="AC45" s="501">
        <v>51973.375</v>
      </c>
      <c r="AD45" s="501">
        <v>0</v>
      </c>
      <c r="AE45" s="501">
        <v>0</v>
      </c>
      <c r="AF45" s="501">
        <v>0</v>
      </c>
      <c r="AG45" s="501">
        <v>0</v>
      </c>
      <c r="AH45" s="501">
        <v>0</v>
      </c>
      <c r="AI45" s="501">
        <v>0</v>
      </c>
      <c r="AJ45" s="501">
        <v>0</v>
      </c>
      <c r="AK45" s="501">
        <v>0</v>
      </c>
      <c r="AL45" s="501">
        <v>0</v>
      </c>
      <c r="AM45" s="501">
        <v>0</v>
      </c>
      <c r="AN45" s="501">
        <v>0</v>
      </c>
    </row>
    <row r="46" spans="1:40" x14ac:dyDescent="0.3">
      <c r="A46" s="489" t="s">
        <v>1414</v>
      </c>
      <c r="B46" s="489" t="s">
        <v>1581</v>
      </c>
      <c r="C46" s="489" t="s">
        <v>1582</v>
      </c>
      <c r="D46" s="489" t="s">
        <v>46</v>
      </c>
      <c r="E46" s="619">
        <v>185</v>
      </c>
      <c r="F46" s="621">
        <f t="shared" si="1"/>
        <v>66014.784883720931</v>
      </c>
      <c r="G46" s="501">
        <f t="shared" si="3"/>
        <v>65449.25</v>
      </c>
      <c r="H46" s="501">
        <f t="shared" si="3"/>
        <v>65449.25</v>
      </c>
      <c r="I46" s="501">
        <f t="shared" si="3"/>
        <v>65151</v>
      </c>
      <c r="J46" s="501">
        <f t="shared" si="3"/>
        <v>69239.444444444438</v>
      </c>
      <c r="K46" s="501">
        <f t="shared" si="3"/>
        <v>69239.444444444438</v>
      </c>
      <c r="L46" s="501">
        <f t="shared" si="3"/>
        <v>69239.444444444438</v>
      </c>
      <c r="M46" s="501">
        <f t="shared" si="3"/>
        <v>69150</v>
      </c>
      <c r="N46" s="501">
        <f t="shared" si="3"/>
        <v>69882.882352941175</v>
      </c>
      <c r="O46" s="501">
        <f t="shared" si="3"/>
        <v>66013.100000000006</v>
      </c>
      <c r="P46" s="501">
        <f t="shared" si="3"/>
        <v>64409.130434782608</v>
      </c>
      <c r="Q46" s="501">
        <f t="shared" si="3"/>
        <v>67097.045454545456</v>
      </c>
      <c r="R46" s="501">
        <f t="shared" si="3"/>
        <v>65302.111111111109</v>
      </c>
      <c r="S46" s="501">
        <f t="shared" si="3"/>
        <v>66876.416666666672</v>
      </c>
      <c r="T46" s="501">
        <f t="shared" si="3"/>
        <v>61977.090909090912</v>
      </c>
      <c r="U46" s="501">
        <f t="shared" si="3"/>
        <v>63461.571428571428</v>
      </c>
      <c r="Y46" s="621">
        <v>66014.784883720931</v>
      </c>
      <c r="Z46" s="623">
        <v>0</v>
      </c>
      <c r="AA46" s="501">
        <v>65449.25</v>
      </c>
      <c r="AB46" s="501">
        <v>65151</v>
      </c>
      <c r="AC46" s="623">
        <v>0</v>
      </c>
      <c r="AD46" s="623">
        <v>0</v>
      </c>
      <c r="AE46" s="501">
        <v>69239.444444444438</v>
      </c>
      <c r="AF46" s="501">
        <v>69150</v>
      </c>
      <c r="AG46" s="501">
        <v>69882.882352941175</v>
      </c>
      <c r="AH46" s="501">
        <v>66013.100000000006</v>
      </c>
      <c r="AI46" s="501">
        <v>64409.130434782608</v>
      </c>
      <c r="AJ46" s="501">
        <v>67097.045454545456</v>
      </c>
      <c r="AK46" s="501">
        <v>65302.111111111109</v>
      </c>
      <c r="AL46" s="501">
        <v>66876.416666666672</v>
      </c>
      <c r="AM46" s="501">
        <v>61977.090909090912</v>
      </c>
      <c r="AN46" s="501">
        <v>63461.571428571428</v>
      </c>
    </row>
    <row r="47" spans="1:40" x14ac:dyDescent="0.3">
      <c r="A47" s="489" t="s">
        <v>1422</v>
      </c>
      <c r="B47" s="489" t="s">
        <v>1583</v>
      </c>
      <c r="C47" s="489" t="s">
        <v>1584</v>
      </c>
      <c r="D47" s="489" t="s">
        <v>141</v>
      </c>
      <c r="E47" s="619">
        <v>183</v>
      </c>
      <c r="F47" s="621">
        <f t="shared" si="1"/>
        <v>54555.087431693988</v>
      </c>
      <c r="G47" s="501">
        <f t="shared" si="3"/>
        <v>53643.5</v>
      </c>
      <c r="H47" s="501">
        <f t="shared" si="3"/>
        <v>53522.590361445786</v>
      </c>
      <c r="I47" s="501">
        <f t="shared" si="3"/>
        <v>55641.428571428572</v>
      </c>
      <c r="J47" s="501">
        <f t="shared" si="3"/>
        <v>54288.5</v>
      </c>
      <c r="K47" s="501">
        <f t="shared" si="3"/>
        <v>0</v>
      </c>
      <c r="L47" s="501">
        <f t="shared" si="3"/>
        <v>0</v>
      </c>
      <c r="M47" s="501">
        <f t="shared" si="3"/>
        <v>0</v>
      </c>
      <c r="N47" s="501">
        <f t="shared" si="3"/>
        <v>0</v>
      </c>
      <c r="O47" s="501">
        <f t="shared" si="3"/>
        <v>0</v>
      </c>
      <c r="P47" s="501">
        <f t="shared" si="3"/>
        <v>0</v>
      </c>
      <c r="Q47" s="501">
        <f t="shared" si="3"/>
        <v>0</v>
      </c>
      <c r="R47" s="501">
        <f t="shared" si="3"/>
        <v>0</v>
      </c>
      <c r="S47" s="501">
        <f t="shared" si="3"/>
        <v>0</v>
      </c>
      <c r="T47" s="501">
        <f t="shared" si="3"/>
        <v>0</v>
      </c>
      <c r="U47" s="501">
        <f t="shared" si="3"/>
        <v>0</v>
      </c>
      <c r="Y47" s="621">
        <v>54555.087431693988</v>
      </c>
      <c r="Z47" s="501">
        <v>53643.5</v>
      </c>
      <c r="AA47" s="501">
        <v>53522.590361445786</v>
      </c>
      <c r="AB47" s="501">
        <v>55641.428571428572</v>
      </c>
      <c r="AC47" s="501">
        <v>54288.5</v>
      </c>
      <c r="AD47" s="501">
        <v>0</v>
      </c>
      <c r="AE47" s="501">
        <v>0</v>
      </c>
      <c r="AF47" s="501">
        <v>0</v>
      </c>
      <c r="AG47" s="501">
        <v>0</v>
      </c>
      <c r="AH47" s="501">
        <v>0</v>
      </c>
      <c r="AI47" s="501">
        <v>0</v>
      </c>
      <c r="AJ47" s="501">
        <v>0</v>
      </c>
      <c r="AK47" s="501">
        <v>0</v>
      </c>
      <c r="AL47" s="501">
        <v>0</v>
      </c>
      <c r="AM47" s="501">
        <v>0</v>
      </c>
      <c r="AN47" s="501">
        <v>0</v>
      </c>
    </row>
    <row r="48" spans="1:40" x14ac:dyDescent="0.3">
      <c r="A48" s="489" t="s">
        <v>1414</v>
      </c>
      <c r="B48" s="489" t="s">
        <v>1585</v>
      </c>
      <c r="C48" s="489" t="s">
        <v>1586</v>
      </c>
      <c r="D48" s="489" t="s">
        <v>46</v>
      </c>
      <c r="E48" s="619">
        <v>179</v>
      </c>
      <c r="F48" s="621">
        <f t="shared" si="1"/>
        <v>59919.860335195532</v>
      </c>
      <c r="G48" s="501">
        <f t="shared" si="3"/>
        <v>79675</v>
      </c>
      <c r="H48" s="501">
        <f t="shared" si="3"/>
        <v>64087</v>
      </c>
      <c r="I48" s="501">
        <f t="shared" si="3"/>
        <v>68334.5</v>
      </c>
      <c r="J48" s="501">
        <f t="shared" si="3"/>
        <v>71476.5</v>
      </c>
      <c r="K48" s="501">
        <f t="shared" si="3"/>
        <v>70727</v>
      </c>
      <c r="L48" s="501">
        <f t="shared" si="3"/>
        <v>64400.5</v>
      </c>
      <c r="M48" s="501">
        <f t="shared" si="3"/>
        <v>66535.777777777781</v>
      </c>
      <c r="N48" s="501">
        <f t="shared" si="3"/>
        <v>66003.625</v>
      </c>
      <c r="O48" s="501">
        <f t="shared" si="3"/>
        <v>63484.727272727272</v>
      </c>
      <c r="P48" s="501">
        <f t="shared" si="3"/>
        <v>55806.788235294116</v>
      </c>
      <c r="Q48" s="501">
        <f t="shared" si="3"/>
        <v>55423.692307692305</v>
      </c>
      <c r="R48" s="501">
        <f t="shared" si="3"/>
        <v>0</v>
      </c>
      <c r="S48" s="501">
        <f t="shared" si="3"/>
        <v>0</v>
      </c>
      <c r="T48" s="501">
        <f t="shared" si="3"/>
        <v>0</v>
      </c>
      <c r="U48" s="501">
        <f t="shared" si="3"/>
        <v>0</v>
      </c>
      <c r="Y48" s="621">
        <v>59919.860335195532</v>
      </c>
      <c r="Z48" s="501">
        <v>79675</v>
      </c>
      <c r="AA48" s="501">
        <v>64087</v>
      </c>
      <c r="AB48" s="501">
        <v>68334.5</v>
      </c>
      <c r="AC48" s="501">
        <v>71476.5</v>
      </c>
      <c r="AD48" s="501">
        <v>70727</v>
      </c>
      <c r="AE48" s="501">
        <v>64400.5</v>
      </c>
      <c r="AF48" s="501">
        <v>66535.777777777781</v>
      </c>
      <c r="AG48" s="501">
        <v>66003.625</v>
      </c>
      <c r="AH48" s="501">
        <v>63484.727272727272</v>
      </c>
      <c r="AI48" s="501">
        <v>55806.788235294116</v>
      </c>
      <c r="AJ48" s="501">
        <v>55423.692307692305</v>
      </c>
      <c r="AK48" s="501">
        <v>0</v>
      </c>
      <c r="AL48" s="501">
        <v>0</v>
      </c>
      <c r="AM48" s="501">
        <v>0</v>
      </c>
      <c r="AN48" s="501">
        <v>0</v>
      </c>
    </row>
    <row r="49" spans="1:40" x14ac:dyDescent="0.3">
      <c r="A49" s="489" t="s">
        <v>1451</v>
      </c>
      <c r="B49" s="489" t="s">
        <v>1587</v>
      </c>
      <c r="C49" s="489" t="s">
        <v>1588</v>
      </c>
      <c r="D49" s="489" t="s">
        <v>46</v>
      </c>
      <c r="E49" s="619">
        <v>173</v>
      </c>
      <c r="F49" s="621">
        <f t="shared" si="1"/>
        <v>50049.994219653177</v>
      </c>
      <c r="G49" s="501">
        <f t="shared" si="3"/>
        <v>52004</v>
      </c>
      <c r="H49" s="501">
        <f t="shared" si="3"/>
        <v>52004</v>
      </c>
      <c r="I49" s="501">
        <f t="shared" si="3"/>
        <v>52256.5</v>
      </c>
      <c r="J49" s="501">
        <f t="shared" si="3"/>
        <v>56249.333333333336</v>
      </c>
      <c r="K49" s="501">
        <f t="shared" si="3"/>
        <v>51096.5</v>
      </c>
      <c r="L49" s="501">
        <f t="shared" si="3"/>
        <v>51096.5</v>
      </c>
      <c r="M49" s="501">
        <f t="shared" si="3"/>
        <v>49584.778846153844</v>
      </c>
      <c r="N49" s="501">
        <f t="shared" si="3"/>
        <v>49604.8125</v>
      </c>
      <c r="O49" s="501">
        <f t="shared" si="3"/>
        <v>50616</v>
      </c>
      <c r="P49" s="501">
        <f t="shared" si="3"/>
        <v>48844.714285714283</v>
      </c>
      <c r="Q49" s="501">
        <f t="shared" si="3"/>
        <v>0</v>
      </c>
      <c r="R49" s="501">
        <f t="shared" si="3"/>
        <v>0</v>
      </c>
      <c r="S49" s="501">
        <f t="shared" si="3"/>
        <v>0</v>
      </c>
      <c r="T49" s="501">
        <f t="shared" si="3"/>
        <v>0</v>
      </c>
      <c r="U49" s="501">
        <f t="shared" si="3"/>
        <v>0</v>
      </c>
      <c r="Y49" s="621">
        <v>50049.994219653177</v>
      </c>
      <c r="Z49" s="623">
        <v>0</v>
      </c>
      <c r="AA49" s="501">
        <v>52004</v>
      </c>
      <c r="AB49" s="501">
        <v>52256.5</v>
      </c>
      <c r="AC49" s="501">
        <v>56249.333333333336</v>
      </c>
      <c r="AD49" s="623">
        <v>0</v>
      </c>
      <c r="AE49" s="501">
        <v>51096.5</v>
      </c>
      <c r="AF49" s="501">
        <v>49584.778846153844</v>
      </c>
      <c r="AG49" s="501">
        <v>49604.8125</v>
      </c>
      <c r="AH49" s="501">
        <v>50616</v>
      </c>
      <c r="AI49" s="501">
        <v>48844.714285714283</v>
      </c>
      <c r="AJ49" s="501">
        <v>0</v>
      </c>
      <c r="AK49" s="501">
        <v>0</v>
      </c>
      <c r="AL49" s="501">
        <v>0</v>
      </c>
      <c r="AM49" s="501">
        <v>0</v>
      </c>
      <c r="AN49" s="501">
        <v>0</v>
      </c>
    </row>
    <row r="50" spans="1:40" x14ac:dyDescent="0.3">
      <c r="A50" s="489" t="s">
        <v>1454</v>
      </c>
      <c r="B50" s="489" t="s">
        <v>1589</v>
      </c>
      <c r="C50" s="489" t="s">
        <v>1590</v>
      </c>
      <c r="D50" s="489" t="s">
        <v>46</v>
      </c>
      <c r="E50" s="619">
        <v>169</v>
      </c>
      <c r="F50" s="621">
        <f t="shared" si="1"/>
        <v>50803.220238095237</v>
      </c>
      <c r="G50" s="501">
        <f t="shared" ref="G50:U65" si="4">IF(Z50&gt;0,Z50,IF(H50&gt;0,H50,0))</f>
        <v>56802.5</v>
      </c>
      <c r="H50" s="501">
        <f t="shared" si="4"/>
        <v>56802.5</v>
      </c>
      <c r="I50" s="501">
        <f t="shared" si="4"/>
        <v>54378.5</v>
      </c>
      <c r="J50" s="501">
        <f t="shared" si="4"/>
        <v>50106.5</v>
      </c>
      <c r="K50" s="501">
        <f t="shared" si="4"/>
        <v>51940.902439024387</v>
      </c>
      <c r="L50" s="501">
        <f t="shared" si="4"/>
        <v>51940.902439024387</v>
      </c>
      <c r="M50" s="501">
        <f t="shared" si="4"/>
        <v>51703.691358024691</v>
      </c>
      <c r="N50" s="501">
        <f t="shared" si="4"/>
        <v>50784.666666666664</v>
      </c>
      <c r="O50" s="501">
        <f t="shared" si="4"/>
        <v>46762.25</v>
      </c>
      <c r="P50" s="501">
        <f t="shared" si="4"/>
        <v>45415</v>
      </c>
      <c r="Q50" s="501">
        <f t="shared" si="4"/>
        <v>45415</v>
      </c>
      <c r="R50" s="501">
        <f t="shared" si="4"/>
        <v>47946.333333333336</v>
      </c>
      <c r="S50" s="501">
        <f t="shared" si="4"/>
        <v>44069.666666666664</v>
      </c>
      <c r="T50" s="501">
        <f t="shared" si="4"/>
        <v>44069.666666666664</v>
      </c>
      <c r="U50" s="501">
        <f t="shared" si="4"/>
        <v>39461</v>
      </c>
      <c r="Y50" s="621">
        <v>50803.220238095237</v>
      </c>
      <c r="Z50" s="623">
        <v>0</v>
      </c>
      <c r="AA50" s="501">
        <v>56802.5</v>
      </c>
      <c r="AB50" s="501">
        <v>54378.5</v>
      </c>
      <c r="AC50" s="501">
        <v>50106.5</v>
      </c>
      <c r="AD50" s="623">
        <v>0</v>
      </c>
      <c r="AE50" s="501">
        <v>51940.902439024387</v>
      </c>
      <c r="AF50" s="501">
        <v>51703.691358024691</v>
      </c>
      <c r="AG50" s="501">
        <v>50784.666666666664</v>
      </c>
      <c r="AH50" s="501">
        <v>46762.25</v>
      </c>
      <c r="AI50" s="501">
        <v>45415</v>
      </c>
      <c r="AJ50" s="501">
        <v>45415</v>
      </c>
      <c r="AK50" s="501">
        <v>47946.333333333336</v>
      </c>
      <c r="AL50" s="623">
        <v>0</v>
      </c>
      <c r="AM50" s="623">
        <v>44069.666666666664</v>
      </c>
      <c r="AN50" s="501">
        <v>39461</v>
      </c>
    </row>
    <row r="51" spans="1:40" x14ac:dyDescent="0.3">
      <c r="A51" s="489" t="s">
        <v>1417</v>
      </c>
      <c r="B51" s="489" t="s">
        <v>1418</v>
      </c>
      <c r="C51" s="489" t="s">
        <v>1232</v>
      </c>
      <c r="D51" s="489" t="s">
        <v>1936</v>
      </c>
      <c r="E51" s="619">
        <v>169</v>
      </c>
      <c r="F51" s="621">
        <f t="shared" si="1"/>
        <v>31114.029585798817</v>
      </c>
      <c r="G51" s="501">
        <f t="shared" si="4"/>
        <v>35208.666666666664</v>
      </c>
      <c r="H51" s="501">
        <f t="shared" si="4"/>
        <v>35208.666666666664</v>
      </c>
      <c r="I51" s="501">
        <f t="shared" si="4"/>
        <v>33632.5</v>
      </c>
      <c r="J51" s="501">
        <f t="shared" si="4"/>
        <v>30868.571428571428</v>
      </c>
      <c r="K51" s="501">
        <f t="shared" si="4"/>
        <v>32346.08695652174</v>
      </c>
      <c r="L51" s="501">
        <f t="shared" si="4"/>
        <v>30643.846153846152</v>
      </c>
      <c r="M51" s="501">
        <f t="shared" si="4"/>
        <v>30480.394736842107</v>
      </c>
      <c r="N51" s="501">
        <f t="shared" si="4"/>
        <v>30619.705882352941</v>
      </c>
      <c r="O51" s="501">
        <f t="shared" si="4"/>
        <v>30940</v>
      </c>
      <c r="P51" s="501">
        <f t="shared" si="4"/>
        <v>0</v>
      </c>
      <c r="Q51" s="501">
        <f t="shared" si="4"/>
        <v>0</v>
      </c>
      <c r="R51" s="501">
        <f t="shared" si="4"/>
        <v>0</v>
      </c>
      <c r="S51" s="501">
        <f t="shared" si="4"/>
        <v>0</v>
      </c>
      <c r="T51" s="501">
        <f t="shared" si="4"/>
        <v>0</v>
      </c>
      <c r="U51" s="501">
        <f t="shared" si="4"/>
        <v>0</v>
      </c>
      <c r="Y51" s="621">
        <v>31114.029585798817</v>
      </c>
      <c r="Z51" s="501">
        <v>0</v>
      </c>
      <c r="AA51" s="501">
        <v>35208.666666666664</v>
      </c>
      <c r="AB51" s="501">
        <v>33632.5</v>
      </c>
      <c r="AC51" s="501">
        <v>30868.571428571428</v>
      </c>
      <c r="AD51" s="501">
        <v>32346.08695652174</v>
      </c>
      <c r="AE51" s="501">
        <v>30643.846153846152</v>
      </c>
      <c r="AF51" s="501">
        <v>30480.394736842107</v>
      </c>
      <c r="AG51" s="501">
        <v>30619.705882352941</v>
      </c>
      <c r="AH51" s="501">
        <v>30940</v>
      </c>
      <c r="AI51" s="501">
        <v>0</v>
      </c>
      <c r="AJ51" s="501">
        <v>0</v>
      </c>
      <c r="AK51" s="501">
        <v>0</v>
      </c>
      <c r="AL51" s="501">
        <v>0</v>
      </c>
      <c r="AM51" s="501">
        <v>0</v>
      </c>
      <c r="AN51" s="501">
        <v>0</v>
      </c>
    </row>
    <row r="52" spans="1:40" x14ac:dyDescent="0.3">
      <c r="A52" s="489" t="s">
        <v>1591</v>
      </c>
      <c r="B52" s="489" t="s">
        <v>1592</v>
      </c>
      <c r="C52" s="489" t="s">
        <v>1592</v>
      </c>
      <c r="D52" s="489" t="s">
        <v>141</v>
      </c>
      <c r="E52" s="619">
        <v>168</v>
      </c>
      <c r="F52" s="621">
        <f t="shared" si="1"/>
        <v>38534.273809523809</v>
      </c>
      <c r="G52" s="501">
        <f t="shared" si="4"/>
        <v>38866.666666666664</v>
      </c>
      <c r="H52" s="501">
        <f t="shared" si="4"/>
        <v>36540.5</v>
      </c>
      <c r="I52" s="501">
        <f t="shared" si="4"/>
        <v>36540.5</v>
      </c>
      <c r="J52" s="501">
        <f t="shared" si="4"/>
        <v>38791</v>
      </c>
      <c r="K52" s="501">
        <f t="shared" si="4"/>
        <v>39674.333333333336</v>
      </c>
      <c r="L52" s="501">
        <f t="shared" si="4"/>
        <v>39314.980000000003</v>
      </c>
      <c r="M52" s="501">
        <f t="shared" si="4"/>
        <v>37199.406779661018</v>
      </c>
      <c r="N52" s="501">
        <f t="shared" si="4"/>
        <v>0</v>
      </c>
      <c r="O52" s="501">
        <f t="shared" si="4"/>
        <v>0</v>
      </c>
      <c r="P52" s="501">
        <f t="shared" si="4"/>
        <v>0</v>
      </c>
      <c r="Q52" s="501">
        <f t="shared" si="4"/>
        <v>0</v>
      </c>
      <c r="R52" s="501">
        <f t="shared" si="4"/>
        <v>0</v>
      </c>
      <c r="S52" s="501">
        <f t="shared" si="4"/>
        <v>0</v>
      </c>
      <c r="T52" s="501">
        <f t="shared" si="4"/>
        <v>0</v>
      </c>
      <c r="U52" s="501">
        <f t="shared" si="4"/>
        <v>0</v>
      </c>
      <c r="Y52" s="621">
        <v>38534.273809523809</v>
      </c>
      <c r="Z52" s="501">
        <v>38866.666666666664</v>
      </c>
      <c r="AA52" s="623">
        <v>0</v>
      </c>
      <c r="AB52" s="501">
        <v>36540.5</v>
      </c>
      <c r="AC52" s="501">
        <v>38791</v>
      </c>
      <c r="AD52" s="501">
        <v>39674.333333333336</v>
      </c>
      <c r="AE52" s="501">
        <v>39314.980000000003</v>
      </c>
      <c r="AF52" s="501">
        <v>37199.406779661018</v>
      </c>
      <c r="AG52" s="501">
        <v>0</v>
      </c>
      <c r="AH52" s="501">
        <v>0</v>
      </c>
      <c r="AI52" s="501">
        <v>0</v>
      </c>
      <c r="AJ52" s="501">
        <v>0</v>
      </c>
      <c r="AK52" s="501">
        <v>0</v>
      </c>
      <c r="AL52" s="501">
        <v>0</v>
      </c>
      <c r="AM52" s="501">
        <v>0</v>
      </c>
      <c r="AN52" s="501">
        <v>0</v>
      </c>
    </row>
    <row r="53" spans="1:40" x14ac:dyDescent="0.3">
      <c r="A53" s="489" t="s">
        <v>1441</v>
      </c>
      <c r="B53" s="489" t="s">
        <v>1593</v>
      </c>
      <c r="C53" s="489" t="s">
        <v>1594</v>
      </c>
      <c r="D53" s="489" t="s">
        <v>141</v>
      </c>
      <c r="E53" s="619">
        <v>167</v>
      </c>
      <c r="F53" s="621">
        <f t="shared" si="1"/>
        <v>40468.419161676647</v>
      </c>
      <c r="G53" s="501">
        <f t="shared" si="4"/>
        <v>78650</v>
      </c>
      <c r="H53" s="501">
        <f t="shared" si="4"/>
        <v>42881.538461538461</v>
      </c>
      <c r="I53" s="501">
        <f t="shared" si="4"/>
        <v>42708.384615384617</v>
      </c>
      <c r="J53" s="501">
        <f t="shared" si="4"/>
        <v>37107.4</v>
      </c>
      <c r="K53" s="501">
        <f t="shared" si="4"/>
        <v>41213.759259259263</v>
      </c>
      <c r="L53" s="501">
        <f t="shared" si="4"/>
        <v>0</v>
      </c>
      <c r="M53" s="501">
        <f t="shared" si="4"/>
        <v>0</v>
      </c>
      <c r="N53" s="501">
        <f t="shared" si="4"/>
        <v>0</v>
      </c>
      <c r="O53" s="501">
        <f t="shared" si="4"/>
        <v>0</v>
      </c>
      <c r="P53" s="501">
        <f t="shared" si="4"/>
        <v>0</v>
      </c>
      <c r="Q53" s="501">
        <f t="shared" si="4"/>
        <v>0</v>
      </c>
      <c r="R53" s="501">
        <f t="shared" si="4"/>
        <v>0</v>
      </c>
      <c r="S53" s="501">
        <f t="shared" si="4"/>
        <v>0</v>
      </c>
      <c r="T53" s="501">
        <f t="shared" si="4"/>
        <v>0</v>
      </c>
      <c r="U53" s="501">
        <f t="shared" si="4"/>
        <v>0</v>
      </c>
      <c r="Y53" s="621">
        <v>40468.419161676647</v>
      </c>
      <c r="Z53" s="501">
        <v>78650</v>
      </c>
      <c r="AA53" s="501">
        <v>42881.538461538461</v>
      </c>
      <c r="AB53" s="501">
        <v>42708.384615384617</v>
      </c>
      <c r="AC53" s="501">
        <v>37107.4</v>
      </c>
      <c r="AD53" s="501">
        <v>41213.759259259263</v>
      </c>
      <c r="AE53" s="501">
        <v>0</v>
      </c>
      <c r="AF53" s="501">
        <v>0</v>
      </c>
      <c r="AG53" s="501">
        <v>0</v>
      </c>
      <c r="AH53" s="501">
        <v>0</v>
      </c>
      <c r="AI53" s="501">
        <v>0</v>
      </c>
      <c r="AJ53" s="501">
        <v>0</v>
      </c>
      <c r="AK53" s="501">
        <v>0</v>
      </c>
      <c r="AL53" s="501">
        <v>0</v>
      </c>
      <c r="AM53" s="501">
        <v>0</v>
      </c>
      <c r="AN53" s="501">
        <v>0</v>
      </c>
    </row>
    <row r="54" spans="1:40" x14ac:dyDescent="0.3">
      <c r="A54" s="489" t="s">
        <v>1544</v>
      </c>
      <c r="B54" s="489" t="s">
        <v>1574</v>
      </c>
      <c r="C54" s="489" t="s">
        <v>1575</v>
      </c>
      <c r="D54" s="489" t="s">
        <v>46</v>
      </c>
      <c r="E54" s="619">
        <v>160</v>
      </c>
      <c r="F54" s="621">
        <f t="shared" si="1"/>
        <v>74568.106249999997</v>
      </c>
      <c r="G54" s="501">
        <f t="shared" si="4"/>
        <v>62381</v>
      </c>
      <c r="H54" s="501">
        <f t="shared" si="4"/>
        <v>62381</v>
      </c>
      <c r="I54" s="501">
        <f t="shared" si="4"/>
        <v>62381</v>
      </c>
      <c r="J54" s="501">
        <f t="shared" si="4"/>
        <v>55202</v>
      </c>
      <c r="K54" s="501">
        <f t="shared" si="4"/>
        <v>55341</v>
      </c>
      <c r="L54" s="501">
        <f t="shared" si="4"/>
        <v>78444.136363636368</v>
      </c>
      <c r="M54" s="501">
        <f t="shared" si="4"/>
        <v>68296.878787878784</v>
      </c>
      <c r="N54" s="501">
        <f t="shared" si="4"/>
        <v>70845</v>
      </c>
      <c r="O54" s="501">
        <f t="shared" si="4"/>
        <v>55802.5</v>
      </c>
      <c r="P54" s="501">
        <f t="shared" si="4"/>
        <v>55802.5</v>
      </c>
      <c r="Q54" s="501">
        <f t="shared" si="4"/>
        <v>50172.333333333336</v>
      </c>
      <c r="R54" s="501">
        <f t="shared" si="4"/>
        <v>50172.333333333336</v>
      </c>
      <c r="S54" s="501">
        <f t="shared" si="4"/>
        <v>73207.5</v>
      </c>
      <c r="T54" s="501">
        <f t="shared" si="4"/>
        <v>0</v>
      </c>
      <c r="U54" s="501">
        <f t="shared" si="4"/>
        <v>0</v>
      </c>
      <c r="Y54" s="621">
        <v>74568.106249999997</v>
      </c>
      <c r="Z54" s="501">
        <v>0</v>
      </c>
      <c r="AA54" s="501">
        <v>0</v>
      </c>
      <c r="AB54" s="501">
        <v>62381</v>
      </c>
      <c r="AC54" s="501">
        <v>55202</v>
      </c>
      <c r="AD54" s="501">
        <v>55341</v>
      </c>
      <c r="AE54" s="501">
        <v>78444.136363636368</v>
      </c>
      <c r="AF54" s="501">
        <v>68296.878787878784</v>
      </c>
      <c r="AG54" s="501">
        <v>70845</v>
      </c>
      <c r="AH54" s="501">
        <v>0</v>
      </c>
      <c r="AI54" s="501">
        <v>55802.5</v>
      </c>
      <c r="AJ54" s="501">
        <v>0</v>
      </c>
      <c r="AK54" s="501">
        <v>50172.333333333336</v>
      </c>
      <c r="AL54" s="501">
        <v>73207.5</v>
      </c>
      <c r="AM54" s="501">
        <v>0</v>
      </c>
      <c r="AN54" s="501">
        <v>0</v>
      </c>
    </row>
    <row r="55" spans="1:40" x14ac:dyDescent="0.3">
      <c r="A55" s="489" t="s">
        <v>1451</v>
      </c>
      <c r="B55" s="489" t="s">
        <v>1595</v>
      </c>
      <c r="C55" s="489" t="s">
        <v>1596</v>
      </c>
      <c r="D55" s="489" t="s">
        <v>46</v>
      </c>
      <c r="E55" s="619">
        <v>150</v>
      </c>
      <c r="F55" s="621">
        <f t="shared" si="1"/>
        <v>32642.853333333333</v>
      </c>
      <c r="G55" s="501">
        <f t="shared" si="4"/>
        <v>41557</v>
      </c>
      <c r="H55" s="501">
        <f t="shared" si="4"/>
        <v>37770.272727272728</v>
      </c>
      <c r="I55" s="501">
        <f t="shared" si="4"/>
        <v>36748.029411764706</v>
      </c>
      <c r="J55" s="501">
        <f t="shared" si="4"/>
        <v>32038.625</v>
      </c>
      <c r="K55" s="501">
        <f t="shared" si="4"/>
        <v>34632.666666666664</v>
      </c>
      <c r="L55" s="501">
        <f t="shared" si="4"/>
        <v>32432.636363636364</v>
      </c>
      <c r="M55" s="501">
        <f t="shared" si="4"/>
        <v>28957.333333333332</v>
      </c>
      <c r="N55" s="501">
        <f t="shared" si="4"/>
        <v>27139.3125</v>
      </c>
      <c r="O55" s="501">
        <f t="shared" si="4"/>
        <v>31105.888888888891</v>
      </c>
      <c r="P55" s="501">
        <f t="shared" si="4"/>
        <v>31266.625</v>
      </c>
      <c r="Q55" s="501">
        <f t="shared" si="4"/>
        <v>27464.5</v>
      </c>
      <c r="R55" s="501">
        <f t="shared" si="4"/>
        <v>26622.666666666668</v>
      </c>
      <c r="S55" s="501">
        <f t="shared" si="4"/>
        <v>34221.199999999997</v>
      </c>
      <c r="T55" s="501">
        <f t="shared" si="4"/>
        <v>33988.285714285717</v>
      </c>
      <c r="U55" s="501">
        <f t="shared" si="4"/>
        <v>0</v>
      </c>
      <c r="Y55" s="621">
        <v>32642.853333333333</v>
      </c>
      <c r="Z55" s="501">
        <v>41557</v>
      </c>
      <c r="AA55" s="501">
        <v>37770.272727272728</v>
      </c>
      <c r="AB55" s="501">
        <v>36748.029411764706</v>
      </c>
      <c r="AC55" s="501">
        <v>32038.625</v>
      </c>
      <c r="AD55" s="501">
        <v>34632.666666666664</v>
      </c>
      <c r="AE55" s="501">
        <v>32432.636363636364</v>
      </c>
      <c r="AF55" s="501">
        <v>28957.333333333332</v>
      </c>
      <c r="AG55" s="501">
        <v>27139.3125</v>
      </c>
      <c r="AH55" s="501">
        <v>31105.888888888891</v>
      </c>
      <c r="AI55" s="501">
        <v>31266.625</v>
      </c>
      <c r="AJ55" s="501">
        <v>27464.5</v>
      </c>
      <c r="AK55" s="501">
        <v>26622.666666666668</v>
      </c>
      <c r="AL55" s="501">
        <v>34221.199999999997</v>
      </c>
      <c r="AM55" s="501">
        <v>33988.285714285717</v>
      </c>
      <c r="AN55" s="501">
        <v>0</v>
      </c>
    </row>
    <row r="56" spans="1:40" x14ac:dyDescent="0.3">
      <c r="A56" s="489" t="s">
        <v>1567</v>
      </c>
      <c r="B56" s="489">
        <v>308</v>
      </c>
      <c r="C56" s="489" t="s">
        <v>366</v>
      </c>
      <c r="D56" s="489" t="s">
        <v>46</v>
      </c>
      <c r="E56" s="619">
        <v>146</v>
      </c>
      <c r="F56" s="621">
        <f t="shared" si="1"/>
        <v>30332.109589041094</v>
      </c>
      <c r="G56" s="501">
        <f t="shared" si="4"/>
        <v>37431.599999999999</v>
      </c>
      <c r="H56" s="501">
        <f t="shared" si="4"/>
        <v>37431.599999999999</v>
      </c>
      <c r="I56" s="501">
        <f t="shared" si="4"/>
        <v>32455.166666666668</v>
      </c>
      <c r="J56" s="501">
        <f t="shared" si="4"/>
        <v>34627.333333333336</v>
      </c>
      <c r="K56" s="501">
        <f t="shared" si="4"/>
        <v>37137</v>
      </c>
      <c r="L56" s="501">
        <f t="shared" si="4"/>
        <v>30923.090909090908</v>
      </c>
      <c r="M56" s="501">
        <f t="shared" si="4"/>
        <v>31252.25</v>
      </c>
      <c r="N56" s="501">
        <f t="shared" si="4"/>
        <v>31602.333333333332</v>
      </c>
      <c r="O56" s="501">
        <f t="shared" si="4"/>
        <v>31163.636363636364</v>
      </c>
      <c r="P56" s="501">
        <f t="shared" si="4"/>
        <v>29905.344827586207</v>
      </c>
      <c r="Q56" s="501">
        <f t="shared" si="4"/>
        <v>27118.5</v>
      </c>
      <c r="R56" s="501">
        <f t="shared" si="4"/>
        <v>28930</v>
      </c>
      <c r="S56" s="501">
        <f t="shared" si="4"/>
        <v>28642.857142857141</v>
      </c>
      <c r="T56" s="501">
        <f t="shared" si="4"/>
        <v>29023.333333333332</v>
      </c>
      <c r="U56" s="501">
        <f t="shared" si="4"/>
        <v>0</v>
      </c>
      <c r="Y56" s="621">
        <v>30332.109589041094</v>
      </c>
      <c r="Z56" s="623">
        <v>0</v>
      </c>
      <c r="AA56" s="501">
        <v>37431.599999999999</v>
      </c>
      <c r="AB56" s="501">
        <v>32455.166666666668</v>
      </c>
      <c r="AC56" s="501">
        <v>34627.333333333336</v>
      </c>
      <c r="AD56" s="501">
        <v>37137</v>
      </c>
      <c r="AE56" s="501">
        <v>30923.090909090908</v>
      </c>
      <c r="AF56" s="501">
        <v>31252.25</v>
      </c>
      <c r="AG56" s="501">
        <v>31602.333333333332</v>
      </c>
      <c r="AH56" s="501">
        <v>31163.636363636364</v>
      </c>
      <c r="AI56" s="501">
        <v>29905.344827586207</v>
      </c>
      <c r="AJ56" s="501">
        <v>27118.5</v>
      </c>
      <c r="AK56" s="501">
        <v>28930</v>
      </c>
      <c r="AL56" s="501">
        <v>28642.857142857141</v>
      </c>
      <c r="AM56" s="501">
        <v>29023.333333333332</v>
      </c>
      <c r="AN56" s="501">
        <v>0</v>
      </c>
    </row>
    <row r="57" spans="1:40" x14ac:dyDescent="0.3">
      <c r="A57" s="489" t="s">
        <v>1426</v>
      </c>
      <c r="B57" s="489" t="s">
        <v>1597</v>
      </c>
      <c r="C57" s="489" t="s">
        <v>1598</v>
      </c>
      <c r="D57" s="489" t="s">
        <v>141</v>
      </c>
      <c r="E57" s="619">
        <v>145</v>
      </c>
      <c r="F57" s="621">
        <f t="shared" si="1"/>
        <v>68125.862068965522</v>
      </c>
      <c r="G57" s="501">
        <f t="shared" si="4"/>
        <v>68853.101265822785</v>
      </c>
      <c r="H57" s="501">
        <f t="shared" si="4"/>
        <v>69016.25</v>
      </c>
      <c r="I57" s="501">
        <f t="shared" si="4"/>
        <v>57394.5</v>
      </c>
      <c r="J57" s="501">
        <f t="shared" si="4"/>
        <v>0</v>
      </c>
      <c r="K57" s="501">
        <f t="shared" si="4"/>
        <v>0</v>
      </c>
      <c r="L57" s="501">
        <f t="shared" si="4"/>
        <v>0</v>
      </c>
      <c r="M57" s="501">
        <f t="shared" si="4"/>
        <v>0</v>
      </c>
      <c r="N57" s="501">
        <f t="shared" si="4"/>
        <v>0</v>
      </c>
      <c r="O57" s="501">
        <f t="shared" si="4"/>
        <v>0</v>
      </c>
      <c r="P57" s="501">
        <f t="shared" si="4"/>
        <v>0</v>
      </c>
      <c r="Q57" s="501">
        <f t="shared" si="4"/>
        <v>0</v>
      </c>
      <c r="R57" s="501">
        <f t="shared" si="4"/>
        <v>0</v>
      </c>
      <c r="S57" s="501">
        <f t="shared" si="4"/>
        <v>0</v>
      </c>
      <c r="T57" s="501">
        <f t="shared" si="4"/>
        <v>0</v>
      </c>
      <c r="U57" s="501">
        <f t="shared" si="4"/>
        <v>0</v>
      </c>
      <c r="Y57" s="621">
        <v>68125.862068965522</v>
      </c>
      <c r="Z57" s="501">
        <v>68853.101265822785</v>
      </c>
      <c r="AA57" s="501">
        <v>69016.25</v>
      </c>
      <c r="AB57" s="501">
        <v>57394.5</v>
      </c>
      <c r="AC57" s="501">
        <v>0</v>
      </c>
      <c r="AD57" s="501">
        <v>0</v>
      </c>
      <c r="AE57" s="501">
        <v>0</v>
      </c>
      <c r="AF57" s="501">
        <v>0</v>
      </c>
      <c r="AG57" s="501">
        <v>0</v>
      </c>
      <c r="AH57" s="501">
        <v>0</v>
      </c>
      <c r="AI57" s="501">
        <v>0</v>
      </c>
      <c r="AJ57" s="501">
        <v>0</v>
      </c>
      <c r="AK57" s="501">
        <v>0</v>
      </c>
      <c r="AL57" s="501">
        <v>0</v>
      </c>
      <c r="AM57" s="501">
        <v>0</v>
      </c>
      <c r="AN57" s="501">
        <v>0</v>
      </c>
    </row>
    <row r="58" spans="1:40" x14ac:dyDescent="0.3">
      <c r="A58" s="489" t="s">
        <v>1414</v>
      </c>
      <c r="B58" s="489" t="s">
        <v>1599</v>
      </c>
      <c r="C58" s="489" t="s">
        <v>1600</v>
      </c>
      <c r="D58" s="489" t="s">
        <v>141</v>
      </c>
      <c r="E58" s="619">
        <v>140</v>
      </c>
      <c r="F58" s="621">
        <f t="shared" si="1"/>
        <v>76676.514285714293</v>
      </c>
      <c r="G58" s="501">
        <f t="shared" si="4"/>
        <v>76863.717948717953</v>
      </c>
      <c r="H58" s="501">
        <f t="shared" si="4"/>
        <v>76093.582417582424</v>
      </c>
      <c r="I58" s="501">
        <f t="shared" si="4"/>
        <v>81251.100000000006</v>
      </c>
      <c r="J58" s="501">
        <f t="shared" si="4"/>
        <v>0</v>
      </c>
      <c r="K58" s="501">
        <f t="shared" si="4"/>
        <v>0</v>
      </c>
      <c r="L58" s="501">
        <f t="shared" si="4"/>
        <v>0</v>
      </c>
      <c r="M58" s="501">
        <f t="shared" si="4"/>
        <v>0</v>
      </c>
      <c r="N58" s="501">
        <f t="shared" si="4"/>
        <v>0</v>
      </c>
      <c r="O58" s="501">
        <f t="shared" si="4"/>
        <v>0</v>
      </c>
      <c r="P58" s="501">
        <f t="shared" si="4"/>
        <v>0</v>
      </c>
      <c r="Q58" s="501">
        <f t="shared" si="4"/>
        <v>0</v>
      </c>
      <c r="R58" s="501">
        <f t="shared" si="4"/>
        <v>0</v>
      </c>
      <c r="S58" s="501">
        <f t="shared" si="4"/>
        <v>0</v>
      </c>
      <c r="T58" s="501">
        <f t="shared" si="4"/>
        <v>0</v>
      </c>
      <c r="U58" s="501">
        <f t="shared" si="4"/>
        <v>0</v>
      </c>
      <c r="Y58" s="621">
        <v>76676.514285714293</v>
      </c>
      <c r="Z58" s="501">
        <v>76863.717948717953</v>
      </c>
      <c r="AA58" s="501">
        <v>76093.582417582424</v>
      </c>
      <c r="AB58" s="501">
        <v>81251.100000000006</v>
      </c>
      <c r="AC58" s="501">
        <v>0</v>
      </c>
      <c r="AD58" s="501">
        <v>0</v>
      </c>
      <c r="AE58" s="501">
        <v>0</v>
      </c>
      <c r="AF58" s="501">
        <v>0</v>
      </c>
      <c r="AG58" s="501">
        <v>0</v>
      </c>
      <c r="AH58" s="501">
        <v>0</v>
      </c>
      <c r="AI58" s="501">
        <v>0</v>
      </c>
      <c r="AJ58" s="501">
        <v>0</v>
      </c>
      <c r="AK58" s="501">
        <v>0</v>
      </c>
      <c r="AL58" s="501">
        <v>0</v>
      </c>
      <c r="AM58" s="501">
        <v>0</v>
      </c>
      <c r="AN58" s="501">
        <v>0</v>
      </c>
    </row>
    <row r="59" spans="1:40" x14ac:dyDescent="0.3">
      <c r="A59" s="489" t="s">
        <v>1414</v>
      </c>
      <c r="B59" s="489" t="s">
        <v>1601</v>
      </c>
      <c r="C59" s="489" t="s">
        <v>1602</v>
      </c>
      <c r="D59" s="489" t="s">
        <v>46</v>
      </c>
      <c r="E59" s="619">
        <v>136</v>
      </c>
      <c r="F59" s="621">
        <f t="shared" si="1"/>
        <v>61235.566176470587</v>
      </c>
      <c r="G59" s="501">
        <f t="shared" si="4"/>
        <v>59832</v>
      </c>
      <c r="H59" s="501">
        <f t="shared" si="4"/>
        <v>55327</v>
      </c>
      <c r="I59" s="501">
        <f t="shared" si="4"/>
        <v>62590.5</v>
      </c>
      <c r="J59" s="501">
        <f t="shared" si="4"/>
        <v>59981.5</v>
      </c>
      <c r="K59" s="501">
        <f t="shared" si="4"/>
        <v>62092.833333333336</v>
      </c>
      <c r="L59" s="501">
        <f t="shared" si="4"/>
        <v>62692.090909090912</v>
      </c>
      <c r="M59" s="501">
        <f t="shared" si="4"/>
        <v>68684.111111111109</v>
      </c>
      <c r="N59" s="501">
        <f t="shared" si="4"/>
        <v>59685.727272727272</v>
      </c>
      <c r="O59" s="501">
        <f t="shared" si="4"/>
        <v>61790.611111111109</v>
      </c>
      <c r="P59" s="501">
        <f t="shared" si="4"/>
        <v>59817.605263157893</v>
      </c>
      <c r="Q59" s="501">
        <f t="shared" si="4"/>
        <v>59112.5</v>
      </c>
      <c r="R59" s="501">
        <f t="shared" si="4"/>
        <v>0</v>
      </c>
      <c r="S59" s="501">
        <f t="shared" si="4"/>
        <v>0</v>
      </c>
      <c r="T59" s="501">
        <f t="shared" si="4"/>
        <v>0</v>
      </c>
      <c r="U59" s="501">
        <f t="shared" si="4"/>
        <v>0</v>
      </c>
      <c r="Y59" s="621">
        <v>61235.566176470587</v>
      </c>
      <c r="Z59" s="501">
        <v>59832</v>
      </c>
      <c r="AA59" s="501">
        <v>55327</v>
      </c>
      <c r="AB59" s="501">
        <v>62590.5</v>
      </c>
      <c r="AC59" s="501">
        <v>59981.5</v>
      </c>
      <c r="AD59" s="501">
        <v>62092.833333333336</v>
      </c>
      <c r="AE59" s="501">
        <v>62692.090909090912</v>
      </c>
      <c r="AF59" s="501">
        <v>68684.111111111109</v>
      </c>
      <c r="AG59" s="501">
        <v>59685.727272727272</v>
      </c>
      <c r="AH59" s="501">
        <v>61790.611111111109</v>
      </c>
      <c r="AI59" s="501">
        <v>59817.605263157893</v>
      </c>
      <c r="AJ59" s="501">
        <v>59112.5</v>
      </c>
      <c r="AK59" s="501">
        <v>0</v>
      </c>
      <c r="AL59" s="501">
        <v>0</v>
      </c>
      <c r="AM59" s="501">
        <v>0</v>
      </c>
      <c r="AN59" s="501">
        <v>0</v>
      </c>
    </row>
    <row r="60" spans="1:40" x14ac:dyDescent="0.3">
      <c r="A60" s="489" t="s">
        <v>1417</v>
      </c>
      <c r="B60" s="489" t="s">
        <v>1603</v>
      </c>
      <c r="C60" s="489" t="s">
        <v>1604</v>
      </c>
      <c r="D60" s="489" t="s">
        <v>141</v>
      </c>
      <c r="E60" s="619">
        <v>128</v>
      </c>
      <c r="F60" s="621">
        <f t="shared" si="1"/>
        <v>54723.3984375</v>
      </c>
      <c r="G60" s="501">
        <f t="shared" si="4"/>
        <v>51225.285714285717</v>
      </c>
      <c r="H60" s="501">
        <f t="shared" si="4"/>
        <v>57608.32608695652</v>
      </c>
      <c r="I60" s="501">
        <f t="shared" si="4"/>
        <v>53615.883333333331</v>
      </c>
      <c r="J60" s="501">
        <f t="shared" si="4"/>
        <v>52563.125</v>
      </c>
      <c r="K60" s="501">
        <f t="shared" si="4"/>
        <v>0</v>
      </c>
      <c r="L60" s="501">
        <f t="shared" si="4"/>
        <v>0</v>
      </c>
      <c r="M60" s="501">
        <f t="shared" si="4"/>
        <v>0</v>
      </c>
      <c r="N60" s="501">
        <f t="shared" si="4"/>
        <v>0</v>
      </c>
      <c r="O60" s="501">
        <f t="shared" si="4"/>
        <v>0</v>
      </c>
      <c r="P60" s="501">
        <f t="shared" si="4"/>
        <v>0</v>
      </c>
      <c r="Q60" s="501">
        <f t="shared" si="4"/>
        <v>0</v>
      </c>
      <c r="R60" s="501">
        <f t="shared" si="4"/>
        <v>0</v>
      </c>
      <c r="S60" s="501">
        <f t="shared" si="4"/>
        <v>0</v>
      </c>
      <c r="T60" s="501">
        <f t="shared" si="4"/>
        <v>0</v>
      </c>
      <c r="U60" s="501">
        <f t="shared" si="4"/>
        <v>0</v>
      </c>
      <c r="Y60" s="621">
        <v>54723.3984375</v>
      </c>
      <c r="Z60" s="501">
        <v>51225.285714285717</v>
      </c>
      <c r="AA60" s="501">
        <v>57608.32608695652</v>
      </c>
      <c r="AB60" s="501">
        <v>53615.883333333331</v>
      </c>
      <c r="AC60" s="501">
        <v>52563.125</v>
      </c>
      <c r="AD60" s="501">
        <v>0</v>
      </c>
      <c r="AE60" s="501">
        <v>0</v>
      </c>
      <c r="AF60" s="501">
        <v>0</v>
      </c>
      <c r="AG60" s="501">
        <v>0</v>
      </c>
      <c r="AH60" s="501">
        <v>0</v>
      </c>
      <c r="AI60" s="501">
        <v>0</v>
      </c>
      <c r="AJ60" s="501">
        <v>0</v>
      </c>
      <c r="AK60" s="501">
        <v>0</v>
      </c>
      <c r="AL60" s="501">
        <v>0</v>
      </c>
      <c r="AM60" s="501">
        <v>0</v>
      </c>
      <c r="AN60" s="501">
        <v>0</v>
      </c>
    </row>
    <row r="61" spans="1:40" x14ac:dyDescent="0.3">
      <c r="A61" s="489" t="s">
        <v>1422</v>
      </c>
      <c r="B61" s="489" t="s">
        <v>1547</v>
      </c>
      <c r="C61" s="489" t="s">
        <v>1548</v>
      </c>
      <c r="D61" s="489" t="s">
        <v>1529</v>
      </c>
      <c r="E61" s="619">
        <v>125</v>
      </c>
      <c r="F61" s="621">
        <f t="shared" si="1"/>
        <v>25774.799999999999</v>
      </c>
      <c r="G61" s="501">
        <f t="shared" si="4"/>
        <v>26312.857142857141</v>
      </c>
      <c r="H61" s="501">
        <f t="shared" si="4"/>
        <v>26312.857142857141</v>
      </c>
      <c r="I61" s="501">
        <f t="shared" si="4"/>
        <v>26312.857142857141</v>
      </c>
      <c r="J61" s="501">
        <f t="shared" si="4"/>
        <v>26312.857142857141</v>
      </c>
      <c r="K61" s="501">
        <f t="shared" si="4"/>
        <v>26312.857142857141</v>
      </c>
      <c r="L61" s="501">
        <f t="shared" si="4"/>
        <v>26312.857142857141</v>
      </c>
      <c r="M61" s="501">
        <f t="shared" si="4"/>
        <v>26312.857142857141</v>
      </c>
      <c r="N61" s="501">
        <f t="shared" si="4"/>
        <v>25625.81395348837</v>
      </c>
      <c r="O61" s="501">
        <f t="shared" si="4"/>
        <v>25875.217391304348</v>
      </c>
      <c r="P61" s="501">
        <f t="shared" si="4"/>
        <v>27260</v>
      </c>
      <c r="Q61" s="501">
        <f t="shared" si="4"/>
        <v>0</v>
      </c>
      <c r="R61" s="501">
        <f t="shared" si="4"/>
        <v>0</v>
      </c>
      <c r="S61" s="501">
        <f t="shared" si="4"/>
        <v>0</v>
      </c>
      <c r="T61" s="501">
        <f t="shared" si="4"/>
        <v>0</v>
      </c>
      <c r="U61" s="501">
        <f t="shared" si="4"/>
        <v>0</v>
      </c>
      <c r="Y61" s="621">
        <v>25774.799999999999</v>
      </c>
      <c r="Z61" s="501">
        <v>0</v>
      </c>
      <c r="AA61" s="501">
        <v>0</v>
      </c>
      <c r="AB61" s="501">
        <v>0</v>
      </c>
      <c r="AC61" s="501">
        <v>0</v>
      </c>
      <c r="AD61" s="501">
        <v>0</v>
      </c>
      <c r="AE61" s="501">
        <v>0</v>
      </c>
      <c r="AF61" s="501">
        <v>26312.857142857141</v>
      </c>
      <c r="AG61" s="501">
        <v>25625.81395348837</v>
      </c>
      <c r="AH61" s="501">
        <v>25875.217391304348</v>
      </c>
      <c r="AI61" s="501">
        <v>27260</v>
      </c>
      <c r="AJ61" s="501">
        <v>0</v>
      </c>
      <c r="AK61" s="501">
        <v>0</v>
      </c>
      <c r="AL61" s="501">
        <v>0</v>
      </c>
      <c r="AM61" s="501">
        <v>0</v>
      </c>
      <c r="AN61" s="501">
        <v>0</v>
      </c>
    </row>
    <row r="62" spans="1:40" x14ac:dyDescent="0.3">
      <c r="A62" s="489" t="s">
        <v>1605</v>
      </c>
      <c r="B62" s="489" t="s">
        <v>1531</v>
      </c>
      <c r="C62" s="489" t="s">
        <v>873</v>
      </c>
      <c r="D62" s="489" t="s">
        <v>46</v>
      </c>
      <c r="E62" s="619">
        <v>123</v>
      </c>
      <c r="F62" s="621">
        <f t="shared" si="1"/>
        <v>45640.536585365851</v>
      </c>
      <c r="G62" s="501">
        <f t="shared" si="4"/>
        <v>48256.4</v>
      </c>
      <c r="H62" s="501">
        <f t="shared" si="4"/>
        <v>54517.333333333336</v>
      </c>
      <c r="I62" s="501">
        <f t="shared" si="4"/>
        <v>46828</v>
      </c>
      <c r="J62" s="501">
        <f t="shared" si="4"/>
        <v>48884</v>
      </c>
      <c r="K62" s="501">
        <f t="shared" si="4"/>
        <v>48538</v>
      </c>
      <c r="L62" s="501">
        <f t="shared" si="4"/>
        <v>49987.15</v>
      </c>
      <c r="M62" s="501">
        <f t="shared" si="4"/>
        <v>47784.933333333334</v>
      </c>
      <c r="N62" s="501">
        <f t="shared" si="4"/>
        <v>45692.785714285717</v>
      </c>
      <c r="O62" s="501">
        <f t="shared" si="4"/>
        <v>45340.666666666664</v>
      </c>
      <c r="P62" s="501">
        <f t="shared" si="4"/>
        <v>43414.722222222219</v>
      </c>
      <c r="Q62" s="501">
        <f t="shared" si="4"/>
        <v>42232.1875</v>
      </c>
      <c r="R62" s="501">
        <f t="shared" si="4"/>
        <v>39785.846153846156</v>
      </c>
      <c r="S62" s="501">
        <f t="shared" si="4"/>
        <v>42693.8</v>
      </c>
      <c r="T62" s="501">
        <f t="shared" si="4"/>
        <v>48807.75</v>
      </c>
      <c r="U62" s="501">
        <f t="shared" si="4"/>
        <v>0</v>
      </c>
      <c r="Y62" s="621">
        <v>45640.536585365851</v>
      </c>
      <c r="Z62" s="501">
        <v>48256.4</v>
      </c>
      <c r="AA62" s="501">
        <v>54517.333333333336</v>
      </c>
      <c r="AB62" s="501">
        <v>46828</v>
      </c>
      <c r="AC62" s="501">
        <v>48884</v>
      </c>
      <c r="AD62" s="501">
        <v>48538</v>
      </c>
      <c r="AE62" s="501">
        <v>49987.15</v>
      </c>
      <c r="AF62" s="501">
        <v>47784.933333333334</v>
      </c>
      <c r="AG62" s="501">
        <v>45692.785714285717</v>
      </c>
      <c r="AH62" s="501">
        <v>45340.666666666664</v>
      </c>
      <c r="AI62" s="501">
        <v>43414.722222222219</v>
      </c>
      <c r="AJ62" s="501">
        <v>42232.1875</v>
      </c>
      <c r="AK62" s="501">
        <v>39785.846153846156</v>
      </c>
      <c r="AL62" s="501">
        <v>42693.8</v>
      </c>
      <c r="AM62" s="501">
        <v>48807.75</v>
      </c>
      <c r="AN62" s="501">
        <v>0</v>
      </c>
    </row>
    <row r="63" spans="1:40" x14ac:dyDescent="0.3">
      <c r="A63" s="489" t="s">
        <v>1414</v>
      </c>
      <c r="B63" s="489" t="s">
        <v>1532</v>
      </c>
      <c r="C63" s="489" t="s">
        <v>1606</v>
      </c>
      <c r="D63" s="489" t="s">
        <v>46</v>
      </c>
      <c r="E63" s="619">
        <v>123</v>
      </c>
      <c r="F63" s="621">
        <f t="shared" si="1"/>
        <v>61427.276422764226</v>
      </c>
      <c r="G63" s="501">
        <f t="shared" si="4"/>
        <v>63459.684210526313</v>
      </c>
      <c r="H63" s="501">
        <f t="shared" si="4"/>
        <v>63182.35</v>
      </c>
      <c r="I63" s="501">
        <f t="shared" si="4"/>
        <v>60731.866666666669</v>
      </c>
      <c r="J63" s="501">
        <f t="shared" si="4"/>
        <v>60845.2</v>
      </c>
      <c r="K63" s="501">
        <f t="shared" si="4"/>
        <v>57405</v>
      </c>
      <c r="L63" s="501">
        <f t="shared" si="4"/>
        <v>58588</v>
      </c>
      <c r="M63" s="501">
        <f t="shared" si="4"/>
        <v>62072.5</v>
      </c>
      <c r="N63" s="501">
        <f t="shared" si="4"/>
        <v>61007.416666666664</v>
      </c>
      <c r="O63" s="501">
        <f t="shared" si="4"/>
        <v>57672</v>
      </c>
      <c r="P63" s="501">
        <f t="shared" si="4"/>
        <v>53192</v>
      </c>
      <c r="Q63" s="501">
        <f t="shared" si="4"/>
        <v>0</v>
      </c>
      <c r="R63" s="501">
        <f t="shared" si="4"/>
        <v>0</v>
      </c>
      <c r="S63" s="501">
        <f t="shared" si="4"/>
        <v>0</v>
      </c>
      <c r="T63" s="501">
        <f t="shared" si="4"/>
        <v>0</v>
      </c>
      <c r="U63" s="501">
        <f t="shared" si="4"/>
        <v>0</v>
      </c>
      <c r="Y63" s="621">
        <v>61427.276422764226</v>
      </c>
      <c r="Z63" s="501">
        <v>63459.684210526313</v>
      </c>
      <c r="AA63" s="501">
        <v>63182.35</v>
      </c>
      <c r="AB63" s="501">
        <v>60731.866666666669</v>
      </c>
      <c r="AC63" s="501">
        <v>60845.2</v>
      </c>
      <c r="AD63" s="501">
        <v>57405</v>
      </c>
      <c r="AE63" s="501">
        <v>58588</v>
      </c>
      <c r="AF63" s="501">
        <v>62072.5</v>
      </c>
      <c r="AG63" s="501">
        <v>61007.416666666664</v>
      </c>
      <c r="AH63" s="501">
        <v>57672</v>
      </c>
      <c r="AI63" s="501">
        <v>53192</v>
      </c>
      <c r="AJ63" s="501">
        <v>0</v>
      </c>
      <c r="AK63" s="501">
        <v>0</v>
      </c>
      <c r="AL63" s="501">
        <v>0</v>
      </c>
      <c r="AM63" s="501">
        <v>0</v>
      </c>
      <c r="AN63" s="501">
        <v>0</v>
      </c>
    </row>
    <row r="64" spans="1:40" x14ac:dyDescent="0.3">
      <c r="A64" s="489" t="s">
        <v>1607</v>
      </c>
      <c r="B64" s="489" t="s">
        <v>1608</v>
      </c>
      <c r="C64" s="489" t="s">
        <v>1609</v>
      </c>
      <c r="D64" s="489" t="s">
        <v>46</v>
      </c>
      <c r="E64" s="619">
        <v>121</v>
      </c>
      <c r="F64" s="621">
        <f t="shared" si="1"/>
        <v>32164.520661157025</v>
      </c>
      <c r="G64" s="501">
        <f t="shared" si="4"/>
        <v>33829.210526315786</v>
      </c>
      <c r="H64" s="501">
        <f t="shared" si="4"/>
        <v>34827.923076923078</v>
      </c>
      <c r="I64" s="501">
        <f t="shared" si="4"/>
        <v>31039.333333333332</v>
      </c>
      <c r="J64" s="501">
        <f t="shared" si="4"/>
        <v>32216.2</v>
      </c>
      <c r="K64" s="501">
        <f t="shared" si="4"/>
        <v>34137</v>
      </c>
      <c r="L64" s="501">
        <f t="shared" si="4"/>
        <v>34909.666666666664</v>
      </c>
      <c r="M64" s="501">
        <f t="shared" si="4"/>
        <v>32419.363636363636</v>
      </c>
      <c r="N64" s="501">
        <f t="shared" si="4"/>
        <v>33249.5</v>
      </c>
      <c r="O64" s="501">
        <f t="shared" si="4"/>
        <v>31535.4375</v>
      </c>
      <c r="P64" s="501">
        <f t="shared" si="4"/>
        <v>32160</v>
      </c>
      <c r="Q64" s="501">
        <f t="shared" si="4"/>
        <v>29620.387096774193</v>
      </c>
      <c r="R64" s="501">
        <f t="shared" si="4"/>
        <v>0</v>
      </c>
      <c r="S64" s="501">
        <f t="shared" si="4"/>
        <v>0</v>
      </c>
      <c r="T64" s="501">
        <f t="shared" si="4"/>
        <v>0</v>
      </c>
      <c r="U64" s="501">
        <f t="shared" si="4"/>
        <v>0</v>
      </c>
      <c r="Y64" s="621">
        <v>32164.520661157025</v>
      </c>
      <c r="Z64" s="501">
        <v>33829.210526315786</v>
      </c>
      <c r="AA64" s="501">
        <v>34827.923076923078</v>
      </c>
      <c r="AB64" s="501">
        <v>31039.333333333332</v>
      </c>
      <c r="AC64" s="501">
        <v>32216.2</v>
      </c>
      <c r="AD64" s="501">
        <v>34137</v>
      </c>
      <c r="AE64" s="501">
        <v>34909.666666666664</v>
      </c>
      <c r="AF64" s="501">
        <v>32419.363636363636</v>
      </c>
      <c r="AG64" s="501">
        <v>33249.5</v>
      </c>
      <c r="AH64" s="501">
        <v>31535.4375</v>
      </c>
      <c r="AI64" s="501">
        <v>32160</v>
      </c>
      <c r="AJ64" s="501">
        <v>29620.387096774193</v>
      </c>
      <c r="AK64" s="501">
        <v>0</v>
      </c>
      <c r="AL64" s="501">
        <v>0</v>
      </c>
      <c r="AM64" s="501">
        <v>0</v>
      </c>
      <c r="AN64" s="501">
        <v>0</v>
      </c>
    </row>
    <row r="65" spans="1:40" x14ac:dyDescent="0.3">
      <c r="A65" s="489" t="s">
        <v>1414</v>
      </c>
      <c r="B65" s="489" t="s">
        <v>1533</v>
      </c>
      <c r="C65" s="489" t="s">
        <v>1610</v>
      </c>
      <c r="D65" s="489" t="s">
        <v>46</v>
      </c>
      <c r="E65" s="619">
        <v>113</v>
      </c>
      <c r="F65" s="621">
        <f t="shared" si="1"/>
        <v>53707.176991150445</v>
      </c>
      <c r="G65" s="501">
        <f t="shared" si="4"/>
        <v>55314</v>
      </c>
      <c r="H65" s="501">
        <f t="shared" si="4"/>
        <v>53505</v>
      </c>
      <c r="I65" s="501">
        <f t="shared" si="4"/>
        <v>52074.400000000001</v>
      </c>
      <c r="J65" s="501">
        <f t="shared" si="4"/>
        <v>57457.666666666664</v>
      </c>
      <c r="K65" s="501">
        <f t="shared" si="4"/>
        <v>54824.6875</v>
      </c>
      <c r="L65" s="501">
        <f t="shared" si="4"/>
        <v>55972.05</v>
      </c>
      <c r="M65" s="501">
        <f t="shared" si="4"/>
        <v>51656.15</v>
      </c>
      <c r="N65" s="501">
        <f t="shared" si="4"/>
        <v>51037.833333333336</v>
      </c>
      <c r="O65" s="501">
        <f t="shared" si="4"/>
        <v>62985</v>
      </c>
      <c r="P65" s="501">
        <f t="shared" si="4"/>
        <v>0</v>
      </c>
      <c r="Q65" s="501">
        <f t="shared" si="4"/>
        <v>0</v>
      </c>
      <c r="R65" s="501">
        <f t="shared" si="4"/>
        <v>0</v>
      </c>
      <c r="S65" s="501">
        <f t="shared" si="4"/>
        <v>0</v>
      </c>
      <c r="T65" s="501">
        <f t="shared" si="4"/>
        <v>0</v>
      </c>
      <c r="U65" s="501">
        <f t="shared" si="4"/>
        <v>0</v>
      </c>
      <c r="Y65" s="621">
        <v>53707.176991150445</v>
      </c>
      <c r="Z65" s="501">
        <v>55314</v>
      </c>
      <c r="AA65" s="501">
        <v>53505</v>
      </c>
      <c r="AB65" s="501">
        <v>52074.400000000001</v>
      </c>
      <c r="AC65" s="501">
        <v>57457.666666666664</v>
      </c>
      <c r="AD65" s="501">
        <v>54824.6875</v>
      </c>
      <c r="AE65" s="501">
        <v>55972.05</v>
      </c>
      <c r="AF65" s="501">
        <v>51656.15</v>
      </c>
      <c r="AG65" s="501">
        <v>51037.833333333336</v>
      </c>
      <c r="AH65" s="501">
        <v>62985</v>
      </c>
      <c r="AI65" s="501">
        <v>0</v>
      </c>
      <c r="AJ65" s="501">
        <v>0</v>
      </c>
      <c r="AK65" s="501">
        <v>0</v>
      </c>
      <c r="AL65" s="501">
        <v>0</v>
      </c>
      <c r="AM65" s="501">
        <v>0</v>
      </c>
      <c r="AN65" s="501">
        <v>0</v>
      </c>
    </row>
    <row r="66" spans="1:40" x14ac:dyDescent="0.3">
      <c r="A66" s="489" t="s">
        <v>1591</v>
      </c>
      <c r="B66" s="489" t="s">
        <v>1611</v>
      </c>
      <c r="C66" s="489" t="s">
        <v>1611</v>
      </c>
      <c r="D66" s="489" t="s">
        <v>141</v>
      </c>
      <c r="E66" s="619">
        <v>109</v>
      </c>
      <c r="F66" s="621">
        <f t="shared" si="1"/>
        <v>43448.018348623853</v>
      </c>
      <c r="G66" s="501">
        <f t="shared" ref="G66:U81" si="5">IF(Z66&gt;0,Z66,IF(H66&gt;0,H66,0))</f>
        <v>41900</v>
      </c>
      <c r="H66" s="501">
        <f t="shared" si="5"/>
        <v>41900</v>
      </c>
      <c r="I66" s="501">
        <f t="shared" si="5"/>
        <v>40973</v>
      </c>
      <c r="J66" s="501">
        <f t="shared" si="5"/>
        <v>42046.714285714283</v>
      </c>
      <c r="K66" s="501">
        <f t="shared" si="5"/>
        <v>41786.833333333336</v>
      </c>
      <c r="L66" s="501">
        <f t="shared" si="5"/>
        <v>46916.714285714283</v>
      </c>
      <c r="M66" s="501">
        <f t="shared" si="5"/>
        <v>0</v>
      </c>
      <c r="N66" s="501">
        <f t="shared" si="5"/>
        <v>0</v>
      </c>
      <c r="O66" s="501">
        <f t="shared" si="5"/>
        <v>0</v>
      </c>
      <c r="P66" s="501">
        <f t="shared" si="5"/>
        <v>0</v>
      </c>
      <c r="Q66" s="501">
        <f t="shared" si="5"/>
        <v>0</v>
      </c>
      <c r="R66" s="501">
        <f t="shared" si="5"/>
        <v>0</v>
      </c>
      <c r="S66" s="501">
        <f t="shared" si="5"/>
        <v>0</v>
      </c>
      <c r="T66" s="501">
        <f t="shared" si="5"/>
        <v>0</v>
      </c>
      <c r="U66" s="501">
        <f t="shared" si="5"/>
        <v>0</v>
      </c>
      <c r="Y66" s="621">
        <v>43448.018348623853</v>
      </c>
      <c r="Z66" s="623">
        <v>0</v>
      </c>
      <c r="AA66" s="501">
        <v>41900</v>
      </c>
      <c r="AB66" s="501">
        <v>40973</v>
      </c>
      <c r="AC66" s="501">
        <v>42046.714285714283</v>
      </c>
      <c r="AD66" s="501">
        <v>41786.833333333336</v>
      </c>
      <c r="AE66" s="501">
        <v>46916.714285714283</v>
      </c>
      <c r="AF66" s="501">
        <v>0</v>
      </c>
      <c r="AG66" s="501">
        <v>0</v>
      </c>
      <c r="AH66" s="501">
        <v>0</v>
      </c>
      <c r="AI66" s="501">
        <v>0</v>
      </c>
      <c r="AJ66" s="501">
        <v>0</v>
      </c>
      <c r="AK66" s="501">
        <v>0</v>
      </c>
      <c r="AL66" s="501">
        <v>0</v>
      </c>
      <c r="AM66" s="501">
        <v>0</v>
      </c>
      <c r="AN66" s="501">
        <v>0</v>
      </c>
    </row>
    <row r="67" spans="1:40" x14ac:dyDescent="0.3">
      <c r="A67" s="489" t="s">
        <v>1417</v>
      </c>
      <c r="B67" s="489" t="s">
        <v>1612</v>
      </c>
      <c r="C67" s="489" t="s">
        <v>1613</v>
      </c>
      <c r="D67" s="489" t="s">
        <v>141</v>
      </c>
      <c r="E67" s="619">
        <v>107</v>
      </c>
      <c r="F67" s="621">
        <f t="shared" ref="F67:F130" si="6">Y67</f>
        <v>42227.570093457944</v>
      </c>
      <c r="G67" s="501">
        <f t="shared" si="5"/>
        <v>39823.769230769234</v>
      </c>
      <c r="H67" s="501">
        <f t="shared" si="5"/>
        <v>39823.769230769234</v>
      </c>
      <c r="I67" s="501">
        <f t="shared" si="5"/>
        <v>39823.769230769234</v>
      </c>
      <c r="J67" s="501">
        <f t="shared" si="5"/>
        <v>44378.428571428572</v>
      </c>
      <c r="K67" s="501">
        <f t="shared" si="5"/>
        <v>42816.056338028167</v>
      </c>
      <c r="L67" s="501">
        <f t="shared" si="5"/>
        <v>41982.076923076922</v>
      </c>
      <c r="M67" s="501">
        <f t="shared" si="5"/>
        <v>35395</v>
      </c>
      <c r="N67" s="501">
        <f t="shared" si="5"/>
        <v>33495</v>
      </c>
      <c r="O67" s="501">
        <f t="shared" si="5"/>
        <v>33495</v>
      </c>
      <c r="P67" s="501">
        <f t="shared" si="5"/>
        <v>0</v>
      </c>
      <c r="Q67" s="501">
        <f t="shared" si="5"/>
        <v>0</v>
      </c>
      <c r="R67" s="501">
        <f t="shared" si="5"/>
        <v>0</v>
      </c>
      <c r="S67" s="501">
        <f t="shared" si="5"/>
        <v>0</v>
      </c>
      <c r="T67" s="501">
        <f t="shared" si="5"/>
        <v>0</v>
      </c>
      <c r="U67" s="501">
        <f t="shared" si="5"/>
        <v>0</v>
      </c>
      <c r="Y67" s="621">
        <v>42227.570093457944</v>
      </c>
      <c r="Z67" s="623">
        <v>0</v>
      </c>
      <c r="AA67" s="623">
        <v>0</v>
      </c>
      <c r="AB67" s="501">
        <v>39823.769230769234</v>
      </c>
      <c r="AC67" s="501">
        <v>44378.428571428572</v>
      </c>
      <c r="AD67" s="501">
        <v>42816.056338028167</v>
      </c>
      <c r="AE67" s="501">
        <v>41982.076923076922</v>
      </c>
      <c r="AF67" s="501">
        <v>35395</v>
      </c>
      <c r="AG67" s="623">
        <v>0</v>
      </c>
      <c r="AH67" s="501">
        <v>33495</v>
      </c>
      <c r="AI67" s="501">
        <v>0</v>
      </c>
      <c r="AJ67" s="501">
        <v>0</v>
      </c>
      <c r="AK67" s="501">
        <v>0</v>
      </c>
      <c r="AL67" s="501">
        <v>0</v>
      </c>
      <c r="AM67" s="501">
        <v>0</v>
      </c>
      <c r="AN67" s="501">
        <v>0</v>
      </c>
    </row>
    <row r="68" spans="1:40" x14ac:dyDescent="0.3">
      <c r="A68" s="489" t="s">
        <v>1931</v>
      </c>
      <c r="B68" s="489" t="s">
        <v>1616</v>
      </c>
      <c r="C68" s="489" t="s">
        <v>1932</v>
      </c>
      <c r="D68" s="489" t="s">
        <v>141</v>
      </c>
      <c r="E68" s="619">
        <v>106</v>
      </c>
      <c r="F68" s="621">
        <f t="shared" si="6"/>
        <v>102386.14761904762</v>
      </c>
      <c r="G68" s="501">
        <f t="shared" si="5"/>
        <v>77399.5</v>
      </c>
      <c r="H68" s="501">
        <f t="shared" si="5"/>
        <v>108105</v>
      </c>
      <c r="I68" s="501">
        <f t="shared" si="5"/>
        <v>143673</v>
      </c>
      <c r="J68" s="501">
        <f t="shared" si="5"/>
        <v>126150</v>
      </c>
      <c r="K68" s="501">
        <f t="shared" si="5"/>
        <v>126150</v>
      </c>
      <c r="L68" s="501">
        <f t="shared" si="5"/>
        <v>94685.71428571429</v>
      </c>
      <c r="M68" s="501">
        <f t="shared" si="5"/>
        <v>101477.1</v>
      </c>
      <c r="N68" s="501">
        <f t="shared" si="5"/>
        <v>109442.30769230769</v>
      </c>
      <c r="O68" s="501">
        <f t="shared" si="5"/>
        <v>105278.80769230769</v>
      </c>
      <c r="P68" s="501">
        <f t="shared" si="5"/>
        <v>91332.142857142855</v>
      </c>
      <c r="Q68" s="501">
        <f t="shared" si="5"/>
        <v>89517.777777777781</v>
      </c>
      <c r="R68" s="501">
        <f t="shared" si="5"/>
        <v>107390</v>
      </c>
      <c r="S68" s="501">
        <f t="shared" si="5"/>
        <v>0</v>
      </c>
      <c r="T68" s="501">
        <f t="shared" si="5"/>
        <v>0</v>
      </c>
      <c r="U68" s="501">
        <f t="shared" si="5"/>
        <v>0</v>
      </c>
      <c r="Y68" s="621">
        <v>102386.14761904762</v>
      </c>
      <c r="Z68" s="501">
        <v>77399.5</v>
      </c>
      <c r="AA68" s="501">
        <v>108105</v>
      </c>
      <c r="AB68" s="501">
        <v>143673</v>
      </c>
      <c r="AC68" s="501">
        <v>0</v>
      </c>
      <c r="AD68" s="501">
        <v>126150</v>
      </c>
      <c r="AE68" s="501">
        <v>94685.71428571429</v>
      </c>
      <c r="AF68" s="501">
        <v>101477.1</v>
      </c>
      <c r="AG68" s="501">
        <v>109442.30769230769</v>
      </c>
      <c r="AH68" s="501">
        <v>105278.80769230769</v>
      </c>
      <c r="AI68" s="501">
        <v>91332.142857142855</v>
      </c>
      <c r="AJ68" s="501">
        <v>89517.777777777781</v>
      </c>
      <c r="AK68" s="501">
        <v>107390</v>
      </c>
      <c r="AL68" s="501">
        <v>0</v>
      </c>
      <c r="AM68" s="501">
        <v>0</v>
      </c>
      <c r="AN68" s="501">
        <v>0</v>
      </c>
    </row>
    <row r="69" spans="1:40" x14ac:dyDescent="0.3">
      <c r="A69" s="489" t="s">
        <v>1561</v>
      </c>
      <c r="B69" s="489" t="s">
        <v>1614</v>
      </c>
      <c r="C69" s="489" t="s">
        <v>1615</v>
      </c>
      <c r="D69" s="489" t="s">
        <v>141</v>
      </c>
      <c r="E69" s="619">
        <v>105</v>
      </c>
      <c r="F69" s="621">
        <f t="shared" si="6"/>
        <v>43835.199999999997</v>
      </c>
      <c r="G69" s="501">
        <f t="shared" si="5"/>
        <v>46729.833333333336</v>
      </c>
      <c r="H69" s="501">
        <f t="shared" si="5"/>
        <v>40524.333333333336</v>
      </c>
      <c r="I69" s="501">
        <f t="shared" si="5"/>
        <v>43999.75</v>
      </c>
      <c r="J69" s="501">
        <f t="shared" si="5"/>
        <v>43449.5</v>
      </c>
      <c r="K69" s="501">
        <f t="shared" si="5"/>
        <v>42426.142857142855</v>
      </c>
      <c r="L69" s="501">
        <f t="shared" si="5"/>
        <v>45453.571428571428</v>
      </c>
      <c r="M69" s="501">
        <f t="shared" si="5"/>
        <v>44767</v>
      </c>
      <c r="N69" s="501">
        <f t="shared" si="5"/>
        <v>0</v>
      </c>
      <c r="O69" s="501">
        <f t="shared" si="5"/>
        <v>0</v>
      </c>
      <c r="P69" s="501">
        <f t="shared" si="5"/>
        <v>0</v>
      </c>
      <c r="Q69" s="501">
        <f t="shared" si="5"/>
        <v>0</v>
      </c>
      <c r="R69" s="501">
        <f t="shared" si="5"/>
        <v>0</v>
      </c>
      <c r="S69" s="501">
        <f t="shared" si="5"/>
        <v>0</v>
      </c>
      <c r="T69" s="501">
        <f t="shared" si="5"/>
        <v>0</v>
      </c>
      <c r="U69" s="501">
        <f t="shared" si="5"/>
        <v>0</v>
      </c>
      <c r="Y69" s="621">
        <v>43835.199999999997</v>
      </c>
      <c r="Z69" s="501">
        <v>46729.833333333336</v>
      </c>
      <c r="AA69" s="501">
        <v>40524.333333333336</v>
      </c>
      <c r="AB69" s="501">
        <v>43999.75</v>
      </c>
      <c r="AC69" s="623">
        <v>43449.5</v>
      </c>
      <c r="AD69" s="501">
        <v>42426.142857142855</v>
      </c>
      <c r="AE69" s="501">
        <v>45453.571428571428</v>
      </c>
      <c r="AF69" s="501">
        <v>44767</v>
      </c>
      <c r="AG69" s="501">
        <v>0</v>
      </c>
      <c r="AH69" s="501">
        <v>0</v>
      </c>
      <c r="AI69" s="501">
        <v>0</v>
      </c>
      <c r="AJ69" s="501">
        <v>0</v>
      </c>
      <c r="AK69" s="501">
        <v>0</v>
      </c>
      <c r="AL69" s="501">
        <v>0</v>
      </c>
      <c r="AM69" s="501">
        <v>0</v>
      </c>
      <c r="AN69" s="501">
        <v>0</v>
      </c>
    </row>
    <row r="70" spans="1:40" x14ac:dyDescent="0.3">
      <c r="A70" s="489" t="s">
        <v>1419</v>
      </c>
      <c r="B70" s="489" t="s">
        <v>1616</v>
      </c>
      <c r="C70" s="489" t="s">
        <v>1222</v>
      </c>
      <c r="D70" s="489" t="s">
        <v>141</v>
      </c>
      <c r="E70" s="619">
        <v>104</v>
      </c>
      <c r="F70" s="621">
        <f t="shared" si="6"/>
        <v>102386.14761904762</v>
      </c>
      <c r="G70" s="501">
        <f t="shared" si="5"/>
        <v>77399.5</v>
      </c>
      <c r="H70" s="501">
        <f t="shared" si="5"/>
        <v>108105</v>
      </c>
      <c r="I70" s="501">
        <f t="shared" si="5"/>
        <v>143673</v>
      </c>
      <c r="J70" s="501">
        <f t="shared" si="5"/>
        <v>126150</v>
      </c>
      <c r="K70" s="501">
        <f t="shared" si="5"/>
        <v>126150</v>
      </c>
      <c r="L70" s="501">
        <f t="shared" si="5"/>
        <v>94685.71428571429</v>
      </c>
      <c r="M70" s="501">
        <f t="shared" si="5"/>
        <v>101477.1</v>
      </c>
      <c r="N70" s="501">
        <f t="shared" si="5"/>
        <v>109442.30769230769</v>
      </c>
      <c r="O70" s="501">
        <f t="shared" si="5"/>
        <v>105278.80769230769</v>
      </c>
      <c r="P70" s="501">
        <f t="shared" si="5"/>
        <v>91332.142857142855</v>
      </c>
      <c r="Q70" s="501">
        <f t="shared" si="5"/>
        <v>89517.777777777781</v>
      </c>
      <c r="R70" s="501">
        <f t="shared" si="5"/>
        <v>107390</v>
      </c>
      <c r="S70" s="501">
        <f t="shared" si="5"/>
        <v>0</v>
      </c>
      <c r="T70" s="501">
        <f t="shared" si="5"/>
        <v>0</v>
      </c>
      <c r="U70" s="501">
        <f t="shared" si="5"/>
        <v>0</v>
      </c>
      <c r="Y70" s="621">
        <v>102386.14761904762</v>
      </c>
      <c r="Z70" s="501">
        <v>77399.5</v>
      </c>
      <c r="AA70" s="501">
        <v>108105</v>
      </c>
      <c r="AB70" s="501">
        <v>143673</v>
      </c>
      <c r="AC70" s="501">
        <v>0</v>
      </c>
      <c r="AD70" s="501">
        <v>126150</v>
      </c>
      <c r="AE70" s="501">
        <v>94685.71428571429</v>
      </c>
      <c r="AF70" s="501">
        <v>101477.1</v>
      </c>
      <c r="AG70" s="501">
        <v>109442.30769230769</v>
      </c>
      <c r="AH70" s="501">
        <v>105278.80769230769</v>
      </c>
      <c r="AI70" s="501">
        <v>91332.142857142855</v>
      </c>
      <c r="AJ70" s="501">
        <v>89517.777777777781</v>
      </c>
      <c r="AK70" s="501">
        <v>107390</v>
      </c>
      <c r="AL70" s="501">
        <v>0</v>
      </c>
      <c r="AM70" s="501">
        <v>0</v>
      </c>
      <c r="AN70" s="501">
        <v>0</v>
      </c>
    </row>
    <row r="71" spans="1:40" x14ac:dyDescent="0.3">
      <c r="A71" s="489" t="s">
        <v>1414</v>
      </c>
      <c r="B71" s="489" t="s">
        <v>1534</v>
      </c>
      <c r="C71" s="489" t="s">
        <v>1617</v>
      </c>
      <c r="D71" s="489" t="s">
        <v>46</v>
      </c>
      <c r="E71" s="619">
        <v>103</v>
      </c>
      <c r="F71" s="621">
        <f t="shared" si="6"/>
        <v>40650.417475728158</v>
      </c>
      <c r="G71" s="501">
        <f t="shared" si="5"/>
        <v>46421</v>
      </c>
      <c r="H71" s="501">
        <f t="shared" si="5"/>
        <v>42829.142857142855</v>
      </c>
      <c r="I71" s="501">
        <f t="shared" si="5"/>
        <v>42316</v>
      </c>
      <c r="J71" s="501">
        <f t="shared" si="5"/>
        <v>42873.333333333336</v>
      </c>
      <c r="K71" s="501">
        <f t="shared" si="5"/>
        <v>41497</v>
      </c>
      <c r="L71" s="501">
        <f t="shared" si="5"/>
        <v>41271.111111111109</v>
      </c>
      <c r="M71" s="501">
        <f t="shared" si="5"/>
        <v>39077.545454545456</v>
      </c>
      <c r="N71" s="501">
        <f t="shared" si="5"/>
        <v>39047.56</v>
      </c>
      <c r="O71" s="501">
        <f t="shared" si="5"/>
        <v>39489.166666666664</v>
      </c>
      <c r="P71" s="501">
        <f t="shared" si="5"/>
        <v>37388</v>
      </c>
      <c r="Q71" s="501">
        <f t="shared" si="5"/>
        <v>0</v>
      </c>
      <c r="R71" s="501">
        <f t="shared" si="5"/>
        <v>0</v>
      </c>
      <c r="S71" s="501">
        <f t="shared" si="5"/>
        <v>0</v>
      </c>
      <c r="T71" s="501">
        <f t="shared" si="5"/>
        <v>0</v>
      </c>
      <c r="U71" s="501">
        <f t="shared" si="5"/>
        <v>0</v>
      </c>
      <c r="Y71" s="621">
        <v>40650.417475728158</v>
      </c>
      <c r="Z71" s="501">
        <v>46421</v>
      </c>
      <c r="AA71" s="501">
        <v>42829.142857142855</v>
      </c>
      <c r="AB71" s="501">
        <v>42316</v>
      </c>
      <c r="AC71" s="501">
        <v>42873.333333333336</v>
      </c>
      <c r="AD71" s="501">
        <v>41497</v>
      </c>
      <c r="AE71" s="501">
        <v>41271.111111111109</v>
      </c>
      <c r="AF71" s="501">
        <v>39077.545454545456</v>
      </c>
      <c r="AG71" s="501">
        <v>39047.56</v>
      </c>
      <c r="AH71" s="501">
        <v>39489.166666666664</v>
      </c>
      <c r="AI71" s="501">
        <v>37388</v>
      </c>
      <c r="AJ71" s="501">
        <v>0</v>
      </c>
      <c r="AK71" s="501">
        <v>0</v>
      </c>
      <c r="AL71" s="501">
        <v>0</v>
      </c>
      <c r="AM71" s="501">
        <v>0</v>
      </c>
      <c r="AN71" s="501">
        <v>0</v>
      </c>
    </row>
    <row r="72" spans="1:40" x14ac:dyDescent="0.3">
      <c r="A72" s="489" t="s">
        <v>1544</v>
      </c>
      <c r="B72" s="489" t="s">
        <v>1676</v>
      </c>
      <c r="C72" s="489" t="s">
        <v>1802</v>
      </c>
      <c r="D72" s="489" t="s">
        <v>46</v>
      </c>
      <c r="E72" s="619">
        <v>91</v>
      </c>
      <c r="F72" s="621">
        <f t="shared" si="6"/>
        <v>40729.776470588236</v>
      </c>
      <c r="G72" s="501">
        <f t="shared" si="5"/>
        <v>48742.666666666664</v>
      </c>
      <c r="H72" s="501">
        <f t="shared" si="5"/>
        <v>48742.666666666664</v>
      </c>
      <c r="I72" s="501">
        <f t="shared" si="5"/>
        <v>41147</v>
      </c>
      <c r="J72" s="501">
        <f t="shared" si="5"/>
        <v>38891.166666666664</v>
      </c>
      <c r="K72" s="501">
        <f t="shared" si="5"/>
        <v>43370</v>
      </c>
      <c r="L72" s="501">
        <f t="shared" si="5"/>
        <v>43370</v>
      </c>
      <c r="M72" s="501">
        <f t="shared" si="5"/>
        <v>43370</v>
      </c>
      <c r="N72" s="501">
        <f t="shared" si="5"/>
        <v>43063.4</v>
      </c>
      <c r="O72" s="501">
        <f t="shared" si="5"/>
        <v>40275.84210526316</v>
      </c>
      <c r="P72" s="501">
        <f t="shared" si="5"/>
        <v>38774.555555555555</v>
      </c>
      <c r="Q72" s="501">
        <f t="shared" si="5"/>
        <v>42075.5</v>
      </c>
      <c r="R72" s="501">
        <f t="shared" si="5"/>
        <v>38370.25</v>
      </c>
      <c r="S72" s="501">
        <f t="shared" si="5"/>
        <v>35512.833333333336</v>
      </c>
      <c r="T72" s="501">
        <f t="shared" si="5"/>
        <v>36768.800000000003</v>
      </c>
      <c r="U72" s="501">
        <f t="shared" si="5"/>
        <v>55574</v>
      </c>
      <c r="Y72" s="621">
        <v>40729.776470588236</v>
      </c>
      <c r="Z72" s="501">
        <v>0</v>
      </c>
      <c r="AA72" s="501">
        <v>48742.666666666664</v>
      </c>
      <c r="AB72" s="501">
        <v>41147</v>
      </c>
      <c r="AC72" s="501">
        <v>38891.166666666664</v>
      </c>
      <c r="AD72" s="501">
        <v>0</v>
      </c>
      <c r="AE72" s="501">
        <v>0</v>
      </c>
      <c r="AF72" s="501">
        <v>43370</v>
      </c>
      <c r="AG72" s="501">
        <v>43063.4</v>
      </c>
      <c r="AH72" s="501">
        <v>40275.84210526316</v>
      </c>
      <c r="AI72" s="501">
        <v>38774.555555555555</v>
      </c>
      <c r="AJ72" s="501">
        <v>42075.5</v>
      </c>
      <c r="AK72" s="501">
        <v>38370.25</v>
      </c>
      <c r="AL72" s="501">
        <v>35512.833333333336</v>
      </c>
      <c r="AM72" s="501">
        <v>36768.800000000003</v>
      </c>
      <c r="AN72" s="501">
        <v>55574</v>
      </c>
    </row>
    <row r="73" spans="1:40" x14ac:dyDescent="0.3">
      <c r="A73" s="489" t="s">
        <v>1677</v>
      </c>
      <c r="B73" s="489" t="s">
        <v>1678</v>
      </c>
      <c r="C73" s="489" t="s">
        <v>1803</v>
      </c>
      <c r="D73" s="489" t="s">
        <v>46</v>
      </c>
      <c r="E73" s="619">
        <v>89</v>
      </c>
      <c r="F73" s="621">
        <f t="shared" si="6"/>
        <v>67337.179775280892</v>
      </c>
      <c r="G73" s="501">
        <f t="shared" si="5"/>
        <v>64317</v>
      </c>
      <c r="H73" s="501">
        <f t="shared" si="5"/>
        <v>71217.5</v>
      </c>
      <c r="I73" s="501">
        <f t="shared" si="5"/>
        <v>75866.666666666672</v>
      </c>
      <c r="J73" s="501">
        <f t="shared" si="5"/>
        <v>64849.666666666664</v>
      </c>
      <c r="K73" s="501">
        <f t="shared" si="5"/>
        <v>59559</v>
      </c>
      <c r="L73" s="501">
        <f t="shared" si="5"/>
        <v>71017.875</v>
      </c>
      <c r="M73" s="501">
        <f t="shared" si="5"/>
        <v>69836</v>
      </c>
      <c r="N73" s="501">
        <f t="shared" si="5"/>
        <v>69247.058823529413</v>
      </c>
      <c r="O73" s="501">
        <f t="shared" si="5"/>
        <v>63205.25</v>
      </c>
      <c r="P73" s="501">
        <f t="shared" si="5"/>
        <v>62787.571428571428</v>
      </c>
      <c r="Q73" s="501">
        <f t="shared" si="5"/>
        <v>65392.2</v>
      </c>
      <c r="R73" s="501">
        <f t="shared" si="5"/>
        <v>53546.5</v>
      </c>
      <c r="S73" s="501">
        <f t="shared" si="5"/>
        <v>56586</v>
      </c>
      <c r="T73" s="501">
        <f t="shared" si="5"/>
        <v>62334</v>
      </c>
      <c r="U73" s="501">
        <f t="shared" si="5"/>
        <v>0</v>
      </c>
      <c r="Y73" s="621">
        <v>67337.179775280892</v>
      </c>
      <c r="Z73" s="501">
        <v>64317</v>
      </c>
      <c r="AA73" s="501">
        <v>71217.5</v>
      </c>
      <c r="AB73" s="501">
        <v>75866.666666666672</v>
      </c>
      <c r="AC73" s="501">
        <v>64849.666666666664</v>
      </c>
      <c r="AD73" s="501">
        <v>59559</v>
      </c>
      <c r="AE73" s="501">
        <v>71017.875</v>
      </c>
      <c r="AF73" s="501">
        <v>69836</v>
      </c>
      <c r="AG73" s="501">
        <v>69247.058823529413</v>
      </c>
      <c r="AH73" s="501">
        <v>63205.25</v>
      </c>
      <c r="AI73" s="501">
        <v>62787.571428571428</v>
      </c>
      <c r="AJ73" s="501">
        <v>65392.2</v>
      </c>
      <c r="AK73" s="501">
        <v>53546.5</v>
      </c>
      <c r="AL73" s="501">
        <v>56586</v>
      </c>
      <c r="AM73" s="501">
        <v>62334</v>
      </c>
      <c r="AN73" s="501">
        <v>0</v>
      </c>
    </row>
    <row r="74" spans="1:40" x14ac:dyDescent="0.3">
      <c r="A74" s="489" t="s">
        <v>1441</v>
      </c>
      <c r="B74" s="489" t="s">
        <v>1679</v>
      </c>
      <c r="C74" s="489" t="s">
        <v>1804</v>
      </c>
      <c r="D74" s="489" t="s">
        <v>46</v>
      </c>
      <c r="E74" s="619">
        <v>85</v>
      </c>
      <c r="F74" s="621">
        <f t="shared" si="6"/>
        <v>59162.988095238092</v>
      </c>
      <c r="G74" s="501">
        <f t="shared" si="5"/>
        <v>59280</v>
      </c>
      <c r="H74" s="501">
        <f t="shared" si="5"/>
        <v>62525.285714285717</v>
      </c>
      <c r="I74" s="501">
        <f t="shared" si="5"/>
        <v>59821</v>
      </c>
      <c r="J74" s="501">
        <f t="shared" si="5"/>
        <v>56733</v>
      </c>
      <c r="K74" s="501">
        <f t="shared" si="5"/>
        <v>60794</v>
      </c>
      <c r="L74" s="501">
        <f t="shared" si="5"/>
        <v>52656</v>
      </c>
      <c r="M74" s="501">
        <f t="shared" si="5"/>
        <v>61118.333333333336</v>
      </c>
      <c r="N74" s="501">
        <f t="shared" si="5"/>
        <v>59868.57894736842</v>
      </c>
      <c r="O74" s="501">
        <f t="shared" si="5"/>
        <v>60075.142857142855</v>
      </c>
      <c r="P74" s="501">
        <f t="shared" si="5"/>
        <v>57839.25</v>
      </c>
      <c r="Q74" s="501">
        <f t="shared" si="5"/>
        <v>56728.75</v>
      </c>
      <c r="R74" s="501">
        <f t="shared" si="5"/>
        <v>57188.333333333336</v>
      </c>
      <c r="S74" s="501">
        <f t="shared" si="5"/>
        <v>57188.333333333336</v>
      </c>
      <c r="T74" s="501">
        <f t="shared" si="5"/>
        <v>65613</v>
      </c>
      <c r="U74" s="501">
        <f t="shared" si="5"/>
        <v>55714</v>
      </c>
      <c r="Y74" s="621">
        <v>59162.988095238092</v>
      </c>
      <c r="Z74" s="501">
        <v>59280</v>
      </c>
      <c r="AA74" s="501">
        <v>62525.285714285717</v>
      </c>
      <c r="AB74" s="501">
        <v>59821</v>
      </c>
      <c r="AC74" s="501">
        <v>56733</v>
      </c>
      <c r="AD74" s="501">
        <v>60794</v>
      </c>
      <c r="AE74" s="501">
        <v>52656</v>
      </c>
      <c r="AF74" s="501">
        <v>61118.333333333336</v>
      </c>
      <c r="AG74" s="501">
        <v>59868.57894736842</v>
      </c>
      <c r="AH74" s="501">
        <v>60075.142857142855</v>
      </c>
      <c r="AI74" s="501">
        <v>57839.25</v>
      </c>
      <c r="AJ74" s="501">
        <v>56728.75</v>
      </c>
      <c r="AK74" s="501">
        <v>0</v>
      </c>
      <c r="AL74" s="501">
        <v>57188.333333333336</v>
      </c>
      <c r="AM74" s="501">
        <v>65613</v>
      </c>
      <c r="AN74" s="501">
        <v>55714</v>
      </c>
    </row>
    <row r="75" spans="1:40" x14ac:dyDescent="0.3">
      <c r="A75" s="489" t="s">
        <v>1414</v>
      </c>
      <c r="B75" s="489" t="s">
        <v>1657</v>
      </c>
      <c r="C75" s="489" t="s">
        <v>1805</v>
      </c>
      <c r="D75" s="489" t="s">
        <v>46</v>
      </c>
      <c r="E75" s="619">
        <v>79</v>
      </c>
      <c r="F75" s="621">
        <f t="shared" si="6"/>
        <v>147539.45569620252</v>
      </c>
      <c r="G75" s="501">
        <f t="shared" si="5"/>
        <v>180036.5</v>
      </c>
      <c r="H75" s="501">
        <f t="shared" si="5"/>
        <v>177534.71428571429</v>
      </c>
      <c r="I75" s="501">
        <f t="shared" si="5"/>
        <v>144042</v>
      </c>
      <c r="J75" s="501">
        <f t="shared" si="5"/>
        <v>157027</v>
      </c>
      <c r="K75" s="501">
        <f t="shared" si="5"/>
        <v>146396.66666666666</v>
      </c>
      <c r="L75" s="501">
        <f t="shared" si="5"/>
        <v>146380.70370370371</v>
      </c>
      <c r="M75" s="501">
        <f t="shared" si="5"/>
        <v>140066.88235294117</v>
      </c>
      <c r="N75" s="501">
        <f t="shared" si="5"/>
        <v>134763.91666666666</v>
      </c>
      <c r="O75" s="501">
        <f t="shared" si="5"/>
        <v>150022.33333333334</v>
      </c>
      <c r="P75" s="501">
        <f t="shared" si="5"/>
        <v>148384.5</v>
      </c>
      <c r="Q75" s="501">
        <f t="shared" si="5"/>
        <v>0</v>
      </c>
      <c r="R75" s="501">
        <f t="shared" si="5"/>
        <v>0</v>
      </c>
      <c r="S75" s="501">
        <f t="shared" si="5"/>
        <v>0</v>
      </c>
      <c r="T75" s="501">
        <f t="shared" si="5"/>
        <v>0</v>
      </c>
      <c r="U75" s="501">
        <f t="shared" si="5"/>
        <v>0</v>
      </c>
      <c r="Y75" s="621">
        <v>147539.45569620252</v>
      </c>
      <c r="Z75" s="501">
        <v>180036.5</v>
      </c>
      <c r="AA75" s="501">
        <v>177534.71428571429</v>
      </c>
      <c r="AB75" s="501">
        <v>144042</v>
      </c>
      <c r="AC75" s="501">
        <v>157027</v>
      </c>
      <c r="AD75" s="501">
        <v>146396.66666666666</v>
      </c>
      <c r="AE75" s="501">
        <v>146380.70370370371</v>
      </c>
      <c r="AF75" s="501">
        <v>140066.88235294117</v>
      </c>
      <c r="AG75" s="501">
        <v>134763.91666666666</v>
      </c>
      <c r="AH75" s="501">
        <v>150022.33333333334</v>
      </c>
      <c r="AI75" s="501">
        <v>148384.5</v>
      </c>
      <c r="AJ75" s="501">
        <v>0</v>
      </c>
      <c r="AK75" s="501">
        <v>0</v>
      </c>
      <c r="AL75" s="501">
        <v>0</v>
      </c>
      <c r="AM75" s="501">
        <v>0</v>
      </c>
      <c r="AN75" s="501">
        <v>0</v>
      </c>
    </row>
    <row r="76" spans="1:40" x14ac:dyDescent="0.3">
      <c r="A76" s="489" t="s">
        <v>1544</v>
      </c>
      <c r="B76" s="489" t="s">
        <v>1680</v>
      </c>
      <c r="C76" s="489" t="s">
        <v>1806</v>
      </c>
      <c r="D76" s="489" t="s">
        <v>141</v>
      </c>
      <c r="E76" s="619">
        <v>79</v>
      </c>
      <c r="F76" s="621">
        <f t="shared" si="6"/>
        <v>58379.645569620254</v>
      </c>
      <c r="G76" s="501">
        <f t="shared" si="5"/>
        <v>57521.333333333336</v>
      </c>
      <c r="H76" s="501">
        <f t="shared" si="5"/>
        <v>58760.333333333336</v>
      </c>
      <c r="I76" s="501">
        <f t="shared" si="5"/>
        <v>59342.7</v>
      </c>
      <c r="J76" s="501">
        <f t="shared" si="5"/>
        <v>54797.785714285717</v>
      </c>
      <c r="K76" s="501">
        <f t="shared" si="5"/>
        <v>0</v>
      </c>
      <c r="L76" s="501">
        <f t="shared" si="5"/>
        <v>0</v>
      </c>
      <c r="M76" s="501">
        <f t="shared" si="5"/>
        <v>0</v>
      </c>
      <c r="N76" s="501">
        <f t="shared" si="5"/>
        <v>0</v>
      </c>
      <c r="O76" s="501">
        <f t="shared" si="5"/>
        <v>0</v>
      </c>
      <c r="P76" s="501">
        <f t="shared" si="5"/>
        <v>0</v>
      </c>
      <c r="Q76" s="501">
        <f t="shared" si="5"/>
        <v>0</v>
      </c>
      <c r="R76" s="501">
        <f t="shared" si="5"/>
        <v>0</v>
      </c>
      <c r="S76" s="501">
        <f t="shared" si="5"/>
        <v>0</v>
      </c>
      <c r="T76" s="501">
        <f t="shared" si="5"/>
        <v>0</v>
      </c>
      <c r="U76" s="501">
        <f t="shared" si="5"/>
        <v>0</v>
      </c>
      <c r="Y76" s="621">
        <v>58379.645569620254</v>
      </c>
      <c r="Z76" s="501">
        <v>57521.333333333336</v>
      </c>
      <c r="AA76" s="501">
        <v>58760.333333333336</v>
      </c>
      <c r="AB76" s="501">
        <v>59342.7</v>
      </c>
      <c r="AC76" s="501">
        <v>54797.785714285717</v>
      </c>
      <c r="AD76" s="501">
        <v>0</v>
      </c>
      <c r="AE76" s="501">
        <v>0</v>
      </c>
      <c r="AF76" s="501">
        <v>0</v>
      </c>
      <c r="AG76" s="501">
        <v>0</v>
      </c>
      <c r="AH76" s="501">
        <v>0</v>
      </c>
      <c r="AI76" s="501">
        <v>0</v>
      </c>
      <c r="AJ76" s="501">
        <v>0</v>
      </c>
      <c r="AK76" s="501">
        <v>0</v>
      </c>
      <c r="AL76" s="501">
        <v>0</v>
      </c>
      <c r="AM76" s="501">
        <v>0</v>
      </c>
      <c r="AN76" s="501">
        <v>0</v>
      </c>
    </row>
    <row r="77" spans="1:40" x14ac:dyDescent="0.3">
      <c r="A77" s="489" t="s">
        <v>1561</v>
      </c>
      <c r="B77" s="489" t="s">
        <v>1681</v>
      </c>
      <c r="C77" s="489" t="s">
        <v>1807</v>
      </c>
      <c r="D77" s="489" t="s">
        <v>141</v>
      </c>
      <c r="E77" s="619">
        <v>79</v>
      </c>
      <c r="F77" s="621">
        <f t="shared" si="6"/>
        <v>51733.253164556962</v>
      </c>
      <c r="G77" s="501">
        <f t="shared" si="5"/>
        <v>56128</v>
      </c>
      <c r="H77" s="501">
        <f t="shared" si="5"/>
        <v>51296.649122807015</v>
      </c>
      <c r="I77" s="501">
        <f t="shared" si="5"/>
        <v>52479.923076923078</v>
      </c>
      <c r="J77" s="501">
        <f t="shared" si="5"/>
        <v>52065.833333333336</v>
      </c>
      <c r="K77" s="501">
        <f t="shared" si="5"/>
        <v>0</v>
      </c>
      <c r="L77" s="501">
        <f t="shared" si="5"/>
        <v>0</v>
      </c>
      <c r="M77" s="501">
        <f t="shared" si="5"/>
        <v>0</v>
      </c>
      <c r="N77" s="501">
        <f t="shared" si="5"/>
        <v>0</v>
      </c>
      <c r="O77" s="501">
        <f t="shared" si="5"/>
        <v>0</v>
      </c>
      <c r="P77" s="501">
        <f t="shared" si="5"/>
        <v>0</v>
      </c>
      <c r="Q77" s="501">
        <f t="shared" si="5"/>
        <v>0</v>
      </c>
      <c r="R77" s="501">
        <f t="shared" si="5"/>
        <v>0</v>
      </c>
      <c r="S77" s="501">
        <f t="shared" si="5"/>
        <v>0</v>
      </c>
      <c r="T77" s="501">
        <f t="shared" si="5"/>
        <v>0</v>
      </c>
      <c r="U77" s="501">
        <f t="shared" si="5"/>
        <v>0</v>
      </c>
      <c r="Y77" s="621">
        <v>51733.253164556962</v>
      </c>
      <c r="Z77" s="501">
        <v>56128</v>
      </c>
      <c r="AA77" s="501">
        <v>51296.649122807015</v>
      </c>
      <c r="AB77" s="501">
        <v>52479.923076923078</v>
      </c>
      <c r="AC77" s="501">
        <v>52065.833333333336</v>
      </c>
      <c r="AD77" s="501">
        <v>0</v>
      </c>
      <c r="AE77" s="501">
        <v>0</v>
      </c>
      <c r="AF77" s="501">
        <v>0</v>
      </c>
      <c r="AG77" s="501">
        <v>0</v>
      </c>
      <c r="AH77" s="501">
        <v>0</v>
      </c>
      <c r="AI77" s="501">
        <v>0</v>
      </c>
      <c r="AJ77" s="501">
        <v>0</v>
      </c>
      <c r="AK77" s="501">
        <v>0</v>
      </c>
      <c r="AL77" s="501">
        <v>0</v>
      </c>
      <c r="AM77" s="501">
        <v>0</v>
      </c>
      <c r="AN77" s="501">
        <v>0</v>
      </c>
    </row>
    <row r="78" spans="1:40" x14ac:dyDescent="0.3">
      <c r="A78" s="489" t="s">
        <v>1426</v>
      </c>
      <c r="B78" s="489" t="s">
        <v>1440</v>
      </c>
      <c r="C78" s="489" t="s">
        <v>1440</v>
      </c>
      <c r="D78" s="489" t="s">
        <v>1929</v>
      </c>
      <c r="E78" s="619">
        <v>78</v>
      </c>
      <c r="F78" s="621">
        <f t="shared" si="6"/>
        <v>35820.423076923078</v>
      </c>
      <c r="G78" s="501">
        <f t="shared" si="5"/>
        <v>36854</v>
      </c>
      <c r="H78" s="501">
        <f t="shared" si="5"/>
        <v>36854</v>
      </c>
      <c r="I78" s="501">
        <f t="shared" si="5"/>
        <v>34723.857142857145</v>
      </c>
      <c r="J78" s="501">
        <f t="shared" si="5"/>
        <v>37150.6</v>
      </c>
      <c r="K78" s="501">
        <f t="shared" si="5"/>
        <v>34696.333333333336</v>
      </c>
      <c r="L78" s="501">
        <f t="shared" si="5"/>
        <v>36608.75</v>
      </c>
      <c r="M78" s="501">
        <f t="shared" si="5"/>
        <v>36276</v>
      </c>
      <c r="N78" s="501">
        <f t="shared" si="5"/>
        <v>36276</v>
      </c>
      <c r="O78" s="501">
        <f t="shared" si="5"/>
        <v>36984</v>
      </c>
      <c r="P78" s="501">
        <f t="shared" si="5"/>
        <v>33443.333333333336</v>
      </c>
      <c r="Q78" s="501">
        <f t="shared" si="5"/>
        <v>36074.333333333336</v>
      </c>
      <c r="R78" s="501">
        <f t="shared" si="5"/>
        <v>36074.333333333336</v>
      </c>
      <c r="S78" s="501">
        <f t="shared" si="5"/>
        <v>35109.090909090912</v>
      </c>
      <c r="T78" s="501">
        <f t="shared" si="5"/>
        <v>0</v>
      </c>
      <c r="U78" s="501">
        <f t="shared" si="5"/>
        <v>0</v>
      </c>
      <c r="Y78" s="621">
        <v>35820.423076923078</v>
      </c>
      <c r="Z78" s="501">
        <v>0</v>
      </c>
      <c r="AA78" s="501">
        <v>36854</v>
      </c>
      <c r="AB78" s="501">
        <v>34723.857142857145</v>
      </c>
      <c r="AC78" s="501">
        <v>37150.6</v>
      </c>
      <c r="AD78" s="501">
        <v>34696.333333333336</v>
      </c>
      <c r="AE78" s="501">
        <v>36608.75</v>
      </c>
      <c r="AF78" s="501">
        <v>0</v>
      </c>
      <c r="AG78" s="501">
        <v>36276</v>
      </c>
      <c r="AH78" s="501">
        <v>36984</v>
      </c>
      <c r="AI78" s="501">
        <v>33443.333333333336</v>
      </c>
      <c r="AJ78" s="501">
        <v>0</v>
      </c>
      <c r="AK78" s="501">
        <v>36074.333333333336</v>
      </c>
      <c r="AL78" s="501">
        <v>35109.090909090912</v>
      </c>
      <c r="AM78" s="501">
        <v>0</v>
      </c>
      <c r="AN78" s="501">
        <v>0</v>
      </c>
    </row>
    <row r="79" spans="1:40" x14ac:dyDescent="0.3">
      <c r="A79" s="489" t="s">
        <v>1426</v>
      </c>
      <c r="B79" s="489" t="s">
        <v>1427</v>
      </c>
      <c r="C79" s="489" t="s">
        <v>1427</v>
      </c>
      <c r="D79" s="489" t="s">
        <v>1929</v>
      </c>
      <c r="E79" s="619">
        <v>77</v>
      </c>
      <c r="F79" s="621">
        <f t="shared" si="6"/>
        <v>31200.922077922078</v>
      </c>
      <c r="G79" s="501">
        <f t="shared" si="5"/>
        <v>29020</v>
      </c>
      <c r="H79" s="501">
        <f t="shared" si="5"/>
        <v>31144.333333333332</v>
      </c>
      <c r="I79" s="501">
        <f t="shared" si="5"/>
        <v>31296.071428571428</v>
      </c>
      <c r="J79" s="501">
        <f t="shared" si="5"/>
        <v>31616.6</v>
      </c>
      <c r="K79" s="501">
        <f t="shared" si="5"/>
        <v>31864.76923076923</v>
      </c>
      <c r="L79" s="501">
        <f t="shared" si="5"/>
        <v>31080.391304347828</v>
      </c>
      <c r="M79" s="501">
        <f t="shared" si="5"/>
        <v>0</v>
      </c>
      <c r="N79" s="501">
        <f t="shared" si="5"/>
        <v>0</v>
      </c>
      <c r="O79" s="501">
        <f t="shared" si="5"/>
        <v>0</v>
      </c>
      <c r="P79" s="501">
        <f t="shared" si="5"/>
        <v>0</v>
      </c>
      <c r="Q79" s="501">
        <f t="shared" si="5"/>
        <v>0</v>
      </c>
      <c r="R79" s="501">
        <f t="shared" si="5"/>
        <v>0</v>
      </c>
      <c r="S79" s="501">
        <f t="shared" si="5"/>
        <v>0</v>
      </c>
      <c r="T79" s="501">
        <f t="shared" si="5"/>
        <v>0</v>
      </c>
      <c r="U79" s="501">
        <f t="shared" si="5"/>
        <v>0</v>
      </c>
      <c r="Y79" s="621">
        <v>31200.922077922078</v>
      </c>
      <c r="Z79" s="501">
        <v>29020</v>
      </c>
      <c r="AA79" s="501">
        <v>31144.333333333332</v>
      </c>
      <c r="AB79" s="501">
        <v>31296.071428571428</v>
      </c>
      <c r="AC79" s="501">
        <v>31616.6</v>
      </c>
      <c r="AD79" s="501">
        <v>31864.76923076923</v>
      </c>
      <c r="AE79" s="501">
        <v>31080.391304347828</v>
      </c>
      <c r="AF79" s="501">
        <v>0</v>
      </c>
      <c r="AG79" s="501">
        <v>0</v>
      </c>
      <c r="AH79" s="501">
        <v>0</v>
      </c>
      <c r="AI79" s="501">
        <v>0</v>
      </c>
      <c r="AJ79" s="501">
        <v>0</v>
      </c>
      <c r="AK79" s="501">
        <v>0</v>
      </c>
      <c r="AL79" s="501">
        <v>0</v>
      </c>
      <c r="AM79" s="501">
        <v>0</v>
      </c>
      <c r="AN79" s="501">
        <v>0</v>
      </c>
    </row>
    <row r="80" spans="1:40" x14ac:dyDescent="0.3">
      <c r="A80" s="489" t="s">
        <v>1419</v>
      </c>
      <c r="B80" s="489" t="s">
        <v>1682</v>
      </c>
      <c r="C80" s="489" t="s">
        <v>1808</v>
      </c>
      <c r="D80" s="489" t="s">
        <v>141</v>
      </c>
      <c r="E80" s="619">
        <v>76</v>
      </c>
      <c r="F80" s="621">
        <f t="shared" si="6"/>
        <v>126130.65168539326</v>
      </c>
      <c r="G80" s="501">
        <f t="shared" si="5"/>
        <v>138090</v>
      </c>
      <c r="H80" s="501">
        <f t="shared" si="5"/>
        <v>120090</v>
      </c>
      <c r="I80" s="501">
        <f t="shared" si="5"/>
        <v>132148</v>
      </c>
      <c r="J80" s="501">
        <f t="shared" si="5"/>
        <v>102225</v>
      </c>
      <c r="K80" s="501">
        <f t="shared" si="5"/>
        <v>102225</v>
      </c>
      <c r="L80" s="501">
        <f t="shared" si="5"/>
        <v>102225</v>
      </c>
      <c r="M80" s="501">
        <f t="shared" si="5"/>
        <v>128430</v>
      </c>
      <c r="N80" s="501">
        <f t="shared" si="5"/>
        <v>125464.49275362318</v>
      </c>
      <c r="O80" s="501">
        <f t="shared" si="5"/>
        <v>137900</v>
      </c>
      <c r="P80" s="501">
        <f t="shared" si="5"/>
        <v>0</v>
      </c>
      <c r="Q80" s="501">
        <f t="shared" si="5"/>
        <v>0</v>
      </c>
      <c r="R80" s="501">
        <f t="shared" si="5"/>
        <v>0</v>
      </c>
      <c r="S80" s="501">
        <f t="shared" si="5"/>
        <v>0</v>
      </c>
      <c r="T80" s="501">
        <f t="shared" si="5"/>
        <v>0</v>
      </c>
      <c r="U80" s="501">
        <f t="shared" si="5"/>
        <v>0</v>
      </c>
      <c r="Y80" s="621">
        <v>126130.65168539326</v>
      </c>
      <c r="Z80" s="501">
        <v>138090</v>
      </c>
      <c r="AA80" s="501">
        <v>120090</v>
      </c>
      <c r="AB80" s="501">
        <v>132148</v>
      </c>
      <c r="AC80" s="501">
        <v>0</v>
      </c>
      <c r="AD80" s="501">
        <v>0</v>
      </c>
      <c r="AE80" s="501">
        <v>102225</v>
      </c>
      <c r="AF80" s="501">
        <v>128430</v>
      </c>
      <c r="AG80" s="501">
        <v>125464.49275362318</v>
      </c>
      <c r="AH80" s="501">
        <v>137900</v>
      </c>
      <c r="AI80" s="501">
        <v>0</v>
      </c>
      <c r="AJ80" s="501">
        <v>0</v>
      </c>
      <c r="AK80" s="501">
        <v>0</v>
      </c>
      <c r="AL80" s="501">
        <v>0</v>
      </c>
      <c r="AM80" s="501">
        <v>0</v>
      </c>
      <c r="AN80" s="501">
        <v>0</v>
      </c>
    </row>
    <row r="81" spans="1:40" x14ac:dyDescent="0.3">
      <c r="A81" s="489" t="s">
        <v>1441</v>
      </c>
      <c r="B81" s="489" t="s">
        <v>1683</v>
      </c>
      <c r="C81" s="489" t="s">
        <v>1809</v>
      </c>
      <c r="D81" s="489" t="s">
        <v>141</v>
      </c>
      <c r="E81" s="619">
        <v>75</v>
      </c>
      <c r="F81" s="621">
        <f t="shared" si="6"/>
        <v>50529.65789473684</v>
      </c>
      <c r="G81" s="501">
        <f t="shared" si="5"/>
        <v>49489.333333333336</v>
      </c>
      <c r="H81" s="501">
        <f t="shared" si="5"/>
        <v>48101.583333333336</v>
      </c>
      <c r="I81" s="501">
        <f t="shared" si="5"/>
        <v>53930.666666666664</v>
      </c>
      <c r="J81" s="501">
        <f t="shared" si="5"/>
        <v>50889.068965517239</v>
      </c>
      <c r="K81" s="501">
        <f t="shared" si="5"/>
        <v>52068.5</v>
      </c>
      <c r="L81" s="501">
        <f t="shared" si="5"/>
        <v>0</v>
      </c>
      <c r="M81" s="501">
        <f t="shared" si="5"/>
        <v>0</v>
      </c>
      <c r="N81" s="501">
        <f t="shared" si="5"/>
        <v>0</v>
      </c>
      <c r="O81" s="501">
        <f t="shared" si="5"/>
        <v>0</v>
      </c>
      <c r="P81" s="501">
        <f t="shared" si="5"/>
        <v>0</v>
      </c>
      <c r="Q81" s="501">
        <f t="shared" si="5"/>
        <v>0</v>
      </c>
      <c r="R81" s="501">
        <f t="shared" si="5"/>
        <v>0</v>
      </c>
      <c r="S81" s="501">
        <f t="shared" si="5"/>
        <v>0</v>
      </c>
      <c r="T81" s="501">
        <f t="shared" si="5"/>
        <v>0</v>
      </c>
      <c r="U81" s="501">
        <f t="shared" si="5"/>
        <v>0</v>
      </c>
      <c r="Y81" s="621">
        <v>50529.65789473684</v>
      </c>
      <c r="Z81" s="501">
        <v>49489.333333333336</v>
      </c>
      <c r="AA81" s="501">
        <v>48101.583333333336</v>
      </c>
      <c r="AB81" s="501">
        <v>53930.666666666664</v>
      </c>
      <c r="AC81" s="501">
        <v>50889.068965517239</v>
      </c>
      <c r="AD81" s="501">
        <v>52068.5</v>
      </c>
      <c r="AE81" s="501">
        <v>0</v>
      </c>
      <c r="AF81" s="501">
        <v>0</v>
      </c>
      <c r="AG81" s="501">
        <v>0</v>
      </c>
      <c r="AH81" s="501">
        <v>0</v>
      </c>
      <c r="AI81" s="501">
        <v>0</v>
      </c>
      <c r="AJ81" s="501">
        <v>0</v>
      </c>
      <c r="AK81" s="501">
        <v>0</v>
      </c>
      <c r="AL81" s="501">
        <v>0</v>
      </c>
      <c r="AM81" s="501">
        <v>0</v>
      </c>
      <c r="AN81" s="501">
        <v>0</v>
      </c>
    </row>
    <row r="82" spans="1:40" x14ac:dyDescent="0.3">
      <c r="A82" s="489" t="s">
        <v>1605</v>
      </c>
      <c r="B82" s="489" t="s">
        <v>1658</v>
      </c>
      <c r="C82" s="489" t="s">
        <v>1810</v>
      </c>
      <c r="D82" s="489" t="s">
        <v>46</v>
      </c>
      <c r="E82" s="619">
        <v>68</v>
      </c>
      <c r="F82" s="621">
        <f t="shared" si="6"/>
        <v>49232.955223880599</v>
      </c>
      <c r="G82" s="501">
        <f t="shared" ref="G82:U97" si="7">IF(Z82&gt;0,Z82,IF(H82&gt;0,H82,0))</f>
        <v>51641.833333333336</v>
      </c>
      <c r="H82" s="501">
        <f t="shared" si="7"/>
        <v>51641.833333333336</v>
      </c>
      <c r="I82" s="501">
        <f t="shared" si="7"/>
        <v>51641.833333333336</v>
      </c>
      <c r="J82" s="501">
        <f t="shared" si="7"/>
        <v>51641.833333333336</v>
      </c>
      <c r="K82" s="501">
        <f t="shared" si="7"/>
        <v>51641.833333333336</v>
      </c>
      <c r="L82" s="501">
        <f t="shared" si="7"/>
        <v>51641.833333333336</v>
      </c>
      <c r="M82" s="501">
        <f t="shared" si="7"/>
        <v>49709.166666666664</v>
      </c>
      <c r="N82" s="501">
        <f t="shared" si="7"/>
        <v>49709.166666666664</v>
      </c>
      <c r="O82" s="501">
        <f t="shared" si="7"/>
        <v>48276.222222222219</v>
      </c>
      <c r="P82" s="501">
        <f t="shared" si="7"/>
        <v>52378.111111111109</v>
      </c>
      <c r="Q82" s="501">
        <f t="shared" si="7"/>
        <v>48455.857142857145</v>
      </c>
      <c r="R82" s="501">
        <f t="shared" si="7"/>
        <v>46678.571428571428</v>
      </c>
      <c r="S82" s="501">
        <f t="shared" si="7"/>
        <v>47163</v>
      </c>
      <c r="T82" s="501">
        <f t="shared" si="7"/>
        <v>49164.4</v>
      </c>
      <c r="U82" s="501">
        <f t="shared" si="7"/>
        <v>49030.6</v>
      </c>
      <c r="Y82" s="621">
        <v>49232.955223880599</v>
      </c>
      <c r="Z82" s="501">
        <v>0</v>
      </c>
      <c r="AA82" s="501">
        <v>0</v>
      </c>
      <c r="AB82" s="501">
        <v>0</v>
      </c>
      <c r="AC82" s="501">
        <v>0</v>
      </c>
      <c r="AD82" s="501">
        <v>0</v>
      </c>
      <c r="AE82" s="501">
        <v>51641.833333333336</v>
      </c>
      <c r="AF82" s="501">
        <v>0</v>
      </c>
      <c r="AG82" s="501">
        <v>49709.166666666664</v>
      </c>
      <c r="AH82" s="501">
        <v>48276.222222222219</v>
      </c>
      <c r="AI82" s="501">
        <v>52378.111111111109</v>
      </c>
      <c r="AJ82" s="501">
        <v>48455.857142857145</v>
      </c>
      <c r="AK82" s="501">
        <v>46678.571428571428</v>
      </c>
      <c r="AL82" s="501">
        <v>47163</v>
      </c>
      <c r="AM82" s="501">
        <v>49164.4</v>
      </c>
      <c r="AN82" s="501">
        <v>49030.6</v>
      </c>
    </row>
    <row r="83" spans="1:40" x14ac:dyDescent="0.3">
      <c r="A83" s="489" t="s">
        <v>1414</v>
      </c>
      <c r="B83" s="489" t="s">
        <v>1684</v>
      </c>
      <c r="C83" s="489" t="s">
        <v>1811</v>
      </c>
      <c r="D83" s="489" t="s">
        <v>141</v>
      </c>
      <c r="E83" s="619">
        <v>68</v>
      </c>
      <c r="F83" s="621">
        <f t="shared" si="6"/>
        <v>131479</v>
      </c>
      <c r="G83" s="501">
        <f t="shared" si="7"/>
        <v>138568.77777777778</v>
      </c>
      <c r="H83" s="501">
        <f t="shared" si="7"/>
        <v>128480.68</v>
      </c>
      <c r="I83" s="501">
        <f t="shared" si="7"/>
        <v>131594.59375</v>
      </c>
      <c r="J83" s="501">
        <f t="shared" si="7"/>
        <v>135204.5</v>
      </c>
      <c r="K83" s="501">
        <f t="shared" si="7"/>
        <v>0</v>
      </c>
      <c r="L83" s="501">
        <f t="shared" si="7"/>
        <v>0</v>
      </c>
      <c r="M83" s="501">
        <f t="shared" si="7"/>
        <v>0</v>
      </c>
      <c r="N83" s="501">
        <f t="shared" si="7"/>
        <v>0</v>
      </c>
      <c r="O83" s="501">
        <f t="shared" si="7"/>
        <v>0</v>
      </c>
      <c r="P83" s="501">
        <f t="shared" si="7"/>
        <v>0</v>
      </c>
      <c r="Q83" s="501">
        <f t="shared" si="7"/>
        <v>0</v>
      </c>
      <c r="R83" s="501">
        <f t="shared" si="7"/>
        <v>0</v>
      </c>
      <c r="S83" s="501">
        <f t="shared" si="7"/>
        <v>0</v>
      </c>
      <c r="T83" s="501">
        <f t="shared" si="7"/>
        <v>0</v>
      </c>
      <c r="U83" s="501">
        <f t="shared" si="7"/>
        <v>0</v>
      </c>
      <c r="Y83" s="621">
        <v>131479</v>
      </c>
      <c r="Z83" s="501">
        <v>138568.77777777778</v>
      </c>
      <c r="AA83" s="501">
        <v>128480.68</v>
      </c>
      <c r="AB83" s="501">
        <v>131594.59375</v>
      </c>
      <c r="AC83" s="501">
        <v>135204.5</v>
      </c>
      <c r="AD83" s="501">
        <v>0</v>
      </c>
      <c r="AE83" s="501">
        <v>0</v>
      </c>
      <c r="AF83" s="501">
        <v>0</v>
      </c>
      <c r="AG83" s="501">
        <v>0</v>
      </c>
      <c r="AH83" s="501">
        <v>0</v>
      </c>
      <c r="AI83" s="501">
        <v>0</v>
      </c>
      <c r="AJ83" s="501">
        <v>0</v>
      </c>
      <c r="AK83" s="501">
        <v>0</v>
      </c>
      <c r="AL83" s="501">
        <v>0</v>
      </c>
      <c r="AM83" s="501">
        <v>0</v>
      </c>
      <c r="AN83" s="501">
        <v>0</v>
      </c>
    </row>
    <row r="84" spans="1:40" x14ac:dyDescent="0.3">
      <c r="A84" s="489" t="s">
        <v>1441</v>
      </c>
      <c r="B84" s="489" t="s">
        <v>1542</v>
      </c>
      <c r="C84" s="489" t="s">
        <v>1543</v>
      </c>
      <c r="D84" s="489" t="s">
        <v>141</v>
      </c>
      <c r="E84" s="619">
        <v>66</v>
      </c>
      <c r="F84" s="621">
        <f t="shared" si="6"/>
        <v>72461.621212121216</v>
      </c>
      <c r="G84" s="501">
        <f t="shared" si="7"/>
        <v>76109</v>
      </c>
      <c r="H84" s="501">
        <f t="shared" si="7"/>
        <v>76109</v>
      </c>
      <c r="I84" s="501">
        <f t="shared" si="7"/>
        <v>76109</v>
      </c>
      <c r="J84" s="501">
        <f t="shared" si="7"/>
        <v>72624.491803278695</v>
      </c>
      <c r="K84" s="501">
        <f t="shared" si="7"/>
        <v>72624.491803278695</v>
      </c>
      <c r="L84" s="501">
        <f t="shared" si="7"/>
        <v>84549</v>
      </c>
      <c r="M84" s="501">
        <f t="shared" si="7"/>
        <v>54184</v>
      </c>
      <c r="N84" s="501">
        <f t="shared" si="7"/>
        <v>54184</v>
      </c>
      <c r="O84" s="501">
        <f t="shared" si="7"/>
        <v>54184</v>
      </c>
      <c r="P84" s="501">
        <f t="shared" si="7"/>
        <v>54184</v>
      </c>
      <c r="Q84" s="501">
        <f t="shared" si="7"/>
        <v>54184</v>
      </c>
      <c r="R84" s="501">
        <f t="shared" si="7"/>
        <v>54184</v>
      </c>
      <c r="S84" s="501">
        <f t="shared" si="7"/>
        <v>54184</v>
      </c>
      <c r="T84" s="501">
        <f t="shared" si="7"/>
        <v>61422</v>
      </c>
      <c r="U84" s="501">
        <f t="shared" si="7"/>
        <v>61422</v>
      </c>
      <c r="Y84" s="621">
        <v>72461.621212121216</v>
      </c>
      <c r="Z84" s="501">
        <v>0</v>
      </c>
      <c r="AA84" s="501">
        <v>0</v>
      </c>
      <c r="AB84" s="501">
        <v>76109</v>
      </c>
      <c r="AC84" s="501">
        <v>0</v>
      </c>
      <c r="AD84" s="501">
        <v>72624.491803278695</v>
      </c>
      <c r="AE84" s="501">
        <v>84549</v>
      </c>
      <c r="AF84" s="501">
        <v>0</v>
      </c>
      <c r="AG84" s="501">
        <v>0</v>
      </c>
      <c r="AH84" s="501">
        <v>0</v>
      </c>
      <c r="AI84" s="501">
        <v>0</v>
      </c>
      <c r="AJ84" s="501">
        <v>0</v>
      </c>
      <c r="AK84" s="501">
        <v>0</v>
      </c>
      <c r="AL84" s="501">
        <v>54184</v>
      </c>
      <c r="AM84" s="501">
        <v>0</v>
      </c>
      <c r="AN84" s="501">
        <v>61422</v>
      </c>
    </row>
    <row r="85" spans="1:40" x14ac:dyDescent="0.3">
      <c r="A85" s="489" t="s">
        <v>1414</v>
      </c>
      <c r="B85" s="489" t="s">
        <v>1685</v>
      </c>
      <c r="C85" s="489" t="s">
        <v>1812</v>
      </c>
      <c r="D85" s="489" t="s">
        <v>141</v>
      </c>
      <c r="E85" s="619">
        <v>64</v>
      </c>
      <c r="F85" s="621">
        <f t="shared" si="6"/>
        <v>58704.59375</v>
      </c>
      <c r="G85" s="501">
        <f t="shared" si="7"/>
        <v>57513.48</v>
      </c>
      <c r="H85" s="501">
        <f t="shared" si="7"/>
        <v>59468.128205128203</v>
      </c>
      <c r="I85" s="501">
        <f t="shared" si="7"/>
        <v>0</v>
      </c>
      <c r="J85" s="501">
        <f t="shared" si="7"/>
        <v>0</v>
      </c>
      <c r="K85" s="501">
        <f t="shared" si="7"/>
        <v>0</v>
      </c>
      <c r="L85" s="501">
        <f t="shared" si="7"/>
        <v>0</v>
      </c>
      <c r="M85" s="501">
        <f t="shared" si="7"/>
        <v>0</v>
      </c>
      <c r="N85" s="501">
        <f t="shared" si="7"/>
        <v>0</v>
      </c>
      <c r="O85" s="501">
        <f t="shared" si="7"/>
        <v>0</v>
      </c>
      <c r="P85" s="501">
        <f t="shared" si="7"/>
        <v>0</v>
      </c>
      <c r="Q85" s="501">
        <f t="shared" si="7"/>
        <v>0</v>
      </c>
      <c r="R85" s="501">
        <f t="shared" si="7"/>
        <v>0</v>
      </c>
      <c r="S85" s="501">
        <f t="shared" si="7"/>
        <v>0</v>
      </c>
      <c r="T85" s="501">
        <f t="shared" si="7"/>
        <v>0</v>
      </c>
      <c r="U85" s="501">
        <f t="shared" si="7"/>
        <v>0</v>
      </c>
      <c r="Y85" s="621">
        <v>58704.59375</v>
      </c>
      <c r="Z85" s="501">
        <v>57513.48</v>
      </c>
      <c r="AA85" s="501">
        <v>59468.128205128203</v>
      </c>
      <c r="AB85" s="501">
        <v>0</v>
      </c>
      <c r="AC85" s="501">
        <v>0</v>
      </c>
      <c r="AD85" s="501">
        <v>0</v>
      </c>
      <c r="AE85" s="501">
        <v>0</v>
      </c>
      <c r="AF85" s="501">
        <v>0</v>
      </c>
      <c r="AG85" s="501">
        <v>0</v>
      </c>
      <c r="AH85" s="501">
        <v>0</v>
      </c>
      <c r="AI85" s="501">
        <v>0</v>
      </c>
      <c r="AJ85" s="501">
        <v>0</v>
      </c>
      <c r="AK85" s="501">
        <v>0</v>
      </c>
      <c r="AL85" s="501">
        <v>0</v>
      </c>
      <c r="AM85" s="501">
        <v>0</v>
      </c>
      <c r="AN85" s="501">
        <v>0</v>
      </c>
    </row>
    <row r="86" spans="1:40" x14ac:dyDescent="0.3">
      <c r="A86" s="489" t="s">
        <v>1454</v>
      </c>
      <c r="B86" s="489" t="s">
        <v>1686</v>
      </c>
      <c r="C86" s="489" t="s">
        <v>1813</v>
      </c>
      <c r="D86" s="489" t="s">
        <v>46</v>
      </c>
      <c r="E86" s="619">
        <v>63</v>
      </c>
      <c r="F86" s="621">
        <f t="shared" si="6"/>
        <v>42323.126984126982</v>
      </c>
      <c r="G86" s="501">
        <f t="shared" si="7"/>
        <v>42289</v>
      </c>
      <c r="H86" s="501">
        <f t="shared" si="7"/>
        <v>64928</v>
      </c>
      <c r="I86" s="501">
        <f t="shared" si="7"/>
        <v>47686.333333333336</v>
      </c>
      <c r="J86" s="501">
        <f t="shared" si="7"/>
        <v>44042.833333333336</v>
      </c>
      <c r="K86" s="501">
        <f t="shared" si="7"/>
        <v>44042.833333333336</v>
      </c>
      <c r="L86" s="501">
        <f t="shared" si="7"/>
        <v>44042.833333333336</v>
      </c>
      <c r="M86" s="501">
        <f t="shared" si="7"/>
        <v>42063.1875</v>
      </c>
      <c r="N86" s="501">
        <f t="shared" si="7"/>
        <v>40972.32</v>
      </c>
      <c r="O86" s="501">
        <f t="shared" si="7"/>
        <v>41318.63636363636</v>
      </c>
      <c r="P86" s="501">
        <f t="shared" si="7"/>
        <v>0</v>
      </c>
      <c r="Q86" s="501">
        <f t="shared" si="7"/>
        <v>0</v>
      </c>
      <c r="R86" s="501">
        <f t="shared" si="7"/>
        <v>0</v>
      </c>
      <c r="S86" s="501">
        <f t="shared" si="7"/>
        <v>0</v>
      </c>
      <c r="T86" s="501">
        <f t="shared" si="7"/>
        <v>0</v>
      </c>
      <c r="U86" s="501">
        <f t="shared" si="7"/>
        <v>0</v>
      </c>
      <c r="Y86" s="621">
        <v>42323.126984126982</v>
      </c>
      <c r="Z86" s="501">
        <v>42289</v>
      </c>
      <c r="AA86" s="501">
        <v>64928</v>
      </c>
      <c r="AB86" s="501">
        <v>47686.333333333336</v>
      </c>
      <c r="AC86" s="501">
        <v>0</v>
      </c>
      <c r="AD86" s="501">
        <v>0</v>
      </c>
      <c r="AE86" s="501">
        <v>44042.833333333336</v>
      </c>
      <c r="AF86" s="501">
        <v>42063.1875</v>
      </c>
      <c r="AG86" s="501">
        <v>40972.32</v>
      </c>
      <c r="AH86" s="501">
        <v>41318.63636363636</v>
      </c>
      <c r="AI86" s="501">
        <v>0</v>
      </c>
      <c r="AJ86" s="501">
        <v>0</v>
      </c>
      <c r="AK86" s="501">
        <v>0</v>
      </c>
      <c r="AL86" s="501">
        <v>0</v>
      </c>
      <c r="AM86" s="501">
        <v>0</v>
      </c>
      <c r="AN86" s="501">
        <v>0</v>
      </c>
    </row>
    <row r="87" spans="1:40" x14ac:dyDescent="0.3">
      <c r="A87" s="489" t="s">
        <v>1432</v>
      </c>
      <c r="B87" s="489" t="s">
        <v>1687</v>
      </c>
      <c r="C87" s="489" t="s">
        <v>1814</v>
      </c>
      <c r="D87" s="489" t="s">
        <v>46</v>
      </c>
      <c r="E87" s="619">
        <v>61</v>
      </c>
      <c r="F87" s="621">
        <f t="shared" si="6"/>
        <v>36091.295081967211</v>
      </c>
      <c r="G87" s="501">
        <f t="shared" si="7"/>
        <v>36727</v>
      </c>
      <c r="H87" s="501">
        <f t="shared" si="7"/>
        <v>36727</v>
      </c>
      <c r="I87" s="501">
        <f t="shared" si="7"/>
        <v>36727</v>
      </c>
      <c r="J87" s="501">
        <f t="shared" si="7"/>
        <v>36279.75</v>
      </c>
      <c r="K87" s="501">
        <f t="shared" si="7"/>
        <v>36279.75</v>
      </c>
      <c r="L87" s="501">
        <f t="shared" si="7"/>
        <v>36279.75</v>
      </c>
      <c r="M87" s="501">
        <f t="shared" si="7"/>
        <v>36876.333333333336</v>
      </c>
      <c r="N87" s="501">
        <f t="shared" si="7"/>
        <v>36204.272727272728</v>
      </c>
      <c r="O87" s="501">
        <f t="shared" si="7"/>
        <v>36253</v>
      </c>
      <c r="P87" s="501">
        <f t="shared" si="7"/>
        <v>34922.75</v>
      </c>
      <c r="Q87" s="501">
        <f t="shared" si="7"/>
        <v>35213</v>
      </c>
      <c r="R87" s="501">
        <f t="shared" si="7"/>
        <v>35881.666666666664</v>
      </c>
      <c r="S87" s="501">
        <f t="shared" si="7"/>
        <v>33440</v>
      </c>
      <c r="T87" s="501">
        <f t="shared" si="7"/>
        <v>34240</v>
      </c>
      <c r="U87" s="501">
        <f t="shared" si="7"/>
        <v>34240</v>
      </c>
      <c r="Y87" s="621">
        <v>36091.295081967211</v>
      </c>
      <c r="Z87" s="501">
        <v>0</v>
      </c>
      <c r="AA87" s="501">
        <v>0</v>
      </c>
      <c r="AB87" s="501">
        <v>36727</v>
      </c>
      <c r="AC87" s="501">
        <v>0</v>
      </c>
      <c r="AD87" s="501">
        <v>0</v>
      </c>
      <c r="AE87" s="501">
        <v>36279.75</v>
      </c>
      <c r="AF87" s="501">
        <v>36876.333333333336</v>
      </c>
      <c r="AG87" s="501">
        <v>36204.272727272728</v>
      </c>
      <c r="AH87" s="501">
        <v>36253</v>
      </c>
      <c r="AI87" s="501">
        <v>34922.75</v>
      </c>
      <c r="AJ87" s="501">
        <v>35213</v>
      </c>
      <c r="AK87" s="501">
        <v>35881.666666666664</v>
      </c>
      <c r="AL87" s="501">
        <v>33440</v>
      </c>
      <c r="AM87" s="501">
        <v>0</v>
      </c>
      <c r="AN87" s="501">
        <v>34240</v>
      </c>
    </row>
    <row r="88" spans="1:40" x14ac:dyDescent="0.3">
      <c r="A88" s="489" t="s">
        <v>1677</v>
      </c>
      <c r="B88" s="489" t="s">
        <v>1688</v>
      </c>
      <c r="C88" s="489" t="s">
        <v>1815</v>
      </c>
      <c r="D88" s="489" t="s">
        <v>141</v>
      </c>
      <c r="E88" s="619">
        <v>59</v>
      </c>
      <c r="F88" s="621">
        <f t="shared" si="6"/>
        <v>46936.322033898308</v>
      </c>
      <c r="G88" s="501">
        <f t="shared" si="7"/>
        <v>46936.322033898308</v>
      </c>
      <c r="H88" s="501">
        <f t="shared" si="7"/>
        <v>0</v>
      </c>
      <c r="I88" s="501">
        <f t="shared" si="7"/>
        <v>0</v>
      </c>
      <c r="J88" s="501">
        <f t="shared" si="7"/>
        <v>0</v>
      </c>
      <c r="K88" s="501">
        <f t="shared" si="7"/>
        <v>0</v>
      </c>
      <c r="L88" s="501">
        <f t="shared" si="7"/>
        <v>0</v>
      </c>
      <c r="M88" s="501">
        <f t="shared" si="7"/>
        <v>0</v>
      </c>
      <c r="N88" s="501">
        <f t="shared" si="7"/>
        <v>0</v>
      </c>
      <c r="O88" s="501">
        <f t="shared" si="7"/>
        <v>0</v>
      </c>
      <c r="P88" s="501">
        <f t="shared" si="7"/>
        <v>0</v>
      </c>
      <c r="Q88" s="501">
        <f t="shared" si="7"/>
        <v>0</v>
      </c>
      <c r="R88" s="501">
        <f t="shared" si="7"/>
        <v>0</v>
      </c>
      <c r="S88" s="501">
        <f t="shared" si="7"/>
        <v>0</v>
      </c>
      <c r="T88" s="501">
        <f t="shared" si="7"/>
        <v>0</v>
      </c>
      <c r="U88" s="501">
        <f t="shared" si="7"/>
        <v>0</v>
      </c>
      <c r="Y88" s="621">
        <v>46936.322033898308</v>
      </c>
      <c r="Z88" s="501">
        <v>46936.322033898308</v>
      </c>
      <c r="AA88" s="501">
        <v>0</v>
      </c>
      <c r="AB88" s="501">
        <v>0</v>
      </c>
      <c r="AC88" s="501">
        <v>0</v>
      </c>
      <c r="AD88" s="501">
        <v>0</v>
      </c>
      <c r="AE88" s="501">
        <v>0</v>
      </c>
      <c r="AF88" s="501">
        <v>0</v>
      </c>
      <c r="AG88" s="501">
        <v>0</v>
      </c>
      <c r="AH88" s="501">
        <v>0</v>
      </c>
      <c r="AI88" s="501">
        <v>0</v>
      </c>
      <c r="AJ88" s="501">
        <v>0</v>
      </c>
      <c r="AK88" s="501">
        <v>0</v>
      </c>
      <c r="AL88" s="501">
        <v>0</v>
      </c>
      <c r="AM88" s="501">
        <v>0</v>
      </c>
      <c r="AN88" s="501">
        <v>0</v>
      </c>
    </row>
    <row r="89" spans="1:40" x14ac:dyDescent="0.3">
      <c r="A89" s="489" t="s">
        <v>1414</v>
      </c>
      <c r="B89" s="489" t="s">
        <v>1689</v>
      </c>
      <c r="C89" s="489" t="s">
        <v>1816</v>
      </c>
      <c r="D89" s="489" t="s">
        <v>1929</v>
      </c>
      <c r="E89" s="619">
        <v>58</v>
      </c>
      <c r="F89" s="621">
        <f t="shared" si="6"/>
        <v>65907.896551724145</v>
      </c>
      <c r="G89" s="501">
        <f t="shared" si="7"/>
        <v>70060</v>
      </c>
      <c r="H89" s="501">
        <f t="shared" si="7"/>
        <v>70060</v>
      </c>
      <c r="I89" s="501">
        <f t="shared" si="7"/>
        <v>70060</v>
      </c>
      <c r="J89" s="501">
        <f t="shared" si="7"/>
        <v>70060</v>
      </c>
      <c r="K89" s="501">
        <f t="shared" si="7"/>
        <v>70060</v>
      </c>
      <c r="L89" s="501">
        <f t="shared" si="7"/>
        <v>70060</v>
      </c>
      <c r="M89" s="501">
        <f t="shared" si="7"/>
        <v>70060</v>
      </c>
      <c r="N89" s="501">
        <f t="shared" si="7"/>
        <v>71303</v>
      </c>
      <c r="O89" s="501">
        <f t="shared" si="7"/>
        <v>71303</v>
      </c>
      <c r="P89" s="501">
        <f t="shared" si="7"/>
        <v>63652.681818181816</v>
      </c>
      <c r="Q89" s="501">
        <f t="shared" si="7"/>
        <v>66874.769230769234</v>
      </c>
      <c r="R89" s="501">
        <f t="shared" si="7"/>
        <v>67013.05</v>
      </c>
      <c r="S89" s="501">
        <f t="shared" si="7"/>
        <v>0</v>
      </c>
      <c r="T89" s="501">
        <f t="shared" si="7"/>
        <v>0</v>
      </c>
      <c r="U89" s="501">
        <f t="shared" si="7"/>
        <v>0</v>
      </c>
      <c r="Y89" s="621">
        <v>65907.896551724145</v>
      </c>
      <c r="Z89" s="501">
        <v>0</v>
      </c>
      <c r="AA89" s="501">
        <v>0</v>
      </c>
      <c r="AB89" s="501">
        <v>0</v>
      </c>
      <c r="AC89" s="501">
        <v>0</v>
      </c>
      <c r="AD89" s="501">
        <v>0</v>
      </c>
      <c r="AE89" s="501">
        <v>0</v>
      </c>
      <c r="AF89" s="501">
        <v>70060</v>
      </c>
      <c r="AG89" s="501">
        <v>0</v>
      </c>
      <c r="AH89" s="501">
        <v>71303</v>
      </c>
      <c r="AI89" s="501">
        <v>63652.681818181816</v>
      </c>
      <c r="AJ89" s="501">
        <v>66874.769230769234</v>
      </c>
      <c r="AK89" s="501">
        <v>67013.05</v>
      </c>
      <c r="AL89" s="501">
        <v>0</v>
      </c>
      <c r="AM89" s="501">
        <v>0</v>
      </c>
      <c r="AN89" s="501">
        <v>0</v>
      </c>
    </row>
    <row r="90" spans="1:40" x14ac:dyDescent="0.3">
      <c r="A90" s="489" t="s">
        <v>1414</v>
      </c>
      <c r="B90" s="489" t="s">
        <v>1690</v>
      </c>
      <c r="C90" s="489" t="s">
        <v>1817</v>
      </c>
      <c r="D90" s="489" t="s">
        <v>46</v>
      </c>
      <c r="E90" s="619">
        <v>58</v>
      </c>
      <c r="F90" s="621">
        <f t="shared" si="6"/>
        <v>51770.185185185182</v>
      </c>
      <c r="G90" s="501">
        <f t="shared" si="7"/>
        <v>46421</v>
      </c>
      <c r="H90" s="501">
        <f t="shared" si="7"/>
        <v>47225</v>
      </c>
      <c r="I90" s="501">
        <f t="shared" si="7"/>
        <v>52547</v>
      </c>
      <c r="J90" s="501">
        <f t="shared" si="7"/>
        <v>50003</v>
      </c>
      <c r="K90" s="501">
        <f t="shared" si="7"/>
        <v>51551</v>
      </c>
      <c r="L90" s="501">
        <f t="shared" si="7"/>
        <v>51551</v>
      </c>
      <c r="M90" s="501">
        <f t="shared" si="7"/>
        <v>52304.6</v>
      </c>
      <c r="N90" s="501">
        <f t="shared" si="7"/>
        <v>55318.714285714283</v>
      </c>
      <c r="O90" s="501">
        <f t="shared" si="7"/>
        <v>51415</v>
      </c>
      <c r="P90" s="501">
        <f t="shared" si="7"/>
        <v>56464.428571428572</v>
      </c>
      <c r="Q90" s="501">
        <f t="shared" si="7"/>
        <v>54065.333333333336</v>
      </c>
      <c r="R90" s="501">
        <f t="shared" si="7"/>
        <v>50498.25</v>
      </c>
      <c r="S90" s="501">
        <f t="shared" si="7"/>
        <v>49719.333333333336</v>
      </c>
      <c r="T90" s="501">
        <f t="shared" si="7"/>
        <v>45155</v>
      </c>
      <c r="U90" s="501">
        <f t="shared" si="7"/>
        <v>45224.666666666664</v>
      </c>
      <c r="Y90" s="621">
        <v>51770.185185185182</v>
      </c>
      <c r="Z90" s="501">
        <v>46421</v>
      </c>
      <c r="AA90" s="501">
        <v>47225</v>
      </c>
      <c r="AB90" s="501">
        <v>52547</v>
      </c>
      <c r="AC90" s="501">
        <v>50003</v>
      </c>
      <c r="AD90" s="501">
        <v>0</v>
      </c>
      <c r="AE90" s="501">
        <v>51551</v>
      </c>
      <c r="AF90" s="501">
        <v>52304.6</v>
      </c>
      <c r="AG90" s="501">
        <v>55318.714285714283</v>
      </c>
      <c r="AH90" s="501">
        <v>51415</v>
      </c>
      <c r="AI90" s="501">
        <v>56464.428571428572</v>
      </c>
      <c r="AJ90" s="501">
        <v>54065.333333333336</v>
      </c>
      <c r="AK90" s="501">
        <v>50498.25</v>
      </c>
      <c r="AL90" s="501">
        <v>49719.333333333336</v>
      </c>
      <c r="AM90" s="501">
        <v>45155</v>
      </c>
      <c r="AN90" s="501">
        <v>45224.666666666664</v>
      </c>
    </row>
    <row r="91" spans="1:40" x14ac:dyDescent="0.3">
      <c r="A91" s="489" t="s">
        <v>1414</v>
      </c>
      <c r="B91" s="489" t="s">
        <v>1691</v>
      </c>
      <c r="C91" s="489" t="s">
        <v>1818</v>
      </c>
      <c r="D91" s="489" t="s">
        <v>46</v>
      </c>
      <c r="E91" s="619">
        <v>57</v>
      </c>
      <c r="F91" s="621">
        <f t="shared" si="6"/>
        <v>55775.576923076922</v>
      </c>
      <c r="G91" s="501">
        <f t="shared" si="7"/>
        <v>53488</v>
      </c>
      <c r="H91" s="501">
        <f t="shared" si="7"/>
        <v>51346</v>
      </c>
      <c r="I91" s="501">
        <f t="shared" si="7"/>
        <v>56796.666666666664</v>
      </c>
      <c r="J91" s="501">
        <f t="shared" si="7"/>
        <v>56796.666666666664</v>
      </c>
      <c r="K91" s="501">
        <f t="shared" si="7"/>
        <v>56796.666666666664</v>
      </c>
      <c r="L91" s="501">
        <f t="shared" si="7"/>
        <v>56796.666666666664</v>
      </c>
      <c r="M91" s="501">
        <f t="shared" si="7"/>
        <v>53126.75</v>
      </c>
      <c r="N91" s="501">
        <f t="shared" si="7"/>
        <v>59729</v>
      </c>
      <c r="O91" s="501">
        <f t="shared" si="7"/>
        <v>56590</v>
      </c>
      <c r="P91" s="501">
        <f t="shared" si="7"/>
        <v>56295.25</v>
      </c>
      <c r="Q91" s="501">
        <f t="shared" si="7"/>
        <v>60564</v>
      </c>
      <c r="R91" s="501">
        <f t="shared" si="7"/>
        <v>53511.833333333336</v>
      </c>
      <c r="S91" s="501">
        <f t="shared" si="7"/>
        <v>53135.5</v>
      </c>
      <c r="T91" s="501">
        <f t="shared" si="7"/>
        <v>51847.333333333336</v>
      </c>
      <c r="U91" s="501">
        <f t="shared" si="7"/>
        <v>59696</v>
      </c>
      <c r="Y91" s="621">
        <v>55775.576923076922</v>
      </c>
      <c r="Z91" s="501">
        <v>53488</v>
      </c>
      <c r="AA91" s="501">
        <v>51346</v>
      </c>
      <c r="AB91" s="501">
        <v>0</v>
      </c>
      <c r="AC91" s="501">
        <v>0</v>
      </c>
      <c r="AD91" s="501">
        <v>0</v>
      </c>
      <c r="AE91" s="501">
        <v>56796.666666666664</v>
      </c>
      <c r="AF91" s="501">
        <v>53126.75</v>
      </c>
      <c r="AG91" s="501">
        <v>59729</v>
      </c>
      <c r="AH91" s="501">
        <v>56590</v>
      </c>
      <c r="AI91" s="501">
        <v>56295.25</v>
      </c>
      <c r="AJ91" s="501">
        <v>60564</v>
      </c>
      <c r="AK91" s="501">
        <v>53511.833333333336</v>
      </c>
      <c r="AL91" s="501">
        <v>53135.5</v>
      </c>
      <c r="AM91" s="501">
        <v>51847.333333333336</v>
      </c>
      <c r="AN91" s="501">
        <v>59696</v>
      </c>
    </row>
    <row r="92" spans="1:40" x14ac:dyDescent="0.3">
      <c r="A92" s="489" t="s">
        <v>1605</v>
      </c>
      <c r="B92" s="489" t="s">
        <v>1659</v>
      </c>
      <c r="C92" s="489" t="s">
        <v>1819</v>
      </c>
      <c r="D92" s="489" t="s">
        <v>46</v>
      </c>
      <c r="E92" s="619">
        <v>56</v>
      </c>
      <c r="F92" s="621">
        <f t="shared" si="6"/>
        <v>63718.607142857145</v>
      </c>
      <c r="G92" s="501">
        <f t="shared" si="7"/>
        <v>69301</v>
      </c>
      <c r="H92" s="501">
        <f t="shared" si="7"/>
        <v>65532.571428571428</v>
      </c>
      <c r="I92" s="501">
        <f t="shared" si="7"/>
        <v>65108</v>
      </c>
      <c r="J92" s="501">
        <f t="shared" si="7"/>
        <v>63534.5</v>
      </c>
      <c r="K92" s="501">
        <f t="shared" si="7"/>
        <v>63847</v>
      </c>
      <c r="L92" s="501">
        <f t="shared" si="7"/>
        <v>63240.461538461539</v>
      </c>
      <c r="M92" s="501">
        <f t="shared" si="7"/>
        <v>64136.4</v>
      </c>
      <c r="N92" s="501">
        <f t="shared" si="7"/>
        <v>62657</v>
      </c>
      <c r="O92" s="501">
        <f t="shared" si="7"/>
        <v>0</v>
      </c>
      <c r="P92" s="501">
        <f t="shared" si="7"/>
        <v>0</v>
      </c>
      <c r="Q92" s="501">
        <f t="shared" si="7"/>
        <v>0</v>
      </c>
      <c r="R92" s="501">
        <f t="shared" si="7"/>
        <v>0</v>
      </c>
      <c r="S92" s="501">
        <f t="shared" si="7"/>
        <v>0</v>
      </c>
      <c r="T92" s="501">
        <f t="shared" si="7"/>
        <v>0</v>
      </c>
      <c r="U92" s="501">
        <f t="shared" si="7"/>
        <v>0</v>
      </c>
      <c r="Y92" s="621">
        <v>63718.607142857145</v>
      </c>
      <c r="Z92" s="501">
        <v>69301</v>
      </c>
      <c r="AA92" s="501">
        <v>65532.571428571428</v>
      </c>
      <c r="AB92" s="501">
        <v>65108</v>
      </c>
      <c r="AC92" s="501">
        <v>63534.5</v>
      </c>
      <c r="AD92" s="501">
        <v>63847</v>
      </c>
      <c r="AE92" s="501">
        <v>63240.461538461539</v>
      </c>
      <c r="AF92" s="501">
        <v>64136.4</v>
      </c>
      <c r="AG92" s="501">
        <v>62657</v>
      </c>
      <c r="AH92" s="501">
        <v>0</v>
      </c>
      <c r="AI92" s="501">
        <v>0</v>
      </c>
      <c r="AJ92" s="501">
        <v>0</v>
      </c>
      <c r="AK92" s="501">
        <v>0</v>
      </c>
      <c r="AL92" s="501">
        <v>0</v>
      </c>
      <c r="AM92" s="501">
        <v>0</v>
      </c>
      <c r="AN92" s="501">
        <v>0</v>
      </c>
    </row>
    <row r="93" spans="1:40" x14ac:dyDescent="0.3">
      <c r="A93" s="489" t="s">
        <v>1422</v>
      </c>
      <c r="B93" s="489" t="s">
        <v>1692</v>
      </c>
      <c r="C93" s="489" t="s">
        <v>1820</v>
      </c>
      <c r="D93" s="489" t="s">
        <v>46</v>
      </c>
      <c r="E93" s="619">
        <v>55</v>
      </c>
      <c r="F93" s="621">
        <f t="shared" si="6"/>
        <v>20844.905660377357</v>
      </c>
      <c r="G93" s="501">
        <f t="shared" si="7"/>
        <v>24288.5</v>
      </c>
      <c r="H93" s="501">
        <f t="shared" si="7"/>
        <v>24288.5</v>
      </c>
      <c r="I93" s="501">
        <f t="shared" si="7"/>
        <v>24288.5</v>
      </c>
      <c r="J93" s="501">
        <f t="shared" si="7"/>
        <v>24288.5</v>
      </c>
      <c r="K93" s="501">
        <f t="shared" si="7"/>
        <v>24288.5</v>
      </c>
      <c r="L93" s="501">
        <f t="shared" si="7"/>
        <v>26902</v>
      </c>
      <c r="M93" s="501">
        <f t="shared" si="7"/>
        <v>26171.5</v>
      </c>
      <c r="N93" s="501">
        <f t="shared" si="7"/>
        <v>23091.25</v>
      </c>
      <c r="O93" s="501">
        <f t="shared" si="7"/>
        <v>23988.666666666668</v>
      </c>
      <c r="P93" s="501">
        <f t="shared" si="7"/>
        <v>23489.666666666668</v>
      </c>
      <c r="Q93" s="501">
        <f t="shared" si="7"/>
        <v>19489</v>
      </c>
      <c r="R93" s="501">
        <f t="shared" si="7"/>
        <v>19531</v>
      </c>
      <c r="S93" s="501">
        <f t="shared" si="7"/>
        <v>17623.714285714286</v>
      </c>
      <c r="T93" s="501">
        <f t="shared" si="7"/>
        <v>17663.81818181818</v>
      </c>
      <c r="U93" s="501">
        <f t="shared" si="7"/>
        <v>17685.666666666668</v>
      </c>
      <c r="Y93" s="621">
        <v>20844.905660377357</v>
      </c>
      <c r="Z93" s="501">
        <v>0</v>
      </c>
      <c r="AA93" s="501">
        <v>0</v>
      </c>
      <c r="AB93" s="501">
        <v>0</v>
      </c>
      <c r="AC93" s="501">
        <v>0</v>
      </c>
      <c r="AD93" s="501">
        <v>24288.5</v>
      </c>
      <c r="AE93" s="501">
        <v>26902</v>
      </c>
      <c r="AF93" s="501">
        <v>26171.5</v>
      </c>
      <c r="AG93" s="501">
        <v>23091.25</v>
      </c>
      <c r="AH93" s="501">
        <v>23988.666666666668</v>
      </c>
      <c r="AI93" s="501">
        <v>23489.666666666668</v>
      </c>
      <c r="AJ93" s="501">
        <v>19489</v>
      </c>
      <c r="AK93" s="501">
        <v>19531</v>
      </c>
      <c r="AL93" s="501">
        <v>17623.714285714286</v>
      </c>
      <c r="AM93" s="501">
        <v>17663.81818181818</v>
      </c>
      <c r="AN93" s="501">
        <v>17685.666666666668</v>
      </c>
    </row>
    <row r="94" spans="1:40" x14ac:dyDescent="0.3">
      <c r="A94" s="489" t="s">
        <v>1451</v>
      </c>
      <c r="B94" s="489" t="s">
        <v>1693</v>
      </c>
      <c r="C94" s="489" t="s">
        <v>1821</v>
      </c>
      <c r="D94" s="489" t="s">
        <v>141</v>
      </c>
      <c r="E94" s="619">
        <v>54</v>
      </c>
      <c r="F94" s="621">
        <f t="shared" si="6"/>
        <v>42759.555555555555</v>
      </c>
      <c r="G94" s="501">
        <f t="shared" si="7"/>
        <v>33904.23529411765</v>
      </c>
      <c r="H94" s="501">
        <f t="shared" si="7"/>
        <v>33904.23529411765</v>
      </c>
      <c r="I94" s="501">
        <f t="shared" si="7"/>
        <v>33904.23529411765</v>
      </c>
      <c r="J94" s="501">
        <f t="shared" si="7"/>
        <v>33904.23529411765</v>
      </c>
      <c r="K94" s="501">
        <f t="shared" si="7"/>
        <v>33904.23529411765</v>
      </c>
      <c r="L94" s="501">
        <f t="shared" si="7"/>
        <v>46548.25</v>
      </c>
      <c r="M94" s="501">
        <f t="shared" si="7"/>
        <v>46951.59375</v>
      </c>
      <c r="N94" s="501">
        <f t="shared" si="7"/>
        <v>44000</v>
      </c>
      <c r="O94" s="501">
        <f t="shared" si="7"/>
        <v>0</v>
      </c>
      <c r="P94" s="501">
        <f t="shared" si="7"/>
        <v>0</v>
      </c>
      <c r="Q94" s="501">
        <f t="shared" si="7"/>
        <v>0</v>
      </c>
      <c r="R94" s="501">
        <f t="shared" si="7"/>
        <v>0</v>
      </c>
      <c r="S94" s="501">
        <f t="shared" si="7"/>
        <v>0</v>
      </c>
      <c r="T94" s="501">
        <f t="shared" si="7"/>
        <v>0</v>
      </c>
      <c r="U94" s="501">
        <f t="shared" si="7"/>
        <v>0</v>
      </c>
      <c r="Y94" s="621">
        <v>42759.555555555555</v>
      </c>
      <c r="Z94" s="501">
        <v>0</v>
      </c>
      <c r="AA94" s="501">
        <v>0</v>
      </c>
      <c r="AB94" s="501">
        <v>0</v>
      </c>
      <c r="AC94" s="501">
        <v>0</v>
      </c>
      <c r="AD94" s="501">
        <v>33904.23529411765</v>
      </c>
      <c r="AE94" s="501">
        <v>46548.25</v>
      </c>
      <c r="AF94" s="501">
        <v>46951.59375</v>
      </c>
      <c r="AG94" s="501">
        <v>44000</v>
      </c>
      <c r="AH94" s="501">
        <v>0</v>
      </c>
      <c r="AI94" s="501">
        <v>0</v>
      </c>
      <c r="AJ94" s="501">
        <v>0</v>
      </c>
      <c r="AK94" s="501">
        <v>0</v>
      </c>
      <c r="AL94" s="501">
        <v>0</v>
      </c>
      <c r="AM94" s="501">
        <v>0</v>
      </c>
      <c r="AN94" s="501">
        <v>0</v>
      </c>
    </row>
    <row r="95" spans="1:40" x14ac:dyDescent="0.3">
      <c r="A95" s="489" t="s">
        <v>1694</v>
      </c>
      <c r="B95" s="489" t="s">
        <v>1695</v>
      </c>
      <c r="C95" s="489" t="s">
        <v>1822</v>
      </c>
      <c r="D95" s="489" t="s">
        <v>46</v>
      </c>
      <c r="E95" s="619">
        <v>51</v>
      </c>
      <c r="F95" s="621">
        <f t="shared" si="6"/>
        <v>60211.647058823532</v>
      </c>
      <c r="G95" s="501">
        <f t="shared" si="7"/>
        <v>61133.285714285717</v>
      </c>
      <c r="H95" s="501">
        <f t="shared" si="7"/>
        <v>67611.25</v>
      </c>
      <c r="I95" s="501">
        <f t="shared" si="7"/>
        <v>67194.399999999994</v>
      </c>
      <c r="J95" s="501">
        <f t="shared" si="7"/>
        <v>57330</v>
      </c>
      <c r="K95" s="501">
        <f t="shared" si="7"/>
        <v>65992</v>
      </c>
      <c r="L95" s="501">
        <f t="shared" si="7"/>
        <v>65992</v>
      </c>
      <c r="M95" s="501">
        <f t="shared" si="7"/>
        <v>53104.9</v>
      </c>
      <c r="N95" s="501">
        <f t="shared" si="7"/>
        <v>58102.75</v>
      </c>
      <c r="O95" s="501">
        <f t="shared" si="7"/>
        <v>55464</v>
      </c>
      <c r="P95" s="501">
        <f t="shared" si="7"/>
        <v>55313</v>
      </c>
      <c r="Q95" s="501">
        <f t="shared" si="7"/>
        <v>0</v>
      </c>
      <c r="R95" s="501">
        <f t="shared" si="7"/>
        <v>0</v>
      </c>
      <c r="S95" s="501">
        <f t="shared" si="7"/>
        <v>0</v>
      </c>
      <c r="T95" s="501">
        <f t="shared" si="7"/>
        <v>0</v>
      </c>
      <c r="U95" s="501">
        <f t="shared" si="7"/>
        <v>0</v>
      </c>
      <c r="Y95" s="621">
        <v>60211.647058823532</v>
      </c>
      <c r="Z95" s="501">
        <v>61133.285714285717</v>
      </c>
      <c r="AA95" s="501">
        <v>67611.25</v>
      </c>
      <c r="AB95" s="501">
        <v>67194.399999999994</v>
      </c>
      <c r="AC95" s="501">
        <v>57330</v>
      </c>
      <c r="AD95" s="501">
        <v>0</v>
      </c>
      <c r="AE95" s="501">
        <v>65992</v>
      </c>
      <c r="AF95" s="501">
        <v>53104.9</v>
      </c>
      <c r="AG95" s="501">
        <v>58102.75</v>
      </c>
      <c r="AH95" s="501">
        <v>55464</v>
      </c>
      <c r="AI95" s="501">
        <v>55313</v>
      </c>
      <c r="AJ95" s="501">
        <v>0</v>
      </c>
      <c r="AK95" s="501">
        <v>0</v>
      </c>
      <c r="AL95" s="501">
        <v>0</v>
      </c>
      <c r="AM95" s="501">
        <v>0</v>
      </c>
      <c r="AN95" s="501">
        <v>0</v>
      </c>
    </row>
    <row r="96" spans="1:40" x14ac:dyDescent="0.3">
      <c r="A96" s="489" t="s">
        <v>1544</v>
      </c>
      <c r="B96" s="489" t="s">
        <v>1696</v>
      </c>
      <c r="C96" s="489" t="s">
        <v>1823</v>
      </c>
      <c r="D96" s="489" t="s">
        <v>46</v>
      </c>
      <c r="E96" s="619">
        <v>50</v>
      </c>
      <c r="F96" s="621">
        <f t="shared" si="6"/>
        <v>45784.675675675673</v>
      </c>
      <c r="G96" s="501">
        <f t="shared" si="7"/>
        <v>49118</v>
      </c>
      <c r="H96" s="501">
        <f t="shared" si="7"/>
        <v>49118</v>
      </c>
      <c r="I96" s="501">
        <f t="shared" si="7"/>
        <v>49118</v>
      </c>
      <c r="J96" s="501">
        <f t="shared" si="7"/>
        <v>49118</v>
      </c>
      <c r="K96" s="501">
        <f t="shared" si="7"/>
        <v>49118</v>
      </c>
      <c r="L96" s="501">
        <f t="shared" si="7"/>
        <v>49118</v>
      </c>
      <c r="M96" s="501">
        <f t="shared" si="7"/>
        <v>49868.333333333336</v>
      </c>
      <c r="N96" s="501">
        <f t="shared" si="7"/>
        <v>49868.333333333336</v>
      </c>
      <c r="O96" s="501">
        <f t="shared" si="7"/>
        <v>49868.333333333336</v>
      </c>
      <c r="P96" s="501">
        <f t="shared" si="7"/>
        <v>49868.333333333336</v>
      </c>
      <c r="Q96" s="501">
        <f t="shared" si="7"/>
        <v>49868.333333333336</v>
      </c>
      <c r="R96" s="501">
        <f t="shared" si="7"/>
        <v>49868.333333333336</v>
      </c>
      <c r="S96" s="501">
        <f t="shared" si="7"/>
        <v>49868.333333333336</v>
      </c>
      <c r="T96" s="501">
        <f t="shared" si="7"/>
        <v>48665.066666666666</v>
      </c>
      <c r="U96" s="501">
        <f t="shared" si="7"/>
        <v>42613.307692307695</v>
      </c>
      <c r="Y96" s="621">
        <v>45784.675675675673</v>
      </c>
      <c r="Z96" s="501">
        <v>0</v>
      </c>
      <c r="AA96" s="501">
        <v>0</v>
      </c>
      <c r="AB96" s="501">
        <v>0</v>
      </c>
      <c r="AC96" s="501">
        <v>0</v>
      </c>
      <c r="AD96" s="501">
        <v>0</v>
      </c>
      <c r="AE96" s="501">
        <v>49118</v>
      </c>
      <c r="AF96" s="501">
        <v>0</v>
      </c>
      <c r="AG96" s="501">
        <v>0</v>
      </c>
      <c r="AH96" s="501">
        <v>0</v>
      </c>
      <c r="AI96" s="501">
        <v>0</v>
      </c>
      <c r="AJ96" s="501">
        <v>0</v>
      </c>
      <c r="AK96" s="501">
        <v>0</v>
      </c>
      <c r="AL96" s="501">
        <v>49868.333333333336</v>
      </c>
      <c r="AM96" s="501">
        <v>48665.066666666666</v>
      </c>
      <c r="AN96" s="501">
        <v>42613.307692307695</v>
      </c>
    </row>
    <row r="97" spans="1:40" x14ac:dyDescent="0.3">
      <c r="A97" s="489" t="s">
        <v>1544</v>
      </c>
      <c r="B97" s="489" t="s">
        <v>1697</v>
      </c>
      <c r="C97" s="489" t="s">
        <v>1824</v>
      </c>
      <c r="D97" s="489" t="s">
        <v>46</v>
      </c>
      <c r="E97" s="619">
        <v>50</v>
      </c>
      <c r="F97" s="621">
        <f t="shared" si="6"/>
        <v>68201.020408163269</v>
      </c>
      <c r="G97" s="501">
        <f t="shared" si="7"/>
        <v>91665.5</v>
      </c>
      <c r="H97" s="501">
        <f t="shared" si="7"/>
        <v>91665.5</v>
      </c>
      <c r="I97" s="501">
        <f t="shared" si="7"/>
        <v>83786.5</v>
      </c>
      <c r="J97" s="501">
        <f t="shared" si="7"/>
        <v>62136.5</v>
      </c>
      <c r="K97" s="501">
        <f t="shared" si="7"/>
        <v>62136.5</v>
      </c>
      <c r="L97" s="501">
        <f t="shared" si="7"/>
        <v>75774.769230769234</v>
      </c>
      <c r="M97" s="501">
        <f t="shared" si="7"/>
        <v>76196.625</v>
      </c>
      <c r="N97" s="501">
        <f t="shared" si="7"/>
        <v>57611.333333333336</v>
      </c>
      <c r="O97" s="501">
        <f t="shared" si="7"/>
        <v>48820.3</v>
      </c>
      <c r="P97" s="501">
        <f t="shared" si="7"/>
        <v>48820.3</v>
      </c>
      <c r="Q97" s="501">
        <f t="shared" si="7"/>
        <v>53280.5</v>
      </c>
      <c r="R97" s="501">
        <f t="shared" si="7"/>
        <v>46965</v>
      </c>
      <c r="S97" s="501">
        <f t="shared" si="7"/>
        <v>0</v>
      </c>
      <c r="T97" s="501">
        <f t="shared" si="7"/>
        <v>0</v>
      </c>
      <c r="U97" s="501">
        <f t="shared" si="7"/>
        <v>0</v>
      </c>
      <c r="Y97" s="621">
        <v>68201.020408163269</v>
      </c>
      <c r="Z97" s="501">
        <v>0</v>
      </c>
      <c r="AA97" s="501">
        <v>91665.5</v>
      </c>
      <c r="AB97" s="501">
        <v>83786.5</v>
      </c>
      <c r="AC97" s="501">
        <v>0</v>
      </c>
      <c r="AD97" s="501">
        <v>62136.5</v>
      </c>
      <c r="AE97" s="501">
        <v>75774.769230769234</v>
      </c>
      <c r="AF97" s="501">
        <v>76196.625</v>
      </c>
      <c r="AG97" s="501">
        <v>57611.333333333336</v>
      </c>
      <c r="AH97" s="501">
        <v>0</v>
      </c>
      <c r="AI97" s="501">
        <v>48820.3</v>
      </c>
      <c r="AJ97" s="501">
        <v>53280.5</v>
      </c>
      <c r="AK97" s="501">
        <v>46965</v>
      </c>
      <c r="AL97" s="501">
        <v>0</v>
      </c>
      <c r="AM97" s="501">
        <v>0</v>
      </c>
      <c r="AN97" s="501">
        <v>0</v>
      </c>
    </row>
    <row r="98" spans="1:40" x14ac:dyDescent="0.3">
      <c r="A98" s="489" t="s">
        <v>1417</v>
      </c>
      <c r="B98" s="489" t="s">
        <v>1698</v>
      </c>
      <c r="C98" s="489" t="s">
        <v>1825</v>
      </c>
      <c r="D98" s="489" t="s">
        <v>46</v>
      </c>
      <c r="E98" s="619">
        <v>49</v>
      </c>
      <c r="F98" s="621">
        <f t="shared" si="6"/>
        <v>40983.061224489793</v>
      </c>
      <c r="G98" s="501">
        <f t="shared" ref="G98:U113" si="8">IF(Z98&gt;0,Z98,IF(H98&gt;0,H98,0))</f>
        <v>43331.333333333336</v>
      </c>
      <c r="H98" s="501">
        <f t="shared" si="8"/>
        <v>43331.333333333336</v>
      </c>
      <c r="I98" s="501">
        <f t="shared" si="8"/>
        <v>43331.333333333336</v>
      </c>
      <c r="J98" s="501">
        <f t="shared" si="8"/>
        <v>43331.333333333336</v>
      </c>
      <c r="K98" s="501">
        <f t="shared" si="8"/>
        <v>43331.333333333336</v>
      </c>
      <c r="L98" s="501">
        <f t="shared" si="8"/>
        <v>43331.333333333336</v>
      </c>
      <c r="M98" s="501">
        <f t="shared" si="8"/>
        <v>40460</v>
      </c>
      <c r="N98" s="501">
        <f t="shared" si="8"/>
        <v>41610.642857142855</v>
      </c>
      <c r="O98" s="501">
        <f t="shared" si="8"/>
        <v>37441.800000000003</v>
      </c>
      <c r="P98" s="501">
        <f t="shared" si="8"/>
        <v>41200.800000000003</v>
      </c>
      <c r="Q98" s="501">
        <f t="shared" si="8"/>
        <v>42237.5</v>
      </c>
      <c r="R98" s="501">
        <f t="shared" si="8"/>
        <v>42237.5</v>
      </c>
      <c r="S98" s="501">
        <f t="shared" si="8"/>
        <v>40585</v>
      </c>
      <c r="T98" s="501">
        <f t="shared" si="8"/>
        <v>0</v>
      </c>
      <c r="U98" s="501">
        <f t="shared" si="8"/>
        <v>0</v>
      </c>
      <c r="Y98" s="621">
        <v>40983.061224489793</v>
      </c>
      <c r="Z98" s="501">
        <v>0</v>
      </c>
      <c r="AA98" s="501">
        <v>0</v>
      </c>
      <c r="AB98" s="501">
        <v>0</v>
      </c>
      <c r="AC98" s="501">
        <v>0</v>
      </c>
      <c r="AD98" s="501">
        <v>0</v>
      </c>
      <c r="AE98" s="501">
        <v>43331.333333333336</v>
      </c>
      <c r="AF98" s="501">
        <v>40460</v>
      </c>
      <c r="AG98" s="501">
        <v>41610.642857142855</v>
      </c>
      <c r="AH98" s="501">
        <v>37441.800000000003</v>
      </c>
      <c r="AI98" s="501">
        <v>41200.800000000003</v>
      </c>
      <c r="AJ98" s="501">
        <v>0</v>
      </c>
      <c r="AK98" s="501">
        <v>42237.5</v>
      </c>
      <c r="AL98" s="501">
        <v>40585</v>
      </c>
      <c r="AM98" s="501">
        <v>0</v>
      </c>
      <c r="AN98" s="501">
        <v>0</v>
      </c>
    </row>
    <row r="99" spans="1:40" x14ac:dyDescent="0.3">
      <c r="A99" s="489" t="s">
        <v>1544</v>
      </c>
      <c r="B99" s="489" t="s">
        <v>1699</v>
      </c>
      <c r="C99" s="489" t="s">
        <v>1826</v>
      </c>
      <c r="D99" s="489" t="s">
        <v>46</v>
      </c>
      <c r="E99" s="619">
        <v>48</v>
      </c>
      <c r="F99" s="621">
        <f t="shared" si="6"/>
        <v>43661.791666666664</v>
      </c>
      <c r="G99" s="501">
        <f t="shared" si="8"/>
        <v>27700</v>
      </c>
      <c r="H99" s="501">
        <f t="shared" si="8"/>
        <v>27700</v>
      </c>
      <c r="I99" s="501">
        <f t="shared" si="8"/>
        <v>27700</v>
      </c>
      <c r="J99" s="501">
        <f t="shared" si="8"/>
        <v>27700</v>
      </c>
      <c r="K99" s="501">
        <f t="shared" si="8"/>
        <v>27700</v>
      </c>
      <c r="L99" s="501">
        <f t="shared" si="8"/>
        <v>27700</v>
      </c>
      <c r="M99" s="501">
        <f t="shared" si="8"/>
        <v>27700</v>
      </c>
      <c r="N99" s="501">
        <f t="shared" si="8"/>
        <v>27700</v>
      </c>
      <c r="O99" s="501">
        <f t="shared" si="8"/>
        <v>27700</v>
      </c>
      <c r="P99" s="501">
        <f t="shared" si="8"/>
        <v>27700</v>
      </c>
      <c r="Q99" s="501">
        <f t="shared" si="8"/>
        <v>27700</v>
      </c>
      <c r="R99" s="501">
        <f t="shared" si="8"/>
        <v>41407.111111111109</v>
      </c>
      <c r="S99" s="501">
        <f t="shared" si="8"/>
        <v>47418.375</v>
      </c>
      <c r="T99" s="501">
        <f t="shared" si="8"/>
        <v>43099</v>
      </c>
      <c r="U99" s="501">
        <f t="shared" si="8"/>
        <v>0</v>
      </c>
      <c r="Y99" s="621">
        <v>43661.791666666664</v>
      </c>
      <c r="Z99" s="501">
        <v>0</v>
      </c>
      <c r="AA99" s="501">
        <v>0</v>
      </c>
      <c r="AB99" s="501">
        <v>0</v>
      </c>
      <c r="AC99" s="501">
        <v>0</v>
      </c>
      <c r="AD99" s="501">
        <v>0</v>
      </c>
      <c r="AE99" s="501">
        <v>0</v>
      </c>
      <c r="AF99" s="501">
        <v>0</v>
      </c>
      <c r="AG99" s="501">
        <v>0</v>
      </c>
      <c r="AH99" s="501">
        <v>0</v>
      </c>
      <c r="AI99" s="501">
        <v>0</v>
      </c>
      <c r="AJ99" s="501">
        <v>27700</v>
      </c>
      <c r="AK99" s="501">
        <v>41407.111111111109</v>
      </c>
      <c r="AL99" s="501">
        <v>47418.375</v>
      </c>
      <c r="AM99" s="501">
        <v>43099</v>
      </c>
      <c r="AN99" s="501">
        <v>0</v>
      </c>
    </row>
    <row r="100" spans="1:40" x14ac:dyDescent="0.3">
      <c r="A100" s="489" t="s">
        <v>1451</v>
      </c>
      <c r="B100" s="489" t="s">
        <v>1452</v>
      </c>
      <c r="C100" s="489" t="s">
        <v>1453</v>
      </c>
      <c r="D100" s="489" t="s">
        <v>46</v>
      </c>
      <c r="E100" s="619">
        <v>48</v>
      </c>
      <c r="F100" s="621">
        <f t="shared" si="6"/>
        <v>47309.604166666664</v>
      </c>
      <c r="G100" s="501">
        <f t="shared" si="8"/>
        <v>45791</v>
      </c>
      <c r="H100" s="501">
        <f t="shared" si="8"/>
        <v>51710.4375</v>
      </c>
      <c r="I100" s="501">
        <f t="shared" si="8"/>
        <v>51710.4375</v>
      </c>
      <c r="J100" s="501">
        <f t="shared" si="8"/>
        <v>43186</v>
      </c>
      <c r="K100" s="501">
        <f t="shared" si="8"/>
        <v>43186</v>
      </c>
      <c r="L100" s="501">
        <f t="shared" si="8"/>
        <v>43186</v>
      </c>
      <c r="M100" s="501">
        <f t="shared" si="8"/>
        <v>43186</v>
      </c>
      <c r="N100" s="501">
        <f t="shared" si="8"/>
        <v>43186</v>
      </c>
      <c r="O100" s="501">
        <f t="shared" si="8"/>
        <v>46080.26666666667</v>
      </c>
      <c r="P100" s="501">
        <f t="shared" si="8"/>
        <v>46080.26666666667</v>
      </c>
      <c r="Q100" s="501">
        <f t="shared" si="8"/>
        <v>46080.26666666667</v>
      </c>
      <c r="R100" s="501">
        <f t="shared" si="8"/>
        <v>47666.666666666664</v>
      </c>
      <c r="S100" s="501">
        <f t="shared" si="8"/>
        <v>45749.666666666664</v>
      </c>
      <c r="T100" s="501">
        <f t="shared" si="8"/>
        <v>44596</v>
      </c>
      <c r="U100" s="501">
        <f t="shared" si="8"/>
        <v>38602</v>
      </c>
      <c r="Y100" s="621">
        <v>47309.604166666664</v>
      </c>
      <c r="Z100" s="501">
        <v>45791</v>
      </c>
      <c r="AA100" s="501">
        <v>0</v>
      </c>
      <c r="AB100" s="501">
        <v>51710.4375</v>
      </c>
      <c r="AC100" s="501">
        <v>0</v>
      </c>
      <c r="AD100" s="501">
        <v>0</v>
      </c>
      <c r="AE100" s="501">
        <v>0</v>
      </c>
      <c r="AF100" s="501">
        <v>0</v>
      </c>
      <c r="AG100" s="501">
        <v>43186</v>
      </c>
      <c r="AH100" s="501">
        <v>0</v>
      </c>
      <c r="AI100" s="501">
        <v>0</v>
      </c>
      <c r="AJ100" s="501">
        <v>46080.26666666667</v>
      </c>
      <c r="AK100" s="501">
        <v>47666.666666666664</v>
      </c>
      <c r="AL100" s="501">
        <v>45749.666666666664</v>
      </c>
      <c r="AM100" s="501">
        <v>44596</v>
      </c>
      <c r="AN100" s="501">
        <v>38602</v>
      </c>
    </row>
    <row r="101" spans="1:40" x14ac:dyDescent="0.3">
      <c r="A101" s="489" t="s">
        <v>1605</v>
      </c>
      <c r="B101" s="489" t="s">
        <v>1660</v>
      </c>
      <c r="C101" s="489" t="s">
        <v>435</v>
      </c>
      <c r="D101" s="489" t="s">
        <v>46</v>
      </c>
      <c r="E101" s="619">
        <v>47</v>
      </c>
      <c r="F101" s="621">
        <f t="shared" si="6"/>
        <v>52645.739130434784</v>
      </c>
      <c r="G101" s="501">
        <f t="shared" si="8"/>
        <v>53667</v>
      </c>
      <c r="H101" s="501">
        <f t="shared" si="8"/>
        <v>53667</v>
      </c>
      <c r="I101" s="501">
        <f t="shared" si="8"/>
        <v>53667</v>
      </c>
      <c r="J101" s="501">
        <f t="shared" si="8"/>
        <v>54670.5</v>
      </c>
      <c r="K101" s="501">
        <f t="shared" si="8"/>
        <v>54670.5</v>
      </c>
      <c r="L101" s="501">
        <f t="shared" si="8"/>
        <v>54670.5</v>
      </c>
      <c r="M101" s="501">
        <f t="shared" si="8"/>
        <v>57820</v>
      </c>
      <c r="N101" s="501">
        <f t="shared" si="8"/>
        <v>55930.25</v>
      </c>
      <c r="O101" s="501">
        <f t="shared" si="8"/>
        <v>58074.5</v>
      </c>
      <c r="P101" s="501">
        <f t="shared" si="8"/>
        <v>58074.5</v>
      </c>
      <c r="Q101" s="501">
        <f t="shared" si="8"/>
        <v>46247.833333333336</v>
      </c>
      <c r="R101" s="501">
        <f t="shared" si="8"/>
        <v>51752</v>
      </c>
      <c r="S101" s="501">
        <f t="shared" si="8"/>
        <v>50070</v>
      </c>
      <c r="T101" s="501">
        <f t="shared" si="8"/>
        <v>51872.5</v>
      </c>
      <c r="U101" s="501">
        <f t="shared" si="8"/>
        <v>59099</v>
      </c>
      <c r="Y101" s="621">
        <v>52645.739130434784</v>
      </c>
      <c r="Z101" s="501">
        <v>0</v>
      </c>
      <c r="AA101" s="501">
        <v>0</v>
      </c>
      <c r="AB101" s="501">
        <v>53667</v>
      </c>
      <c r="AC101" s="501">
        <v>0</v>
      </c>
      <c r="AD101" s="501">
        <v>0</v>
      </c>
      <c r="AE101" s="501">
        <v>54670.5</v>
      </c>
      <c r="AF101" s="501">
        <v>57820</v>
      </c>
      <c r="AG101" s="501">
        <v>55930.25</v>
      </c>
      <c r="AH101" s="501">
        <v>0</v>
      </c>
      <c r="AI101" s="501">
        <v>58074.5</v>
      </c>
      <c r="AJ101" s="501">
        <v>46247.833333333336</v>
      </c>
      <c r="AK101" s="501">
        <v>51752</v>
      </c>
      <c r="AL101" s="501">
        <v>50070</v>
      </c>
      <c r="AM101" s="501">
        <v>51872.5</v>
      </c>
      <c r="AN101" s="501">
        <v>59099</v>
      </c>
    </row>
    <row r="102" spans="1:40" x14ac:dyDescent="0.3">
      <c r="A102" s="489" t="s">
        <v>1422</v>
      </c>
      <c r="B102" s="489" t="s">
        <v>1700</v>
      </c>
      <c r="C102" s="489" t="s">
        <v>1827</v>
      </c>
      <c r="D102" s="489" t="s">
        <v>141</v>
      </c>
      <c r="E102" s="619">
        <v>47</v>
      </c>
      <c r="F102" s="621">
        <f t="shared" si="6"/>
        <v>46190.127659574471</v>
      </c>
      <c r="G102" s="501">
        <f t="shared" si="8"/>
        <v>54650</v>
      </c>
      <c r="H102" s="501">
        <f t="shared" si="8"/>
        <v>51804.333333333336</v>
      </c>
      <c r="I102" s="501">
        <f t="shared" si="8"/>
        <v>47566.538461538461</v>
      </c>
      <c r="J102" s="501">
        <f t="shared" si="8"/>
        <v>43966.481481481482</v>
      </c>
      <c r="K102" s="501">
        <f t="shared" si="8"/>
        <v>0</v>
      </c>
      <c r="L102" s="501">
        <f t="shared" si="8"/>
        <v>0</v>
      </c>
      <c r="M102" s="501">
        <f t="shared" si="8"/>
        <v>0</v>
      </c>
      <c r="N102" s="501">
        <f t="shared" si="8"/>
        <v>0</v>
      </c>
      <c r="O102" s="501">
        <f t="shared" si="8"/>
        <v>0</v>
      </c>
      <c r="P102" s="501">
        <f t="shared" si="8"/>
        <v>0</v>
      </c>
      <c r="Q102" s="501">
        <f t="shared" si="8"/>
        <v>0</v>
      </c>
      <c r="R102" s="501">
        <f t="shared" si="8"/>
        <v>0</v>
      </c>
      <c r="S102" s="501">
        <f t="shared" si="8"/>
        <v>0</v>
      </c>
      <c r="T102" s="501">
        <f t="shared" si="8"/>
        <v>0</v>
      </c>
      <c r="U102" s="501">
        <f t="shared" si="8"/>
        <v>0</v>
      </c>
      <c r="Y102" s="621">
        <v>46190.127659574471</v>
      </c>
      <c r="Z102" s="501">
        <v>54650</v>
      </c>
      <c r="AA102" s="501">
        <v>51804.333333333336</v>
      </c>
      <c r="AB102" s="501">
        <v>47566.538461538461</v>
      </c>
      <c r="AC102" s="501">
        <v>43966.481481481482</v>
      </c>
      <c r="AD102" s="501">
        <v>0</v>
      </c>
      <c r="AE102" s="501">
        <v>0</v>
      </c>
      <c r="AF102" s="501">
        <v>0</v>
      </c>
      <c r="AG102" s="501">
        <v>0</v>
      </c>
      <c r="AH102" s="501">
        <v>0</v>
      </c>
      <c r="AI102" s="501">
        <v>0</v>
      </c>
      <c r="AJ102" s="501">
        <v>0</v>
      </c>
      <c r="AK102" s="501">
        <v>0</v>
      </c>
      <c r="AL102" s="501">
        <v>0</v>
      </c>
      <c r="AM102" s="501">
        <v>0</v>
      </c>
      <c r="AN102" s="501">
        <v>0</v>
      </c>
    </row>
    <row r="103" spans="1:40" x14ac:dyDescent="0.3">
      <c r="A103" s="489" t="s">
        <v>1605</v>
      </c>
      <c r="B103" s="489" t="s">
        <v>1661</v>
      </c>
      <c r="C103" s="489" t="s">
        <v>1828</v>
      </c>
      <c r="D103" s="489" t="s">
        <v>46</v>
      </c>
      <c r="E103" s="619">
        <v>46</v>
      </c>
      <c r="F103" s="621">
        <f t="shared" si="6"/>
        <v>62818.934782608696</v>
      </c>
      <c r="G103" s="501">
        <f t="shared" si="8"/>
        <v>90243</v>
      </c>
      <c r="H103" s="501">
        <f t="shared" si="8"/>
        <v>90243</v>
      </c>
      <c r="I103" s="501">
        <f t="shared" si="8"/>
        <v>90243</v>
      </c>
      <c r="J103" s="501">
        <f t="shared" si="8"/>
        <v>64423.5</v>
      </c>
      <c r="K103" s="501">
        <f t="shared" si="8"/>
        <v>70960</v>
      </c>
      <c r="L103" s="501">
        <f t="shared" si="8"/>
        <v>62335.928571428572</v>
      </c>
      <c r="M103" s="501">
        <f t="shared" si="8"/>
        <v>60670.684210526313</v>
      </c>
      <c r="N103" s="501">
        <f t="shared" si="8"/>
        <v>63618.285714285717</v>
      </c>
      <c r="O103" s="501">
        <f t="shared" si="8"/>
        <v>0</v>
      </c>
      <c r="P103" s="501">
        <f t="shared" si="8"/>
        <v>0</v>
      </c>
      <c r="Q103" s="501">
        <f t="shared" si="8"/>
        <v>0</v>
      </c>
      <c r="R103" s="501">
        <f t="shared" si="8"/>
        <v>0</v>
      </c>
      <c r="S103" s="501">
        <f t="shared" si="8"/>
        <v>0</v>
      </c>
      <c r="T103" s="501">
        <f t="shared" si="8"/>
        <v>0</v>
      </c>
      <c r="U103" s="501">
        <f t="shared" si="8"/>
        <v>0</v>
      </c>
      <c r="Y103" s="621">
        <v>62818.934782608696</v>
      </c>
      <c r="Z103" s="501">
        <v>0</v>
      </c>
      <c r="AA103" s="501">
        <v>0</v>
      </c>
      <c r="AB103" s="501">
        <v>90243</v>
      </c>
      <c r="AC103" s="501">
        <v>64423.5</v>
      </c>
      <c r="AD103" s="501">
        <v>70960</v>
      </c>
      <c r="AE103" s="501">
        <v>62335.928571428572</v>
      </c>
      <c r="AF103" s="501">
        <v>60670.684210526313</v>
      </c>
      <c r="AG103" s="501">
        <v>63618.285714285717</v>
      </c>
      <c r="AH103" s="501">
        <v>0</v>
      </c>
      <c r="AI103" s="501">
        <v>0</v>
      </c>
      <c r="AJ103" s="501">
        <v>0</v>
      </c>
      <c r="AK103" s="501">
        <v>0</v>
      </c>
      <c r="AL103" s="501">
        <v>0</v>
      </c>
      <c r="AM103" s="501">
        <v>0</v>
      </c>
      <c r="AN103" s="501">
        <v>0</v>
      </c>
    </row>
    <row r="104" spans="1:40" x14ac:dyDescent="0.3">
      <c r="A104" s="489" t="s">
        <v>1544</v>
      </c>
      <c r="B104" s="489" t="s">
        <v>1701</v>
      </c>
      <c r="C104" s="489" t="s">
        <v>1829</v>
      </c>
      <c r="D104" s="489" t="s">
        <v>46</v>
      </c>
      <c r="E104" s="619">
        <v>45</v>
      </c>
      <c r="F104" s="621">
        <f t="shared" si="6"/>
        <v>56489.948717948719</v>
      </c>
      <c r="G104" s="501">
        <f t="shared" si="8"/>
        <v>45747</v>
      </c>
      <c r="H104" s="501">
        <f t="shared" si="8"/>
        <v>60949.4</v>
      </c>
      <c r="I104" s="501">
        <f t="shared" si="8"/>
        <v>56012</v>
      </c>
      <c r="J104" s="501">
        <f t="shared" si="8"/>
        <v>61065.777777777781</v>
      </c>
      <c r="K104" s="501">
        <f t="shared" si="8"/>
        <v>61065.777777777781</v>
      </c>
      <c r="L104" s="501">
        <f t="shared" si="8"/>
        <v>61065.777777777781</v>
      </c>
      <c r="M104" s="501">
        <f t="shared" si="8"/>
        <v>55195.25</v>
      </c>
      <c r="N104" s="501">
        <f t="shared" si="8"/>
        <v>54355.4</v>
      </c>
      <c r="O104" s="501">
        <f t="shared" si="8"/>
        <v>57219.333333333336</v>
      </c>
      <c r="P104" s="501">
        <f t="shared" si="8"/>
        <v>53305.666666666664</v>
      </c>
      <c r="Q104" s="501">
        <f t="shared" si="8"/>
        <v>53475</v>
      </c>
      <c r="R104" s="501">
        <f t="shared" si="8"/>
        <v>51753.333333333336</v>
      </c>
      <c r="S104" s="501">
        <f t="shared" si="8"/>
        <v>52368</v>
      </c>
      <c r="T104" s="501">
        <f t="shared" si="8"/>
        <v>52368</v>
      </c>
      <c r="U104" s="501">
        <f t="shared" si="8"/>
        <v>0</v>
      </c>
      <c r="Y104" s="621">
        <v>56489.948717948719</v>
      </c>
      <c r="Z104" s="501">
        <v>45747</v>
      </c>
      <c r="AA104" s="501">
        <v>60949.4</v>
      </c>
      <c r="AB104" s="501">
        <v>56012</v>
      </c>
      <c r="AC104" s="501">
        <v>0</v>
      </c>
      <c r="AD104" s="501">
        <v>0</v>
      </c>
      <c r="AE104" s="501">
        <v>61065.777777777781</v>
      </c>
      <c r="AF104" s="501">
        <v>55195.25</v>
      </c>
      <c r="AG104" s="501">
        <v>54355.4</v>
      </c>
      <c r="AH104" s="501">
        <v>57219.333333333336</v>
      </c>
      <c r="AI104" s="501">
        <v>53305.666666666664</v>
      </c>
      <c r="AJ104" s="501">
        <v>53475</v>
      </c>
      <c r="AK104" s="501">
        <v>51753.333333333336</v>
      </c>
      <c r="AL104" s="501">
        <v>0</v>
      </c>
      <c r="AM104" s="501">
        <v>52368</v>
      </c>
      <c r="AN104" s="501">
        <v>0</v>
      </c>
    </row>
    <row r="105" spans="1:40" x14ac:dyDescent="0.3">
      <c r="A105" s="489" t="s">
        <v>1414</v>
      </c>
      <c r="B105" s="489" t="s">
        <v>1702</v>
      </c>
      <c r="C105" s="489" t="s">
        <v>1830</v>
      </c>
      <c r="D105" s="489" t="s">
        <v>1937</v>
      </c>
      <c r="E105" s="619">
        <v>44</v>
      </c>
      <c r="F105" s="621">
        <f t="shared" si="6"/>
        <v>75610.568181818177</v>
      </c>
      <c r="G105" s="501">
        <f t="shared" si="8"/>
        <v>79256.75</v>
      </c>
      <c r="H105" s="501">
        <f t="shared" si="8"/>
        <v>75076.647058823524</v>
      </c>
      <c r="I105" s="501">
        <f t="shared" si="8"/>
        <v>73685.8</v>
      </c>
      <c r="J105" s="501">
        <f t="shared" si="8"/>
        <v>73774.75</v>
      </c>
      <c r="K105" s="501">
        <f t="shared" si="8"/>
        <v>70427</v>
      </c>
      <c r="L105" s="501">
        <f t="shared" si="8"/>
        <v>0</v>
      </c>
      <c r="M105" s="501">
        <f t="shared" si="8"/>
        <v>0</v>
      </c>
      <c r="N105" s="501">
        <f t="shared" si="8"/>
        <v>0</v>
      </c>
      <c r="O105" s="501">
        <f t="shared" si="8"/>
        <v>0</v>
      </c>
      <c r="P105" s="501">
        <f t="shared" si="8"/>
        <v>0</v>
      </c>
      <c r="Q105" s="501">
        <f t="shared" si="8"/>
        <v>0</v>
      </c>
      <c r="R105" s="501">
        <f t="shared" si="8"/>
        <v>0</v>
      </c>
      <c r="S105" s="501">
        <f t="shared" si="8"/>
        <v>0</v>
      </c>
      <c r="T105" s="501">
        <f t="shared" si="8"/>
        <v>0</v>
      </c>
      <c r="U105" s="501">
        <f t="shared" si="8"/>
        <v>0</v>
      </c>
      <c r="Y105" s="621">
        <v>75610.568181818177</v>
      </c>
      <c r="Z105" s="501">
        <v>79256.75</v>
      </c>
      <c r="AA105" s="501">
        <v>75076.647058823524</v>
      </c>
      <c r="AB105" s="501">
        <v>73685.8</v>
      </c>
      <c r="AC105" s="501">
        <v>73774.75</v>
      </c>
      <c r="AD105" s="501">
        <v>70427</v>
      </c>
      <c r="AE105" s="501">
        <v>0</v>
      </c>
      <c r="AF105" s="501">
        <v>0</v>
      </c>
      <c r="AG105" s="501">
        <v>0</v>
      </c>
      <c r="AH105" s="501">
        <v>0</v>
      </c>
      <c r="AI105" s="501">
        <v>0</v>
      </c>
      <c r="AJ105" s="501">
        <v>0</v>
      </c>
      <c r="AK105" s="501">
        <v>0</v>
      </c>
      <c r="AL105" s="501">
        <v>0</v>
      </c>
      <c r="AM105" s="501">
        <v>0</v>
      </c>
      <c r="AN105" s="501">
        <v>0</v>
      </c>
    </row>
    <row r="106" spans="1:40" x14ac:dyDescent="0.3">
      <c r="A106" s="489" t="s">
        <v>1414</v>
      </c>
      <c r="B106" s="489" t="s">
        <v>1662</v>
      </c>
      <c r="C106" s="489" t="s">
        <v>1831</v>
      </c>
      <c r="D106" s="489" t="s">
        <v>46</v>
      </c>
      <c r="E106" s="619">
        <v>44</v>
      </c>
      <c r="F106" s="621">
        <f t="shared" si="6"/>
        <v>49272.522727272728</v>
      </c>
      <c r="G106" s="501">
        <f t="shared" si="8"/>
        <v>52164</v>
      </c>
      <c r="H106" s="501">
        <f t="shared" si="8"/>
        <v>52624</v>
      </c>
      <c r="I106" s="501">
        <f t="shared" si="8"/>
        <v>54824</v>
      </c>
      <c r="J106" s="501">
        <f t="shared" si="8"/>
        <v>64791</v>
      </c>
      <c r="K106" s="501">
        <f t="shared" si="8"/>
        <v>46071.5</v>
      </c>
      <c r="L106" s="501">
        <f t="shared" si="8"/>
        <v>44343.529411764706</v>
      </c>
      <c r="M106" s="501">
        <f t="shared" si="8"/>
        <v>49001</v>
      </c>
      <c r="N106" s="501">
        <f t="shared" si="8"/>
        <v>49271.25</v>
      </c>
      <c r="O106" s="501">
        <f t="shared" si="8"/>
        <v>58067</v>
      </c>
      <c r="P106" s="501">
        <f t="shared" si="8"/>
        <v>44939</v>
      </c>
      <c r="Q106" s="501">
        <f t="shared" si="8"/>
        <v>0</v>
      </c>
      <c r="R106" s="501">
        <f t="shared" si="8"/>
        <v>0</v>
      </c>
      <c r="S106" s="501">
        <f t="shared" si="8"/>
        <v>0</v>
      </c>
      <c r="T106" s="501">
        <f t="shared" si="8"/>
        <v>0</v>
      </c>
      <c r="U106" s="501">
        <f t="shared" si="8"/>
        <v>0</v>
      </c>
      <c r="Y106" s="621">
        <v>49272.522727272728</v>
      </c>
      <c r="Z106" s="501">
        <v>52164</v>
      </c>
      <c r="AA106" s="501">
        <v>52624</v>
      </c>
      <c r="AB106" s="501">
        <v>54824</v>
      </c>
      <c r="AC106" s="501">
        <v>64791</v>
      </c>
      <c r="AD106" s="501">
        <v>46071.5</v>
      </c>
      <c r="AE106" s="501">
        <v>44343.529411764706</v>
      </c>
      <c r="AF106" s="501">
        <v>49001</v>
      </c>
      <c r="AG106" s="501">
        <v>49271.25</v>
      </c>
      <c r="AH106" s="501">
        <v>58067</v>
      </c>
      <c r="AI106" s="501">
        <v>44939</v>
      </c>
      <c r="AJ106" s="501">
        <v>0</v>
      </c>
      <c r="AK106" s="501">
        <v>0</v>
      </c>
      <c r="AL106" s="501">
        <v>0</v>
      </c>
      <c r="AM106" s="501">
        <v>0</v>
      </c>
      <c r="AN106" s="501">
        <v>0</v>
      </c>
    </row>
    <row r="107" spans="1:40" x14ac:dyDescent="0.3">
      <c r="A107" s="489" t="s">
        <v>1607</v>
      </c>
      <c r="B107" s="489" t="s">
        <v>1703</v>
      </c>
      <c r="C107" s="489" t="s">
        <v>1832</v>
      </c>
      <c r="D107" s="489" t="s">
        <v>46</v>
      </c>
      <c r="E107" s="619">
        <v>43</v>
      </c>
      <c r="F107" s="621">
        <f t="shared" si="6"/>
        <v>18796.785714285714</v>
      </c>
      <c r="G107" s="501">
        <f t="shared" si="8"/>
        <v>19532.5</v>
      </c>
      <c r="H107" s="501">
        <f t="shared" si="8"/>
        <v>19532.5</v>
      </c>
      <c r="I107" s="501">
        <f t="shared" si="8"/>
        <v>19532.5</v>
      </c>
      <c r="J107" s="501">
        <f t="shared" si="8"/>
        <v>19532.5</v>
      </c>
      <c r="K107" s="501">
        <f t="shared" si="8"/>
        <v>19532.5</v>
      </c>
      <c r="L107" s="501">
        <f t="shared" si="8"/>
        <v>19532.5</v>
      </c>
      <c r="M107" s="501">
        <f t="shared" si="8"/>
        <v>19532.5</v>
      </c>
      <c r="N107" s="501">
        <f t="shared" si="8"/>
        <v>19532.5</v>
      </c>
      <c r="O107" s="501">
        <f t="shared" si="8"/>
        <v>19532.5</v>
      </c>
      <c r="P107" s="501">
        <f t="shared" si="8"/>
        <v>19532.5</v>
      </c>
      <c r="Q107" s="501">
        <f t="shared" si="8"/>
        <v>19400</v>
      </c>
      <c r="R107" s="501">
        <f t="shared" si="8"/>
        <v>18582</v>
      </c>
      <c r="S107" s="501">
        <f t="shared" si="8"/>
        <v>18717</v>
      </c>
      <c r="T107" s="501">
        <f t="shared" si="8"/>
        <v>18802.190476190477</v>
      </c>
      <c r="U107" s="501">
        <f t="shared" si="8"/>
        <v>18505</v>
      </c>
      <c r="Y107" s="621">
        <v>18796.785714285714</v>
      </c>
      <c r="Z107" s="501">
        <v>0</v>
      </c>
      <c r="AA107" s="501">
        <v>0</v>
      </c>
      <c r="AB107" s="501">
        <v>0</v>
      </c>
      <c r="AC107" s="501">
        <v>0</v>
      </c>
      <c r="AD107" s="501">
        <v>0</v>
      </c>
      <c r="AE107" s="501">
        <v>0</v>
      </c>
      <c r="AF107" s="501">
        <v>0</v>
      </c>
      <c r="AG107" s="501">
        <v>0</v>
      </c>
      <c r="AH107" s="501">
        <v>0</v>
      </c>
      <c r="AI107" s="501">
        <v>19532.5</v>
      </c>
      <c r="AJ107" s="501">
        <v>19400</v>
      </c>
      <c r="AK107" s="501">
        <v>18582</v>
      </c>
      <c r="AL107" s="501">
        <v>18717</v>
      </c>
      <c r="AM107" s="501">
        <v>18802.190476190477</v>
      </c>
      <c r="AN107" s="501">
        <v>18505</v>
      </c>
    </row>
    <row r="108" spans="1:40" x14ac:dyDescent="0.3">
      <c r="A108" s="489" t="s">
        <v>1451</v>
      </c>
      <c r="B108" s="489" t="s">
        <v>1704</v>
      </c>
      <c r="C108" s="489" t="s">
        <v>1833</v>
      </c>
      <c r="D108" s="489" t="s">
        <v>46</v>
      </c>
      <c r="E108" s="619">
        <v>42</v>
      </c>
      <c r="F108" s="621">
        <f t="shared" si="6"/>
        <v>42049.404761904763</v>
      </c>
      <c r="G108" s="501">
        <f t="shared" si="8"/>
        <v>43097.5</v>
      </c>
      <c r="H108" s="501">
        <f t="shared" si="8"/>
        <v>45827</v>
      </c>
      <c r="I108" s="501">
        <f t="shared" si="8"/>
        <v>43464</v>
      </c>
      <c r="J108" s="501">
        <f t="shared" si="8"/>
        <v>39730</v>
      </c>
      <c r="K108" s="501">
        <f t="shared" si="8"/>
        <v>41862</v>
      </c>
      <c r="L108" s="501">
        <f t="shared" si="8"/>
        <v>41862</v>
      </c>
      <c r="M108" s="501">
        <f t="shared" si="8"/>
        <v>43720.75</v>
      </c>
      <c r="N108" s="501">
        <f t="shared" si="8"/>
        <v>40662</v>
      </c>
      <c r="O108" s="501">
        <f t="shared" si="8"/>
        <v>40519.375</v>
      </c>
      <c r="P108" s="501">
        <f t="shared" si="8"/>
        <v>41410.5</v>
      </c>
      <c r="Q108" s="501">
        <f t="shared" si="8"/>
        <v>39843</v>
      </c>
      <c r="R108" s="501">
        <f t="shared" si="8"/>
        <v>40240</v>
      </c>
      <c r="S108" s="501">
        <f t="shared" si="8"/>
        <v>44310</v>
      </c>
      <c r="T108" s="501">
        <f t="shared" si="8"/>
        <v>47088</v>
      </c>
      <c r="U108" s="501">
        <f t="shared" si="8"/>
        <v>42633.5</v>
      </c>
      <c r="Y108" s="621">
        <v>42049.404761904763</v>
      </c>
      <c r="Z108" s="501">
        <v>43097.5</v>
      </c>
      <c r="AA108" s="501">
        <v>45827</v>
      </c>
      <c r="AB108" s="501">
        <v>43464</v>
      </c>
      <c r="AC108" s="501">
        <v>39730</v>
      </c>
      <c r="AD108" s="501">
        <v>0</v>
      </c>
      <c r="AE108" s="501">
        <v>41862</v>
      </c>
      <c r="AF108" s="501">
        <v>43720.75</v>
      </c>
      <c r="AG108" s="501">
        <v>40662</v>
      </c>
      <c r="AH108" s="501">
        <v>40519.375</v>
      </c>
      <c r="AI108" s="501">
        <v>41410.5</v>
      </c>
      <c r="AJ108" s="501">
        <v>39843</v>
      </c>
      <c r="AK108" s="501">
        <v>40240</v>
      </c>
      <c r="AL108" s="501">
        <v>44310</v>
      </c>
      <c r="AM108" s="501">
        <v>47088</v>
      </c>
      <c r="AN108" s="501">
        <v>42633.5</v>
      </c>
    </row>
    <row r="109" spans="1:40" x14ac:dyDescent="0.3">
      <c r="A109" s="489" t="s">
        <v>1572</v>
      </c>
      <c r="B109" s="489" t="s">
        <v>1573</v>
      </c>
      <c r="C109" s="489" t="s">
        <v>1834</v>
      </c>
      <c r="D109" s="489" t="s">
        <v>46</v>
      </c>
      <c r="E109" s="619">
        <v>42</v>
      </c>
      <c r="F109" s="621">
        <f t="shared" si="6"/>
        <v>45025.92682926829</v>
      </c>
      <c r="G109" s="501">
        <f t="shared" si="8"/>
        <v>41871</v>
      </c>
      <c r="H109" s="501">
        <f t="shared" si="8"/>
        <v>41871</v>
      </c>
      <c r="I109" s="501">
        <f t="shared" si="8"/>
        <v>41871</v>
      </c>
      <c r="J109" s="501">
        <f t="shared" si="8"/>
        <v>41871</v>
      </c>
      <c r="K109" s="501">
        <f t="shared" si="8"/>
        <v>41871</v>
      </c>
      <c r="L109" s="501">
        <f t="shared" si="8"/>
        <v>41871</v>
      </c>
      <c r="M109" s="501">
        <f t="shared" si="8"/>
        <v>41871</v>
      </c>
      <c r="N109" s="501">
        <f t="shared" si="8"/>
        <v>47154</v>
      </c>
      <c r="O109" s="501">
        <f t="shared" si="8"/>
        <v>47154</v>
      </c>
      <c r="P109" s="501">
        <f t="shared" si="8"/>
        <v>47154</v>
      </c>
      <c r="Q109" s="501">
        <f t="shared" si="8"/>
        <v>59393</v>
      </c>
      <c r="R109" s="501">
        <f t="shared" si="8"/>
        <v>39217.5</v>
      </c>
      <c r="S109" s="501">
        <f t="shared" si="8"/>
        <v>48554.2</v>
      </c>
      <c r="T109" s="501">
        <f t="shared" si="8"/>
        <v>48738</v>
      </c>
      <c r="U109" s="501">
        <f t="shared" si="8"/>
        <v>41948</v>
      </c>
      <c r="Y109" s="621">
        <v>45025.92682926829</v>
      </c>
      <c r="Z109" s="501">
        <v>0</v>
      </c>
      <c r="AA109" s="501">
        <v>0</v>
      </c>
      <c r="AB109" s="501">
        <v>0</v>
      </c>
      <c r="AC109" s="501">
        <v>0</v>
      </c>
      <c r="AD109" s="501">
        <v>0</v>
      </c>
      <c r="AE109" s="501">
        <v>0</v>
      </c>
      <c r="AF109" s="501">
        <v>41871</v>
      </c>
      <c r="AG109" s="501">
        <v>0</v>
      </c>
      <c r="AH109" s="501">
        <v>0</v>
      </c>
      <c r="AI109" s="501">
        <v>47154</v>
      </c>
      <c r="AJ109" s="501">
        <v>59393</v>
      </c>
      <c r="AK109" s="501">
        <v>39217.5</v>
      </c>
      <c r="AL109" s="501">
        <v>48554.2</v>
      </c>
      <c r="AM109" s="501">
        <v>48738</v>
      </c>
      <c r="AN109" s="501">
        <v>41948</v>
      </c>
    </row>
    <row r="110" spans="1:40" x14ac:dyDescent="0.3">
      <c r="A110" s="489" t="s">
        <v>1451</v>
      </c>
      <c r="B110" s="489" t="s">
        <v>1705</v>
      </c>
      <c r="C110" s="489" t="s">
        <v>1835</v>
      </c>
      <c r="D110" s="489" t="s">
        <v>46</v>
      </c>
      <c r="E110" s="619">
        <v>42</v>
      </c>
      <c r="F110" s="621">
        <f t="shared" si="6"/>
        <v>40153.738095238092</v>
      </c>
      <c r="G110" s="501">
        <f t="shared" si="8"/>
        <v>61120</v>
      </c>
      <c r="H110" s="501">
        <f t="shared" si="8"/>
        <v>52063.5</v>
      </c>
      <c r="I110" s="501">
        <f t="shared" si="8"/>
        <v>48789</v>
      </c>
      <c r="J110" s="501">
        <f t="shared" si="8"/>
        <v>42017</v>
      </c>
      <c r="K110" s="501">
        <f t="shared" si="8"/>
        <v>53323.25</v>
      </c>
      <c r="L110" s="501">
        <f t="shared" si="8"/>
        <v>53323.25</v>
      </c>
      <c r="M110" s="501">
        <f t="shared" si="8"/>
        <v>39661.307692307695</v>
      </c>
      <c r="N110" s="501">
        <f t="shared" si="8"/>
        <v>35765</v>
      </c>
      <c r="O110" s="501">
        <f t="shared" si="8"/>
        <v>39502.333333333336</v>
      </c>
      <c r="P110" s="501">
        <f t="shared" si="8"/>
        <v>34065</v>
      </c>
      <c r="Q110" s="501">
        <f t="shared" si="8"/>
        <v>33148.333333333336</v>
      </c>
      <c r="R110" s="501">
        <f t="shared" si="8"/>
        <v>32201.599999999999</v>
      </c>
      <c r="S110" s="501">
        <f t="shared" si="8"/>
        <v>41534</v>
      </c>
      <c r="T110" s="501">
        <f t="shared" si="8"/>
        <v>0</v>
      </c>
      <c r="U110" s="501">
        <f t="shared" si="8"/>
        <v>0</v>
      </c>
      <c r="Y110" s="621">
        <v>40153.738095238092</v>
      </c>
      <c r="Z110" s="501">
        <v>61120</v>
      </c>
      <c r="AA110" s="501">
        <v>52063.5</v>
      </c>
      <c r="AB110" s="501">
        <v>48789</v>
      </c>
      <c r="AC110" s="501">
        <v>42017</v>
      </c>
      <c r="AD110" s="501">
        <v>0</v>
      </c>
      <c r="AE110" s="501">
        <v>53323.25</v>
      </c>
      <c r="AF110" s="501">
        <v>39661.307692307695</v>
      </c>
      <c r="AG110" s="501">
        <v>35765</v>
      </c>
      <c r="AH110" s="501">
        <v>39502.333333333336</v>
      </c>
      <c r="AI110" s="501">
        <v>34065</v>
      </c>
      <c r="AJ110" s="501">
        <v>33148.333333333336</v>
      </c>
      <c r="AK110" s="501">
        <v>32201.599999999999</v>
      </c>
      <c r="AL110" s="501">
        <v>41534</v>
      </c>
      <c r="AM110" s="501">
        <v>0</v>
      </c>
      <c r="AN110" s="501">
        <v>0</v>
      </c>
    </row>
    <row r="111" spans="1:40" x14ac:dyDescent="0.3">
      <c r="A111" s="489" t="s">
        <v>1414</v>
      </c>
      <c r="B111" s="489" t="s">
        <v>1706</v>
      </c>
      <c r="C111" s="489" t="s">
        <v>1836</v>
      </c>
      <c r="D111" s="489" t="s">
        <v>46</v>
      </c>
      <c r="E111" s="619">
        <v>42</v>
      </c>
      <c r="F111" s="621">
        <f t="shared" si="6"/>
        <v>58840.119047619046</v>
      </c>
      <c r="G111" s="501">
        <f t="shared" si="8"/>
        <v>62774</v>
      </c>
      <c r="H111" s="501">
        <f t="shared" si="8"/>
        <v>62774</v>
      </c>
      <c r="I111" s="501">
        <f t="shared" si="8"/>
        <v>62774</v>
      </c>
      <c r="J111" s="501">
        <f t="shared" si="8"/>
        <v>57015.5</v>
      </c>
      <c r="K111" s="501">
        <f t="shared" si="8"/>
        <v>59266.625</v>
      </c>
      <c r="L111" s="501">
        <f t="shared" si="8"/>
        <v>59266.625</v>
      </c>
      <c r="M111" s="501">
        <f t="shared" si="8"/>
        <v>60156.666666666664</v>
      </c>
      <c r="N111" s="501">
        <f t="shared" si="8"/>
        <v>60003.333333333336</v>
      </c>
      <c r="O111" s="501">
        <f t="shared" si="8"/>
        <v>66089.666666666672</v>
      </c>
      <c r="P111" s="501">
        <f t="shared" si="8"/>
        <v>55413.454545454544</v>
      </c>
      <c r="Q111" s="501">
        <f t="shared" si="8"/>
        <v>58314</v>
      </c>
      <c r="R111" s="501">
        <f t="shared" si="8"/>
        <v>0</v>
      </c>
      <c r="S111" s="501">
        <f t="shared" si="8"/>
        <v>0</v>
      </c>
      <c r="T111" s="501">
        <f t="shared" si="8"/>
        <v>0</v>
      </c>
      <c r="U111" s="501">
        <f t="shared" si="8"/>
        <v>0</v>
      </c>
      <c r="Y111" s="621">
        <v>58840.119047619046</v>
      </c>
      <c r="Z111" s="501">
        <v>0</v>
      </c>
      <c r="AA111" s="501">
        <v>0</v>
      </c>
      <c r="AB111" s="501">
        <v>62774</v>
      </c>
      <c r="AC111" s="501">
        <v>57015.5</v>
      </c>
      <c r="AD111" s="501">
        <v>0</v>
      </c>
      <c r="AE111" s="501">
        <v>59266.625</v>
      </c>
      <c r="AF111" s="501">
        <v>60156.666666666664</v>
      </c>
      <c r="AG111" s="501">
        <v>60003.333333333336</v>
      </c>
      <c r="AH111" s="501">
        <v>66089.666666666672</v>
      </c>
      <c r="AI111" s="501">
        <v>55413.454545454544</v>
      </c>
      <c r="AJ111" s="501">
        <v>58314</v>
      </c>
      <c r="AK111" s="501">
        <v>0</v>
      </c>
      <c r="AL111" s="501">
        <v>0</v>
      </c>
      <c r="AM111" s="501">
        <v>0</v>
      </c>
      <c r="AN111" s="501">
        <v>0</v>
      </c>
    </row>
    <row r="112" spans="1:40" x14ac:dyDescent="0.3">
      <c r="A112" s="489" t="s">
        <v>1414</v>
      </c>
      <c r="B112" s="489" t="s">
        <v>1702</v>
      </c>
      <c r="C112" s="489" t="s">
        <v>1830</v>
      </c>
      <c r="D112" s="489" t="s">
        <v>1930</v>
      </c>
      <c r="E112" s="619">
        <v>42</v>
      </c>
      <c r="F112" s="621">
        <f t="shared" si="6"/>
        <v>79141.642857142855</v>
      </c>
      <c r="G112" s="501">
        <f t="shared" si="8"/>
        <v>79666.5</v>
      </c>
      <c r="H112" s="501">
        <f t="shared" si="8"/>
        <v>80577.3</v>
      </c>
      <c r="I112" s="501">
        <f t="shared" si="8"/>
        <v>73480.857142857145</v>
      </c>
      <c r="J112" s="501">
        <f t="shared" si="8"/>
        <v>83156.666666666672</v>
      </c>
      <c r="K112" s="501">
        <f t="shared" si="8"/>
        <v>74755</v>
      </c>
      <c r="L112" s="501">
        <f t="shared" si="8"/>
        <v>77306.25</v>
      </c>
      <c r="M112" s="501">
        <f t="shared" si="8"/>
        <v>0</v>
      </c>
      <c r="N112" s="501">
        <f t="shared" si="8"/>
        <v>0</v>
      </c>
      <c r="O112" s="501">
        <f t="shared" si="8"/>
        <v>0</v>
      </c>
      <c r="P112" s="501">
        <f t="shared" si="8"/>
        <v>0</v>
      </c>
      <c r="Q112" s="501">
        <f t="shared" si="8"/>
        <v>0</v>
      </c>
      <c r="R112" s="501">
        <f t="shared" si="8"/>
        <v>0</v>
      </c>
      <c r="S112" s="501">
        <f t="shared" si="8"/>
        <v>0</v>
      </c>
      <c r="T112" s="501">
        <f t="shared" si="8"/>
        <v>0</v>
      </c>
      <c r="U112" s="501">
        <f t="shared" si="8"/>
        <v>0</v>
      </c>
      <c r="Y112" s="621">
        <v>79141.642857142855</v>
      </c>
      <c r="Z112" s="501">
        <v>79666.5</v>
      </c>
      <c r="AA112" s="501">
        <v>80577.3</v>
      </c>
      <c r="AB112" s="501">
        <v>73480.857142857145</v>
      </c>
      <c r="AC112" s="501">
        <v>83156.666666666672</v>
      </c>
      <c r="AD112" s="501">
        <v>74755</v>
      </c>
      <c r="AE112" s="501">
        <v>77306.25</v>
      </c>
      <c r="AF112" s="501">
        <v>0</v>
      </c>
      <c r="AG112" s="501">
        <v>0</v>
      </c>
      <c r="AH112" s="501">
        <v>0</v>
      </c>
      <c r="AI112" s="501">
        <v>0</v>
      </c>
      <c r="AJ112" s="501">
        <v>0</v>
      </c>
      <c r="AK112" s="501">
        <v>0</v>
      </c>
      <c r="AL112" s="501">
        <v>0</v>
      </c>
      <c r="AM112" s="501">
        <v>0</v>
      </c>
      <c r="AN112" s="501">
        <v>0</v>
      </c>
    </row>
    <row r="113" spans="1:40" x14ac:dyDescent="0.3">
      <c r="A113" s="489" t="s">
        <v>1561</v>
      </c>
      <c r="B113" s="489" t="s">
        <v>1562</v>
      </c>
      <c r="C113" s="489" t="s">
        <v>1563</v>
      </c>
      <c r="D113" s="489" t="s">
        <v>1936</v>
      </c>
      <c r="E113" s="619">
        <v>42</v>
      </c>
      <c r="F113" s="621">
        <f t="shared" si="6"/>
        <v>27617.5</v>
      </c>
      <c r="G113" s="501">
        <f t="shared" si="8"/>
        <v>32397</v>
      </c>
      <c r="H113" s="501">
        <f t="shared" si="8"/>
        <v>32397</v>
      </c>
      <c r="I113" s="501">
        <f t="shared" si="8"/>
        <v>32397</v>
      </c>
      <c r="J113" s="501">
        <f t="shared" si="8"/>
        <v>32397</v>
      </c>
      <c r="K113" s="501">
        <f t="shared" si="8"/>
        <v>32397</v>
      </c>
      <c r="L113" s="501">
        <f t="shared" si="8"/>
        <v>29737</v>
      </c>
      <c r="M113" s="501">
        <f t="shared" si="8"/>
        <v>27788.333333333332</v>
      </c>
      <c r="N113" s="501">
        <f t="shared" si="8"/>
        <v>25825.714285714286</v>
      </c>
      <c r="O113" s="501">
        <f t="shared" si="8"/>
        <v>25400</v>
      </c>
      <c r="P113" s="501">
        <f t="shared" si="8"/>
        <v>0</v>
      </c>
      <c r="Q113" s="501">
        <f t="shared" si="8"/>
        <v>0</v>
      </c>
      <c r="R113" s="501">
        <f t="shared" si="8"/>
        <v>0</v>
      </c>
      <c r="S113" s="501">
        <f t="shared" si="8"/>
        <v>0</v>
      </c>
      <c r="T113" s="501">
        <f t="shared" si="8"/>
        <v>0</v>
      </c>
      <c r="U113" s="501">
        <f t="shared" si="8"/>
        <v>0</v>
      </c>
      <c r="Y113" s="621">
        <v>27617.5</v>
      </c>
      <c r="Z113" s="501">
        <v>0</v>
      </c>
      <c r="AA113" s="501">
        <v>0</v>
      </c>
      <c r="AB113" s="501">
        <v>0</v>
      </c>
      <c r="AC113" s="501">
        <v>0</v>
      </c>
      <c r="AD113" s="501">
        <v>32397</v>
      </c>
      <c r="AE113" s="501">
        <v>29737</v>
      </c>
      <c r="AF113" s="501">
        <v>27788.333333333332</v>
      </c>
      <c r="AG113" s="501">
        <v>25825.714285714286</v>
      </c>
      <c r="AH113" s="501">
        <v>25400</v>
      </c>
      <c r="AI113" s="501">
        <v>0</v>
      </c>
      <c r="AJ113" s="501">
        <v>0</v>
      </c>
      <c r="AK113" s="501">
        <v>0</v>
      </c>
      <c r="AL113" s="501">
        <v>0</v>
      </c>
      <c r="AM113" s="501">
        <v>0</v>
      </c>
      <c r="AN113" s="501">
        <v>0</v>
      </c>
    </row>
    <row r="114" spans="1:40" x14ac:dyDescent="0.3">
      <c r="A114" s="489" t="s">
        <v>1414</v>
      </c>
      <c r="B114" s="489" t="s">
        <v>1707</v>
      </c>
      <c r="C114" s="489" t="s">
        <v>1837</v>
      </c>
      <c r="D114" s="489" t="s">
        <v>46</v>
      </c>
      <c r="E114" s="619">
        <v>41</v>
      </c>
      <c r="F114" s="621">
        <f t="shared" si="6"/>
        <v>38309.815789473687</v>
      </c>
      <c r="G114" s="501">
        <f t="shared" ref="G114:U129" si="9">IF(Z114&gt;0,Z114,IF(H114&gt;0,H114,0))</f>
        <v>35465</v>
      </c>
      <c r="H114" s="501">
        <f t="shared" si="9"/>
        <v>35465</v>
      </c>
      <c r="I114" s="501">
        <f t="shared" si="9"/>
        <v>38157</v>
      </c>
      <c r="J114" s="501">
        <f t="shared" si="9"/>
        <v>38157</v>
      </c>
      <c r="K114" s="501">
        <f t="shared" si="9"/>
        <v>35720</v>
      </c>
      <c r="L114" s="501">
        <f t="shared" si="9"/>
        <v>36506.5</v>
      </c>
      <c r="M114" s="501">
        <f t="shared" si="9"/>
        <v>39235</v>
      </c>
      <c r="N114" s="501">
        <f t="shared" si="9"/>
        <v>41488</v>
      </c>
      <c r="O114" s="501">
        <f t="shared" si="9"/>
        <v>38709.25</v>
      </c>
      <c r="P114" s="501">
        <f t="shared" si="9"/>
        <v>37454.571428571428</v>
      </c>
      <c r="Q114" s="501">
        <f t="shared" si="9"/>
        <v>39309</v>
      </c>
      <c r="R114" s="501">
        <f t="shared" si="9"/>
        <v>37995</v>
      </c>
      <c r="S114" s="501">
        <f t="shared" si="9"/>
        <v>40114.5</v>
      </c>
      <c r="T114" s="501">
        <f t="shared" si="9"/>
        <v>40480</v>
      </c>
      <c r="U114" s="501">
        <f t="shared" si="9"/>
        <v>0</v>
      </c>
      <c r="Y114" s="621">
        <v>38309.815789473687</v>
      </c>
      <c r="Z114" s="501">
        <v>0</v>
      </c>
      <c r="AA114" s="501">
        <v>35465</v>
      </c>
      <c r="AB114" s="501">
        <v>0</v>
      </c>
      <c r="AC114" s="501">
        <v>38157</v>
      </c>
      <c r="AD114" s="501">
        <v>35720</v>
      </c>
      <c r="AE114" s="501">
        <v>36506.5</v>
      </c>
      <c r="AF114" s="501">
        <v>39235</v>
      </c>
      <c r="AG114" s="501">
        <v>41488</v>
      </c>
      <c r="AH114" s="501">
        <v>38709.25</v>
      </c>
      <c r="AI114" s="501">
        <v>37454.571428571428</v>
      </c>
      <c r="AJ114" s="501">
        <v>39309</v>
      </c>
      <c r="AK114" s="501">
        <v>37995</v>
      </c>
      <c r="AL114" s="501">
        <v>40114.5</v>
      </c>
      <c r="AM114" s="501">
        <v>40480</v>
      </c>
      <c r="AN114" s="501">
        <v>0</v>
      </c>
    </row>
    <row r="115" spans="1:40" x14ac:dyDescent="0.3">
      <c r="A115" s="489" t="s">
        <v>1426</v>
      </c>
      <c r="B115" s="489" t="s">
        <v>1708</v>
      </c>
      <c r="C115" s="489" t="s">
        <v>1708</v>
      </c>
      <c r="D115" s="489" t="s">
        <v>1938</v>
      </c>
      <c r="E115" s="619">
        <v>41</v>
      </c>
      <c r="F115" s="621">
        <f t="shared" si="6"/>
        <v>79644.512195121948</v>
      </c>
      <c r="G115" s="501">
        <f t="shared" si="9"/>
        <v>75960</v>
      </c>
      <c r="H115" s="501">
        <f t="shared" si="9"/>
        <v>75960</v>
      </c>
      <c r="I115" s="501">
        <f t="shared" si="9"/>
        <v>75960</v>
      </c>
      <c r="J115" s="501">
        <f t="shared" si="9"/>
        <v>69855</v>
      </c>
      <c r="K115" s="501">
        <f t="shared" si="9"/>
        <v>79990</v>
      </c>
      <c r="L115" s="501">
        <f t="shared" si="9"/>
        <v>79990</v>
      </c>
      <c r="M115" s="501">
        <f t="shared" si="9"/>
        <v>0</v>
      </c>
      <c r="N115" s="501">
        <f t="shared" si="9"/>
        <v>0</v>
      </c>
      <c r="O115" s="501">
        <f t="shared" si="9"/>
        <v>0</v>
      </c>
      <c r="P115" s="501">
        <f t="shared" si="9"/>
        <v>0</v>
      </c>
      <c r="Q115" s="501">
        <f t="shared" si="9"/>
        <v>0</v>
      </c>
      <c r="R115" s="501">
        <f t="shared" si="9"/>
        <v>0</v>
      </c>
      <c r="S115" s="501">
        <f t="shared" si="9"/>
        <v>0</v>
      </c>
      <c r="T115" s="501">
        <f t="shared" si="9"/>
        <v>0</v>
      </c>
      <c r="U115" s="501">
        <f t="shared" si="9"/>
        <v>0</v>
      </c>
      <c r="Y115" s="621">
        <v>79644.512195121948</v>
      </c>
      <c r="Z115" s="501">
        <v>0</v>
      </c>
      <c r="AA115" s="501">
        <v>0</v>
      </c>
      <c r="AB115" s="501">
        <v>75960</v>
      </c>
      <c r="AC115" s="501">
        <v>69855</v>
      </c>
      <c r="AD115" s="501">
        <v>0</v>
      </c>
      <c r="AE115" s="501">
        <v>79990</v>
      </c>
      <c r="AF115" s="501">
        <v>0</v>
      </c>
      <c r="AG115" s="501">
        <v>0</v>
      </c>
      <c r="AH115" s="501">
        <v>0</v>
      </c>
      <c r="AI115" s="501">
        <v>0</v>
      </c>
      <c r="AJ115" s="501">
        <v>0</v>
      </c>
      <c r="AK115" s="501">
        <v>0</v>
      </c>
      <c r="AL115" s="501">
        <v>0</v>
      </c>
      <c r="AM115" s="501">
        <v>0</v>
      </c>
      <c r="AN115" s="501">
        <v>0</v>
      </c>
    </row>
    <row r="116" spans="1:40" x14ac:dyDescent="0.3">
      <c r="A116" s="489" t="s">
        <v>1422</v>
      </c>
      <c r="B116" s="489" t="s">
        <v>1423</v>
      </c>
      <c r="C116" s="489" t="s">
        <v>1424</v>
      </c>
      <c r="D116" s="489" t="s">
        <v>45</v>
      </c>
      <c r="E116" s="619">
        <v>40</v>
      </c>
      <c r="F116" s="621">
        <f t="shared" si="6"/>
        <v>40169.5</v>
      </c>
      <c r="G116" s="501">
        <f t="shared" si="9"/>
        <v>39699</v>
      </c>
      <c r="H116" s="501">
        <f t="shared" si="9"/>
        <v>39699</v>
      </c>
      <c r="I116" s="501">
        <f t="shared" si="9"/>
        <v>39699</v>
      </c>
      <c r="J116" s="501">
        <f t="shared" si="9"/>
        <v>36754.666666666664</v>
      </c>
      <c r="K116" s="501">
        <f t="shared" si="9"/>
        <v>42033.5</v>
      </c>
      <c r="L116" s="501">
        <f t="shared" si="9"/>
        <v>49708.666666666664</v>
      </c>
      <c r="M116" s="501">
        <f t="shared" si="9"/>
        <v>37052.5</v>
      </c>
      <c r="N116" s="501">
        <f t="shared" si="9"/>
        <v>57809</v>
      </c>
      <c r="O116" s="501">
        <f t="shared" si="9"/>
        <v>57809</v>
      </c>
      <c r="P116" s="501">
        <f t="shared" si="9"/>
        <v>25140</v>
      </c>
      <c r="Q116" s="501">
        <f t="shared" si="9"/>
        <v>25140</v>
      </c>
      <c r="R116" s="501">
        <f t="shared" si="9"/>
        <v>25140</v>
      </c>
      <c r="S116" s="501">
        <f t="shared" si="9"/>
        <v>0</v>
      </c>
      <c r="T116" s="501">
        <f t="shared" si="9"/>
        <v>0</v>
      </c>
      <c r="U116" s="501">
        <f t="shared" si="9"/>
        <v>0</v>
      </c>
      <c r="Y116" s="621">
        <v>40169.5</v>
      </c>
      <c r="Z116" s="501">
        <v>0</v>
      </c>
      <c r="AA116" s="501">
        <v>0</v>
      </c>
      <c r="AB116" s="501">
        <v>39699</v>
      </c>
      <c r="AC116" s="501">
        <v>36754.666666666664</v>
      </c>
      <c r="AD116" s="501">
        <v>42033.5</v>
      </c>
      <c r="AE116" s="501">
        <v>49708.666666666664</v>
      </c>
      <c r="AF116" s="501">
        <v>37052.5</v>
      </c>
      <c r="AG116" s="501">
        <v>0</v>
      </c>
      <c r="AH116" s="501">
        <v>57809</v>
      </c>
      <c r="AI116" s="501">
        <v>0</v>
      </c>
      <c r="AJ116" s="501">
        <v>0</v>
      </c>
      <c r="AK116" s="501">
        <v>25140</v>
      </c>
      <c r="AL116" s="501">
        <v>0</v>
      </c>
      <c r="AM116" s="501">
        <v>0</v>
      </c>
      <c r="AN116" s="501">
        <v>0</v>
      </c>
    </row>
    <row r="117" spans="1:40" x14ac:dyDescent="0.3">
      <c r="A117" s="489" t="s">
        <v>1561</v>
      </c>
      <c r="B117" s="489" t="s">
        <v>1709</v>
      </c>
      <c r="C117" s="489" t="s">
        <v>1838</v>
      </c>
      <c r="D117" s="489" t="s">
        <v>1938</v>
      </c>
      <c r="E117" s="619">
        <v>40</v>
      </c>
      <c r="F117" s="621">
        <f t="shared" si="6"/>
        <v>76506.625</v>
      </c>
      <c r="G117" s="501">
        <f t="shared" si="9"/>
        <v>79124.619047619053</v>
      </c>
      <c r="H117" s="501">
        <f t="shared" si="9"/>
        <v>79124.619047619053</v>
      </c>
      <c r="I117" s="501">
        <f t="shared" si="9"/>
        <v>79124.619047619053</v>
      </c>
      <c r="J117" s="501">
        <f t="shared" si="9"/>
        <v>73639.222222222219</v>
      </c>
      <c r="K117" s="501">
        <f t="shared" si="9"/>
        <v>73639.222222222219</v>
      </c>
      <c r="L117" s="501">
        <f t="shared" si="9"/>
        <v>73142</v>
      </c>
      <c r="M117" s="501">
        <f t="shared" si="9"/>
        <v>73142</v>
      </c>
      <c r="N117" s="501">
        <f t="shared" si="9"/>
        <v>0</v>
      </c>
      <c r="O117" s="501">
        <f t="shared" si="9"/>
        <v>0</v>
      </c>
      <c r="P117" s="501">
        <f t="shared" si="9"/>
        <v>0</v>
      </c>
      <c r="Q117" s="501">
        <f t="shared" si="9"/>
        <v>0</v>
      </c>
      <c r="R117" s="501">
        <f t="shared" si="9"/>
        <v>0</v>
      </c>
      <c r="S117" s="501">
        <f t="shared" si="9"/>
        <v>0</v>
      </c>
      <c r="T117" s="501">
        <f t="shared" si="9"/>
        <v>0</v>
      </c>
      <c r="U117" s="501">
        <f t="shared" si="9"/>
        <v>0</v>
      </c>
      <c r="Y117" s="621">
        <v>76506.625</v>
      </c>
      <c r="Z117" s="501">
        <v>0</v>
      </c>
      <c r="AA117" s="501">
        <v>0</v>
      </c>
      <c r="AB117" s="501">
        <v>79124.619047619053</v>
      </c>
      <c r="AC117" s="501">
        <v>0</v>
      </c>
      <c r="AD117" s="501">
        <v>73639.222222222219</v>
      </c>
      <c r="AE117" s="501">
        <v>0</v>
      </c>
      <c r="AF117" s="501">
        <v>73142</v>
      </c>
      <c r="AG117" s="501">
        <v>0</v>
      </c>
      <c r="AH117" s="501">
        <v>0</v>
      </c>
      <c r="AI117" s="501">
        <v>0</v>
      </c>
      <c r="AJ117" s="501">
        <v>0</v>
      </c>
      <c r="AK117" s="501">
        <v>0</v>
      </c>
      <c r="AL117" s="501">
        <v>0</v>
      </c>
      <c r="AM117" s="501">
        <v>0</v>
      </c>
      <c r="AN117" s="501">
        <v>0</v>
      </c>
    </row>
    <row r="118" spans="1:40" x14ac:dyDescent="0.3">
      <c r="A118" s="489" t="s">
        <v>1607</v>
      </c>
      <c r="B118" s="489" t="s">
        <v>1710</v>
      </c>
      <c r="C118" s="489" t="s">
        <v>1839</v>
      </c>
      <c r="D118" s="489" t="s">
        <v>46</v>
      </c>
      <c r="E118" s="619">
        <v>39</v>
      </c>
      <c r="F118" s="621">
        <f t="shared" si="6"/>
        <v>53850.91891891892</v>
      </c>
      <c r="G118" s="501">
        <f t="shared" si="9"/>
        <v>59667.5</v>
      </c>
      <c r="H118" s="501">
        <f t="shared" si="9"/>
        <v>63043</v>
      </c>
      <c r="I118" s="501">
        <f t="shared" si="9"/>
        <v>60632</v>
      </c>
      <c r="J118" s="501">
        <f t="shared" si="9"/>
        <v>58570</v>
      </c>
      <c r="K118" s="501">
        <f t="shared" si="9"/>
        <v>58570</v>
      </c>
      <c r="L118" s="501">
        <f t="shared" si="9"/>
        <v>58570</v>
      </c>
      <c r="M118" s="501">
        <f t="shared" si="9"/>
        <v>51437.25</v>
      </c>
      <c r="N118" s="501">
        <f t="shared" si="9"/>
        <v>58386.5</v>
      </c>
      <c r="O118" s="501">
        <f t="shared" si="9"/>
        <v>52197.666666666664</v>
      </c>
      <c r="P118" s="501">
        <f t="shared" si="9"/>
        <v>55112.5</v>
      </c>
      <c r="Q118" s="501">
        <f t="shared" si="9"/>
        <v>55112.5</v>
      </c>
      <c r="R118" s="501">
        <f t="shared" si="9"/>
        <v>48769.5</v>
      </c>
      <c r="S118" s="501">
        <f t="shared" si="9"/>
        <v>50713.666666666664</v>
      </c>
      <c r="T118" s="501">
        <f t="shared" si="9"/>
        <v>46996.5</v>
      </c>
      <c r="U118" s="501">
        <f t="shared" si="9"/>
        <v>33098.5</v>
      </c>
      <c r="Y118" s="621">
        <v>53850.91891891892</v>
      </c>
      <c r="Z118" s="501">
        <v>59667.5</v>
      </c>
      <c r="AA118" s="501">
        <v>63043</v>
      </c>
      <c r="AB118" s="501">
        <v>60632</v>
      </c>
      <c r="AC118" s="501">
        <v>0</v>
      </c>
      <c r="AD118" s="501">
        <v>0</v>
      </c>
      <c r="AE118" s="501">
        <v>58570</v>
      </c>
      <c r="AF118" s="501">
        <v>51437.25</v>
      </c>
      <c r="AG118" s="501">
        <v>58386.5</v>
      </c>
      <c r="AH118" s="501">
        <v>52197.666666666664</v>
      </c>
      <c r="AI118" s="501">
        <v>0</v>
      </c>
      <c r="AJ118" s="501">
        <v>55112.5</v>
      </c>
      <c r="AK118" s="501">
        <v>48769.5</v>
      </c>
      <c r="AL118" s="501">
        <v>50713.666666666664</v>
      </c>
      <c r="AM118" s="501">
        <v>46996.5</v>
      </c>
      <c r="AN118" s="501">
        <v>33098.5</v>
      </c>
    </row>
    <row r="119" spans="1:40" x14ac:dyDescent="0.3">
      <c r="A119" s="489" t="s">
        <v>1414</v>
      </c>
      <c r="B119" s="489" t="s">
        <v>1711</v>
      </c>
      <c r="C119" s="489" t="s">
        <v>1840</v>
      </c>
      <c r="D119" s="489" t="s">
        <v>46</v>
      </c>
      <c r="E119" s="619">
        <v>39</v>
      </c>
      <c r="F119" s="621">
        <f t="shared" si="6"/>
        <v>89260.394736842107</v>
      </c>
      <c r="G119" s="501">
        <f t="shared" si="9"/>
        <v>79875</v>
      </c>
      <c r="H119" s="501">
        <f t="shared" si="9"/>
        <v>79875</v>
      </c>
      <c r="I119" s="501">
        <f t="shared" si="9"/>
        <v>92155</v>
      </c>
      <c r="J119" s="501">
        <f t="shared" si="9"/>
        <v>83571</v>
      </c>
      <c r="K119" s="501">
        <f t="shared" si="9"/>
        <v>83571</v>
      </c>
      <c r="L119" s="501">
        <f t="shared" si="9"/>
        <v>83571</v>
      </c>
      <c r="M119" s="501">
        <f t="shared" si="9"/>
        <v>104316</v>
      </c>
      <c r="N119" s="501">
        <f t="shared" si="9"/>
        <v>104316</v>
      </c>
      <c r="O119" s="501">
        <f t="shared" si="9"/>
        <v>97204</v>
      </c>
      <c r="P119" s="501">
        <f t="shared" si="9"/>
        <v>89955.25</v>
      </c>
      <c r="Q119" s="501">
        <f t="shared" si="9"/>
        <v>94575</v>
      </c>
      <c r="R119" s="501">
        <f t="shared" si="9"/>
        <v>88593.166666666672</v>
      </c>
      <c r="S119" s="501">
        <f t="shared" si="9"/>
        <v>84513.888888888891</v>
      </c>
      <c r="T119" s="501">
        <f t="shared" si="9"/>
        <v>88217.25</v>
      </c>
      <c r="U119" s="501">
        <f t="shared" si="9"/>
        <v>0</v>
      </c>
      <c r="Y119" s="621">
        <v>89260.394736842107</v>
      </c>
      <c r="Z119" s="501">
        <v>0</v>
      </c>
      <c r="AA119" s="501">
        <v>79875</v>
      </c>
      <c r="AB119" s="501">
        <v>92155</v>
      </c>
      <c r="AC119" s="501">
        <v>0</v>
      </c>
      <c r="AD119" s="501">
        <v>0</v>
      </c>
      <c r="AE119" s="501">
        <v>83571</v>
      </c>
      <c r="AF119" s="501">
        <v>0</v>
      </c>
      <c r="AG119" s="501">
        <v>104316</v>
      </c>
      <c r="AH119" s="501">
        <v>97204</v>
      </c>
      <c r="AI119" s="501">
        <v>89955.25</v>
      </c>
      <c r="AJ119" s="501">
        <v>94575</v>
      </c>
      <c r="AK119" s="501">
        <v>88593.166666666672</v>
      </c>
      <c r="AL119" s="501">
        <v>84513.888888888891</v>
      </c>
      <c r="AM119" s="501">
        <v>88217.25</v>
      </c>
      <c r="AN119" s="501">
        <v>0</v>
      </c>
    </row>
    <row r="120" spans="1:40" x14ac:dyDescent="0.3">
      <c r="A120" s="489" t="s">
        <v>1591</v>
      </c>
      <c r="B120" s="489" t="s">
        <v>1712</v>
      </c>
      <c r="C120" s="489" t="s">
        <v>1712</v>
      </c>
      <c r="D120" s="489" t="s">
        <v>141</v>
      </c>
      <c r="E120" s="619">
        <v>39</v>
      </c>
      <c r="F120" s="621">
        <f t="shared" si="6"/>
        <v>43061.717948717946</v>
      </c>
      <c r="G120" s="501">
        <f t="shared" si="9"/>
        <v>44976</v>
      </c>
      <c r="H120" s="501">
        <f t="shared" si="9"/>
        <v>44976</v>
      </c>
      <c r="I120" s="501">
        <f t="shared" si="9"/>
        <v>44976</v>
      </c>
      <c r="J120" s="501">
        <f t="shared" si="9"/>
        <v>44976</v>
      </c>
      <c r="K120" s="501">
        <f t="shared" si="9"/>
        <v>44976</v>
      </c>
      <c r="L120" s="501">
        <f t="shared" si="9"/>
        <v>43582.833333333336</v>
      </c>
      <c r="M120" s="501">
        <f t="shared" si="9"/>
        <v>41224</v>
      </c>
      <c r="N120" s="501">
        <f t="shared" si="9"/>
        <v>38091</v>
      </c>
      <c r="O120" s="501">
        <f t="shared" si="9"/>
        <v>38091</v>
      </c>
      <c r="P120" s="501">
        <f t="shared" si="9"/>
        <v>38091</v>
      </c>
      <c r="Q120" s="501">
        <f t="shared" si="9"/>
        <v>38091</v>
      </c>
      <c r="R120" s="501">
        <f t="shared" si="9"/>
        <v>0</v>
      </c>
      <c r="S120" s="501">
        <f t="shared" si="9"/>
        <v>0</v>
      </c>
      <c r="T120" s="501">
        <f t="shared" si="9"/>
        <v>0</v>
      </c>
      <c r="U120" s="501">
        <f t="shared" si="9"/>
        <v>0</v>
      </c>
      <c r="Y120" s="621">
        <v>43061.717948717946</v>
      </c>
      <c r="Z120" s="501">
        <v>0</v>
      </c>
      <c r="AA120" s="501">
        <v>0</v>
      </c>
      <c r="AB120" s="501">
        <v>0</v>
      </c>
      <c r="AC120" s="501">
        <v>0</v>
      </c>
      <c r="AD120" s="501">
        <v>44976</v>
      </c>
      <c r="AE120" s="501">
        <v>43582.833333333336</v>
      </c>
      <c r="AF120" s="501">
        <v>41224</v>
      </c>
      <c r="AG120" s="501">
        <v>0</v>
      </c>
      <c r="AH120" s="501">
        <v>0</v>
      </c>
      <c r="AI120" s="501">
        <v>0</v>
      </c>
      <c r="AJ120" s="501">
        <v>38091</v>
      </c>
      <c r="AK120" s="501">
        <v>0</v>
      </c>
      <c r="AL120" s="501">
        <v>0</v>
      </c>
      <c r="AM120" s="501">
        <v>0</v>
      </c>
      <c r="AN120" s="501">
        <v>0</v>
      </c>
    </row>
    <row r="121" spans="1:40" x14ac:dyDescent="0.3">
      <c r="A121" s="489" t="s">
        <v>1417</v>
      </c>
      <c r="B121" s="489" t="s">
        <v>1418</v>
      </c>
      <c r="C121" s="489" t="s">
        <v>1232</v>
      </c>
      <c r="D121" s="489" t="s">
        <v>1929</v>
      </c>
      <c r="E121" s="619">
        <v>39</v>
      </c>
      <c r="F121" s="621">
        <f t="shared" si="6"/>
        <v>31225.564102564102</v>
      </c>
      <c r="G121" s="501">
        <f t="shared" si="9"/>
        <v>31739.5</v>
      </c>
      <c r="H121" s="501">
        <f t="shared" si="9"/>
        <v>33218</v>
      </c>
      <c r="I121" s="501">
        <f t="shared" si="9"/>
        <v>30159.75</v>
      </c>
      <c r="J121" s="501">
        <f t="shared" si="9"/>
        <v>31602.833333333332</v>
      </c>
      <c r="K121" s="501">
        <f t="shared" si="9"/>
        <v>31602.833333333332</v>
      </c>
      <c r="L121" s="501">
        <f t="shared" si="9"/>
        <v>32140</v>
      </c>
      <c r="M121" s="501">
        <f t="shared" si="9"/>
        <v>30740.714285714286</v>
      </c>
      <c r="N121" s="501">
        <f t="shared" si="9"/>
        <v>30532.857142857141</v>
      </c>
      <c r="O121" s="501">
        <f t="shared" si="9"/>
        <v>29190</v>
      </c>
      <c r="P121" s="501">
        <f t="shared" si="9"/>
        <v>0</v>
      </c>
      <c r="Q121" s="501">
        <f t="shared" si="9"/>
        <v>0</v>
      </c>
      <c r="R121" s="501">
        <f t="shared" si="9"/>
        <v>0</v>
      </c>
      <c r="S121" s="501">
        <f t="shared" si="9"/>
        <v>0</v>
      </c>
      <c r="T121" s="501">
        <f t="shared" si="9"/>
        <v>0</v>
      </c>
      <c r="U121" s="501">
        <f t="shared" si="9"/>
        <v>0</v>
      </c>
      <c r="Y121" s="621">
        <v>31225.564102564102</v>
      </c>
      <c r="Z121" s="501">
        <v>31739.5</v>
      </c>
      <c r="AA121" s="501">
        <v>33218</v>
      </c>
      <c r="AB121" s="501">
        <v>30159.75</v>
      </c>
      <c r="AC121" s="501">
        <v>0</v>
      </c>
      <c r="AD121" s="501">
        <v>31602.833333333332</v>
      </c>
      <c r="AE121" s="501">
        <v>32140</v>
      </c>
      <c r="AF121" s="501">
        <v>30740.714285714286</v>
      </c>
      <c r="AG121" s="501">
        <v>30532.857142857141</v>
      </c>
      <c r="AH121" s="501">
        <v>29190</v>
      </c>
      <c r="AI121" s="501">
        <v>0</v>
      </c>
      <c r="AJ121" s="501">
        <v>0</v>
      </c>
      <c r="AK121" s="501">
        <v>0</v>
      </c>
      <c r="AL121" s="501">
        <v>0</v>
      </c>
      <c r="AM121" s="501">
        <v>0</v>
      </c>
      <c r="AN121" s="501">
        <v>0</v>
      </c>
    </row>
    <row r="122" spans="1:40" x14ac:dyDescent="0.3">
      <c r="A122" s="489" t="s">
        <v>1713</v>
      </c>
      <c r="B122" s="489" t="s">
        <v>1714</v>
      </c>
      <c r="C122" s="489" t="s">
        <v>1841</v>
      </c>
      <c r="D122" s="489" t="s">
        <v>1929</v>
      </c>
      <c r="E122" s="619">
        <v>38</v>
      </c>
      <c r="F122" s="621">
        <f t="shared" si="6"/>
        <v>23714.324324324323</v>
      </c>
      <c r="G122" s="501">
        <f t="shared" si="9"/>
        <v>24600</v>
      </c>
      <c r="H122" s="501">
        <f t="shared" si="9"/>
        <v>24600</v>
      </c>
      <c r="I122" s="501">
        <f t="shared" si="9"/>
        <v>24600</v>
      </c>
      <c r="J122" s="501">
        <f t="shared" si="9"/>
        <v>24600</v>
      </c>
      <c r="K122" s="501">
        <f t="shared" si="9"/>
        <v>24600</v>
      </c>
      <c r="L122" s="501">
        <f t="shared" si="9"/>
        <v>24600</v>
      </c>
      <c r="M122" s="501">
        <f t="shared" si="9"/>
        <v>24600</v>
      </c>
      <c r="N122" s="501">
        <f t="shared" si="9"/>
        <v>24600</v>
      </c>
      <c r="O122" s="501">
        <f t="shared" si="9"/>
        <v>24600</v>
      </c>
      <c r="P122" s="501">
        <f t="shared" si="9"/>
        <v>24600</v>
      </c>
      <c r="Q122" s="501">
        <f t="shared" si="9"/>
        <v>24600</v>
      </c>
      <c r="R122" s="501">
        <f t="shared" si="9"/>
        <v>24949.666666666668</v>
      </c>
      <c r="S122" s="501">
        <f t="shared" si="9"/>
        <v>25138</v>
      </c>
      <c r="T122" s="501">
        <f t="shared" si="9"/>
        <v>23549.5</v>
      </c>
      <c r="U122" s="501">
        <f t="shared" si="9"/>
        <v>22522.18181818182</v>
      </c>
      <c r="Y122" s="621">
        <v>23714.324324324323</v>
      </c>
      <c r="Z122" s="501">
        <v>0</v>
      </c>
      <c r="AA122" s="501">
        <v>0</v>
      </c>
      <c r="AB122" s="501">
        <v>0</v>
      </c>
      <c r="AC122" s="501">
        <v>0</v>
      </c>
      <c r="AD122" s="501">
        <v>0</v>
      </c>
      <c r="AE122" s="501">
        <v>0</v>
      </c>
      <c r="AF122" s="501">
        <v>0</v>
      </c>
      <c r="AG122" s="501">
        <v>0</v>
      </c>
      <c r="AH122" s="501">
        <v>0</v>
      </c>
      <c r="AI122" s="501">
        <v>0</v>
      </c>
      <c r="AJ122" s="501">
        <v>24600</v>
      </c>
      <c r="AK122" s="501">
        <v>24949.666666666668</v>
      </c>
      <c r="AL122" s="501">
        <v>25138</v>
      </c>
      <c r="AM122" s="501">
        <v>23549.5</v>
      </c>
      <c r="AN122" s="501">
        <v>22522.18181818182</v>
      </c>
    </row>
    <row r="123" spans="1:40" x14ac:dyDescent="0.3">
      <c r="A123" s="489" t="s">
        <v>1715</v>
      </c>
      <c r="B123" s="489" t="s">
        <v>1716</v>
      </c>
      <c r="C123" s="489" t="s">
        <v>1716</v>
      </c>
      <c r="D123" s="489" t="s">
        <v>141</v>
      </c>
      <c r="E123" s="619">
        <v>38</v>
      </c>
      <c r="F123" s="621">
        <f t="shared" si="6"/>
        <v>37491.526315789473</v>
      </c>
      <c r="G123" s="501">
        <f t="shared" si="9"/>
        <v>41390</v>
      </c>
      <c r="H123" s="501">
        <f t="shared" si="9"/>
        <v>38760.791666666664</v>
      </c>
      <c r="I123" s="501">
        <f t="shared" si="9"/>
        <v>35389.875</v>
      </c>
      <c r="J123" s="501">
        <f t="shared" si="9"/>
        <v>32640</v>
      </c>
      <c r="K123" s="501">
        <f t="shared" si="9"/>
        <v>32640</v>
      </c>
      <c r="L123" s="501">
        <f t="shared" si="9"/>
        <v>30600</v>
      </c>
      <c r="M123" s="501">
        <f t="shared" si="9"/>
        <v>0</v>
      </c>
      <c r="N123" s="501">
        <f t="shared" si="9"/>
        <v>0</v>
      </c>
      <c r="O123" s="501">
        <f t="shared" si="9"/>
        <v>0</v>
      </c>
      <c r="P123" s="501">
        <f t="shared" si="9"/>
        <v>0</v>
      </c>
      <c r="Q123" s="501">
        <f t="shared" si="9"/>
        <v>0</v>
      </c>
      <c r="R123" s="501">
        <f t="shared" si="9"/>
        <v>0</v>
      </c>
      <c r="S123" s="501">
        <f t="shared" si="9"/>
        <v>0</v>
      </c>
      <c r="T123" s="501">
        <f t="shared" si="9"/>
        <v>0</v>
      </c>
      <c r="U123" s="501">
        <f t="shared" si="9"/>
        <v>0</v>
      </c>
      <c r="Y123" s="621">
        <v>37491.526315789473</v>
      </c>
      <c r="Z123" s="501">
        <v>41390</v>
      </c>
      <c r="AA123" s="501">
        <v>38760.791666666664</v>
      </c>
      <c r="AB123" s="501">
        <v>35389.875</v>
      </c>
      <c r="AC123" s="501">
        <v>32640</v>
      </c>
      <c r="AD123" s="501">
        <v>32640</v>
      </c>
      <c r="AE123" s="501">
        <v>30600</v>
      </c>
      <c r="AF123" s="501">
        <v>0</v>
      </c>
      <c r="AG123" s="501">
        <v>0</v>
      </c>
      <c r="AH123" s="501">
        <v>0</v>
      </c>
      <c r="AI123" s="501">
        <v>0</v>
      </c>
      <c r="AJ123" s="501">
        <v>0</v>
      </c>
      <c r="AK123" s="501">
        <v>0</v>
      </c>
      <c r="AL123" s="501">
        <v>0</v>
      </c>
      <c r="AM123" s="501">
        <v>0</v>
      </c>
      <c r="AN123" s="501">
        <v>0</v>
      </c>
    </row>
    <row r="124" spans="1:40" x14ac:dyDescent="0.3">
      <c r="A124" s="489" t="s">
        <v>1414</v>
      </c>
      <c r="B124" s="489" t="s">
        <v>1717</v>
      </c>
      <c r="C124" s="489" t="s">
        <v>1842</v>
      </c>
      <c r="D124" s="489" t="s">
        <v>141</v>
      </c>
      <c r="E124" s="619">
        <v>38</v>
      </c>
      <c r="F124" s="621">
        <f t="shared" si="6"/>
        <v>91071.210526315786</v>
      </c>
      <c r="G124" s="501">
        <f t="shared" si="9"/>
        <v>96205</v>
      </c>
      <c r="H124" s="501">
        <f t="shared" si="9"/>
        <v>89547.125</v>
      </c>
      <c r="I124" s="501">
        <f t="shared" si="9"/>
        <v>90301.133333333331</v>
      </c>
      <c r="J124" s="501">
        <f t="shared" si="9"/>
        <v>0</v>
      </c>
      <c r="K124" s="501">
        <f t="shared" si="9"/>
        <v>0</v>
      </c>
      <c r="L124" s="501">
        <f t="shared" si="9"/>
        <v>0</v>
      </c>
      <c r="M124" s="501">
        <f t="shared" si="9"/>
        <v>0</v>
      </c>
      <c r="N124" s="501">
        <f t="shared" si="9"/>
        <v>0</v>
      </c>
      <c r="O124" s="501">
        <f t="shared" si="9"/>
        <v>0</v>
      </c>
      <c r="P124" s="501">
        <f t="shared" si="9"/>
        <v>0</v>
      </c>
      <c r="Q124" s="501">
        <f t="shared" si="9"/>
        <v>0</v>
      </c>
      <c r="R124" s="501">
        <f t="shared" si="9"/>
        <v>0</v>
      </c>
      <c r="S124" s="501">
        <f t="shared" si="9"/>
        <v>0</v>
      </c>
      <c r="T124" s="501">
        <f t="shared" si="9"/>
        <v>0</v>
      </c>
      <c r="U124" s="501">
        <f t="shared" si="9"/>
        <v>0</v>
      </c>
      <c r="Y124" s="621">
        <v>91071.210526315786</v>
      </c>
      <c r="Z124" s="501">
        <v>96205</v>
      </c>
      <c r="AA124" s="501">
        <v>89547.125</v>
      </c>
      <c r="AB124" s="501">
        <v>90301.133333333331</v>
      </c>
      <c r="AC124" s="501">
        <v>0</v>
      </c>
      <c r="AD124" s="501">
        <v>0</v>
      </c>
      <c r="AE124" s="501">
        <v>0</v>
      </c>
      <c r="AF124" s="501">
        <v>0</v>
      </c>
      <c r="AG124" s="501">
        <v>0</v>
      </c>
      <c r="AH124" s="501">
        <v>0</v>
      </c>
      <c r="AI124" s="501">
        <v>0</v>
      </c>
      <c r="AJ124" s="501">
        <v>0</v>
      </c>
      <c r="AK124" s="501">
        <v>0</v>
      </c>
      <c r="AL124" s="501">
        <v>0</v>
      </c>
      <c r="AM124" s="501">
        <v>0</v>
      </c>
      <c r="AN124" s="501">
        <v>0</v>
      </c>
    </row>
    <row r="125" spans="1:40" x14ac:dyDescent="0.3">
      <c r="A125" s="489" t="s">
        <v>1441</v>
      </c>
      <c r="B125" s="489" t="s">
        <v>1718</v>
      </c>
      <c r="C125" s="489" t="s">
        <v>1843</v>
      </c>
      <c r="D125" s="489" t="s">
        <v>46</v>
      </c>
      <c r="E125" s="619">
        <v>37</v>
      </c>
      <c r="F125" s="621">
        <f t="shared" si="6"/>
        <v>38441.864864864867</v>
      </c>
      <c r="G125" s="501">
        <f t="shared" si="9"/>
        <v>37152.25</v>
      </c>
      <c r="H125" s="501">
        <f t="shared" si="9"/>
        <v>38797.620689655174</v>
      </c>
      <c r="I125" s="501">
        <f t="shared" si="9"/>
        <v>0</v>
      </c>
      <c r="J125" s="501">
        <f t="shared" si="9"/>
        <v>0</v>
      </c>
      <c r="K125" s="501">
        <f t="shared" si="9"/>
        <v>0</v>
      </c>
      <c r="L125" s="501">
        <f t="shared" si="9"/>
        <v>0</v>
      </c>
      <c r="M125" s="501">
        <f t="shared" si="9"/>
        <v>0</v>
      </c>
      <c r="N125" s="501">
        <f t="shared" si="9"/>
        <v>0</v>
      </c>
      <c r="O125" s="501">
        <f t="shared" si="9"/>
        <v>0</v>
      </c>
      <c r="P125" s="501">
        <f t="shared" si="9"/>
        <v>0</v>
      </c>
      <c r="Q125" s="501">
        <f t="shared" si="9"/>
        <v>0</v>
      </c>
      <c r="R125" s="501">
        <f t="shared" si="9"/>
        <v>0</v>
      </c>
      <c r="S125" s="501">
        <f t="shared" si="9"/>
        <v>0</v>
      </c>
      <c r="T125" s="501">
        <f t="shared" si="9"/>
        <v>0</v>
      </c>
      <c r="U125" s="501">
        <f t="shared" si="9"/>
        <v>0</v>
      </c>
      <c r="Y125" s="621">
        <v>38441.864864864867</v>
      </c>
      <c r="Z125" s="501">
        <v>37152.25</v>
      </c>
      <c r="AA125" s="501">
        <v>38797.620689655174</v>
      </c>
      <c r="AB125" s="501">
        <v>0</v>
      </c>
      <c r="AC125" s="501">
        <v>0</v>
      </c>
      <c r="AD125" s="501">
        <v>0</v>
      </c>
      <c r="AE125" s="501">
        <v>0</v>
      </c>
      <c r="AF125" s="501">
        <v>0</v>
      </c>
      <c r="AG125" s="501">
        <v>0</v>
      </c>
      <c r="AH125" s="501">
        <v>0</v>
      </c>
      <c r="AI125" s="501">
        <v>0</v>
      </c>
      <c r="AJ125" s="501">
        <v>0</v>
      </c>
      <c r="AK125" s="501">
        <v>0</v>
      </c>
      <c r="AL125" s="501">
        <v>0</v>
      </c>
      <c r="AM125" s="501">
        <v>0</v>
      </c>
      <c r="AN125" s="501">
        <v>0</v>
      </c>
    </row>
    <row r="126" spans="1:40" x14ac:dyDescent="0.3">
      <c r="A126" s="489" t="s">
        <v>1694</v>
      </c>
      <c r="B126" s="489" t="s">
        <v>1719</v>
      </c>
      <c r="C126" s="489" t="s">
        <v>1844</v>
      </c>
      <c r="D126" s="489" t="s">
        <v>46</v>
      </c>
      <c r="E126" s="619">
        <v>36</v>
      </c>
      <c r="F126" s="621">
        <f t="shared" si="6"/>
        <v>67045.333333333328</v>
      </c>
      <c r="G126" s="501">
        <f t="shared" si="9"/>
        <v>69261.5</v>
      </c>
      <c r="H126" s="501">
        <f t="shared" si="9"/>
        <v>112033</v>
      </c>
      <c r="I126" s="501">
        <f t="shared" si="9"/>
        <v>64751.5</v>
      </c>
      <c r="J126" s="501">
        <f t="shared" si="9"/>
        <v>66119</v>
      </c>
      <c r="K126" s="501">
        <f t="shared" si="9"/>
        <v>66195</v>
      </c>
      <c r="L126" s="501">
        <f t="shared" si="9"/>
        <v>67238.5</v>
      </c>
      <c r="M126" s="501">
        <f t="shared" si="9"/>
        <v>64511.5</v>
      </c>
      <c r="N126" s="501">
        <f t="shared" si="9"/>
        <v>68748</v>
      </c>
      <c r="O126" s="501">
        <f t="shared" si="9"/>
        <v>57398</v>
      </c>
      <c r="P126" s="501">
        <f t="shared" si="9"/>
        <v>52355.5</v>
      </c>
      <c r="Q126" s="501">
        <f t="shared" si="9"/>
        <v>49303.333333333336</v>
      </c>
      <c r="R126" s="501">
        <f t="shared" si="9"/>
        <v>112283</v>
      </c>
      <c r="S126" s="501">
        <f t="shared" si="9"/>
        <v>74789</v>
      </c>
      <c r="T126" s="501">
        <f t="shared" si="9"/>
        <v>0</v>
      </c>
      <c r="U126" s="501">
        <f t="shared" si="9"/>
        <v>0</v>
      </c>
      <c r="Y126" s="621">
        <v>67045.333333333328</v>
      </c>
      <c r="Z126" s="501">
        <v>69261.5</v>
      </c>
      <c r="AA126" s="501">
        <v>112033</v>
      </c>
      <c r="AB126" s="501">
        <v>64751.5</v>
      </c>
      <c r="AC126" s="501">
        <v>66119</v>
      </c>
      <c r="AD126" s="501">
        <v>66195</v>
      </c>
      <c r="AE126" s="501">
        <v>67238.5</v>
      </c>
      <c r="AF126" s="501">
        <v>64511.5</v>
      </c>
      <c r="AG126" s="501">
        <v>68748</v>
      </c>
      <c r="AH126" s="501">
        <v>57398</v>
      </c>
      <c r="AI126" s="501">
        <v>52355.5</v>
      </c>
      <c r="AJ126" s="501">
        <v>49303.333333333336</v>
      </c>
      <c r="AK126" s="501">
        <v>112283</v>
      </c>
      <c r="AL126" s="501">
        <v>74789</v>
      </c>
      <c r="AM126" s="501">
        <v>0</v>
      </c>
      <c r="AN126" s="501">
        <v>0</v>
      </c>
    </row>
    <row r="127" spans="1:40" x14ac:dyDescent="0.3">
      <c r="A127" s="489" t="s">
        <v>1544</v>
      </c>
      <c r="B127" s="489" t="s">
        <v>1720</v>
      </c>
      <c r="C127" s="489" t="s">
        <v>1845</v>
      </c>
      <c r="D127" s="489" t="s">
        <v>46</v>
      </c>
      <c r="E127" s="619">
        <v>36</v>
      </c>
      <c r="F127" s="621">
        <f t="shared" si="6"/>
        <v>31452.638888888891</v>
      </c>
      <c r="G127" s="501">
        <f t="shared" si="9"/>
        <v>33720</v>
      </c>
      <c r="H127" s="501">
        <f t="shared" si="9"/>
        <v>33720</v>
      </c>
      <c r="I127" s="501">
        <f t="shared" si="9"/>
        <v>33720</v>
      </c>
      <c r="J127" s="501">
        <f t="shared" si="9"/>
        <v>33720</v>
      </c>
      <c r="K127" s="501">
        <f t="shared" si="9"/>
        <v>33720</v>
      </c>
      <c r="L127" s="501">
        <f t="shared" si="9"/>
        <v>33720</v>
      </c>
      <c r="M127" s="501">
        <f t="shared" si="9"/>
        <v>34889.800000000003</v>
      </c>
      <c r="N127" s="501">
        <f t="shared" si="9"/>
        <v>28610</v>
      </c>
      <c r="O127" s="501">
        <f t="shared" si="9"/>
        <v>28394</v>
      </c>
      <c r="P127" s="501">
        <f t="shared" si="9"/>
        <v>33042.5</v>
      </c>
      <c r="Q127" s="501">
        <f t="shared" si="9"/>
        <v>30350</v>
      </c>
      <c r="R127" s="501">
        <f t="shared" si="9"/>
        <v>30350</v>
      </c>
      <c r="S127" s="501">
        <f t="shared" si="9"/>
        <v>0</v>
      </c>
      <c r="T127" s="501">
        <f t="shared" si="9"/>
        <v>0</v>
      </c>
      <c r="U127" s="501">
        <f t="shared" si="9"/>
        <v>0</v>
      </c>
      <c r="Y127" s="621">
        <v>31452.638888888891</v>
      </c>
      <c r="Z127" s="501">
        <v>0</v>
      </c>
      <c r="AA127" s="501">
        <v>0</v>
      </c>
      <c r="AB127" s="501">
        <v>0</v>
      </c>
      <c r="AC127" s="501">
        <v>0</v>
      </c>
      <c r="AD127" s="501">
        <v>0</v>
      </c>
      <c r="AE127" s="501">
        <v>33720</v>
      </c>
      <c r="AF127" s="501">
        <v>34889.800000000003</v>
      </c>
      <c r="AG127" s="501">
        <v>28610</v>
      </c>
      <c r="AH127" s="501">
        <v>28394</v>
      </c>
      <c r="AI127" s="501">
        <v>33042.5</v>
      </c>
      <c r="AJ127" s="501">
        <v>0</v>
      </c>
      <c r="AK127" s="501">
        <v>30350</v>
      </c>
      <c r="AL127" s="501">
        <v>0</v>
      </c>
      <c r="AM127" s="501">
        <v>0</v>
      </c>
      <c r="AN127" s="501">
        <v>0</v>
      </c>
    </row>
    <row r="128" spans="1:40" x14ac:dyDescent="0.3">
      <c r="A128" s="489" t="s">
        <v>1414</v>
      </c>
      <c r="B128" s="489" t="s">
        <v>1721</v>
      </c>
      <c r="C128" s="489" t="s">
        <v>1846</v>
      </c>
      <c r="D128" s="489" t="s">
        <v>46</v>
      </c>
      <c r="E128" s="619">
        <v>35</v>
      </c>
      <c r="F128" s="621">
        <f t="shared" si="6"/>
        <v>46377.599999999999</v>
      </c>
      <c r="G128" s="501">
        <f t="shared" si="9"/>
        <v>41900</v>
      </c>
      <c r="H128" s="501">
        <f t="shared" si="9"/>
        <v>41900</v>
      </c>
      <c r="I128" s="501">
        <f t="shared" si="9"/>
        <v>51966</v>
      </c>
      <c r="J128" s="501">
        <f t="shared" si="9"/>
        <v>51966</v>
      </c>
      <c r="K128" s="501">
        <f t="shared" si="9"/>
        <v>51966</v>
      </c>
      <c r="L128" s="501">
        <f t="shared" si="9"/>
        <v>50556</v>
      </c>
      <c r="M128" s="501">
        <f t="shared" si="9"/>
        <v>50556</v>
      </c>
      <c r="N128" s="501">
        <f t="shared" si="9"/>
        <v>43503</v>
      </c>
      <c r="O128" s="501">
        <f t="shared" si="9"/>
        <v>50987</v>
      </c>
      <c r="P128" s="501">
        <f t="shared" si="9"/>
        <v>47258.25</v>
      </c>
      <c r="Q128" s="501">
        <f t="shared" si="9"/>
        <v>47258.25</v>
      </c>
      <c r="R128" s="501">
        <f t="shared" si="9"/>
        <v>47258.25</v>
      </c>
      <c r="S128" s="501">
        <f t="shared" si="9"/>
        <v>46147.083333333336</v>
      </c>
      <c r="T128" s="501">
        <f t="shared" si="9"/>
        <v>44702.888888888891</v>
      </c>
      <c r="U128" s="501">
        <f t="shared" si="9"/>
        <v>46851.5</v>
      </c>
      <c r="Y128" s="621">
        <v>46377.599999999999</v>
      </c>
      <c r="Z128" s="501">
        <v>0</v>
      </c>
      <c r="AA128" s="501">
        <v>41900</v>
      </c>
      <c r="AB128" s="501">
        <v>0</v>
      </c>
      <c r="AC128" s="501">
        <v>0</v>
      </c>
      <c r="AD128" s="501">
        <v>51966</v>
      </c>
      <c r="AE128" s="501">
        <v>0</v>
      </c>
      <c r="AF128" s="501">
        <v>50556</v>
      </c>
      <c r="AG128" s="501">
        <v>43503</v>
      </c>
      <c r="AH128" s="501">
        <v>50987</v>
      </c>
      <c r="AI128" s="501">
        <v>0</v>
      </c>
      <c r="AJ128" s="501">
        <v>0</v>
      </c>
      <c r="AK128" s="501">
        <v>47258.25</v>
      </c>
      <c r="AL128" s="501">
        <v>46147.083333333336</v>
      </c>
      <c r="AM128" s="501">
        <v>44702.888888888891</v>
      </c>
      <c r="AN128" s="501">
        <v>46851.5</v>
      </c>
    </row>
    <row r="129" spans="1:40" x14ac:dyDescent="0.3">
      <c r="A129" s="489" t="s">
        <v>1677</v>
      </c>
      <c r="B129" s="489" t="s">
        <v>1722</v>
      </c>
      <c r="C129" s="489" t="s">
        <v>1847</v>
      </c>
      <c r="D129" s="489" t="s">
        <v>46</v>
      </c>
      <c r="E129" s="619">
        <v>35</v>
      </c>
      <c r="F129" s="621">
        <f t="shared" si="6"/>
        <v>67715.75</v>
      </c>
      <c r="G129" s="501">
        <f t="shared" si="9"/>
        <v>65440</v>
      </c>
      <c r="H129" s="501">
        <f t="shared" si="9"/>
        <v>65440</v>
      </c>
      <c r="I129" s="501">
        <f t="shared" si="9"/>
        <v>65440</v>
      </c>
      <c r="J129" s="501">
        <f t="shared" si="9"/>
        <v>65440</v>
      </c>
      <c r="K129" s="501">
        <f t="shared" si="9"/>
        <v>89646</v>
      </c>
      <c r="L129" s="501">
        <f t="shared" si="9"/>
        <v>89646</v>
      </c>
      <c r="M129" s="501">
        <f t="shared" si="9"/>
        <v>89646</v>
      </c>
      <c r="N129" s="501">
        <f t="shared" si="9"/>
        <v>73775</v>
      </c>
      <c r="O129" s="501">
        <f t="shared" si="9"/>
        <v>78268</v>
      </c>
      <c r="P129" s="501">
        <f t="shared" si="9"/>
        <v>78026</v>
      </c>
      <c r="Q129" s="501">
        <f t="shared" si="9"/>
        <v>50984</v>
      </c>
      <c r="R129" s="501">
        <f t="shared" si="9"/>
        <v>71580.181818181823</v>
      </c>
      <c r="S129" s="501">
        <f t="shared" si="9"/>
        <v>64066</v>
      </c>
      <c r="T129" s="501">
        <f t="shared" si="9"/>
        <v>67714</v>
      </c>
      <c r="U129" s="501">
        <f t="shared" si="9"/>
        <v>59997</v>
      </c>
      <c r="Y129" s="621">
        <v>67715.75</v>
      </c>
      <c r="Z129" s="501">
        <v>0</v>
      </c>
      <c r="AA129" s="501">
        <v>0</v>
      </c>
      <c r="AB129" s="501">
        <v>0</v>
      </c>
      <c r="AC129" s="501">
        <v>65440</v>
      </c>
      <c r="AD129" s="501">
        <v>0</v>
      </c>
      <c r="AE129" s="501">
        <v>0</v>
      </c>
      <c r="AF129" s="501">
        <v>89646</v>
      </c>
      <c r="AG129" s="501">
        <v>73775</v>
      </c>
      <c r="AH129" s="501">
        <v>78268</v>
      </c>
      <c r="AI129" s="501">
        <v>78026</v>
      </c>
      <c r="AJ129" s="501">
        <v>50984</v>
      </c>
      <c r="AK129" s="501">
        <v>71580.181818181823</v>
      </c>
      <c r="AL129" s="501">
        <v>64066</v>
      </c>
      <c r="AM129" s="501">
        <v>67714</v>
      </c>
      <c r="AN129" s="501">
        <v>59997</v>
      </c>
    </row>
    <row r="130" spans="1:40" x14ac:dyDescent="0.3">
      <c r="A130" s="489" t="s">
        <v>1694</v>
      </c>
      <c r="B130" s="489" t="s">
        <v>1723</v>
      </c>
      <c r="C130" s="489" t="s">
        <v>1848</v>
      </c>
      <c r="D130" s="489" t="s">
        <v>46</v>
      </c>
      <c r="E130" s="619">
        <v>35</v>
      </c>
      <c r="F130" s="621">
        <f t="shared" si="6"/>
        <v>73009.628571428577</v>
      </c>
      <c r="G130" s="501">
        <f t="shared" ref="G130:U145" si="10">IF(Z130&gt;0,Z130,IF(H130&gt;0,H130,0))</f>
        <v>62510</v>
      </c>
      <c r="H130" s="501">
        <f t="shared" si="10"/>
        <v>75993.5</v>
      </c>
      <c r="I130" s="501">
        <f t="shared" si="10"/>
        <v>75993.5</v>
      </c>
      <c r="J130" s="501">
        <f t="shared" si="10"/>
        <v>75993.5</v>
      </c>
      <c r="K130" s="501">
        <f t="shared" si="10"/>
        <v>75993.5</v>
      </c>
      <c r="L130" s="501">
        <f t="shared" si="10"/>
        <v>75993.5</v>
      </c>
      <c r="M130" s="501">
        <f t="shared" si="10"/>
        <v>76095.666666666672</v>
      </c>
      <c r="N130" s="501">
        <f t="shared" si="10"/>
        <v>84315.777777777781</v>
      </c>
      <c r="O130" s="501">
        <f t="shared" si="10"/>
        <v>75937</v>
      </c>
      <c r="P130" s="501">
        <f t="shared" si="10"/>
        <v>57975.375</v>
      </c>
      <c r="Q130" s="501">
        <f t="shared" si="10"/>
        <v>64555</v>
      </c>
      <c r="R130" s="501">
        <f t="shared" si="10"/>
        <v>0</v>
      </c>
      <c r="S130" s="501">
        <f t="shared" si="10"/>
        <v>0</v>
      </c>
      <c r="T130" s="501">
        <f t="shared" si="10"/>
        <v>0</v>
      </c>
      <c r="U130" s="501">
        <f t="shared" si="10"/>
        <v>0</v>
      </c>
      <c r="Y130" s="621">
        <v>73009.628571428577</v>
      </c>
      <c r="Z130" s="501">
        <v>62510</v>
      </c>
      <c r="AA130" s="501">
        <v>0</v>
      </c>
      <c r="AB130" s="501">
        <v>0</v>
      </c>
      <c r="AC130" s="501">
        <v>0</v>
      </c>
      <c r="AD130" s="501">
        <v>0</v>
      </c>
      <c r="AE130" s="501">
        <v>75993.5</v>
      </c>
      <c r="AF130" s="501">
        <v>76095.666666666672</v>
      </c>
      <c r="AG130" s="501">
        <v>84315.777777777781</v>
      </c>
      <c r="AH130" s="501">
        <v>75937</v>
      </c>
      <c r="AI130" s="501">
        <v>57975.375</v>
      </c>
      <c r="AJ130" s="501">
        <v>64555</v>
      </c>
      <c r="AK130" s="501">
        <v>0</v>
      </c>
      <c r="AL130" s="501">
        <v>0</v>
      </c>
      <c r="AM130" s="501">
        <v>0</v>
      </c>
      <c r="AN130" s="501">
        <v>0</v>
      </c>
    </row>
    <row r="131" spans="1:40" x14ac:dyDescent="0.3">
      <c r="A131" s="489" t="s">
        <v>1414</v>
      </c>
      <c r="B131" s="489" t="s">
        <v>1724</v>
      </c>
      <c r="C131" s="489" t="s">
        <v>1849</v>
      </c>
      <c r="D131" s="489" t="s">
        <v>46</v>
      </c>
      <c r="E131" s="619">
        <v>34</v>
      </c>
      <c r="F131" s="621">
        <f t="shared" ref="F131:F194" si="11">Y131</f>
        <v>49313.848484848488</v>
      </c>
      <c r="G131" s="501">
        <f t="shared" si="10"/>
        <v>0</v>
      </c>
      <c r="H131" s="501">
        <f t="shared" si="10"/>
        <v>0</v>
      </c>
      <c r="I131" s="501">
        <f t="shared" si="10"/>
        <v>0</v>
      </c>
      <c r="J131" s="501">
        <f t="shared" si="10"/>
        <v>0</v>
      </c>
      <c r="K131" s="501">
        <f t="shared" si="10"/>
        <v>0</v>
      </c>
      <c r="L131" s="501">
        <f t="shared" si="10"/>
        <v>0</v>
      </c>
      <c r="M131" s="501">
        <f t="shared" si="10"/>
        <v>0</v>
      </c>
      <c r="N131" s="501">
        <f t="shared" si="10"/>
        <v>0</v>
      </c>
      <c r="O131" s="501">
        <f t="shared" si="10"/>
        <v>0</v>
      </c>
      <c r="P131" s="501">
        <f t="shared" si="10"/>
        <v>0</v>
      </c>
      <c r="Q131" s="501">
        <f t="shared" si="10"/>
        <v>0</v>
      </c>
      <c r="R131" s="501">
        <f t="shared" si="10"/>
        <v>0</v>
      </c>
      <c r="S131" s="501">
        <f t="shared" si="10"/>
        <v>0</v>
      </c>
      <c r="T131" s="501">
        <f t="shared" si="10"/>
        <v>0</v>
      </c>
      <c r="U131" s="501">
        <f t="shared" si="10"/>
        <v>0</v>
      </c>
      <c r="Y131" s="621">
        <v>49313.848484848488</v>
      </c>
      <c r="Z131" s="501">
        <v>0</v>
      </c>
      <c r="AA131" s="501">
        <v>0</v>
      </c>
      <c r="AB131" s="501">
        <v>0</v>
      </c>
      <c r="AC131" s="501">
        <v>0</v>
      </c>
      <c r="AD131" s="501">
        <v>0</v>
      </c>
      <c r="AE131" s="501">
        <v>0</v>
      </c>
      <c r="AF131" s="501">
        <v>0</v>
      </c>
      <c r="AG131" s="501">
        <v>0</v>
      </c>
      <c r="AH131" s="501">
        <v>0</v>
      </c>
      <c r="AI131" s="501">
        <v>0</v>
      </c>
      <c r="AJ131" s="501">
        <v>0</v>
      </c>
      <c r="AK131" s="501">
        <v>0</v>
      </c>
      <c r="AL131" s="501">
        <v>0</v>
      </c>
      <c r="AM131" s="501">
        <v>0</v>
      </c>
      <c r="AN131" s="501">
        <v>0</v>
      </c>
    </row>
    <row r="132" spans="1:40" x14ac:dyDescent="0.3">
      <c r="A132" s="489" t="s">
        <v>1414</v>
      </c>
      <c r="B132" s="489" t="s">
        <v>1725</v>
      </c>
      <c r="C132" s="489" t="s">
        <v>1850</v>
      </c>
      <c r="D132" s="489" t="s">
        <v>141</v>
      </c>
      <c r="E132" s="619">
        <v>34</v>
      </c>
      <c r="F132" s="621">
        <f t="shared" si="11"/>
        <v>53697.617647058825</v>
      </c>
      <c r="G132" s="501">
        <f t="shared" si="10"/>
        <v>57165.875</v>
      </c>
      <c r="H132" s="501">
        <f t="shared" si="10"/>
        <v>57165.875</v>
      </c>
      <c r="I132" s="501">
        <f t="shared" si="10"/>
        <v>53757</v>
      </c>
      <c r="J132" s="501">
        <f t="shared" si="10"/>
        <v>51926.375</v>
      </c>
      <c r="K132" s="501">
        <f t="shared" si="10"/>
        <v>0</v>
      </c>
      <c r="L132" s="501">
        <f t="shared" si="10"/>
        <v>0</v>
      </c>
      <c r="M132" s="501">
        <f t="shared" si="10"/>
        <v>0</v>
      </c>
      <c r="N132" s="501">
        <f t="shared" si="10"/>
        <v>0</v>
      </c>
      <c r="O132" s="501">
        <f t="shared" si="10"/>
        <v>0</v>
      </c>
      <c r="P132" s="501">
        <f t="shared" si="10"/>
        <v>0</v>
      </c>
      <c r="Q132" s="501">
        <f t="shared" si="10"/>
        <v>0</v>
      </c>
      <c r="R132" s="501">
        <f t="shared" si="10"/>
        <v>0</v>
      </c>
      <c r="S132" s="501">
        <f t="shared" si="10"/>
        <v>0</v>
      </c>
      <c r="T132" s="501">
        <f t="shared" si="10"/>
        <v>0</v>
      </c>
      <c r="U132" s="501">
        <f t="shared" si="10"/>
        <v>0</v>
      </c>
      <c r="Y132" s="621">
        <v>53697.617647058825</v>
      </c>
      <c r="Z132" s="501">
        <v>0</v>
      </c>
      <c r="AA132" s="501">
        <v>57165.875</v>
      </c>
      <c r="AB132" s="501">
        <v>53757</v>
      </c>
      <c r="AC132" s="501">
        <v>51926.375</v>
      </c>
      <c r="AD132" s="501">
        <v>0</v>
      </c>
      <c r="AE132" s="501">
        <v>0</v>
      </c>
      <c r="AF132" s="501">
        <v>0</v>
      </c>
      <c r="AG132" s="501">
        <v>0</v>
      </c>
      <c r="AH132" s="501">
        <v>0</v>
      </c>
      <c r="AI132" s="501">
        <v>0</v>
      </c>
      <c r="AJ132" s="501">
        <v>0</v>
      </c>
      <c r="AK132" s="501">
        <v>0</v>
      </c>
      <c r="AL132" s="501">
        <v>0</v>
      </c>
      <c r="AM132" s="501">
        <v>0</v>
      </c>
      <c r="AN132" s="501">
        <v>0</v>
      </c>
    </row>
    <row r="133" spans="1:40" x14ac:dyDescent="0.3">
      <c r="A133" s="489" t="s">
        <v>1426</v>
      </c>
      <c r="B133" s="489" t="s">
        <v>1726</v>
      </c>
      <c r="C133" s="489" t="s">
        <v>1726</v>
      </c>
      <c r="D133" s="489" t="s">
        <v>46</v>
      </c>
      <c r="E133" s="619">
        <v>33</v>
      </c>
      <c r="F133" s="621">
        <f t="shared" si="11"/>
        <v>36914.36363636364</v>
      </c>
      <c r="G133" s="501">
        <f t="shared" si="10"/>
        <v>44712</v>
      </c>
      <c r="H133" s="501">
        <f t="shared" si="10"/>
        <v>44712</v>
      </c>
      <c r="I133" s="501">
        <f t="shared" si="10"/>
        <v>40910.5</v>
      </c>
      <c r="J133" s="501">
        <f t="shared" si="10"/>
        <v>40910.5</v>
      </c>
      <c r="K133" s="501">
        <f t="shared" si="10"/>
        <v>40910.5</v>
      </c>
      <c r="L133" s="501">
        <f t="shared" si="10"/>
        <v>40910.5</v>
      </c>
      <c r="M133" s="501">
        <f t="shared" si="10"/>
        <v>38542.6</v>
      </c>
      <c r="N133" s="501">
        <f t="shared" si="10"/>
        <v>38542.6</v>
      </c>
      <c r="O133" s="501">
        <f t="shared" si="10"/>
        <v>34167</v>
      </c>
      <c r="P133" s="501">
        <f t="shared" si="10"/>
        <v>38439.5</v>
      </c>
      <c r="Q133" s="501">
        <f t="shared" si="10"/>
        <v>34561.75</v>
      </c>
      <c r="R133" s="501">
        <f t="shared" si="10"/>
        <v>34561.75</v>
      </c>
      <c r="S133" s="501">
        <f t="shared" si="10"/>
        <v>34561.75</v>
      </c>
      <c r="T133" s="501">
        <f t="shared" si="10"/>
        <v>38300</v>
      </c>
      <c r="U133" s="501">
        <f t="shared" si="10"/>
        <v>35741</v>
      </c>
      <c r="Y133" s="621">
        <v>36914.36363636364</v>
      </c>
      <c r="Z133" s="501">
        <v>0</v>
      </c>
      <c r="AA133" s="501">
        <v>44712</v>
      </c>
      <c r="AB133" s="501">
        <v>0</v>
      </c>
      <c r="AC133" s="501">
        <v>0</v>
      </c>
      <c r="AD133" s="501">
        <v>0</v>
      </c>
      <c r="AE133" s="501">
        <v>40910.5</v>
      </c>
      <c r="AF133" s="501">
        <v>0</v>
      </c>
      <c r="AG133" s="501">
        <v>38542.6</v>
      </c>
      <c r="AH133" s="501">
        <v>34167</v>
      </c>
      <c r="AI133" s="501">
        <v>38439.5</v>
      </c>
      <c r="AJ133" s="501">
        <v>0</v>
      </c>
      <c r="AK133" s="501">
        <v>0</v>
      </c>
      <c r="AL133" s="501">
        <v>34561.75</v>
      </c>
      <c r="AM133" s="501">
        <v>38300</v>
      </c>
      <c r="AN133" s="501">
        <v>35741</v>
      </c>
    </row>
    <row r="134" spans="1:40" x14ac:dyDescent="0.3">
      <c r="A134" s="489" t="s">
        <v>1414</v>
      </c>
      <c r="B134" s="489" t="s">
        <v>1727</v>
      </c>
      <c r="C134" s="489" t="s">
        <v>1851</v>
      </c>
      <c r="D134" s="489" t="s">
        <v>46</v>
      </c>
      <c r="E134" s="619">
        <v>33</v>
      </c>
      <c r="F134" s="621">
        <f t="shared" si="11"/>
        <v>73830.774193548394</v>
      </c>
      <c r="G134" s="501">
        <f t="shared" si="10"/>
        <v>78545</v>
      </c>
      <c r="H134" s="501">
        <f t="shared" si="10"/>
        <v>78545</v>
      </c>
      <c r="I134" s="501">
        <f t="shared" si="10"/>
        <v>78545</v>
      </c>
      <c r="J134" s="501">
        <f t="shared" si="10"/>
        <v>78545</v>
      </c>
      <c r="K134" s="501">
        <f t="shared" si="10"/>
        <v>78545</v>
      </c>
      <c r="L134" s="501">
        <f t="shared" si="10"/>
        <v>78545</v>
      </c>
      <c r="M134" s="501">
        <f t="shared" si="10"/>
        <v>72071.666666666672</v>
      </c>
      <c r="N134" s="501">
        <f t="shared" si="10"/>
        <v>79452</v>
      </c>
      <c r="O134" s="501">
        <f t="shared" si="10"/>
        <v>84520</v>
      </c>
      <c r="P134" s="501">
        <f t="shared" si="10"/>
        <v>68716</v>
      </c>
      <c r="Q134" s="501">
        <f t="shared" si="10"/>
        <v>73725.333333333328</v>
      </c>
      <c r="R134" s="501">
        <f t="shared" si="10"/>
        <v>68057</v>
      </c>
      <c r="S134" s="501">
        <f t="shared" si="10"/>
        <v>68057</v>
      </c>
      <c r="T134" s="501">
        <f t="shared" si="10"/>
        <v>68390.75</v>
      </c>
      <c r="U134" s="501">
        <f t="shared" si="10"/>
        <v>72357.2</v>
      </c>
      <c r="Y134" s="621">
        <v>73830.774193548394</v>
      </c>
      <c r="Z134" s="501">
        <v>0</v>
      </c>
      <c r="AA134" s="501">
        <v>0</v>
      </c>
      <c r="AB134" s="501">
        <v>0</v>
      </c>
      <c r="AC134" s="501">
        <v>0</v>
      </c>
      <c r="AD134" s="501">
        <v>0</v>
      </c>
      <c r="AE134" s="501">
        <v>78545</v>
      </c>
      <c r="AF134" s="501">
        <v>72071.666666666672</v>
      </c>
      <c r="AG134" s="501">
        <v>79452</v>
      </c>
      <c r="AH134" s="501">
        <v>84520</v>
      </c>
      <c r="AI134" s="501">
        <v>68716</v>
      </c>
      <c r="AJ134" s="501">
        <v>73725.333333333328</v>
      </c>
      <c r="AK134" s="501">
        <v>0</v>
      </c>
      <c r="AL134" s="501">
        <v>68057</v>
      </c>
      <c r="AM134" s="501">
        <v>68390.75</v>
      </c>
      <c r="AN134" s="501">
        <v>72357.2</v>
      </c>
    </row>
    <row r="135" spans="1:40" x14ac:dyDescent="0.3">
      <c r="A135" s="489" t="s">
        <v>1414</v>
      </c>
      <c r="B135" s="489" t="s">
        <v>1728</v>
      </c>
      <c r="C135" s="489" t="s">
        <v>1852</v>
      </c>
      <c r="D135" s="489" t="s">
        <v>46</v>
      </c>
      <c r="E135" s="619">
        <v>33</v>
      </c>
      <c r="F135" s="621">
        <f t="shared" si="11"/>
        <v>133253.30303030304</v>
      </c>
      <c r="G135" s="501">
        <f t="shared" si="10"/>
        <v>155660</v>
      </c>
      <c r="H135" s="501">
        <f t="shared" si="10"/>
        <v>155660</v>
      </c>
      <c r="I135" s="501">
        <f t="shared" si="10"/>
        <v>155660</v>
      </c>
      <c r="J135" s="501">
        <f t="shared" si="10"/>
        <v>138349</v>
      </c>
      <c r="K135" s="501">
        <f t="shared" si="10"/>
        <v>138349</v>
      </c>
      <c r="L135" s="501">
        <f t="shared" si="10"/>
        <v>168258</v>
      </c>
      <c r="M135" s="501">
        <f t="shared" si="10"/>
        <v>140160.5</v>
      </c>
      <c r="N135" s="501">
        <f t="shared" si="10"/>
        <v>140160.5</v>
      </c>
      <c r="O135" s="501">
        <f t="shared" si="10"/>
        <v>127467.33333333333</v>
      </c>
      <c r="P135" s="501">
        <f t="shared" si="10"/>
        <v>136866.375</v>
      </c>
      <c r="Q135" s="501">
        <f t="shared" si="10"/>
        <v>132028.77777777778</v>
      </c>
      <c r="R135" s="501">
        <f t="shared" si="10"/>
        <v>121538</v>
      </c>
      <c r="S135" s="501">
        <f t="shared" si="10"/>
        <v>120625</v>
      </c>
      <c r="T135" s="501">
        <f t="shared" si="10"/>
        <v>0</v>
      </c>
      <c r="U135" s="501">
        <f t="shared" si="10"/>
        <v>0</v>
      </c>
      <c r="Y135" s="621">
        <v>133253.30303030304</v>
      </c>
      <c r="Z135" s="501">
        <v>0</v>
      </c>
      <c r="AA135" s="501">
        <v>0</v>
      </c>
      <c r="AB135" s="501">
        <v>155660</v>
      </c>
      <c r="AC135" s="501">
        <v>0</v>
      </c>
      <c r="AD135" s="501">
        <v>138349</v>
      </c>
      <c r="AE135" s="501">
        <v>168258</v>
      </c>
      <c r="AF135" s="501">
        <v>0</v>
      </c>
      <c r="AG135" s="501">
        <v>140160.5</v>
      </c>
      <c r="AH135" s="501">
        <v>127467.33333333333</v>
      </c>
      <c r="AI135" s="501">
        <v>136866.375</v>
      </c>
      <c r="AJ135" s="501">
        <v>132028.77777777778</v>
      </c>
      <c r="AK135" s="501">
        <v>121538</v>
      </c>
      <c r="AL135" s="501">
        <v>120625</v>
      </c>
      <c r="AM135" s="501">
        <v>0</v>
      </c>
      <c r="AN135" s="501">
        <v>0</v>
      </c>
    </row>
    <row r="136" spans="1:40" x14ac:dyDescent="0.3">
      <c r="A136" s="489" t="s">
        <v>1414</v>
      </c>
      <c r="B136" s="489" t="s">
        <v>1729</v>
      </c>
      <c r="C136" s="489" t="s">
        <v>1853</v>
      </c>
      <c r="D136" s="489" t="s">
        <v>46</v>
      </c>
      <c r="E136" s="619">
        <v>33</v>
      </c>
      <c r="F136" s="621">
        <f t="shared" si="11"/>
        <v>160896.06060606061</v>
      </c>
      <c r="G136" s="501">
        <f t="shared" si="10"/>
        <v>188356</v>
      </c>
      <c r="H136" s="501">
        <f t="shared" si="10"/>
        <v>192278.5</v>
      </c>
      <c r="I136" s="501">
        <f t="shared" si="10"/>
        <v>188899</v>
      </c>
      <c r="J136" s="501">
        <f t="shared" si="10"/>
        <v>195100</v>
      </c>
      <c r="K136" s="501">
        <f t="shared" si="10"/>
        <v>145538</v>
      </c>
      <c r="L136" s="501">
        <f t="shared" si="10"/>
        <v>155600.25</v>
      </c>
      <c r="M136" s="501">
        <f t="shared" si="10"/>
        <v>146298</v>
      </c>
      <c r="N136" s="501">
        <f t="shared" si="10"/>
        <v>155500</v>
      </c>
      <c r="O136" s="501">
        <f t="shared" si="10"/>
        <v>0</v>
      </c>
      <c r="P136" s="501">
        <f t="shared" si="10"/>
        <v>0</v>
      </c>
      <c r="Q136" s="501">
        <f t="shared" si="10"/>
        <v>0</v>
      </c>
      <c r="R136" s="501">
        <f t="shared" si="10"/>
        <v>0</v>
      </c>
      <c r="S136" s="501">
        <f t="shared" si="10"/>
        <v>0</v>
      </c>
      <c r="T136" s="501">
        <f t="shared" si="10"/>
        <v>0</v>
      </c>
      <c r="U136" s="501">
        <f t="shared" si="10"/>
        <v>0</v>
      </c>
      <c r="Y136" s="621">
        <v>160896.06060606061</v>
      </c>
      <c r="Z136" s="501">
        <v>188356</v>
      </c>
      <c r="AA136" s="501">
        <v>192278.5</v>
      </c>
      <c r="AB136" s="501">
        <v>188899</v>
      </c>
      <c r="AC136" s="501">
        <v>195100</v>
      </c>
      <c r="AD136" s="501">
        <v>145538</v>
      </c>
      <c r="AE136" s="501">
        <v>155600.25</v>
      </c>
      <c r="AF136" s="501">
        <v>146298</v>
      </c>
      <c r="AG136" s="501">
        <v>155500</v>
      </c>
      <c r="AH136" s="501">
        <v>0</v>
      </c>
      <c r="AI136" s="501">
        <v>0</v>
      </c>
      <c r="AJ136" s="501">
        <v>0</v>
      </c>
      <c r="AK136" s="501">
        <v>0</v>
      </c>
      <c r="AL136" s="501">
        <v>0</v>
      </c>
      <c r="AM136" s="501">
        <v>0</v>
      </c>
      <c r="AN136" s="501">
        <v>0</v>
      </c>
    </row>
    <row r="137" spans="1:40" x14ac:dyDescent="0.3">
      <c r="A137" s="489" t="s">
        <v>1605</v>
      </c>
      <c r="B137" s="489" t="s">
        <v>1730</v>
      </c>
      <c r="C137" s="489" t="s">
        <v>1854</v>
      </c>
      <c r="D137" s="489" t="s">
        <v>46</v>
      </c>
      <c r="E137" s="619">
        <v>32</v>
      </c>
      <c r="F137" s="621">
        <f t="shared" si="11"/>
        <v>65825.59375</v>
      </c>
      <c r="G137" s="501">
        <f t="shared" si="10"/>
        <v>65117</v>
      </c>
      <c r="H137" s="501">
        <f t="shared" si="10"/>
        <v>65117</v>
      </c>
      <c r="I137" s="501">
        <f t="shared" si="10"/>
        <v>63293</v>
      </c>
      <c r="J137" s="501">
        <f t="shared" si="10"/>
        <v>67395.5</v>
      </c>
      <c r="K137" s="501">
        <f t="shared" si="10"/>
        <v>67395.5</v>
      </c>
      <c r="L137" s="501">
        <f t="shared" si="10"/>
        <v>67395.5</v>
      </c>
      <c r="M137" s="501">
        <f t="shared" si="10"/>
        <v>69009.272727272721</v>
      </c>
      <c r="N137" s="501">
        <f t="shared" si="10"/>
        <v>61909.5</v>
      </c>
      <c r="O137" s="501">
        <f t="shared" si="10"/>
        <v>64427.5</v>
      </c>
      <c r="P137" s="501">
        <f t="shared" si="10"/>
        <v>60964</v>
      </c>
      <c r="Q137" s="501">
        <f t="shared" si="10"/>
        <v>62265</v>
      </c>
      <c r="R137" s="501">
        <f t="shared" si="10"/>
        <v>53940</v>
      </c>
      <c r="S137" s="501">
        <f t="shared" si="10"/>
        <v>53940</v>
      </c>
      <c r="T137" s="501">
        <f t="shared" si="10"/>
        <v>0</v>
      </c>
      <c r="U137" s="501">
        <f t="shared" si="10"/>
        <v>0</v>
      </c>
      <c r="Y137" s="621">
        <v>65825.59375</v>
      </c>
      <c r="Z137" s="501">
        <v>0</v>
      </c>
      <c r="AA137" s="501">
        <v>65117</v>
      </c>
      <c r="AB137" s="501">
        <v>63293</v>
      </c>
      <c r="AC137" s="501">
        <v>0</v>
      </c>
      <c r="AD137" s="501">
        <v>0</v>
      </c>
      <c r="AE137" s="501">
        <v>67395.5</v>
      </c>
      <c r="AF137" s="501">
        <v>69009.272727272721</v>
      </c>
      <c r="AG137" s="501">
        <v>61909.5</v>
      </c>
      <c r="AH137" s="501">
        <v>64427.5</v>
      </c>
      <c r="AI137" s="501">
        <v>60964</v>
      </c>
      <c r="AJ137" s="501">
        <v>62265</v>
      </c>
      <c r="AK137" s="501">
        <v>0</v>
      </c>
      <c r="AL137" s="501">
        <v>53940</v>
      </c>
      <c r="AM137" s="501">
        <v>0</v>
      </c>
      <c r="AN137" s="501">
        <v>0</v>
      </c>
    </row>
    <row r="138" spans="1:40" x14ac:dyDescent="0.3">
      <c r="A138" s="489" t="s">
        <v>1451</v>
      </c>
      <c r="B138" s="489" t="s">
        <v>1731</v>
      </c>
      <c r="C138" s="489" t="s">
        <v>1855</v>
      </c>
      <c r="D138" s="489" t="s">
        <v>46</v>
      </c>
      <c r="E138" s="619">
        <v>32</v>
      </c>
      <c r="F138" s="621">
        <f t="shared" si="11"/>
        <v>33342.96875</v>
      </c>
      <c r="G138" s="501">
        <f t="shared" si="10"/>
        <v>33425.333333333336</v>
      </c>
      <c r="H138" s="501">
        <f t="shared" si="10"/>
        <v>35529.5</v>
      </c>
      <c r="I138" s="501">
        <f t="shared" si="10"/>
        <v>35962.666666666664</v>
      </c>
      <c r="J138" s="501">
        <f t="shared" si="10"/>
        <v>33511.75</v>
      </c>
      <c r="K138" s="501">
        <f t="shared" si="10"/>
        <v>36426.333333333336</v>
      </c>
      <c r="L138" s="501">
        <f t="shared" si="10"/>
        <v>32220</v>
      </c>
      <c r="M138" s="501">
        <f t="shared" si="10"/>
        <v>32220</v>
      </c>
      <c r="N138" s="501">
        <f t="shared" si="10"/>
        <v>33008.5</v>
      </c>
      <c r="O138" s="501">
        <f t="shared" si="10"/>
        <v>29513.166666666668</v>
      </c>
      <c r="P138" s="501">
        <f t="shared" si="10"/>
        <v>0</v>
      </c>
      <c r="Q138" s="501">
        <f t="shared" si="10"/>
        <v>0</v>
      </c>
      <c r="R138" s="501">
        <f t="shared" si="10"/>
        <v>0</v>
      </c>
      <c r="S138" s="501">
        <f t="shared" si="10"/>
        <v>0</v>
      </c>
      <c r="T138" s="501">
        <f t="shared" si="10"/>
        <v>0</v>
      </c>
      <c r="U138" s="501">
        <f t="shared" si="10"/>
        <v>0</v>
      </c>
      <c r="Y138" s="621">
        <v>33342.96875</v>
      </c>
      <c r="Z138" s="501">
        <v>33425.333333333336</v>
      </c>
      <c r="AA138" s="501">
        <v>35529.5</v>
      </c>
      <c r="AB138" s="501">
        <v>35962.666666666664</v>
      </c>
      <c r="AC138" s="501">
        <v>33511.75</v>
      </c>
      <c r="AD138" s="501">
        <v>36426.333333333336</v>
      </c>
      <c r="AE138" s="501">
        <v>0</v>
      </c>
      <c r="AF138" s="501">
        <v>32220</v>
      </c>
      <c r="AG138" s="501">
        <v>33008.5</v>
      </c>
      <c r="AH138" s="501">
        <v>29513.166666666668</v>
      </c>
      <c r="AI138" s="501">
        <v>0</v>
      </c>
      <c r="AJ138" s="501">
        <v>0</v>
      </c>
      <c r="AK138" s="501">
        <v>0</v>
      </c>
      <c r="AL138" s="501">
        <v>0</v>
      </c>
      <c r="AM138" s="501">
        <v>0</v>
      </c>
      <c r="AN138" s="501">
        <v>0</v>
      </c>
    </row>
    <row r="139" spans="1:40" x14ac:dyDescent="0.3">
      <c r="A139" s="489" t="s">
        <v>1414</v>
      </c>
      <c r="B139" s="489" t="s">
        <v>1732</v>
      </c>
      <c r="C139" s="489" t="s">
        <v>1856</v>
      </c>
      <c r="D139" s="489" t="s">
        <v>46</v>
      </c>
      <c r="E139" s="619">
        <v>31</v>
      </c>
      <c r="F139" s="621">
        <f t="shared" si="11"/>
        <v>58791.5</v>
      </c>
      <c r="G139" s="501">
        <f t="shared" si="10"/>
        <v>73757</v>
      </c>
      <c r="H139" s="501">
        <f t="shared" si="10"/>
        <v>73757</v>
      </c>
      <c r="I139" s="501">
        <f t="shared" si="10"/>
        <v>73757</v>
      </c>
      <c r="J139" s="501">
        <f t="shared" si="10"/>
        <v>73757</v>
      </c>
      <c r="K139" s="501">
        <f t="shared" si="10"/>
        <v>73757</v>
      </c>
      <c r="L139" s="501">
        <f t="shared" si="10"/>
        <v>73757</v>
      </c>
      <c r="M139" s="501">
        <f t="shared" si="10"/>
        <v>73757</v>
      </c>
      <c r="N139" s="501">
        <f t="shared" si="10"/>
        <v>73757</v>
      </c>
      <c r="O139" s="501">
        <f t="shared" si="10"/>
        <v>73757</v>
      </c>
      <c r="P139" s="501">
        <f t="shared" si="10"/>
        <v>73757</v>
      </c>
      <c r="Q139" s="501">
        <f t="shared" si="10"/>
        <v>73757</v>
      </c>
      <c r="R139" s="501">
        <f t="shared" si="10"/>
        <v>73757</v>
      </c>
      <c r="S139" s="501">
        <f t="shared" si="10"/>
        <v>73757</v>
      </c>
      <c r="T139" s="501">
        <f t="shared" si="10"/>
        <v>47816.800000000003</v>
      </c>
      <c r="U139" s="501">
        <f t="shared" si="10"/>
        <v>0</v>
      </c>
      <c r="Y139" s="621">
        <v>58791.5</v>
      </c>
      <c r="Z139" s="501">
        <v>0</v>
      </c>
      <c r="AA139" s="501">
        <v>0</v>
      </c>
      <c r="AB139" s="501">
        <v>0</v>
      </c>
      <c r="AC139" s="501">
        <v>0</v>
      </c>
      <c r="AD139" s="501">
        <v>0</v>
      </c>
      <c r="AE139" s="501">
        <v>0</v>
      </c>
      <c r="AF139" s="501">
        <v>0</v>
      </c>
      <c r="AG139" s="501">
        <v>0</v>
      </c>
      <c r="AH139" s="501">
        <v>0</v>
      </c>
      <c r="AI139" s="501">
        <v>0</v>
      </c>
      <c r="AJ139" s="501">
        <v>0</v>
      </c>
      <c r="AK139" s="501">
        <v>0</v>
      </c>
      <c r="AL139" s="501">
        <v>73757</v>
      </c>
      <c r="AM139" s="501">
        <v>47816.800000000003</v>
      </c>
      <c r="AN139" s="501">
        <v>0</v>
      </c>
    </row>
    <row r="140" spans="1:40" x14ac:dyDescent="0.3">
      <c r="A140" s="489" t="s">
        <v>1567</v>
      </c>
      <c r="B140" s="489">
        <v>5008</v>
      </c>
      <c r="C140" s="489" t="s">
        <v>1857</v>
      </c>
      <c r="D140" s="489" t="s">
        <v>46</v>
      </c>
      <c r="E140" s="619">
        <v>30</v>
      </c>
      <c r="F140" s="621">
        <f t="shared" si="11"/>
        <v>37770.800000000003</v>
      </c>
      <c r="G140" s="501">
        <f t="shared" si="10"/>
        <v>46249</v>
      </c>
      <c r="H140" s="501">
        <f t="shared" si="10"/>
        <v>49130.5</v>
      </c>
      <c r="I140" s="501">
        <f t="shared" si="10"/>
        <v>49130.5</v>
      </c>
      <c r="J140" s="501">
        <f t="shared" si="10"/>
        <v>47439</v>
      </c>
      <c r="K140" s="501">
        <f t="shared" si="10"/>
        <v>47789</v>
      </c>
      <c r="L140" s="501">
        <f t="shared" si="10"/>
        <v>47789</v>
      </c>
      <c r="M140" s="501">
        <f t="shared" si="10"/>
        <v>40639.75</v>
      </c>
      <c r="N140" s="501">
        <f t="shared" si="10"/>
        <v>35339</v>
      </c>
      <c r="O140" s="501">
        <f t="shared" si="10"/>
        <v>39044.5</v>
      </c>
      <c r="P140" s="501">
        <f t="shared" si="10"/>
        <v>35770</v>
      </c>
      <c r="Q140" s="501">
        <f t="shared" si="10"/>
        <v>34570</v>
      </c>
      <c r="R140" s="501">
        <f t="shared" si="10"/>
        <v>32410.5</v>
      </c>
      <c r="S140" s="501">
        <f t="shared" si="10"/>
        <v>33056.666666666664</v>
      </c>
      <c r="T140" s="501">
        <f t="shared" si="10"/>
        <v>37720</v>
      </c>
      <c r="U140" s="501">
        <f t="shared" si="10"/>
        <v>36630</v>
      </c>
      <c r="Y140" s="621">
        <v>37770.800000000003</v>
      </c>
      <c r="Z140" s="501">
        <v>46249</v>
      </c>
      <c r="AA140" s="501">
        <v>0</v>
      </c>
      <c r="AB140" s="501">
        <v>49130.5</v>
      </c>
      <c r="AC140" s="501">
        <v>47439</v>
      </c>
      <c r="AD140" s="501">
        <v>0</v>
      </c>
      <c r="AE140" s="501">
        <v>47789</v>
      </c>
      <c r="AF140" s="501">
        <v>40639.75</v>
      </c>
      <c r="AG140" s="501">
        <v>35339</v>
      </c>
      <c r="AH140" s="501">
        <v>39044.5</v>
      </c>
      <c r="AI140" s="501">
        <v>35770</v>
      </c>
      <c r="AJ140" s="501">
        <v>34570</v>
      </c>
      <c r="AK140" s="501">
        <v>32410.5</v>
      </c>
      <c r="AL140" s="501">
        <v>33056.666666666664</v>
      </c>
      <c r="AM140" s="501">
        <v>37720</v>
      </c>
      <c r="AN140" s="501">
        <v>36630</v>
      </c>
    </row>
    <row r="141" spans="1:40" x14ac:dyDescent="0.3">
      <c r="A141" s="489" t="s">
        <v>1414</v>
      </c>
      <c r="B141" s="489" t="s">
        <v>1371</v>
      </c>
      <c r="C141" s="489" t="s">
        <v>1425</v>
      </c>
      <c r="D141" s="489" t="s">
        <v>45</v>
      </c>
      <c r="E141" s="619">
        <v>30</v>
      </c>
      <c r="F141" s="621">
        <f t="shared" si="11"/>
        <v>237127.27586206896</v>
      </c>
      <c r="G141" s="501">
        <f t="shared" si="10"/>
        <v>235592</v>
      </c>
      <c r="H141" s="501">
        <f t="shared" si="10"/>
        <v>235592</v>
      </c>
      <c r="I141" s="501">
        <f t="shared" si="10"/>
        <v>235592</v>
      </c>
      <c r="J141" s="501">
        <f t="shared" si="10"/>
        <v>235592</v>
      </c>
      <c r="K141" s="501">
        <f t="shared" si="10"/>
        <v>235592</v>
      </c>
      <c r="L141" s="501">
        <f t="shared" si="10"/>
        <v>242522.17647058822</v>
      </c>
      <c r="M141" s="501">
        <f t="shared" si="10"/>
        <v>245420</v>
      </c>
      <c r="N141" s="501">
        <f t="shared" si="10"/>
        <v>152474</v>
      </c>
      <c r="O141" s="501">
        <f t="shared" si="10"/>
        <v>152474</v>
      </c>
      <c r="P141" s="501">
        <f t="shared" si="10"/>
        <v>152474</v>
      </c>
      <c r="Q141" s="501">
        <f t="shared" si="10"/>
        <v>152474</v>
      </c>
      <c r="R141" s="501">
        <f t="shared" si="10"/>
        <v>0</v>
      </c>
      <c r="S141" s="501">
        <f t="shared" si="10"/>
        <v>0</v>
      </c>
      <c r="T141" s="501">
        <f t="shared" si="10"/>
        <v>0</v>
      </c>
      <c r="U141" s="501">
        <f t="shared" si="10"/>
        <v>0</v>
      </c>
      <c r="Y141" s="621">
        <v>237127.27586206896</v>
      </c>
      <c r="Z141" s="501">
        <v>0</v>
      </c>
      <c r="AA141" s="501">
        <v>0</v>
      </c>
      <c r="AB141" s="501">
        <v>0</v>
      </c>
      <c r="AC141" s="501">
        <v>235592</v>
      </c>
      <c r="AD141" s="501">
        <v>235592</v>
      </c>
      <c r="AE141" s="501">
        <v>242522.17647058822</v>
      </c>
      <c r="AF141" s="501">
        <v>245420</v>
      </c>
      <c r="AG141" s="501">
        <v>0</v>
      </c>
      <c r="AH141" s="501">
        <v>0</v>
      </c>
      <c r="AI141" s="501">
        <v>0</v>
      </c>
      <c r="AJ141" s="501">
        <v>152474</v>
      </c>
      <c r="AK141" s="501">
        <v>0</v>
      </c>
      <c r="AL141" s="501">
        <v>0</v>
      </c>
      <c r="AM141" s="501">
        <v>0</v>
      </c>
      <c r="AN141" s="501">
        <v>0</v>
      </c>
    </row>
    <row r="142" spans="1:40" x14ac:dyDescent="0.3">
      <c r="A142" s="489" t="s">
        <v>1432</v>
      </c>
      <c r="B142" s="489" t="s">
        <v>1663</v>
      </c>
      <c r="C142" s="489" t="s">
        <v>1858</v>
      </c>
      <c r="D142" s="489" t="s">
        <v>46</v>
      </c>
      <c r="E142" s="619">
        <v>29</v>
      </c>
      <c r="F142" s="621">
        <f t="shared" si="11"/>
        <v>39015.551724137928</v>
      </c>
      <c r="G142" s="501">
        <f t="shared" si="10"/>
        <v>56367.5</v>
      </c>
      <c r="H142" s="501">
        <f t="shared" si="10"/>
        <v>56367.5</v>
      </c>
      <c r="I142" s="501">
        <f t="shared" si="10"/>
        <v>48721</v>
      </c>
      <c r="J142" s="501">
        <f t="shared" si="10"/>
        <v>48721</v>
      </c>
      <c r="K142" s="501">
        <f t="shared" si="10"/>
        <v>39113.5</v>
      </c>
      <c r="L142" s="501">
        <f t="shared" si="10"/>
        <v>39113.5</v>
      </c>
      <c r="M142" s="501">
        <f t="shared" si="10"/>
        <v>39113.5</v>
      </c>
      <c r="N142" s="501">
        <f t="shared" si="10"/>
        <v>39113.5</v>
      </c>
      <c r="O142" s="501">
        <f t="shared" si="10"/>
        <v>36803</v>
      </c>
      <c r="P142" s="501">
        <f t="shared" si="10"/>
        <v>32380</v>
      </c>
      <c r="Q142" s="501">
        <f t="shared" si="10"/>
        <v>34842</v>
      </c>
      <c r="R142" s="501">
        <f t="shared" si="10"/>
        <v>50434</v>
      </c>
      <c r="S142" s="501">
        <f t="shared" si="10"/>
        <v>43525</v>
      </c>
      <c r="T142" s="501">
        <f t="shared" si="10"/>
        <v>35495</v>
      </c>
      <c r="U142" s="501">
        <f t="shared" si="10"/>
        <v>42070</v>
      </c>
      <c r="Y142" s="621">
        <v>39015.551724137928</v>
      </c>
      <c r="Z142" s="501">
        <v>0</v>
      </c>
      <c r="AA142" s="501">
        <v>56367.5</v>
      </c>
      <c r="AB142" s="501">
        <v>0</v>
      </c>
      <c r="AC142" s="501">
        <v>48721</v>
      </c>
      <c r="AD142" s="501">
        <v>0</v>
      </c>
      <c r="AE142" s="501">
        <v>0</v>
      </c>
      <c r="AF142" s="501">
        <v>0</v>
      </c>
      <c r="AG142" s="501">
        <v>39113.5</v>
      </c>
      <c r="AH142" s="501">
        <v>36803</v>
      </c>
      <c r="AI142" s="501">
        <v>32380</v>
      </c>
      <c r="AJ142" s="501">
        <v>34842</v>
      </c>
      <c r="AK142" s="501">
        <v>50434</v>
      </c>
      <c r="AL142" s="501">
        <v>43525</v>
      </c>
      <c r="AM142" s="501">
        <v>35495</v>
      </c>
      <c r="AN142" s="501">
        <v>42070</v>
      </c>
    </row>
    <row r="143" spans="1:40" x14ac:dyDescent="0.3">
      <c r="A143" s="489" t="s">
        <v>1414</v>
      </c>
      <c r="B143" s="489" t="s">
        <v>1664</v>
      </c>
      <c r="C143" s="489" t="s">
        <v>1859</v>
      </c>
      <c r="D143" s="489" t="s">
        <v>46</v>
      </c>
      <c r="E143" s="619">
        <v>29</v>
      </c>
      <c r="F143" s="621">
        <f t="shared" si="11"/>
        <v>90886.827586206899</v>
      </c>
      <c r="G143" s="501">
        <f t="shared" si="10"/>
        <v>100942</v>
      </c>
      <c r="H143" s="501">
        <f t="shared" si="10"/>
        <v>86082</v>
      </c>
      <c r="I143" s="501">
        <f t="shared" si="10"/>
        <v>82154</v>
      </c>
      <c r="J143" s="501">
        <f t="shared" si="10"/>
        <v>82154</v>
      </c>
      <c r="K143" s="501">
        <f t="shared" si="10"/>
        <v>95163</v>
      </c>
      <c r="L143" s="501">
        <f t="shared" si="10"/>
        <v>93963.28571428571</v>
      </c>
      <c r="M143" s="501">
        <f t="shared" si="10"/>
        <v>95907.857142857145</v>
      </c>
      <c r="N143" s="501">
        <f t="shared" si="10"/>
        <v>88976.8</v>
      </c>
      <c r="O143" s="501">
        <f t="shared" si="10"/>
        <v>80446.399999999994</v>
      </c>
      <c r="P143" s="501">
        <f t="shared" si="10"/>
        <v>0</v>
      </c>
      <c r="Q143" s="501">
        <f t="shared" si="10"/>
        <v>0</v>
      </c>
      <c r="R143" s="501">
        <f t="shared" si="10"/>
        <v>0</v>
      </c>
      <c r="S143" s="501">
        <f t="shared" si="10"/>
        <v>0</v>
      </c>
      <c r="T143" s="501">
        <f t="shared" si="10"/>
        <v>0</v>
      </c>
      <c r="U143" s="501">
        <f t="shared" si="10"/>
        <v>0</v>
      </c>
      <c r="Y143" s="621">
        <v>90886.827586206899</v>
      </c>
      <c r="Z143" s="501">
        <v>100942</v>
      </c>
      <c r="AA143" s="501">
        <v>86082</v>
      </c>
      <c r="AB143" s="501">
        <v>0</v>
      </c>
      <c r="AC143" s="501">
        <v>82154</v>
      </c>
      <c r="AD143" s="501">
        <v>95163</v>
      </c>
      <c r="AE143" s="501">
        <v>93963.28571428571</v>
      </c>
      <c r="AF143" s="501">
        <v>95907.857142857145</v>
      </c>
      <c r="AG143" s="501">
        <v>88976.8</v>
      </c>
      <c r="AH143" s="501">
        <v>80446.399999999994</v>
      </c>
      <c r="AI143" s="501">
        <v>0</v>
      </c>
      <c r="AJ143" s="501">
        <v>0</v>
      </c>
      <c r="AK143" s="501">
        <v>0</v>
      </c>
      <c r="AL143" s="501">
        <v>0</v>
      </c>
      <c r="AM143" s="501">
        <v>0</v>
      </c>
      <c r="AN143" s="501">
        <v>0</v>
      </c>
    </row>
    <row r="144" spans="1:40" x14ac:dyDescent="0.3">
      <c r="A144" s="489" t="s">
        <v>1441</v>
      </c>
      <c r="B144" s="489" t="s">
        <v>1733</v>
      </c>
      <c r="C144" s="489" t="s">
        <v>1860</v>
      </c>
      <c r="D144" s="489" t="s">
        <v>46</v>
      </c>
      <c r="E144" s="619">
        <v>28</v>
      </c>
      <c r="F144" s="621">
        <f t="shared" si="11"/>
        <v>38401.5</v>
      </c>
      <c r="G144" s="501">
        <f t="shared" si="10"/>
        <v>80159</v>
      </c>
      <c r="H144" s="501">
        <f t="shared" si="10"/>
        <v>80159</v>
      </c>
      <c r="I144" s="501">
        <f t="shared" si="10"/>
        <v>80159</v>
      </c>
      <c r="J144" s="501">
        <f t="shared" si="10"/>
        <v>80159</v>
      </c>
      <c r="K144" s="501">
        <f t="shared" si="10"/>
        <v>80159</v>
      </c>
      <c r="L144" s="501">
        <f t="shared" si="10"/>
        <v>80159</v>
      </c>
      <c r="M144" s="501">
        <f t="shared" si="10"/>
        <v>80159</v>
      </c>
      <c r="N144" s="501">
        <f t="shared" si="10"/>
        <v>80159</v>
      </c>
      <c r="O144" s="501">
        <f t="shared" si="10"/>
        <v>80159</v>
      </c>
      <c r="P144" s="501">
        <f t="shared" si="10"/>
        <v>80159</v>
      </c>
      <c r="Q144" s="501">
        <f t="shared" si="10"/>
        <v>0</v>
      </c>
      <c r="R144" s="501">
        <f t="shared" si="10"/>
        <v>0</v>
      </c>
      <c r="S144" s="501">
        <f t="shared" si="10"/>
        <v>0</v>
      </c>
      <c r="T144" s="501">
        <f t="shared" si="10"/>
        <v>0</v>
      </c>
      <c r="U144" s="501">
        <f t="shared" si="10"/>
        <v>0</v>
      </c>
      <c r="Y144" s="621">
        <v>38401.5</v>
      </c>
      <c r="Z144" s="501">
        <v>0</v>
      </c>
      <c r="AA144" s="501">
        <v>0</v>
      </c>
      <c r="AB144" s="501">
        <v>0</v>
      </c>
      <c r="AC144" s="501">
        <v>0</v>
      </c>
      <c r="AD144" s="501">
        <v>0</v>
      </c>
      <c r="AE144" s="501">
        <v>0</v>
      </c>
      <c r="AF144" s="501">
        <v>0</v>
      </c>
      <c r="AG144" s="501">
        <v>0</v>
      </c>
      <c r="AH144" s="501">
        <v>0</v>
      </c>
      <c r="AI144" s="501">
        <v>80159</v>
      </c>
      <c r="AJ144" s="501">
        <v>0</v>
      </c>
      <c r="AK144" s="501">
        <v>0</v>
      </c>
      <c r="AL144" s="501">
        <v>0</v>
      </c>
      <c r="AM144" s="501">
        <v>0</v>
      </c>
      <c r="AN144" s="501">
        <v>0</v>
      </c>
    </row>
    <row r="145" spans="1:40" x14ac:dyDescent="0.3">
      <c r="A145" s="489" t="s">
        <v>1605</v>
      </c>
      <c r="B145" s="489" t="s">
        <v>1734</v>
      </c>
      <c r="C145" s="489" t="s">
        <v>1861</v>
      </c>
      <c r="D145" s="489" t="s">
        <v>1930</v>
      </c>
      <c r="E145" s="619">
        <v>28</v>
      </c>
      <c r="F145" s="621">
        <f t="shared" si="11"/>
        <v>69379</v>
      </c>
      <c r="G145" s="501">
        <f t="shared" si="10"/>
        <v>67844.5</v>
      </c>
      <c r="H145" s="501">
        <f t="shared" si="10"/>
        <v>67844.5</v>
      </c>
      <c r="I145" s="501">
        <f t="shared" si="10"/>
        <v>67844.5</v>
      </c>
      <c r="J145" s="501">
        <f t="shared" si="10"/>
        <v>67844.5</v>
      </c>
      <c r="K145" s="501">
        <f t="shared" si="10"/>
        <v>67844.5</v>
      </c>
      <c r="L145" s="501">
        <f t="shared" si="10"/>
        <v>67844.5</v>
      </c>
      <c r="M145" s="501">
        <f t="shared" si="10"/>
        <v>67844.5</v>
      </c>
      <c r="N145" s="501">
        <f t="shared" si="10"/>
        <v>67844.5</v>
      </c>
      <c r="O145" s="501">
        <f t="shared" si="10"/>
        <v>67844.5</v>
      </c>
      <c r="P145" s="501">
        <f t="shared" si="10"/>
        <v>67844.5</v>
      </c>
      <c r="Q145" s="501">
        <f t="shared" si="10"/>
        <v>70360.800000000003</v>
      </c>
      <c r="R145" s="501">
        <f t="shared" si="10"/>
        <v>68957.1875</v>
      </c>
      <c r="S145" s="501">
        <f t="shared" si="10"/>
        <v>0</v>
      </c>
      <c r="T145" s="501">
        <f t="shared" si="10"/>
        <v>0</v>
      </c>
      <c r="U145" s="501">
        <f t="shared" si="10"/>
        <v>0</v>
      </c>
      <c r="Y145" s="621">
        <v>69379</v>
      </c>
      <c r="Z145" s="501">
        <v>0</v>
      </c>
      <c r="AA145" s="501">
        <v>0</v>
      </c>
      <c r="AB145" s="501">
        <v>0</v>
      </c>
      <c r="AC145" s="501">
        <v>0</v>
      </c>
      <c r="AD145" s="501">
        <v>0</v>
      </c>
      <c r="AE145" s="501">
        <v>0</v>
      </c>
      <c r="AF145" s="501">
        <v>0</v>
      </c>
      <c r="AG145" s="501">
        <v>0</v>
      </c>
      <c r="AH145" s="501">
        <v>0</v>
      </c>
      <c r="AI145" s="501">
        <v>67844.5</v>
      </c>
      <c r="AJ145" s="501">
        <v>70360.800000000003</v>
      </c>
      <c r="AK145" s="501">
        <v>68957.1875</v>
      </c>
      <c r="AL145" s="501">
        <v>0</v>
      </c>
      <c r="AM145" s="501">
        <v>0</v>
      </c>
      <c r="AN145" s="501">
        <v>0</v>
      </c>
    </row>
    <row r="146" spans="1:40" x14ac:dyDescent="0.3">
      <c r="A146" s="489" t="s">
        <v>1414</v>
      </c>
      <c r="B146" s="489" t="s">
        <v>1735</v>
      </c>
      <c r="C146" s="489" t="s">
        <v>1862</v>
      </c>
      <c r="D146" s="489" t="s">
        <v>141</v>
      </c>
      <c r="E146" s="619">
        <v>28</v>
      </c>
      <c r="F146" s="621">
        <f t="shared" si="11"/>
        <v>64279.214285714283</v>
      </c>
      <c r="G146" s="501">
        <f t="shared" ref="G146:U161" si="12">IF(Z146&gt;0,Z146,IF(H146&gt;0,H146,0))</f>
        <v>70306.75</v>
      </c>
      <c r="H146" s="501">
        <f t="shared" si="12"/>
        <v>62449.63636363636</v>
      </c>
      <c r="I146" s="501">
        <f t="shared" si="12"/>
        <v>63972.692307692305</v>
      </c>
      <c r="J146" s="501">
        <f t="shared" si="12"/>
        <v>0</v>
      </c>
      <c r="K146" s="501">
        <f t="shared" si="12"/>
        <v>0</v>
      </c>
      <c r="L146" s="501">
        <f t="shared" si="12"/>
        <v>0</v>
      </c>
      <c r="M146" s="501">
        <f t="shared" si="12"/>
        <v>0</v>
      </c>
      <c r="N146" s="501">
        <f t="shared" si="12"/>
        <v>0</v>
      </c>
      <c r="O146" s="501">
        <f t="shared" si="12"/>
        <v>0</v>
      </c>
      <c r="P146" s="501">
        <f t="shared" si="12"/>
        <v>0</v>
      </c>
      <c r="Q146" s="501">
        <f t="shared" si="12"/>
        <v>0</v>
      </c>
      <c r="R146" s="501">
        <f t="shared" si="12"/>
        <v>0</v>
      </c>
      <c r="S146" s="501">
        <f t="shared" si="12"/>
        <v>0</v>
      </c>
      <c r="T146" s="501">
        <f t="shared" si="12"/>
        <v>0</v>
      </c>
      <c r="U146" s="501">
        <f t="shared" si="12"/>
        <v>0</v>
      </c>
      <c r="Y146" s="621">
        <v>64279.214285714283</v>
      </c>
      <c r="Z146" s="501">
        <v>70306.75</v>
      </c>
      <c r="AA146" s="501">
        <v>62449.63636363636</v>
      </c>
      <c r="AB146" s="501">
        <v>63972.692307692305</v>
      </c>
      <c r="AC146" s="501">
        <v>0</v>
      </c>
      <c r="AD146" s="501">
        <v>0</v>
      </c>
      <c r="AE146" s="501">
        <v>0</v>
      </c>
      <c r="AF146" s="501">
        <v>0</v>
      </c>
      <c r="AG146" s="501">
        <v>0</v>
      </c>
      <c r="AH146" s="501">
        <v>0</v>
      </c>
      <c r="AI146" s="501">
        <v>0</v>
      </c>
      <c r="AJ146" s="501">
        <v>0</v>
      </c>
      <c r="AK146" s="501">
        <v>0</v>
      </c>
      <c r="AL146" s="501">
        <v>0</v>
      </c>
      <c r="AM146" s="501">
        <v>0</v>
      </c>
      <c r="AN146" s="501">
        <v>0</v>
      </c>
    </row>
    <row r="147" spans="1:40" x14ac:dyDescent="0.3">
      <c r="A147" s="489" t="s">
        <v>1605</v>
      </c>
      <c r="B147" s="489" t="s">
        <v>1730</v>
      </c>
      <c r="C147" s="489" t="s">
        <v>1854</v>
      </c>
      <c r="D147" s="489" t="s">
        <v>1936</v>
      </c>
      <c r="E147" s="619">
        <v>27</v>
      </c>
      <c r="F147" s="621">
        <f t="shared" si="11"/>
        <v>69571.703703703708</v>
      </c>
      <c r="G147" s="501">
        <f t="shared" si="12"/>
        <v>70394.538461538468</v>
      </c>
      <c r="H147" s="501">
        <f t="shared" si="12"/>
        <v>70661.125</v>
      </c>
      <c r="I147" s="501">
        <f t="shared" si="12"/>
        <v>64670</v>
      </c>
      <c r="J147" s="501">
        <f t="shared" si="12"/>
        <v>69669</v>
      </c>
      <c r="K147" s="501">
        <f t="shared" si="12"/>
        <v>0</v>
      </c>
      <c r="L147" s="501">
        <f t="shared" si="12"/>
        <v>0</v>
      </c>
      <c r="M147" s="501">
        <f t="shared" si="12"/>
        <v>0</v>
      </c>
      <c r="N147" s="501">
        <f t="shared" si="12"/>
        <v>0</v>
      </c>
      <c r="O147" s="501">
        <f t="shared" si="12"/>
        <v>0</v>
      </c>
      <c r="P147" s="501">
        <f t="shared" si="12"/>
        <v>0</v>
      </c>
      <c r="Q147" s="501">
        <f t="shared" si="12"/>
        <v>0</v>
      </c>
      <c r="R147" s="501">
        <f t="shared" si="12"/>
        <v>0</v>
      </c>
      <c r="S147" s="501">
        <f t="shared" si="12"/>
        <v>0</v>
      </c>
      <c r="T147" s="501">
        <f t="shared" si="12"/>
        <v>0</v>
      </c>
      <c r="U147" s="501">
        <f t="shared" si="12"/>
        <v>0</v>
      </c>
      <c r="Y147" s="621">
        <v>69571.703703703708</v>
      </c>
      <c r="Z147" s="501">
        <v>70394.538461538468</v>
      </c>
      <c r="AA147" s="501">
        <v>70661.125</v>
      </c>
      <c r="AB147" s="501">
        <v>64670</v>
      </c>
      <c r="AC147" s="501">
        <v>69669</v>
      </c>
      <c r="AD147" s="501">
        <v>0</v>
      </c>
      <c r="AE147" s="501">
        <v>0</v>
      </c>
      <c r="AF147" s="501">
        <v>0</v>
      </c>
      <c r="AG147" s="501">
        <v>0</v>
      </c>
      <c r="AH147" s="501">
        <v>0</v>
      </c>
      <c r="AI147" s="501">
        <v>0</v>
      </c>
      <c r="AJ147" s="501">
        <v>0</v>
      </c>
      <c r="AK147" s="501">
        <v>0</v>
      </c>
      <c r="AL147" s="501">
        <v>0</v>
      </c>
      <c r="AM147" s="501">
        <v>0</v>
      </c>
      <c r="AN147" s="501">
        <v>0</v>
      </c>
    </row>
    <row r="148" spans="1:40" x14ac:dyDescent="0.3">
      <c r="A148" s="489" t="s">
        <v>1677</v>
      </c>
      <c r="B148" s="489" t="s">
        <v>1736</v>
      </c>
      <c r="C148" s="489" t="s">
        <v>1863</v>
      </c>
      <c r="D148" s="489" t="s">
        <v>46</v>
      </c>
      <c r="E148" s="619">
        <v>26</v>
      </c>
      <c r="F148" s="621">
        <f t="shared" si="11"/>
        <v>51914.769230769234</v>
      </c>
      <c r="G148" s="501">
        <f t="shared" si="12"/>
        <v>35686.5</v>
      </c>
      <c r="H148" s="501">
        <f t="shared" si="12"/>
        <v>35686.5</v>
      </c>
      <c r="I148" s="501">
        <f t="shared" si="12"/>
        <v>41106</v>
      </c>
      <c r="J148" s="501">
        <f t="shared" si="12"/>
        <v>49668.333333333336</v>
      </c>
      <c r="K148" s="501">
        <f t="shared" si="12"/>
        <v>54987.5</v>
      </c>
      <c r="L148" s="501">
        <f t="shared" si="12"/>
        <v>56644.2</v>
      </c>
      <c r="M148" s="501">
        <f t="shared" si="12"/>
        <v>54751</v>
      </c>
      <c r="N148" s="501">
        <f t="shared" si="12"/>
        <v>54751</v>
      </c>
      <c r="O148" s="501">
        <f t="shared" si="12"/>
        <v>58421</v>
      </c>
      <c r="P148" s="501">
        <f t="shared" si="12"/>
        <v>46659</v>
      </c>
      <c r="Q148" s="501">
        <f t="shared" si="12"/>
        <v>54900</v>
      </c>
      <c r="R148" s="501">
        <f t="shared" si="12"/>
        <v>53410</v>
      </c>
      <c r="S148" s="501">
        <f t="shared" si="12"/>
        <v>63227</v>
      </c>
      <c r="T148" s="501">
        <f t="shared" si="12"/>
        <v>63227</v>
      </c>
      <c r="U148" s="501">
        <f t="shared" si="12"/>
        <v>0</v>
      </c>
      <c r="Y148" s="621">
        <v>51914.769230769234</v>
      </c>
      <c r="Z148" s="501">
        <v>0</v>
      </c>
      <c r="AA148" s="501">
        <v>35686.5</v>
      </c>
      <c r="AB148" s="501">
        <v>41106</v>
      </c>
      <c r="AC148" s="501">
        <v>49668.333333333336</v>
      </c>
      <c r="AD148" s="501">
        <v>54987.5</v>
      </c>
      <c r="AE148" s="501">
        <v>56644.2</v>
      </c>
      <c r="AF148" s="501">
        <v>0</v>
      </c>
      <c r="AG148" s="501">
        <v>54751</v>
      </c>
      <c r="AH148" s="501">
        <v>58421</v>
      </c>
      <c r="AI148" s="501">
        <v>46659</v>
      </c>
      <c r="AJ148" s="501">
        <v>54900</v>
      </c>
      <c r="AK148" s="501">
        <v>53410</v>
      </c>
      <c r="AL148" s="501">
        <v>0</v>
      </c>
      <c r="AM148" s="501">
        <v>63227</v>
      </c>
      <c r="AN148" s="501">
        <v>0</v>
      </c>
    </row>
    <row r="149" spans="1:40" x14ac:dyDescent="0.3">
      <c r="A149" s="489" t="s">
        <v>1414</v>
      </c>
      <c r="B149" s="489" t="s">
        <v>1737</v>
      </c>
      <c r="C149" s="489" t="s">
        <v>1864</v>
      </c>
      <c r="D149" s="489" t="s">
        <v>46</v>
      </c>
      <c r="E149" s="619">
        <v>26</v>
      </c>
      <c r="F149" s="621">
        <f t="shared" si="11"/>
        <v>66050.038461538468</v>
      </c>
      <c r="G149" s="501">
        <f t="shared" si="12"/>
        <v>73284</v>
      </c>
      <c r="H149" s="501">
        <f t="shared" si="12"/>
        <v>70227.333333333328</v>
      </c>
      <c r="I149" s="501">
        <f t="shared" si="12"/>
        <v>65151.590909090912</v>
      </c>
      <c r="J149" s="501">
        <f t="shared" si="12"/>
        <v>65151.590909090912</v>
      </c>
      <c r="K149" s="501">
        <f t="shared" si="12"/>
        <v>65151.590909090912</v>
      </c>
      <c r="L149" s="501">
        <f t="shared" si="12"/>
        <v>65151.590909090912</v>
      </c>
      <c r="M149" s="501">
        <f t="shared" si="12"/>
        <v>0</v>
      </c>
      <c r="N149" s="501">
        <f t="shared" si="12"/>
        <v>0</v>
      </c>
      <c r="O149" s="501">
        <f t="shared" si="12"/>
        <v>0</v>
      </c>
      <c r="P149" s="501">
        <f t="shared" si="12"/>
        <v>0</v>
      </c>
      <c r="Q149" s="501">
        <f t="shared" si="12"/>
        <v>0</v>
      </c>
      <c r="R149" s="501">
        <f t="shared" si="12"/>
        <v>0</v>
      </c>
      <c r="S149" s="501">
        <f t="shared" si="12"/>
        <v>0</v>
      </c>
      <c r="T149" s="501">
        <f t="shared" si="12"/>
        <v>0</v>
      </c>
      <c r="U149" s="501">
        <f t="shared" si="12"/>
        <v>0</v>
      </c>
      <c r="Y149" s="621">
        <v>66050.038461538468</v>
      </c>
      <c r="Z149" s="501">
        <v>73284</v>
      </c>
      <c r="AA149" s="501">
        <v>70227.333333333328</v>
      </c>
      <c r="AB149" s="501">
        <v>0</v>
      </c>
      <c r="AC149" s="501">
        <v>0</v>
      </c>
      <c r="AD149" s="501">
        <v>0</v>
      </c>
      <c r="AE149" s="501">
        <v>65151.590909090912</v>
      </c>
      <c r="AF149" s="501">
        <v>0</v>
      </c>
      <c r="AG149" s="501">
        <v>0</v>
      </c>
      <c r="AH149" s="501">
        <v>0</v>
      </c>
      <c r="AI149" s="501">
        <v>0</v>
      </c>
      <c r="AJ149" s="501">
        <v>0</v>
      </c>
      <c r="AK149" s="501">
        <v>0</v>
      </c>
      <c r="AL149" s="501">
        <v>0</v>
      </c>
      <c r="AM149" s="501">
        <v>0</v>
      </c>
      <c r="AN149" s="501">
        <v>0</v>
      </c>
    </row>
    <row r="150" spans="1:40" x14ac:dyDescent="0.3">
      <c r="A150" s="489" t="s">
        <v>1414</v>
      </c>
      <c r="B150" s="489" t="s">
        <v>1430</v>
      </c>
      <c r="C150" s="489" t="s">
        <v>1431</v>
      </c>
      <c r="D150" s="489" t="s">
        <v>1665</v>
      </c>
      <c r="E150" s="619">
        <v>25</v>
      </c>
      <c r="F150" s="621">
        <f t="shared" si="11"/>
        <v>77910.48</v>
      </c>
      <c r="G150" s="501">
        <f t="shared" si="12"/>
        <v>127756</v>
      </c>
      <c r="H150" s="501">
        <f t="shared" si="12"/>
        <v>127756</v>
      </c>
      <c r="I150" s="501">
        <f t="shared" si="12"/>
        <v>127756</v>
      </c>
      <c r="J150" s="501">
        <f t="shared" si="12"/>
        <v>127756</v>
      </c>
      <c r="K150" s="501">
        <f t="shared" si="12"/>
        <v>127756</v>
      </c>
      <c r="L150" s="501">
        <f t="shared" si="12"/>
        <v>127756</v>
      </c>
      <c r="M150" s="501">
        <f t="shared" si="12"/>
        <v>64741</v>
      </c>
      <c r="N150" s="501">
        <f t="shared" si="12"/>
        <v>81408.666666666672</v>
      </c>
      <c r="O150" s="501">
        <f t="shared" si="12"/>
        <v>73854</v>
      </c>
      <c r="P150" s="501">
        <f t="shared" si="12"/>
        <v>73854</v>
      </c>
      <c r="Q150" s="501">
        <f t="shared" si="12"/>
        <v>64877</v>
      </c>
      <c r="R150" s="501">
        <f t="shared" si="12"/>
        <v>72343</v>
      </c>
      <c r="S150" s="501">
        <f t="shared" si="12"/>
        <v>76538.375</v>
      </c>
      <c r="T150" s="501">
        <f t="shared" si="12"/>
        <v>73915.600000000006</v>
      </c>
      <c r="U150" s="501">
        <f t="shared" si="12"/>
        <v>0</v>
      </c>
      <c r="Y150" s="621">
        <v>77910.48</v>
      </c>
      <c r="Z150" s="501">
        <v>0</v>
      </c>
      <c r="AA150" s="501">
        <v>0</v>
      </c>
      <c r="AB150" s="501">
        <v>0</v>
      </c>
      <c r="AC150" s="501">
        <v>0</v>
      </c>
      <c r="AD150" s="501">
        <v>0</v>
      </c>
      <c r="AE150" s="501">
        <v>127756</v>
      </c>
      <c r="AF150" s="501">
        <v>64741</v>
      </c>
      <c r="AG150" s="501">
        <v>81408.666666666672</v>
      </c>
      <c r="AH150" s="501">
        <v>0</v>
      </c>
      <c r="AI150" s="501">
        <v>73854</v>
      </c>
      <c r="AJ150" s="501">
        <v>64877</v>
      </c>
      <c r="AK150" s="501">
        <v>72343</v>
      </c>
      <c r="AL150" s="501">
        <v>76538.375</v>
      </c>
      <c r="AM150" s="501">
        <v>73915.600000000006</v>
      </c>
      <c r="AN150" s="501">
        <v>0</v>
      </c>
    </row>
    <row r="151" spans="1:40" x14ac:dyDescent="0.3">
      <c r="A151" s="489" t="s">
        <v>1414</v>
      </c>
      <c r="B151" s="489" t="s">
        <v>1738</v>
      </c>
      <c r="C151" s="489" t="s">
        <v>1865</v>
      </c>
      <c r="D151" s="489" t="s">
        <v>46</v>
      </c>
      <c r="E151" s="619">
        <v>25</v>
      </c>
      <c r="F151" s="621">
        <f t="shared" si="11"/>
        <v>175447.84</v>
      </c>
      <c r="G151" s="501">
        <f t="shared" si="12"/>
        <v>163725</v>
      </c>
      <c r="H151" s="501">
        <f t="shared" si="12"/>
        <v>187407</v>
      </c>
      <c r="I151" s="501">
        <f t="shared" si="12"/>
        <v>188875.66666666666</v>
      </c>
      <c r="J151" s="501">
        <f t="shared" si="12"/>
        <v>191741.4</v>
      </c>
      <c r="K151" s="501">
        <f t="shared" si="12"/>
        <v>152392.20000000001</v>
      </c>
      <c r="L151" s="501">
        <f t="shared" si="12"/>
        <v>152392.20000000001</v>
      </c>
      <c r="M151" s="501">
        <f t="shared" si="12"/>
        <v>172382.25</v>
      </c>
      <c r="N151" s="501">
        <f t="shared" si="12"/>
        <v>144887</v>
      </c>
      <c r="O151" s="501">
        <f t="shared" si="12"/>
        <v>0</v>
      </c>
      <c r="P151" s="501">
        <f t="shared" si="12"/>
        <v>0</v>
      </c>
      <c r="Q151" s="501">
        <f t="shared" si="12"/>
        <v>0</v>
      </c>
      <c r="R151" s="501">
        <f t="shared" si="12"/>
        <v>0</v>
      </c>
      <c r="S151" s="501">
        <f t="shared" si="12"/>
        <v>0</v>
      </c>
      <c r="T151" s="501">
        <f t="shared" si="12"/>
        <v>0</v>
      </c>
      <c r="U151" s="501">
        <f t="shared" si="12"/>
        <v>0</v>
      </c>
      <c r="Y151" s="621">
        <v>175447.84</v>
      </c>
      <c r="Z151" s="501">
        <v>163725</v>
      </c>
      <c r="AA151" s="501">
        <v>187407</v>
      </c>
      <c r="AB151" s="501">
        <v>188875.66666666666</v>
      </c>
      <c r="AC151" s="501">
        <v>191741.4</v>
      </c>
      <c r="AD151" s="501">
        <v>0</v>
      </c>
      <c r="AE151" s="501">
        <v>152392.20000000001</v>
      </c>
      <c r="AF151" s="501">
        <v>172382.25</v>
      </c>
      <c r="AG151" s="501">
        <v>144887</v>
      </c>
      <c r="AH151" s="501">
        <v>0</v>
      </c>
      <c r="AI151" s="501">
        <v>0</v>
      </c>
      <c r="AJ151" s="501">
        <v>0</v>
      </c>
      <c r="AK151" s="501">
        <v>0</v>
      </c>
      <c r="AL151" s="501">
        <v>0</v>
      </c>
      <c r="AM151" s="501">
        <v>0</v>
      </c>
      <c r="AN151" s="501">
        <v>0</v>
      </c>
    </row>
    <row r="152" spans="1:40" x14ac:dyDescent="0.3">
      <c r="A152" s="489" t="s">
        <v>1273</v>
      </c>
      <c r="B152" s="489" t="s">
        <v>1739</v>
      </c>
      <c r="C152" s="489" t="s">
        <v>1739</v>
      </c>
      <c r="D152" s="489" t="s">
        <v>141</v>
      </c>
      <c r="E152" s="619">
        <v>25</v>
      </c>
      <c r="F152" s="621">
        <f t="shared" si="11"/>
        <v>54783.92</v>
      </c>
      <c r="G152" s="501">
        <f t="shared" si="12"/>
        <v>54291.217391304344</v>
      </c>
      <c r="H152" s="501">
        <f t="shared" si="12"/>
        <v>54291.217391304344</v>
      </c>
      <c r="I152" s="501">
        <f t="shared" si="12"/>
        <v>58900</v>
      </c>
      <c r="J152" s="501">
        <f t="shared" si="12"/>
        <v>62000</v>
      </c>
      <c r="K152" s="501">
        <f t="shared" si="12"/>
        <v>0</v>
      </c>
      <c r="L152" s="501">
        <f t="shared" si="12"/>
        <v>0</v>
      </c>
      <c r="M152" s="501">
        <f t="shared" si="12"/>
        <v>0</v>
      </c>
      <c r="N152" s="501">
        <f t="shared" si="12"/>
        <v>0</v>
      </c>
      <c r="O152" s="501">
        <f t="shared" si="12"/>
        <v>0</v>
      </c>
      <c r="P152" s="501">
        <f t="shared" si="12"/>
        <v>0</v>
      </c>
      <c r="Q152" s="501">
        <f t="shared" si="12"/>
        <v>0</v>
      </c>
      <c r="R152" s="501">
        <f t="shared" si="12"/>
        <v>0</v>
      </c>
      <c r="S152" s="501">
        <f t="shared" si="12"/>
        <v>0</v>
      </c>
      <c r="T152" s="501">
        <f t="shared" si="12"/>
        <v>0</v>
      </c>
      <c r="U152" s="501">
        <f t="shared" si="12"/>
        <v>0</v>
      </c>
      <c r="Y152" s="621">
        <v>54783.92</v>
      </c>
      <c r="Z152" s="501">
        <v>0</v>
      </c>
      <c r="AA152" s="501">
        <v>54291.217391304344</v>
      </c>
      <c r="AB152" s="501">
        <v>58900</v>
      </c>
      <c r="AC152" s="501">
        <v>62000</v>
      </c>
      <c r="AD152" s="501">
        <v>0</v>
      </c>
      <c r="AE152" s="501">
        <v>0</v>
      </c>
      <c r="AF152" s="501">
        <v>0</v>
      </c>
      <c r="AG152" s="501">
        <v>0</v>
      </c>
      <c r="AH152" s="501">
        <v>0</v>
      </c>
      <c r="AI152" s="501">
        <v>0</v>
      </c>
      <c r="AJ152" s="501">
        <v>0</v>
      </c>
      <c r="AK152" s="501">
        <v>0</v>
      </c>
      <c r="AL152" s="501">
        <v>0</v>
      </c>
      <c r="AM152" s="501">
        <v>0</v>
      </c>
      <c r="AN152" s="501">
        <v>0</v>
      </c>
    </row>
    <row r="153" spans="1:40" x14ac:dyDescent="0.3">
      <c r="A153" s="489" t="s">
        <v>1454</v>
      </c>
      <c r="B153" s="489" t="s">
        <v>1740</v>
      </c>
      <c r="C153" s="489" t="s">
        <v>304</v>
      </c>
      <c r="D153" s="489" t="s">
        <v>46</v>
      </c>
      <c r="E153" s="619">
        <v>24</v>
      </c>
      <c r="F153" s="621">
        <f t="shared" si="11"/>
        <v>22034.333333333332</v>
      </c>
      <c r="G153" s="501">
        <f t="shared" si="12"/>
        <v>22388</v>
      </c>
      <c r="H153" s="501">
        <f t="shared" si="12"/>
        <v>22388</v>
      </c>
      <c r="I153" s="501">
        <f t="shared" si="12"/>
        <v>22388</v>
      </c>
      <c r="J153" s="501">
        <f t="shared" si="12"/>
        <v>22388</v>
      </c>
      <c r="K153" s="501">
        <f t="shared" si="12"/>
        <v>22388</v>
      </c>
      <c r="L153" s="501">
        <f t="shared" si="12"/>
        <v>22388</v>
      </c>
      <c r="M153" s="501">
        <f t="shared" si="12"/>
        <v>22388</v>
      </c>
      <c r="N153" s="501">
        <f t="shared" si="12"/>
        <v>23355.25</v>
      </c>
      <c r="O153" s="501">
        <f t="shared" si="12"/>
        <v>21593</v>
      </c>
      <c r="P153" s="501">
        <f t="shared" si="12"/>
        <v>21996.875</v>
      </c>
      <c r="Q153" s="501">
        <f t="shared" si="12"/>
        <v>21382</v>
      </c>
      <c r="R153" s="501">
        <f t="shared" si="12"/>
        <v>20575</v>
      </c>
      <c r="S153" s="501">
        <f t="shared" si="12"/>
        <v>0</v>
      </c>
      <c r="T153" s="501">
        <f t="shared" si="12"/>
        <v>0</v>
      </c>
      <c r="U153" s="501">
        <f t="shared" si="12"/>
        <v>0</v>
      </c>
      <c r="Y153" s="621">
        <v>22034.333333333332</v>
      </c>
      <c r="Z153" s="501">
        <v>0</v>
      </c>
      <c r="AA153" s="501">
        <v>0</v>
      </c>
      <c r="AB153" s="501">
        <v>0</v>
      </c>
      <c r="AC153" s="501">
        <v>0</v>
      </c>
      <c r="AD153" s="501">
        <v>0</v>
      </c>
      <c r="AE153" s="501">
        <v>0</v>
      </c>
      <c r="AF153" s="501">
        <v>22388</v>
      </c>
      <c r="AG153" s="501">
        <v>23355.25</v>
      </c>
      <c r="AH153" s="501">
        <v>21593</v>
      </c>
      <c r="AI153" s="501">
        <v>21996.875</v>
      </c>
      <c r="AJ153" s="501">
        <v>21382</v>
      </c>
      <c r="AK153" s="501">
        <v>20575</v>
      </c>
      <c r="AL153" s="501">
        <v>0</v>
      </c>
      <c r="AM153" s="501">
        <v>0</v>
      </c>
      <c r="AN153" s="501">
        <v>0</v>
      </c>
    </row>
    <row r="154" spans="1:40" x14ac:dyDescent="0.3">
      <c r="A154" s="489" t="s">
        <v>1561</v>
      </c>
      <c r="B154" s="489" t="s">
        <v>1562</v>
      </c>
      <c r="C154" s="489" t="s">
        <v>1563</v>
      </c>
      <c r="D154" s="489" t="s">
        <v>1929</v>
      </c>
      <c r="E154" s="619">
        <v>24</v>
      </c>
      <c r="F154" s="621">
        <f t="shared" si="11"/>
        <v>30212.875</v>
      </c>
      <c r="G154" s="501">
        <f t="shared" si="12"/>
        <v>30275.833333333332</v>
      </c>
      <c r="H154" s="501">
        <f t="shared" si="12"/>
        <v>33263</v>
      </c>
      <c r="I154" s="501">
        <f t="shared" si="12"/>
        <v>31107</v>
      </c>
      <c r="J154" s="501">
        <f t="shared" si="12"/>
        <v>30596</v>
      </c>
      <c r="K154" s="501">
        <f t="shared" si="12"/>
        <v>28608</v>
      </c>
      <c r="L154" s="501">
        <f t="shared" si="12"/>
        <v>29288.5</v>
      </c>
      <c r="M154" s="501">
        <f t="shared" si="12"/>
        <v>29609.8</v>
      </c>
      <c r="N154" s="501">
        <f t="shared" si="12"/>
        <v>29574</v>
      </c>
      <c r="O154" s="501">
        <f t="shared" si="12"/>
        <v>0</v>
      </c>
      <c r="P154" s="501">
        <f t="shared" si="12"/>
        <v>0</v>
      </c>
      <c r="Q154" s="501">
        <f t="shared" si="12"/>
        <v>0</v>
      </c>
      <c r="R154" s="501">
        <f t="shared" si="12"/>
        <v>0</v>
      </c>
      <c r="S154" s="501">
        <f t="shared" si="12"/>
        <v>0</v>
      </c>
      <c r="T154" s="501">
        <f t="shared" si="12"/>
        <v>0</v>
      </c>
      <c r="U154" s="501">
        <f t="shared" si="12"/>
        <v>0</v>
      </c>
      <c r="Y154" s="621">
        <v>30212.875</v>
      </c>
      <c r="Z154" s="501">
        <v>30275.833333333332</v>
      </c>
      <c r="AA154" s="501">
        <v>33263</v>
      </c>
      <c r="AB154" s="501">
        <v>31107</v>
      </c>
      <c r="AC154" s="501">
        <v>30596</v>
      </c>
      <c r="AD154" s="501">
        <v>28608</v>
      </c>
      <c r="AE154" s="501">
        <v>29288.5</v>
      </c>
      <c r="AF154" s="501">
        <v>29609.8</v>
      </c>
      <c r="AG154" s="501">
        <v>29574</v>
      </c>
      <c r="AH154" s="501">
        <v>0</v>
      </c>
      <c r="AI154" s="501">
        <v>0</v>
      </c>
      <c r="AJ154" s="501">
        <v>0</v>
      </c>
      <c r="AK154" s="501">
        <v>0</v>
      </c>
      <c r="AL154" s="501">
        <v>0</v>
      </c>
      <c r="AM154" s="501">
        <v>0</v>
      </c>
      <c r="AN154" s="501">
        <v>0</v>
      </c>
    </row>
    <row r="155" spans="1:40" x14ac:dyDescent="0.3">
      <c r="A155" s="489" t="s">
        <v>1422</v>
      </c>
      <c r="B155" s="489" t="s">
        <v>1741</v>
      </c>
      <c r="C155" s="489" t="s">
        <v>1866</v>
      </c>
      <c r="D155" s="489" t="s">
        <v>46</v>
      </c>
      <c r="E155" s="619">
        <v>24</v>
      </c>
      <c r="F155" s="621">
        <f t="shared" si="11"/>
        <v>51304.666666666664</v>
      </c>
      <c r="G155" s="501">
        <f t="shared" si="12"/>
        <v>53176.666666666664</v>
      </c>
      <c r="H155" s="501">
        <f t="shared" si="12"/>
        <v>49764</v>
      </c>
      <c r="I155" s="501">
        <f t="shared" si="12"/>
        <v>48515.666666666664</v>
      </c>
      <c r="J155" s="501">
        <f t="shared" si="12"/>
        <v>49027.5</v>
      </c>
      <c r="K155" s="501">
        <f t="shared" si="12"/>
        <v>54343</v>
      </c>
      <c r="L155" s="501">
        <f t="shared" si="12"/>
        <v>52585.375</v>
      </c>
      <c r="M155" s="501">
        <f t="shared" si="12"/>
        <v>50588.333333333336</v>
      </c>
      <c r="N155" s="501">
        <f t="shared" si="12"/>
        <v>50541.666666666664</v>
      </c>
      <c r="O155" s="501">
        <f t="shared" si="12"/>
        <v>0</v>
      </c>
      <c r="P155" s="501">
        <f t="shared" si="12"/>
        <v>0</v>
      </c>
      <c r="Q155" s="501">
        <f t="shared" si="12"/>
        <v>0</v>
      </c>
      <c r="R155" s="501">
        <f t="shared" si="12"/>
        <v>0</v>
      </c>
      <c r="S155" s="501">
        <f t="shared" si="12"/>
        <v>0</v>
      </c>
      <c r="T155" s="501">
        <f t="shared" si="12"/>
        <v>0</v>
      </c>
      <c r="U155" s="501">
        <f t="shared" si="12"/>
        <v>0</v>
      </c>
      <c r="Y155" s="621">
        <v>51304.666666666664</v>
      </c>
      <c r="Z155" s="501">
        <v>53176.666666666664</v>
      </c>
      <c r="AA155" s="501">
        <v>49764</v>
      </c>
      <c r="AB155" s="501">
        <v>48515.666666666664</v>
      </c>
      <c r="AC155" s="501">
        <v>49027.5</v>
      </c>
      <c r="AD155" s="501">
        <v>54343</v>
      </c>
      <c r="AE155" s="501">
        <v>52585.375</v>
      </c>
      <c r="AF155" s="501">
        <v>50588.333333333336</v>
      </c>
      <c r="AG155" s="501">
        <v>50541.666666666664</v>
      </c>
      <c r="AH155" s="501">
        <v>0</v>
      </c>
      <c r="AI155" s="501">
        <v>0</v>
      </c>
      <c r="AJ155" s="501">
        <v>0</v>
      </c>
      <c r="AK155" s="501">
        <v>0</v>
      </c>
      <c r="AL155" s="501">
        <v>0</v>
      </c>
      <c r="AM155" s="501">
        <v>0</v>
      </c>
      <c r="AN155" s="501">
        <v>0</v>
      </c>
    </row>
    <row r="156" spans="1:40" x14ac:dyDescent="0.3">
      <c r="A156" s="489" t="s">
        <v>1414</v>
      </c>
      <c r="B156" s="489" t="s">
        <v>1666</v>
      </c>
      <c r="C156" s="489" t="s">
        <v>1867</v>
      </c>
      <c r="D156" s="489" t="s">
        <v>46</v>
      </c>
      <c r="E156" s="619">
        <v>24</v>
      </c>
      <c r="F156" s="621">
        <f t="shared" si="11"/>
        <v>56681.833333333336</v>
      </c>
      <c r="G156" s="501">
        <f t="shared" si="12"/>
        <v>55960</v>
      </c>
      <c r="H156" s="501">
        <f t="shared" si="12"/>
        <v>57245</v>
      </c>
      <c r="I156" s="501">
        <f t="shared" si="12"/>
        <v>57245</v>
      </c>
      <c r="J156" s="501">
        <f t="shared" si="12"/>
        <v>57245</v>
      </c>
      <c r="K156" s="501">
        <f t="shared" si="12"/>
        <v>57245</v>
      </c>
      <c r="L156" s="501">
        <f t="shared" si="12"/>
        <v>57955</v>
      </c>
      <c r="M156" s="501">
        <f t="shared" si="12"/>
        <v>54552.6</v>
      </c>
      <c r="N156" s="501">
        <f t="shared" si="12"/>
        <v>66833</v>
      </c>
      <c r="O156" s="501">
        <f t="shared" si="12"/>
        <v>0</v>
      </c>
      <c r="P156" s="501">
        <f t="shared" si="12"/>
        <v>0</v>
      </c>
      <c r="Q156" s="501">
        <f t="shared" si="12"/>
        <v>0</v>
      </c>
      <c r="R156" s="501">
        <f t="shared" si="12"/>
        <v>0</v>
      </c>
      <c r="S156" s="501">
        <f t="shared" si="12"/>
        <v>0</v>
      </c>
      <c r="T156" s="501">
        <f t="shared" si="12"/>
        <v>0</v>
      </c>
      <c r="U156" s="501">
        <f t="shared" si="12"/>
        <v>0</v>
      </c>
      <c r="Y156" s="621">
        <v>56681.833333333336</v>
      </c>
      <c r="Z156" s="501">
        <v>55960</v>
      </c>
      <c r="AA156" s="501">
        <v>0</v>
      </c>
      <c r="AB156" s="501">
        <v>0</v>
      </c>
      <c r="AC156" s="501">
        <v>0</v>
      </c>
      <c r="AD156" s="501">
        <v>57245</v>
      </c>
      <c r="AE156" s="501">
        <v>57955</v>
      </c>
      <c r="AF156" s="501">
        <v>54552.6</v>
      </c>
      <c r="AG156" s="501">
        <v>66833</v>
      </c>
      <c r="AH156" s="501">
        <v>0</v>
      </c>
      <c r="AI156" s="501">
        <v>0</v>
      </c>
      <c r="AJ156" s="501">
        <v>0</v>
      </c>
      <c r="AK156" s="501">
        <v>0</v>
      </c>
      <c r="AL156" s="501">
        <v>0</v>
      </c>
      <c r="AM156" s="501">
        <v>0</v>
      </c>
      <c r="AN156" s="501">
        <v>0</v>
      </c>
    </row>
    <row r="157" spans="1:40" x14ac:dyDescent="0.3">
      <c r="A157" s="489" t="s">
        <v>1742</v>
      </c>
      <c r="B157" s="489" t="s">
        <v>1743</v>
      </c>
      <c r="C157" s="489" t="s">
        <v>1868</v>
      </c>
      <c r="D157" s="489" t="s">
        <v>141</v>
      </c>
      <c r="E157" s="619">
        <v>24</v>
      </c>
      <c r="F157" s="621">
        <f t="shared" si="11"/>
        <v>93521</v>
      </c>
      <c r="G157" s="501">
        <f t="shared" si="12"/>
        <v>93731</v>
      </c>
      <c r="H157" s="501">
        <f t="shared" si="12"/>
        <v>92471</v>
      </c>
      <c r="I157" s="501">
        <f t="shared" si="12"/>
        <v>0</v>
      </c>
      <c r="J157" s="501">
        <f t="shared" si="12"/>
        <v>0</v>
      </c>
      <c r="K157" s="501">
        <f t="shared" si="12"/>
        <v>0</v>
      </c>
      <c r="L157" s="501">
        <f t="shared" si="12"/>
        <v>0</v>
      </c>
      <c r="M157" s="501">
        <f t="shared" si="12"/>
        <v>0</v>
      </c>
      <c r="N157" s="501">
        <f t="shared" si="12"/>
        <v>0</v>
      </c>
      <c r="O157" s="501">
        <f t="shared" si="12"/>
        <v>0</v>
      </c>
      <c r="P157" s="501">
        <f t="shared" si="12"/>
        <v>0</v>
      </c>
      <c r="Q157" s="501">
        <f t="shared" si="12"/>
        <v>0</v>
      </c>
      <c r="R157" s="501">
        <f t="shared" si="12"/>
        <v>0</v>
      </c>
      <c r="S157" s="501">
        <f t="shared" si="12"/>
        <v>0</v>
      </c>
      <c r="T157" s="501">
        <f t="shared" si="12"/>
        <v>0</v>
      </c>
      <c r="U157" s="501">
        <f t="shared" si="12"/>
        <v>0</v>
      </c>
      <c r="Y157" s="621">
        <v>93521</v>
      </c>
      <c r="Z157" s="501">
        <v>93731</v>
      </c>
      <c r="AA157" s="501">
        <v>92471</v>
      </c>
      <c r="AB157" s="501">
        <v>0</v>
      </c>
      <c r="AC157" s="501">
        <v>0</v>
      </c>
      <c r="AD157" s="501">
        <v>0</v>
      </c>
      <c r="AE157" s="501">
        <v>0</v>
      </c>
      <c r="AF157" s="501">
        <v>0</v>
      </c>
      <c r="AG157" s="501">
        <v>0</v>
      </c>
      <c r="AH157" s="501">
        <v>0</v>
      </c>
      <c r="AI157" s="501">
        <v>0</v>
      </c>
      <c r="AJ157" s="501">
        <v>0</v>
      </c>
      <c r="AK157" s="501">
        <v>0</v>
      </c>
      <c r="AL157" s="501">
        <v>0</v>
      </c>
      <c r="AM157" s="501">
        <v>0</v>
      </c>
      <c r="AN157" s="501">
        <v>0</v>
      </c>
    </row>
    <row r="158" spans="1:40" x14ac:dyDescent="0.3">
      <c r="A158" s="489" t="s">
        <v>1605</v>
      </c>
      <c r="B158" s="489" t="s">
        <v>1744</v>
      </c>
      <c r="C158" s="489" t="s">
        <v>1869</v>
      </c>
      <c r="D158" s="489" t="s">
        <v>1936</v>
      </c>
      <c r="E158" s="619">
        <v>24</v>
      </c>
      <c r="F158" s="621">
        <f t="shared" si="11"/>
        <v>51404.166666666664</v>
      </c>
      <c r="G158" s="501">
        <f t="shared" si="12"/>
        <v>54490</v>
      </c>
      <c r="H158" s="501">
        <f t="shared" si="12"/>
        <v>53855</v>
      </c>
      <c r="I158" s="501">
        <f t="shared" si="12"/>
        <v>51491.666666666664</v>
      </c>
      <c r="J158" s="501">
        <f t="shared" si="12"/>
        <v>49010</v>
      </c>
      <c r="K158" s="501">
        <f t="shared" si="12"/>
        <v>0</v>
      </c>
      <c r="L158" s="501">
        <f t="shared" si="12"/>
        <v>0</v>
      </c>
      <c r="M158" s="501">
        <f t="shared" si="12"/>
        <v>0</v>
      </c>
      <c r="N158" s="501">
        <f t="shared" si="12"/>
        <v>0</v>
      </c>
      <c r="O158" s="501">
        <f t="shared" si="12"/>
        <v>0</v>
      </c>
      <c r="P158" s="501">
        <f t="shared" si="12"/>
        <v>0</v>
      </c>
      <c r="Q158" s="501">
        <f t="shared" si="12"/>
        <v>0</v>
      </c>
      <c r="R158" s="501">
        <f t="shared" si="12"/>
        <v>0</v>
      </c>
      <c r="S158" s="501">
        <f t="shared" si="12"/>
        <v>0</v>
      </c>
      <c r="T158" s="501">
        <f t="shared" si="12"/>
        <v>0</v>
      </c>
      <c r="U158" s="501">
        <f t="shared" si="12"/>
        <v>0</v>
      </c>
      <c r="Y158" s="621">
        <v>51404.166666666664</v>
      </c>
      <c r="Z158" s="501">
        <v>54490</v>
      </c>
      <c r="AA158" s="501">
        <v>53855</v>
      </c>
      <c r="AB158" s="501">
        <v>51491.666666666664</v>
      </c>
      <c r="AC158" s="501">
        <v>49010</v>
      </c>
      <c r="AD158" s="501">
        <v>0</v>
      </c>
      <c r="AE158" s="501">
        <v>0</v>
      </c>
      <c r="AF158" s="501">
        <v>0</v>
      </c>
      <c r="AG158" s="501">
        <v>0</v>
      </c>
      <c r="AH158" s="501">
        <v>0</v>
      </c>
      <c r="AI158" s="501">
        <v>0</v>
      </c>
      <c r="AJ158" s="501">
        <v>0</v>
      </c>
      <c r="AK158" s="501">
        <v>0</v>
      </c>
      <c r="AL158" s="501">
        <v>0</v>
      </c>
      <c r="AM158" s="501">
        <v>0</v>
      </c>
      <c r="AN158" s="501">
        <v>0</v>
      </c>
    </row>
    <row r="159" spans="1:40" x14ac:dyDescent="0.3">
      <c r="A159" s="489" t="s">
        <v>1605</v>
      </c>
      <c r="B159" s="489" t="s">
        <v>1667</v>
      </c>
      <c r="C159" s="489" t="s">
        <v>349</v>
      </c>
      <c r="D159" s="489" t="s">
        <v>46</v>
      </c>
      <c r="E159" s="619">
        <v>23</v>
      </c>
      <c r="F159" s="621">
        <f t="shared" si="11"/>
        <v>34781.782608695656</v>
      </c>
      <c r="G159" s="501">
        <f t="shared" si="12"/>
        <v>39525</v>
      </c>
      <c r="H159" s="501">
        <f t="shared" si="12"/>
        <v>39525</v>
      </c>
      <c r="I159" s="501">
        <f t="shared" si="12"/>
        <v>36602</v>
      </c>
      <c r="J159" s="501">
        <f t="shared" si="12"/>
        <v>40458</v>
      </c>
      <c r="K159" s="501">
        <f t="shared" si="12"/>
        <v>31584</v>
      </c>
      <c r="L159" s="501">
        <f t="shared" si="12"/>
        <v>31584</v>
      </c>
      <c r="M159" s="501">
        <f t="shared" si="12"/>
        <v>31584</v>
      </c>
      <c r="N159" s="501">
        <f t="shared" si="12"/>
        <v>32951</v>
      </c>
      <c r="O159" s="501">
        <f t="shared" si="12"/>
        <v>32951</v>
      </c>
      <c r="P159" s="501">
        <f t="shared" si="12"/>
        <v>35618.333333333336</v>
      </c>
      <c r="Q159" s="501">
        <f t="shared" si="12"/>
        <v>34885.625</v>
      </c>
      <c r="R159" s="501">
        <f t="shared" si="12"/>
        <v>31494</v>
      </c>
      <c r="S159" s="501">
        <f t="shared" si="12"/>
        <v>0</v>
      </c>
      <c r="T159" s="501">
        <f t="shared" si="12"/>
        <v>0</v>
      </c>
      <c r="U159" s="501">
        <f t="shared" si="12"/>
        <v>0</v>
      </c>
      <c r="Y159" s="621">
        <v>34781.782608695656</v>
      </c>
      <c r="Z159" s="501">
        <v>0</v>
      </c>
      <c r="AA159" s="501">
        <v>39525</v>
      </c>
      <c r="AB159" s="501">
        <v>36602</v>
      </c>
      <c r="AC159" s="501">
        <v>40458</v>
      </c>
      <c r="AD159" s="501">
        <v>0</v>
      </c>
      <c r="AE159" s="501">
        <v>0</v>
      </c>
      <c r="AF159" s="501">
        <v>31584</v>
      </c>
      <c r="AG159" s="501">
        <v>0</v>
      </c>
      <c r="AH159" s="501">
        <v>32951</v>
      </c>
      <c r="AI159" s="501">
        <v>35618.333333333336</v>
      </c>
      <c r="AJ159" s="501">
        <v>34885.625</v>
      </c>
      <c r="AK159" s="501">
        <v>31494</v>
      </c>
      <c r="AL159" s="501">
        <v>0</v>
      </c>
      <c r="AM159" s="501">
        <v>0</v>
      </c>
      <c r="AN159" s="501">
        <v>0</v>
      </c>
    </row>
    <row r="160" spans="1:40" x14ac:dyDescent="0.3">
      <c r="A160" s="489" t="s">
        <v>1605</v>
      </c>
      <c r="B160" s="489" t="s">
        <v>1744</v>
      </c>
      <c r="C160" s="489" t="s">
        <v>1869</v>
      </c>
      <c r="D160" s="489" t="s">
        <v>46</v>
      </c>
      <c r="E160" s="619">
        <v>23</v>
      </c>
      <c r="F160" s="621">
        <f t="shared" si="11"/>
        <v>55160.478260869568</v>
      </c>
      <c r="G160" s="501">
        <f t="shared" si="12"/>
        <v>49968</v>
      </c>
      <c r="H160" s="501">
        <f t="shared" si="12"/>
        <v>49968</v>
      </c>
      <c r="I160" s="501">
        <f t="shared" si="12"/>
        <v>49968</v>
      </c>
      <c r="J160" s="501">
        <f t="shared" si="12"/>
        <v>55600.904761904763</v>
      </c>
      <c r="K160" s="501">
        <f t="shared" si="12"/>
        <v>55600.904761904763</v>
      </c>
      <c r="L160" s="501">
        <f t="shared" si="12"/>
        <v>55600.904761904763</v>
      </c>
      <c r="M160" s="501">
        <f t="shared" si="12"/>
        <v>51104</v>
      </c>
      <c r="N160" s="501">
        <f t="shared" si="12"/>
        <v>0</v>
      </c>
      <c r="O160" s="501">
        <f t="shared" si="12"/>
        <v>0</v>
      </c>
      <c r="P160" s="501">
        <f t="shared" si="12"/>
        <v>0</v>
      </c>
      <c r="Q160" s="501">
        <f t="shared" si="12"/>
        <v>0</v>
      </c>
      <c r="R160" s="501">
        <f t="shared" si="12"/>
        <v>0</v>
      </c>
      <c r="S160" s="501">
        <f t="shared" si="12"/>
        <v>0</v>
      </c>
      <c r="T160" s="501">
        <f t="shared" si="12"/>
        <v>0</v>
      </c>
      <c r="U160" s="501">
        <f t="shared" si="12"/>
        <v>0</v>
      </c>
      <c r="Y160" s="621">
        <v>55160.478260869568</v>
      </c>
      <c r="Z160" s="501">
        <v>0</v>
      </c>
      <c r="AA160" s="501">
        <v>0</v>
      </c>
      <c r="AB160" s="501">
        <v>49968</v>
      </c>
      <c r="AC160" s="501">
        <v>0</v>
      </c>
      <c r="AD160" s="501">
        <v>0</v>
      </c>
      <c r="AE160" s="501">
        <v>55600.904761904763</v>
      </c>
      <c r="AF160" s="501">
        <v>51104</v>
      </c>
      <c r="AG160" s="501">
        <v>0</v>
      </c>
      <c r="AH160" s="501">
        <v>0</v>
      </c>
      <c r="AI160" s="501">
        <v>0</v>
      </c>
      <c r="AJ160" s="501">
        <v>0</v>
      </c>
      <c r="AK160" s="501">
        <v>0</v>
      </c>
      <c r="AL160" s="501">
        <v>0</v>
      </c>
      <c r="AM160" s="501">
        <v>0</v>
      </c>
      <c r="AN160" s="501">
        <v>0</v>
      </c>
    </row>
    <row r="161" spans="1:40" x14ac:dyDescent="0.3">
      <c r="A161" s="489" t="s">
        <v>1414</v>
      </c>
      <c r="B161" s="489" t="s">
        <v>1745</v>
      </c>
      <c r="C161" s="489" t="s">
        <v>1870</v>
      </c>
      <c r="D161" s="489" t="s">
        <v>46</v>
      </c>
      <c r="E161" s="619">
        <v>23</v>
      </c>
      <c r="F161" s="621">
        <f t="shared" si="11"/>
        <v>73731.391304347824</v>
      </c>
      <c r="G161" s="501">
        <f t="shared" si="12"/>
        <v>73391</v>
      </c>
      <c r="H161" s="501">
        <f t="shared" si="12"/>
        <v>67386</v>
      </c>
      <c r="I161" s="501">
        <f t="shared" si="12"/>
        <v>67386</v>
      </c>
      <c r="J161" s="501">
        <f t="shared" si="12"/>
        <v>73804</v>
      </c>
      <c r="K161" s="501">
        <f t="shared" si="12"/>
        <v>88401</v>
      </c>
      <c r="L161" s="501">
        <f t="shared" si="12"/>
        <v>76489.555555555562</v>
      </c>
      <c r="M161" s="501">
        <f t="shared" si="12"/>
        <v>75161</v>
      </c>
      <c r="N161" s="501">
        <f t="shared" si="12"/>
        <v>64873</v>
      </c>
      <c r="O161" s="501">
        <f t="shared" si="12"/>
        <v>79425</v>
      </c>
      <c r="P161" s="501">
        <f t="shared" si="12"/>
        <v>0</v>
      </c>
      <c r="Q161" s="501">
        <f t="shared" si="12"/>
        <v>0</v>
      </c>
      <c r="R161" s="501">
        <f t="shared" si="12"/>
        <v>0</v>
      </c>
      <c r="S161" s="501">
        <f t="shared" si="12"/>
        <v>0</v>
      </c>
      <c r="T161" s="501">
        <f t="shared" si="12"/>
        <v>0</v>
      </c>
      <c r="U161" s="501">
        <f t="shared" si="12"/>
        <v>0</v>
      </c>
      <c r="Y161" s="621">
        <v>73731.391304347824</v>
      </c>
      <c r="Z161" s="501">
        <v>73391</v>
      </c>
      <c r="AA161" s="501">
        <v>0</v>
      </c>
      <c r="AB161" s="501">
        <v>67386</v>
      </c>
      <c r="AC161" s="501">
        <v>73804</v>
      </c>
      <c r="AD161" s="501">
        <v>88401</v>
      </c>
      <c r="AE161" s="501">
        <v>76489.555555555562</v>
      </c>
      <c r="AF161" s="501">
        <v>75161</v>
      </c>
      <c r="AG161" s="501">
        <v>64873</v>
      </c>
      <c r="AH161" s="501">
        <v>79425</v>
      </c>
      <c r="AI161" s="501">
        <v>0</v>
      </c>
      <c r="AJ161" s="501">
        <v>0</v>
      </c>
      <c r="AK161" s="501">
        <v>0</v>
      </c>
      <c r="AL161" s="501">
        <v>0</v>
      </c>
      <c r="AM161" s="501">
        <v>0</v>
      </c>
      <c r="AN161" s="501">
        <v>0</v>
      </c>
    </row>
    <row r="162" spans="1:40" x14ac:dyDescent="0.3">
      <c r="A162" s="489" t="s">
        <v>1454</v>
      </c>
      <c r="B162" s="489" t="s">
        <v>1746</v>
      </c>
      <c r="C162" s="489" t="s">
        <v>1871</v>
      </c>
      <c r="D162" s="489" t="s">
        <v>46</v>
      </c>
      <c r="E162" s="619">
        <v>22</v>
      </c>
      <c r="F162" s="621">
        <f t="shared" si="11"/>
        <v>35317.333333333336</v>
      </c>
      <c r="G162" s="501">
        <f t="shared" ref="G162:U177" si="13">IF(Z162&gt;0,Z162,IF(H162&gt;0,H162,0))</f>
        <v>47534</v>
      </c>
      <c r="H162" s="501">
        <f t="shared" si="13"/>
        <v>47534</v>
      </c>
      <c r="I162" s="501">
        <f t="shared" si="13"/>
        <v>47534</v>
      </c>
      <c r="J162" s="501">
        <f t="shared" si="13"/>
        <v>31110</v>
      </c>
      <c r="K162" s="501">
        <f t="shared" si="13"/>
        <v>35457</v>
      </c>
      <c r="L162" s="501">
        <f t="shared" si="13"/>
        <v>35457</v>
      </c>
      <c r="M162" s="501">
        <f t="shared" si="13"/>
        <v>33284</v>
      </c>
      <c r="N162" s="501">
        <f t="shared" si="13"/>
        <v>34300.5</v>
      </c>
      <c r="O162" s="501">
        <f t="shared" si="13"/>
        <v>34355</v>
      </c>
      <c r="P162" s="501">
        <f t="shared" si="13"/>
        <v>34771</v>
      </c>
      <c r="Q162" s="501">
        <f t="shared" si="13"/>
        <v>35960</v>
      </c>
      <c r="R162" s="501">
        <f t="shared" si="13"/>
        <v>36415.333333333336</v>
      </c>
      <c r="S162" s="501">
        <f t="shared" si="13"/>
        <v>34426.666666666664</v>
      </c>
      <c r="T162" s="501">
        <f t="shared" si="13"/>
        <v>31630</v>
      </c>
      <c r="U162" s="501">
        <f t="shared" si="13"/>
        <v>32835</v>
      </c>
      <c r="Y162" s="621">
        <v>35317.333333333336</v>
      </c>
      <c r="Z162" s="501">
        <v>0</v>
      </c>
      <c r="AA162" s="501">
        <v>0</v>
      </c>
      <c r="AB162" s="501">
        <v>47534</v>
      </c>
      <c r="AC162" s="501">
        <v>31110</v>
      </c>
      <c r="AD162" s="501">
        <v>0</v>
      </c>
      <c r="AE162" s="501">
        <v>35457</v>
      </c>
      <c r="AF162" s="501">
        <v>33284</v>
      </c>
      <c r="AG162" s="501">
        <v>34300.5</v>
      </c>
      <c r="AH162" s="501">
        <v>34355</v>
      </c>
      <c r="AI162" s="501">
        <v>34771</v>
      </c>
      <c r="AJ162" s="501">
        <v>35960</v>
      </c>
      <c r="AK162" s="501">
        <v>36415.333333333336</v>
      </c>
      <c r="AL162" s="501">
        <v>34426.666666666664</v>
      </c>
      <c r="AM162" s="501">
        <v>31630</v>
      </c>
      <c r="AN162" s="501">
        <v>32835</v>
      </c>
    </row>
    <row r="163" spans="1:40" x14ac:dyDescent="0.3">
      <c r="A163" s="489" t="s">
        <v>1454</v>
      </c>
      <c r="B163" s="489" t="s">
        <v>1455</v>
      </c>
      <c r="C163" s="489" t="s">
        <v>1456</v>
      </c>
      <c r="D163" s="489" t="s">
        <v>46</v>
      </c>
      <c r="E163" s="619">
        <v>22</v>
      </c>
      <c r="F163" s="621">
        <f t="shared" si="11"/>
        <v>54589.666666666664</v>
      </c>
      <c r="G163" s="501">
        <f t="shared" si="13"/>
        <v>53143</v>
      </c>
      <c r="H163" s="501">
        <f t="shared" si="13"/>
        <v>53143</v>
      </c>
      <c r="I163" s="501">
        <f t="shared" si="13"/>
        <v>53678</v>
      </c>
      <c r="J163" s="501">
        <f t="shared" si="13"/>
        <v>60318</v>
      </c>
      <c r="K163" s="501">
        <f t="shared" si="13"/>
        <v>57470</v>
      </c>
      <c r="L163" s="501">
        <f t="shared" si="13"/>
        <v>53808.5</v>
      </c>
      <c r="M163" s="501">
        <f t="shared" si="13"/>
        <v>52401.25</v>
      </c>
      <c r="N163" s="501">
        <f t="shared" si="13"/>
        <v>55952</v>
      </c>
      <c r="O163" s="501">
        <f t="shared" si="13"/>
        <v>51354.666666666664</v>
      </c>
      <c r="P163" s="501">
        <f t="shared" si="13"/>
        <v>59300</v>
      </c>
      <c r="Q163" s="501">
        <f t="shared" si="13"/>
        <v>53749</v>
      </c>
      <c r="R163" s="501">
        <f t="shared" si="13"/>
        <v>52675</v>
      </c>
      <c r="S163" s="501">
        <f t="shared" si="13"/>
        <v>52675</v>
      </c>
      <c r="T163" s="501">
        <f t="shared" si="13"/>
        <v>56780</v>
      </c>
      <c r="U163" s="501">
        <f t="shared" si="13"/>
        <v>0</v>
      </c>
      <c r="Y163" s="621">
        <v>54589.666666666664</v>
      </c>
      <c r="Z163" s="501">
        <v>0</v>
      </c>
      <c r="AA163" s="501">
        <v>53143</v>
      </c>
      <c r="AB163" s="501">
        <v>53678</v>
      </c>
      <c r="AC163" s="501">
        <v>60318</v>
      </c>
      <c r="AD163" s="501">
        <v>57470</v>
      </c>
      <c r="AE163" s="501">
        <v>53808.5</v>
      </c>
      <c r="AF163" s="501">
        <v>52401.25</v>
      </c>
      <c r="AG163" s="501">
        <v>55952</v>
      </c>
      <c r="AH163" s="501">
        <v>51354.666666666664</v>
      </c>
      <c r="AI163" s="501">
        <v>59300</v>
      </c>
      <c r="AJ163" s="501">
        <v>53749</v>
      </c>
      <c r="AK163" s="501">
        <v>0</v>
      </c>
      <c r="AL163" s="501">
        <v>52675</v>
      </c>
      <c r="AM163" s="501">
        <v>56780</v>
      </c>
      <c r="AN163" s="501">
        <v>0</v>
      </c>
    </row>
    <row r="164" spans="1:40" x14ac:dyDescent="0.3">
      <c r="A164" s="489" t="s">
        <v>1414</v>
      </c>
      <c r="B164" s="489" t="s">
        <v>1668</v>
      </c>
      <c r="C164" s="489" t="s">
        <v>1872</v>
      </c>
      <c r="D164" s="489" t="s">
        <v>1936</v>
      </c>
      <c r="E164" s="619">
        <v>22</v>
      </c>
      <c r="F164" s="621">
        <f t="shared" si="11"/>
        <v>78697</v>
      </c>
      <c r="G164" s="501">
        <f t="shared" si="13"/>
        <v>87552.857142857145</v>
      </c>
      <c r="H164" s="501">
        <f t="shared" si="13"/>
        <v>76413</v>
      </c>
      <c r="I164" s="501">
        <f t="shared" si="13"/>
        <v>65536</v>
      </c>
      <c r="J164" s="501">
        <f t="shared" si="13"/>
        <v>75721</v>
      </c>
      <c r="K164" s="501">
        <f t="shared" si="13"/>
        <v>71820</v>
      </c>
      <c r="L164" s="501">
        <f t="shared" si="13"/>
        <v>0</v>
      </c>
      <c r="M164" s="501">
        <f t="shared" si="13"/>
        <v>0</v>
      </c>
      <c r="N164" s="501">
        <f t="shared" si="13"/>
        <v>0</v>
      </c>
      <c r="O164" s="501">
        <f t="shared" si="13"/>
        <v>0</v>
      </c>
      <c r="P164" s="501">
        <f t="shared" si="13"/>
        <v>0</v>
      </c>
      <c r="Q164" s="501">
        <f t="shared" si="13"/>
        <v>0</v>
      </c>
      <c r="R164" s="501">
        <f t="shared" si="13"/>
        <v>0</v>
      </c>
      <c r="S164" s="501">
        <f t="shared" si="13"/>
        <v>0</v>
      </c>
      <c r="T164" s="501">
        <f t="shared" si="13"/>
        <v>0</v>
      </c>
      <c r="U164" s="501">
        <f t="shared" si="13"/>
        <v>0</v>
      </c>
      <c r="Y164" s="621">
        <v>78697</v>
      </c>
      <c r="Z164" s="501">
        <v>87552.857142857145</v>
      </c>
      <c r="AA164" s="501">
        <v>76413</v>
      </c>
      <c r="AB164" s="501">
        <v>65536</v>
      </c>
      <c r="AC164" s="501">
        <v>75721</v>
      </c>
      <c r="AD164" s="501">
        <v>71820</v>
      </c>
      <c r="AE164" s="501">
        <v>0</v>
      </c>
      <c r="AF164" s="501">
        <v>0</v>
      </c>
      <c r="AG164" s="501">
        <v>0</v>
      </c>
      <c r="AH164" s="501">
        <v>0</v>
      </c>
      <c r="AI164" s="501">
        <v>0</v>
      </c>
      <c r="AJ164" s="501">
        <v>0</v>
      </c>
      <c r="AK164" s="501">
        <v>0</v>
      </c>
      <c r="AL164" s="501">
        <v>0</v>
      </c>
      <c r="AM164" s="501">
        <v>0</v>
      </c>
      <c r="AN164" s="501">
        <v>0</v>
      </c>
    </row>
    <row r="165" spans="1:40" x14ac:dyDescent="0.3">
      <c r="A165" s="489" t="s">
        <v>1451</v>
      </c>
      <c r="B165" s="489" t="s">
        <v>1747</v>
      </c>
      <c r="C165" s="489" t="s">
        <v>1873</v>
      </c>
      <c r="D165" s="489" t="s">
        <v>46</v>
      </c>
      <c r="E165" s="619">
        <v>21</v>
      </c>
      <c r="F165" s="621">
        <f t="shared" si="11"/>
        <v>47685.15</v>
      </c>
      <c r="G165" s="501">
        <f t="shared" si="13"/>
        <v>53841</v>
      </c>
      <c r="H165" s="501">
        <f t="shared" si="13"/>
        <v>49027.833333333336</v>
      </c>
      <c r="I165" s="501">
        <f t="shared" si="13"/>
        <v>47513</v>
      </c>
      <c r="J165" s="501">
        <f t="shared" si="13"/>
        <v>47513</v>
      </c>
      <c r="K165" s="501">
        <f t="shared" si="13"/>
        <v>47513</v>
      </c>
      <c r="L165" s="501">
        <f t="shared" si="13"/>
        <v>51636</v>
      </c>
      <c r="M165" s="501">
        <f t="shared" si="13"/>
        <v>43467</v>
      </c>
      <c r="N165" s="501">
        <f t="shared" si="13"/>
        <v>43467</v>
      </c>
      <c r="O165" s="501">
        <f t="shared" si="13"/>
        <v>47870</v>
      </c>
      <c r="P165" s="501">
        <f t="shared" si="13"/>
        <v>47870</v>
      </c>
      <c r="Q165" s="501">
        <f t="shared" si="13"/>
        <v>47870</v>
      </c>
      <c r="R165" s="501">
        <f t="shared" si="13"/>
        <v>42528.5</v>
      </c>
      <c r="S165" s="501">
        <f t="shared" si="13"/>
        <v>42528.5</v>
      </c>
      <c r="T165" s="501">
        <f t="shared" si="13"/>
        <v>42528.5</v>
      </c>
      <c r="U165" s="501">
        <f t="shared" si="13"/>
        <v>42528.5</v>
      </c>
      <c r="Y165" s="621">
        <v>47685.15</v>
      </c>
      <c r="Z165" s="501">
        <v>53841</v>
      </c>
      <c r="AA165" s="501">
        <v>49027.833333333336</v>
      </c>
      <c r="AB165" s="501">
        <v>0</v>
      </c>
      <c r="AC165" s="501">
        <v>0</v>
      </c>
      <c r="AD165" s="501">
        <v>47513</v>
      </c>
      <c r="AE165" s="501">
        <v>51636</v>
      </c>
      <c r="AF165" s="501">
        <v>0</v>
      </c>
      <c r="AG165" s="501">
        <v>43467</v>
      </c>
      <c r="AH165" s="501">
        <v>0</v>
      </c>
      <c r="AI165" s="501">
        <v>0</v>
      </c>
      <c r="AJ165" s="501">
        <v>47870</v>
      </c>
      <c r="AK165" s="501">
        <v>0</v>
      </c>
      <c r="AL165" s="501">
        <v>0</v>
      </c>
      <c r="AM165" s="501">
        <v>0</v>
      </c>
      <c r="AN165" s="501">
        <v>42528.5</v>
      </c>
    </row>
    <row r="166" spans="1:40" x14ac:dyDescent="0.3">
      <c r="A166" s="489" t="s">
        <v>1567</v>
      </c>
      <c r="B166" s="489">
        <v>508</v>
      </c>
      <c r="C166" s="489" t="s">
        <v>865</v>
      </c>
      <c r="D166" s="489" t="s">
        <v>1929</v>
      </c>
      <c r="E166" s="619">
        <v>21</v>
      </c>
      <c r="F166" s="621">
        <f t="shared" si="11"/>
        <v>42487.142857142855</v>
      </c>
      <c r="G166" s="501">
        <f t="shared" si="13"/>
        <v>45840</v>
      </c>
      <c r="H166" s="501">
        <f t="shared" si="13"/>
        <v>45840</v>
      </c>
      <c r="I166" s="501">
        <f t="shared" si="13"/>
        <v>45840</v>
      </c>
      <c r="J166" s="501">
        <f t="shared" si="13"/>
        <v>45840</v>
      </c>
      <c r="K166" s="501">
        <f t="shared" si="13"/>
        <v>45840</v>
      </c>
      <c r="L166" s="501">
        <f t="shared" si="13"/>
        <v>45840</v>
      </c>
      <c r="M166" s="501">
        <f t="shared" si="13"/>
        <v>42641.666666666664</v>
      </c>
      <c r="N166" s="501">
        <f t="shared" si="13"/>
        <v>42641.666666666664</v>
      </c>
      <c r="O166" s="501">
        <f t="shared" si="13"/>
        <v>42641.666666666664</v>
      </c>
      <c r="P166" s="501">
        <f t="shared" si="13"/>
        <v>42641.666666666664</v>
      </c>
      <c r="Q166" s="501">
        <f t="shared" si="13"/>
        <v>42641.666666666664</v>
      </c>
      <c r="R166" s="501">
        <f t="shared" si="13"/>
        <v>43802.222222222219</v>
      </c>
      <c r="S166" s="501">
        <f t="shared" si="13"/>
        <v>39264</v>
      </c>
      <c r="T166" s="501">
        <f t="shared" si="13"/>
        <v>0</v>
      </c>
      <c r="U166" s="501">
        <f t="shared" si="13"/>
        <v>0</v>
      </c>
      <c r="Y166" s="621">
        <v>42487.142857142855</v>
      </c>
      <c r="Z166" s="501">
        <v>0</v>
      </c>
      <c r="AA166" s="501">
        <v>0</v>
      </c>
      <c r="AB166" s="501">
        <v>0</v>
      </c>
      <c r="AC166" s="501">
        <v>0</v>
      </c>
      <c r="AD166" s="501">
        <v>0</v>
      </c>
      <c r="AE166" s="501">
        <v>45840</v>
      </c>
      <c r="AF166" s="501">
        <v>0</v>
      </c>
      <c r="AG166" s="501">
        <v>0</v>
      </c>
      <c r="AH166" s="501">
        <v>0</v>
      </c>
      <c r="AI166" s="501">
        <v>0</v>
      </c>
      <c r="AJ166" s="501">
        <v>42641.666666666664</v>
      </c>
      <c r="AK166" s="501">
        <v>43802.222222222219</v>
      </c>
      <c r="AL166" s="501">
        <v>39264</v>
      </c>
      <c r="AM166" s="501">
        <v>0</v>
      </c>
      <c r="AN166" s="501">
        <v>0</v>
      </c>
    </row>
    <row r="167" spans="1:40" x14ac:dyDescent="0.3">
      <c r="A167" s="489" t="s">
        <v>1414</v>
      </c>
      <c r="B167" s="489" t="s">
        <v>1748</v>
      </c>
      <c r="C167" s="489" t="s">
        <v>1874</v>
      </c>
      <c r="D167" s="489" t="s">
        <v>46</v>
      </c>
      <c r="E167" s="619">
        <v>21</v>
      </c>
      <c r="F167" s="621">
        <f t="shared" si="11"/>
        <v>45056.65</v>
      </c>
      <c r="G167" s="501">
        <f t="shared" si="13"/>
        <v>55622.5</v>
      </c>
      <c r="H167" s="501">
        <f t="shared" si="13"/>
        <v>55622.5</v>
      </c>
      <c r="I167" s="501">
        <f t="shared" si="13"/>
        <v>55622.5</v>
      </c>
      <c r="J167" s="501">
        <f t="shared" si="13"/>
        <v>55622.5</v>
      </c>
      <c r="K167" s="501">
        <f t="shared" si="13"/>
        <v>55622.5</v>
      </c>
      <c r="L167" s="501">
        <f t="shared" si="13"/>
        <v>55622.5</v>
      </c>
      <c r="M167" s="501">
        <f t="shared" si="13"/>
        <v>55622.5</v>
      </c>
      <c r="N167" s="501">
        <f t="shared" si="13"/>
        <v>55622.5</v>
      </c>
      <c r="O167" s="501">
        <f t="shared" si="13"/>
        <v>55622.5</v>
      </c>
      <c r="P167" s="501">
        <f t="shared" si="13"/>
        <v>55622.5</v>
      </c>
      <c r="Q167" s="501">
        <f t="shared" si="13"/>
        <v>55622.5</v>
      </c>
      <c r="R167" s="501">
        <f t="shared" si="13"/>
        <v>55622.5</v>
      </c>
      <c r="S167" s="501">
        <f t="shared" si="13"/>
        <v>55622.5</v>
      </c>
      <c r="T167" s="501">
        <f t="shared" si="13"/>
        <v>55622.5</v>
      </c>
      <c r="U167" s="501">
        <f t="shared" si="13"/>
        <v>55622.5</v>
      </c>
      <c r="Y167" s="621">
        <v>45056.65</v>
      </c>
      <c r="Z167" s="501">
        <v>0</v>
      </c>
      <c r="AA167" s="501">
        <v>0</v>
      </c>
      <c r="AB167" s="501">
        <v>0</v>
      </c>
      <c r="AC167" s="501">
        <v>0</v>
      </c>
      <c r="AD167" s="501">
        <v>0</v>
      </c>
      <c r="AE167" s="501">
        <v>0</v>
      </c>
      <c r="AF167" s="501">
        <v>0</v>
      </c>
      <c r="AG167" s="501">
        <v>0</v>
      </c>
      <c r="AH167" s="501">
        <v>0</v>
      </c>
      <c r="AI167" s="501">
        <v>0</v>
      </c>
      <c r="AJ167" s="501">
        <v>0</v>
      </c>
      <c r="AK167" s="501">
        <v>0</v>
      </c>
      <c r="AL167" s="501">
        <v>0</v>
      </c>
      <c r="AM167" s="501">
        <v>0</v>
      </c>
      <c r="AN167" s="501">
        <v>55622.5</v>
      </c>
    </row>
    <row r="168" spans="1:40" x14ac:dyDescent="0.3">
      <c r="A168" s="489" t="s">
        <v>1426</v>
      </c>
      <c r="B168" s="489" t="s">
        <v>1749</v>
      </c>
      <c r="C168" s="489" t="s">
        <v>1749</v>
      </c>
      <c r="D168" s="489" t="s">
        <v>1930</v>
      </c>
      <c r="E168" s="619">
        <v>21</v>
      </c>
      <c r="F168" s="621">
        <f t="shared" si="11"/>
        <v>40011.380952380954</v>
      </c>
      <c r="G168" s="501">
        <f t="shared" si="13"/>
        <v>33995</v>
      </c>
      <c r="H168" s="501">
        <f t="shared" si="13"/>
        <v>33995</v>
      </c>
      <c r="I168" s="501">
        <f t="shared" si="13"/>
        <v>33995</v>
      </c>
      <c r="J168" s="501">
        <f t="shared" si="13"/>
        <v>33995</v>
      </c>
      <c r="K168" s="501">
        <f t="shared" si="13"/>
        <v>33995</v>
      </c>
      <c r="L168" s="501">
        <f t="shared" si="13"/>
        <v>33995</v>
      </c>
      <c r="M168" s="501">
        <f t="shared" si="13"/>
        <v>33995</v>
      </c>
      <c r="N168" s="501">
        <f t="shared" si="13"/>
        <v>33995</v>
      </c>
      <c r="O168" s="501">
        <f t="shared" si="13"/>
        <v>33995</v>
      </c>
      <c r="P168" s="501">
        <f t="shared" si="13"/>
        <v>33995</v>
      </c>
      <c r="Q168" s="501">
        <f t="shared" si="13"/>
        <v>33995</v>
      </c>
      <c r="R168" s="501">
        <f t="shared" si="13"/>
        <v>42145.714285714283</v>
      </c>
      <c r="S168" s="501">
        <f t="shared" si="13"/>
        <v>43240.4</v>
      </c>
      <c r="T168" s="501">
        <f t="shared" si="13"/>
        <v>0</v>
      </c>
      <c r="U168" s="501">
        <f t="shared" si="13"/>
        <v>0</v>
      </c>
      <c r="Y168" s="621">
        <v>40011.380952380954</v>
      </c>
      <c r="Z168" s="501">
        <v>0</v>
      </c>
      <c r="AA168" s="501">
        <v>0</v>
      </c>
      <c r="AB168" s="501">
        <v>0</v>
      </c>
      <c r="AC168" s="501">
        <v>0</v>
      </c>
      <c r="AD168" s="501">
        <v>0</v>
      </c>
      <c r="AE168" s="501"/>
      <c r="AF168" s="501">
        <v>0</v>
      </c>
      <c r="AG168" s="501">
        <v>0</v>
      </c>
      <c r="AH168" s="501">
        <v>0</v>
      </c>
      <c r="AI168" s="501">
        <v>0</v>
      </c>
      <c r="AJ168" s="501">
        <v>33995</v>
      </c>
      <c r="AK168" s="501">
        <v>42145.714285714283</v>
      </c>
      <c r="AL168" s="501">
        <v>43240.4</v>
      </c>
      <c r="AM168" s="501">
        <v>0</v>
      </c>
      <c r="AN168" s="501">
        <v>0</v>
      </c>
    </row>
    <row r="169" spans="1:40" x14ac:dyDescent="0.3">
      <c r="A169" s="489" t="s">
        <v>1750</v>
      </c>
      <c r="B169" s="489" t="s">
        <v>1751</v>
      </c>
      <c r="C169" s="489" t="s">
        <v>1875</v>
      </c>
      <c r="D169" s="489" t="s">
        <v>46</v>
      </c>
      <c r="E169" s="619">
        <v>21</v>
      </c>
      <c r="F169" s="621">
        <f t="shared" si="11"/>
        <v>17481.571428571428</v>
      </c>
      <c r="G169" s="501">
        <f t="shared" si="13"/>
        <v>18235.8</v>
      </c>
      <c r="H169" s="501">
        <f t="shared" si="13"/>
        <v>18235.8</v>
      </c>
      <c r="I169" s="501">
        <f t="shared" si="13"/>
        <v>18235.8</v>
      </c>
      <c r="J169" s="501">
        <f t="shared" si="13"/>
        <v>18235.8</v>
      </c>
      <c r="K169" s="501">
        <f t="shared" si="13"/>
        <v>18235.8</v>
      </c>
      <c r="L169" s="501">
        <f t="shared" si="13"/>
        <v>18235.8</v>
      </c>
      <c r="M169" s="501">
        <f t="shared" si="13"/>
        <v>18235.8</v>
      </c>
      <c r="N169" s="501">
        <f t="shared" si="13"/>
        <v>18071.666666666668</v>
      </c>
      <c r="O169" s="501">
        <f t="shared" si="13"/>
        <v>17061.666666666668</v>
      </c>
      <c r="P169" s="501">
        <f t="shared" si="13"/>
        <v>16945</v>
      </c>
      <c r="Q169" s="501">
        <f t="shared" si="13"/>
        <v>17099.857142857141</v>
      </c>
      <c r="R169" s="501">
        <f t="shared" si="13"/>
        <v>0</v>
      </c>
      <c r="S169" s="501">
        <f t="shared" si="13"/>
        <v>0</v>
      </c>
      <c r="T169" s="501">
        <f t="shared" si="13"/>
        <v>0</v>
      </c>
      <c r="U169" s="501">
        <f t="shared" si="13"/>
        <v>0</v>
      </c>
      <c r="Y169" s="621">
        <v>17481.571428571428</v>
      </c>
      <c r="Z169" s="501">
        <v>0</v>
      </c>
      <c r="AA169" s="501">
        <v>0</v>
      </c>
      <c r="AB169" s="501">
        <v>0</v>
      </c>
      <c r="AC169" s="501">
        <v>0</v>
      </c>
      <c r="AD169" s="501">
        <v>0</v>
      </c>
      <c r="AE169" s="501">
        <v>0</v>
      </c>
      <c r="AF169" s="501">
        <v>18235.8</v>
      </c>
      <c r="AG169" s="501">
        <v>18071.666666666668</v>
      </c>
      <c r="AH169" s="501">
        <v>17061.666666666668</v>
      </c>
      <c r="AI169" s="501">
        <v>16945</v>
      </c>
      <c r="AJ169" s="501">
        <v>17099.857142857141</v>
      </c>
      <c r="AK169" s="501">
        <v>0</v>
      </c>
      <c r="AL169" s="501">
        <v>0</v>
      </c>
      <c r="AM169" s="501">
        <v>0</v>
      </c>
      <c r="AN169" s="501">
        <v>0</v>
      </c>
    </row>
    <row r="170" spans="1:40" x14ac:dyDescent="0.3">
      <c r="A170" s="489" t="s">
        <v>1422</v>
      </c>
      <c r="B170" s="489" t="s">
        <v>1752</v>
      </c>
      <c r="C170" s="489" t="s">
        <v>1876</v>
      </c>
      <c r="D170" s="489" t="s">
        <v>46</v>
      </c>
      <c r="E170" s="619">
        <v>21</v>
      </c>
      <c r="F170" s="621">
        <f t="shared" si="11"/>
        <v>23895.047619047618</v>
      </c>
      <c r="G170" s="501">
        <f t="shared" si="13"/>
        <v>32791</v>
      </c>
      <c r="H170" s="501">
        <f t="shared" si="13"/>
        <v>32791</v>
      </c>
      <c r="I170" s="501">
        <f t="shared" si="13"/>
        <v>32791</v>
      </c>
      <c r="J170" s="501">
        <f t="shared" si="13"/>
        <v>32791</v>
      </c>
      <c r="K170" s="501">
        <f t="shared" si="13"/>
        <v>32791</v>
      </c>
      <c r="L170" s="501">
        <f t="shared" si="13"/>
        <v>32791</v>
      </c>
      <c r="M170" s="501">
        <f t="shared" si="13"/>
        <v>19791.571428571428</v>
      </c>
      <c r="N170" s="501">
        <f t="shared" si="13"/>
        <v>24787.666666666668</v>
      </c>
      <c r="O170" s="501">
        <f t="shared" si="13"/>
        <v>24390</v>
      </c>
      <c r="P170" s="501">
        <f t="shared" si="13"/>
        <v>25540</v>
      </c>
      <c r="Q170" s="501">
        <f t="shared" si="13"/>
        <v>24654</v>
      </c>
      <c r="R170" s="501">
        <f t="shared" si="13"/>
        <v>0</v>
      </c>
      <c r="S170" s="501">
        <f t="shared" si="13"/>
        <v>0</v>
      </c>
      <c r="T170" s="501">
        <f t="shared" si="13"/>
        <v>0</v>
      </c>
      <c r="U170" s="501">
        <f t="shared" si="13"/>
        <v>0</v>
      </c>
      <c r="Y170" s="621">
        <v>23895.047619047618</v>
      </c>
      <c r="Z170" s="501">
        <v>0</v>
      </c>
      <c r="AA170" s="501">
        <v>0</v>
      </c>
      <c r="AB170" s="501">
        <v>0</v>
      </c>
      <c r="AC170" s="501">
        <v>0</v>
      </c>
      <c r="AD170" s="501">
        <v>0</v>
      </c>
      <c r="AE170" s="501">
        <v>32791</v>
      </c>
      <c r="AF170" s="501">
        <v>19791.571428571428</v>
      </c>
      <c r="AG170" s="501">
        <v>24787.666666666668</v>
      </c>
      <c r="AH170" s="501">
        <v>24390</v>
      </c>
      <c r="AI170" s="501">
        <v>25540</v>
      </c>
      <c r="AJ170" s="501">
        <v>24654</v>
      </c>
      <c r="AK170" s="501">
        <v>0</v>
      </c>
      <c r="AL170" s="501">
        <v>0</v>
      </c>
      <c r="AM170" s="501">
        <v>0</v>
      </c>
      <c r="AN170" s="501">
        <v>0</v>
      </c>
    </row>
    <row r="171" spans="1:40" x14ac:dyDescent="0.3">
      <c r="A171" s="489" t="s">
        <v>1605</v>
      </c>
      <c r="B171" s="489" t="s">
        <v>1669</v>
      </c>
      <c r="C171" s="489" t="s">
        <v>1877</v>
      </c>
      <c r="D171" s="489" t="s">
        <v>46</v>
      </c>
      <c r="E171" s="619">
        <v>20</v>
      </c>
      <c r="F171" s="621">
        <f t="shared" si="11"/>
        <v>39721.526315789473</v>
      </c>
      <c r="G171" s="501">
        <f t="shared" si="13"/>
        <v>41124</v>
      </c>
      <c r="H171" s="501">
        <f t="shared" si="13"/>
        <v>41124</v>
      </c>
      <c r="I171" s="501">
        <f t="shared" si="13"/>
        <v>41124</v>
      </c>
      <c r="J171" s="501">
        <f t="shared" si="13"/>
        <v>41124</v>
      </c>
      <c r="K171" s="501">
        <f t="shared" si="13"/>
        <v>41124</v>
      </c>
      <c r="L171" s="501">
        <f t="shared" si="13"/>
        <v>41124</v>
      </c>
      <c r="M171" s="501">
        <f t="shared" si="13"/>
        <v>42224</v>
      </c>
      <c r="N171" s="501">
        <f t="shared" si="13"/>
        <v>42224</v>
      </c>
      <c r="O171" s="501">
        <f t="shared" si="13"/>
        <v>43007.666666666664</v>
      </c>
      <c r="P171" s="501">
        <f t="shared" si="13"/>
        <v>44633.75</v>
      </c>
      <c r="Q171" s="501">
        <f t="shared" si="13"/>
        <v>44633.75</v>
      </c>
      <c r="R171" s="501">
        <f t="shared" si="13"/>
        <v>36554.5</v>
      </c>
      <c r="S171" s="501">
        <f t="shared" si="13"/>
        <v>36554.5</v>
      </c>
      <c r="T171" s="501">
        <f t="shared" si="13"/>
        <v>34604.25</v>
      </c>
      <c r="U171" s="501">
        <f t="shared" si="13"/>
        <v>38179.5</v>
      </c>
      <c r="Y171" s="621">
        <v>39721.526315789473</v>
      </c>
      <c r="Z171" s="501">
        <v>0</v>
      </c>
      <c r="AA171" s="501">
        <v>0</v>
      </c>
      <c r="AB171" s="501">
        <v>0</v>
      </c>
      <c r="AC171" s="501">
        <v>0</v>
      </c>
      <c r="AD171" s="501">
        <v>0</v>
      </c>
      <c r="AE171" s="501">
        <v>41124</v>
      </c>
      <c r="AF171" s="501">
        <v>0</v>
      </c>
      <c r="AG171" s="501">
        <v>42224</v>
      </c>
      <c r="AH171" s="501">
        <v>43007.666666666664</v>
      </c>
      <c r="AI171" s="501">
        <v>0</v>
      </c>
      <c r="AJ171" s="501">
        <v>44633.75</v>
      </c>
      <c r="AK171" s="501">
        <v>0</v>
      </c>
      <c r="AL171" s="501">
        <v>36554.5</v>
      </c>
      <c r="AM171" s="501">
        <v>34604.25</v>
      </c>
      <c r="AN171" s="501">
        <v>38179.5</v>
      </c>
    </row>
    <row r="172" spans="1:40" x14ac:dyDescent="0.3">
      <c r="A172" s="489" t="s">
        <v>1677</v>
      </c>
      <c r="B172" s="489" t="s">
        <v>1753</v>
      </c>
      <c r="C172" s="489" t="s">
        <v>1878</v>
      </c>
      <c r="D172" s="489" t="s">
        <v>46</v>
      </c>
      <c r="E172" s="619">
        <v>20</v>
      </c>
      <c r="F172" s="621">
        <f t="shared" si="11"/>
        <v>59916.5</v>
      </c>
      <c r="G172" s="501">
        <f t="shared" si="13"/>
        <v>62317</v>
      </c>
      <c r="H172" s="501">
        <f t="shared" si="13"/>
        <v>62317</v>
      </c>
      <c r="I172" s="501">
        <f t="shared" si="13"/>
        <v>60997</v>
      </c>
      <c r="J172" s="501">
        <f t="shared" si="13"/>
        <v>58458.666666666664</v>
      </c>
      <c r="K172" s="501">
        <f t="shared" si="13"/>
        <v>58458.666666666664</v>
      </c>
      <c r="L172" s="501">
        <f t="shared" si="13"/>
        <v>58458.666666666664</v>
      </c>
      <c r="M172" s="501">
        <f t="shared" si="13"/>
        <v>64507.333333333336</v>
      </c>
      <c r="N172" s="501">
        <f t="shared" si="13"/>
        <v>52263</v>
      </c>
      <c r="O172" s="501">
        <f t="shared" si="13"/>
        <v>63346.166666666664</v>
      </c>
      <c r="P172" s="501">
        <f t="shared" si="13"/>
        <v>57423.5</v>
      </c>
      <c r="Q172" s="501">
        <f t="shared" si="13"/>
        <v>53334</v>
      </c>
      <c r="R172" s="501">
        <f t="shared" si="13"/>
        <v>53334</v>
      </c>
      <c r="S172" s="501">
        <f t="shared" si="13"/>
        <v>0</v>
      </c>
      <c r="T172" s="501">
        <f t="shared" si="13"/>
        <v>0</v>
      </c>
      <c r="U172" s="501">
        <f t="shared" si="13"/>
        <v>0</v>
      </c>
      <c r="Y172" s="621">
        <v>59916.5</v>
      </c>
      <c r="Z172" s="501">
        <v>0</v>
      </c>
      <c r="AA172" s="501">
        <v>62317</v>
      </c>
      <c r="AB172" s="501">
        <v>60997</v>
      </c>
      <c r="AC172" s="501">
        <v>0</v>
      </c>
      <c r="AD172" s="501">
        <v>0</v>
      </c>
      <c r="AE172" s="501">
        <v>58458.666666666664</v>
      </c>
      <c r="AF172" s="501">
        <v>64507.333333333336</v>
      </c>
      <c r="AG172" s="501">
        <v>52263</v>
      </c>
      <c r="AH172" s="501">
        <v>63346.166666666664</v>
      </c>
      <c r="AI172" s="501">
        <v>57423.5</v>
      </c>
      <c r="AJ172" s="501">
        <v>0</v>
      </c>
      <c r="AK172" s="501">
        <v>53334</v>
      </c>
      <c r="AL172" s="501">
        <v>0</v>
      </c>
      <c r="AM172" s="501">
        <v>0</v>
      </c>
      <c r="AN172" s="501">
        <v>0</v>
      </c>
    </row>
    <row r="173" spans="1:40" x14ac:dyDescent="0.3">
      <c r="A173" s="489" t="s">
        <v>1441</v>
      </c>
      <c r="B173" s="489" t="s">
        <v>1444</v>
      </c>
      <c r="C173" s="489" t="s">
        <v>870</v>
      </c>
      <c r="D173" s="489" t="s">
        <v>45</v>
      </c>
      <c r="E173" s="619">
        <v>20</v>
      </c>
      <c r="F173" s="621">
        <f t="shared" si="11"/>
        <v>44971.55</v>
      </c>
      <c r="G173" s="501">
        <f t="shared" si="13"/>
        <v>42212</v>
      </c>
      <c r="H173" s="501">
        <f t="shared" si="13"/>
        <v>42212</v>
      </c>
      <c r="I173" s="501">
        <f t="shared" si="13"/>
        <v>43212</v>
      </c>
      <c r="J173" s="501">
        <f t="shared" si="13"/>
        <v>57137.5</v>
      </c>
      <c r="K173" s="501">
        <f t="shared" si="13"/>
        <v>57137.5</v>
      </c>
      <c r="L173" s="501">
        <f t="shared" si="13"/>
        <v>39705.800000000003</v>
      </c>
      <c r="M173" s="501">
        <f t="shared" si="13"/>
        <v>45069</v>
      </c>
      <c r="N173" s="501">
        <f t="shared" si="13"/>
        <v>45036.666666666664</v>
      </c>
      <c r="O173" s="501">
        <f t="shared" si="13"/>
        <v>39822.666666666664</v>
      </c>
      <c r="P173" s="501">
        <f t="shared" si="13"/>
        <v>39822.666666666664</v>
      </c>
      <c r="Q173" s="501">
        <f t="shared" si="13"/>
        <v>39822.666666666664</v>
      </c>
      <c r="R173" s="501">
        <f t="shared" si="13"/>
        <v>39822.666666666664</v>
      </c>
      <c r="S173" s="501">
        <f t="shared" si="13"/>
        <v>39822.666666666664</v>
      </c>
      <c r="T173" s="501">
        <f t="shared" si="13"/>
        <v>0</v>
      </c>
      <c r="U173" s="501">
        <f t="shared" si="13"/>
        <v>0</v>
      </c>
      <c r="Y173" s="621">
        <v>44971.55</v>
      </c>
      <c r="Z173" s="501">
        <v>0</v>
      </c>
      <c r="AA173" s="501">
        <v>42212</v>
      </c>
      <c r="AB173" s="501">
        <v>43212</v>
      </c>
      <c r="AC173" s="501">
        <v>0</v>
      </c>
      <c r="AD173" s="501">
        <v>57137.5</v>
      </c>
      <c r="AE173" s="501">
        <v>39705.800000000003</v>
      </c>
      <c r="AF173" s="501">
        <v>45069</v>
      </c>
      <c r="AG173" s="501">
        <v>45036.666666666664</v>
      </c>
      <c r="AH173" s="501">
        <v>0</v>
      </c>
      <c r="AI173" s="501">
        <v>0</v>
      </c>
      <c r="AJ173" s="501">
        <v>0</v>
      </c>
      <c r="AK173" s="501">
        <v>0</v>
      </c>
      <c r="AL173" s="501">
        <v>39822.666666666664</v>
      </c>
      <c r="AM173" s="501">
        <v>0</v>
      </c>
      <c r="AN173" s="501">
        <v>0</v>
      </c>
    </row>
    <row r="174" spans="1:40" x14ac:dyDescent="0.3">
      <c r="A174" s="489" t="s">
        <v>1544</v>
      </c>
      <c r="B174" s="489" t="s">
        <v>1754</v>
      </c>
      <c r="C174" s="489" t="s">
        <v>1879</v>
      </c>
      <c r="D174" s="489" t="s">
        <v>46</v>
      </c>
      <c r="E174" s="619">
        <v>20</v>
      </c>
      <c r="F174" s="621">
        <f t="shared" si="11"/>
        <v>53897.8</v>
      </c>
      <c r="G174" s="501">
        <f t="shared" si="13"/>
        <v>62863.5</v>
      </c>
      <c r="H174" s="501">
        <f t="shared" si="13"/>
        <v>62863.5</v>
      </c>
      <c r="I174" s="501">
        <f t="shared" si="13"/>
        <v>60935</v>
      </c>
      <c r="J174" s="501">
        <f t="shared" si="13"/>
        <v>60935</v>
      </c>
      <c r="K174" s="501">
        <f t="shared" si="13"/>
        <v>71473</v>
      </c>
      <c r="L174" s="501">
        <f t="shared" si="13"/>
        <v>48457.25</v>
      </c>
      <c r="M174" s="501">
        <f t="shared" si="13"/>
        <v>48457.25</v>
      </c>
      <c r="N174" s="501">
        <f t="shared" si="13"/>
        <v>57280</v>
      </c>
      <c r="O174" s="501">
        <f t="shared" si="13"/>
        <v>53499.6</v>
      </c>
      <c r="P174" s="501">
        <f t="shared" si="13"/>
        <v>47034</v>
      </c>
      <c r="Q174" s="501">
        <f t="shared" si="13"/>
        <v>33061</v>
      </c>
      <c r="R174" s="501">
        <f t="shared" si="13"/>
        <v>59094</v>
      </c>
      <c r="S174" s="501">
        <f t="shared" si="13"/>
        <v>47465</v>
      </c>
      <c r="T174" s="501">
        <f t="shared" si="13"/>
        <v>47465</v>
      </c>
      <c r="U174" s="501">
        <f t="shared" si="13"/>
        <v>47465</v>
      </c>
      <c r="Y174" s="621">
        <v>53897.8</v>
      </c>
      <c r="Z174" s="501">
        <v>0</v>
      </c>
      <c r="AA174" s="501">
        <v>62863.5</v>
      </c>
      <c r="AB174" s="501">
        <v>0</v>
      </c>
      <c r="AC174" s="501">
        <v>60935</v>
      </c>
      <c r="AD174" s="501">
        <v>71473</v>
      </c>
      <c r="AE174" s="501">
        <v>0</v>
      </c>
      <c r="AF174" s="501">
        <v>48457.25</v>
      </c>
      <c r="AG174" s="501">
        <v>57280</v>
      </c>
      <c r="AH174" s="501">
        <v>53499.6</v>
      </c>
      <c r="AI174" s="501">
        <v>47034</v>
      </c>
      <c r="AJ174" s="501">
        <v>33061</v>
      </c>
      <c r="AK174" s="501">
        <v>59094</v>
      </c>
      <c r="AL174" s="501">
        <v>0</v>
      </c>
      <c r="AM174" s="501">
        <v>0</v>
      </c>
      <c r="AN174" s="501">
        <v>47465</v>
      </c>
    </row>
    <row r="175" spans="1:40" x14ac:dyDescent="0.3">
      <c r="A175" s="489" t="s">
        <v>1694</v>
      </c>
      <c r="B175" s="489" t="s">
        <v>1719</v>
      </c>
      <c r="C175" s="489" t="s">
        <v>1844</v>
      </c>
      <c r="D175" s="489" t="s">
        <v>1929</v>
      </c>
      <c r="E175" s="619">
        <v>20</v>
      </c>
      <c r="F175" s="621">
        <f t="shared" si="11"/>
        <v>81345.55</v>
      </c>
      <c r="G175" s="501">
        <f t="shared" si="13"/>
        <v>89367</v>
      </c>
      <c r="H175" s="501">
        <f t="shared" si="13"/>
        <v>82156</v>
      </c>
      <c r="I175" s="501">
        <f t="shared" si="13"/>
        <v>73538.399999999994</v>
      </c>
      <c r="J175" s="501">
        <f t="shared" si="13"/>
        <v>97529.333333333328</v>
      </c>
      <c r="K175" s="501">
        <f t="shared" si="13"/>
        <v>67766.5</v>
      </c>
      <c r="L175" s="501">
        <f t="shared" si="13"/>
        <v>72503</v>
      </c>
      <c r="M175" s="501">
        <f t="shared" si="13"/>
        <v>0</v>
      </c>
      <c r="N175" s="501">
        <f t="shared" si="13"/>
        <v>0</v>
      </c>
      <c r="O175" s="501">
        <f t="shared" si="13"/>
        <v>0</v>
      </c>
      <c r="P175" s="501">
        <f t="shared" si="13"/>
        <v>0</v>
      </c>
      <c r="Q175" s="501">
        <f t="shared" si="13"/>
        <v>0</v>
      </c>
      <c r="R175" s="501">
        <f t="shared" si="13"/>
        <v>0</v>
      </c>
      <c r="S175" s="501">
        <f t="shared" si="13"/>
        <v>0</v>
      </c>
      <c r="T175" s="501">
        <f t="shared" si="13"/>
        <v>0</v>
      </c>
      <c r="U175" s="501">
        <f t="shared" si="13"/>
        <v>0</v>
      </c>
      <c r="Y175" s="621">
        <v>81345.55</v>
      </c>
      <c r="Z175" s="501">
        <v>89367</v>
      </c>
      <c r="AA175" s="501">
        <v>82156</v>
      </c>
      <c r="AB175" s="501">
        <v>73538.399999999994</v>
      </c>
      <c r="AC175" s="501">
        <v>97529.333333333328</v>
      </c>
      <c r="AD175" s="501">
        <v>67766.5</v>
      </c>
      <c r="AE175" s="501">
        <v>72503</v>
      </c>
      <c r="AF175" s="501">
        <v>0</v>
      </c>
      <c r="AG175" s="501">
        <v>0</v>
      </c>
      <c r="AH175" s="501">
        <v>0</v>
      </c>
      <c r="AI175" s="501">
        <v>0</v>
      </c>
      <c r="AJ175" s="501">
        <v>0</v>
      </c>
      <c r="AK175" s="501">
        <v>0</v>
      </c>
      <c r="AL175" s="501">
        <v>0</v>
      </c>
      <c r="AM175" s="501">
        <v>0</v>
      </c>
      <c r="AN175" s="501">
        <v>0</v>
      </c>
    </row>
    <row r="176" spans="1:40" x14ac:dyDescent="0.3">
      <c r="A176" s="489" t="s">
        <v>1414</v>
      </c>
      <c r="B176" s="489" t="s">
        <v>1755</v>
      </c>
      <c r="C176" s="489" t="s">
        <v>1880</v>
      </c>
      <c r="D176" s="489" t="s">
        <v>46</v>
      </c>
      <c r="E176" s="619">
        <v>19</v>
      </c>
      <c r="F176" s="621">
        <f t="shared" si="11"/>
        <v>56680.285714285717</v>
      </c>
      <c r="G176" s="501">
        <f t="shared" si="13"/>
        <v>51894</v>
      </c>
      <c r="H176" s="501">
        <f t="shared" si="13"/>
        <v>51894</v>
      </c>
      <c r="I176" s="501">
        <f t="shared" si="13"/>
        <v>51894</v>
      </c>
      <c r="J176" s="501">
        <f t="shared" si="13"/>
        <v>51894</v>
      </c>
      <c r="K176" s="501">
        <f t="shared" si="13"/>
        <v>51894</v>
      </c>
      <c r="L176" s="501">
        <f t="shared" si="13"/>
        <v>51894</v>
      </c>
      <c r="M176" s="501">
        <f t="shared" si="13"/>
        <v>51894</v>
      </c>
      <c r="N176" s="501">
        <f t="shared" si="13"/>
        <v>51894</v>
      </c>
      <c r="O176" s="501">
        <f t="shared" si="13"/>
        <v>51894</v>
      </c>
      <c r="P176" s="501">
        <f t="shared" si="13"/>
        <v>59433</v>
      </c>
      <c r="Q176" s="501">
        <f t="shared" si="13"/>
        <v>56298.5</v>
      </c>
      <c r="R176" s="501">
        <f t="shared" si="13"/>
        <v>56298.5</v>
      </c>
      <c r="S176" s="501">
        <f t="shared" si="13"/>
        <v>56298.5</v>
      </c>
      <c r="T176" s="501">
        <f t="shared" si="13"/>
        <v>57707</v>
      </c>
      <c r="U176" s="501">
        <f t="shared" si="13"/>
        <v>57707</v>
      </c>
      <c r="Y176" s="621">
        <v>56680.285714285717</v>
      </c>
      <c r="Z176" s="501">
        <v>0</v>
      </c>
      <c r="AA176" s="501">
        <v>0</v>
      </c>
      <c r="AB176" s="501">
        <v>0</v>
      </c>
      <c r="AC176" s="501">
        <v>0</v>
      </c>
      <c r="AD176" s="501">
        <v>0</v>
      </c>
      <c r="AE176" s="501">
        <v>0</v>
      </c>
      <c r="AF176" s="501">
        <v>0</v>
      </c>
      <c r="AG176" s="501">
        <v>0</v>
      </c>
      <c r="AH176" s="501">
        <v>51894</v>
      </c>
      <c r="AI176" s="501">
        <v>59433</v>
      </c>
      <c r="AJ176" s="501">
        <v>0</v>
      </c>
      <c r="AK176" s="501">
        <v>0</v>
      </c>
      <c r="AL176" s="501">
        <v>56298.5</v>
      </c>
      <c r="AM176" s="501">
        <v>0</v>
      </c>
      <c r="AN176" s="501">
        <v>57707</v>
      </c>
    </row>
    <row r="177" spans="1:40" x14ac:dyDescent="0.3">
      <c r="A177" s="489" t="s">
        <v>1437</v>
      </c>
      <c r="B177" s="489" t="s">
        <v>1438</v>
      </c>
      <c r="C177" s="489" t="s">
        <v>1439</v>
      </c>
      <c r="D177" s="489" t="s">
        <v>46</v>
      </c>
      <c r="E177" s="619">
        <v>19</v>
      </c>
      <c r="F177" s="621">
        <f t="shared" si="11"/>
        <v>58200.8125</v>
      </c>
      <c r="G177" s="501">
        <f t="shared" si="13"/>
        <v>56468</v>
      </c>
      <c r="H177" s="501">
        <f t="shared" si="13"/>
        <v>56468</v>
      </c>
      <c r="I177" s="501">
        <f t="shared" si="13"/>
        <v>56468</v>
      </c>
      <c r="J177" s="501">
        <f t="shared" si="13"/>
        <v>56468</v>
      </c>
      <c r="K177" s="501">
        <f t="shared" si="13"/>
        <v>56468</v>
      </c>
      <c r="L177" s="501">
        <f t="shared" si="13"/>
        <v>56468</v>
      </c>
      <c r="M177" s="501">
        <f t="shared" si="13"/>
        <v>56468</v>
      </c>
      <c r="N177" s="501">
        <f t="shared" si="13"/>
        <v>56468</v>
      </c>
      <c r="O177" s="501">
        <f t="shared" si="13"/>
        <v>56468</v>
      </c>
      <c r="P177" s="501">
        <f t="shared" si="13"/>
        <v>56468</v>
      </c>
      <c r="Q177" s="501">
        <f t="shared" si="13"/>
        <v>53290</v>
      </c>
      <c r="R177" s="501">
        <f t="shared" si="13"/>
        <v>53290</v>
      </c>
      <c r="S177" s="501">
        <f t="shared" si="13"/>
        <v>53290</v>
      </c>
      <c r="T177" s="501">
        <f t="shared" si="13"/>
        <v>53290</v>
      </c>
      <c r="U177" s="501">
        <f t="shared" si="13"/>
        <v>53290</v>
      </c>
      <c r="Y177" s="621">
        <v>58200.8125</v>
      </c>
      <c r="Z177" s="501">
        <v>0</v>
      </c>
      <c r="AA177" s="501">
        <v>0</v>
      </c>
      <c r="AB177" s="501">
        <v>0</v>
      </c>
      <c r="AC177" s="501">
        <v>0</v>
      </c>
      <c r="AD177" s="501">
        <v>0</v>
      </c>
      <c r="AE177" s="501">
        <v>0</v>
      </c>
      <c r="AF177" s="501">
        <v>0</v>
      </c>
      <c r="AG177" s="501">
        <v>0</v>
      </c>
      <c r="AH177" s="501">
        <v>0</v>
      </c>
      <c r="AI177" s="501">
        <v>56468</v>
      </c>
      <c r="AJ177" s="501">
        <v>0</v>
      </c>
      <c r="AK177" s="501">
        <v>0</v>
      </c>
      <c r="AL177" s="501">
        <v>0</v>
      </c>
      <c r="AM177" s="501">
        <v>0</v>
      </c>
      <c r="AN177" s="501">
        <v>53290</v>
      </c>
    </row>
    <row r="178" spans="1:40" x14ac:dyDescent="0.3">
      <c r="A178" s="489" t="s">
        <v>1713</v>
      </c>
      <c r="B178" s="489" t="s">
        <v>1756</v>
      </c>
      <c r="C178" s="489" t="s">
        <v>1881</v>
      </c>
      <c r="D178" s="489" t="s">
        <v>1929</v>
      </c>
      <c r="E178" s="619">
        <v>19</v>
      </c>
      <c r="F178" s="621">
        <f t="shared" si="11"/>
        <v>25678.842105263157</v>
      </c>
      <c r="G178" s="501">
        <f t="shared" ref="G178:U193" si="14">IF(Z178&gt;0,Z178,IF(H178&gt;0,H178,0))</f>
        <v>26239</v>
      </c>
      <c r="H178" s="501">
        <f t="shared" si="14"/>
        <v>26239</v>
      </c>
      <c r="I178" s="501">
        <f t="shared" si="14"/>
        <v>26239</v>
      </c>
      <c r="J178" s="501">
        <f t="shared" si="14"/>
        <v>26239</v>
      </c>
      <c r="K178" s="501">
        <f t="shared" si="14"/>
        <v>26239</v>
      </c>
      <c r="L178" s="501">
        <f t="shared" si="14"/>
        <v>26239</v>
      </c>
      <c r="M178" s="501">
        <f t="shared" si="14"/>
        <v>26239</v>
      </c>
      <c r="N178" s="501">
        <f t="shared" si="14"/>
        <v>26239</v>
      </c>
      <c r="O178" s="501">
        <f t="shared" si="14"/>
        <v>26239</v>
      </c>
      <c r="P178" s="501">
        <f t="shared" si="14"/>
        <v>26239</v>
      </c>
      <c r="Q178" s="501">
        <f t="shared" si="14"/>
        <v>26239</v>
      </c>
      <c r="R178" s="501">
        <f t="shared" si="14"/>
        <v>26239</v>
      </c>
      <c r="S178" s="501">
        <f t="shared" si="14"/>
        <v>26239</v>
      </c>
      <c r="T178" s="501">
        <f t="shared" si="14"/>
        <v>26239</v>
      </c>
      <c r="U178" s="501">
        <f t="shared" si="14"/>
        <v>25905.666666666668</v>
      </c>
      <c r="Y178" s="621">
        <v>25678.842105263157</v>
      </c>
      <c r="Z178" s="501">
        <v>0</v>
      </c>
      <c r="AA178" s="501">
        <v>0</v>
      </c>
      <c r="AB178" s="501">
        <v>0</v>
      </c>
      <c r="AC178" s="501">
        <v>0</v>
      </c>
      <c r="AD178" s="501">
        <v>0</v>
      </c>
      <c r="AE178" s="501">
        <v>0</v>
      </c>
      <c r="AF178" s="501">
        <v>0</v>
      </c>
      <c r="AG178" s="501">
        <v>0</v>
      </c>
      <c r="AH178" s="501">
        <v>0</v>
      </c>
      <c r="AI178" s="501">
        <v>0</v>
      </c>
      <c r="AJ178" s="501">
        <v>0</v>
      </c>
      <c r="AK178" s="501">
        <v>0</v>
      </c>
      <c r="AL178" s="501">
        <v>0</v>
      </c>
      <c r="AM178" s="501">
        <v>26239</v>
      </c>
      <c r="AN178" s="501">
        <v>25905.666666666668</v>
      </c>
    </row>
    <row r="179" spans="1:40" x14ac:dyDescent="0.3">
      <c r="A179" s="489" t="s">
        <v>1426</v>
      </c>
      <c r="B179" s="489" t="s">
        <v>816</v>
      </c>
      <c r="C179" s="489" t="s">
        <v>816</v>
      </c>
      <c r="D179" s="489" t="s">
        <v>1936</v>
      </c>
      <c r="E179" s="619">
        <v>19</v>
      </c>
      <c r="F179" s="621">
        <f t="shared" si="11"/>
        <v>33477.105263157893</v>
      </c>
      <c r="G179" s="501">
        <f t="shared" si="14"/>
        <v>36745</v>
      </c>
      <c r="H179" s="501">
        <f t="shared" si="14"/>
        <v>36745</v>
      </c>
      <c r="I179" s="501">
        <f t="shared" si="14"/>
        <v>36745</v>
      </c>
      <c r="J179" s="501">
        <f t="shared" si="14"/>
        <v>36745</v>
      </c>
      <c r="K179" s="501">
        <f t="shared" si="14"/>
        <v>36745</v>
      </c>
      <c r="L179" s="501">
        <f t="shared" si="14"/>
        <v>36745</v>
      </c>
      <c r="M179" s="501">
        <f t="shared" si="14"/>
        <v>34446.428571428572</v>
      </c>
      <c r="N179" s="501">
        <f t="shared" si="14"/>
        <v>33193.75</v>
      </c>
      <c r="O179" s="501">
        <f t="shared" si="14"/>
        <v>33740</v>
      </c>
      <c r="P179" s="501">
        <f t="shared" si="14"/>
        <v>30540</v>
      </c>
      <c r="Q179" s="501">
        <f t="shared" si="14"/>
        <v>26180</v>
      </c>
      <c r="R179" s="501">
        <f t="shared" si="14"/>
        <v>26180</v>
      </c>
      <c r="S179" s="501">
        <f t="shared" si="14"/>
        <v>26180</v>
      </c>
      <c r="T179" s="501">
        <f t="shared" si="14"/>
        <v>26180</v>
      </c>
      <c r="U179" s="501">
        <f t="shared" si="14"/>
        <v>26180</v>
      </c>
      <c r="Y179" s="621">
        <v>33477.105263157893</v>
      </c>
      <c r="Z179" s="501">
        <v>0</v>
      </c>
      <c r="AA179" s="501">
        <v>0</v>
      </c>
      <c r="AB179" s="501">
        <v>0</v>
      </c>
      <c r="AC179" s="501">
        <v>0</v>
      </c>
      <c r="AD179" s="501">
        <v>0</v>
      </c>
      <c r="AE179" s="501">
        <v>36745</v>
      </c>
      <c r="AF179" s="501">
        <v>34446.428571428572</v>
      </c>
      <c r="AG179" s="501">
        <v>33193.75</v>
      </c>
      <c r="AH179" s="501">
        <v>33740</v>
      </c>
      <c r="AI179" s="501">
        <v>30540</v>
      </c>
      <c r="AJ179" s="501">
        <v>0</v>
      </c>
      <c r="AK179" s="501">
        <v>0</v>
      </c>
      <c r="AL179" s="501">
        <v>0</v>
      </c>
      <c r="AM179" s="501">
        <v>0</v>
      </c>
      <c r="AN179" s="501">
        <v>26180</v>
      </c>
    </row>
    <row r="180" spans="1:40" x14ac:dyDescent="0.3">
      <c r="A180" s="489" t="s">
        <v>1715</v>
      </c>
      <c r="B180" s="489" t="s">
        <v>1757</v>
      </c>
      <c r="C180" s="489" t="s">
        <v>1757</v>
      </c>
      <c r="D180" s="489" t="s">
        <v>141</v>
      </c>
      <c r="E180" s="619">
        <v>19</v>
      </c>
      <c r="F180" s="621">
        <f t="shared" si="11"/>
        <v>38103.789473684214</v>
      </c>
      <c r="G180" s="501">
        <f t="shared" si="14"/>
        <v>38306.666666666664</v>
      </c>
      <c r="H180" s="501">
        <f t="shared" si="14"/>
        <v>38733.230769230766</v>
      </c>
      <c r="I180" s="501">
        <f t="shared" si="14"/>
        <v>35173.333333333336</v>
      </c>
      <c r="J180" s="501">
        <f t="shared" si="14"/>
        <v>0</v>
      </c>
      <c r="K180" s="501">
        <f t="shared" si="14"/>
        <v>0</v>
      </c>
      <c r="L180" s="501">
        <f t="shared" si="14"/>
        <v>0</v>
      </c>
      <c r="M180" s="501">
        <f t="shared" si="14"/>
        <v>0</v>
      </c>
      <c r="N180" s="501">
        <f t="shared" si="14"/>
        <v>0</v>
      </c>
      <c r="O180" s="501">
        <f t="shared" si="14"/>
        <v>0</v>
      </c>
      <c r="P180" s="501">
        <f t="shared" si="14"/>
        <v>0</v>
      </c>
      <c r="Q180" s="501">
        <f t="shared" si="14"/>
        <v>0</v>
      </c>
      <c r="R180" s="501">
        <f t="shared" si="14"/>
        <v>0</v>
      </c>
      <c r="S180" s="501">
        <f t="shared" si="14"/>
        <v>0</v>
      </c>
      <c r="T180" s="501">
        <f t="shared" si="14"/>
        <v>0</v>
      </c>
      <c r="U180" s="501">
        <f t="shared" si="14"/>
        <v>0</v>
      </c>
      <c r="Y180" s="621">
        <v>38103.789473684214</v>
      </c>
      <c r="Z180" s="501">
        <v>38306.666666666664</v>
      </c>
      <c r="AA180" s="501">
        <v>38733.230769230766</v>
      </c>
      <c r="AB180" s="501">
        <v>35173.333333333336</v>
      </c>
      <c r="AC180" s="501">
        <v>0</v>
      </c>
      <c r="AD180" s="501">
        <v>0</v>
      </c>
      <c r="AE180" s="501">
        <v>0</v>
      </c>
      <c r="AF180" s="501">
        <v>0</v>
      </c>
      <c r="AG180" s="501">
        <v>0</v>
      </c>
      <c r="AH180" s="501">
        <v>0</v>
      </c>
      <c r="AI180" s="501">
        <v>0</v>
      </c>
      <c r="AJ180" s="501">
        <v>0</v>
      </c>
      <c r="AK180" s="501">
        <v>0</v>
      </c>
      <c r="AL180" s="501">
        <v>0</v>
      </c>
      <c r="AM180" s="501">
        <v>0</v>
      </c>
      <c r="AN180" s="501">
        <v>0</v>
      </c>
    </row>
    <row r="181" spans="1:40" x14ac:dyDescent="0.3">
      <c r="A181" s="489" t="s">
        <v>1441</v>
      </c>
      <c r="B181" s="489" t="s">
        <v>1445</v>
      </c>
      <c r="C181" s="489" t="s">
        <v>346</v>
      </c>
      <c r="D181" s="489" t="s">
        <v>141</v>
      </c>
      <c r="E181" s="619">
        <v>19</v>
      </c>
      <c r="F181" s="621">
        <f t="shared" si="11"/>
        <v>37549.631578947367</v>
      </c>
      <c r="G181" s="501">
        <f t="shared" si="14"/>
        <v>34788.800000000003</v>
      </c>
      <c r="H181" s="501">
        <f t="shared" si="14"/>
        <v>34788.800000000003</v>
      </c>
      <c r="I181" s="501">
        <f t="shared" si="14"/>
        <v>34788.800000000003</v>
      </c>
      <c r="J181" s="501">
        <f t="shared" si="14"/>
        <v>34788.800000000003</v>
      </c>
      <c r="K181" s="501">
        <f t="shared" si="14"/>
        <v>34788.800000000003</v>
      </c>
      <c r="L181" s="501">
        <f t="shared" si="14"/>
        <v>41071</v>
      </c>
      <c r="M181" s="501">
        <f t="shared" si="14"/>
        <v>40050</v>
      </c>
      <c r="N181" s="501">
        <f t="shared" si="14"/>
        <v>0</v>
      </c>
      <c r="O181" s="501">
        <f t="shared" si="14"/>
        <v>0</v>
      </c>
      <c r="P181" s="501">
        <f t="shared" si="14"/>
        <v>0</v>
      </c>
      <c r="Q181" s="501">
        <f t="shared" si="14"/>
        <v>0</v>
      </c>
      <c r="R181" s="501">
        <f t="shared" si="14"/>
        <v>0</v>
      </c>
      <c r="S181" s="501">
        <f t="shared" si="14"/>
        <v>0</v>
      </c>
      <c r="T181" s="501">
        <f t="shared" si="14"/>
        <v>0</v>
      </c>
      <c r="U181" s="501">
        <f t="shared" si="14"/>
        <v>0</v>
      </c>
      <c r="Y181" s="621">
        <v>37549.631578947367</v>
      </c>
      <c r="Z181" s="501">
        <v>0</v>
      </c>
      <c r="AA181" s="501">
        <v>0</v>
      </c>
      <c r="AB181" s="501">
        <v>0</v>
      </c>
      <c r="AC181" s="501">
        <v>0</v>
      </c>
      <c r="AD181" s="501">
        <v>34788.800000000003</v>
      </c>
      <c r="AE181" s="501">
        <v>41071</v>
      </c>
      <c r="AF181" s="501">
        <v>40050</v>
      </c>
      <c r="AG181" s="501">
        <v>0</v>
      </c>
      <c r="AH181" s="501">
        <v>0</v>
      </c>
      <c r="AI181" s="501">
        <v>0</v>
      </c>
      <c r="AJ181" s="501">
        <v>0</v>
      </c>
      <c r="AK181" s="501">
        <v>0</v>
      </c>
      <c r="AL181" s="501">
        <v>0</v>
      </c>
      <c r="AM181" s="501">
        <v>0</v>
      </c>
      <c r="AN181" s="501">
        <v>0</v>
      </c>
    </row>
    <row r="182" spans="1:40" x14ac:dyDescent="0.3">
      <c r="A182" s="489" t="s">
        <v>1426</v>
      </c>
      <c r="B182" s="489" t="s">
        <v>307</v>
      </c>
      <c r="C182" s="489" t="s">
        <v>307</v>
      </c>
      <c r="D182" s="489" t="s">
        <v>46</v>
      </c>
      <c r="E182" s="619">
        <v>18</v>
      </c>
      <c r="F182" s="621">
        <f t="shared" si="11"/>
        <v>22192.222222222223</v>
      </c>
      <c r="G182" s="501">
        <f t="shared" si="14"/>
        <v>17145</v>
      </c>
      <c r="H182" s="501">
        <f t="shared" si="14"/>
        <v>17145</v>
      </c>
      <c r="I182" s="501">
        <f t="shared" si="14"/>
        <v>17145</v>
      </c>
      <c r="J182" s="501">
        <f t="shared" si="14"/>
        <v>17145</v>
      </c>
      <c r="K182" s="501">
        <f t="shared" si="14"/>
        <v>17145</v>
      </c>
      <c r="L182" s="501">
        <f t="shared" si="14"/>
        <v>17145</v>
      </c>
      <c r="M182" s="501">
        <f t="shared" si="14"/>
        <v>17145</v>
      </c>
      <c r="N182" s="501">
        <f t="shared" si="14"/>
        <v>17145</v>
      </c>
      <c r="O182" s="501">
        <f t="shared" si="14"/>
        <v>17145</v>
      </c>
      <c r="P182" s="501">
        <f t="shared" si="14"/>
        <v>17145</v>
      </c>
      <c r="Q182" s="501">
        <f t="shared" si="14"/>
        <v>17145</v>
      </c>
      <c r="R182" s="501">
        <f t="shared" si="14"/>
        <v>17145</v>
      </c>
      <c r="S182" s="501">
        <f t="shared" si="14"/>
        <v>17145</v>
      </c>
      <c r="T182" s="501">
        <f t="shared" si="14"/>
        <v>21810</v>
      </c>
      <c r="U182" s="501">
        <f t="shared" si="14"/>
        <v>21810</v>
      </c>
      <c r="Y182" s="621">
        <v>22192.222222222223</v>
      </c>
      <c r="Z182" s="501">
        <v>0</v>
      </c>
      <c r="AA182" s="501">
        <v>0</v>
      </c>
      <c r="AB182" s="501">
        <v>0</v>
      </c>
      <c r="AC182" s="501">
        <v>0</v>
      </c>
      <c r="AD182" s="501">
        <v>0</v>
      </c>
      <c r="AE182" s="501">
        <v>0</v>
      </c>
      <c r="AF182" s="501">
        <v>0</v>
      </c>
      <c r="AG182" s="501">
        <v>0</v>
      </c>
      <c r="AH182" s="501">
        <v>0</v>
      </c>
      <c r="AI182" s="501">
        <v>0</v>
      </c>
      <c r="AJ182" s="501">
        <v>0</v>
      </c>
      <c r="AK182" s="501">
        <v>0</v>
      </c>
      <c r="AL182" s="501">
        <v>17145</v>
      </c>
      <c r="AM182" s="501">
        <v>0</v>
      </c>
      <c r="AN182" s="501">
        <v>21810</v>
      </c>
    </row>
    <row r="183" spans="1:40" x14ac:dyDescent="0.3">
      <c r="A183" s="489" t="s">
        <v>1426</v>
      </c>
      <c r="B183" s="489" t="s">
        <v>1758</v>
      </c>
      <c r="C183" s="489" t="s">
        <v>1758</v>
      </c>
      <c r="D183" s="489" t="s">
        <v>1929</v>
      </c>
      <c r="E183" s="619">
        <v>18</v>
      </c>
      <c r="F183" s="621">
        <f t="shared" si="11"/>
        <v>34513.722222222219</v>
      </c>
      <c r="G183" s="501">
        <f t="shared" si="14"/>
        <v>38269</v>
      </c>
      <c r="H183" s="501">
        <f t="shared" si="14"/>
        <v>43280</v>
      </c>
      <c r="I183" s="501">
        <f t="shared" si="14"/>
        <v>33372.800000000003</v>
      </c>
      <c r="J183" s="501">
        <f t="shared" si="14"/>
        <v>32489.25</v>
      </c>
      <c r="K183" s="501">
        <f t="shared" si="14"/>
        <v>33858.5</v>
      </c>
      <c r="L183" s="501">
        <f t="shared" si="14"/>
        <v>35110</v>
      </c>
      <c r="M183" s="501">
        <f t="shared" si="14"/>
        <v>31370</v>
      </c>
      <c r="N183" s="501">
        <f t="shared" si="14"/>
        <v>30290</v>
      </c>
      <c r="O183" s="501">
        <f t="shared" si="14"/>
        <v>0</v>
      </c>
      <c r="P183" s="501">
        <f t="shared" si="14"/>
        <v>0</v>
      </c>
      <c r="Q183" s="501">
        <f t="shared" si="14"/>
        <v>0</v>
      </c>
      <c r="R183" s="501">
        <f t="shared" si="14"/>
        <v>0</v>
      </c>
      <c r="S183" s="501">
        <f t="shared" si="14"/>
        <v>0</v>
      </c>
      <c r="T183" s="501">
        <f t="shared" si="14"/>
        <v>0</v>
      </c>
      <c r="U183" s="501">
        <f t="shared" si="14"/>
        <v>0</v>
      </c>
      <c r="Y183" s="621">
        <v>34513.722222222219</v>
      </c>
      <c r="Z183" s="501">
        <v>38269</v>
      </c>
      <c r="AA183" s="501">
        <v>43280</v>
      </c>
      <c r="AB183" s="501">
        <v>33372.800000000003</v>
      </c>
      <c r="AC183" s="501">
        <v>32489.25</v>
      </c>
      <c r="AD183" s="501">
        <v>33858.5</v>
      </c>
      <c r="AE183" s="501">
        <v>35110</v>
      </c>
      <c r="AF183" s="501">
        <v>31370</v>
      </c>
      <c r="AG183" s="501">
        <v>30290</v>
      </c>
      <c r="AH183" s="501">
        <v>0</v>
      </c>
      <c r="AI183" s="501">
        <v>0</v>
      </c>
      <c r="AJ183" s="501">
        <v>0</v>
      </c>
      <c r="AK183" s="501">
        <v>0</v>
      </c>
      <c r="AL183" s="501">
        <v>0</v>
      </c>
      <c r="AM183" s="501">
        <v>0</v>
      </c>
      <c r="AN183" s="501">
        <v>0</v>
      </c>
    </row>
    <row r="184" spans="1:40" x14ac:dyDescent="0.3">
      <c r="A184" s="489" t="s">
        <v>1426</v>
      </c>
      <c r="B184" s="489" t="s">
        <v>1440</v>
      </c>
      <c r="C184" s="489" t="s">
        <v>1440</v>
      </c>
      <c r="D184" s="489" t="s">
        <v>1936</v>
      </c>
      <c r="E184" s="619">
        <v>17</v>
      </c>
      <c r="F184" s="621">
        <f t="shared" si="11"/>
        <v>36872.588235294119</v>
      </c>
      <c r="G184" s="501">
        <f t="shared" si="14"/>
        <v>37639</v>
      </c>
      <c r="H184" s="501">
        <f t="shared" si="14"/>
        <v>38345</v>
      </c>
      <c r="I184" s="501">
        <f t="shared" si="14"/>
        <v>38345</v>
      </c>
      <c r="J184" s="501">
        <f t="shared" si="14"/>
        <v>38345</v>
      </c>
      <c r="K184" s="501">
        <f t="shared" si="14"/>
        <v>38345</v>
      </c>
      <c r="L184" s="501">
        <f t="shared" si="14"/>
        <v>38095</v>
      </c>
      <c r="M184" s="501">
        <f t="shared" si="14"/>
        <v>37640</v>
      </c>
      <c r="N184" s="501">
        <f t="shared" si="14"/>
        <v>33885</v>
      </c>
      <c r="O184" s="501">
        <f t="shared" si="14"/>
        <v>36520</v>
      </c>
      <c r="P184" s="501">
        <f t="shared" si="14"/>
        <v>32485</v>
      </c>
      <c r="Q184" s="501">
        <f t="shared" si="14"/>
        <v>0</v>
      </c>
      <c r="R184" s="501">
        <f t="shared" si="14"/>
        <v>0</v>
      </c>
      <c r="S184" s="501">
        <f t="shared" si="14"/>
        <v>0</v>
      </c>
      <c r="T184" s="501">
        <f t="shared" si="14"/>
        <v>0</v>
      </c>
      <c r="U184" s="501">
        <f t="shared" si="14"/>
        <v>0</v>
      </c>
      <c r="Y184" s="621">
        <v>36872.588235294119</v>
      </c>
      <c r="Z184" s="501">
        <v>37639</v>
      </c>
      <c r="AA184" s="501">
        <v>0</v>
      </c>
      <c r="AB184" s="501">
        <v>0</v>
      </c>
      <c r="AC184" s="501">
        <v>0</v>
      </c>
      <c r="AD184" s="501">
        <v>38345</v>
      </c>
      <c r="AE184" s="501">
        <v>38095</v>
      </c>
      <c r="AF184" s="501">
        <v>37640</v>
      </c>
      <c r="AG184" s="501">
        <v>33885</v>
      </c>
      <c r="AH184" s="501">
        <v>36520</v>
      </c>
      <c r="AI184" s="501">
        <v>32485</v>
      </c>
      <c r="AJ184" s="501">
        <v>0</v>
      </c>
      <c r="AK184" s="501">
        <v>0</v>
      </c>
      <c r="AL184" s="501">
        <v>0</v>
      </c>
      <c r="AM184" s="501">
        <v>0</v>
      </c>
      <c r="AN184" s="501">
        <v>0</v>
      </c>
    </row>
    <row r="185" spans="1:40" x14ac:dyDescent="0.3">
      <c r="A185" s="489" t="s">
        <v>1441</v>
      </c>
      <c r="B185" s="489" t="s">
        <v>1444</v>
      </c>
      <c r="C185" s="489" t="s">
        <v>870</v>
      </c>
      <c r="D185" s="489" t="s">
        <v>1936</v>
      </c>
      <c r="E185" s="619">
        <v>17</v>
      </c>
      <c r="F185" s="621">
        <f t="shared" si="11"/>
        <v>50324.117647058825</v>
      </c>
      <c r="G185" s="501">
        <f t="shared" si="14"/>
        <v>51488.5</v>
      </c>
      <c r="H185" s="501">
        <f t="shared" si="14"/>
        <v>49367.75</v>
      </c>
      <c r="I185" s="501">
        <f t="shared" si="14"/>
        <v>44951.5</v>
      </c>
      <c r="J185" s="501">
        <f t="shared" si="14"/>
        <v>44951.5</v>
      </c>
      <c r="K185" s="501">
        <f t="shared" si="14"/>
        <v>44951.5</v>
      </c>
      <c r="L185" s="501">
        <f t="shared" si="14"/>
        <v>44951.5</v>
      </c>
      <c r="M185" s="501">
        <f t="shared" si="14"/>
        <v>44951.5</v>
      </c>
      <c r="N185" s="501">
        <f t="shared" si="14"/>
        <v>44951.5</v>
      </c>
      <c r="O185" s="501">
        <f t="shared" si="14"/>
        <v>44951.5</v>
      </c>
      <c r="P185" s="501">
        <f t="shared" si="14"/>
        <v>54455.8</v>
      </c>
      <c r="Q185" s="501">
        <f t="shared" si="14"/>
        <v>0</v>
      </c>
      <c r="R185" s="501">
        <f t="shared" si="14"/>
        <v>0</v>
      </c>
      <c r="S185" s="501">
        <f t="shared" si="14"/>
        <v>0</v>
      </c>
      <c r="T185" s="501">
        <f t="shared" si="14"/>
        <v>0</v>
      </c>
      <c r="U185" s="501">
        <f t="shared" si="14"/>
        <v>0</v>
      </c>
      <c r="Y185" s="621">
        <v>50324.117647058825</v>
      </c>
      <c r="Z185" s="501">
        <v>51488.5</v>
      </c>
      <c r="AA185" s="501">
        <v>49367.75</v>
      </c>
      <c r="AB185" s="501">
        <v>0</v>
      </c>
      <c r="AC185" s="501">
        <v>0</v>
      </c>
      <c r="AD185" s="501">
        <v>0</v>
      </c>
      <c r="AE185" s="501">
        <v>0</v>
      </c>
      <c r="AF185" s="501">
        <v>0</v>
      </c>
      <c r="AG185" s="501">
        <v>0</v>
      </c>
      <c r="AH185" s="501">
        <v>44951.5</v>
      </c>
      <c r="AI185" s="501">
        <v>54455.8</v>
      </c>
      <c r="AJ185" s="501">
        <v>0</v>
      </c>
      <c r="AK185" s="501">
        <v>0</v>
      </c>
      <c r="AL185" s="501">
        <v>0</v>
      </c>
      <c r="AM185" s="501">
        <v>0</v>
      </c>
      <c r="AN185" s="501">
        <v>0</v>
      </c>
    </row>
    <row r="186" spans="1:40" x14ac:dyDescent="0.3">
      <c r="A186" s="489" t="s">
        <v>1694</v>
      </c>
      <c r="B186" s="489" t="s">
        <v>1759</v>
      </c>
      <c r="C186" s="489" t="s">
        <v>1882</v>
      </c>
      <c r="D186" s="489" t="s">
        <v>141</v>
      </c>
      <c r="E186" s="619">
        <v>17</v>
      </c>
      <c r="F186" s="621">
        <f t="shared" si="11"/>
        <v>58890</v>
      </c>
      <c r="G186" s="501">
        <f t="shared" si="14"/>
        <v>58845</v>
      </c>
      <c r="H186" s="501">
        <f t="shared" si="14"/>
        <v>58845</v>
      </c>
      <c r="I186" s="501">
        <f t="shared" si="14"/>
        <v>57990.666666666664</v>
      </c>
      <c r="J186" s="501">
        <f t="shared" si="14"/>
        <v>69862</v>
      </c>
      <c r="K186" s="501">
        <f t="shared" si="14"/>
        <v>0</v>
      </c>
      <c r="L186" s="501">
        <f t="shared" si="14"/>
        <v>0</v>
      </c>
      <c r="M186" s="501">
        <f t="shared" si="14"/>
        <v>0</v>
      </c>
      <c r="N186" s="501">
        <f t="shared" si="14"/>
        <v>0</v>
      </c>
      <c r="O186" s="501">
        <f t="shared" si="14"/>
        <v>0</v>
      </c>
      <c r="P186" s="501">
        <f t="shared" si="14"/>
        <v>0</v>
      </c>
      <c r="Q186" s="501">
        <f t="shared" si="14"/>
        <v>0</v>
      </c>
      <c r="R186" s="501">
        <f t="shared" si="14"/>
        <v>0</v>
      </c>
      <c r="S186" s="501">
        <f t="shared" si="14"/>
        <v>0</v>
      </c>
      <c r="T186" s="501">
        <f t="shared" si="14"/>
        <v>0</v>
      </c>
      <c r="U186" s="501">
        <f t="shared" si="14"/>
        <v>0</v>
      </c>
      <c r="Y186" s="621">
        <v>58890</v>
      </c>
      <c r="Z186" s="501">
        <v>0</v>
      </c>
      <c r="AA186" s="501">
        <v>58845</v>
      </c>
      <c r="AB186" s="501">
        <v>57990.666666666664</v>
      </c>
      <c r="AC186" s="501">
        <v>69862</v>
      </c>
      <c r="AD186" s="501">
        <v>0</v>
      </c>
      <c r="AE186" s="501">
        <v>0</v>
      </c>
      <c r="AF186" s="501">
        <v>0</v>
      </c>
      <c r="AG186" s="501">
        <v>0</v>
      </c>
      <c r="AH186" s="501">
        <v>0</v>
      </c>
      <c r="AI186" s="501">
        <v>0</v>
      </c>
      <c r="AJ186" s="501">
        <v>0</v>
      </c>
      <c r="AK186" s="501">
        <v>0</v>
      </c>
      <c r="AL186" s="501">
        <v>0</v>
      </c>
      <c r="AM186" s="501">
        <v>0</v>
      </c>
      <c r="AN186" s="501">
        <v>0</v>
      </c>
    </row>
    <row r="187" spans="1:40" x14ac:dyDescent="0.3">
      <c r="A187" s="489" t="s">
        <v>1454</v>
      </c>
      <c r="B187" s="489" t="s">
        <v>1760</v>
      </c>
      <c r="C187" s="489" t="s">
        <v>1883</v>
      </c>
      <c r="D187" s="489" t="s">
        <v>46</v>
      </c>
      <c r="E187" s="619">
        <v>16</v>
      </c>
      <c r="F187" s="621">
        <f t="shared" si="11"/>
        <v>37529.076923076922</v>
      </c>
      <c r="G187" s="501">
        <f t="shared" si="14"/>
        <v>37079</v>
      </c>
      <c r="H187" s="501">
        <f t="shared" si="14"/>
        <v>37079</v>
      </c>
      <c r="I187" s="501">
        <f t="shared" si="14"/>
        <v>37079</v>
      </c>
      <c r="J187" s="501">
        <f t="shared" si="14"/>
        <v>37079</v>
      </c>
      <c r="K187" s="501">
        <f t="shared" si="14"/>
        <v>37079</v>
      </c>
      <c r="L187" s="501">
        <f t="shared" si="14"/>
        <v>37079</v>
      </c>
      <c r="M187" s="501">
        <f t="shared" si="14"/>
        <v>37487</v>
      </c>
      <c r="N187" s="501">
        <f t="shared" si="14"/>
        <v>37487</v>
      </c>
      <c r="O187" s="501">
        <f t="shared" si="14"/>
        <v>39833</v>
      </c>
      <c r="P187" s="501">
        <f t="shared" si="14"/>
        <v>39833</v>
      </c>
      <c r="Q187" s="501">
        <f t="shared" si="14"/>
        <v>36167.666666666664</v>
      </c>
      <c r="R187" s="501">
        <f t="shared" si="14"/>
        <v>37000</v>
      </c>
      <c r="S187" s="501">
        <f t="shared" si="14"/>
        <v>38487.5</v>
      </c>
      <c r="T187" s="501">
        <f t="shared" si="14"/>
        <v>36840.5</v>
      </c>
      <c r="U187" s="501">
        <f t="shared" si="14"/>
        <v>36840.5</v>
      </c>
      <c r="Y187" s="621">
        <v>37529.076923076922</v>
      </c>
      <c r="Z187" s="501">
        <v>0</v>
      </c>
      <c r="AA187" s="501">
        <v>0</v>
      </c>
      <c r="AB187" s="501">
        <v>0</v>
      </c>
      <c r="AC187" s="501">
        <v>0</v>
      </c>
      <c r="AD187" s="501">
        <v>0</v>
      </c>
      <c r="AE187" s="501">
        <v>37079</v>
      </c>
      <c r="AF187" s="501">
        <v>0</v>
      </c>
      <c r="AG187" s="501">
        <v>37487</v>
      </c>
      <c r="AH187" s="501">
        <v>0</v>
      </c>
      <c r="AI187" s="501">
        <v>39833</v>
      </c>
      <c r="AJ187" s="501">
        <v>36167.666666666664</v>
      </c>
      <c r="AK187" s="501">
        <v>37000</v>
      </c>
      <c r="AL187" s="501">
        <v>38487.5</v>
      </c>
      <c r="AM187" s="501">
        <v>0</v>
      </c>
      <c r="AN187" s="501">
        <v>36840.5</v>
      </c>
    </row>
    <row r="188" spans="1:40" x14ac:dyDescent="0.3">
      <c r="A188" s="489" t="s">
        <v>1441</v>
      </c>
      <c r="B188" s="489" t="s">
        <v>1445</v>
      </c>
      <c r="C188" s="489" t="s">
        <v>346</v>
      </c>
      <c r="D188" s="489" t="s">
        <v>45</v>
      </c>
      <c r="E188" s="619">
        <v>16</v>
      </c>
      <c r="F188" s="621">
        <f t="shared" si="11"/>
        <v>31495.058823529413</v>
      </c>
      <c r="G188" s="501">
        <f t="shared" si="14"/>
        <v>39465</v>
      </c>
      <c r="H188" s="501">
        <f t="shared" si="14"/>
        <v>29839</v>
      </c>
      <c r="I188" s="501">
        <f t="shared" si="14"/>
        <v>33725</v>
      </c>
      <c r="J188" s="501">
        <f t="shared" si="14"/>
        <v>29904</v>
      </c>
      <c r="K188" s="501">
        <f t="shared" si="14"/>
        <v>29904</v>
      </c>
      <c r="L188" s="501">
        <f t="shared" si="14"/>
        <v>30054</v>
      </c>
      <c r="M188" s="501">
        <f t="shared" si="14"/>
        <v>29785</v>
      </c>
      <c r="N188" s="501">
        <f t="shared" si="14"/>
        <v>27176</v>
      </c>
      <c r="O188" s="501">
        <f t="shared" si="14"/>
        <v>36839.666666666664</v>
      </c>
      <c r="P188" s="501">
        <f t="shared" si="14"/>
        <v>36839.666666666664</v>
      </c>
      <c r="Q188" s="501">
        <f t="shared" si="14"/>
        <v>36839.666666666664</v>
      </c>
      <c r="R188" s="501">
        <f t="shared" si="14"/>
        <v>32235</v>
      </c>
      <c r="S188" s="501">
        <f t="shared" si="14"/>
        <v>28278.5</v>
      </c>
      <c r="T188" s="501">
        <f t="shared" si="14"/>
        <v>27068.5</v>
      </c>
      <c r="U188" s="501">
        <f t="shared" si="14"/>
        <v>27068.5</v>
      </c>
      <c r="Y188" s="621">
        <v>31495.058823529413</v>
      </c>
      <c r="Z188" s="501">
        <v>39465</v>
      </c>
      <c r="AA188" s="501">
        <v>29839</v>
      </c>
      <c r="AB188" s="501">
        <v>33725</v>
      </c>
      <c r="AC188" s="501">
        <v>0</v>
      </c>
      <c r="AD188" s="501">
        <v>29904</v>
      </c>
      <c r="AE188" s="501">
        <v>30054</v>
      </c>
      <c r="AF188" s="501">
        <v>29785</v>
      </c>
      <c r="AG188" s="501">
        <v>27176</v>
      </c>
      <c r="AH188" s="501">
        <v>0</v>
      </c>
      <c r="AI188" s="501">
        <v>0</v>
      </c>
      <c r="AJ188" s="501">
        <v>36839.666666666664</v>
      </c>
      <c r="AK188" s="501">
        <v>32235</v>
      </c>
      <c r="AL188" s="501">
        <v>28278.5</v>
      </c>
      <c r="AM188" s="501">
        <v>0</v>
      </c>
      <c r="AN188" s="501">
        <v>27068.5</v>
      </c>
    </row>
    <row r="189" spans="1:40" x14ac:dyDescent="0.3">
      <c r="A189" s="489" t="s">
        <v>1432</v>
      </c>
      <c r="B189" s="489" t="s">
        <v>1761</v>
      </c>
      <c r="C189" s="489" t="s">
        <v>1884</v>
      </c>
      <c r="D189" s="489" t="s">
        <v>141</v>
      </c>
      <c r="E189" s="619">
        <v>16</v>
      </c>
      <c r="F189" s="621">
        <f t="shared" si="11"/>
        <v>82110.125</v>
      </c>
      <c r="G189" s="501">
        <f t="shared" si="14"/>
        <v>80380</v>
      </c>
      <c r="H189" s="501">
        <f t="shared" si="14"/>
        <v>80380</v>
      </c>
      <c r="I189" s="501">
        <f t="shared" si="14"/>
        <v>82352</v>
      </c>
      <c r="J189" s="501">
        <f t="shared" si="14"/>
        <v>82206</v>
      </c>
      <c r="K189" s="501">
        <f t="shared" si="14"/>
        <v>0</v>
      </c>
      <c r="L189" s="501">
        <f t="shared" si="14"/>
        <v>0</v>
      </c>
      <c r="M189" s="501">
        <f t="shared" si="14"/>
        <v>0</v>
      </c>
      <c r="N189" s="501">
        <f t="shared" si="14"/>
        <v>0</v>
      </c>
      <c r="O189" s="501">
        <f t="shared" si="14"/>
        <v>0</v>
      </c>
      <c r="P189" s="501">
        <f t="shared" si="14"/>
        <v>0</v>
      </c>
      <c r="Q189" s="501">
        <f t="shared" si="14"/>
        <v>0</v>
      </c>
      <c r="R189" s="501">
        <f t="shared" si="14"/>
        <v>0</v>
      </c>
      <c r="S189" s="501">
        <f t="shared" si="14"/>
        <v>0</v>
      </c>
      <c r="T189" s="501">
        <f t="shared" si="14"/>
        <v>0</v>
      </c>
      <c r="U189" s="501">
        <f t="shared" si="14"/>
        <v>0</v>
      </c>
      <c r="Y189" s="621">
        <v>82110.125</v>
      </c>
      <c r="Z189" s="501">
        <v>0</v>
      </c>
      <c r="AA189" s="501">
        <v>80380</v>
      </c>
      <c r="AB189" s="501">
        <v>82352</v>
      </c>
      <c r="AC189" s="501">
        <v>82206</v>
      </c>
      <c r="AD189" s="501">
        <v>0</v>
      </c>
      <c r="AE189" s="501">
        <v>0</v>
      </c>
      <c r="AF189" s="501">
        <v>0</v>
      </c>
      <c r="AG189" s="501">
        <v>0</v>
      </c>
      <c r="AH189" s="501">
        <v>0</v>
      </c>
      <c r="AI189" s="501">
        <v>0</v>
      </c>
      <c r="AJ189" s="501">
        <v>0</v>
      </c>
      <c r="AK189" s="501">
        <v>0</v>
      </c>
      <c r="AL189" s="501">
        <v>0</v>
      </c>
      <c r="AM189" s="501">
        <v>0</v>
      </c>
      <c r="AN189" s="501">
        <v>0</v>
      </c>
    </row>
    <row r="190" spans="1:40" x14ac:dyDescent="0.3">
      <c r="A190" s="489" t="s">
        <v>1414</v>
      </c>
      <c r="B190" s="489" t="s">
        <v>1762</v>
      </c>
      <c r="C190" s="489" t="s">
        <v>1885</v>
      </c>
      <c r="D190" s="489" t="s">
        <v>46</v>
      </c>
      <c r="E190" s="619">
        <v>15</v>
      </c>
      <c r="F190" s="621">
        <f t="shared" si="11"/>
        <v>91243.333333333328</v>
      </c>
      <c r="G190" s="501">
        <f t="shared" si="14"/>
        <v>89837</v>
      </c>
      <c r="H190" s="501">
        <f t="shared" si="14"/>
        <v>89837</v>
      </c>
      <c r="I190" s="501">
        <f t="shared" si="14"/>
        <v>89837</v>
      </c>
      <c r="J190" s="501">
        <f t="shared" si="14"/>
        <v>89837</v>
      </c>
      <c r="K190" s="501">
        <f t="shared" si="14"/>
        <v>89837</v>
      </c>
      <c r="L190" s="501">
        <f t="shared" si="14"/>
        <v>89837</v>
      </c>
      <c r="M190" s="501">
        <f t="shared" si="14"/>
        <v>97924.5</v>
      </c>
      <c r="N190" s="501">
        <f t="shared" si="14"/>
        <v>95109.5</v>
      </c>
      <c r="O190" s="501">
        <f t="shared" si="14"/>
        <v>91325.666666666672</v>
      </c>
      <c r="P190" s="501">
        <f t="shared" si="14"/>
        <v>87891.75</v>
      </c>
      <c r="Q190" s="501">
        <f t="shared" si="14"/>
        <v>80536</v>
      </c>
      <c r="R190" s="501">
        <f t="shared" si="14"/>
        <v>93332.5</v>
      </c>
      <c r="S190" s="501">
        <f t="shared" si="14"/>
        <v>0</v>
      </c>
      <c r="T190" s="501">
        <f t="shared" si="14"/>
        <v>0</v>
      </c>
      <c r="U190" s="501">
        <f t="shared" si="14"/>
        <v>0</v>
      </c>
      <c r="Y190" s="621">
        <v>91243.333333333328</v>
      </c>
      <c r="Z190" s="501">
        <v>0</v>
      </c>
      <c r="AA190" s="501">
        <v>0</v>
      </c>
      <c r="AB190" s="501">
        <v>0</v>
      </c>
      <c r="AC190" s="501">
        <v>0</v>
      </c>
      <c r="AD190" s="501">
        <v>0</v>
      </c>
      <c r="AE190" s="501">
        <v>89837</v>
      </c>
      <c r="AF190" s="501">
        <v>97924.5</v>
      </c>
      <c r="AG190" s="501">
        <v>95109.5</v>
      </c>
      <c r="AH190" s="501">
        <v>91325.666666666672</v>
      </c>
      <c r="AI190" s="501">
        <v>87891.75</v>
      </c>
      <c r="AJ190" s="501">
        <v>80536</v>
      </c>
      <c r="AK190" s="501">
        <v>93332.5</v>
      </c>
      <c r="AL190" s="501">
        <v>0</v>
      </c>
      <c r="AM190" s="501">
        <v>0</v>
      </c>
      <c r="AN190" s="501">
        <v>0</v>
      </c>
    </row>
    <row r="191" spans="1:40" x14ac:dyDescent="0.3">
      <c r="A191" s="489" t="s">
        <v>1544</v>
      </c>
      <c r="B191" s="489" t="s">
        <v>1763</v>
      </c>
      <c r="C191" s="489" t="s">
        <v>1886</v>
      </c>
      <c r="D191" s="489" t="s">
        <v>46</v>
      </c>
      <c r="E191" s="619">
        <v>15</v>
      </c>
      <c r="F191" s="621">
        <f t="shared" si="11"/>
        <v>33932</v>
      </c>
      <c r="G191" s="501">
        <f t="shared" si="14"/>
        <v>31450</v>
      </c>
      <c r="H191" s="501">
        <f t="shared" si="14"/>
        <v>31450</v>
      </c>
      <c r="I191" s="501">
        <f t="shared" si="14"/>
        <v>35493</v>
      </c>
      <c r="J191" s="501">
        <f t="shared" si="14"/>
        <v>35493</v>
      </c>
      <c r="K191" s="501">
        <f t="shared" si="14"/>
        <v>33167.5</v>
      </c>
      <c r="L191" s="501">
        <f t="shared" si="14"/>
        <v>33167.5</v>
      </c>
      <c r="M191" s="501">
        <f t="shared" si="14"/>
        <v>39269.5</v>
      </c>
      <c r="N191" s="501">
        <f t="shared" si="14"/>
        <v>29643</v>
      </c>
      <c r="O191" s="501">
        <f t="shared" si="14"/>
        <v>26189</v>
      </c>
      <c r="P191" s="501">
        <f t="shared" si="14"/>
        <v>34529</v>
      </c>
      <c r="Q191" s="501">
        <f t="shared" si="14"/>
        <v>34529</v>
      </c>
      <c r="R191" s="501">
        <f t="shared" si="14"/>
        <v>34529</v>
      </c>
      <c r="S191" s="501">
        <f t="shared" si="14"/>
        <v>0</v>
      </c>
      <c r="T191" s="501">
        <f t="shared" si="14"/>
        <v>0</v>
      </c>
      <c r="U191" s="501">
        <f t="shared" si="14"/>
        <v>0</v>
      </c>
      <c r="Y191" s="621">
        <v>33932</v>
      </c>
      <c r="Z191" s="501">
        <v>0</v>
      </c>
      <c r="AA191" s="501">
        <v>31450</v>
      </c>
      <c r="AB191" s="501">
        <v>0</v>
      </c>
      <c r="AC191" s="501">
        <v>35493</v>
      </c>
      <c r="AD191" s="501">
        <v>0</v>
      </c>
      <c r="AE191" s="501">
        <v>33167.5</v>
      </c>
      <c r="AF191" s="501">
        <v>39269.5</v>
      </c>
      <c r="AG191" s="501">
        <v>29643</v>
      </c>
      <c r="AH191" s="501">
        <v>26189</v>
      </c>
      <c r="AI191" s="501">
        <v>0</v>
      </c>
      <c r="AJ191" s="501">
        <v>0</v>
      </c>
      <c r="AK191" s="501">
        <v>34529</v>
      </c>
      <c r="AL191" s="501">
        <v>0</v>
      </c>
      <c r="AM191" s="501">
        <v>0</v>
      </c>
      <c r="AN191" s="501">
        <v>0</v>
      </c>
    </row>
    <row r="192" spans="1:40" x14ac:dyDescent="0.3">
      <c r="A192" s="489" t="s">
        <v>1441</v>
      </c>
      <c r="B192" s="489" t="s">
        <v>1764</v>
      </c>
      <c r="C192" s="489" t="s">
        <v>1887</v>
      </c>
      <c r="D192" s="489" t="s">
        <v>46</v>
      </c>
      <c r="E192" s="619">
        <v>15</v>
      </c>
      <c r="F192" s="621">
        <f t="shared" si="11"/>
        <v>53143.26666666667</v>
      </c>
      <c r="G192" s="501">
        <f t="shared" si="14"/>
        <v>56604.666666666664</v>
      </c>
      <c r="H192" s="501">
        <f t="shared" si="14"/>
        <v>57718</v>
      </c>
      <c r="I192" s="501">
        <f t="shared" si="14"/>
        <v>55178</v>
      </c>
      <c r="J192" s="501">
        <f t="shared" si="14"/>
        <v>51161</v>
      </c>
      <c r="K192" s="501">
        <f t="shared" si="14"/>
        <v>51161</v>
      </c>
      <c r="L192" s="501">
        <f t="shared" si="14"/>
        <v>51161</v>
      </c>
      <c r="M192" s="501">
        <f t="shared" si="14"/>
        <v>46308.5</v>
      </c>
      <c r="N192" s="501">
        <f t="shared" si="14"/>
        <v>50581</v>
      </c>
      <c r="O192" s="501">
        <f t="shared" si="14"/>
        <v>0</v>
      </c>
      <c r="P192" s="501">
        <f t="shared" si="14"/>
        <v>0</v>
      </c>
      <c r="Q192" s="501">
        <f t="shared" si="14"/>
        <v>0</v>
      </c>
      <c r="R192" s="501">
        <f t="shared" si="14"/>
        <v>0</v>
      </c>
      <c r="S192" s="501">
        <f t="shared" si="14"/>
        <v>0</v>
      </c>
      <c r="T192" s="501">
        <f t="shared" si="14"/>
        <v>0</v>
      </c>
      <c r="U192" s="501">
        <f t="shared" si="14"/>
        <v>0</v>
      </c>
      <c r="Y192" s="621">
        <v>53143.26666666667</v>
      </c>
      <c r="Z192" s="501">
        <v>56604.666666666664</v>
      </c>
      <c r="AA192" s="501">
        <v>57718</v>
      </c>
      <c r="AB192" s="501">
        <v>55178</v>
      </c>
      <c r="AC192" s="501">
        <v>0</v>
      </c>
      <c r="AD192" s="501">
        <v>0</v>
      </c>
      <c r="AE192" s="501">
        <v>51161</v>
      </c>
      <c r="AF192" s="501">
        <v>46308.5</v>
      </c>
      <c r="AG192" s="501">
        <v>50581</v>
      </c>
      <c r="AH192" s="501">
        <v>0</v>
      </c>
      <c r="AI192" s="501">
        <v>0</v>
      </c>
      <c r="AJ192" s="501">
        <v>0</v>
      </c>
      <c r="AK192" s="501">
        <v>0</v>
      </c>
      <c r="AL192" s="501">
        <v>0</v>
      </c>
      <c r="AM192" s="501">
        <v>0</v>
      </c>
      <c r="AN192" s="501">
        <v>0</v>
      </c>
    </row>
    <row r="193" spans="1:40" x14ac:dyDescent="0.3">
      <c r="A193" s="489" t="s">
        <v>1414</v>
      </c>
      <c r="B193" s="489" t="s">
        <v>1765</v>
      </c>
      <c r="C193" s="489" t="s">
        <v>1888</v>
      </c>
      <c r="D193" s="489" t="s">
        <v>141</v>
      </c>
      <c r="E193" s="619">
        <v>15</v>
      </c>
      <c r="F193" s="621">
        <f t="shared" si="11"/>
        <v>81001.8</v>
      </c>
      <c r="G193" s="501">
        <f t="shared" si="14"/>
        <v>85715.5</v>
      </c>
      <c r="H193" s="501">
        <f t="shared" si="14"/>
        <v>78144.333333333328</v>
      </c>
      <c r="I193" s="501">
        <f t="shared" si="14"/>
        <v>77666.5</v>
      </c>
      <c r="J193" s="501">
        <f t="shared" si="14"/>
        <v>79649.5</v>
      </c>
      <c r="K193" s="501">
        <f t="shared" si="14"/>
        <v>77400.5</v>
      </c>
      <c r="L193" s="501">
        <f t="shared" si="14"/>
        <v>92198.5</v>
      </c>
      <c r="M193" s="501">
        <f t="shared" si="14"/>
        <v>0</v>
      </c>
      <c r="N193" s="501">
        <f t="shared" si="14"/>
        <v>0</v>
      </c>
      <c r="O193" s="501">
        <f t="shared" si="14"/>
        <v>0</v>
      </c>
      <c r="P193" s="501">
        <f t="shared" si="14"/>
        <v>0</v>
      </c>
      <c r="Q193" s="501">
        <f t="shared" si="14"/>
        <v>0</v>
      </c>
      <c r="R193" s="501">
        <f t="shared" si="14"/>
        <v>0</v>
      </c>
      <c r="S193" s="501">
        <f t="shared" si="14"/>
        <v>0</v>
      </c>
      <c r="T193" s="501">
        <f t="shared" si="14"/>
        <v>0</v>
      </c>
      <c r="U193" s="501">
        <f t="shared" si="14"/>
        <v>0</v>
      </c>
      <c r="Y193" s="621">
        <v>81001.8</v>
      </c>
      <c r="Z193" s="501">
        <v>85715.5</v>
      </c>
      <c r="AA193" s="501">
        <v>78144.333333333328</v>
      </c>
      <c r="AB193" s="501">
        <v>77666.5</v>
      </c>
      <c r="AC193" s="501">
        <v>79649.5</v>
      </c>
      <c r="AD193" s="501">
        <v>77400.5</v>
      </c>
      <c r="AE193" s="501">
        <v>92198.5</v>
      </c>
      <c r="AF193" s="501">
        <v>0</v>
      </c>
      <c r="AG193" s="501">
        <v>0</v>
      </c>
      <c r="AH193" s="501">
        <v>0</v>
      </c>
      <c r="AI193" s="501">
        <v>0</v>
      </c>
      <c r="AJ193" s="501">
        <v>0</v>
      </c>
      <c r="AK193" s="501">
        <v>0</v>
      </c>
      <c r="AL193" s="501">
        <v>0</v>
      </c>
      <c r="AM193" s="501">
        <v>0</v>
      </c>
      <c r="AN193" s="501">
        <v>0</v>
      </c>
    </row>
    <row r="194" spans="1:40" x14ac:dyDescent="0.3">
      <c r="A194" s="489" t="s">
        <v>1414</v>
      </c>
      <c r="B194" s="489" t="s">
        <v>1766</v>
      </c>
      <c r="C194" s="489" t="s">
        <v>1889</v>
      </c>
      <c r="D194" s="489" t="s">
        <v>141</v>
      </c>
      <c r="E194" s="619">
        <v>15</v>
      </c>
      <c r="F194" s="621">
        <f t="shared" si="11"/>
        <v>66436.866666666669</v>
      </c>
      <c r="G194" s="501">
        <f t="shared" ref="G194:U209" si="15">IF(Z194&gt;0,Z194,IF(H194&gt;0,H194,0))</f>
        <v>77440</v>
      </c>
      <c r="H194" s="501">
        <f t="shared" si="15"/>
        <v>65582</v>
      </c>
      <c r="I194" s="501">
        <f t="shared" si="15"/>
        <v>65656.230769230766</v>
      </c>
      <c r="J194" s="501">
        <f t="shared" si="15"/>
        <v>0</v>
      </c>
      <c r="K194" s="501">
        <f t="shared" si="15"/>
        <v>0</v>
      </c>
      <c r="L194" s="501">
        <f t="shared" si="15"/>
        <v>0</v>
      </c>
      <c r="M194" s="501">
        <f t="shared" si="15"/>
        <v>0</v>
      </c>
      <c r="N194" s="501">
        <f t="shared" si="15"/>
        <v>0</v>
      </c>
      <c r="O194" s="501">
        <f t="shared" si="15"/>
        <v>0</v>
      </c>
      <c r="P194" s="501">
        <f t="shared" si="15"/>
        <v>0</v>
      </c>
      <c r="Q194" s="501">
        <f t="shared" si="15"/>
        <v>0</v>
      </c>
      <c r="R194" s="501">
        <f t="shared" si="15"/>
        <v>0</v>
      </c>
      <c r="S194" s="501">
        <f t="shared" si="15"/>
        <v>0</v>
      </c>
      <c r="T194" s="501">
        <f t="shared" si="15"/>
        <v>0</v>
      </c>
      <c r="U194" s="501">
        <f t="shared" si="15"/>
        <v>0</v>
      </c>
      <c r="Y194" s="621">
        <v>66436.866666666669</v>
      </c>
      <c r="Z194" s="501">
        <v>77440</v>
      </c>
      <c r="AA194" s="501">
        <v>65582</v>
      </c>
      <c r="AB194" s="501">
        <v>65656.230769230766</v>
      </c>
      <c r="AC194" s="501">
        <v>0</v>
      </c>
      <c r="AD194" s="501">
        <v>0</v>
      </c>
      <c r="AE194" s="501">
        <v>0</v>
      </c>
      <c r="AF194" s="501">
        <v>0</v>
      </c>
      <c r="AG194" s="501">
        <v>0</v>
      </c>
      <c r="AH194" s="501">
        <v>0</v>
      </c>
      <c r="AI194" s="501">
        <v>0</v>
      </c>
      <c r="AJ194" s="501">
        <v>0</v>
      </c>
      <c r="AK194" s="501">
        <v>0</v>
      </c>
      <c r="AL194" s="501">
        <v>0</v>
      </c>
      <c r="AM194" s="501">
        <v>0</v>
      </c>
      <c r="AN194" s="501">
        <v>0</v>
      </c>
    </row>
    <row r="195" spans="1:40" x14ac:dyDescent="0.3">
      <c r="A195" s="489" t="s">
        <v>1414</v>
      </c>
      <c r="B195" s="489" t="s">
        <v>1767</v>
      </c>
      <c r="C195" s="489" t="s">
        <v>1890</v>
      </c>
      <c r="D195" s="489" t="s">
        <v>46</v>
      </c>
      <c r="E195" s="619">
        <v>15</v>
      </c>
      <c r="F195" s="621">
        <f t="shared" ref="F195:F230" si="16">Y195</f>
        <v>70442.600000000006</v>
      </c>
      <c r="G195" s="501">
        <f t="shared" si="15"/>
        <v>69987</v>
      </c>
      <c r="H195" s="501">
        <f t="shared" si="15"/>
        <v>75247.666666666672</v>
      </c>
      <c r="I195" s="501">
        <f t="shared" si="15"/>
        <v>68252</v>
      </c>
      <c r="J195" s="501">
        <f t="shared" si="15"/>
        <v>66788</v>
      </c>
      <c r="K195" s="501">
        <f t="shared" si="15"/>
        <v>66788</v>
      </c>
      <c r="L195" s="501">
        <f t="shared" si="15"/>
        <v>67708</v>
      </c>
      <c r="M195" s="501">
        <f t="shared" si="15"/>
        <v>0</v>
      </c>
      <c r="N195" s="501">
        <f t="shared" si="15"/>
        <v>0</v>
      </c>
      <c r="O195" s="501">
        <f t="shared" si="15"/>
        <v>0</v>
      </c>
      <c r="P195" s="501">
        <f t="shared" si="15"/>
        <v>0</v>
      </c>
      <c r="Q195" s="501">
        <f t="shared" si="15"/>
        <v>0</v>
      </c>
      <c r="R195" s="501">
        <f t="shared" si="15"/>
        <v>0</v>
      </c>
      <c r="S195" s="501">
        <f t="shared" si="15"/>
        <v>0</v>
      </c>
      <c r="T195" s="501">
        <f t="shared" si="15"/>
        <v>0</v>
      </c>
      <c r="U195" s="501">
        <f t="shared" si="15"/>
        <v>0</v>
      </c>
      <c r="Y195" s="621">
        <v>70442.600000000006</v>
      </c>
      <c r="Z195" s="501">
        <v>69987</v>
      </c>
      <c r="AA195" s="501">
        <v>75247.666666666672</v>
      </c>
      <c r="AB195" s="501">
        <v>68252</v>
      </c>
      <c r="AC195" s="501">
        <v>0</v>
      </c>
      <c r="AD195" s="501">
        <v>66788</v>
      </c>
      <c r="AE195" s="501">
        <v>67708</v>
      </c>
      <c r="AF195" s="501">
        <v>0</v>
      </c>
      <c r="AG195" s="501">
        <v>0</v>
      </c>
      <c r="AH195" s="501">
        <v>0</v>
      </c>
      <c r="AI195" s="501">
        <v>0</v>
      </c>
      <c r="AJ195" s="501">
        <v>0</v>
      </c>
      <c r="AK195" s="501">
        <v>0</v>
      </c>
      <c r="AL195" s="501">
        <v>0</v>
      </c>
      <c r="AM195" s="501">
        <v>0</v>
      </c>
      <c r="AN195" s="501">
        <v>0</v>
      </c>
    </row>
    <row r="196" spans="1:40" x14ac:dyDescent="0.3">
      <c r="A196" s="489" t="s">
        <v>1441</v>
      </c>
      <c r="B196" s="489" t="s">
        <v>1768</v>
      </c>
      <c r="C196" s="489" t="s">
        <v>85</v>
      </c>
      <c r="D196" s="489" t="s">
        <v>1530</v>
      </c>
      <c r="E196" s="619">
        <v>15</v>
      </c>
      <c r="F196" s="621">
        <f t="shared" si="16"/>
        <v>14566</v>
      </c>
      <c r="G196" s="501">
        <f t="shared" si="15"/>
        <v>14703.384615384615</v>
      </c>
      <c r="H196" s="501">
        <f t="shared" si="15"/>
        <v>14703.384615384615</v>
      </c>
      <c r="I196" s="501">
        <f t="shared" si="15"/>
        <v>14703.384615384615</v>
      </c>
      <c r="J196" s="501">
        <f t="shared" si="15"/>
        <v>14703.384615384615</v>
      </c>
      <c r="K196" s="501">
        <f t="shared" si="15"/>
        <v>14703.384615384615</v>
      </c>
      <c r="L196" s="501">
        <f t="shared" si="15"/>
        <v>14703.384615384615</v>
      </c>
      <c r="M196" s="501">
        <f t="shared" si="15"/>
        <v>14703.384615384615</v>
      </c>
      <c r="N196" s="501">
        <f t="shared" si="15"/>
        <v>14703.384615384615</v>
      </c>
      <c r="O196" s="501">
        <f t="shared" si="15"/>
        <v>13673</v>
      </c>
      <c r="P196" s="501">
        <f t="shared" si="15"/>
        <v>13673</v>
      </c>
      <c r="Q196" s="501">
        <f t="shared" si="15"/>
        <v>0</v>
      </c>
      <c r="R196" s="501">
        <f t="shared" si="15"/>
        <v>0</v>
      </c>
      <c r="S196" s="501">
        <f t="shared" si="15"/>
        <v>0</v>
      </c>
      <c r="T196" s="501">
        <f t="shared" si="15"/>
        <v>0</v>
      </c>
      <c r="U196" s="501">
        <f t="shared" si="15"/>
        <v>0</v>
      </c>
      <c r="Y196" s="621">
        <v>14566</v>
      </c>
      <c r="Z196" s="501">
        <v>0</v>
      </c>
      <c r="AA196" s="501">
        <v>0</v>
      </c>
      <c r="AB196" s="501">
        <v>0</v>
      </c>
      <c r="AC196" s="501">
        <v>0</v>
      </c>
      <c r="AD196" s="501">
        <v>0</v>
      </c>
      <c r="AE196" s="501">
        <v>0</v>
      </c>
      <c r="AF196" s="501">
        <v>0</v>
      </c>
      <c r="AG196" s="501">
        <v>14703.384615384615</v>
      </c>
      <c r="AH196" s="501">
        <v>0</v>
      </c>
      <c r="AI196" s="501">
        <v>13673</v>
      </c>
      <c r="AJ196" s="501">
        <v>0</v>
      </c>
      <c r="AK196" s="501">
        <v>0</v>
      </c>
      <c r="AL196" s="501">
        <v>0</v>
      </c>
      <c r="AM196" s="501">
        <v>0</v>
      </c>
      <c r="AN196" s="501">
        <v>0</v>
      </c>
    </row>
    <row r="197" spans="1:40" x14ac:dyDescent="0.3">
      <c r="A197" s="489" t="s">
        <v>1677</v>
      </c>
      <c r="B197" s="489" t="s">
        <v>1769</v>
      </c>
      <c r="C197" s="489" t="s">
        <v>1891</v>
      </c>
      <c r="D197" s="489" t="s">
        <v>46</v>
      </c>
      <c r="E197" s="619">
        <v>15</v>
      </c>
      <c r="F197" s="621">
        <f t="shared" si="16"/>
        <v>49792</v>
      </c>
      <c r="G197" s="501">
        <f t="shared" si="15"/>
        <v>54729</v>
      </c>
      <c r="H197" s="501">
        <f t="shared" si="15"/>
        <v>54729</v>
      </c>
      <c r="I197" s="501">
        <f t="shared" si="15"/>
        <v>54729</v>
      </c>
      <c r="J197" s="501">
        <f t="shared" si="15"/>
        <v>54729</v>
      </c>
      <c r="K197" s="501">
        <f t="shared" si="15"/>
        <v>50818</v>
      </c>
      <c r="L197" s="501">
        <f t="shared" si="15"/>
        <v>50818</v>
      </c>
      <c r="M197" s="501">
        <f t="shared" si="15"/>
        <v>50818</v>
      </c>
      <c r="N197" s="501">
        <f t="shared" si="15"/>
        <v>48901</v>
      </c>
      <c r="O197" s="501">
        <f t="shared" si="15"/>
        <v>50508.5</v>
      </c>
      <c r="P197" s="501">
        <f t="shared" si="15"/>
        <v>48219.25</v>
      </c>
      <c r="Q197" s="501">
        <f t="shared" si="15"/>
        <v>0</v>
      </c>
      <c r="R197" s="501">
        <f t="shared" si="15"/>
        <v>0</v>
      </c>
      <c r="S197" s="501">
        <f t="shared" si="15"/>
        <v>0</v>
      </c>
      <c r="T197" s="501">
        <f t="shared" si="15"/>
        <v>0</v>
      </c>
      <c r="U197" s="501">
        <f t="shared" si="15"/>
        <v>0</v>
      </c>
      <c r="Y197" s="621">
        <v>49792</v>
      </c>
      <c r="Z197" s="501">
        <v>0</v>
      </c>
      <c r="AA197" s="501">
        <v>0</v>
      </c>
      <c r="AB197" s="501">
        <v>0</v>
      </c>
      <c r="AC197" s="501">
        <v>54729</v>
      </c>
      <c r="AD197" s="501">
        <v>0</v>
      </c>
      <c r="AE197" s="501">
        <v>0</v>
      </c>
      <c r="AF197" s="501">
        <v>50818</v>
      </c>
      <c r="AG197" s="501">
        <v>48901</v>
      </c>
      <c r="AH197" s="501">
        <v>50508.5</v>
      </c>
      <c r="AI197" s="501">
        <v>48219.25</v>
      </c>
      <c r="AJ197" s="501">
        <v>0</v>
      </c>
      <c r="AK197" s="501">
        <v>0</v>
      </c>
      <c r="AL197" s="501">
        <v>0</v>
      </c>
      <c r="AM197" s="501">
        <v>0</v>
      </c>
      <c r="AN197" s="501">
        <v>0</v>
      </c>
    </row>
    <row r="198" spans="1:40" x14ac:dyDescent="0.3">
      <c r="A198" s="489" t="s">
        <v>1414</v>
      </c>
      <c r="B198" s="489" t="s">
        <v>1670</v>
      </c>
      <c r="C198" s="489" t="s">
        <v>1892</v>
      </c>
      <c r="D198" s="489" t="s">
        <v>1530</v>
      </c>
      <c r="E198" s="619">
        <v>15</v>
      </c>
      <c r="F198" s="621">
        <f t="shared" si="16"/>
        <v>37791</v>
      </c>
      <c r="G198" s="501">
        <f t="shared" si="15"/>
        <v>41284</v>
      </c>
      <c r="H198" s="501">
        <f t="shared" si="15"/>
        <v>41284</v>
      </c>
      <c r="I198" s="501">
        <f t="shared" si="15"/>
        <v>41284</v>
      </c>
      <c r="J198" s="501">
        <f t="shared" si="15"/>
        <v>41284</v>
      </c>
      <c r="K198" s="501">
        <f t="shared" si="15"/>
        <v>41284</v>
      </c>
      <c r="L198" s="501">
        <f t="shared" si="15"/>
        <v>41284</v>
      </c>
      <c r="M198" s="501">
        <f t="shared" si="15"/>
        <v>41284</v>
      </c>
      <c r="N198" s="501">
        <f t="shared" si="15"/>
        <v>36219</v>
      </c>
      <c r="O198" s="501">
        <f t="shared" si="15"/>
        <v>36981.272727272728</v>
      </c>
      <c r="P198" s="501">
        <f t="shared" si="15"/>
        <v>0</v>
      </c>
      <c r="Q198" s="501">
        <f t="shared" si="15"/>
        <v>0</v>
      </c>
      <c r="R198" s="501">
        <f t="shared" si="15"/>
        <v>0</v>
      </c>
      <c r="S198" s="501">
        <f t="shared" si="15"/>
        <v>0</v>
      </c>
      <c r="T198" s="501">
        <f t="shared" si="15"/>
        <v>0</v>
      </c>
      <c r="U198" s="501">
        <f t="shared" si="15"/>
        <v>0</v>
      </c>
      <c r="Y198" s="621">
        <v>37791</v>
      </c>
      <c r="Z198" s="501">
        <v>0</v>
      </c>
      <c r="AA198" s="501">
        <v>0</v>
      </c>
      <c r="AB198" s="501">
        <v>0</v>
      </c>
      <c r="AC198" s="501">
        <v>0</v>
      </c>
      <c r="AD198" s="501">
        <v>0</v>
      </c>
      <c r="AE198" s="501">
        <v>0</v>
      </c>
      <c r="AF198" s="501">
        <v>41284</v>
      </c>
      <c r="AG198" s="501">
        <v>36219</v>
      </c>
      <c r="AH198" s="501">
        <v>36981.272727272728</v>
      </c>
      <c r="AI198" s="501">
        <v>0</v>
      </c>
      <c r="AJ198" s="501">
        <v>0</v>
      </c>
      <c r="AK198" s="501">
        <v>0</v>
      </c>
      <c r="AL198" s="501">
        <v>0</v>
      </c>
      <c r="AM198" s="501">
        <v>0</v>
      </c>
      <c r="AN198" s="501">
        <v>0</v>
      </c>
    </row>
    <row r="199" spans="1:40" x14ac:dyDescent="0.3">
      <c r="A199" s="489" t="s">
        <v>1441</v>
      </c>
      <c r="B199" s="489" t="s">
        <v>1770</v>
      </c>
      <c r="C199" s="489" t="s">
        <v>1893</v>
      </c>
      <c r="D199" s="489" t="s">
        <v>46</v>
      </c>
      <c r="E199" s="619">
        <v>14</v>
      </c>
      <c r="F199" s="621">
        <f t="shared" si="16"/>
        <v>33306.142857142855</v>
      </c>
      <c r="G199" s="501">
        <f t="shared" si="15"/>
        <v>37550</v>
      </c>
      <c r="H199" s="501">
        <f t="shared" si="15"/>
        <v>37550</v>
      </c>
      <c r="I199" s="501">
        <f t="shared" si="15"/>
        <v>37550</v>
      </c>
      <c r="J199" s="501">
        <f t="shared" si="15"/>
        <v>37550</v>
      </c>
      <c r="K199" s="501">
        <f t="shared" si="15"/>
        <v>37550</v>
      </c>
      <c r="L199" s="501">
        <f t="shared" si="15"/>
        <v>37550</v>
      </c>
      <c r="M199" s="501">
        <f t="shared" si="15"/>
        <v>37550</v>
      </c>
      <c r="N199" s="501">
        <f t="shared" si="15"/>
        <v>37550</v>
      </c>
      <c r="O199" s="501">
        <f t="shared" si="15"/>
        <v>33639</v>
      </c>
      <c r="P199" s="501">
        <f t="shared" si="15"/>
        <v>34292.800000000003</v>
      </c>
      <c r="Q199" s="501">
        <f t="shared" si="15"/>
        <v>34292.800000000003</v>
      </c>
      <c r="R199" s="501">
        <f t="shared" si="15"/>
        <v>34292.800000000003</v>
      </c>
      <c r="S199" s="501">
        <f t="shared" si="15"/>
        <v>34292.800000000003</v>
      </c>
      <c r="T199" s="501">
        <f t="shared" si="15"/>
        <v>31905.25</v>
      </c>
      <c r="U199" s="501">
        <f t="shared" si="15"/>
        <v>34205</v>
      </c>
      <c r="Y199" s="621">
        <v>33306.142857142855</v>
      </c>
      <c r="Z199" s="501">
        <v>0</v>
      </c>
      <c r="AA199" s="501">
        <v>0</v>
      </c>
      <c r="AB199" s="501">
        <v>0</v>
      </c>
      <c r="AC199" s="501">
        <v>0</v>
      </c>
      <c r="AD199" s="501">
        <v>0</v>
      </c>
      <c r="AE199" s="501">
        <v>0</v>
      </c>
      <c r="AF199" s="501">
        <v>0</v>
      </c>
      <c r="AG199" s="501">
        <v>37550</v>
      </c>
      <c r="AH199" s="501">
        <v>33639</v>
      </c>
      <c r="AI199" s="501">
        <v>0</v>
      </c>
      <c r="AJ199" s="501">
        <v>0</v>
      </c>
      <c r="AK199" s="501">
        <v>0</v>
      </c>
      <c r="AL199" s="501">
        <v>34292.800000000003</v>
      </c>
      <c r="AM199" s="501">
        <v>31905.25</v>
      </c>
      <c r="AN199" s="501">
        <v>34205</v>
      </c>
    </row>
    <row r="200" spans="1:40" x14ac:dyDescent="0.3">
      <c r="A200" s="489" t="s">
        <v>1677</v>
      </c>
      <c r="B200" s="489" t="s">
        <v>1771</v>
      </c>
      <c r="C200" s="489" t="s">
        <v>1894</v>
      </c>
      <c r="D200" s="489" t="s">
        <v>46</v>
      </c>
      <c r="E200" s="619">
        <v>14</v>
      </c>
      <c r="F200" s="621">
        <f t="shared" si="16"/>
        <v>92406.28571428571</v>
      </c>
      <c r="G200" s="501">
        <f t="shared" si="15"/>
        <v>88191</v>
      </c>
      <c r="H200" s="501">
        <f t="shared" si="15"/>
        <v>88191</v>
      </c>
      <c r="I200" s="501">
        <f t="shared" si="15"/>
        <v>81917</v>
      </c>
      <c r="J200" s="501">
        <f t="shared" si="15"/>
        <v>81917</v>
      </c>
      <c r="K200" s="501">
        <f t="shared" si="15"/>
        <v>97647</v>
      </c>
      <c r="L200" s="501">
        <f t="shared" si="15"/>
        <v>97647</v>
      </c>
      <c r="M200" s="501">
        <f t="shared" si="15"/>
        <v>97647</v>
      </c>
      <c r="N200" s="501">
        <f t="shared" si="15"/>
        <v>91060.666666666672</v>
      </c>
      <c r="O200" s="501">
        <f t="shared" si="15"/>
        <v>82939.5</v>
      </c>
      <c r="P200" s="501">
        <f t="shared" si="15"/>
        <v>82939.5</v>
      </c>
      <c r="Q200" s="501">
        <f t="shared" si="15"/>
        <v>99955</v>
      </c>
      <c r="R200" s="501">
        <f t="shared" si="15"/>
        <v>96329</v>
      </c>
      <c r="S200" s="501">
        <f t="shared" si="15"/>
        <v>96329</v>
      </c>
      <c r="T200" s="501">
        <f t="shared" si="15"/>
        <v>96329</v>
      </c>
      <c r="U200" s="501">
        <f t="shared" si="15"/>
        <v>96329</v>
      </c>
      <c r="Y200" s="621">
        <v>92406.28571428571</v>
      </c>
      <c r="Z200" s="501">
        <v>0</v>
      </c>
      <c r="AA200" s="501">
        <v>88191</v>
      </c>
      <c r="AB200" s="501">
        <v>0</v>
      </c>
      <c r="AC200" s="501">
        <v>81917</v>
      </c>
      <c r="AD200" s="501">
        <v>0</v>
      </c>
      <c r="AE200" s="501">
        <v>0</v>
      </c>
      <c r="AF200" s="501">
        <v>97647</v>
      </c>
      <c r="AG200" s="501">
        <v>91060.666666666672</v>
      </c>
      <c r="AH200" s="501">
        <v>0</v>
      </c>
      <c r="AI200" s="501">
        <v>82939.5</v>
      </c>
      <c r="AJ200" s="501">
        <v>99955</v>
      </c>
      <c r="AK200" s="501">
        <v>0</v>
      </c>
      <c r="AL200" s="501">
        <v>0</v>
      </c>
      <c r="AM200" s="501">
        <v>0</v>
      </c>
      <c r="AN200" s="501">
        <v>96329</v>
      </c>
    </row>
    <row r="201" spans="1:40" x14ac:dyDescent="0.3">
      <c r="A201" s="489" t="s">
        <v>1414</v>
      </c>
      <c r="B201" s="489" t="s">
        <v>1772</v>
      </c>
      <c r="C201" s="489" t="s">
        <v>1895</v>
      </c>
      <c r="D201" s="489" t="s">
        <v>46</v>
      </c>
      <c r="E201" s="619">
        <v>14</v>
      </c>
      <c r="F201" s="621">
        <f t="shared" si="16"/>
        <v>82042.5</v>
      </c>
      <c r="G201" s="501">
        <f t="shared" si="15"/>
        <v>86050</v>
      </c>
      <c r="H201" s="501">
        <f t="shared" si="15"/>
        <v>84931.666666666672</v>
      </c>
      <c r="I201" s="501">
        <f t="shared" si="15"/>
        <v>100197</v>
      </c>
      <c r="J201" s="501">
        <f t="shared" si="15"/>
        <v>92228.5</v>
      </c>
      <c r="K201" s="501">
        <f t="shared" si="15"/>
        <v>68123.25</v>
      </c>
      <c r="L201" s="501">
        <f t="shared" si="15"/>
        <v>68123.25</v>
      </c>
      <c r="M201" s="501">
        <f t="shared" si="15"/>
        <v>78503</v>
      </c>
      <c r="N201" s="501">
        <f t="shared" si="15"/>
        <v>0</v>
      </c>
      <c r="O201" s="501">
        <f t="shared" si="15"/>
        <v>0</v>
      </c>
      <c r="P201" s="501">
        <f t="shared" si="15"/>
        <v>0</v>
      </c>
      <c r="Q201" s="501">
        <f t="shared" si="15"/>
        <v>0</v>
      </c>
      <c r="R201" s="501">
        <f t="shared" si="15"/>
        <v>0</v>
      </c>
      <c r="S201" s="501">
        <f t="shared" si="15"/>
        <v>0</v>
      </c>
      <c r="T201" s="501">
        <f t="shared" si="15"/>
        <v>0</v>
      </c>
      <c r="U201" s="501">
        <f t="shared" si="15"/>
        <v>0</v>
      </c>
      <c r="Y201" s="621">
        <v>82042.5</v>
      </c>
      <c r="Z201" s="501">
        <v>86050</v>
      </c>
      <c r="AA201" s="501">
        <v>84931.666666666672</v>
      </c>
      <c r="AB201" s="501">
        <v>100197</v>
      </c>
      <c r="AC201" s="501">
        <v>92228.5</v>
      </c>
      <c r="AD201" s="501">
        <v>0</v>
      </c>
      <c r="AE201" s="501">
        <v>68123.25</v>
      </c>
      <c r="AF201" s="501">
        <v>78503</v>
      </c>
      <c r="AG201" s="501">
        <v>0</v>
      </c>
      <c r="AH201" s="501">
        <v>0</v>
      </c>
      <c r="AI201" s="501">
        <v>0</v>
      </c>
      <c r="AJ201" s="501">
        <v>0</v>
      </c>
      <c r="AK201" s="501">
        <v>0</v>
      </c>
      <c r="AL201" s="501">
        <v>0</v>
      </c>
      <c r="AM201" s="501">
        <v>0</v>
      </c>
      <c r="AN201" s="501">
        <v>0</v>
      </c>
    </row>
    <row r="202" spans="1:40" x14ac:dyDescent="0.3">
      <c r="A202" s="489" t="s">
        <v>1426</v>
      </c>
      <c r="B202" s="489" t="s">
        <v>1773</v>
      </c>
      <c r="C202" s="489" t="s">
        <v>1708</v>
      </c>
      <c r="D202" s="489" t="s">
        <v>1939</v>
      </c>
      <c r="E202" s="619">
        <v>14</v>
      </c>
      <c r="F202" s="621">
        <f t="shared" si="16"/>
        <v>79212.78571428571</v>
      </c>
      <c r="G202" s="501">
        <f t="shared" si="15"/>
        <v>68559</v>
      </c>
      <c r="H202" s="501">
        <f t="shared" si="15"/>
        <v>68559</v>
      </c>
      <c r="I202" s="501">
        <f t="shared" si="15"/>
        <v>80032.307692307688</v>
      </c>
      <c r="J202" s="501">
        <f t="shared" si="15"/>
        <v>80032.307692307688</v>
      </c>
      <c r="K202" s="501">
        <f t="shared" si="15"/>
        <v>80032.307692307688</v>
      </c>
      <c r="L202" s="501">
        <f t="shared" si="15"/>
        <v>0</v>
      </c>
      <c r="M202" s="501">
        <f t="shared" si="15"/>
        <v>0</v>
      </c>
      <c r="N202" s="501">
        <f t="shared" si="15"/>
        <v>0</v>
      </c>
      <c r="O202" s="501">
        <f t="shared" si="15"/>
        <v>0</v>
      </c>
      <c r="P202" s="501">
        <f t="shared" si="15"/>
        <v>0</v>
      </c>
      <c r="Q202" s="501">
        <f t="shared" si="15"/>
        <v>0</v>
      </c>
      <c r="R202" s="501">
        <f t="shared" si="15"/>
        <v>0</v>
      </c>
      <c r="S202" s="501">
        <f t="shared" si="15"/>
        <v>0</v>
      </c>
      <c r="T202" s="501">
        <f t="shared" si="15"/>
        <v>0</v>
      </c>
      <c r="U202" s="501">
        <f t="shared" si="15"/>
        <v>0</v>
      </c>
      <c r="Y202" s="621">
        <v>79212.78571428571</v>
      </c>
      <c r="Z202" s="501">
        <v>0</v>
      </c>
      <c r="AA202" s="501">
        <v>68559</v>
      </c>
      <c r="AB202" s="501">
        <v>0</v>
      </c>
      <c r="AC202" s="501">
        <v>0</v>
      </c>
      <c r="AD202" s="501">
        <v>80032.307692307688</v>
      </c>
      <c r="AE202" s="501">
        <v>0</v>
      </c>
      <c r="AF202" s="501">
        <v>0</v>
      </c>
      <c r="AG202" s="501">
        <v>0</v>
      </c>
      <c r="AH202" s="501">
        <v>0</v>
      </c>
      <c r="AI202" s="501">
        <v>0</v>
      </c>
      <c r="AJ202" s="501">
        <v>0</v>
      </c>
      <c r="AK202" s="501">
        <v>0</v>
      </c>
      <c r="AL202" s="501">
        <v>0</v>
      </c>
      <c r="AM202" s="501">
        <v>0</v>
      </c>
      <c r="AN202" s="501">
        <v>0</v>
      </c>
    </row>
    <row r="203" spans="1:40" x14ac:dyDescent="0.3">
      <c r="A203" s="489" t="s">
        <v>1677</v>
      </c>
      <c r="B203" s="489" t="s">
        <v>1774</v>
      </c>
      <c r="C203" s="489" t="s">
        <v>1896</v>
      </c>
      <c r="D203" s="489" t="s">
        <v>141</v>
      </c>
      <c r="E203" s="619">
        <v>14</v>
      </c>
      <c r="F203" s="621">
        <f t="shared" si="16"/>
        <v>173648.57142857142</v>
      </c>
      <c r="G203" s="501">
        <f t="shared" si="15"/>
        <v>177340.79999999999</v>
      </c>
      <c r="H203" s="501">
        <f t="shared" si="15"/>
        <v>171227.25</v>
      </c>
      <c r="I203" s="501">
        <f t="shared" si="15"/>
        <v>174558</v>
      </c>
      <c r="J203" s="501">
        <f t="shared" si="15"/>
        <v>0</v>
      </c>
      <c r="K203" s="501">
        <f t="shared" si="15"/>
        <v>0</v>
      </c>
      <c r="L203" s="501">
        <f t="shared" si="15"/>
        <v>0</v>
      </c>
      <c r="M203" s="501">
        <f t="shared" si="15"/>
        <v>0</v>
      </c>
      <c r="N203" s="501">
        <f t="shared" si="15"/>
        <v>0</v>
      </c>
      <c r="O203" s="501">
        <f t="shared" si="15"/>
        <v>0</v>
      </c>
      <c r="P203" s="501">
        <f t="shared" si="15"/>
        <v>0</v>
      </c>
      <c r="Q203" s="501">
        <f t="shared" si="15"/>
        <v>0</v>
      </c>
      <c r="R203" s="501">
        <f t="shared" si="15"/>
        <v>0</v>
      </c>
      <c r="S203" s="501">
        <f t="shared" si="15"/>
        <v>0</v>
      </c>
      <c r="T203" s="501">
        <f t="shared" si="15"/>
        <v>0</v>
      </c>
      <c r="U203" s="501">
        <f t="shared" si="15"/>
        <v>0</v>
      </c>
      <c r="Y203" s="621">
        <v>173648.57142857142</v>
      </c>
      <c r="Z203" s="501">
        <v>177340.79999999999</v>
      </c>
      <c r="AA203" s="501">
        <v>171227.25</v>
      </c>
      <c r="AB203" s="501">
        <v>174558</v>
      </c>
      <c r="AC203" s="501">
        <v>0</v>
      </c>
      <c r="AD203" s="501">
        <v>0</v>
      </c>
      <c r="AE203" s="501">
        <v>0</v>
      </c>
      <c r="AF203" s="501">
        <v>0</v>
      </c>
      <c r="AG203" s="501">
        <v>0</v>
      </c>
      <c r="AH203" s="501">
        <v>0</v>
      </c>
      <c r="AI203" s="501">
        <v>0</v>
      </c>
      <c r="AJ203" s="501">
        <v>0</v>
      </c>
      <c r="AK203" s="501">
        <v>0</v>
      </c>
      <c r="AL203" s="501">
        <v>0</v>
      </c>
      <c r="AM203" s="501">
        <v>0</v>
      </c>
      <c r="AN203" s="501">
        <v>0</v>
      </c>
    </row>
    <row r="204" spans="1:40" x14ac:dyDescent="0.3">
      <c r="A204" s="489" t="s">
        <v>1572</v>
      </c>
      <c r="B204" s="489" t="s">
        <v>1775</v>
      </c>
      <c r="C204" s="489" t="s">
        <v>1897</v>
      </c>
      <c r="D204" s="489" t="s">
        <v>46</v>
      </c>
      <c r="E204" s="619">
        <v>14</v>
      </c>
      <c r="F204" s="621">
        <f t="shared" si="16"/>
        <v>49672.285714285717</v>
      </c>
      <c r="G204" s="501">
        <f t="shared" si="15"/>
        <v>48912</v>
      </c>
      <c r="H204" s="501">
        <f t="shared" si="15"/>
        <v>48912</v>
      </c>
      <c r="I204" s="501">
        <f t="shared" si="15"/>
        <v>48912</v>
      </c>
      <c r="J204" s="501">
        <f t="shared" si="15"/>
        <v>48912</v>
      </c>
      <c r="K204" s="501">
        <f t="shared" si="15"/>
        <v>48912</v>
      </c>
      <c r="L204" s="501">
        <f t="shared" si="15"/>
        <v>49327</v>
      </c>
      <c r="M204" s="501">
        <f t="shared" si="15"/>
        <v>54415.333333333336</v>
      </c>
      <c r="N204" s="501">
        <f t="shared" si="15"/>
        <v>48075</v>
      </c>
      <c r="O204" s="501">
        <f t="shared" si="15"/>
        <v>0</v>
      </c>
      <c r="P204" s="501">
        <f t="shared" si="15"/>
        <v>0</v>
      </c>
      <c r="Q204" s="501">
        <f t="shared" si="15"/>
        <v>0</v>
      </c>
      <c r="R204" s="501">
        <f t="shared" si="15"/>
        <v>0</v>
      </c>
      <c r="S204" s="501">
        <f t="shared" si="15"/>
        <v>0</v>
      </c>
      <c r="T204" s="501">
        <f t="shared" si="15"/>
        <v>0</v>
      </c>
      <c r="U204" s="501">
        <f t="shared" si="15"/>
        <v>0</v>
      </c>
      <c r="Y204" s="621">
        <v>49672.285714285717</v>
      </c>
      <c r="Z204" s="501">
        <v>0</v>
      </c>
      <c r="AA204" s="501">
        <v>0</v>
      </c>
      <c r="AB204" s="501">
        <v>0</v>
      </c>
      <c r="AC204" s="501">
        <v>0</v>
      </c>
      <c r="AD204" s="501">
        <v>48912</v>
      </c>
      <c r="AE204" s="501">
        <v>49327</v>
      </c>
      <c r="AF204" s="501">
        <v>54415.333333333336</v>
      </c>
      <c r="AG204" s="501">
        <v>48075</v>
      </c>
      <c r="AH204" s="501">
        <v>0</v>
      </c>
      <c r="AI204" s="501">
        <v>0</v>
      </c>
      <c r="AJ204" s="501">
        <v>0</v>
      </c>
      <c r="AK204" s="501">
        <v>0</v>
      </c>
      <c r="AL204" s="501">
        <v>0</v>
      </c>
      <c r="AM204" s="501">
        <v>0</v>
      </c>
      <c r="AN204" s="501">
        <v>0</v>
      </c>
    </row>
    <row r="205" spans="1:40" x14ac:dyDescent="0.3">
      <c r="A205" s="489" t="s">
        <v>1567</v>
      </c>
      <c r="B205" s="489" t="s">
        <v>1776</v>
      </c>
      <c r="C205" s="489" t="s">
        <v>1898</v>
      </c>
      <c r="D205" s="489" t="s">
        <v>141</v>
      </c>
      <c r="E205" s="619">
        <v>14</v>
      </c>
      <c r="F205" s="621">
        <f t="shared" si="16"/>
        <v>50672.571428571428</v>
      </c>
      <c r="G205" s="501">
        <f t="shared" si="15"/>
        <v>61165</v>
      </c>
      <c r="H205" s="501">
        <f t="shared" si="15"/>
        <v>61165</v>
      </c>
      <c r="I205" s="501">
        <f t="shared" si="15"/>
        <v>61165</v>
      </c>
      <c r="J205" s="501">
        <f t="shared" si="15"/>
        <v>49865.461538461539</v>
      </c>
      <c r="K205" s="501">
        <f t="shared" si="15"/>
        <v>0</v>
      </c>
      <c r="L205" s="501">
        <f t="shared" si="15"/>
        <v>0</v>
      </c>
      <c r="M205" s="501">
        <f t="shared" si="15"/>
        <v>0</v>
      </c>
      <c r="N205" s="501">
        <f t="shared" si="15"/>
        <v>0</v>
      </c>
      <c r="O205" s="501">
        <f t="shared" si="15"/>
        <v>0</v>
      </c>
      <c r="P205" s="501">
        <f t="shared" si="15"/>
        <v>0</v>
      </c>
      <c r="Q205" s="501">
        <f t="shared" si="15"/>
        <v>0</v>
      </c>
      <c r="R205" s="501">
        <f t="shared" si="15"/>
        <v>0</v>
      </c>
      <c r="S205" s="501">
        <f t="shared" si="15"/>
        <v>0</v>
      </c>
      <c r="T205" s="501">
        <f t="shared" si="15"/>
        <v>0</v>
      </c>
      <c r="U205" s="501">
        <f t="shared" si="15"/>
        <v>0</v>
      </c>
      <c r="Y205" s="621">
        <v>50672.571428571428</v>
      </c>
      <c r="Z205" s="501">
        <v>0</v>
      </c>
      <c r="AA205" s="501">
        <v>0</v>
      </c>
      <c r="AB205" s="501">
        <v>61165</v>
      </c>
      <c r="AC205" s="501">
        <v>49865.461538461539</v>
      </c>
      <c r="AD205" s="501">
        <v>0</v>
      </c>
      <c r="AE205" s="501">
        <v>0</v>
      </c>
      <c r="AF205" s="501">
        <v>0</v>
      </c>
      <c r="AG205" s="501">
        <v>0</v>
      </c>
      <c r="AH205" s="501">
        <v>0</v>
      </c>
      <c r="AI205" s="501">
        <v>0</v>
      </c>
      <c r="AJ205" s="501">
        <v>0</v>
      </c>
      <c r="AK205" s="501">
        <v>0</v>
      </c>
      <c r="AL205" s="501">
        <v>0</v>
      </c>
      <c r="AM205" s="501">
        <v>0</v>
      </c>
      <c r="AN205" s="501">
        <v>0</v>
      </c>
    </row>
    <row r="206" spans="1:40" x14ac:dyDescent="0.3">
      <c r="A206" s="489" t="s">
        <v>1777</v>
      </c>
      <c r="B206" s="489" t="s">
        <v>1778</v>
      </c>
      <c r="C206" s="489" t="s">
        <v>1899</v>
      </c>
      <c r="D206" s="489" t="s">
        <v>46</v>
      </c>
      <c r="E206" s="619">
        <v>13</v>
      </c>
      <c r="F206" s="621">
        <f t="shared" si="16"/>
        <v>68663.692307692312</v>
      </c>
      <c r="G206" s="501">
        <f t="shared" si="15"/>
        <v>74925</v>
      </c>
      <c r="H206" s="501">
        <f t="shared" si="15"/>
        <v>71869</v>
      </c>
      <c r="I206" s="501">
        <f t="shared" si="15"/>
        <v>71869</v>
      </c>
      <c r="J206" s="501">
        <f t="shared" si="15"/>
        <v>65022</v>
      </c>
      <c r="K206" s="501">
        <f t="shared" si="15"/>
        <v>65022</v>
      </c>
      <c r="L206" s="501">
        <f t="shared" si="15"/>
        <v>65022</v>
      </c>
      <c r="M206" s="501">
        <f t="shared" si="15"/>
        <v>69834.5</v>
      </c>
      <c r="N206" s="501">
        <f t="shared" si="15"/>
        <v>69675</v>
      </c>
      <c r="O206" s="501">
        <f t="shared" si="15"/>
        <v>69675</v>
      </c>
      <c r="P206" s="501">
        <f t="shared" si="15"/>
        <v>69675</v>
      </c>
      <c r="Q206" s="501">
        <f t="shared" si="15"/>
        <v>69675</v>
      </c>
      <c r="R206" s="501">
        <f t="shared" si="15"/>
        <v>62388</v>
      </c>
      <c r="S206" s="501">
        <f t="shared" si="15"/>
        <v>65754.666666666672</v>
      </c>
      <c r="T206" s="501">
        <f t="shared" si="15"/>
        <v>0</v>
      </c>
      <c r="U206" s="501">
        <f t="shared" si="15"/>
        <v>0</v>
      </c>
      <c r="Y206" s="621">
        <v>68663.692307692312</v>
      </c>
      <c r="Z206" s="501">
        <v>74925</v>
      </c>
      <c r="AA206" s="501">
        <v>0</v>
      </c>
      <c r="AB206" s="501">
        <v>71869</v>
      </c>
      <c r="AC206" s="501">
        <v>0</v>
      </c>
      <c r="AD206" s="501">
        <v>0</v>
      </c>
      <c r="AE206" s="501">
        <v>65022</v>
      </c>
      <c r="AF206" s="501">
        <v>69834.5</v>
      </c>
      <c r="AG206" s="501">
        <v>0</v>
      </c>
      <c r="AH206" s="501">
        <v>0</v>
      </c>
      <c r="AI206" s="501">
        <v>0</v>
      </c>
      <c r="AJ206" s="501">
        <v>69675</v>
      </c>
      <c r="AK206" s="501">
        <v>62388</v>
      </c>
      <c r="AL206" s="501">
        <v>65754.666666666672</v>
      </c>
      <c r="AM206" s="501">
        <v>0</v>
      </c>
      <c r="AN206" s="501">
        <v>0</v>
      </c>
    </row>
    <row r="207" spans="1:40" x14ac:dyDescent="0.3">
      <c r="A207" s="489" t="s">
        <v>1677</v>
      </c>
      <c r="B207" s="489" t="s">
        <v>1779</v>
      </c>
      <c r="C207" s="489" t="s">
        <v>1900</v>
      </c>
      <c r="D207" s="489" t="s">
        <v>46</v>
      </c>
      <c r="E207" s="619">
        <v>13</v>
      </c>
      <c r="F207" s="621">
        <f t="shared" si="16"/>
        <v>59053.692307692305</v>
      </c>
      <c r="G207" s="501">
        <f t="shared" si="15"/>
        <v>58396</v>
      </c>
      <c r="H207" s="501">
        <f t="shared" si="15"/>
        <v>58396</v>
      </c>
      <c r="I207" s="501">
        <f t="shared" si="15"/>
        <v>58396</v>
      </c>
      <c r="J207" s="501">
        <f t="shared" si="15"/>
        <v>58396</v>
      </c>
      <c r="K207" s="501">
        <f t="shared" si="15"/>
        <v>58396</v>
      </c>
      <c r="L207" s="501">
        <f t="shared" si="15"/>
        <v>67885</v>
      </c>
      <c r="M207" s="501">
        <f t="shared" si="15"/>
        <v>61178</v>
      </c>
      <c r="N207" s="501">
        <f t="shared" si="15"/>
        <v>56698</v>
      </c>
      <c r="O207" s="501">
        <f t="shared" si="15"/>
        <v>55268.5</v>
      </c>
      <c r="P207" s="501">
        <f t="shared" si="15"/>
        <v>54695</v>
      </c>
      <c r="Q207" s="501">
        <f t="shared" si="15"/>
        <v>55948</v>
      </c>
      <c r="R207" s="501">
        <f t="shared" si="15"/>
        <v>0</v>
      </c>
      <c r="S207" s="501">
        <f t="shared" si="15"/>
        <v>0</v>
      </c>
      <c r="T207" s="501">
        <f t="shared" si="15"/>
        <v>0</v>
      </c>
      <c r="U207" s="501">
        <f t="shared" si="15"/>
        <v>0</v>
      </c>
      <c r="Y207" s="621">
        <v>59053.692307692305</v>
      </c>
      <c r="Z207" s="501">
        <v>0</v>
      </c>
      <c r="AA207" s="501">
        <v>0</v>
      </c>
      <c r="AB207" s="501">
        <v>0</v>
      </c>
      <c r="AC207" s="501">
        <v>0</v>
      </c>
      <c r="AD207" s="501">
        <v>58396</v>
      </c>
      <c r="AE207" s="501">
        <v>67885</v>
      </c>
      <c r="AF207" s="501">
        <v>61178</v>
      </c>
      <c r="AG207" s="501">
        <v>56698</v>
      </c>
      <c r="AH207" s="501">
        <v>55268.5</v>
      </c>
      <c r="AI207" s="501">
        <v>54695</v>
      </c>
      <c r="AJ207" s="501">
        <v>55948</v>
      </c>
      <c r="AK207" s="501">
        <v>0</v>
      </c>
      <c r="AL207" s="501">
        <v>0</v>
      </c>
      <c r="AM207" s="501">
        <v>0</v>
      </c>
      <c r="AN207" s="501">
        <v>0</v>
      </c>
    </row>
    <row r="208" spans="1:40" x14ac:dyDescent="0.3">
      <c r="A208" s="489" t="s">
        <v>1414</v>
      </c>
      <c r="B208" s="489" t="s">
        <v>1671</v>
      </c>
      <c r="C208" s="489" t="s">
        <v>1901</v>
      </c>
      <c r="D208" s="489" t="s">
        <v>45</v>
      </c>
      <c r="E208" s="619">
        <v>13</v>
      </c>
      <c r="F208" s="621">
        <f t="shared" si="16"/>
        <v>48438.769230769234</v>
      </c>
      <c r="G208" s="501">
        <f t="shared" si="15"/>
        <v>53168</v>
      </c>
      <c r="H208" s="501">
        <f t="shared" si="15"/>
        <v>53168</v>
      </c>
      <c r="I208" s="501">
        <f t="shared" si="15"/>
        <v>53168</v>
      </c>
      <c r="J208" s="501">
        <f t="shared" si="15"/>
        <v>52726.333333333336</v>
      </c>
      <c r="K208" s="501">
        <f t="shared" si="15"/>
        <v>52726.333333333336</v>
      </c>
      <c r="L208" s="501">
        <f t="shared" si="15"/>
        <v>48568.25</v>
      </c>
      <c r="M208" s="501">
        <f t="shared" si="15"/>
        <v>46099</v>
      </c>
      <c r="N208" s="501">
        <f t="shared" si="15"/>
        <v>56340</v>
      </c>
      <c r="O208" s="501">
        <f t="shared" si="15"/>
        <v>56340</v>
      </c>
      <c r="P208" s="501">
        <f t="shared" si="15"/>
        <v>56340</v>
      </c>
      <c r="Q208" s="501">
        <f t="shared" si="15"/>
        <v>37773</v>
      </c>
      <c r="R208" s="501">
        <f t="shared" si="15"/>
        <v>37773</v>
      </c>
      <c r="S208" s="501">
        <f t="shared" si="15"/>
        <v>37773</v>
      </c>
      <c r="T208" s="501">
        <f t="shared" si="15"/>
        <v>0</v>
      </c>
      <c r="U208" s="501">
        <f t="shared" si="15"/>
        <v>0</v>
      </c>
      <c r="Y208" s="621">
        <v>48438.769230769234</v>
      </c>
      <c r="Z208" s="501">
        <v>0</v>
      </c>
      <c r="AA208" s="501">
        <v>0</v>
      </c>
      <c r="AB208" s="501">
        <v>53168</v>
      </c>
      <c r="AC208" s="501">
        <v>0</v>
      </c>
      <c r="AD208" s="501">
        <v>52726.333333333336</v>
      </c>
      <c r="AE208" s="501">
        <v>48568.25</v>
      </c>
      <c r="AF208" s="501">
        <v>46099</v>
      </c>
      <c r="AG208" s="501">
        <v>0</v>
      </c>
      <c r="AH208" s="501">
        <v>0</v>
      </c>
      <c r="AI208" s="501">
        <v>56340</v>
      </c>
      <c r="AJ208" s="501">
        <v>0</v>
      </c>
      <c r="AK208" s="501">
        <v>0</v>
      </c>
      <c r="AL208" s="501">
        <v>37773</v>
      </c>
      <c r="AM208" s="501">
        <v>0</v>
      </c>
      <c r="AN208" s="501">
        <v>0</v>
      </c>
    </row>
    <row r="209" spans="1:40" x14ac:dyDescent="0.3">
      <c r="A209" s="489" t="s">
        <v>1414</v>
      </c>
      <c r="B209" s="489" t="s">
        <v>1780</v>
      </c>
      <c r="C209" s="489" t="s">
        <v>1902</v>
      </c>
      <c r="D209" s="489" t="s">
        <v>46</v>
      </c>
      <c r="E209" s="619">
        <v>13</v>
      </c>
      <c r="F209" s="621">
        <f t="shared" si="16"/>
        <v>75412.307692307688</v>
      </c>
      <c r="G209" s="501">
        <f t="shared" si="15"/>
        <v>78374</v>
      </c>
      <c r="H209" s="501">
        <f t="shared" si="15"/>
        <v>78374</v>
      </c>
      <c r="I209" s="501">
        <f t="shared" si="15"/>
        <v>78374</v>
      </c>
      <c r="J209" s="501">
        <f t="shared" si="15"/>
        <v>75326.5</v>
      </c>
      <c r="K209" s="501">
        <f t="shared" si="15"/>
        <v>75326.5</v>
      </c>
      <c r="L209" s="501">
        <f t="shared" si="15"/>
        <v>75326.5</v>
      </c>
      <c r="M209" s="501">
        <f t="shared" si="15"/>
        <v>73500</v>
      </c>
      <c r="N209" s="501">
        <f t="shared" si="15"/>
        <v>71793</v>
      </c>
      <c r="O209" s="501">
        <f t="shared" si="15"/>
        <v>89594</v>
      </c>
      <c r="P209" s="501">
        <f t="shared" si="15"/>
        <v>0</v>
      </c>
      <c r="Q209" s="501">
        <f t="shared" si="15"/>
        <v>0</v>
      </c>
      <c r="R209" s="501">
        <f t="shared" si="15"/>
        <v>0</v>
      </c>
      <c r="S209" s="501">
        <f t="shared" si="15"/>
        <v>0</v>
      </c>
      <c r="T209" s="501">
        <f t="shared" si="15"/>
        <v>0</v>
      </c>
      <c r="U209" s="501">
        <f t="shared" si="15"/>
        <v>0</v>
      </c>
      <c r="Y209" s="621">
        <v>75412.307692307688</v>
      </c>
      <c r="Z209" s="501">
        <v>0</v>
      </c>
      <c r="AA209" s="501">
        <v>0</v>
      </c>
      <c r="AB209" s="501">
        <v>78374</v>
      </c>
      <c r="AC209" s="501">
        <v>0</v>
      </c>
      <c r="AD209" s="501">
        <v>0</v>
      </c>
      <c r="AE209" s="501">
        <v>75326.5</v>
      </c>
      <c r="AF209" s="501">
        <v>73500</v>
      </c>
      <c r="AG209" s="501">
        <v>71793</v>
      </c>
      <c r="AH209" s="501">
        <v>89594</v>
      </c>
      <c r="AI209" s="501">
        <v>0</v>
      </c>
      <c r="AJ209" s="501">
        <v>0</v>
      </c>
      <c r="AK209" s="501">
        <v>0</v>
      </c>
      <c r="AL209" s="501">
        <v>0</v>
      </c>
      <c r="AM209" s="501">
        <v>0</v>
      </c>
      <c r="AN209" s="501">
        <v>0</v>
      </c>
    </row>
    <row r="210" spans="1:40" x14ac:dyDescent="0.3">
      <c r="A210" s="489" t="s">
        <v>1672</v>
      </c>
      <c r="B210" s="489" t="s">
        <v>1781</v>
      </c>
      <c r="C210" s="489" t="s">
        <v>1903</v>
      </c>
      <c r="D210" s="489" t="s">
        <v>46</v>
      </c>
      <c r="E210" s="619">
        <v>13</v>
      </c>
      <c r="F210" s="621">
        <f t="shared" si="16"/>
        <v>67879.38461538461</v>
      </c>
      <c r="G210" s="501">
        <f t="shared" ref="G210:U225" si="17">IF(Z210&gt;0,Z210,IF(H210&gt;0,H210,0))</f>
        <v>62865</v>
      </c>
      <c r="H210" s="501">
        <f t="shared" si="17"/>
        <v>62865</v>
      </c>
      <c r="I210" s="501">
        <f t="shared" si="17"/>
        <v>62865</v>
      </c>
      <c r="J210" s="501">
        <f t="shared" si="17"/>
        <v>57532.2</v>
      </c>
      <c r="K210" s="501">
        <f t="shared" si="17"/>
        <v>57532.2</v>
      </c>
      <c r="L210" s="501">
        <f t="shared" si="17"/>
        <v>78173.5</v>
      </c>
      <c r="M210" s="501">
        <f t="shared" si="17"/>
        <v>78173.5</v>
      </c>
      <c r="N210" s="501">
        <f t="shared" si="17"/>
        <v>0</v>
      </c>
      <c r="O210" s="501">
        <f t="shared" si="17"/>
        <v>0</v>
      </c>
      <c r="P210" s="501">
        <f t="shared" si="17"/>
        <v>0</v>
      </c>
      <c r="Q210" s="501">
        <f t="shared" si="17"/>
        <v>0</v>
      </c>
      <c r="R210" s="501">
        <f t="shared" si="17"/>
        <v>0</v>
      </c>
      <c r="S210" s="501">
        <f t="shared" si="17"/>
        <v>0</v>
      </c>
      <c r="T210" s="501">
        <f t="shared" si="17"/>
        <v>0</v>
      </c>
      <c r="U210" s="501">
        <f t="shared" si="17"/>
        <v>0</v>
      </c>
      <c r="Y210" s="621">
        <v>67879.38461538461</v>
      </c>
      <c r="Z210" s="501">
        <v>0</v>
      </c>
      <c r="AA210" s="501">
        <v>0</v>
      </c>
      <c r="AB210" s="501">
        <v>62865</v>
      </c>
      <c r="AC210" s="501">
        <v>0</v>
      </c>
      <c r="AD210" s="501">
        <v>57532.2</v>
      </c>
      <c r="AE210" s="501">
        <v>0</v>
      </c>
      <c r="AF210" s="501">
        <v>78173.5</v>
      </c>
      <c r="AG210" s="501">
        <v>0</v>
      </c>
      <c r="AH210" s="501">
        <v>0</v>
      </c>
      <c r="AI210" s="501">
        <v>0</v>
      </c>
      <c r="AJ210" s="501">
        <v>0</v>
      </c>
      <c r="AK210" s="501">
        <v>0</v>
      </c>
      <c r="AL210" s="501">
        <v>0</v>
      </c>
      <c r="AM210" s="501">
        <v>0</v>
      </c>
      <c r="AN210" s="501">
        <v>0</v>
      </c>
    </row>
    <row r="211" spans="1:40" x14ac:dyDescent="0.3">
      <c r="A211" s="489" t="s">
        <v>1931</v>
      </c>
      <c r="B211" s="489" t="s">
        <v>1682</v>
      </c>
      <c r="C211" s="489" t="s">
        <v>1933</v>
      </c>
      <c r="D211" s="489" t="s">
        <v>141</v>
      </c>
      <c r="E211" s="619">
        <v>13</v>
      </c>
      <c r="F211" s="621">
        <f t="shared" si="16"/>
        <v>126130.65168539326</v>
      </c>
      <c r="G211" s="501">
        <f t="shared" si="17"/>
        <v>138090</v>
      </c>
      <c r="H211" s="501">
        <f t="shared" si="17"/>
        <v>120090</v>
      </c>
      <c r="I211" s="501">
        <f t="shared" si="17"/>
        <v>132148</v>
      </c>
      <c r="J211" s="501">
        <f t="shared" si="17"/>
        <v>102225</v>
      </c>
      <c r="K211" s="501">
        <f t="shared" si="17"/>
        <v>102225</v>
      </c>
      <c r="L211" s="501">
        <f t="shared" si="17"/>
        <v>102225</v>
      </c>
      <c r="M211" s="501">
        <f t="shared" si="17"/>
        <v>128430</v>
      </c>
      <c r="N211" s="501">
        <f t="shared" si="17"/>
        <v>125464.49275362318</v>
      </c>
      <c r="O211" s="501">
        <f t="shared" si="17"/>
        <v>137900</v>
      </c>
      <c r="P211" s="501">
        <f t="shared" si="17"/>
        <v>0</v>
      </c>
      <c r="Q211" s="501">
        <f t="shared" si="17"/>
        <v>0</v>
      </c>
      <c r="R211" s="501">
        <f t="shared" si="17"/>
        <v>0</v>
      </c>
      <c r="S211" s="501">
        <f t="shared" si="17"/>
        <v>0</v>
      </c>
      <c r="T211" s="501">
        <f t="shared" si="17"/>
        <v>0</v>
      </c>
      <c r="U211" s="501">
        <f t="shared" si="17"/>
        <v>0</v>
      </c>
      <c r="Y211" s="621">
        <v>126130.65168539326</v>
      </c>
      <c r="Z211" s="501">
        <v>138090</v>
      </c>
      <c r="AA211" s="501">
        <v>120090</v>
      </c>
      <c r="AB211" s="501">
        <v>132148</v>
      </c>
      <c r="AC211" s="501">
        <v>0</v>
      </c>
      <c r="AD211" s="501">
        <v>0</v>
      </c>
      <c r="AE211" s="501">
        <v>102225</v>
      </c>
      <c r="AF211" s="501">
        <v>128430</v>
      </c>
      <c r="AG211" s="501">
        <v>125464.49275362318</v>
      </c>
      <c r="AH211" s="501">
        <v>137900</v>
      </c>
      <c r="AI211" s="501">
        <v>0</v>
      </c>
      <c r="AJ211" s="501">
        <v>0</v>
      </c>
      <c r="AK211" s="501">
        <v>0</v>
      </c>
      <c r="AL211" s="501">
        <v>0</v>
      </c>
      <c r="AM211" s="501">
        <v>0</v>
      </c>
      <c r="AN211" s="501">
        <v>0</v>
      </c>
    </row>
    <row r="212" spans="1:40" x14ac:dyDescent="0.3">
      <c r="A212" s="489" t="s">
        <v>1426</v>
      </c>
      <c r="B212" s="489" t="s">
        <v>1758</v>
      </c>
      <c r="C212" s="489" t="s">
        <v>1758</v>
      </c>
      <c r="D212" s="489" t="s">
        <v>1936</v>
      </c>
      <c r="E212" s="619">
        <v>13</v>
      </c>
      <c r="F212" s="621"/>
      <c r="G212" s="501"/>
      <c r="H212" s="501"/>
      <c r="I212" s="501"/>
      <c r="J212" s="501"/>
      <c r="K212" s="501"/>
      <c r="L212" s="501"/>
      <c r="M212" s="501"/>
      <c r="N212" s="501"/>
      <c r="O212" s="501"/>
      <c r="P212" s="501"/>
      <c r="Q212" s="501"/>
      <c r="R212" s="501"/>
      <c r="S212" s="501"/>
      <c r="T212" s="501"/>
      <c r="U212" s="501"/>
      <c r="Y212" s="621">
        <v>34592.153846153844</v>
      </c>
      <c r="Z212" s="501">
        <v>0</v>
      </c>
      <c r="AA212" s="501">
        <v>34677.666666666664</v>
      </c>
      <c r="AB212" s="501">
        <v>38035</v>
      </c>
      <c r="AC212" s="501">
        <v>34130</v>
      </c>
      <c r="AD212" s="501">
        <v>0</v>
      </c>
      <c r="AE212" s="501">
        <v>34025</v>
      </c>
      <c r="AF212" s="501">
        <v>34040</v>
      </c>
      <c r="AG212" s="501">
        <v>35265</v>
      </c>
      <c r="AH212" s="501">
        <v>0</v>
      </c>
      <c r="AI212" s="501">
        <v>0</v>
      </c>
      <c r="AJ212" s="501">
        <v>0</v>
      </c>
      <c r="AK212" s="501">
        <v>0</v>
      </c>
      <c r="AL212" s="501">
        <v>0</v>
      </c>
      <c r="AM212" s="501">
        <v>0</v>
      </c>
      <c r="AN212" s="501">
        <v>0</v>
      </c>
    </row>
    <row r="213" spans="1:40" x14ac:dyDescent="0.3">
      <c r="A213" s="489" t="s">
        <v>1694</v>
      </c>
      <c r="B213" s="489" t="s">
        <v>438</v>
      </c>
      <c r="C213" s="489" t="s">
        <v>1907</v>
      </c>
      <c r="D213" s="489" t="s">
        <v>46</v>
      </c>
      <c r="E213" s="619">
        <v>12</v>
      </c>
      <c r="F213" s="621">
        <f t="shared" si="16"/>
        <v>72157</v>
      </c>
      <c r="G213" s="501">
        <f t="shared" si="17"/>
        <v>69980</v>
      </c>
      <c r="H213" s="501">
        <f t="shared" si="17"/>
        <v>69980</v>
      </c>
      <c r="I213" s="501">
        <f t="shared" si="17"/>
        <v>69980</v>
      </c>
      <c r="J213" s="501">
        <f t="shared" si="17"/>
        <v>69980</v>
      </c>
      <c r="K213" s="501">
        <f t="shared" si="17"/>
        <v>69980</v>
      </c>
      <c r="L213" s="501">
        <f t="shared" si="17"/>
        <v>69980</v>
      </c>
      <c r="M213" s="501">
        <f t="shared" si="17"/>
        <v>69980</v>
      </c>
      <c r="N213" s="501">
        <f t="shared" si="17"/>
        <v>69980</v>
      </c>
      <c r="O213" s="501">
        <f t="shared" si="17"/>
        <v>69980</v>
      </c>
      <c r="P213" s="501">
        <f t="shared" si="17"/>
        <v>69980</v>
      </c>
      <c r="Q213" s="501">
        <f t="shared" si="17"/>
        <v>67906</v>
      </c>
      <c r="R213" s="501">
        <f t="shared" si="17"/>
        <v>71939</v>
      </c>
      <c r="S213" s="501">
        <f t="shared" si="17"/>
        <v>71939</v>
      </c>
      <c r="T213" s="501">
        <f t="shared" si="17"/>
        <v>71939</v>
      </c>
      <c r="U213" s="501">
        <f t="shared" si="17"/>
        <v>52702</v>
      </c>
      <c r="Y213" s="621">
        <v>72157</v>
      </c>
      <c r="Z213" s="501">
        <v>0</v>
      </c>
      <c r="AA213" s="501">
        <v>0</v>
      </c>
      <c r="AB213" s="501">
        <v>0</v>
      </c>
      <c r="AC213" s="501">
        <v>0</v>
      </c>
      <c r="AD213" s="501">
        <v>0</v>
      </c>
      <c r="AE213" s="501">
        <v>0</v>
      </c>
      <c r="AF213" s="501">
        <v>0</v>
      </c>
      <c r="AG213" s="501">
        <v>0</v>
      </c>
      <c r="AH213" s="501">
        <v>0</v>
      </c>
      <c r="AI213" s="501">
        <v>69980</v>
      </c>
      <c r="AJ213" s="501">
        <v>67906</v>
      </c>
      <c r="AK213" s="501">
        <v>0</v>
      </c>
      <c r="AL213" s="501">
        <v>0</v>
      </c>
      <c r="AM213" s="501">
        <v>71939</v>
      </c>
      <c r="AN213" s="501">
        <v>52702</v>
      </c>
    </row>
    <row r="214" spans="1:40" x14ac:dyDescent="0.3">
      <c r="A214" s="489" t="s">
        <v>1605</v>
      </c>
      <c r="B214" s="489" t="s">
        <v>1673</v>
      </c>
      <c r="C214" s="489" t="s">
        <v>1908</v>
      </c>
      <c r="D214" s="489" t="s">
        <v>46</v>
      </c>
      <c r="E214" s="619">
        <v>12</v>
      </c>
      <c r="F214" s="621">
        <f t="shared" si="16"/>
        <v>43390.75</v>
      </c>
      <c r="G214" s="501">
        <f t="shared" si="17"/>
        <v>40172</v>
      </c>
      <c r="H214" s="501">
        <f t="shared" si="17"/>
        <v>40172</v>
      </c>
      <c r="I214" s="501">
        <f t="shared" si="17"/>
        <v>40172</v>
      </c>
      <c r="J214" s="501">
        <f t="shared" si="17"/>
        <v>40172</v>
      </c>
      <c r="K214" s="501">
        <f t="shared" si="17"/>
        <v>45088.6</v>
      </c>
      <c r="L214" s="501">
        <f t="shared" si="17"/>
        <v>45088.6</v>
      </c>
      <c r="M214" s="501">
        <f t="shared" si="17"/>
        <v>45088.6</v>
      </c>
      <c r="N214" s="501">
        <f t="shared" si="17"/>
        <v>45088.6</v>
      </c>
      <c r="O214" s="501">
        <f t="shared" si="17"/>
        <v>41989</v>
      </c>
      <c r="P214" s="501">
        <f t="shared" si="17"/>
        <v>48461</v>
      </c>
      <c r="Q214" s="501">
        <f t="shared" si="17"/>
        <v>40283.333333333336</v>
      </c>
      <c r="R214" s="501">
        <f t="shared" si="17"/>
        <v>40283.333333333336</v>
      </c>
      <c r="S214" s="501">
        <f t="shared" si="17"/>
        <v>40283.333333333336</v>
      </c>
      <c r="T214" s="501">
        <f t="shared" si="17"/>
        <v>0</v>
      </c>
      <c r="U214" s="501">
        <f t="shared" si="17"/>
        <v>0</v>
      </c>
      <c r="Y214" s="621">
        <v>43390.75</v>
      </c>
      <c r="Z214" s="501">
        <v>0</v>
      </c>
      <c r="AA214" s="501">
        <v>0</v>
      </c>
      <c r="AB214" s="501">
        <v>0</v>
      </c>
      <c r="AC214" s="501">
        <v>40172</v>
      </c>
      <c r="AD214" s="501">
        <v>0</v>
      </c>
      <c r="AE214" s="501">
        <v>0</v>
      </c>
      <c r="AF214" s="501">
        <v>0</v>
      </c>
      <c r="AG214" s="501">
        <v>45088.6</v>
      </c>
      <c r="AH214" s="501">
        <v>41989</v>
      </c>
      <c r="AI214" s="501">
        <v>48461</v>
      </c>
      <c r="AJ214" s="501">
        <v>0</v>
      </c>
      <c r="AK214" s="501">
        <v>0</v>
      </c>
      <c r="AL214" s="501">
        <v>40283.333333333336</v>
      </c>
      <c r="AM214" s="501">
        <v>0</v>
      </c>
      <c r="AN214" s="501">
        <v>0</v>
      </c>
    </row>
    <row r="215" spans="1:40" x14ac:dyDescent="0.3">
      <c r="A215" s="489" t="s">
        <v>1441</v>
      </c>
      <c r="B215" s="489" t="s">
        <v>1782</v>
      </c>
      <c r="C215" s="489" t="s">
        <v>1909</v>
      </c>
      <c r="D215" s="489" t="s">
        <v>1929</v>
      </c>
      <c r="E215" s="619">
        <v>12</v>
      </c>
      <c r="F215" s="621">
        <f t="shared" si="16"/>
        <v>33113.583333333336</v>
      </c>
      <c r="G215" s="501">
        <f t="shared" si="17"/>
        <v>24302</v>
      </c>
      <c r="H215" s="501">
        <f t="shared" si="17"/>
        <v>24302</v>
      </c>
      <c r="I215" s="501">
        <f t="shared" si="17"/>
        <v>24302</v>
      </c>
      <c r="J215" s="501">
        <f t="shared" si="17"/>
        <v>24302</v>
      </c>
      <c r="K215" s="501">
        <f t="shared" si="17"/>
        <v>24302</v>
      </c>
      <c r="L215" s="501">
        <f t="shared" si="17"/>
        <v>24302</v>
      </c>
      <c r="M215" s="501">
        <f t="shared" si="17"/>
        <v>24302</v>
      </c>
      <c r="N215" s="501">
        <f t="shared" si="17"/>
        <v>24302</v>
      </c>
      <c r="O215" s="501">
        <f t="shared" si="17"/>
        <v>24302</v>
      </c>
      <c r="P215" s="501">
        <f t="shared" si="17"/>
        <v>24302</v>
      </c>
      <c r="Q215" s="501">
        <f t="shared" si="17"/>
        <v>24302</v>
      </c>
      <c r="R215" s="501">
        <f t="shared" si="17"/>
        <v>33914.63636363636</v>
      </c>
      <c r="S215" s="501">
        <f t="shared" si="17"/>
        <v>0</v>
      </c>
      <c r="T215" s="501">
        <f t="shared" si="17"/>
        <v>0</v>
      </c>
      <c r="U215" s="501">
        <f t="shared" si="17"/>
        <v>0</v>
      </c>
      <c r="Y215" s="621">
        <v>33113.583333333336</v>
      </c>
      <c r="Z215" s="501">
        <v>0</v>
      </c>
      <c r="AA215" s="501">
        <v>0</v>
      </c>
      <c r="AB215" s="501">
        <v>0</v>
      </c>
      <c r="AC215" s="501">
        <v>0</v>
      </c>
      <c r="AD215" s="501">
        <v>0</v>
      </c>
      <c r="AE215" s="501">
        <v>0</v>
      </c>
      <c r="AF215" s="501">
        <v>0</v>
      </c>
      <c r="AG215" s="501">
        <v>0</v>
      </c>
      <c r="AH215" s="501">
        <v>0</v>
      </c>
      <c r="AI215" s="501">
        <v>0</v>
      </c>
      <c r="AJ215" s="501">
        <v>24302</v>
      </c>
      <c r="AK215" s="501">
        <v>33914.63636363636</v>
      </c>
      <c r="AL215" s="501">
        <v>0</v>
      </c>
      <c r="AM215" s="501">
        <v>0</v>
      </c>
      <c r="AN215" s="501">
        <v>0</v>
      </c>
    </row>
    <row r="216" spans="1:40" x14ac:dyDescent="0.3">
      <c r="A216" s="489" t="s">
        <v>1677</v>
      </c>
      <c r="B216" s="489" t="s">
        <v>1783</v>
      </c>
      <c r="C216" s="489" t="s">
        <v>1910</v>
      </c>
      <c r="D216" s="489" t="s">
        <v>46</v>
      </c>
      <c r="E216" s="619">
        <v>12</v>
      </c>
      <c r="F216" s="621">
        <f t="shared" si="16"/>
        <v>50626.5</v>
      </c>
      <c r="G216" s="501">
        <f t="shared" si="17"/>
        <v>52325</v>
      </c>
      <c r="H216" s="501">
        <f t="shared" si="17"/>
        <v>52325</v>
      </c>
      <c r="I216" s="501">
        <f t="shared" si="17"/>
        <v>52325</v>
      </c>
      <c r="J216" s="501">
        <f t="shared" si="17"/>
        <v>52325</v>
      </c>
      <c r="K216" s="501">
        <f t="shared" si="17"/>
        <v>52325</v>
      </c>
      <c r="L216" s="501">
        <f t="shared" si="17"/>
        <v>52325</v>
      </c>
      <c r="M216" s="501">
        <f t="shared" si="17"/>
        <v>51832</v>
      </c>
      <c r="N216" s="501">
        <f t="shared" si="17"/>
        <v>51832</v>
      </c>
      <c r="O216" s="501">
        <f t="shared" si="17"/>
        <v>46439.5</v>
      </c>
      <c r="P216" s="501">
        <f t="shared" si="17"/>
        <v>46439.5</v>
      </c>
      <c r="Q216" s="501">
        <f t="shared" si="17"/>
        <v>46439.5</v>
      </c>
      <c r="R216" s="501">
        <f t="shared" si="17"/>
        <v>51310.25</v>
      </c>
      <c r="S216" s="501">
        <f t="shared" si="17"/>
        <v>0</v>
      </c>
      <c r="T216" s="501">
        <f t="shared" si="17"/>
        <v>0</v>
      </c>
      <c r="U216" s="501">
        <f t="shared" si="17"/>
        <v>0</v>
      </c>
      <c r="Y216" s="621">
        <v>50626.5</v>
      </c>
      <c r="Z216" s="501">
        <v>0</v>
      </c>
      <c r="AA216" s="501">
        <v>0</v>
      </c>
      <c r="AB216" s="501">
        <v>0</v>
      </c>
      <c r="AC216" s="501">
        <v>0</v>
      </c>
      <c r="AD216" s="501">
        <v>0</v>
      </c>
      <c r="AE216" s="501">
        <v>52325</v>
      </c>
      <c r="AF216" s="501">
        <v>0</v>
      </c>
      <c r="AG216" s="501">
        <v>51832</v>
      </c>
      <c r="AH216" s="501">
        <v>0</v>
      </c>
      <c r="AI216" s="501">
        <v>0</v>
      </c>
      <c r="AJ216" s="501">
        <v>46439.5</v>
      </c>
      <c r="AK216" s="501">
        <v>51310.25</v>
      </c>
      <c r="AL216" s="501">
        <v>0</v>
      </c>
      <c r="AM216" s="501">
        <v>0</v>
      </c>
      <c r="AN216" s="501">
        <v>0</v>
      </c>
    </row>
    <row r="217" spans="1:40" x14ac:dyDescent="0.3">
      <c r="A217" s="489" t="s">
        <v>1591</v>
      </c>
      <c r="B217" s="489" t="s">
        <v>1784</v>
      </c>
      <c r="C217" s="489" t="s">
        <v>1784</v>
      </c>
      <c r="D217" s="489" t="s">
        <v>46</v>
      </c>
      <c r="E217" s="619">
        <v>12</v>
      </c>
      <c r="F217" s="621">
        <f t="shared" si="16"/>
        <v>35757.666666666664</v>
      </c>
      <c r="G217" s="501">
        <f t="shared" si="17"/>
        <v>33188</v>
      </c>
      <c r="H217" s="501">
        <f t="shared" si="17"/>
        <v>33188</v>
      </c>
      <c r="I217" s="501">
        <f t="shared" si="17"/>
        <v>36490</v>
      </c>
      <c r="J217" s="501">
        <f t="shared" si="17"/>
        <v>45539</v>
      </c>
      <c r="K217" s="501">
        <f t="shared" si="17"/>
        <v>45539</v>
      </c>
      <c r="L217" s="501">
        <f t="shared" si="17"/>
        <v>35012.5</v>
      </c>
      <c r="M217" s="501">
        <f t="shared" si="17"/>
        <v>35191</v>
      </c>
      <c r="N217" s="501">
        <f t="shared" si="17"/>
        <v>33878</v>
      </c>
      <c r="O217" s="501">
        <f t="shared" si="17"/>
        <v>35439</v>
      </c>
      <c r="P217" s="501">
        <f t="shared" si="17"/>
        <v>35439</v>
      </c>
      <c r="Q217" s="501">
        <f t="shared" si="17"/>
        <v>35439</v>
      </c>
      <c r="R217" s="501">
        <f t="shared" si="17"/>
        <v>0</v>
      </c>
      <c r="S217" s="501">
        <f t="shared" si="17"/>
        <v>0</v>
      </c>
      <c r="T217" s="501">
        <f t="shared" si="17"/>
        <v>0</v>
      </c>
      <c r="U217" s="501">
        <f t="shared" si="17"/>
        <v>0</v>
      </c>
      <c r="Y217" s="621">
        <v>35757.666666666664</v>
      </c>
      <c r="Z217" s="501">
        <v>0</v>
      </c>
      <c r="AA217" s="501">
        <v>33188</v>
      </c>
      <c r="AB217" s="501">
        <v>36490</v>
      </c>
      <c r="AC217" s="501">
        <v>0</v>
      </c>
      <c r="AD217" s="501">
        <v>45539</v>
      </c>
      <c r="AE217" s="501">
        <v>35012.5</v>
      </c>
      <c r="AF217" s="501">
        <v>35191</v>
      </c>
      <c r="AG217" s="501">
        <v>33878</v>
      </c>
      <c r="AH217" s="501">
        <v>0</v>
      </c>
      <c r="AI217" s="501">
        <v>0</v>
      </c>
      <c r="AJ217" s="501">
        <v>35439</v>
      </c>
      <c r="AK217" s="501">
        <v>0</v>
      </c>
      <c r="AL217" s="501">
        <v>0</v>
      </c>
      <c r="AM217" s="501">
        <v>0</v>
      </c>
      <c r="AN217" s="501">
        <v>0</v>
      </c>
    </row>
    <row r="218" spans="1:40" x14ac:dyDescent="0.3">
      <c r="A218" s="489" t="s">
        <v>1414</v>
      </c>
      <c r="B218" s="489" t="s">
        <v>1674</v>
      </c>
      <c r="C218" s="489" t="s">
        <v>1911</v>
      </c>
      <c r="D218" s="489" t="s">
        <v>46</v>
      </c>
      <c r="E218" s="619">
        <v>12</v>
      </c>
      <c r="F218" s="621">
        <f t="shared" si="16"/>
        <v>49986.166666666664</v>
      </c>
      <c r="G218" s="501">
        <f t="shared" si="17"/>
        <v>52157.833333333336</v>
      </c>
      <c r="H218" s="501">
        <f t="shared" si="17"/>
        <v>52157.833333333336</v>
      </c>
      <c r="I218" s="501">
        <f t="shared" si="17"/>
        <v>50577.5</v>
      </c>
      <c r="J218" s="501">
        <f t="shared" si="17"/>
        <v>50577.5</v>
      </c>
      <c r="K218" s="501">
        <f t="shared" si="17"/>
        <v>50577.5</v>
      </c>
      <c r="L218" s="501">
        <f t="shared" si="17"/>
        <v>50577.5</v>
      </c>
      <c r="M218" s="501">
        <f t="shared" si="17"/>
        <v>42402</v>
      </c>
      <c r="N218" s="501">
        <f t="shared" si="17"/>
        <v>42175</v>
      </c>
      <c r="O218" s="501">
        <f t="shared" si="17"/>
        <v>0</v>
      </c>
      <c r="P218" s="501">
        <f t="shared" si="17"/>
        <v>0</v>
      </c>
      <c r="Q218" s="501">
        <f t="shared" si="17"/>
        <v>0</v>
      </c>
      <c r="R218" s="501">
        <f t="shared" si="17"/>
        <v>0</v>
      </c>
      <c r="S218" s="501">
        <f t="shared" si="17"/>
        <v>0</v>
      </c>
      <c r="T218" s="501">
        <f t="shared" si="17"/>
        <v>0</v>
      </c>
      <c r="U218" s="501">
        <f t="shared" si="17"/>
        <v>0</v>
      </c>
      <c r="Y218" s="621">
        <v>49986.166666666664</v>
      </c>
      <c r="Z218" s="501">
        <v>0</v>
      </c>
      <c r="AA218" s="501">
        <v>52157.833333333336</v>
      </c>
      <c r="AB218" s="501">
        <v>0</v>
      </c>
      <c r="AC218" s="501">
        <v>0</v>
      </c>
      <c r="AD218" s="501">
        <v>0</v>
      </c>
      <c r="AE218" s="501">
        <v>50577.5</v>
      </c>
      <c r="AF218" s="501">
        <v>42402</v>
      </c>
      <c r="AG218" s="501">
        <v>42175</v>
      </c>
      <c r="AH218" s="501">
        <v>0</v>
      </c>
      <c r="AI218" s="501">
        <v>0</v>
      </c>
      <c r="AJ218" s="501">
        <v>0</v>
      </c>
      <c r="AK218" s="501">
        <v>0</v>
      </c>
      <c r="AL218" s="501">
        <v>0</v>
      </c>
      <c r="AM218" s="501">
        <v>0</v>
      </c>
      <c r="AN218" s="501">
        <v>0</v>
      </c>
    </row>
    <row r="219" spans="1:40" x14ac:dyDescent="0.3">
      <c r="A219" s="489" t="s">
        <v>1414</v>
      </c>
      <c r="B219" s="489" t="s">
        <v>1785</v>
      </c>
      <c r="C219" s="489" t="s">
        <v>1912</v>
      </c>
      <c r="D219" s="489" t="s">
        <v>46</v>
      </c>
      <c r="E219" s="619">
        <v>11</v>
      </c>
      <c r="F219" s="621">
        <f t="shared" si="16"/>
        <v>63266.63636363636</v>
      </c>
      <c r="G219" s="501">
        <f t="shared" si="17"/>
        <v>54654</v>
      </c>
      <c r="H219" s="501">
        <f t="shared" si="17"/>
        <v>64327</v>
      </c>
      <c r="I219" s="501">
        <f t="shared" si="17"/>
        <v>64037</v>
      </c>
      <c r="J219" s="501">
        <f t="shared" si="17"/>
        <v>64037</v>
      </c>
      <c r="K219" s="501">
        <f t="shared" si="17"/>
        <v>61922</v>
      </c>
      <c r="L219" s="501">
        <f t="shared" si="17"/>
        <v>61922</v>
      </c>
      <c r="M219" s="501">
        <f t="shared" si="17"/>
        <v>61922</v>
      </c>
      <c r="N219" s="501">
        <f t="shared" si="17"/>
        <v>67371.5</v>
      </c>
      <c r="O219" s="501">
        <f t="shared" si="17"/>
        <v>56715</v>
      </c>
      <c r="P219" s="501">
        <f t="shared" si="17"/>
        <v>74806</v>
      </c>
      <c r="Q219" s="501">
        <f t="shared" si="17"/>
        <v>61010.5</v>
      </c>
      <c r="R219" s="501">
        <f t="shared" si="17"/>
        <v>61010.5</v>
      </c>
      <c r="S219" s="501">
        <f t="shared" si="17"/>
        <v>61010.5</v>
      </c>
      <c r="T219" s="501">
        <f t="shared" si="17"/>
        <v>62708</v>
      </c>
      <c r="U219" s="501">
        <f t="shared" si="17"/>
        <v>0</v>
      </c>
      <c r="Y219" s="621">
        <v>63266.63636363636</v>
      </c>
      <c r="Z219" s="501">
        <v>54654</v>
      </c>
      <c r="AA219" s="501">
        <v>64327</v>
      </c>
      <c r="AB219" s="501">
        <v>0</v>
      </c>
      <c r="AC219" s="501">
        <v>64037</v>
      </c>
      <c r="AD219" s="501">
        <v>0</v>
      </c>
      <c r="AE219" s="501">
        <v>0</v>
      </c>
      <c r="AF219" s="501">
        <v>61922</v>
      </c>
      <c r="AG219" s="501">
        <v>67371.5</v>
      </c>
      <c r="AH219" s="501">
        <v>56715</v>
      </c>
      <c r="AI219" s="501">
        <v>74806</v>
      </c>
      <c r="AJ219" s="501">
        <v>0</v>
      </c>
      <c r="AK219" s="501">
        <v>0</v>
      </c>
      <c r="AL219" s="501">
        <v>61010.5</v>
      </c>
      <c r="AM219" s="501">
        <v>62708</v>
      </c>
      <c r="AN219" s="501">
        <v>0</v>
      </c>
    </row>
    <row r="220" spans="1:40" x14ac:dyDescent="0.3">
      <c r="A220" s="489" t="s">
        <v>1441</v>
      </c>
      <c r="B220" s="489" t="s">
        <v>1551</v>
      </c>
      <c r="C220" s="489" t="s">
        <v>1552</v>
      </c>
      <c r="D220" s="489" t="s">
        <v>1530</v>
      </c>
      <c r="E220" s="619">
        <v>11</v>
      </c>
      <c r="F220" s="621">
        <f t="shared" si="16"/>
        <v>35682.699999999997</v>
      </c>
      <c r="G220" s="501">
        <f t="shared" si="17"/>
        <v>41922</v>
      </c>
      <c r="H220" s="501">
        <f t="shared" si="17"/>
        <v>41922</v>
      </c>
      <c r="I220" s="501">
        <f t="shared" si="17"/>
        <v>41922</v>
      </c>
      <c r="J220" s="501">
        <f t="shared" si="17"/>
        <v>41922</v>
      </c>
      <c r="K220" s="501">
        <f t="shared" si="17"/>
        <v>41922</v>
      </c>
      <c r="L220" s="501">
        <f t="shared" si="17"/>
        <v>41922</v>
      </c>
      <c r="M220" s="501">
        <f t="shared" si="17"/>
        <v>41922</v>
      </c>
      <c r="N220" s="501">
        <f t="shared" si="17"/>
        <v>38290.333333333336</v>
      </c>
      <c r="O220" s="501">
        <f t="shared" si="17"/>
        <v>42490</v>
      </c>
      <c r="P220" s="501">
        <f t="shared" si="17"/>
        <v>31738.5</v>
      </c>
      <c r="Q220" s="501">
        <f t="shared" si="17"/>
        <v>31738.5</v>
      </c>
      <c r="R220" s="501">
        <f t="shared" si="17"/>
        <v>31738.5</v>
      </c>
      <c r="S220" s="501">
        <f t="shared" si="17"/>
        <v>31738.5</v>
      </c>
      <c r="T220" s="501">
        <f t="shared" si="17"/>
        <v>30590</v>
      </c>
      <c r="U220" s="501">
        <f t="shared" si="17"/>
        <v>0</v>
      </c>
      <c r="Y220" s="621">
        <v>35682.699999999997</v>
      </c>
      <c r="Z220" s="501">
        <v>0</v>
      </c>
      <c r="AA220" s="501">
        <v>0</v>
      </c>
      <c r="AB220" s="501">
        <v>0</v>
      </c>
      <c r="AC220" s="501">
        <v>0</v>
      </c>
      <c r="AD220" s="501">
        <v>0</v>
      </c>
      <c r="AE220" s="501">
        <v>0</v>
      </c>
      <c r="AF220" s="501">
        <v>41922</v>
      </c>
      <c r="AG220" s="501">
        <v>38290.333333333336</v>
      </c>
      <c r="AH220" s="501">
        <v>42490</v>
      </c>
      <c r="AI220" s="501">
        <v>0</v>
      </c>
      <c r="AJ220" s="501">
        <v>0</v>
      </c>
      <c r="AK220" s="501">
        <v>0</v>
      </c>
      <c r="AL220" s="501">
        <v>31738.5</v>
      </c>
      <c r="AM220" s="501">
        <v>30590</v>
      </c>
      <c r="AN220" s="501">
        <v>0</v>
      </c>
    </row>
    <row r="221" spans="1:40" x14ac:dyDescent="0.3">
      <c r="A221" s="489" t="s">
        <v>1441</v>
      </c>
      <c r="B221" s="489" t="s">
        <v>1786</v>
      </c>
      <c r="C221" s="489" t="s">
        <v>1913</v>
      </c>
      <c r="D221" s="489" t="s">
        <v>46</v>
      </c>
      <c r="E221" s="619">
        <v>11</v>
      </c>
      <c r="F221" s="621">
        <f t="shared" si="16"/>
        <v>62405.111111111109</v>
      </c>
      <c r="G221" s="501">
        <f t="shared" si="17"/>
        <v>53887</v>
      </c>
      <c r="H221" s="501">
        <f t="shared" si="17"/>
        <v>53887</v>
      </c>
      <c r="I221" s="501">
        <f t="shared" si="17"/>
        <v>53887</v>
      </c>
      <c r="J221" s="501">
        <f t="shared" si="17"/>
        <v>59760</v>
      </c>
      <c r="K221" s="501">
        <f t="shared" si="17"/>
        <v>59760</v>
      </c>
      <c r="L221" s="501">
        <f t="shared" si="17"/>
        <v>59760</v>
      </c>
      <c r="M221" s="501">
        <f t="shared" si="17"/>
        <v>59760</v>
      </c>
      <c r="N221" s="501">
        <f t="shared" si="17"/>
        <v>59760</v>
      </c>
      <c r="O221" s="501">
        <f t="shared" si="17"/>
        <v>68986</v>
      </c>
      <c r="P221" s="501">
        <f t="shared" si="17"/>
        <v>68986</v>
      </c>
      <c r="Q221" s="501">
        <f t="shared" si="17"/>
        <v>70039.333333333328</v>
      </c>
      <c r="R221" s="501">
        <f t="shared" si="17"/>
        <v>58669.5</v>
      </c>
      <c r="S221" s="501">
        <f t="shared" si="17"/>
        <v>51556</v>
      </c>
      <c r="T221" s="501">
        <f t="shared" si="17"/>
        <v>51556</v>
      </c>
      <c r="U221" s="501">
        <f t="shared" si="17"/>
        <v>0</v>
      </c>
      <c r="Y221" s="621">
        <v>62405.111111111109</v>
      </c>
      <c r="Z221" s="501">
        <v>0</v>
      </c>
      <c r="AA221" s="501">
        <v>0</v>
      </c>
      <c r="AB221" s="501">
        <v>53887</v>
      </c>
      <c r="AC221" s="501">
        <v>0</v>
      </c>
      <c r="AD221" s="501">
        <v>0</v>
      </c>
      <c r="AE221" s="501">
        <v>0</v>
      </c>
      <c r="AF221" s="501">
        <v>0</v>
      </c>
      <c r="AG221" s="501">
        <v>59760</v>
      </c>
      <c r="AH221" s="501">
        <v>0</v>
      </c>
      <c r="AI221" s="501">
        <v>68986</v>
      </c>
      <c r="AJ221" s="501">
        <v>70039.333333333328</v>
      </c>
      <c r="AK221" s="501">
        <v>58669.5</v>
      </c>
      <c r="AL221" s="501">
        <v>0</v>
      </c>
      <c r="AM221" s="501">
        <v>51556</v>
      </c>
      <c r="AN221" s="501">
        <v>0</v>
      </c>
    </row>
    <row r="222" spans="1:40" x14ac:dyDescent="0.3">
      <c r="A222" s="489" t="s">
        <v>1441</v>
      </c>
      <c r="B222" s="489" t="s">
        <v>1787</v>
      </c>
      <c r="C222" s="489" t="s">
        <v>1914</v>
      </c>
      <c r="D222" s="489" t="s">
        <v>46</v>
      </c>
      <c r="E222" s="619">
        <v>11</v>
      </c>
      <c r="F222" s="621">
        <f t="shared" si="16"/>
        <v>38310.63636363636</v>
      </c>
      <c r="G222" s="501">
        <f t="shared" si="17"/>
        <v>41364</v>
      </c>
      <c r="H222" s="501">
        <f t="shared" si="17"/>
        <v>41364</v>
      </c>
      <c r="I222" s="501">
        <f t="shared" si="17"/>
        <v>41364</v>
      </c>
      <c r="J222" s="501">
        <f t="shared" si="17"/>
        <v>41823</v>
      </c>
      <c r="K222" s="501">
        <f t="shared" si="17"/>
        <v>41823</v>
      </c>
      <c r="L222" s="501">
        <f t="shared" si="17"/>
        <v>41823</v>
      </c>
      <c r="M222" s="501">
        <f t="shared" si="17"/>
        <v>41823</v>
      </c>
      <c r="N222" s="501">
        <f t="shared" si="17"/>
        <v>38044</v>
      </c>
      <c r="O222" s="501">
        <f t="shared" si="17"/>
        <v>38044</v>
      </c>
      <c r="P222" s="501">
        <f t="shared" si="17"/>
        <v>37812</v>
      </c>
      <c r="Q222" s="501">
        <f t="shared" si="17"/>
        <v>37427</v>
      </c>
      <c r="R222" s="501">
        <f t="shared" si="17"/>
        <v>0</v>
      </c>
      <c r="S222" s="501">
        <f t="shared" si="17"/>
        <v>0</v>
      </c>
      <c r="T222" s="501">
        <f t="shared" si="17"/>
        <v>0</v>
      </c>
      <c r="U222" s="501">
        <f t="shared" si="17"/>
        <v>0</v>
      </c>
      <c r="Y222" s="621">
        <v>38310.63636363636</v>
      </c>
      <c r="Z222" s="501">
        <v>0</v>
      </c>
      <c r="AA222" s="501">
        <v>0</v>
      </c>
      <c r="AB222" s="501">
        <v>41364</v>
      </c>
      <c r="AC222" s="501">
        <v>0</v>
      </c>
      <c r="AD222" s="501">
        <v>0</v>
      </c>
      <c r="AE222" s="501">
        <v>0</v>
      </c>
      <c r="AF222" s="501">
        <v>41823</v>
      </c>
      <c r="AG222" s="501">
        <v>0</v>
      </c>
      <c r="AH222" s="501">
        <v>38044</v>
      </c>
      <c r="AI222" s="501">
        <v>37812</v>
      </c>
      <c r="AJ222" s="501">
        <v>37427</v>
      </c>
      <c r="AK222" s="501">
        <v>0</v>
      </c>
      <c r="AL222" s="501">
        <v>0</v>
      </c>
      <c r="AM222" s="501">
        <v>0</v>
      </c>
      <c r="AN222" s="501">
        <v>0</v>
      </c>
    </row>
    <row r="223" spans="1:40" x14ac:dyDescent="0.3">
      <c r="A223" s="489" t="s">
        <v>1441</v>
      </c>
      <c r="B223" s="489" t="s">
        <v>1442</v>
      </c>
      <c r="C223" s="489" t="s">
        <v>1443</v>
      </c>
      <c r="D223" s="489" t="s">
        <v>46</v>
      </c>
      <c r="E223" s="619">
        <v>11</v>
      </c>
      <c r="F223" s="621">
        <f t="shared" si="16"/>
        <v>88343.090909090912</v>
      </c>
      <c r="G223" s="501">
        <f t="shared" si="17"/>
        <v>80181</v>
      </c>
      <c r="H223" s="501">
        <f t="shared" si="17"/>
        <v>80181</v>
      </c>
      <c r="I223" s="501">
        <f t="shared" si="17"/>
        <v>80181</v>
      </c>
      <c r="J223" s="501">
        <f t="shared" si="17"/>
        <v>97080</v>
      </c>
      <c r="K223" s="501">
        <f t="shared" si="17"/>
        <v>86403</v>
      </c>
      <c r="L223" s="501">
        <f t="shared" si="17"/>
        <v>86403</v>
      </c>
      <c r="M223" s="501">
        <f t="shared" si="17"/>
        <v>95347</v>
      </c>
      <c r="N223" s="501">
        <f t="shared" si="17"/>
        <v>71127</v>
      </c>
      <c r="O223" s="501">
        <f t="shared" si="17"/>
        <v>91485.333333333328</v>
      </c>
      <c r="P223" s="501">
        <f t="shared" si="17"/>
        <v>91485.333333333328</v>
      </c>
      <c r="Q223" s="501">
        <f t="shared" si="17"/>
        <v>83697</v>
      </c>
      <c r="R223" s="501">
        <f t="shared" si="17"/>
        <v>83697</v>
      </c>
      <c r="S223" s="501">
        <f t="shared" si="17"/>
        <v>83697</v>
      </c>
      <c r="T223" s="501">
        <f t="shared" si="17"/>
        <v>0</v>
      </c>
      <c r="U223" s="501">
        <f t="shared" si="17"/>
        <v>0</v>
      </c>
      <c r="Y223" s="621">
        <v>88343.090909090912</v>
      </c>
      <c r="Z223" s="501">
        <v>0</v>
      </c>
      <c r="AA223" s="501">
        <v>0</v>
      </c>
      <c r="AB223" s="501">
        <v>80181</v>
      </c>
      <c r="AC223" s="501">
        <v>97080</v>
      </c>
      <c r="AD223" s="501">
        <v>0</v>
      </c>
      <c r="AE223" s="501">
        <v>86403</v>
      </c>
      <c r="AF223" s="501">
        <v>95347</v>
      </c>
      <c r="AG223" s="501">
        <v>71127</v>
      </c>
      <c r="AH223" s="501">
        <v>0</v>
      </c>
      <c r="AI223" s="501">
        <v>91485.333333333328</v>
      </c>
      <c r="AJ223" s="501">
        <v>0</v>
      </c>
      <c r="AK223" s="501">
        <v>0</v>
      </c>
      <c r="AL223" s="501">
        <v>83697</v>
      </c>
      <c r="AM223" s="501">
        <v>0</v>
      </c>
      <c r="AN223" s="501">
        <v>0</v>
      </c>
    </row>
    <row r="224" spans="1:40" x14ac:dyDescent="0.3">
      <c r="A224" s="489" t="s">
        <v>1694</v>
      </c>
      <c r="B224" s="489" t="s">
        <v>1788</v>
      </c>
      <c r="C224" s="489" t="s">
        <v>1915</v>
      </c>
      <c r="D224" s="489" t="s">
        <v>141</v>
      </c>
      <c r="E224" s="619">
        <v>11</v>
      </c>
      <c r="F224" s="621">
        <f t="shared" si="16"/>
        <v>87419</v>
      </c>
      <c r="G224" s="501">
        <f t="shared" si="17"/>
        <v>87209</v>
      </c>
      <c r="H224" s="501">
        <f t="shared" si="17"/>
        <v>87209</v>
      </c>
      <c r="I224" s="501">
        <f t="shared" si="17"/>
        <v>61149</v>
      </c>
      <c r="J224" s="501">
        <f t="shared" si="17"/>
        <v>61149</v>
      </c>
      <c r="K224" s="501">
        <f t="shared" si="17"/>
        <v>87794.875</v>
      </c>
      <c r="L224" s="501">
        <f t="shared" si="17"/>
        <v>110892</v>
      </c>
      <c r="M224" s="501">
        <f t="shared" si="17"/>
        <v>0</v>
      </c>
      <c r="N224" s="501">
        <f t="shared" si="17"/>
        <v>0</v>
      </c>
      <c r="O224" s="501">
        <f t="shared" si="17"/>
        <v>0</v>
      </c>
      <c r="P224" s="501">
        <f t="shared" si="17"/>
        <v>0</v>
      </c>
      <c r="Q224" s="501">
        <f t="shared" si="17"/>
        <v>0</v>
      </c>
      <c r="R224" s="501">
        <f t="shared" si="17"/>
        <v>0</v>
      </c>
      <c r="S224" s="501">
        <f t="shared" si="17"/>
        <v>0</v>
      </c>
      <c r="T224" s="501">
        <f t="shared" si="17"/>
        <v>0</v>
      </c>
      <c r="U224" s="501">
        <f t="shared" si="17"/>
        <v>0</v>
      </c>
      <c r="Y224" s="621">
        <v>87419</v>
      </c>
      <c r="Z224" s="501">
        <v>0</v>
      </c>
      <c r="AA224" s="501">
        <v>87209</v>
      </c>
      <c r="AB224" s="501">
        <v>0</v>
      </c>
      <c r="AC224" s="501">
        <v>61149</v>
      </c>
      <c r="AD224" s="501">
        <v>87794.875</v>
      </c>
      <c r="AE224" s="501">
        <v>110892</v>
      </c>
      <c r="AF224" s="501">
        <v>0</v>
      </c>
      <c r="AG224" s="501">
        <v>0</v>
      </c>
      <c r="AH224" s="501">
        <v>0</v>
      </c>
      <c r="AI224" s="501">
        <v>0</v>
      </c>
      <c r="AJ224" s="501">
        <v>0</v>
      </c>
      <c r="AK224" s="501">
        <v>0</v>
      </c>
      <c r="AL224" s="501">
        <v>0</v>
      </c>
      <c r="AM224" s="501">
        <v>0</v>
      </c>
      <c r="AN224" s="501">
        <v>0</v>
      </c>
    </row>
    <row r="225" spans="1:40" x14ac:dyDescent="0.3">
      <c r="A225" s="489" t="s">
        <v>1414</v>
      </c>
      <c r="B225" s="489" t="s">
        <v>1789</v>
      </c>
      <c r="C225" s="489" t="s">
        <v>1916</v>
      </c>
      <c r="D225" s="489" t="s">
        <v>46</v>
      </c>
      <c r="E225" s="619">
        <v>11</v>
      </c>
      <c r="F225" s="621">
        <f t="shared" si="16"/>
        <v>45285.36363636364</v>
      </c>
      <c r="G225" s="501">
        <f t="shared" si="17"/>
        <v>47122</v>
      </c>
      <c r="H225" s="501">
        <f t="shared" si="17"/>
        <v>47122</v>
      </c>
      <c r="I225" s="501">
        <f t="shared" si="17"/>
        <v>59633</v>
      </c>
      <c r="J225" s="501">
        <f t="shared" si="17"/>
        <v>42869</v>
      </c>
      <c r="K225" s="501">
        <f t="shared" si="17"/>
        <v>42869</v>
      </c>
      <c r="L225" s="501">
        <f t="shared" si="17"/>
        <v>42869</v>
      </c>
      <c r="M225" s="501">
        <f t="shared" si="17"/>
        <v>44148.800000000003</v>
      </c>
      <c r="N225" s="501">
        <f t="shared" si="17"/>
        <v>42451</v>
      </c>
      <c r="O225" s="501">
        <f t="shared" si="17"/>
        <v>0</v>
      </c>
      <c r="P225" s="501">
        <f t="shared" si="17"/>
        <v>0</v>
      </c>
      <c r="Q225" s="501">
        <f t="shared" si="17"/>
        <v>0</v>
      </c>
      <c r="R225" s="501">
        <f t="shared" si="17"/>
        <v>0</v>
      </c>
      <c r="S225" s="501">
        <f t="shared" si="17"/>
        <v>0</v>
      </c>
      <c r="T225" s="501">
        <f t="shared" si="17"/>
        <v>0</v>
      </c>
      <c r="U225" s="501">
        <f t="shared" si="17"/>
        <v>0</v>
      </c>
      <c r="Y225" s="621">
        <v>45285.36363636364</v>
      </c>
      <c r="Z225" s="501">
        <v>0</v>
      </c>
      <c r="AA225" s="501">
        <v>47122</v>
      </c>
      <c r="AB225" s="501">
        <v>59633</v>
      </c>
      <c r="AC225" s="501">
        <v>0</v>
      </c>
      <c r="AD225" s="501">
        <v>0</v>
      </c>
      <c r="AE225" s="501">
        <v>42869</v>
      </c>
      <c r="AF225" s="501">
        <v>44148.800000000003</v>
      </c>
      <c r="AG225" s="501">
        <v>42451</v>
      </c>
      <c r="AH225" s="501">
        <v>0</v>
      </c>
      <c r="AI225" s="501">
        <v>0</v>
      </c>
      <c r="AJ225" s="501">
        <v>0</v>
      </c>
      <c r="AK225" s="501">
        <v>0</v>
      </c>
      <c r="AL225" s="501">
        <v>0</v>
      </c>
      <c r="AM225" s="501">
        <v>0</v>
      </c>
      <c r="AN225" s="501">
        <v>0</v>
      </c>
    </row>
    <row r="226" spans="1:40" x14ac:dyDescent="0.3">
      <c r="A226" s="489" t="s">
        <v>1544</v>
      </c>
      <c r="B226" s="489" t="s">
        <v>1578</v>
      </c>
      <c r="C226" s="489" t="s">
        <v>337</v>
      </c>
      <c r="D226" s="489" t="s">
        <v>1936</v>
      </c>
      <c r="E226" s="619">
        <v>11</v>
      </c>
      <c r="F226" s="621">
        <f t="shared" si="16"/>
        <v>34278.272727272728</v>
      </c>
      <c r="G226" s="501">
        <f t="shared" ref="G226:U230" si="18">IF(Z226&gt;0,Z226,IF(H226&gt;0,H226,0))</f>
        <v>33546</v>
      </c>
      <c r="H226" s="501">
        <f t="shared" si="18"/>
        <v>41601</v>
      </c>
      <c r="I226" s="501">
        <f t="shared" si="18"/>
        <v>0</v>
      </c>
      <c r="J226" s="501">
        <f t="shared" si="18"/>
        <v>0</v>
      </c>
      <c r="K226" s="501">
        <f t="shared" si="18"/>
        <v>0</v>
      </c>
      <c r="L226" s="501">
        <f t="shared" si="18"/>
        <v>0</v>
      </c>
      <c r="M226" s="501">
        <f t="shared" si="18"/>
        <v>0</v>
      </c>
      <c r="N226" s="501">
        <f t="shared" si="18"/>
        <v>0</v>
      </c>
      <c r="O226" s="501">
        <f t="shared" si="18"/>
        <v>0</v>
      </c>
      <c r="P226" s="501">
        <f t="shared" si="18"/>
        <v>0</v>
      </c>
      <c r="Q226" s="501">
        <f t="shared" si="18"/>
        <v>0</v>
      </c>
      <c r="R226" s="501">
        <f t="shared" si="18"/>
        <v>0</v>
      </c>
      <c r="S226" s="501">
        <f t="shared" si="18"/>
        <v>0</v>
      </c>
      <c r="T226" s="501">
        <f t="shared" si="18"/>
        <v>0</v>
      </c>
      <c r="U226" s="501">
        <f t="shared" si="18"/>
        <v>0</v>
      </c>
      <c r="Y226" s="621">
        <v>34278.272727272728</v>
      </c>
      <c r="Z226" s="501">
        <v>33546</v>
      </c>
      <c r="AA226" s="501">
        <v>41601</v>
      </c>
      <c r="AB226" s="501">
        <v>0</v>
      </c>
      <c r="AC226" s="501">
        <v>0</v>
      </c>
      <c r="AD226" s="501">
        <v>0</v>
      </c>
      <c r="AE226" s="501">
        <v>0</v>
      </c>
      <c r="AF226" s="501">
        <v>0</v>
      </c>
      <c r="AG226" s="501">
        <v>0</v>
      </c>
      <c r="AH226" s="501">
        <v>0</v>
      </c>
      <c r="AI226" s="501">
        <v>0</v>
      </c>
      <c r="AJ226" s="501">
        <v>0</v>
      </c>
      <c r="AK226" s="501">
        <v>0</v>
      </c>
      <c r="AL226" s="501">
        <v>0</v>
      </c>
      <c r="AM226" s="501">
        <v>0</v>
      </c>
      <c r="AN226" s="501">
        <v>0</v>
      </c>
    </row>
    <row r="227" spans="1:40" x14ac:dyDescent="0.3">
      <c r="A227" s="489" t="s">
        <v>1414</v>
      </c>
      <c r="B227" s="489" t="s">
        <v>1370</v>
      </c>
      <c r="C227" s="489" t="s">
        <v>1416</v>
      </c>
      <c r="D227" s="489" t="s">
        <v>1937</v>
      </c>
      <c r="E227" s="619">
        <v>11</v>
      </c>
      <c r="F227" s="621">
        <f t="shared" si="16"/>
        <v>76388</v>
      </c>
      <c r="G227" s="501">
        <f t="shared" si="18"/>
        <v>86295</v>
      </c>
      <c r="H227" s="501">
        <f t="shared" si="18"/>
        <v>74186.444444444438</v>
      </c>
      <c r="I227" s="501">
        <f t="shared" si="18"/>
        <v>0</v>
      </c>
      <c r="J227" s="501">
        <f t="shared" si="18"/>
        <v>0</v>
      </c>
      <c r="K227" s="501">
        <f t="shared" si="18"/>
        <v>0</v>
      </c>
      <c r="L227" s="501">
        <f t="shared" si="18"/>
        <v>0</v>
      </c>
      <c r="M227" s="501">
        <f t="shared" si="18"/>
        <v>0</v>
      </c>
      <c r="N227" s="501">
        <f t="shared" si="18"/>
        <v>0</v>
      </c>
      <c r="O227" s="501">
        <f t="shared" si="18"/>
        <v>0</v>
      </c>
      <c r="P227" s="501">
        <f t="shared" si="18"/>
        <v>0</v>
      </c>
      <c r="Q227" s="501">
        <f t="shared" si="18"/>
        <v>0</v>
      </c>
      <c r="R227" s="501">
        <f t="shared" si="18"/>
        <v>0</v>
      </c>
      <c r="S227" s="501">
        <f t="shared" si="18"/>
        <v>0</v>
      </c>
      <c r="T227" s="501">
        <f t="shared" si="18"/>
        <v>0</v>
      </c>
      <c r="U227" s="501">
        <f t="shared" si="18"/>
        <v>0</v>
      </c>
      <c r="Y227" s="621">
        <v>76388</v>
      </c>
      <c r="Z227" s="501">
        <v>86295</v>
      </c>
      <c r="AA227" s="501">
        <v>74186.444444444438</v>
      </c>
      <c r="AB227" s="501">
        <v>0</v>
      </c>
      <c r="AC227" s="501">
        <v>0</v>
      </c>
      <c r="AD227" s="501">
        <v>0</v>
      </c>
      <c r="AE227" s="501">
        <v>0</v>
      </c>
      <c r="AF227" s="501">
        <v>0</v>
      </c>
      <c r="AG227" s="501">
        <v>0</v>
      </c>
      <c r="AH227" s="501">
        <v>0</v>
      </c>
      <c r="AI227" s="501">
        <v>0</v>
      </c>
      <c r="AJ227" s="501">
        <v>0</v>
      </c>
      <c r="AK227" s="501">
        <v>0</v>
      </c>
      <c r="AL227" s="501">
        <v>0</v>
      </c>
      <c r="AM227" s="501">
        <v>0</v>
      </c>
      <c r="AN227" s="501">
        <v>0</v>
      </c>
    </row>
    <row r="228" spans="1:40" x14ac:dyDescent="0.3">
      <c r="A228" s="489" t="s">
        <v>1422</v>
      </c>
      <c r="B228" s="489" t="s">
        <v>1547</v>
      </c>
      <c r="C228" s="489" t="s">
        <v>1548</v>
      </c>
      <c r="D228" s="489" t="s">
        <v>1665</v>
      </c>
      <c r="E228" s="619">
        <v>11</v>
      </c>
      <c r="F228" s="621">
        <f t="shared" si="16"/>
        <v>27872</v>
      </c>
      <c r="G228" s="501">
        <f t="shared" si="18"/>
        <v>28374.888888888891</v>
      </c>
      <c r="H228" s="501">
        <f t="shared" si="18"/>
        <v>28374.888888888891</v>
      </c>
      <c r="I228" s="501">
        <f t="shared" si="18"/>
        <v>28374.888888888891</v>
      </c>
      <c r="J228" s="501">
        <f t="shared" si="18"/>
        <v>28374.888888888891</v>
      </c>
      <c r="K228" s="501">
        <f t="shared" si="18"/>
        <v>28374.888888888891</v>
      </c>
      <c r="L228" s="501">
        <f t="shared" si="18"/>
        <v>28374.888888888891</v>
      </c>
      <c r="M228" s="501">
        <f t="shared" si="18"/>
        <v>28374.888888888891</v>
      </c>
      <c r="N228" s="501">
        <f t="shared" si="18"/>
        <v>25609</v>
      </c>
      <c r="O228" s="501">
        <f t="shared" si="18"/>
        <v>25609</v>
      </c>
      <c r="P228" s="501">
        <f t="shared" si="18"/>
        <v>25609</v>
      </c>
      <c r="Q228" s="501">
        <f t="shared" si="18"/>
        <v>0</v>
      </c>
      <c r="R228" s="501">
        <f t="shared" si="18"/>
        <v>0</v>
      </c>
      <c r="S228" s="501">
        <f t="shared" si="18"/>
        <v>0</v>
      </c>
      <c r="T228" s="501">
        <f t="shared" si="18"/>
        <v>0</v>
      </c>
      <c r="U228" s="501">
        <f t="shared" si="18"/>
        <v>0</v>
      </c>
      <c r="Y228" s="621">
        <v>27872</v>
      </c>
      <c r="Z228" s="501">
        <v>0</v>
      </c>
      <c r="AA228" s="501">
        <v>0</v>
      </c>
      <c r="AB228" s="501">
        <v>0</v>
      </c>
      <c r="AC228" s="501">
        <v>0</v>
      </c>
      <c r="AD228" s="501">
        <v>0</v>
      </c>
      <c r="AE228" s="501">
        <v>0</v>
      </c>
      <c r="AF228" s="501">
        <v>28374.888888888891</v>
      </c>
      <c r="AG228" s="501">
        <v>0</v>
      </c>
      <c r="AH228" s="501">
        <v>0</v>
      </c>
      <c r="AI228" s="501">
        <v>25609</v>
      </c>
      <c r="AJ228" s="501">
        <v>0</v>
      </c>
      <c r="AK228" s="501">
        <v>0</v>
      </c>
      <c r="AL228" s="501">
        <v>0</v>
      </c>
      <c r="AM228" s="501">
        <v>0</v>
      </c>
      <c r="AN228" s="501">
        <v>0</v>
      </c>
    </row>
    <row r="229" spans="1:40" x14ac:dyDescent="0.3">
      <c r="A229" s="489" t="s">
        <v>1414</v>
      </c>
      <c r="B229" s="489" t="s">
        <v>1675</v>
      </c>
      <c r="C229" s="489" t="s">
        <v>1917</v>
      </c>
      <c r="D229" s="489" t="s">
        <v>1936</v>
      </c>
      <c r="E229" s="619">
        <v>11</v>
      </c>
      <c r="F229" s="621">
        <f t="shared" si="16"/>
        <v>58418.727272727272</v>
      </c>
      <c r="G229" s="501">
        <f t="shared" si="18"/>
        <v>55880.125</v>
      </c>
      <c r="H229" s="501">
        <f t="shared" si="18"/>
        <v>55880.125</v>
      </c>
      <c r="I229" s="501">
        <f t="shared" si="18"/>
        <v>55880.125</v>
      </c>
      <c r="J229" s="501">
        <f t="shared" si="18"/>
        <v>55880.125</v>
      </c>
      <c r="K229" s="501">
        <f t="shared" si="18"/>
        <v>55880.125</v>
      </c>
      <c r="L229" s="501">
        <f t="shared" si="18"/>
        <v>55880.125</v>
      </c>
      <c r="M229" s="501">
        <f t="shared" si="18"/>
        <v>55880.125</v>
      </c>
      <c r="N229" s="501">
        <f t="shared" si="18"/>
        <v>55880.125</v>
      </c>
      <c r="O229" s="501">
        <f t="shared" si="18"/>
        <v>55880.125</v>
      </c>
      <c r="P229" s="501">
        <f t="shared" si="18"/>
        <v>65188.333333333336</v>
      </c>
      <c r="Q229" s="501">
        <f t="shared" si="18"/>
        <v>0</v>
      </c>
      <c r="R229" s="501">
        <f t="shared" si="18"/>
        <v>0</v>
      </c>
      <c r="S229" s="501">
        <f t="shared" si="18"/>
        <v>0</v>
      </c>
      <c r="T229" s="501">
        <f t="shared" si="18"/>
        <v>0</v>
      </c>
      <c r="U229" s="501">
        <f t="shared" si="18"/>
        <v>0</v>
      </c>
      <c r="Y229" s="621">
        <v>58418.727272727272</v>
      </c>
      <c r="Z229" s="501">
        <v>0</v>
      </c>
      <c r="AA229" s="501">
        <v>0</v>
      </c>
      <c r="AB229" s="501">
        <v>0</v>
      </c>
      <c r="AC229" s="501">
        <v>0</v>
      </c>
      <c r="AD229" s="501">
        <v>0</v>
      </c>
      <c r="AE229" s="501">
        <v>0</v>
      </c>
      <c r="AF229" s="501">
        <v>0</v>
      </c>
      <c r="AG229" s="501">
        <v>0</v>
      </c>
      <c r="AH229" s="501">
        <v>55880.125</v>
      </c>
      <c r="AI229" s="501">
        <v>65188.333333333336</v>
      </c>
      <c r="AJ229" s="501">
        <v>0</v>
      </c>
      <c r="AK229" s="501">
        <v>0</v>
      </c>
      <c r="AL229" s="501">
        <v>0</v>
      </c>
      <c r="AM229" s="501">
        <v>0</v>
      </c>
      <c r="AN229" s="501">
        <v>0</v>
      </c>
    </row>
    <row r="230" spans="1:40" x14ac:dyDescent="0.3">
      <c r="A230" s="489" t="s">
        <v>1414</v>
      </c>
      <c r="B230" s="489" t="s">
        <v>1675</v>
      </c>
      <c r="C230" s="489" t="s">
        <v>1917</v>
      </c>
      <c r="D230" s="489" t="s">
        <v>1936</v>
      </c>
      <c r="E230" s="619">
        <v>11</v>
      </c>
      <c r="F230" s="621">
        <f t="shared" si="16"/>
        <v>58418.727272727272</v>
      </c>
      <c r="G230" s="501">
        <f t="shared" si="18"/>
        <v>55880.125</v>
      </c>
      <c r="H230" s="501">
        <f t="shared" si="18"/>
        <v>55880.125</v>
      </c>
      <c r="I230" s="501">
        <f t="shared" si="18"/>
        <v>55880.125</v>
      </c>
      <c r="J230" s="501">
        <f t="shared" si="18"/>
        <v>55880.125</v>
      </c>
      <c r="K230" s="501">
        <f t="shared" si="18"/>
        <v>55880.125</v>
      </c>
      <c r="L230" s="501">
        <f t="shared" si="18"/>
        <v>55880.125</v>
      </c>
      <c r="M230" s="501">
        <f t="shared" si="18"/>
        <v>55880.125</v>
      </c>
      <c r="N230" s="501">
        <f t="shared" si="18"/>
        <v>55880.125</v>
      </c>
      <c r="O230" s="501">
        <f t="shared" si="18"/>
        <v>55880.125</v>
      </c>
      <c r="P230" s="501">
        <f t="shared" si="18"/>
        <v>65188.333333333336</v>
      </c>
      <c r="Q230" s="501">
        <f t="shared" si="18"/>
        <v>0</v>
      </c>
      <c r="R230" s="501">
        <f t="shared" si="18"/>
        <v>0</v>
      </c>
      <c r="S230" s="501">
        <f t="shared" si="18"/>
        <v>0</v>
      </c>
      <c r="T230" s="501">
        <f t="shared" si="18"/>
        <v>0</v>
      </c>
      <c r="U230" s="501">
        <f t="shared" si="18"/>
        <v>0</v>
      </c>
      <c r="Y230" s="621">
        <v>58418.727272727272</v>
      </c>
      <c r="Z230" s="501">
        <v>0</v>
      </c>
      <c r="AA230" s="501">
        <v>0</v>
      </c>
      <c r="AB230" s="501">
        <v>0</v>
      </c>
      <c r="AC230" s="501">
        <v>0</v>
      </c>
      <c r="AD230" s="501">
        <v>0</v>
      </c>
      <c r="AE230" s="501">
        <v>0</v>
      </c>
      <c r="AF230" s="501">
        <v>0</v>
      </c>
      <c r="AG230" s="501">
        <v>0</v>
      </c>
      <c r="AH230" s="501">
        <v>55880.125</v>
      </c>
      <c r="AI230" s="501">
        <v>65188.333333333336</v>
      </c>
      <c r="AJ230" s="501">
        <v>0</v>
      </c>
      <c r="AK230" s="501">
        <v>0</v>
      </c>
      <c r="AL230" s="501">
        <v>0</v>
      </c>
      <c r="AM230" s="501">
        <v>0</v>
      </c>
      <c r="AN230" s="501">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6">
    <tabColor theme="1"/>
    <pageSetUpPr autoPageBreaks="0"/>
  </sheetPr>
  <dimension ref="A1:Q406"/>
  <sheetViews>
    <sheetView topLeftCell="A213" zoomScale="115" zoomScaleNormal="115" workbookViewId="0">
      <selection activeCell="H223" sqref="H223"/>
    </sheetView>
  </sheetViews>
  <sheetFormatPr defaultColWidth="9.140625" defaultRowHeight="13.5" x14ac:dyDescent="0.3"/>
  <cols>
    <col min="1" max="1" width="14" style="272" customWidth="1"/>
    <col min="2" max="2" width="25.5703125" style="272" customWidth="1"/>
    <col min="3" max="3" width="9.140625" style="272" customWidth="1"/>
    <col min="4" max="4" width="9.140625" style="272"/>
    <col min="5" max="5" width="22.85546875" style="272" customWidth="1"/>
    <col min="6" max="6" width="9.42578125" style="272" bestFit="1" customWidth="1"/>
    <col min="7" max="7" width="9.140625" style="272"/>
    <col min="8" max="8" width="22.85546875" style="272" customWidth="1"/>
    <col min="9" max="9" width="9.42578125" style="272" bestFit="1" customWidth="1"/>
    <col min="10" max="10" width="9.140625" style="272"/>
    <col min="11" max="11" width="22.85546875" style="272" customWidth="1"/>
    <col min="12" max="12" width="9.42578125" style="272" bestFit="1" customWidth="1"/>
    <col min="13" max="13" width="9.140625" style="272"/>
    <col min="14" max="14" width="22.85546875" style="272" customWidth="1"/>
    <col min="15" max="15" width="9.42578125" style="272" bestFit="1" customWidth="1"/>
    <col min="16" max="16384" width="9.140625" style="272"/>
  </cols>
  <sheetData>
    <row r="1" spans="1:15" x14ac:dyDescent="0.3">
      <c r="A1" s="273" t="s">
        <v>993</v>
      </c>
      <c r="E1" s="272">
        <f t="shared" ref="E1:F1" si="0">E7</f>
        <v>0</v>
      </c>
      <c r="F1" s="272">
        <f t="shared" si="0"/>
        <v>0</v>
      </c>
      <c r="H1" s="272">
        <f t="shared" ref="H1:I1" si="1">H7</f>
        <v>0</v>
      </c>
      <c r="I1" s="272">
        <f t="shared" si="1"/>
        <v>0</v>
      </c>
      <c r="K1" s="272">
        <f t="shared" ref="K1:L1" si="2">K7</f>
        <v>0</v>
      </c>
      <c r="L1" s="272">
        <f t="shared" si="2"/>
        <v>0</v>
      </c>
      <c r="N1" s="272">
        <f t="shared" ref="N1:O1" si="3">N7</f>
        <v>0</v>
      </c>
      <c r="O1" s="272">
        <f t="shared" si="3"/>
        <v>0</v>
      </c>
    </row>
    <row r="2" spans="1:15" x14ac:dyDescent="0.3">
      <c r="E2" s="272">
        <v>2025</v>
      </c>
      <c r="F2" s="272">
        <v>2026</v>
      </c>
      <c r="H2" s="272">
        <v>2025</v>
      </c>
      <c r="I2" s="272">
        <v>2026</v>
      </c>
      <c r="K2" s="272">
        <v>2025</v>
      </c>
      <c r="L2" s="272">
        <v>2026</v>
      </c>
      <c r="N2" s="272">
        <v>2025</v>
      </c>
      <c r="O2" s="272">
        <v>2026</v>
      </c>
    </row>
    <row r="3" spans="1:15" x14ac:dyDescent="0.3">
      <c r="F3" s="277"/>
      <c r="I3" s="277"/>
      <c r="L3" s="277"/>
      <c r="O3" s="277"/>
    </row>
    <row r="4" spans="1:15" s="274" customFormat="1" x14ac:dyDescent="0.3">
      <c r="E4" s="360" t="str">
        <f>Input_lists!B10</f>
        <v>Taxi 1</v>
      </c>
      <c r="F4" s="274" t="str">
        <f>E4</f>
        <v>Taxi 1</v>
      </c>
      <c r="H4" s="360" t="str">
        <f>Input_lists!C10</f>
        <v>Taxi 2</v>
      </c>
      <c r="I4" s="274" t="str">
        <f>H4</f>
        <v>Taxi 2</v>
      </c>
      <c r="K4" s="360" t="str">
        <f>Input_lists!D10</f>
        <v>Taxi 3</v>
      </c>
      <c r="L4" s="274" t="str">
        <f>K4</f>
        <v>Taxi 3</v>
      </c>
      <c r="N4" s="360" t="str">
        <f>Input_lists!E10</f>
        <v>Taxi 4</v>
      </c>
      <c r="O4" s="274" t="str">
        <f>N4</f>
        <v>Taxi 4</v>
      </c>
    </row>
    <row r="5" spans="1:15" x14ac:dyDescent="0.3">
      <c r="E5" s="310" t="e">
        <f>E76</f>
        <v>#REF!</v>
      </c>
      <c r="F5" s="310" t="e">
        <f t="shared" ref="F5" si="4">F76</f>
        <v>#REF!</v>
      </c>
      <c r="H5" s="310" t="e">
        <f t="shared" ref="H5:I5" si="5">H76</f>
        <v>#REF!</v>
      </c>
      <c r="I5" s="310" t="e">
        <f t="shared" si="5"/>
        <v>#REF!</v>
      </c>
      <c r="K5" s="310" t="e">
        <f t="shared" ref="K5:L5" si="6">K76</f>
        <v>#REF!</v>
      </c>
      <c r="L5" s="310" t="e">
        <f t="shared" si="6"/>
        <v>#REF!</v>
      </c>
      <c r="M5" s="310"/>
      <c r="N5" s="310" t="e">
        <f t="shared" ref="N5:O5" si="7">N76</f>
        <v>#REF!</v>
      </c>
      <c r="O5" s="310" t="e">
        <f t="shared" si="7"/>
        <v>#REF!</v>
      </c>
    </row>
    <row r="6" spans="1:15" s="275" customFormat="1" x14ac:dyDescent="0.3">
      <c r="A6" s="275" t="s">
        <v>1144</v>
      </c>
    </row>
    <row r="7" spans="1:15" ht="15" x14ac:dyDescent="0.3">
      <c r="B7" s="272" t="s">
        <v>1000</v>
      </c>
      <c r="E7" s="272">
        <f>INDEX(Selectie_voertuigen!$C$5:$F$5,MATCH(calc_COSTREAM!E$4,Selectie_voertuigen!$C$1:$F$1,0))</f>
        <v>0</v>
      </c>
      <c r="F7" s="337">
        <f t="shared" ref="F7" si="8">E7</f>
        <v>0</v>
      </c>
      <c r="H7" s="272">
        <f>INDEX(Selectie_voertuigen!$C$5:$F$5,MATCH(calc_COSTREAM!H$4,Selectie_voertuigen!$C$1:$F$1,0))</f>
        <v>0</v>
      </c>
      <c r="I7" s="337">
        <f t="shared" ref="I7:I8" si="9">H7</f>
        <v>0</v>
      </c>
      <c r="K7" s="272">
        <f>INDEX(Selectie_voertuigen!$C$5:$F$5,MATCH(calc_COSTREAM!K$4,Selectie_voertuigen!$C$1:$F$1,0))</f>
        <v>0</v>
      </c>
      <c r="L7" s="337">
        <f t="shared" ref="L7:L8" si="10">K7</f>
        <v>0</v>
      </c>
      <c r="M7"/>
      <c r="N7" s="272">
        <f>INDEX(Selectie_voertuigen!$C$5:$F$5,MATCH(calc_COSTREAM!N$4,Selectie_voertuigen!$C$1:$F$1,0))</f>
        <v>0</v>
      </c>
      <c r="O7" s="337">
        <f t="shared" ref="O7:O8" si="11">N7</f>
        <v>0</v>
      </c>
    </row>
    <row r="8" spans="1:15" ht="15" x14ac:dyDescent="0.3">
      <c r="B8" s="272" t="str">
        <f>input_data!$E$1</f>
        <v>Voertuigtype</v>
      </c>
      <c r="E8" s="272">
        <f>INDEX(Selectie_voertuigen!$C2:$F2,MATCH(calc_COSTREAM!E$4,Selectie_voertuigen!$C$1:$F$1,0))</f>
        <v>0</v>
      </c>
      <c r="F8" s="337">
        <f t="shared" ref="F8" si="12">E8</f>
        <v>0</v>
      </c>
      <c r="H8" s="272">
        <f>INDEX(Selectie_voertuigen!$C2:$F2,MATCH(calc_COSTREAM!H$4,Selectie_voertuigen!$C$1:$F$1,0))</f>
        <v>0</v>
      </c>
      <c r="I8" s="337">
        <f t="shared" si="9"/>
        <v>0</v>
      </c>
      <c r="K8" s="272">
        <f>INDEX(Selectie_voertuigen!$C2:$F2,MATCH(calc_COSTREAM!K$4,Selectie_voertuigen!$C$1:$F$1,0))</f>
        <v>0</v>
      </c>
      <c r="L8" s="337">
        <f t="shared" si="10"/>
        <v>0</v>
      </c>
      <c r="M8"/>
      <c r="N8" s="272">
        <f>INDEX(Selectie_voertuigen!$C2:$F2,MATCH(calc_COSTREAM!N$4,Selectie_voertuigen!$C$1:$F$1,0))</f>
        <v>0</v>
      </c>
      <c r="O8" s="337">
        <f t="shared" si="11"/>
        <v>0</v>
      </c>
    </row>
    <row r="9" spans="1:15" ht="15" x14ac:dyDescent="0.3">
      <c r="B9" s="272" t="str">
        <f>input_data!$C$1</f>
        <v>Brandstoftype</v>
      </c>
      <c r="E9" s="272" t="e">
        <f>INDEX(Selectie_voertuigen!$C17:$F17,MATCH(calc_COSTREAM!E$4,Selectie_voertuigen!$C$1:$F$1,0))</f>
        <v>#N/A</v>
      </c>
      <c r="F9" s="337" t="e">
        <f>INDEX(Selectie_voertuigen!$C17:$F17,MATCH(calc_COSTREAM!F$4,Selectie_voertuigen!$C$1:$F$1,0))</f>
        <v>#N/A</v>
      </c>
      <c r="H9" s="272" t="e">
        <f>INDEX(Selectie_voertuigen!$C17:$F17,MATCH(calc_COSTREAM!H$4,Selectie_voertuigen!$C$1:$F$1,0))</f>
        <v>#N/A</v>
      </c>
      <c r="I9" s="337" t="e">
        <f>INDEX(Selectie_voertuigen!$C17:$F17,MATCH(calc_COSTREAM!I$4,Selectie_voertuigen!$C$1:$F$1,0))</f>
        <v>#N/A</v>
      </c>
      <c r="K9" s="272" t="e">
        <f>INDEX(Selectie_voertuigen!$C17:$F17,MATCH(calc_COSTREAM!K$4,Selectie_voertuigen!$C$1:$F$1,0))</f>
        <v>#N/A</v>
      </c>
      <c r="L9" s="337" t="e">
        <f>INDEX(Selectie_voertuigen!$C17:$F17,MATCH(calc_COSTREAM!L$4,Selectie_voertuigen!$C$1:$F$1,0))</f>
        <v>#N/A</v>
      </c>
      <c r="M9"/>
      <c r="N9" s="272" t="e">
        <f>INDEX(Selectie_voertuigen!$C17:$F17,MATCH(calc_COSTREAM!N$4,Selectie_voertuigen!$C$1:$F$1,0))</f>
        <v>#N/A</v>
      </c>
      <c r="O9" s="337" t="e">
        <f>INDEX(Selectie_voertuigen!$C17:$F17,MATCH(calc_COSTREAM!O$4,Selectie_voertuigen!$C$1:$F$1,0))</f>
        <v>#N/A</v>
      </c>
    </row>
    <row r="10" spans="1:15" ht="15" x14ac:dyDescent="0.3">
      <c r="B10" s="272" t="s">
        <v>999</v>
      </c>
      <c r="E10" s="333">
        <f>IF(E21="Nieuwkoop",calc_COSTREAM!E$2,INDEX(Selectie_voertuigen!$C10:$F10,MATCH(calc_COSTREAM!E$4,Selectie_voertuigen!$C$1:$F$1,0)))</f>
        <v>0</v>
      </c>
      <c r="F10" s="337">
        <f>IF(F21="Nieuwkoop",calc_COSTREAM!F$2,INDEX(Selectie_voertuigen!$C10:$F10,MATCH(calc_COSTREAM!F$4,Selectie_voertuigen!$C$1:$F$1,0)))</f>
        <v>0</v>
      </c>
      <c r="H10" s="333">
        <f>IF(H21="Nieuwkoop",calc_COSTREAM!H$2,INDEX(Selectie_voertuigen!$C10:$F10,MATCH(calc_COSTREAM!H$4,Selectie_voertuigen!$C$1:$F$1,0)))</f>
        <v>0</v>
      </c>
      <c r="I10" s="337">
        <f>IF(I21="Nieuwkoop",calc_COSTREAM!I$2,INDEX(Selectie_voertuigen!$C10:$F10,MATCH(calc_COSTREAM!I$4,Selectie_voertuigen!$C$1:$F$1,0)))</f>
        <v>0</v>
      </c>
      <c r="K10" s="333">
        <f>IF(K21="Nieuwkoop",calc_COSTREAM!K$2,INDEX(Selectie_voertuigen!$C10:$F10,MATCH(calc_COSTREAM!K$4,Selectie_voertuigen!$C$1:$F$1,0)))</f>
        <v>0</v>
      </c>
      <c r="L10" s="337">
        <f>IF(L21="Nieuwkoop",calc_COSTREAM!L$2,INDEX(Selectie_voertuigen!$C10:$F10,MATCH(calc_COSTREAM!L$4,Selectie_voertuigen!$C$1:$F$1,0)))</f>
        <v>0</v>
      </c>
      <c r="M10"/>
      <c r="N10" s="333">
        <f>IF(N21="Nieuwkoop",calc_COSTREAM!N$2,INDEX(Selectie_voertuigen!$C10:$F10,MATCH(calc_COSTREAM!N$4,Selectie_voertuigen!$C$1:$F$1,0)))</f>
        <v>0</v>
      </c>
      <c r="O10" s="337">
        <f>IF(O21="Nieuwkoop",calc_COSTREAM!O$2,INDEX(Selectie_voertuigen!$C10:$F10,MATCH(calc_COSTREAM!O$4,Selectie_voertuigen!$C$1:$F$1,0)))</f>
        <v>0</v>
      </c>
    </row>
    <row r="11" spans="1:15" ht="15" x14ac:dyDescent="0.3">
      <c r="B11" s="361" t="s">
        <v>1636</v>
      </c>
      <c r="C11" s="471">
        <f>input_btw</f>
        <v>0</v>
      </c>
      <c r="D11" s="472" t="s">
        <v>1469</v>
      </c>
      <c r="E11" s="336">
        <f>INDEX(Selectie_voertuigen!$C$36:$F$36,MATCH(calc_COSTREAM!E$4,Selectie_voertuigen!$C$1:$F$1,0))</f>
        <v>0</v>
      </c>
      <c r="F11" s="336">
        <f>E11</f>
        <v>0</v>
      </c>
      <c r="H11" s="336">
        <f>INDEX(Selectie_voertuigen!$C$36:$F$36,MATCH(calc_COSTREAM!H$4,Selectie_voertuigen!$C$1:$F$1,0))</f>
        <v>0</v>
      </c>
      <c r="I11" s="336">
        <f>H11</f>
        <v>0</v>
      </c>
      <c r="K11" s="336">
        <f>INDEX(Selectie_voertuigen!$C$36:$F$36,MATCH(calc_COSTREAM!K$4,Selectie_voertuigen!$C$1:$F$1,0))</f>
        <v>0</v>
      </c>
      <c r="L11" s="336">
        <f>K11</f>
        <v>0</v>
      </c>
      <c r="M11"/>
      <c r="N11" s="336">
        <f>INDEX(Selectie_voertuigen!$C$36:$F$36,MATCH(calc_COSTREAM!N$4,Selectie_voertuigen!$C$1:$F$1,0))</f>
        <v>0</v>
      </c>
      <c r="O11" s="336">
        <f>N11</f>
        <v>0</v>
      </c>
    </row>
    <row r="12" spans="1:15" ht="15" x14ac:dyDescent="0.3">
      <c r="B12" s="272" t="s">
        <v>61</v>
      </c>
      <c r="C12" s="272" t="s">
        <v>1143</v>
      </c>
      <c r="D12" s="272" t="s">
        <v>25</v>
      </c>
      <c r="E12" s="457" t="e">
        <f>INDEX(Selectie_voertuigen!$C18:$F18,MATCH(calc_COSTREAM!E$4,Selectie_voertuigen!$C$1:$F$1,0))</f>
        <v>#N/A</v>
      </c>
      <c r="F12" s="338" t="e">
        <f>E12</f>
        <v>#N/A</v>
      </c>
      <c r="H12" s="457" t="e">
        <f>INDEX(Selectie_voertuigen!$C18:$F18,MATCH(calc_COSTREAM!H$4,Selectie_voertuigen!$C$1:$F$1,0))</f>
        <v>#N/A</v>
      </c>
      <c r="I12" s="338" t="e">
        <f>H12</f>
        <v>#N/A</v>
      </c>
      <c r="K12" s="457" t="e">
        <f>INDEX(Selectie_voertuigen!$C18:$F18,MATCH(calc_COSTREAM!K$4,Selectie_voertuigen!$C$1:$F$1,0))</f>
        <v>#N/A</v>
      </c>
      <c r="L12" s="338" t="e">
        <f>K12</f>
        <v>#N/A</v>
      </c>
      <c r="M12"/>
      <c r="N12" s="457" t="e">
        <f>INDEX(Selectie_voertuigen!$C18:$F18,MATCH(calc_COSTREAM!N$4,Selectie_voertuigen!$C$1:$F$1,0))</f>
        <v>#N/A</v>
      </c>
      <c r="O12" s="338" t="e">
        <f>N12</f>
        <v>#N/A</v>
      </c>
    </row>
    <row r="13" spans="1:15" ht="15" x14ac:dyDescent="0.3">
      <c r="B13" s="361" t="s">
        <v>1345</v>
      </c>
      <c r="C13" s="361" t="s">
        <v>1478</v>
      </c>
      <c r="D13" s="272" t="s">
        <v>25</v>
      </c>
      <c r="E13" s="457">
        <f>INDEX(Selectie_voertuigen!$C20:$F20,MATCH(calc_COSTREAM!E$4,Selectie_voertuigen!$C$1:$F$1,0))</f>
        <v>0</v>
      </c>
      <c r="F13" s="457">
        <f>INDEX(Selectie_voertuigen!$C20:$F20,MATCH(calc_COSTREAM!F$4,Selectie_voertuigen!$C$1:$F$1,0))</f>
        <v>0</v>
      </c>
      <c r="H13" s="457">
        <f>INDEX(Selectie_voertuigen!$C20:$F20,MATCH(calc_COSTREAM!H$4,Selectie_voertuigen!$C$1:$F$1,0))</f>
        <v>0</v>
      </c>
      <c r="I13" s="457">
        <f>INDEX(Selectie_voertuigen!$C20:$F20,MATCH(calc_COSTREAM!I$4,Selectie_voertuigen!$C$1:$F$1,0))</f>
        <v>0</v>
      </c>
      <c r="K13" s="457">
        <f>INDEX(Selectie_voertuigen!$C20:$F20,MATCH(calc_COSTREAM!K$4,Selectie_voertuigen!$C$1:$F$1,0))</f>
        <v>0</v>
      </c>
      <c r="L13" s="457">
        <f>INDEX(Selectie_voertuigen!$C20:$F20,MATCH(calc_COSTREAM!L$4,Selectie_voertuigen!$C$1:$F$1,0))</f>
        <v>0</v>
      </c>
      <c r="M13"/>
      <c r="N13" s="457">
        <f>INDEX(Selectie_voertuigen!$C20:$F20,MATCH(calc_COSTREAM!N$4,Selectie_voertuigen!$C$1:$F$1,0))</f>
        <v>0</v>
      </c>
      <c r="O13" s="457">
        <f>INDEX(Selectie_voertuigen!$C20:$F20,MATCH(calc_COSTREAM!O$4,Selectie_voertuigen!$C$1:$F$1,0))</f>
        <v>0</v>
      </c>
    </row>
    <row r="14" spans="1:15" ht="15" x14ac:dyDescent="0.3">
      <c r="B14" s="272" t="s">
        <v>1164</v>
      </c>
      <c r="C14" s="272" t="s">
        <v>1146</v>
      </c>
      <c r="D14" s="272" t="s">
        <v>25</v>
      </c>
      <c r="E14" s="457" t="s">
        <v>1012</v>
      </c>
      <c r="F14" s="337" t="str">
        <f t="shared" ref="F14:F19" si="13">E14</f>
        <v>default</v>
      </c>
      <c r="H14" s="457" t="s">
        <v>1012</v>
      </c>
      <c r="I14" s="337" t="str">
        <f t="shared" ref="I14:I19" si="14">H14</f>
        <v>default</v>
      </c>
      <c r="K14" s="457" t="s">
        <v>1012</v>
      </c>
      <c r="L14" s="337" t="str">
        <f t="shared" ref="L14:L19" si="15">K14</f>
        <v>default</v>
      </c>
      <c r="M14"/>
      <c r="N14" s="457" t="s">
        <v>1012</v>
      </c>
      <c r="O14" s="337" t="str">
        <f t="shared" ref="O14:O19" si="16">N14</f>
        <v>default</v>
      </c>
    </row>
    <row r="15" spans="1:15" ht="15" x14ac:dyDescent="0.3">
      <c r="B15" s="272" t="s">
        <v>543</v>
      </c>
      <c r="C15" s="272" t="s">
        <v>1147</v>
      </c>
      <c r="D15" s="272" t="s">
        <v>25</v>
      </c>
      <c r="E15" s="457" t="e">
        <f>INDEX(Selectie_voertuigen!$C22:$F22,MATCH(calc_COSTREAM!E$4,Selectie_voertuigen!$C$1:$F$1,0))</f>
        <v>#N/A</v>
      </c>
      <c r="F15" s="500" t="e">
        <f t="shared" si="13"/>
        <v>#N/A</v>
      </c>
      <c r="H15" s="457" t="e">
        <f>INDEX(Selectie_voertuigen!$C22:$F22,MATCH(calc_COSTREAM!H$4,Selectie_voertuigen!$C$1:$F$1,0))</f>
        <v>#N/A</v>
      </c>
      <c r="I15" s="500" t="e">
        <f t="shared" si="14"/>
        <v>#N/A</v>
      </c>
      <c r="K15" s="457" t="e">
        <f>INDEX(Selectie_voertuigen!$C22:$F22,MATCH(calc_COSTREAM!K$4,Selectie_voertuigen!$C$1:$F$1,0))</f>
        <v>#N/A</v>
      </c>
      <c r="L15" s="500" t="e">
        <f t="shared" si="15"/>
        <v>#N/A</v>
      </c>
      <c r="M15"/>
      <c r="N15" s="457" t="e">
        <f>INDEX(Selectie_voertuigen!$C22:$F22,MATCH(calc_COSTREAM!N$4,Selectie_voertuigen!$C$1:$F$1,0))</f>
        <v>#N/A</v>
      </c>
      <c r="O15" s="500" t="e">
        <f t="shared" si="16"/>
        <v>#N/A</v>
      </c>
    </row>
    <row r="16" spans="1:15" ht="15" x14ac:dyDescent="0.3">
      <c r="B16" s="272" t="s">
        <v>1385</v>
      </c>
      <c r="C16" s="272" t="s">
        <v>1137</v>
      </c>
      <c r="D16" s="272" t="s">
        <v>25</v>
      </c>
      <c r="E16" s="457">
        <f>INDEX(Selectie_voertuigen!$C19:$F19,MATCH(calc_COSTREAM!E$4,Selectie_voertuigen!$C$1:$F$1,0))</f>
        <v>0</v>
      </c>
      <c r="F16" s="333">
        <f t="shared" si="13"/>
        <v>0</v>
      </c>
      <c r="H16" s="457">
        <f>INDEX(Selectie_voertuigen!$C19:$F19,MATCH(calc_COSTREAM!H$4,Selectie_voertuigen!$C$1:$F$1,0))</f>
        <v>0</v>
      </c>
      <c r="I16" s="333">
        <f t="shared" si="14"/>
        <v>0</v>
      </c>
      <c r="K16" s="457">
        <f>INDEX(Selectie_voertuigen!$C19:$F19,MATCH(calc_COSTREAM!K$4,Selectie_voertuigen!$C$1:$F$1,0))</f>
        <v>0</v>
      </c>
      <c r="L16" s="333">
        <f t="shared" si="15"/>
        <v>0</v>
      </c>
      <c r="M16"/>
      <c r="N16" s="457">
        <f>INDEX(Selectie_voertuigen!$C19:$F19,MATCH(calc_COSTREAM!N$4,Selectie_voertuigen!$C$1:$F$1,0))</f>
        <v>0</v>
      </c>
      <c r="O16" s="333">
        <f t="shared" si="16"/>
        <v>0</v>
      </c>
    </row>
    <row r="17" spans="1:15" ht="15" x14ac:dyDescent="0.3">
      <c r="B17" s="272" t="s">
        <v>1159</v>
      </c>
      <c r="C17" s="272" t="s">
        <v>1160</v>
      </c>
      <c r="D17" s="272" t="s">
        <v>25</v>
      </c>
      <c r="E17" s="317" t="s">
        <v>1012</v>
      </c>
      <c r="F17" s="337" t="str">
        <f t="shared" si="13"/>
        <v>default</v>
      </c>
      <c r="H17" s="317" t="s">
        <v>1012</v>
      </c>
      <c r="I17" s="337" t="str">
        <f t="shared" si="14"/>
        <v>default</v>
      </c>
      <c r="K17" s="317" t="s">
        <v>1012</v>
      </c>
      <c r="L17" s="337" t="str">
        <f t="shared" si="15"/>
        <v>default</v>
      </c>
      <c r="M17"/>
      <c r="N17" s="317" t="s">
        <v>1012</v>
      </c>
      <c r="O17" s="337" t="str">
        <f t="shared" si="16"/>
        <v>default</v>
      </c>
    </row>
    <row r="18" spans="1:15" ht="15" x14ac:dyDescent="0.3">
      <c r="B18" s="272" t="s">
        <v>1145</v>
      </c>
      <c r="C18" s="272" t="s">
        <v>1160</v>
      </c>
      <c r="D18" s="272" t="s">
        <v>25</v>
      </c>
      <c r="E18" s="317" t="s">
        <v>1012</v>
      </c>
      <c r="F18" s="337" t="str">
        <f t="shared" si="13"/>
        <v>default</v>
      </c>
      <c r="H18" s="317" t="s">
        <v>1012</v>
      </c>
      <c r="I18" s="337" t="str">
        <f t="shared" si="14"/>
        <v>default</v>
      </c>
      <c r="K18" s="317" t="s">
        <v>1012</v>
      </c>
      <c r="L18" s="337" t="str">
        <f t="shared" si="15"/>
        <v>default</v>
      </c>
      <c r="M18"/>
      <c r="N18" s="317" t="s">
        <v>1012</v>
      </c>
      <c r="O18" s="337" t="str">
        <f t="shared" si="16"/>
        <v>default</v>
      </c>
    </row>
    <row r="19" spans="1:15" ht="15" x14ac:dyDescent="0.3">
      <c r="B19" s="272" t="s">
        <v>1130</v>
      </c>
      <c r="C19" s="272" t="s">
        <v>1161</v>
      </c>
      <c r="D19" s="272" t="s">
        <v>25</v>
      </c>
      <c r="E19" s="318" t="s">
        <v>1012</v>
      </c>
      <c r="F19" s="337" t="str">
        <f t="shared" si="13"/>
        <v>default</v>
      </c>
      <c r="H19" s="318" t="s">
        <v>1012</v>
      </c>
      <c r="I19" s="337" t="str">
        <f t="shared" si="14"/>
        <v>default</v>
      </c>
      <c r="K19" s="318" t="s">
        <v>1012</v>
      </c>
      <c r="L19" s="337" t="str">
        <f t="shared" si="15"/>
        <v>default</v>
      </c>
      <c r="M19"/>
      <c r="N19" s="318" t="s">
        <v>1012</v>
      </c>
      <c r="O19" s="337" t="str">
        <f t="shared" si="16"/>
        <v>default</v>
      </c>
    </row>
    <row r="20" spans="1:15" ht="15" x14ac:dyDescent="0.3">
      <c r="B20" s="361" t="s">
        <v>1464</v>
      </c>
      <c r="E20" s="318"/>
      <c r="F20" s="337"/>
      <c r="H20" s="318"/>
      <c r="I20" s="337"/>
      <c r="K20" s="318"/>
      <c r="L20" s="337"/>
      <c r="M20"/>
      <c r="N20" s="318"/>
      <c r="O20" s="337"/>
    </row>
    <row r="21" spans="1:15" ht="15" x14ac:dyDescent="0.3">
      <c r="B21" s="361" t="s">
        <v>1461</v>
      </c>
      <c r="E21" s="272">
        <f>INDEX(Selectie_voertuigen!$C6:$F6,MATCH(calc_COSTREAM!E$4,Selectie_voertuigen!$C$1:$F$1,0))</f>
        <v>0</v>
      </c>
      <c r="F21" s="272">
        <f>E21</f>
        <v>0</v>
      </c>
      <c r="H21" s="272">
        <f>INDEX(Selectie_voertuigen!$C6:$F6,MATCH(calc_COSTREAM!H$4,Selectie_voertuigen!$C$1:$F$1,0))</f>
        <v>0</v>
      </c>
      <c r="I21" s="272">
        <f>H21</f>
        <v>0</v>
      </c>
      <c r="K21" s="272">
        <f>INDEX(Selectie_voertuigen!$C6:$F6,MATCH(calc_COSTREAM!K$4,Selectie_voertuigen!$C$1:$F$1,0))</f>
        <v>0</v>
      </c>
      <c r="L21" s="272">
        <f>K21</f>
        <v>0</v>
      </c>
      <c r="M21"/>
      <c r="N21" s="272">
        <f>INDEX(Selectie_voertuigen!$C6:$F6,MATCH(calc_COSTREAM!N$4,Selectie_voertuigen!$C$1:$F$1,0))</f>
        <v>0</v>
      </c>
      <c r="O21" s="272">
        <f>N21</f>
        <v>0</v>
      </c>
    </row>
    <row r="22" spans="1:15" x14ac:dyDescent="0.3">
      <c r="B22" s="361" t="s">
        <v>1462</v>
      </c>
      <c r="E22" s="272" t="b">
        <v>0</v>
      </c>
      <c r="F22" s="272" t="b">
        <v>0</v>
      </c>
      <c r="H22" s="272" t="b">
        <v>0</v>
      </c>
      <c r="I22" s="272" t="b">
        <v>0</v>
      </c>
      <c r="K22" s="272" t="b">
        <v>0</v>
      </c>
      <c r="L22" s="272" t="b">
        <v>0</v>
      </c>
      <c r="N22" s="272" t="b">
        <v>0</v>
      </c>
      <c r="O22" s="272" t="b">
        <v>0</v>
      </c>
    </row>
    <row r="23" spans="1:15" s="275" customFormat="1" x14ac:dyDescent="0.3">
      <c r="A23" s="275" t="s">
        <v>1166</v>
      </c>
    </row>
    <row r="24" spans="1:15" customFormat="1" ht="15" x14ac:dyDescent="0.3">
      <c r="B24" s="272" t="s">
        <v>61</v>
      </c>
      <c r="C24" s="272" t="s">
        <v>1143</v>
      </c>
      <c r="D24" s="272" t="s">
        <v>1162</v>
      </c>
      <c r="E24" s="457" t="e">
        <f>IFERROR(IF(OR(ISBLANK(E12),NOT(ISNUMBER(E12))),#N/A,ROUND(E12,0)),E81)</f>
        <v>#N/A</v>
      </c>
      <c r="F24" s="457" t="e">
        <f>IFERROR(IF(OR(ISBLANK(F12),NOT(ISNUMBER(F12))),#N/A,ROUND(F12,0)),F81)</f>
        <v>#N/A</v>
      </c>
      <c r="H24" s="457" t="e">
        <f>IFERROR(IF(OR(ISBLANK(H12),NOT(ISNUMBER(H12))),#N/A,ROUND(H12,0)),H81)</f>
        <v>#N/A</v>
      </c>
      <c r="I24" s="457" t="e">
        <f>IFERROR(IF(OR(ISBLANK(I12),NOT(ISNUMBER(I12))),#N/A,ROUND(I12,0)),I81)</f>
        <v>#N/A</v>
      </c>
      <c r="K24" s="457" t="e">
        <f>IFERROR(IF(OR(ISBLANK(K12),NOT(ISNUMBER(K12))),#N/A,ROUND(K12,0)),K81)</f>
        <v>#N/A</v>
      </c>
      <c r="L24" s="457" t="e">
        <f>IFERROR(IF(OR(ISBLANK(L12),NOT(ISNUMBER(L12))),#N/A,ROUND(L12,0)),L81)</f>
        <v>#N/A</v>
      </c>
      <c r="N24" s="457" t="e">
        <f>IFERROR(IF(OR(ISBLANK(N12),NOT(ISNUMBER(N12))),#N/A,ROUND(N12,0)),N81)</f>
        <v>#N/A</v>
      </c>
      <c r="O24" s="457" t="e">
        <f>IFERROR(IF(OR(ISBLANK(O12),NOT(ISNUMBER(O12))),#N/A,ROUND(O12,0)),O81)</f>
        <v>#N/A</v>
      </c>
    </row>
    <row r="25" spans="1:15" ht="15" x14ac:dyDescent="0.3">
      <c r="B25" s="272" t="s">
        <v>1164</v>
      </c>
      <c r="C25" s="272" t="s">
        <v>1146</v>
      </c>
      <c r="D25" s="272" t="s">
        <v>1162</v>
      </c>
      <c r="E25" s="287" t="e">
        <f t="shared" ref="E25:E30" si="17">IFERROR(IF(OR(ISBLANK(E14),NOT(ISNUMBER(E14))),#N/A,E14),E83)</f>
        <v>#N/A</v>
      </c>
      <c r="F25" s="457" t="e">
        <f>E25</f>
        <v>#N/A</v>
      </c>
      <c r="H25" s="287" t="e">
        <f t="shared" ref="H25:H30" si="18">IFERROR(IF(OR(ISBLANK(H14),NOT(ISNUMBER(H14))),#N/A,H14),H83)</f>
        <v>#N/A</v>
      </c>
      <c r="I25" s="457" t="e">
        <f>H25</f>
        <v>#N/A</v>
      </c>
      <c r="K25" s="287" t="e">
        <f t="shared" ref="K25:K30" si="19">IFERROR(IF(OR(ISBLANK(K14),NOT(ISNUMBER(K14))),#N/A,K14),K83)</f>
        <v>#N/A</v>
      </c>
      <c r="L25" s="457" t="e">
        <f>K25</f>
        <v>#N/A</v>
      </c>
      <c r="M25"/>
      <c r="N25" s="287" t="e">
        <f t="shared" ref="N25:N30" si="20">IFERROR(IF(OR(ISBLANK(N14),NOT(ISNUMBER(N14))),#N/A,N14),N83)</f>
        <v>#N/A</v>
      </c>
      <c r="O25" s="457" t="e">
        <f>N25</f>
        <v>#N/A</v>
      </c>
    </row>
    <row r="26" spans="1:15" ht="15" x14ac:dyDescent="0.3">
      <c r="B26" s="272" t="s">
        <v>543</v>
      </c>
      <c r="C26" s="272" t="s">
        <v>1147</v>
      </c>
      <c r="D26" s="272" t="s">
        <v>1162</v>
      </c>
      <c r="E26" s="457" t="e">
        <f t="shared" si="17"/>
        <v>#N/A</v>
      </c>
      <c r="F26" s="497" t="e">
        <f>IFERROR(IF(OR(ISBLANK(F15),NOT(ISNUMBER(F15))),#N/A,F15),F84)</f>
        <v>#N/A</v>
      </c>
      <c r="H26" s="457" t="e">
        <f t="shared" si="18"/>
        <v>#N/A</v>
      </c>
      <c r="I26" s="497" t="e">
        <f>IFERROR(IF(OR(ISBLANK(I15),NOT(ISNUMBER(I15))),#N/A,I15),I84)</f>
        <v>#N/A</v>
      </c>
      <c r="K26" s="457" t="e">
        <f t="shared" si="19"/>
        <v>#N/A</v>
      </c>
      <c r="L26" s="497" t="e">
        <f>IFERROR(IF(OR(ISBLANK(L15),NOT(ISNUMBER(L15))),#N/A,L15),L84)</f>
        <v>#N/A</v>
      </c>
      <c r="M26"/>
      <c r="N26" s="457" t="e">
        <f t="shared" si="20"/>
        <v>#N/A</v>
      </c>
      <c r="O26" s="497" t="e">
        <f>IFERROR(IF(OR(ISBLANK(O15),NOT(ISNUMBER(O15))),#N/A,O15),O84)</f>
        <v>#N/A</v>
      </c>
    </row>
    <row r="27" spans="1:15" ht="15" x14ac:dyDescent="0.3">
      <c r="B27" s="272" t="s">
        <v>1385</v>
      </c>
      <c r="C27" s="272" t="s">
        <v>1137</v>
      </c>
      <c r="D27" s="272" t="s">
        <v>1162</v>
      </c>
      <c r="E27" s="288">
        <f t="shared" si="17"/>
        <v>0</v>
      </c>
      <c r="F27" s="288">
        <f>IFERROR(IF(OR(ISBLANK(F16),NOT(ISNUMBER(F16))),#N/A,F16),F85)</f>
        <v>0</v>
      </c>
      <c r="H27" s="288">
        <f t="shared" si="18"/>
        <v>0</v>
      </c>
      <c r="I27" s="288">
        <f>IFERROR(IF(OR(ISBLANK(I16),NOT(ISNUMBER(I16))),#N/A,I16),I85)</f>
        <v>0</v>
      </c>
      <c r="K27" s="288">
        <f t="shared" si="19"/>
        <v>0</v>
      </c>
      <c r="L27" s="288">
        <f>IFERROR(IF(OR(ISBLANK(L16),NOT(ISNUMBER(L16))),#N/A,L16),L85)</f>
        <v>0</v>
      </c>
      <c r="M27"/>
      <c r="N27" s="288">
        <f t="shared" si="20"/>
        <v>0</v>
      </c>
      <c r="O27" s="288">
        <f>IFERROR(IF(OR(ISBLANK(O16),NOT(ISNUMBER(O16))),#N/A,O16),O85)</f>
        <v>0</v>
      </c>
    </row>
    <row r="28" spans="1:15" ht="15" x14ac:dyDescent="0.3">
      <c r="B28" s="272" t="s">
        <v>1159</v>
      </c>
      <c r="C28" s="272" t="s">
        <v>1160</v>
      </c>
      <c r="D28" s="272" t="s">
        <v>1162</v>
      </c>
      <c r="E28" s="317" t="e">
        <f>IFERROR(IF(OR(ISBLANK(E17),NOT(ISNUMBER(E17))),#N/A,E17),E86)</f>
        <v>#N/A</v>
      </c>
      <c r="F28" s="317" t="e">
        <f>IFERROR(IF(OR(ISBLANK(F17),NOT(ISNUMBER(F17))),#N/A,F17),F86)</f>
        <v>#N/A</v>
      </c>
      <c r="H28" s="317" t="e">
        <f t="shared" si="18"/>
        <v>#N/A</v>
      </c>
      <c r="I28" s="317" t="e">
        <f>IFERROR(IF(OR(ISBLANK(I17),NOT(ISNUMBER(I17))),#N/A,I17),I86)</f>
        <v>#N/A</v>
      </c>
      <c r="K28" s="317" t="e">
        <f t="shared" si="19"/>
        <v>#N/A</v>
      </c>
      <c r="L28" s="317" t="e">
        <f>IFERROR(IF(OR(ISBLANK(L17),NOT(ISNUMBER(L17))),#N/A,L17),L86)</f>
        <v>#N/A</v>
      </c>
      <c r="M28"/>
      <c r="N28" s="317" t="e">
        <f t="shared" si="20"/>
        <v>#N/A</v>
      </c>
      <c r="O28" s="317" t="e">
        <f>IFERROR(IF(OR(ISBLANK(O17),NOT(ISNUMBER(O17))),#N/A,O17),O86)</f>
        <v>#N/A</v>
      </c>
    </row>
    <row r="29" spans="1:15" ht="15" x14ac:dyDescent="0.3">
      <c r="B29" s="272" t="s">
        <v>1145</v>
      </c>
      <c r="C29" s="272" t="s">
        <v>1160</v>
      </c>
      <c r="D29" s="272" t="s">
        <v>1162</v>
      </c>
      <c r="E29" s="317" t="e">
        <f t="shared" si="17"/>
        <v>#N/A</v>
      </c>
      <c r="F29" s="317" t="e">
        <f>IFERROR(IF(OR(ISBLANK(F18),NOT(ISNUMBER(F18))),#N/A,F18),F87)</f>
        <v>#N/A</v>
      </c>
      <c r="H29" s="317" t="e">
        <f t="shared" si="18"/>
        <v>#N/A</v>
      </c>
      <c r="I29" s="317" t="e">
        <f>IFERROR(IF(OR(ISBLANK(I18),NOT(ISNUMBER(I18))),#N/A,I18),I87)</f>
        <v>#N/A</v>
      </c>
      <c r="K29" s="317" t="e">
        <f t="shared" si="19"/>
        <v>#N/A</v>
      </c>
      <c r="L29" s="317" t="e">
        <f>IFERROR(IF(OR(ISBLANK(L18),NOT(ISNUMBER(L18))),#N/A,L18),L87)</f>
        <v>#N/A</v>
      </c>
      <c r="M29"/>
      <c r="N29" s="317" t="e">
        <f t="shared" si="20"/>
        <v>#N/A</v>
      </c>
      <c r="O29" s="317" t="e">
        <f>IFERROR(IF(OR(ISBLANK(O18),NOT(ISNUMBER(O18))),#N/A,O18),O87)</f>
        <v>#N/A</v>
      </c>
    </row>
    <row r="30" spans="1:15" ht="15" x14ac:dyDescent="0.3">
      <c r="B30" s="272" t="s">
        <v>1130</v>
      </c>
      <c r="C30" s="272" t="s">
        <v>1161</v>
      </c>
      <c r="D30" s="272" t="s">
        <v>1162</v>
      </c>
      <c r="E30" s="318" t="e">
        <f t="shared" si="17"/>
        <v>#N/A</v>
      </c>
      <c r="F30" s="318" t="e">
        <f>IFERROR(IF(OR(ISBLANK(F19),NOT(ISNUMBER(F19))),#N/A,F19),F88)</f>
        <v>#N/A</v>
      </c>
      <c r="H30" s="318" t="e">
        <f t="shared" si="18"/>
        <v>#N/A</v>
      </c>
      <c r="I30" s="318" t="e">
        <f>IFERROR(IF(OR(ISBLANK(I19),NOT(ISNUMBER(I19))),#N/A,I19),I88)</f>
        <v>#N/A</v>
      </c>
      <c r="K30" s="318" t="e">
        <f t="shared" si="19"/>
        <v>#N/A</v>
      </c>
      <c r="L30" s="318" t="e">
        <f>IFERROR(IF(OR(ISBLANK(L19),NOT(ISNUMBER(L19))),#N/A,L19),L88)</f>
        <v>#N/A</v>
      </c>
      <c r="M30"/>
      <c r="N30" s="318" t="e">
        <f t="shared" si="20"/>
        <v>#N/A</v>
      </c>
      <c r="O30" s="318" t="e">
        <f>IFERROR(IF(OR(ISBLANK(O19),NOT(ISNUMBER(O19))),#N/A,O19),O88)</f>
        <v>#N/A</v>
      </c>
    </row>
    <row r="31" spans="1:15" s="275" customFormat="1" x14ac:dyDescent="0.3">
      <c r="A31" s="275" t="s">
        <v>162</v>
      </c>
    </row>
    <row r="32" spans="1:15" x14ac:dyDescent="0.3">
      <c r="B32" s="272" t="s">
        <v>1006</v>
      </c>
      <c r="E32" s="272">
        <f t="shared" ref="E32:O32" si="21">input_gebruik</f>
        <v>0</v>
      </c>
      <c r="F32" s="272">
        <f t="shared" si="21"/>
        <v>0</v>
      </c>
      <c r="H32" s="272">
        <f t="shared" si="21"/>
        <v>0</v>
      </c>
      <c r="I32" s="272">
        <f t="shared" si="21"/>
        <v>0</v>
      </c>
      <c r="K32" s="272">
        <f t="shared" si="21"/>
        <v>0</v>
      </c>
      <c r="L32" s="272">
        <f t="shared" si="21"/>
        <v>0</v>
      </c>
      <c r="N32" s="272">
        <f t="shared" si="21"/>
        <v>0</v>
      </c>
      <c r="O32" s="272">
        <f t="shared" si="21"/>
        <v>0</v>
      </c>
    </row>
    <row r="33" spans="1:15" x14ac:dyDescent="0.3">
      <c r="B33" s="272" t="s">
        <v>158</v>
      </c>
      <c r="E33" s="278">
        <f t="shared" ref="E33:O33" si="22">input_jaarkm</f>
        <v>0</v>
      </c>
      <c r="F33" s="278">
        <f t="shared" si="22"/>
        <v>0</v>
      </c>
      <c r="H33" s="278">
        <f t="shared" si="22"/>
        <v>0</v>
      </c>
      <c r="I33" s="278">
        <f t="shared" si="22"/>
        <v>0</v>
      </c>
      <c r="K33" s="278">
        <f t="shared" si="22"/>
        <v>0</v>
      </c>
      <c r="L33" s="278">
        <f t="shared" si="22"/>
        <v>0</v>
      </c>
      <c r="M33" s="278"/>
      <c r="N33" s="278">
        <f t="shared" si="22"/>
        <v>0</v>
      </c>
      <c r="O33" s="278">
        <f t="shared" si="22"/>
        <v>0</v>
      </c>
    </row>
    <row r="34" spans="1:15" x14ac:dyDescent="0.3">
      <c r="B34" s="272" t="s">
        <v>1386</v>
      </c>
      <c r="E34" s="277" t="e">
        <f>IF(E9="plug-in",input_PHEV_perc_elektrisch,IF(E9="Elektrisch",1,0))</f>
        <v>#N/A</v>
      </c>
      <c r="F34" s="277" t="e">
        <f>IF(F9="plug-in",input_PHEV_perc_elektrisch,IF(F9="Elektrisch",1,0))</f>
        <v>#N/A</v>
      </c>
      <c r="H34" s="277" t="e">
        <f>IF(H9="plug-in",input_PHEV_perc_elektrisch,IF(H9="Elektrisch",1,0))</f>
        <v>#N/A</v>
      </c>
      <c r="I34" s="277" t="e">
        <f>IF(I9="plug-in",input_PHEV_perc_elektrisch,IF(I9="Elektrisch",1,0))</f>
        <v>#N/A</v>
      </c>
      <c r="K34" s="277" t="e">
        <f>IF(K9="plug-in",input_PHEV_perc_elektrisch,IF(K9="Elektrisch",1,0))</f>
        <v>#N/A</v>
      </c>
      <c r="L34" s="277" t="e">
        <f>IF(L9="plug-in",input_PHEV_perc_elektrisch,IF(L9="Elektrisch",1,0))</f>
        <v>#N/A</v>
      </c>
      <c r="M34" s="277"/>
      <c r="N34" s="277" t="e">
        <f>IF(N9="plug-in",input_PHEV_perc_elektrisch,IF(N9="Elektrisch",1,0))</f>
        <v>#N/A</v>
      </c>
      <c r="O34" s="277" t="e">
        <f>IF(O9="plug-in",input_PHEV_perc_elektrisch,IF(O9="Elektrisch",1,0))</f>
        <v>#N/A</v>
      </c>
    </row>
    <row r="36" spans="1:15" s="275" customFormat="1" x14ac:dyDescent="0.3">
      <c r="A36" s="275" t="s">
        <v>996</v>
      </c>
      <c r="B36" s="275" t="s">
        <v>995</v>
      </c>
    </row>
    <row r="37" spans="1:15" x14ac:dyDescent="0.3">
      <c r="B37" s="272" t="s">
        <v>1464</v>
      </c>
      <c r="C37" s="361" t="s">
        <v>1635</v>
      </c>
      <c r="E37" s="276" cm="1">
        <f t="array" ref="E37">INDEX(Selectie_voertuigen!$C$21:$F$21,,MATCH(calc_COSTREAM!E4,Selectie_voertuigen!$C$1:$F$1,0))</f>
        <v>0</v>
      </c>
      <c r="F37" s="276" cm="1">
        <f t="array" ref="F37">INDEX(Selectie_voertuigen!$C$21:$F$21,,MATCH(calc_COSTREAM!F4,Selectie_voertuigen!$C$1:$F$1,0))</f>
        <v>0</v>
      </c>
      <c r="H37" s="276" cm="1">
        <f t="array" ref="H37">INDEX(Selectie_voertuigen!$C$21:$F$21,,MATCH(calc_COSTREAM!H4,Selectie_voertuigen!$C$1:$F$1,0))</f>
        <v>0</v>
      </c>
      <c r="I37" s="276" cm="1">
        <f t="array" ref="I37">INDEX(Selectie_voertuigen!$C$21:$F$21,,MATCH(calc_COSTREAM!I4,Selectie_voertuigen!$C$1:$F$1,0))</f>
        <v>0</v>
      </c>
      <c r="K37" s="276" cm="1">
        <f t="array" ref="K37">INDEX(Selectie_voertuigen!$C$21:$F$21,,MATCH(calc_COSTREAM!K4,Selectie_voertuigen!$C$1:$F$1,0))</f>
        <v>0</v>
      </c>
      <c r="L37" s="276" cm="1">
        <f t="array" ref="L37">INDEX(Selectie_voertuigen!$C$21:$F$21,,MATCH(calc_COSTREAM!L4,Selectie_voertuigen!$C$1:$F$1,0))</f>
        <v>0</v>
      </c>
      <c r="N37" s="276" cm="1">
        <f t="array" ref="N37">INDEX(Selectie_voertuigen!$C$21:$F$21,,MATCH(calc_COSTREAM!N4,Selectie_voertuigen!$C$1:$F$1,0))</f>
        <v>0</v>
      </c>
      <c r="O37" s="276" cm="1">
        <f t="array" ref="O37">INDEX(Selectie_voertuigen!$C$21:$F$21,,MATCH(calc_COSTREAM!O4,Selectie_voertuigen!$C$1:$F$1,0))</f>
        <v>0</v>
      </c>
    </row>
    <row r="38" spans="1:15" x14ac:dyDescent="0.3">
      <c r="B38" s="272" t="s">
        <v>1469</v>
      </c>
      <c r="C38" s="471">
        <f>input_btw</f>
        <v>0</v>
      </c>
      <c r="D38" s="472" t="s">
        <v>1469</v>
      </c>
      <c r="E38" s="272">
        <f t="shared" ref="E38:O38" si="23">input_btw</f>
        <v>0</v>
      </c>
      <c r="F38" s="272">
        <f t="shared" si="23"/>
        <v>0</v>
      </c>
      <c r="H38" s="272">
        <f t="shared" si="23"/>
        <v>0</v>
      </c>
      <c r="I38" s="272">
        <f t="shared" si="23"/>
        <v>0</v>
      </c>
      <c r="K38" s="272">
        <f t="shared" si="23"/>
        <v>0</v>
      </c>
      <c r="L38" s="272">
        <f t="shared" si="23"/>
        <v>0</v>
      </c>
      <c r="N38" s="272">
        <f t="shared" si="23"/>
        <v>0</v>
      </c>
      <c r="O38" s="272">
        <f t="shared" si="23"/>
        <v>0</v>
      </c>
    </row>
    <row r="39" spans="1:15" x14ac:dyDescent="0.3">
      <c r="B39" s="272" t="s">
        <v>9</v>
      </c>
      <c r="E39" s="277">
        <f t="shared" ref="E39:O39" si="24">input_rente</f>
        <v>0.03</v>
      </c>
      <c r="F39" s="277">
        <f t="shared" si="24"/>
        <v>0.03</v>
      </c>
      <c r="H39" s="277">
        <f t="shared" si="24"/>
        <v>0.03</v>
      </c>
      <c r="I39" s="277">
        <f t="shared" si="24"/>
        <v>0.03</v>
      </c>
      <c r="K39" s="277">
        <f t="shared" si="24"/>
        <v>0.03</v>
      </c>
      <c r="L39" s="277">
        <f t="shared" si="24"/>
        <v>0.03</v>
      </c>
      <c r="M39" s="277"/>
      <c r="N39" s="277">
        <f t="shared" si="24"/>
        <v>0.03</v>
      </c>
      <c r="O39" s="277">
        <f t="shared" si="24"/>
        <v>0.03</v>
      </c>
    </row>
    <row r="40" spans="1:15" x14ac:dyDescent="0.3">
      <c r="B40" s="272" t="s">
        <v>1001</v>
      </c>
      <c r="E40" s="272">
        <v>0</v>
      </c>
      <c r="F40" s="272">
        <v>0</v>
      </c>
      <c r="H40" s="272">
        <v>0</v>
      </c>
      <c r="I40" s="272">
        <v>0</v>
      </c>
      <c r="K40" s="272">
        <v>0</v>
      </c>
      <c r="L40" s="272">
        <v>0</v>
      </c>
      <c r="N40" s="272">
        <v>0</v>
      </c>
      <c r="O40" s="272">
        <v>0</v>
      </c>
    </row>
    <row r="41" spans="1:15" x14ac:dyDescent="0.3">
      <c r="A41" s="272" t="s">
        <v>1030</v>
      </c>
      <c r="B41" s="272" t="s">
        <v>997</v>
      </c>
      <c r="E41" s="276" t="e">
        <f>-PMT(E39,E32,E11,-E43)*E32+E43-E11</f>
        <v>#REF!</v>
      </c>
      <c r="F41" s="276" t="e">
        <f>-PMT(F39,F32,F11,-F43)*F32+F43-F11</f>
        <v>#REF!</v>
      </c>
      <c r="H41" s="276" t="e">
        <f>-PMT(H39,H32,H11,-H43)*H32+H43-H11</f>
        <v>#REF!</v>
      </c>
      <c r="I41" s="276" t="e">
        <f>-PMT(I39,I32,I11,-I43)*I32+I43-I11</f>
        <v>#REF!</v>
      </c>
      <c r="K41" s="276" t="e">
        <f>-PMT(K39,K32,K11,-K43)*K32+K43-K11</f>
        <v>#REF!</v>
      </c>
      <c r="L41" s="276" t="e">
        <f>-PMT(L39,L32,L11,-L43)*L32+L43-L11</f>
        <v>#REF!</v>
      </c>
      <c r="M41" s="276"/>
      <c r="N41" s="276" t="e">
        <f>-PMT(N39,N32,N11,-N43)*N32+N43-N11</f>
        <v>#REF!</v>
      </c>
      <c r="O41" s="276" t="e">
        <f>-PMT(O39,O32,O11,-O43)*O32+O43-O11</f>
        <v>#REF!</v>
      </c>
    </row>
    <row r="42" spans="1:15" x14ac:dyDescent="0.3">
      <c r="B42" s="272" t="s">
        <v>998</v>
      </c>
      <c r="E42" s="276">
        <f>(E11-E37)/(1+E38)</f>
        <v>0</v>
      </c>
      <c r="F42" s="276">
        <f>(F11-F37)/(1+F38)</f>
        <v>0</v>
      </c>
      <c r="H42" s="276">
        <f>(H11-H37)/(1+H38)</f>
        <v>0</v>
      </c>
      <c r="I42" s="276">
        <f>(I11-I37)/(1+I38)</f>
        <v>0</v>
      </c>
      <c r="K42" s="276">
        <f>(K11-K37)/(1+K38)</f>
        <v>0</v>
      </c>
      <c r="L42" s="276">
        <f>(L11-L37)/(1+L38)</f>
        <v>0</v>
      </c>
      <c r="M42" s="276"/>
      <c r="N42" s="276">
        <f>(N11-N37)/(1+N38)</f>
        <v>0</v>
      </c>
      <c r="O42" s="276">
        <f>(O11-O37)/(1+O38)</f>
        <v>0</v>
      </c>
    </row>
    <row r="43" spans="1:15" x14ac:dyDescent="0.3">
      <c r="B43" s="272" t="s">
        <v>159</v>
      </c>
      <c r="E43" s="276" t="e">
        <f>(1-E102)*E11</f>
        <v>#REF!</v>
      </c>
      <c r="F43" s="276" t="e">
        <f>(1-F102)*F11</f>
        <v>#REF!</v>
      </c>
      <c r="H43" s="276" t="e">
        <f>(1-H102)*H11</f>
        <v>#REF!</v>
      </c>
      <c r="I43" s="276" t="e">
        <f>(1-I102)*I11</f>
        <v>#REF!</v>
      </c>
      <c r="K43" s="276" t="e">
        <f>(1-K102)*K11</f>
        <v>#REF!</v>
      </c>
      <c r="L43" s="276" t="e">
        <f>(1-L102)*L11</f>
        <v>#REF!</v>
      </c>
      <c r="M43" s="276"/>
      <c r="N43" s="276" t="e">
        <f>(1-N102)*N11</f>
        <v>#REF!</v>
      </c>
      <c r="O43" s="276" t="e">
        <f>(1-O102)*O11</f>
        <v>#REF!</v>
      </c>
    </row>
    <row r="44" spans="1:15" s="275" customFormat="1" x14ac:dyDescent="0.3">
      <c r="A44" s="275" t="s">
        <v>1077</v>
      </c>
    </row>
    <row r="45" spans="1:15" x14ac:dyDescent="0.3">
      <c r="B45" s="272" t="s">
        <v>1005</v>
      </c>
      <c r="E45" s="278">
        <f>E2</f>
        <v>2025</v>
      </c>
      <c r="F45" s="278">
        <f t="shared" ref="F45:O45" si="25">F2</f>
        <v>2026</v>
      </c>
      <c r="G45" s="278"/>
      <c r="H45" s="278">
        <f t="shared" si="25"/>
        <v>2025</v>
      </c>
      <c r="I45" s="278">
        <f t="shared" si="25"/>
        <v>2026</v>
      </c>
      <c r="J45" s="278"/>
      <c r="K45" s="278">
        <f t="shared" si="25"/>
        <v>2025</v>
      </c>
      <c r="L45" s="278">
        <f t="shared" si="25"/>
        <v>2026</v>
      </c>
      <c r="M45" s="278"/>
      <c r="N45" s="278">
        <f t="shared" si="25"/>
        <v>2025</v>
      </c>
      <c r="O45" s="278">
        <f t="shared" si="25"/>
        <v>2026</v>
      </c>
    </row>
    <row r="46" spans="1:15" x14ac:dyDescent="0.3">
      <c r="B46" s="272" t="s">
        <v>1078</v>
      </c>
      <c r="E46" s="278">
        <f>INDEX(Selectie_voertuigen!$C11:$F11,MATCH(calc_COSTREAM!E$4,Selectie_voertuigen!$C$1:$F$1,0))</f>
        <v>0</v>
      </c>
      <c r="F46" s="278">
        <f>E46</f>
        <v>0</v>
      </c>
      <c r="H46" s="278">
        <f>INDEX(Selectie_voertuigen!$C11:$F11,MATCH(calc_COSTREAM!H$4,Selectie_voertuigen!$C$1:$F$1,0))</f>
        <v>0</v>
      </c>
      <c r="I46" s="278">
        <f>H46</f>
        <v>0</v>
      </c>
      <c r="K46" s="278">
        <f>INDEX(Selectie_voertuigen!$C11:$F11,MATCH(calc_COSTREAM!K$4,Selectie_voertuigen!$C$1:$F$1,0))</f>
        <v>0</v>
      </c>
      <c r="L46" s="278">
        <f>K46</f>
        <v>0</v>
      </c>
      <c r="M46" s="278"/>
      <c r="N46" s="278">
        <f>INDEX(Selectie_voertuigen!$C11:$F11,MATCH(calc_COSTREAM!N$4,Selectie_voertuigen!$C$1:$F$1,0))</f>
        <v>0</v>
      </c>
      <c r="O46" s="278">
        <f>N46</f>
        <v>0</v>
      </c>
    </row>
    <row r="47" spans="1:15" x14ac:dyDescent="0.3">
      <c r="B47" s="272" t="s">
        <v>1079</v>
      </c>
      <c r="E47" s="278">
        <f>IF(E21=Input_lists!$B$3,0,E45-E10)</f>
        <v>2025</v>
      </c>
      <c r="F47" s="278">
        <f>IF(F21=Input_lists!$B$3,0,F45-F10)</f>
        <v>2026</v>
      </c>
      <c r="H47" s="278">
        <f>IF(H21=Input_lists!$B$3,0,H45-H10)</f>
        <v>2025</v>
      </c>
      <c r="I47" s="278">
        <f>IF(I21=Input_lists!$B$3,0,I45-I10)</f>
        <v>2026</v>
      </c>
      <c r="K47" s="278">
        <f>IF(K21=Input_lists!$B$3,0,K45-K10)</f>
        <v>2025</v>
      </c>
      <c r="L47" s="278">
        <f>IF(L21=Input_lists!$B$3,0,L45-L10)</f>
        <v>2026</v>
      </c>
      <c r="N47" s="278">
        <f>IF(N21=Input_lists!$B$3,0,N45-N10)</f>
        <v>2025</v>
      </c>
      <c r="O47" s="278">
        <f>IF(O21=Input_lists!$B$3,0,O45-O10)</f>
        <v>2026</v>
      </c>
    </row>
    <row r="48" spans="1:15" x14ac:dyDescent="0.3">
      <c r="B48" s="348" t="s">
        <v>1194</v>
      </c>
      <c r="E48" s="505">
        <f>E11</f>
        <v>0</v>
      </c>
      <c r="F48" s="505">
        <f>F11</f>
        <v>0</v>
      </c>
      <c r="H48" s="505">
        <f>H11</f>
        <v>0</v>
      </c>
      <c r="I48" s="505">
        <f>I11</f>
        <v>0</v>
      </c>
      <c r="K48" s="505">
        <f>K11</f>
        <v>0</v>
      </c>
      <c r="L48" s="505">
        <f>L11</f>
        <v>0</v>
      </c>
      <c r="N48" s="505">
        <f>N11</f>
        <v>0</v>
      </c>
      <c r="O48" s="505">
        <f>O11</f>
        <v>0</v>
      </c>
    </row>
    <row r="49" spans="1:15" x14ac:dyDescent="0.3">
      <c r="B49" s="361" t="s">
        <v>1622</v>
      </c>
      <c r="E49" s="278">
        <f>E47+1</f>
        <v>2026</v>
      </c>
      <c r="F49" s="278">
        <f>F47+1</f>
        <v>2027</v>
      </c>
      <c r="H49" s="278">
        <f>H47+1</f>
        <v>2026</v>
      </c>
      <c r="I49" s="278">
        <f>I47+1</f>
        <v>2027</v>
      </c>
      <c r="K49" s="278">
        <f>K47+1</f>
        <v>2026</v>
      </c>
      <c r="L49" s="278">
        <f>L47+1</f>
        <v>2027</v>
      </c>
      <c r="N49" s="278">
        <f>N47+1</f>
        <v>2026</v>
      </c>
      <c r="O49" s="278">
        <f>O47+1</f>
        <v>2027</v>
      </c>
    </row>
    <row r="50" spans="1:15" s="275" customFormat="1" x14ac:dyDescent="0.3">
      <c r="A50" s="644" t="s">
        <v>1650</v>
      </c>
    </row>
    <row r="51" spans="1:15" x14ac:dyDescent="0.3">
      <c r="B51" s="361" t="s">
        <v>1646</v>
      </c>
      <c r="E51" s="361">
        <f>Selectie_voertuigen!$C$49</f>
        <v>0</v>
      </c>
      <c r="F51" s="361">
        <f>Selectie_voertuigen!$C$49</f>
        <v>0</v>
      </c>
      <c r="H51" s="361">
        <f>Selectie_voertuigen!$C$49</f>
        <v>0</v>
      </c>
      <c r="I51" s="361">
        <f>Selectie_voertuigen!$C$49</f>
        <v>0</v>
      </c>
      <c r="K51" s="361">
        <f>Selectie_voertuigen!$C$49</f>
        <v>0</v>
      </c>
      <c r="L51" s="361">
        <f>Selectie_voertuigen!$C$49</f>
        <v>0</v>
      </c>
      <c r="N51" s="361">
        <f>Selectie_voertuigen!$C$49</f>
        <v>0</v>
      </c>
      <c r="O51" s="361">
        <f>Selectie_voertuigen!$C$49</f>
        <v>0</v>
      </c>
    </row>
    <row r="52" spans="1:15" x14ac:dyDescent="0.3">
      <c r="B52" s="361" t="s">
        <v>1651</v>
      </c>
      <c r="E52" s="645">
        <f>IF(E51=Input_lists!$D$13,8%,0%)</f>
        <v>0</v>
      </c>
      <c r="F52" s="645">
        <f>IF(F51=Input_lists!$D$13,8%,0%)</f>
        <v>0</v>
      </c>
      <c r="G52" s="645"/>
      <c r="H52" s="645">
        <f>IF(H51=Input_lists!$D$13,8%,0%)</f>
        <v>0</v>
      </c>
      <c r="I52" s="645">
        <f>IF(I51=Input_lists!$D$13,8%,0%)</f>
        <v>0</v>
      </c>
      <c r="J52" s="645"/>
      <c r="K52" s="645">
        <f>IF(K51=Input_lists!$D$13,8%,0%)</f>
        <v>0</v>
      </c>
      <c r="L52" s="645">
        <f>IF(L51=Input_lists!$D$13,8%,0%)</f>
        <v>0</v>
      </c>
      <c r="M52" s="645"/>
      <c r="N52" s="645">
        <f>IF(N51=Input_lists!$D$13,8%,0%)</f>
        <v>0</v>
      </c>
      <c r="O52" s="645">
        <f>IF(O51=Input_lists!$D$13,8%,0%)</f>
        <v>0</v>
      </c>
    </row>
    <row r="53" spans="1:15" x14ac:dyDescent="0.3">
      <c r="B53" s="361" t="s">
        <v>1652</v>
      </c>
      <c r="E53" s="645">
        <f>IF(E51=Input_lists!$C$13,8%,0%)</f>
        <v>0</v>
      </c>
      <c r="F53" s="645">
        <f>IF(F51=Input_lists!$C$13,8%,0%)</f>
        <v>0</v>
      </c>
      <c r="G53" s="645"/>
      <c r="H53" s="645">
        <f>IF(H51=Input_lists!$C$13,8%,0%)</f>
        <v>0</v>
      </c>
      <c r="I53" s="645">
        <f>IF(I51=Input_lists!$C$13,8%,0%)</f>
        <v>0</v>
      </c>
      <c r="J53" s="645"/>
      <c r="K53" s="645">
        <f>IF(K51=Input_lists!$C$13,8%,0%)</f>
        <v>0</v>
      </c>
      <c r="L53" s="645">
        <f>IF(L51=Input_lists!$C$13,8%,0%)</f>
        <v>0</v>
      </c>
      <c r="M53" s="645"/>
      <c r="N53" s="645">
        <f>IF(N51=Input_lists!$C$13,8%,0%)</f>
        <v>0</v>
      </c>
      <c r="O53" s="645">
        <f>IF(O51=Input_lists!$C$13,8%,0%)</f>
        <v>0</v>
      </c>
    </row>
    <row r="54" spans="1:15" x14ac:dyDescent="0.3">
      <c r="B54" s="361" t="s">
        <v>1650</v>
      </c>
      <c r="E54" s="276" t="e">
        <f>E53*E11+E52*SUM(E70:E74)</f>
        <v>#REF!</v>
      </c>
      <c r="F54" s="276" t="e">
        <f t="shared" ref="F54:O54" si="26">F53*F11+F52*SUM(F70:F74)</f>
        <v>#REF!</v>
      </c>
      <c r="G54" s="276"/>
      <c r="H54" s="276" t="e">
        <f t="shared" si="26"/>
        <v>#REF!</v>
      </c>
      <c r="I54" s="276" t="e">
        <f t="shared" si="26"/>
        <v>#REF!</v>
      </c>
      <c r="J54" s="276"/>
      <c r="K54" s="276" t="e">
        <f t="shared" si="26"/>
        <v>#REF!</v>
      </c>
      <c r="L54" s="276" t="e">
        <f t="shared" si="26"/>
        <v>#REF!</v>
      </c>
      <c r="M54" s="276"/>
      <c r="N54" s="276" t="e">
        <f t="shared" si="26"/>
        <v>#REF!</v>
      </c>
      <c r="O54" s="276" t="e">
        <f t="shared" si="26"/>
        <v>#REF!</v>
      </c>
    </row>
    <row r="56" spans="1:15" s="275" customFormat="1" x14ac:dyDescent="0.3">
      <c r="A56" s="275" t="s">
        <v>160</v>
      </c>
    </row>
    <row r="57" spans="1:15" s="273" customFormat="1" x14ac:dyDescent="0.3">
      <c r="B57" s="273" t="s">
        <v>1002</v>
      </c>
      <c r="E57" s="310" t="e">
        <f>E100*E11</f>
        <v>#REF!</v>
      </c>
      <c r="F57" s="310" t="e">
        <f>F100*F11</f>
        <v>#REF!</v>
      </c>
      <c r="H57" s="310" t="e">
        <f>H100*H11</f>
        <v>#REF!</v>
      </c>
      <c r="I57" s="310" t="e">
        <f>I100*I11</f>
        <v>#REF!</v>
      </c>
      <c r="K57" s="310" t="e">
        <f>K100*K11</f>
        <v>#REF!</v>
      </c>
      <c r="L57" s="310" t="e">
        <f>L100*L11</f>
        <v>#REF!</v>
      </c>
      <c r="M57" s="310"/>
      <c r="N57" s="310" t="e">
        <f>N100*N11</f>
        <v>#REF!</v>
      </c>
      <c r="O57" s="310" t="e">
        <f>O100*O11</f>
        <v>#REF!</v>
      </c>
    </row>
    <row r="58" spans="1:15" x14ac:dyDescent="0.3">
      <c r="B58" s="272" t="s">
        <v>244</v>
      </c>
      <c r="E58" s="276" t="e">
        <f>E174</f>
        <v>#VALUE!</v>
      </c>
      <c r="F58" s="276" t="e">
        <f t="shared" ref="F58" si="27">F174</f>
        <v>#VALUE!</v>
      </c>
      <c r="H58" s="276" t="e">
        <f>H174</f>
        <v>#VALUE!</v>
      </c>
      <c r="I58" s="276" t="e">
        <f t="shared" ref="I58" si="28">I174</f>
        <v>#VALUE!</v>
      </c>
      <c r="K58" s="276" t="e">
        <f>K174</f>
        <v>#VALUE!</v>
      </c>
      <c r="L58" s="276" t="e">
        <f t="shared" ref="L58" si="29">L174</f>
        <v>#VALUE!</v>
      </c>
      <c r="M58" s="276"/>
      <c r="N58" s="276" t="e">
        <f>N174</f>
        <v>#VALUE!</v>
      </c>
      <c r="O58" s="276" t="e">
        <f t="shared" ref="O58" si="30">O174</f>
        <v>#VALUE!</v>
      </c>
    </row>
    <row r="59" spans="1:15" x14ac:dyDescent="0.3">
      <c r="B59" s="272" t="s">
        <v>1007</v>
      </c>
      <c r="E59" s="276" t="e">
        <f>SUM(E179:E198)</f>
        <v>#N/A</v>
      </c>
      <c r="F59" s="276" t="e">
        <f t="shared" ref="F59" si="31">SUM(F179:F198)</f>
        <v>#N/A</v>
      </c>
      <c r="H59" s="276" t="e">
        <f>SUM(H179:H198)</f>
        <v>#N/A</v>
      </c>
      <c r="I59" s="276" t="e">
        <f t="shared" ref="I59" si="32">SUM(I179:I198)</f>
        <v>#N/A</v>
      </c>
      <c r="K59" s="276" t="e">
        <f>SUM(K179:K198)</f>
        <v>#N/A</v>
      </c>
      <c r="L59" s="276" t="e">
        <f t="shared" ref="L59" si="33">SUM(L179:L198)</f>
        <v>#N/A</v>
      </c>
      <c r="M59" s="276"/>
      <c r="N59" s="276" t="e">
        <f>SUM(N179:N198)</f>
        <v>#N/A</v>
      </c>
      <c r="O59" s="276" t="e">
        <f t="shared" ref="O59" si="34">SUM(O179:O198)</f>
        <v>#N/A</v>
      </c>
    </row>
    <row r="60" spans="1:15" x14ac:dyDescent="0.3">
      <c r="B60" s="272" t="s">
        <v>1004</v>
      </c>
      <c r="E60" s="276">
        <f t="shared" ref="E60:F60" si="35">250*E32</f>
        <v>0</v>
      </c>
      <c r="F60" s="276">
        <f t="shared" si="35"/>
        <v>0</v>
      </c>
      <c r="H60" s="276">
        <f t="shared" ref="H60:I60" si="36">250*H32</f>
        <v>0</v>
      </c>
      <c r="I60" s="276">
        <f t="shared" si="36"/>
        <v>0</v>
      </c>
      <c r="K60" s="276">
        <f t="shared" ref="K60:L60" si="37">250*K32</f>
        <v>0</v>
      </c>
      <c r="L60" s="276">
        <f t="shared" si="37"/>
        <v>0</v>
      </c>
      <c r="M60" s="276"/>
      <c r="N60" s="276">
        <f t="shared" ref="N60:O60" si="38">250*N32</f>
        <v>0</v>
      </c>
      <c r="O60" s="276">
        <f t="shared" si="38"/>
        <v>0</v>
      </c>
    </row>
    <row r="61" spans="1:15" x14ac:dyDescent="0.3">
      <c r="B61" s="272" t="s">
        <v>1135</v>
      </c>
      <c r="E61" s="276" t="e">
        <f>E208</f>
        <v>#N/A</v>
      </c>
      <c r="F61" s="276" t="e">
        <f t="shared" ref="F61" si="39">F208</f>
        <v>#N/A</v>
      </c>
      <c r="H61" s="276" t="e">
        <f t="shared" ref="H61:I61" si="40">H208</f>
        <v>#N/A</v>
      </c>
      <c r="I61" s="276" t="e">
        <f t="shared" si="40"/>
        <v>#N/A</v>
      </c>
      <c r="K61" s="276" t="e">
        <f t="shared" ref="K61:L61" si="41">K208</f>
        <v>#N/A</v>
      </c>
      <c r="L61" s="276" t="e">
        <f t="shared" si="41"/>
        <v>#N/A</v>
      </c>
      <c r="M61" s="276"/>
      <c r="N61" s="276" t="e">
        <f t="shared" ref="N61:O61" si="42">N208</f>
        <v>#N/A</v>
      </c>
      <c r="O61" s="276" t="e">
        <f t="shared" si="42"/>
        <v>#N/A</v>
      </c>
    </row>
    <row r="62" spans="1:15" x14ac:dyDescent="0.3">
      <c r="B62" s="361" t="s">
        <v>1625</v>
      </c>
      <c r="E62" s="276">
        <v>3000</v>
      </c>
      <c r="F62" s="276">
        <v>3000</v>
      </c>
      <c r="H62" s="276">
        <v>3000</v>
      </c>
      <c r="I62" s="276">
        <v>3000</v>
      </c>
      <c r="K62" s="276">
        <v>3000</v>
      </c>
      <c r="L62" s="276">
        <v>3000</v>
      </c>
      <c r="M62" s="276"/>
      <c r="N62" s="276">
        <v>3000</v>
      </c>
      <c r="O62" s="276">
        <v>3000</v>
      </c>
    </row>
    <row r="63" spans="1:15" x14ac:dyDescent="0.3">
      <c r="B63" s="361" t="s">
        <v>1650</v>
      </c>
      <c r="E63" s="276" t="e">
        <f>E54</f>
        <v>#REF!</v>
      </c>
      <c r="F63" s="276" t="e">
        <f t="shared" ref="F63:O63" si="43">F54</f>
        <v>#REF!</v>
      </c>
      <c r="G63" s="276"/>
      <c r="H63" s="276" t="e">
        <f t="shared" si="43"/>
        <v>#REF!</v>
      </c>
      <c r="I63" s="276" t="e">
        <f t="shared" si="43"/>
        <v>#REF!</v>
      </c>
      <c r="J63" s="276"/>
      <c r="K63" s="276" t="e">
        <f t="shared" si="43"/>
        <v>#REF!</v>
      </c>
      <c r="L63" s="276" t="e">
        <f t="shared" si="43"/>
        <v>#REF!</v>
      </c>
      <c r="M63" s="276"/>
      <c r="N63" s="276" t="e">
        <f t="shared" si="43"/>
        <v>#REF!</v>
      </c>
      <c r="O63" s="276" t="e">
        <f t="shared" si="43"/>
        <v>#REF!</v>
      </c>
    </row>
    <row r="64" spans="1:15" s="273" customFormat="1" x14ac:dyDescent="0.3">
      <c r="B64" s="273" t="s">
        <v>1003</v>
      </c>
      <c r="E64" s="310" t="e">
        <f>MIN(E11-E57,E101*E11)</f>
        <v>#REF!</v>
      </c>
      <c r="F64" s="310" t="e">
        <f>MIN(F11-F57,F101*F11)</f>
        <v>#REF!</v>
      </c>
      <c r="H64" s="310" t="e">
        <f>MIN(H11-H57,H101*H11)</f>
        <v>#REF!</v>
      </c>
      <c r="I64" s="310" t="e">
        <f>MIN(I11-I57,I101*I11)</f>
        <v>#REF!</v>
      </c>
      <c r="K64" s="310" t="e">
        <f>MIN(K11-K57,K101*K11)</f>
        <v>#REF!</v>
      </c>
      <c r="L64" s="310" t="e">
        <f>MIN(L11-L57,L101*L11)</f>
        <v>#REF!</v>
      </c>
      <c r="M64" s="310"/>
      <c r="N64" s="310" t="e">
        <f>MIN(N11-N57,N101*N11)</f>
        <v>#REF!</v>
      </c>
      <c r="O64" s="310" t="e">
        <f>MIN(O11-O57,O101*O11)</f>
        <v>#REF!</v>
      </c>
    </row>
    <row r="65" spans="1:16" x14ac:dyDescent="0.3">
      <c r="B65" s="272" t="s">
        <v>39</v>
      </c>
      <c r="E65" s="276" t="e">
        <f t="shared" ref="E65:F65" si="44">SUM(E274:E293)</f>
        <v>#N/A</v>
      </c>
      <c r="F65" s="276" t="e">
        <f t="shared" si="44"/>
        <v>#N/A</v>
      </c>
      <c r="H65" s="276" t="e">
        <f>SUM(H274:H293)</f>
        <v>#N/A</v>
      </c>
      <c r="I65" s="276" t="e">
        <f t="shared" ref="I65" si="45">SUM(I274:I293)</f>
        <v>#N/A</v>
      </c>
      <c r="K65" s="276" t="e">
        <f>SUM(K274:K293)</f>
        <v>#N/A</v>
      </c>
      <c r="L65" s="276" t="e">
        <f t="shared" ref="L65" si="46">SUM(L274:L293)</f>
        <v>#N/A</v>
      </c>
      <c r="M65" s="276"/>
      <c r="N65" s="276" t="e">
        <f t="shared" ref="N65:O65" si="47">SUM(N274:N293)</f>
        <v>#N/A</v>
      </c>
      <c r="O65" s="276" t="e">
        <f t="shared" si="47"/>
        <v>#N/A</v>
      </c>
    </row>
    <row r="66" spans="1:16" x14ac:dyDescent="0.3">
      <c r="B66" s="272" t="s">
        <v>1008</v>
      </c>
      <c r="E66" s="276" t="e">
        <f>E321</f>
        <v>#N/A</v>
      </c>
      <c r="F66" s="276" t="e">
        <f t="shared" ref="F66" si="48">F321</f>
        <v>#N/A</v>
      </c>
      <c r="H66" s="276" t="e">
        <f t="shared" ref="H66:I66" si="49">H321</f>
        <v>#N/A</v>
      </c>
      <c r="I66" s="276" t="e">
        <f t="shared" si="49"/>
        <v>#N/A</v>
      </c>
      <c r="K66" s="276" t="e">
        <f t="shared" ref="K66:L66" si="50">K321</f>
        <v>#N/A</v>
      </c>
      <c r="L66" s="276" t="e">
        <f t="shared" si="50"/>
        <v>#N/A</v>
      </c>
      <c r="M66" s="276"/>
      <c r="N66" s="276" t="e">
        <f t="shared" ref="N66:O66" si="51">N321</f>
        <v>#N/A</v>
      </c>
      <c r="O66" s="276" t="e">
        <f t="shared" si="51"/>
        <v>#N/A</v>
      </c>
    </row>
    <row r="67" spans="1:16" x14ac:dyDescent="0.3">
      <c r="B67" s="272" t="s">
        <v>1009</v>
      </c>
      <c r="E67" s="276" t="e">
        <f t="shared" ref="E67:F67" si="52">E325</f>
        <v>#N/A</v>
      </c>
      <c r="F67" s="276" t="e">
        <f t="shared" si="52"/>
        <v>#N/A</v>
      </c>
      <c r="H67" s="276" t="e">
        <f t="shared" ref="H67:I67" si="53">H325</f>
        <v>#N/A</v>
      </c>
      <c r="I67" s="276" t="e">
        <f t="shared" si="53"/>
        <v>#N/A</v>
      </c>
      <c r="K67" s="276" t="e">
        <f t="shared" ref="K67:L67" si="54">K325</f>
        <v>#N/A</v>
      </c>
      <c r="L67" s="276" t="e">
        <f t="shared" si="54"/>
        <v>#N/A</v>
      </c>
      <c r="M67" s="276"/>
      <c r="N67" s="276" t="e">
        <f t="shared" ref="N67:O67" si="55">N325</f>
        <v>#N/A</v>
      </c>
      <c r="O67" s="276" t="e">
        <f t="shared" si="55"/>
        <v>#N/A</v>
      </c>
    </row>
    <row r="68" spans="1:16" s="273" customFormat="1" x14ac:dyDescent="0.3">
      <c r="B68" s="273" t="s">
        <v>997</v>
      </c>
      <c r="E68" s="310" t="e">
        <f>E41</f>
        <v>#REF!</v>
      </c>
      <c r="F68" s="310" t="e">
        <f t="shared" ref="F68" si="56">F41</f>
        <v>#REF!</v>
      </c>
      <c r="H68" s="310" t="e">
        <f>H41</f>
        <v>#REF!</v>
      </c>
      <c r="I68" s="310" t="e">
        <f t="shared" ref="I68" si="57">I41</f>
        <v>#REF!</v>
      </c>
      <c r="K68" s="310" t="e">
        <f>K41</f>
        <v>#REF!</v>
      </c>
      <c r="L68" s="310" t="e">
        <f t="shared" ref="L68" si="58">L41</f>
        <v>#REF!</v>
      </c>
      <c r="M68" s="310"/>
      <c r="N68" s="310" t="e">
        <f>N41</f>
        <v>#REF!</v>
      </c>
      <c r="O68" s="310" t="e">
        <f t="shared" ref="O68" si="59">O41</f>
        <v>#REF!</v>
      </c>
    </row>
    <row r="70" spans="1:16" x14ac:dyDescent="0.3">
      <c r="B70" s="272" t="s">
        <v>55</v>
      </c>
      <c r="E70" s="276" t="e">
        <f>E57+E64+E68</f>
        <v>#REF!</v>
      </c>
      <c r="F70" s="276" t="e">
        <f t="shared" ref="F70" si="60">F57+F64+F68</f>
        <v>#REF!</v>
      </c>
      <c r="H70" s="276" t="e">
        <f>H57+H64+H68</f>
        <v>#REF!</v>
      </c>
      <c r="I70" s="276" t="e">
        <f t="shared" ref="I70" si="61">I57+I64+I68</f>
        <v>#REF!</v>
      </c>
      <c r="K70" s="276" t="e">
        <f>K57+K64+K68</f>
        <v>#REF!</v>
      </c>
      <c r="L70" s="276" t="e">
        <f t="shared" ref="L70" si="62">L57+L64+L68</f>
        <v>#REF!</v>
      </c>
      <c r="M70" s="276"/>
      <c r="N70" s="276" t="e">
        <f>N57+N64+N68</f>
        <v>#REF!</v>
      </c>
      <c r="O70" s="276" t="e">
        <f t="shared" ref="O70" si="63">O57+O64+O68</f>
        <v>#REF!</v>
      </c>
    </row>
    <row r="71" spans="1:16" x14ac:dyDescent="0.3">
      <c r="B71" s="272" t="s">
        <v>1130</v>
      </c>
      <c r="E71" s="276" t="e">
        <f>E58</f>
        <v>#VALUE!</v>
      </c>
      <c r="F71" s="276" t="e">
        <f>F58</f>
        <v>#VALUE!</v>
      </c>
      <c r="H71" s="276" t="e">
        <f t="shared" ref="H71:I71" si="64">H58</f>
        <v>#VALUE!</v>
      </c>
      <c r="I71" s="276" t="e">
        <f t="shared" si="64"/>
        <v>#VALUE!</v>
      </c>
      <c r="K71" s="276" t="e">
        <f t="shared" ref="K71:L71" si="65">K58</f>
        <v>#VALUE!</v>
      </c>
      <c r="L71" s="276" t="e">
        <f t="shared" si="65"/>
        <v>#VALUE!</v>
      </c>
      <c r="M71" s="276"/>
      <c r="N71" s="276" t="e">
        <f t="shared" ref="N71:O71" si="66">N58</f>
        <v>#VALUE!</v>
      </c>
      <c r="O71" s="276" t="e">
        <f t="shared" si="66"/>
        <v>#VALUE!</v>
      </c>
    </row>
    <row r="72" spans="1:16" x14ac:dyDescent="0.3">
      <c r="B72" s="272" t="s">
        <v>1131</v>
      </c>
      <c r="E72" s="276" t="e">
        <f>E59</f>
        <v>#N/A</v>
      </c>
      <c r="F72" s="276" t="e">
        <f>F59</f>
        <v>#N/A</v>
      </c>
      <c r="H72" s="276" t="e">
        <f t="shared" ref="H72:I72" si="67">H59</f>
        <v>#N/A</v>
      </c>
      <c r="I72" s="276" t="e">
        <f t="shared" si="67"/>
        <v>#N/A</v>
      </c>
      <c r="K72" s="276" t="e">
        <f t="shared" ref="K72:L72" si="68">K59</f>
        <v>#N/A</v>
      </c>
      <c r="L72" s="276" t="e">
        <f t="shared" si="68"/>
        <v>#N/A</v>
      </c>
      <c r="M72" s="276"/>
      <c r="N72" s="276" t="e">
        <f t="shared" ref="N72:O72" si="69">N59</f>
        <v>#N/A</v>
      </c>
      <c r="O72" s="276" t="e">
        <f t="shared" si="69"/>
        <v>#N/A</v>
      </c>
    </row>
    <row r="73" spans="1:16" x14ac:dyDescent="0.3">
      <c r="B73" s="272" t="s">
        <v>1132</v>
      </c>
      <c r="E73" s="276" t="e">
        <f>E66+E67</f>
        <v>#N/A</v>
      </c>
      <c r="F73" s="276" t="e">
        <f t="shared" ref="F73" si="70">F66+F67</f>
        <v>#N/A</v>
      </c>
      <c r="H73" s="276" t="e">
        <f>H66+H67</f>
        <v>#N/A</v>
      </c>
      <c r="I73" s="276" t="e">
        <f t="shared" ref="I73" si="71">I66+I67</f>
        <v>#N/A</v>
      </c>
      <c r="K73" s="276" t="e">
        <f>K66+K67</f>
        <v>#N/A</v>
      </c>
      <c r="L73" s="276" t="e">
        <f t="shared" ref="L73" si="72">L66+L67</f>
        <v>#N/A</v>
      </c>
      <c r="M73" s="276"/>
      <c r="N73" s="276" t="e">
        <f>N66+N67</f>
        <v>#N/A</v>
      </c>
      <c r="O73" s="276" t="e">
        <f t="shared" ref="O73" si="73">O66+O67</f>
        <v>#N/A</v>
      </c>
    </row>
    <row r="74" spans="1:16" x14ac:dyDescent="0.3">
      <c r="B74" s="272" t="s">
        <v>1133</v>
      </c>
      <c r="E74" s="276" t="e">
        <f t="shared" ref="E74:F74" si="74">E65</f>
        <v>#N/A</v>
      </c>
      <c r="F74" s="276" t="e">
        <f t="shared" si="74"/>
        <v>#N/A</v>
      </c>
      <c r="H74" s="276" t="e">
        <f>H65</f>
        <v>#N/A</v>
      </c>
      <c r="I74" s="276" t="e">
        <f t="shared" ref="I74" si="75">I65</f>
        <v>#N/A</v>
      </c>
      <c r="K74" s="276" t="e">
        <f t="shared" ref="K74:L74" si="76">K65</f>
        <v>#N/A</v>
      </c>
      <c r="L74" s="276" t="e">
        <f t="shared" si="76"/>
        <v>#N/A</v>
      </c>
      <c r="M74" s="276"/>
      <c r="N74" s="276" t="e">
        <f t="shared" ref="N74:O74" si="77">N65</f>
        <v>#N/A</v>
      </c>
      <c r="O74" s="276" t="e">
        <f t="shared" si="77"/>
        <v>#N/A</v>
      </c>
    </row>
    <row r="75" spans="1:16" x14ac:dyDescent="0.3">
      <c r="B75" s="272" t="s">
        <v>1134</v>
      </c>
      <c r="E75" s="276" t="e">
        <f>E60+E61+E62+E63</f>
        <v>#N/A</v>
      </c>
      <c r="F75" s="276" t="e">
        <f t="shared" ref="F75:O75" si="78">F60+F61+F62+F63</f>
        <v>#N/A</v>
      </c>
      <c r="G75" s="276"/>
      <c r="H75" s="276" t="e">
        <f t="shared" si="78"/>
        <v>#N/A</v>
      </c>
      <c r="I75" s="276" t="e">
        <f t="shared" si="78"/>
        <v>#N/A</v>
      </c>
      <c r="J75" s="276"/>
      <c r="K75" s="276" t="e">
        <f t="shared" si="78"/>
        <v>#N/A</v>
      </c>
      <c r="L75" s="276" t="e">
        <f t="shared" si="78"/>
        <v>#N/A</v>
      </c>
      <c r="M75" s="276"/>
      <c r="N75" s="276" t="e">
        <f t="shared" si="78"/>
        <v>#N/A</v>
      </c>
      <c r="O75" s="276" t="e">
        <f t="shared" si="78"/>
        <v>#N/A</v>
      </c>
      <c r="P75" s="276"/>
    </row>
    <row r="76" spans="1:16" x14ac:dyDescent="0.3">
      <c r="B76" s="272" t="s">
        <v>38</v>
      </c>
      <c r="E76" s="276" t="e">
        <f t="shared" ref="E76:F76" si="79">SUM(E70:E75)</f>
        <v>#REF!</v>
      </c>
      <c r="F76" s="276" t="e">
        <f t="shared" si="79"/>
        <v>#REF!</v>
      </c>
      <c r="H76" s="276" t="e">
        <f t="shared" ref="H76:I76" si="80">SUM(H70:H75)</f>
        <v>#REF!</v>
      </c>
      <c r="I76" s="276" t="e">
        <f t="shared" si="80"/>
        <v>#REF!</v>
      </c>
      <c r="K76" s="276" t="e">
        <f t="shared" ref="K76:L76" si="81">SUM(K70:K75)</f>
        <v>#REF!</v>
      </c>
      <c r="L76" s="276" t="e">
        <f t="shared" si="81"/>
        <v>#REF!</v>
      </c>
      <c r="M76" s="276"/>
      <c r="N76" s="276" t="e">
        <f t="shared" ref="N76:O76" si="82">SUM(N70:N75)</f>
        <v>#REF!</v>
      </c>
      <c r="O76" s="276" t="e">
        <f t="shared" si="82"/>
        <v>#REF!</v>
      </c>
    </row>
    <row r="77" spans="1:16" x14ac:dyDescent="0.3">
      <c r="E77" s="276"/>
      <c r="F77" s="276"/>
      <c r="H77" s="276"/>
      <c r="I77" s="276"/>
      <c r="K77" s="276"/>
      <c r="L77" s="276"/>
      <c r="M77" s="276"/>
      <c r="N77" s="276"/>
      <c r="O77" s="276"/>
    </row>
    <row r="78" spans="1:16" s="275" customFormat="1" x14ac:dyDescent="0.3">
      <c r="A78" s="275" t="s">
        <v>1136</v>
      </c>
    </row>
    <row r="79" spans="1:16" ht="15" x14ac:dyDescent="0.3">
      <c r="B79" s="272" t="s">
        <v>1035</v>
      </c>
      <c r="E79" s="272">
        <f>MATCH(E11,list_costclasses,1)</f>
        <v>1</v>
      </c>
      <c r="F79" s="272">
        <f>MATCH(F11,list_costclasses,1)</f>
        <v>1</v>
      </c>
      <c r="G79"/>
      <c r="H79" s="272">
        <f>MATCH(H11,list_costclasses,1)</f>
        <v>1</v>
      </c>
      <c r="I79" s="272">
        <f>MATCH(I11,list_costclasses,1)</f>
        <v>1</v>
      </c>
      <c r="K79" s="272">
        <f>MATCH(K11,list_costclasses,1)</f>
        <v>1</v>
      </c>
      <c r="L79" s="272">
        <f>MATCH(L11,list_costclasses,1)</f>
        <v>1</v>
      </c>
      <c r="N79" s="272">
        <f>MATCH(N11,list_costclasses,1)</f>
        <v>1</v>
      </c>
      <c r="O79" s="272">
        <f>MATCH(O11,list_costclasses,1)</f>
        <v>1</v>
      </c>
    </row>
    <row r="80" spans="1:16" ht="15" x14ac:dyDescent="0.3">
      <c r="B80" s="272" t="s">
        <v>1034</v>
      </c>
      <c r="E80" s="272" t="e">
        <f>MATCH(E9,list_brandstoftype,0)</f>
        <v>#N/A</v>
      </c>
      <c r="F80" s="272" t="e">
        <f>MATCH(F9,list_brandstoftype,0)</f>
        <v>#N/A</v>
      </c>
      <c r="G80"/>
      <c r="H80" s="272" t="e">
        <f>MATCH(H9,list_brandstoftype,0)</f>
        <v>#N/A</v>
      </c>
      <c r="I80" s="272" t="e">
        <f>MATCH(I9,list_brandstoftype,0)</f>
        <v>#N/A</v>
      </c>
      <c r="K80" s="272" t="e">
        <f>MATCH(K9,list_brandstoftype,0)</f>
        <v>#N/A</v>
      </c>
      <c r="L80" s="272" t="e">
        <f>MATCH(L9,list_brandstoftype,0)</f>
        <v>#N/A</v>
      </c>
      <c r="N80" s="272" t="e">
        <f>MATCH(N9,list_brandstoftype,0)</f>
        <v>#N/A</v>
      </c>
      <c r="O80" s="272" t="e">
        <f>MATCH(O9,list_brandstoftype,0)</f>
        <v>#N/A</v>
      </c>
    </row>
    <row r="81" spans="1:15" ht="15" x14ac:dyDescent="0.3">
      <c r="B81" s="272" t="s">
        <v>61</v>
      </c>
      <c r="C81" s="272" t="s">
        <v>1143</v>
      </c>
      <c r="D81" s="361" t="s">
        <v>1264</v>
      </c>
      <c r="E81" s="457" t="e">
        <f>E12</f>
        <v>#N/A</v>
      </c>
      <c r="F81" s="457" t="e">
        <f>E81</f>
        <v>#N/A</v>
      </c>
      <c r="G81"/>
      <c r="H81" s="457" t="e">
        <f>H12</f>
        <v>#N/A</v>
      </c>
      <c r="I81" s="457" t="e">
        <f>H81</f>
        <v>#N/A</v>
      </c>
      <c r="J81"/>
      <c r="K81" s="457" t="e">
        <f>K12</f>
        <v>#N/A</v>
      </c>
      <c r="L81" s="457" t="e">
        <f>K81</f>
        <v>#N/A</v>
      </c>
      <c r="M81"/>
      <c r="N81" s="457" t="e">
        <f>N12</f>
        <v>#N/A</v>
      </c>
      <c r="O81" s="457" t="e">
        <f>N81</f>
        <v>#N/A</v>
      </c>
    </row>
    <row r="82" spans="1:15" ht="15" x14ac:dyDescent="0.3">
      <c r="B82" s="361" t="s">
        <v>1345</v>
      </c>
      <c r="C82" s="361" t="s">
        <v>1478</v>
      </c>
      <c r="D82" s="361" t="s">
        <v>1264</v>
      </c>
      <c r="E82" s="457">
        <f>E13</f>
        <v>0</v>
      </c>
      <c r="F82" s="457">
        <f t="shared" ref="F82:F88" si="83">E82</f>
        <v>0</v>
      </c>
      <c r="G82"/>
      <c r="H82" s="457">
        <f>H13</f>
        <v>0</v>
      </c>
      <c r="I82" s="457">
        <f t="shared" ref="I82:I88" si="84">H82</f>
        <v>0</v>
      </c>
      <c r="J82"/>
      <c r="K82" s="457">
        <f>K13</f>
        <v>0</v>
      </c>
      <c r="L82" s="457">
        <f t="shared" ref="L82:L88" si="85">K82</f>
        <v>0</v>
      </c>
      <c r="M82"/>
      <c r="N82" s="457">
        <f>N13</f>
        <v>0</v>
      </c>
      <c r="O82" s="457">
        <f t="shared" ref="O82:O88" si="86">N82</f>
        <v>0</v>
      </c>
    </row>
    <row r="83" spans="1:15" ht="15" x14ac:dyDescent="0.3">
      <c r="B83" s="272" t="s">
        <v>1164</v>
      </c>
      <c r="C83" s="272" t="s">
        <v>1146</v>
      </c>
      <c r="D83" s="272" t="s">
        <v>1012</v>
      </c>
      <c r="E83" s="287" t="e">
        <f>E97</f>
        <v>#N/A</v>
      </c>
      <c r="F83" s="287" t="e">
        <f>F97</f>
        <v>#N/A</v>
      </c>
      <c r="G83"/>
      <c r="H83" s="287" t="e">
        <f>H97</f>
        <v>#N/A</v>
      </c>
      <c r="I83" s="287" t="e">
        <f>I97</f>
        <v>#N/A</v>
      </c>
      <c r="J83"/>
      <c r="K83" s="287" t="e">
        <f>K97</f>
        <v>#N/A</v>
      </c>
      <c r="L83" s="287" t="e">
        <f>L97</f>
        <v>#N/A</v>
      </c>
      <c r="M83"/>
      <c r="N83" s="287" t="e">
        <f>N97</f>
        <v>#N/A</v>
      </c>
      <c r="O83" s="287" t="e">
        <f>O97</f>
        <v>#N/A</v>
      </c>
    </row>
    <row r="84" spans="1:15" ht="15" x14ac:dyDescent="0.3">
      <c r="B84" s="272" t="s">
        <v>543</v>
      </c>
      <c r="C84" s="272" t="s">
        <v>1147</v>
      </c>
      <c r="D84" s="361" t="s">
        <v>1263</v>
      </c>
      <c r="E84" s="457" t="e">
        <f>E15</f>
        <v>#N/A</v>
      </c>
      <c r="F84" s="457" t="e">
        <f t="shared" si="83"/>
        <v>#N/A</v>
      </c>
      <c r="G84"/>
      <c r="H84" s="457" t="e">
        <f>H15</f>
        <v>#N/A</v>
      </c>
      <c r="I84" s="457" t="e">
        <f t="shared" si="84"/>
        <v>#N/A</v>
      </c>
      <c r="J84"/>
      <c r="K84" s="457" t="e">
        <f>K15</f>
        <v>#N/A</v>
      </c>
      <c r="L84" s="457" t="e">
        <f t="shared" si="85"/>
        <v>#N/A</v>
      </c>
      <c r="M84"/>
      <c r="N84" s="457" t="e">
        <f>N15</f>
        <v>#N/A</v>
      </c>
      <c r="O84" s="457" t="e">
        <f t="shared" si="86"/>
        <v>#N/A</v>
      </c>
    </row>
    <row r="85" spans="1:15" ht="15" x14ac:dyDescent="0.3">
      <c r="B85" s="272" t="s">
        <v>1385</v>
      </c>
      <c r="C85" s="272" t="s">
        <v>1137</v>
      </c>
      <c r="D85" s="361" t="s">
        <v>1263</v>
      </c>
      <c r="E85" s="457">
        <f>E16</f>
        <v>0</v>
      </c>
      <c r="F85" s="457">
        <f t="shared" si="83"/>
        <v>0</v>
      </c>
      <c r="G85"/>
      <c r="H85" s="457">
        <f>H16</f>
        <v>0</v>
      </c>
      <c r="I85" s="457">
        <f t="shared" si="84"/>
        <v>0</v>
      </c>
      <c r="J85"/>
      <c r="K85" s="457">
        <f>K16</f>
        <v>0</v>
      </c>
      <c r="L85" s="457">
        <f t="shared" si="85"/>
        <v>0</v>
      </c>
      <c r="M85"/>
      <c r="N85" s="457">
        <f>N16</f>
        <v>0</v>
      </c>
      <c r="O85" s="457">
        <f t="shared" si="86"/>
        <v>0</v>
      </c>
    </row>
    <row r="86" spans="1:15" ht="15" x14ac:dyDescent="0.3">
      <c r="B86" s="272" t="s">
        <v>1159</v>
      </c>
      <c r="C86" s="272" t="s">
        <v>1160</v>
      </c>
      <c r="D86" s="272" t="s">
        <v>1012</v>
      </c>
      <c r="E86" s="317" t="e">
        <f>E319</f>
        <v>#N/A</v>
      </c>
      <c r="F86" s="457" t="e">
        <f t="shared" si="83"/>
        <v>#N/A</v>
      </c>
      <c r="G86"/>
      <c r="H86" s="317" t="e">
        <f>H319</f>
        <v>#N/A</v>
      </c>
      <c r="I86" s="457" t="e">
        <f t="shared" si="84"/>
        <v>#N/A</v>
      </c>
      <c r="J86"/>
      <c r="K86" s="317" t="e">
        <f>K319</f>
        <v>#N/A</v>
      </c>
      <c r="L86" s="457" t="e">
        <f t="shared" si="85"/>
        <v>#N/A</v>
      </c>
      <c r="M86"/>
      <c r="N86" s="317" t="e">
        <f>N319</f>
        <v>#N/A</v>
      </c>
      <c r="O86" s="457" t="e">
        <f t="shared" si="86"/>
        <v>#N/A</v>
      </c>
    </row>
    <row r="87" spans="1:15" ht="15" x14ac:dyDescent="0.3">
      <c r="B87" s="272" t="s">
        <v>1145</v>
      </c>
      <c r="C87" s="272" t="s">
        <v>1160</v>
      </c>
      <c r="D87" s="272" t="s">
        <v>1012</v>
      </c>
      <c r="E87" s="317" t="e">
        <f t="shared" ref="E87:H87" si="87">INDEX(default_banden,E$79,E$80)*100/10000</f>
        <v>#N/A</v>
      </c>
      <c r="F87" s="457" t="e">
        <f t="shared" si="83"/>
        <v>#N/A</v>
      </c>
      <c r="G87"/>
      <c r="H87" s="317" t="e">
        <f t="shared" si="87"/>
        <v>#N/A</v>
      </c>
      <c r="I87" s="457" t="e">
        <f t="shared" si="84"/>
        <v>#N/A</v>
      </c>
      <c r="K87" s="317" t="e">
        <f t="shared" ref="K87" si="88">INDEX(default_banden,K$79,K$80)*100/10000</f>
        <v>#N/A</v>
      </c>
      <c r="L87" s="457" t="e">
        <f t="shared" si="85"/>
        <v>#N/A</v>
      </c>
      <c r="M87"/>
      <c r="N87" s="317" t="e">
        <f t="shared" ref="N87" si="89">INDEX(default_banden,N$79,N$80)*100/10000</f>
        <v>#N/A</v>
      </c>
      <c r="O87" s="457" t="e">
        <f t="shared" si="86"/>
        <v>#N/A</v>
      </c>
    </row>
    <row r="88" spans="1:15" ht="15" x14ac:dyDescent="0.3">
      <c r="B88" s="272" t="s">
        <v>1130</v>
      </c>
      <c r="C88" s="272" t="s">
        <v>1161</v>
      </c>
      <c r="D88" s="272" t="s">
        <v>1012</v>
      </c>
      <c r="E88" s="318" t="e">
        <f>INDEX(default_verzekering,E$79,E$80)</f>
        <v>#N/A</v>
      </c>
      <c r="F88" s="457" t="e">
        <f t="shared" si="83"/>
        <v>#N/A</v>
      </c>
      <c r="G88"/>
      <c r="H88" s="318" t="e">
        <f>INDEX(default_verzekering,H$79,H$80)</f>
        <v>#N/A</v>
      </c>
      <c r="I88" s="457" t="e">
        <f t="shared" si="84"/>
        <v>#N/A</v>
      </c>
      <c r="K88" s="318" t="e">
        <f>INDEX(default_verzekering,K$79,K$80)</f>
        <v>#N/A</v>
      </c>
      <c r="L88" s="457" t="e">
        <f t="shared" si="85"/>
        <v>#N/A</v>
      </c>
      <c r="M88"/>
      <c r="N88" s="318" t="e">
        <f>INDEX(default_verzekering,N$79,N$80)</f>
        <v>#N/A</v>
      </c>
      <c r="O88" s="457" t="e">
        <f t="shared" si="86"/>
        <v>#N/A</v>
      </c>
    </row>
    <row r="89" spans="1:15" s="275" customFormat="1" x14ac:dyDescent="0.3">
      <c r="A89" s="275" t="s">
        <v>154</v>
      </c>
    </row>
    <row r="90" spans="1:15" customFormat="1" ht="15" x14ac:dyDescent="0.3">
      <c r="B90" s="273" t="s">
        <v>1029</v>
      </c>
      <c r="C90" s="272"/>
      <c r="D90" s="272"/>
      <c r="E90" s="277" t="e">
        <f>INDEX(Input_lists!$B$29:$B$32,MATCH(calc_COSTREAM!E$9,Input_lists!$A$29:$A$32,0))</f>
        <v>#N/A</v>
      </c>
      <c r="F90" s="277" t="e">
        <f>INDEX(Input_lists!$B$29:$B$32,MATCH(calc_COSTREAM!F$9,Input_lists!$A$29:$A$32,0))</f>
        <v>#N/A</v>
      </c>
      <c r="G90" s="277"/>
      <c r="H90" s="277" t="e">
        <f>INDEX(Input_lists!$B$29:$B$32,MATCH(calc_COSTREAM!H$9,Input_lists!$A$29:$A$32,0))</f>
        <v>#N/A</v>
      </c>
      <c r="I90" s="277" t="e">
        <f>INDEX(Input_lists!$B$29:$B$32,MATCH(calc_COSTREAM!I$9,Input_lists!$A$29:$A$32,0))</f>
        <v>#N/A</v>
      </c>
      <c r="J90" s="277"/>
      <c r="K90" s="277" t="e">
        <f>INDEX(Input_lists!$B$29:$B$32,MATCH(calc_COSTREAM!K$9,Input_lists!$A$29:$A$32,0))</f>
        <v>#N/A</v>
      </c>
      <c r="L90" s="277" t="e">
        <f>INDEX(Input_lists!$B$29:$B$32,MATCH(calc_COSTREAM!L$9,Input_lists!$A$29:$A$32,0))</f>
        <v>#N/A</v>
      </c>
      <c r="M90" s="277"/>
      <c r="N90" s="277" t="e">
        <f>INDEX(Input_lists!$B$29:$B$32,MATCH(calc_COSTREAM!N$9,Input_lists!$A$29:$A$32,0))</f>
        <v>#N/A</v>
      </c>
      <c r="O90" s="277" t="e">
        <f>INDEX(Input_lists!$B$29:$B$32,MATCH(calc_COSTREAM!O$9,Input_lists!$A$29:$A$32,0))</f>
        <v>#N/A</v>
      </c>
    </row>
    <row r="91" spans="1:15" customFormat="1" ht="15" x14ac:dyDescent="0.3">
      <c r="B91" s="273" t="s">
        <v>1623</v>
      </c>
      <c r="C91" s="272"/>
      <c r="D91" s="272"/>
      <c r="E91" s="505">
        <f>E47</f>
        <v>2025</v>
      </c>
      <c r="F91" s="505">
        <f>F47</f>
        <v>2026</v>
      </c>
      <c r="G91" s="505"/>
      <c r="H91" s="505">
        <f>H47</f>
        <v>2025</v>
      </c>
      <c r="I91" s="505">
        <f>I47</f>
        <v>2026</v>
      </c>
      <c r="J91" s="505"/>
      <c r="K91" s="505">
        <f>K47</f>
        <v>2025</v>
      </c>
      <c r="L91" s="505">
        <f>L47</f>
        <v>2026</v>
      </c>
      <c r="M91" s="505"/>
      <c r="N91" s="505">
        <f>N47</f>
        <v>2025</v>
      </c>
      <c r="O91" s="505">
        <f>O47</f>
        <v>2026</v>
      </c>
    </row>
    <row r="92" spans="1:15" customFormat="1" ht="15" x14ac:dyDescent="0.3">
      <c r="B92" s="273" t="s">
        <v>1624</v>
      </c>
      <c r="C92" s="272"/>
      <c r="D92" s="272"/>
      <c r="E92" s="505">
        <f>E91+E32</f>
        <v>2025</v>
      </c>
      <c r="F92" s="505">
        <f t="shared" ref="F92:O92" si="90">F91+F32</f>
        <v>2026</v>
      </c>
      <c r="G92" s="505"/>
      <c r="H92" s="505">
        <f t="shared" si="90"/>
        <v>2025</v>
      </c>
      <c r="I92" s="505">
        <f t="shared" si="90"/>
        <v>2026</v>
      </c>
      <c r="J92" s="505"/>
      <c r="K92" s="505">
        <f t="shared" si="90"/>
        <v>2025</v>
      </c>
      <c r="L92" s="505">
        <f t="shared" si="90"/>
        <v>2026</v>
      </c>
      <c r="M92" s="505"/>
      <c r="N92" s="505">
        <f t="shared" si="90"/>
        <v>2025</v>
      </c>
      <c r="O92" s="505">
        <f t="shared" si="90"/>
        <v>2026</v>
      </c>
    </row>
    <row r="93" spans="1:15" customFormat="1" ht="15" x14ac:dyDescent="0.3">
      <c r="B93" s="272" t="s">
        <v>1011</v>
      </c>
      <c r="C93" s="272" t="s">
        <v>1012</v>
      </c>
      <c r="D93" s="272" t="s">
        <v>222</v>
      </c>
      <c r="E93" s="277" t="e">
        <f>INDEX(default_afschrijving_a,E$79,E$80)</f>
        <v>#N/A</v>
      </c>
      <c r="F93" s="277" t="e">
        <f>E93</f>
        <v>#N/A</v>
      </c>
      <c r="H93" s="277" t="e">
        <f>INDEX(default_afschrijving_a,H$79,H$80)</f>
        <v>#N/A</v>
      </c>
      <c r="I93" s="277" t="e">
        <f>H93</f>
        <v>#N/A</v>
      </c>
      <c r="K93" s="277" t="e">
        <f>INDEX(default_afschrijving_a,K$79,K$80)</f>
        <v>#N/A</v>
      </c>
      <c r="L93" s="277" t="e">
        <f>K93</f>
        <v>#N/A</v>
      </c>
      <c r="M93" s="277"/>
      <c r="N93" s="277" t="e">
        <f>INDEX(default_afschrijving_a,N$79,N$80)</f>
        <v>#N/A</v>
      </c>
      <c r="O93" s="277" t="e">
        <f>N93</f>
        <v>#N/A</v>
      </c>
    </row>
    <row r="94" spans="1:15" customFormat="1" ht="15" x14ac:dyDescent="0.3">
      <c r="B94" s="272" t="s">
        <v>1167</v>
      </c>
      <c r="C94" s="272" t="s">
        <v>1012</v>
      </c>
      <c r="D94" s="272" t="s">
        <v>223</v>
      </c>
      <c r="E94" s="289" t="e">
        <f>-LN(1-E93)</f>
        <v>#N/A</v>
      </c>
      <c r="F94" s="289" t="e">
        <f t="shared" ref="F94:F96" si="91">E94</f>
        <v>#N/A</v>
      </c>
      <c r="H94" s="289" t="e">
        <f>-LN(1-H93)</f>
        <v>#N/A</v>
      </c>
      <c r="I94" s="289" t="e">
        <f t="shared" ref="I94:I96" si="92">H94</f>
        <v>#N/A</v>
      </c>
      <c r="K94" s="289" t="e">
        <f>-LN(1-K93)</f>
        <v>#N/A</v>
      </c>
      <c r="L94" s="289" t="e">
        <f t="shared" ref="L94:L96" si="93">K94</f>
        <v>#N/A</v>
      </c>
      <c r="M94" s="289"/>
      <c r="N94" s="289" t="e">
        <f>-LN(1-N93)</f>
        <v>#N/A</v>
      </c>
      <c r="O94" s="289" t="e">
        <f t="shared" ref="O94:O96" si="94">N94</f>
        <v>#N/A</v>
      </c>
    </row>
    <row r="95" spans="1:15" customFormat="1" ht="15" x14ac:dyDescent="0.3">
      <c r="B95" s="272" t="str">
        <f>input_data!$G$3</f>
        <v>waardedalingscoefficient</v>
      </c>
      <c r="C95" s="272" t="s">
        <v>1012</v>
      </c>
      <c r="D95" s="272" t="s">
        <v>1023</v>
      </c>
      <c r="E95" s="289" t="e">
        <f>INDEX(default_afschrijving_c,E$79,E$80)</f>
        <v>#N/A</v>
      </c>
      <c r="F95" s="289" t="e">
        <f t="shared" si="91"/>
        <v>#N/A</v>
      </c>
      <c r="H95" s="289" t="e">
        <f>INDEX(default_afschrijving_c,H$79,H$80)</f>
        <v>#N/A</v>
      </c>
      <c r="I95" s="289" t="e">
        <f t="shared" si="92"/>
        <v>#N/A</v>
      </c>
      <c r="K95" s="289" t="e">
        <f>INDEX(default_afschrijving_c,K$79,K$80)</f>
        <v>#N/A</v>
      </c>
      <c r="L95" s="289" t="e">
        <f t="shared" si="93"/>
        <v>#N/A</v>
      </c>
      <c r="M95" s="289"/>
      <c r="N95" s="289" t="e">
        <f>INDEX(default_afschrijving_c,N$79,N$80)</f>
        <v>#N/A</v>
      </c>
      <c r="O95" s="289" t="e">
        <f t="shared" si="94"/>
        <v>#N/A</v>
      </c>
    </row>
    <row r="96" spans="1:15" customFormat="1" ht="15" x14ac:dyDescent="0.3">
      <c r="B96" s="272" t="s">
        <v>1015</v>
      </c>
      <c r="C96" s="272" t="s">
        <v>1012</v>
      </c>
      <c r="D96" s="272"/>
      <c r="E96" s="290" t="e">
        <f t="shared" ref="E96:H96" si="95">INDEX(default_afschrijving_var,E$79,E$80)</f>
        <v>#N/A</v>
      </c>
      <c r="F96" s="290" t="e">
        <f t="shared" si="91"/>
        <v>#N/A</v>
      </c>
      <c r="H96" s="290" t="e">
        <f t="shared" si="95"/>
        <v>#N/A</v>
      </c>
      <c r="I96" s="290" t="e">
        <f t="shared" si="92"/>
        <v>#N/A</v>
      </c>
      <c r="K96" s="290" t="e">
        <f t="shared" ref="K96" si="96">INDEX(default_afschrijving_var,K$79,K$80)</f>
        <v>#N/A</v>
      </c>
      <c r="L96" s="290" t="e">
        <f t="shared" si="93"/>
        <v>#N/A</v>
      </c>
      <c r="M96" s="290"/>
      <c r="N96" s="290" t="e">
        <f t="shared" ref="N96" si="97">INDEX(default_afschrijving_var,N$79,N$80)</f>
        <v>#N/A</v>
      </c>
      <c r="O96" s="290" t="e">
        <f t="shared" si="94"/>
        <v>#N/A</v>
      </c>
    </row>
    <row r="97" spans="1:15" customFormat="1" ht="15" x14ac:dyDescent="0.3">
      <c r="A97" s="312"/>
      <c r="B97" s="296" t="s">
        <v>1163</v>
      </c>
      <c r="C97" s="296" t="s">
        <v>1012</v>
      </c>
      <c r="D97" s="296"/>
      <c r="E97" s="320" t="e">
        <f>MIN(1,1-EXP(-E$94*6^E$95)+MIN(1,6*E$33*E$96/10000))</f>
        <v>#N/A</v>
      </c>
      <c r="F97" s="320" t="e">
        <f t="shared" ref="F97" si="98">MIN(1,1-EXP(-F$94*6^F$95)+MIN(1,6*F$33*F$96/10000))</f>
        <v>#N/A</v>
      </c>
      <c r="H97" s="320" t="e">
        <f>MIN(1,1-EXP(-H$94*6^H$95)+MIN(1,6*H$33*H$96/10000))</f>
        <v>#N/A</v>
      </c>
      <c r="I97" s="320" t="e">
        <f t="shared" ref="I97" si="99">MIN(1,1-EXP(-I$94*6^I$95)+MIN(1,6*I$33*I$96/10000))</f>
        <v>#N/A</v>
      </c>
      <c r="K97" s="320" t="e">
        <f>MIN(1,1-EXP(-K$94*6^K$95)+MIN(1,6*K$33*K$96/10000))</f>
        <v>#N/A</v>
      </c>
      <c r="L97" s="320" t="e">
        <f t="shared" ref="L97" si="100">MIN(1,1-EXP(-L$94*6^L$95)+MIN(1,6*L$33*L$96/10000))</f>
        <v>#N/A</v>
      </c>
      <c r="M97" s="320"/>
      <c r="N97" s="320" t="e">
        <f>MIN(1,1-EXP(-N$94*6^N$95)+MIN(1,6*N$33*N$96/10000))</f>
        <v>#N/A</v>
      </c>
      <c r="O97" s="320" t="e">
        <f t="shared" ref="O97" si="101">MIN(1,1-EXP(-O$94*6^O$95)+MIN(1,6*O$33*O$96/10000))</f>
        <v>#N/A</v>
      </c>
    </row>
    <row r="98" spans="1:15" customFormat="1" ht="15" x14ac:dyDescent="0.3">
      <c r="B98" s="272" t="s">
        <v>1163</v>
      </c>
      <c r="C98" s="272" t="s">
        <v>25</v>
      </c>
      <c r="D98" s="272"/>
      <c r="E98" s="277" t="e">
        <f>E25</f>
        <v>#N/A</v>
      </c>
      <c r="F98" s="277" t="e">
        <f t="shared" ref="F98" si="102">F25</f>
        <v>#N/A</v>
      </c>
      <c r="H98" s="277" t="e">
        <f>H25</f>
        <v>#N/A</v>
      </c>
      <c r="I98" s="277" t="e">
        <f t="shared" ref="I98" si="103">I25</f>
        <v>#N/A</v>
      </c>
      <c r="K98" s="277" t="e">
        <f>K25</f>
        <v>#N/A</v>
      </c>
      <c r="L98" s="277" t="e">
        <f t="shared" ref="L98" si="104">L25</f>
        <v>#N/A</v>
      </c>
      <c r="M98" s="277"/>
      <c r="N98" s="277" t="e">
        <f>N25</f>
        <v>#N/A</v>
      </c>
      <c r="O98" s="277" t="e">
        <f t="shared" ref="O98" si="105">O25</f>
        <v>#N/A</v>
      </c>
    </row>
    <row r="99" spans="1:15" ht="15" x14ac:dyDescent="0.3">
      <c r="A99" s="274"/>
      <c r="B99" s="274" t="s">
        <v>1163</v>
      </c>
      <c r="C99" s="274" t="s">
        <v>1014</v>
      </c>
      <c r="D99" s="274"/>
      <c r="E99" s="321" t="e">
        <f>+E98-E97</f>
        <v>#N/A</v>
      </c>
      <c r="F99" s="321" t="e">
        <f t="shared" ref="F99" si="106">+F98-F97</f>
        <v>#N/A</v>
      </c>
      <c r="G99"/>
      <c r="H99" s="321" t="e">
        <f>+H98-H97</f>
        <v>#N/A</v>
      </c>
      <c r="I99" s="321" t="e">
        <f t="shared" ref="I99" si="107">+I98-I97</f>
        <v>#N/A</v>
      </c>
      <c r="J99"/>
      <c r="K99" s="321" t="e">
        <f>+K98-K97</f>
        <v>#N/A</v>
      </c>
      <c r="L99" s="321" t="e">
        <f t="shared" ref="L99" si="108">+L98-L97</f>
        <v>#N/A</v>
      </c>
      <c r="M99"/>
      <c r="N99" s="321" t="e">
        <f>+N98-N97</f>
        <v>#N/A</v>
      </c>
      <c r="O99" s="321" t="e">
        <f t="shared" ref="O99" si="109">+O98-O97</f>
        <v>#N/A</v>
      </c>
    </row>
    <row r="100" spans="1:15" ht="15" x14ac:dyDescent="0.3">
      <c r="A100" s="296"/>
      <c r="B100" s="296" t="s">
        <v>1016</v>
      </c>
      <c r="C100" s="296" t="s">
        <v>1162</v>
      </c>
      <c r="D100" s="296"/>
      <c r="E100" s="320" t="e" cm="1">
        <f t="array" ref="E100">INDEX(E124:E144,E92+1)-INDEX(E124:E144,E91+1)</f>
        <v>#REF!</v>
      </c>
      <c r="F100" s="320" t="e" cm="1">
        <f t="array" ref="F100">INDEX(F124:F144,F92+1)-INDEX(F124:F144,F91+1)</f>
        <v>#REF!</v>
      </c>
      <c r="G100"/>
      <c r="H100" s="320" t="e" cm="1">
        <f t="array" ref="H100">INDEX(H124:H144,H92+1)-INDEX(H124:H144,H91+1)</f>
        <v>#REF!</v>
      </c>
      <c r="I100" s="320" t="e" cm="1">
        <f t="array" ref="I100">INDEX(I124:I144,I92+1)-INDEX(I124:I144,I91+1)</f>
        <v>#REF!</v>
      </c>
      <c r="J100"/>
      <c r="K100" s="320" t="e" cm="1">
        <f t="array" ref="K100">INDEX(K124:K144,K92+1)-INDEX(K124:K144,K91+1)</f>
        <v>#REF!</v>
      </c>
      <c r="L100" s="320" t="e" cm="1">
        <f t="array" ref="L100">INDEX(L124:L144,L92+1)-INDEX(L124:L144,L91+1)</f>
        <v>#REF!</v>
      </c>
      <c r="M100"/>
      <c r="N100" s="320" t="e" cm="1">
        <f t="array" ref="N100">INDEX(N124:N144,N92+1)-INDEX(N124:N144,N91+1)</f>
        <v>#REF!</v>
      </c>
      <c r="O100" s="320" t="e" cm="1">
        <f t="array" ref="O100">INDEX(O124:O144,O92+1)-INDEX(O124:O144,O91+1)</f>
        <v>#REF!</v>
      </c>
    </row>
    <row r="101" spans="1:15" ht="15" x14ac:dyDescent="0.3">
      <c r="B101" s="272" t="s">
        <v>1017</v>
      </c>
      <c r="C101" s="272" t="s">
        <v>1162</v>
      </c>
      <c r="E101" s="277" t="e" cm="1">
        <f t="array" ref="E101">INDEX(E145:E165,E92+1)-INDEX(E145:E165,E91+1)</f>
        <v>#REF!</v>
      </c>
      <c r="F101" s="277" t="e" cm="1">
        <f t="array" ref="F101">INDEX(F145:F165,F92+1)-INDEX(F145:F165,F91+1)</f>
        <v>#REF!</v>
      </c>
      <c r="G101"/>
      <c r="H101" s="277" t="e" cm="1">
        <f t="array" ref="H101">INDEX(H145:H165,H92+1)-INDEX(H145:H165,H91+1)</f>
        <v>#REF!</v>
      </c>
      <c r="I101" s="277" t="e" cm="1">
        <f t="array" ref="I101">INDEX(I145:I165,I92+1)-INDEX(I145:I165,I91+1)</f>
        <v>#REF!</v>
      </c>
      <c r="J101"/>
      <c r="K101" s="277" t="e" cm="1">
        <f t="array" ref="K101">INDEX(K145:K165,K92+1)-INDEX(K145:K165,K91+1)</f>
        <v>#REF!</v>
      </c>
      <c r="L101" s="277" t="e" cm="1">
        <f t="array" ref="L101">INDEX(L145:L165,L92+1)-INDEX(L145:L165,L91+1)</f>
        <v>#REF!</v>
      </c>
      <c r="M101"/>
      <c r="N101" s="277" t="e" cm="1">
        <f t="array" ref="N101">INDEX(N145:N165,N92+1)-INDEX(N145:N165,N91+1)</f>
        <v>#REF!</v>
      </c>
      <c r="O101" s="277" t="e" cm="1">
        <f t="array" ref="O101">INDEX(O145:O165,O92+1)-INDEX(O145:O165,O91+1)</f>
        <v>#REF!</v>
      </c>
    </row>
    <row r="102" spans="1:15" ht="15" x14ac:dyDescent="0.3">
      <c r="A102" s="274"/>
      <c r="B102" s="274" t="s">
        <v>1018</v>
      </c>
      <c r="C102" s="274" t="s">
        <v>1162</v>
      </c>
      <c r="D102" s="274"/>
      <c r="E102" s="321" t="e" cm="1">
        <f t="array" ref="E102">INDEX(E103:E123,E92+1)-INDEX(E103:E123,E91+1)</f>
        <v>#REF!</v>
      </c>
      <c r="F102" s="321" t="e" cm="1">
        <f t="array" ref="F102">INDEX(F103:F123,F92+1)-INDEX(F103:F123,F91+1)</f>
        <v>#REF!</v>
      </c>
      <c r="G102"/>
      <c r="H102" s="321" t="e" cm="1">
        <f t="array" ref="H102">INDEX(H103:H123,H92+1)-INDEX(H103:H123,H91+1)</f>
        <v>#REF!</v>
      </c>
      <c r="I102" s="321" t="e" cm="1">
        <f t="array" ref="I102">INDEX(I103:I123,I92+1)-INDEX(I103:I123,I91+1)</f>
        <v>#REF!</v>
      </c>
      <c r="J102"/>
      <c r="K102" s="321" t="e" cm="1">
        <f t="array" ref="K102">INDEX(K103:K123,K92+1)-INDEX(K103:K123,K91+1)</f>
        <v>#REF!</v>
      </c>
      <c r="L102" s="321" t="e" cm="1">
        <f t="array" ref="L102">INDEX(L103:L123,L92+1)-INDEX(L103:L123,L91+1)</f>
        <v>#REF!</v>
      </c>
      <c r="M102"/>
      <c r="N102" s="321" t="e" cm="1">
        <f t="array" ref="N102">INDEX(N103:N123,N92+1)-INDEX(N103:N123,N91+1)</f>
        <v>#REF!</v>
      </c>
      <c r="O102" s="321" t="e" cm="1">
        <f t="array" ref="O102">INDEX(O103:O123,O92+1)-INDEX(O103:O123,O91+1)</f>
        <v>#REF!</v>
      </c>
    </row>
    <row r="103" spans="1:15" ht="15" x14ac:dyDescent="0.3">
      <c r="B103" s="361" t="s">
        <v>1018</v>
      </c>
      <c r="C103" s="272" t="s">
        <v>1010</v>
      </c>
      <c r="D103" s="272">
        <v>0</v>
      </c>
      <c r="E103" s="277" t="e">
        <f t="shared" ref="E103:F123" si="110">MIN(1-E$90,E124+E145)</f>
        <v>#N/A</v>
      </c>
      <c r="F103" s="277" t="e">
        <f t="shared" si="110"/>
        <v>#N/A</v>
      </c>
      <c r="G103"/>
      <c r="H103" s="277" t="e">
        <f t="shared" ref="H103:I123" si="111">MIN(1-H$90,H124+H145)</f>
        <v>#N/A</v>
      </c>
      <c r="I103" s="277" t="e">
        <f t="shared" si="111"/>
        <v>#N/A</v>
      </c>
      <c r="J103" s="277"/>
      <c r="K103" s="277" t="e">
        <f t="shared" ref="K103:L123" si="112">MIN(1-K$90,K124+K145)</f>
        <v>#N/A</v>
      </c>
      <c r="L103" s="277" t="e">
        <f t="shared" si="112"/>
        <v>#N/A</v>
      </c>
      <c r="M103" s="277"/>
      <c r="N103" s="277" t="e">
        <f t="shared" ref="N103:O123" si="113">MIN(1-N$90,N124+N145)</f>
        <v>#N/A</v>
      </c>
      <c r="O103" s="277" t="e">
        <f t="shared" si="113"/>
        <v>#N/A</v>
      </c>
    </row>
    <row r="104" spans="1:15" x14ac:dyDescent="0.3">
      <c r="B104" s="361" t="s">
        <v>1018</v>
      </c>
      <c r="C104" s="272" t="s">
        <v>1010</v>
      </c>
      <c r="D104" s="272">
        <v>1</v>
      </c>
      <c r="E104" s="277" t="e">
        <f t="shared" si="110"/>
        <v>#N/A</v>
      </c>
      <c r="F104" s="277" t="e">
        <f t="shared" si="110"/>
        <v>#N/A</v>
      </c>
      <c r="G104" s="277"/>
      <c r="H104" s="277" t="e">
        <f t="shared" si="111"/>
        <v>#N/A</v>
      </c>
      <c r="I104" s="277" t="e">
        <f t="shared" si="111"/>
        <v>#N/A</v>
      </c>
      <c r="J104" s="277"/>
      <c r="K104" s="277" t="e">
        <f t="shared" si="112"/>
        <v>#N/A</v>
      </c>
      <c r="L104" s="277" t="e">
        <f t="shared" si="112"/>
        <v>#N/A</v>
      </c>
      <c r="M104" s="277"/>
      <c r="N104" s="277" t="e">
        <f t="shared" si="113"/>
        <v>#N/A</v>
      </c>
      <c r="O104" s="277" t="e">
        <f t="shared" si="113"/>
        <v>#N/A</v>
      </c>
    </row>
    <row r="105" spans="1:15" x14ac:dyDescent="0.3">
      <c r="B105" s="361" t="s">
        <v>1018</v>
      </c>
      <c r="C105" s="272" t="s">
        <v>1010</v>
      </c>
      <c r="D105" s="272">
        <v>2</v>
      </c>
      <c r="E105" s="277" t="e">
        <f t="shared" si="110"/>
        <v>#N/A</v>
      </c>
      <c r="F105" s="277" t="e">
        <f t="shared" si="110"/>
        <v>#N/A</v>
      </c>
      <c r="G105" s="277"/>
      <c r="H105" s="277" t="e">
        <f t="shared" si="111"/>
        <v>#N/A</v>
      </c>
      <c r="I105" s="277" t="e">
        <f t="shared" si="111"/>
        <v>#N/A</v>
      </c>
      <c r="J105" s="277"/>
      <c r="K105" s="277" t="e">
        <f t="shared" si="112"/>
        <v>#N/A</v>
      </c>
      <c r="L105" s="277" t="e">
        <f t="shared" si="112"/>
        <v>#N/A</v>
      </c>
      <c r="M105" s="277"/>
      <c r="N105" s="277" t="e">
        <f t="shared" si="113"/>
        <v>#N/A</v>
      </c>
      <c r="O105" s="277" t="e">
        <f t="shared" si="113"/>
        <v>#N/A</v>
      </c>
    </row>
    <row r="106" spans="1:15" x14ac:dyDescent="0.3">
      <c r="B106" s="361" t="s">
        <v>1018</v>
      </c>
      <c r="C106" s="272" t="s">
        <v>1010</v>
      </c>
      <c r="D106" s="272">
        <v>3</v>
      </c>
      <c r="E106" s="277" t="e">
        <f t="shared" si="110"/>
        <v>#N/A</v>
      </c>
      <c r="F106" s="277" t="e">
        <f t="shared" si="110"/>
        <v>#N/A</v>
      </c>
      <c r="G106" s="277"/>
      <c r="H106" s="277" t="e">
        <f t="shared" si="111"/>
        <v>#N/A</v>
      </c>
      <c r="I106" s="277" t="e">
        <f t="shared" si="111"/>
        <v>#N/A</v>
      </c>
      <c r="J106" s="277"/>
      <c r="K106" s="277" t="e">
        <f t="shared" si="112"/>
        <v>#N/A</v>
      </c>
      <c r="L106" s="277" t="e">
        <f t="shared" si="112"/>
        <v>#N/A</v>
      </c>
      <c r="M106" s="277"/>
      <c r="N106" s="277" t="e">
        <f t="shared" si="113"/>
        <v>#N/A</v>
      </c>
      <c r="O106" s="277" t="e">
        <f t="shared" si="113"/>
        <v>#N/A</v>
      </c>
    </row>
    <row r="107" spans="1:15" x14ac:dyDescent="0.3">
      <c r="B107" s="361" t="s">
        <v>1018</v>
      </c>
      <c r="C107" s="272" t="s">
        <v>1010</v>
      </c>
      <c r="D107" s="272">
        <v>4</v>
      </c>
      <c r="E107" s="277" t="e">
        <f t="shared" si="110"/>
        <v>#N/A</v>
      </c>
      <c r="F107" s="277" t="e">
        <f t="shared" si="110"/>
        <v>#N/A</v>
      </c>
      <c r="G107" s="277"/>
      <c r="H107" s="277" t="e">
        <f t="shared" si="111"/>
        <v>#N/A</v>
      </c>
      <c r="I107" s="277" t="e">
        <f t="shared" si="111"/>
        <v>#N/A</v>
      </c>
      <c r="J107" s="277"/>
      <c r="K107" s="277" t="e">
        <f t="shared" si="112"/>
        <v>#N/A</v>
      </c>
      <c r="L107" s="277" t="e">
        <f t="shared" si="112"/>
        <v>#N/A</v>
      </c>
      <c r="M107" s="277"/>
      <c r="N107" s="277" t="e">
        <f t="shared" si="113"/>
        <v>#N/A</v>
      </c>
      <c r="O107" s="277" t="e">
        <f t="shared" si="113"/>
        <v>#N/A</v>
      </c>
    </row>
    <row r="108" spans="1:15" x14ac:dyDescent="0.3">
      <c r="B108" s="361" t="s">
        <v>1018</v>
      </c>
      <c r="C108" s="272" t="s">
        <v>1010</v>
      </c>
      <c r="D108" s="272">
        <v>5</v>
      </c>
      <c r="E108" s="277" t="e">
        <f t="shared" si="110"/>
        <v>#N/A</v>
      </c>
      <c r="F108" s="277" t="e">
        <f t="shared" si="110"/>
        <v>#N/A</v>
      </c>
      <c r="G108" s="277"/>
      <c r="H108" s="277" t="e">
        <f t="shared" si="111"/>
        <v>#N/A</v>
      </c>
      <c r="I108" s="277" t="e">
        <f t="shared" si="111"/>
        <v>#N/A</v>
      </c>
      <c r="J108" s="277"/>
      <c r="K108" s="277" t="e">
        <f t="shared" si="112"/>
        <v>#N/A</v>
      </c>
      <c r="L108" s="277" t="e">
        <f t="shared" si="112"/>
        <v>#N/A</v>
      </c>
      <c r="M108" s="277"/>
      <c r="N108" s="277" t="e">
        <f t="shared" si="113"/>
        <v>#N/A</v>
      </c>
      <c r="O108" s="277" t="e">
        <f t="shared" si="113"/>
        <v>#N/A</v>
      </c>
    </row>
    <row r="109" spans="1:15" x14ac:dyDescent="0.3">
      <c r="B109" s="361" t="s">
        <v>1018</v>
      </c>
      <c r="C109" s="272" t="s">
        <v>1010</v>
      </c>
      <c r="D109" s="272">
        <v>6</v>
      </c>
      <c r="E109" s="277" t="e">
        <f t="shared" si="110"/>
        <v>#N/A</v>
      </c>
      <c r="F109" s="277" t="e">
        <f t="shared" si="110"/>
        <v>#N/A</v>
      </c>
      <c r="G109" s="277"/>
      <c r="H109" s="277" t="e">
        <f t="shared" si="111"/>
        <v>#N/A</v>
      </c>
      <c r="I109" s="277" t="e">
        <f t="shared" si="111"/>
        <v>#N/A</v>
      </c>
      <c r="J109" s="277"/>
      <c r="K109" s="277" t="e">
        <f t="shared" si="112"/>
        <v>#N/A</v>
      </c>
      <c r="L109" s="277" t="e">
        <f t="shared" si="112"/>
        <v>#N/A</v>
      </c>
      <c r="M109" s="277"/>
      <c r="N109" s="277" t="e">
        <f t="shared" si="113"/>
        <v>#N/A</v>
      </c>
      <c r="O109" s="277" t="e">
        <f t="shared" si="113"/>
        <v>#N/A</v>
      </c>
    </row>
    <row r="110" spans="1:15" x14ac:dyDescent="0.3">
      <c r="B110" s="361" t="s">
        <v>1018</v>
      </c>
      <c r="C110" s="272" t="s">
        <v>1010</v>
      </c>
      <c r="D110" s="272">
        <v>7</v>
      </c>
      <c r="E110" s="277" t="e">
        <f t="shared" si="110"/>
        <v>#N/A</v>
      </c>
      <c r="F110" s="277" t="e">
        <f t="shared" si="110"/>
        <v>#N/A</v>
      </c>
      <c r="G110" s="277"/>
      <c r="H110" s="277" t="e">
        <f t="shared" si="111"/>
        <v>#N/A</v>
      </c>
      <c r="I110" s="277" t="e">
        <f t="shared" si="111"/>
        <v>#N/A</v>
      </c>
      <c r="J110" s="277"/>
      <c r="K110" s="277" t="e">
        <f t="shared" si="112"/>
        <v>#N/A</v>
      </c>
      <c r="L110" s="277" t="e">
        <f t="shared" si="112"/>
        <v>#N/A</v>
      </c>
      <c r="M110" s="277"/>
      <c r="N110" s="277" t="e">
        <f t="shared" si="113"/>
        <v>#N/A</v>
      </c>
      <c r="O110" s="277" t="e">
        <f t="shared" si="113"/>
        <v>#N/A</v>
      </c>
    </row>
    <row r="111" spans="1:15" x14ac:dyDescent="0.3">
      <c r="B111" s="361" t="s">
        <v>1018</v>
      </c>
      <c r="C111" s="272" t="s">
        <v>1010</v>
      </c>
      <c r="D111" s="272">
        <v>8</v>
      </c>
      <c r="E111" s="277" t="e">
        <f t="shared" si="110"/>
        <v>#N/A</v>
      </c>
      <c r="F111" s="277" t="e">
        <f t="shared" si="110"/>
        <v>#N/A</v>
      </c>
      <c r="G111" s="277"/>
      <c r="H111" s="277" t="e">
        <f t="shared" si="111"/>
        <v>#N/A</v>
      </c>
      <c r="I111" s="277" t="e">
        <f t="shared" si="111"/>
        <v>#N/A</v>
      </c>
      <c r="J111" s="277"/>
      <c r="K111" s="277" t="e">
        <f t="shared" si="112"/>
        <v>#N/A</v>
      </c>
      <c r="L111" s="277" t="e">
        <f t="shared" si="112"/>
        <v>#N/A</v>
      </c>
      <c r="M111" s="277"/>
      <c r="N111" s="277" t="e">
        <f t="shared" si="113"/>
        <v>#N/A</v>
      </c>
      <c r="O111" s="277" t="e">
        <f t="shared" si="113"/>
        <v>#N/A</v>
      </c>
    </row>
    <row r="112" spans="1:15" x14ac:dyDescent="0.3">
      <c r="B112" s="361" t="s">
        <v>1018</v>
      </c>
      <c r="C112" s="272" t="s">
        <v>1010</v>
      </c>
      <c r="D112" s="272">
        <v>9</v>
      </c>
      <c r="E112" s="277" t="e">
        <f t="shared" si="110"/>
        <v>#N/A</v>
      </c>
      <c r="F112" s="277" t="e">
        <f t="shared" si="110"/>
        <v>#N/A</v>
      </c>
      <c r="G112" s="277"/>
      <c r="H112" s="277" t="e">
        <f t="shared" si="111"/>
        <v>#N/A</v>
      </c>
      <c r="I112" s="277" t="e">
        <f t="shared" si="111"/>
        <v>#N/A</v>
      </c>
      <c r="J112" s="277"/>
      <c r="K112" s="277" t="e">
        <f t="shared" si="112"/>
        <v>#N/A</v>
      </c>
      <c r="L112" s="277" t="e">
        <f t="shared" si="112"/>
        <v>#N/A</v>
      </c>
      <c r="M112" s="277"/>
      <c r="N112" s="277" t="e">
        <f t="shared" si="113"/>
        <v>#N/A</v>
      </c>
      <c r="O112" s="277" t="e">
        <f t="shared" si="113"/>
        <v>#N/A</v>
      </c>
    </row>
    <row r="113" spans="2:15" x14ac:dyDescent="0.3">
      <c r="B113" s="361" t="s">
        <v>1018</v>
      </c>
      <c r="C113" s="272" t="s">
        <v>1010</v>
      </c>
      <c r="D113" s="272">
        <v>10</v>
      </c>
      <c r="E113" s="277" t="e">
        <f t="shared" si="110"/>
        <v>#N/A</v>
      </c>
      <c r="F113" s="277" t="e">
        <f t="shared" si="110"/>
        <v>#N/A</v>
      </c>
      <c r="G113" s="277"/>
      <c r="H113" s="277" t="e">
        <f t="shared" si="111"/>
        <v>#N/A</v>
      </c>
      <c r="I113" s="277" t="e">
        <f t="shared" si="111"/>
        <v>#N/A</v>
      </c>
      <c r="J113" s="277"/>
      <c r="K113" s="277" t="e">
        <f t="shared" si="112"/>
        <v>#N/A</v>
      </c>
      <c r="L113" s="277" t="e">
        <f t="shared" si="112"/>
        <v>#N/A</v>
      </c>
      <c r="M113" s="277"/>
      <c r="N113" s="277" t="e">
        <f t="shared" si="113"/>
        <v>#N/A</v>
      </c>
      <c r="O113" s="277" t="e">
        <f t="shared" si="113"/>
        <v>#N/A</v>
      </c>
    </row>
    <row r="114" spans="2:15" x14ac:dyDescent="0.3">
      <c r="B114" s="361" t="s">
        <v>1018</v>
      </c>
      <c r="C114" s="272" t="s">
        <v>1010</v>
      </c>
      <c r="D114" s="272">
        <v>11</v>
      </c>
      <c r="E114" s="277" t="e">
        <f t="shared" si="110"/>
        <v>#N/A</v>
      </c>
      <c r="F114" s="277" t="e">
        <f t="shared" si="110"/>
        <v>#N/A</v>
      </c>
      <c r="G114" s="277"/>
      <c r="H114" s="277" t="e">
        <f t="shared" si="111"/>
        <v>#N/A</v>
      </c>
      <c r="I114" s="277" t="e">
        <f t="shared" si="111"/>
        <v>#N/A</v>
      </c>
      <c r="J114" s="277"/>
      <c r="K114" s="277" t="e">
        <f t="shared" si="112"/>
        <v>#N/A</v>
      </c>
      <c r="L114" s="277" t="e">
        <f t="shared" si="112"/>
        <v>#N/A</v>
      </c>
      <c r="M114" s="277"/>
      <c r="N114" s="277" t="e">
        <f t="shared" si="113"/>
        <v>#N/A</v>
      </c>
      <c r="O114" s="277" t="e">
        <f t="shared" si="113"/>
        <v>#N/A</v>
      </c>
    </row>
    <row r="115" spans="2:15" x14ac:dyDescent="0.3">
      <c r="B115" s="361" t="s">
        <v>1018</v>
      </c>
      <c r="C115" s="272" t="s">
        <v>1010</v>
      </c>
      <c r="D115" s="272">
        <v>12</v>
      </c>
      <c r="E115" s="277" t="e">
        <f t="shared" si="110"/>
        <v>#N/A</v>
      </c>
      <c r="F115" s="277" t="e">
        <f t="shared" si="110"/>
        <v>#N/A</v>
      </c>
      <c r="G115" s="277"/>
      <c r="H115" s="277" t="e">
        <f t="shared" si="111"/>
        <v>#N/A</v>
      </c>
      <c r="I115" s="277" t="e">
        <f t="shared" si="111"/>
        <v>#N/A</v>
      </c>
      <c r="J115" s="277"/>
      <c r="K115" s="277" t="e">
        <f t="shared" si="112"/>
        <v>#N/A</v>
      </c>
      <c r="L115" s="277" t="e">
        <f t="shared" si="112"/>
        <v>#N/A</v>
      </c>
      <c r="M115" s="277"/>
      <c r="N115" s="277" t="e">
        <f t="shared" si="113"/>
        <v>#N/A</v>
      </c>
      <c r="O115" s="277" t="e">
        <f t="shared" si="113"/>
        <v>#N/A</v>
      </c>
    </row>
    <row r="116" spans="2:15" x14ac:dyDescent="0.3">
      <c r="B116" s="361" t="s">
        <v>1018</v>
      </c>
      <c r="C116" s="272" t="s">
        <v>1010</v>
      </c>
      <c r="D116" s="272">
        <v>13</v>
      </c>
      <c r="E116" s="277" t="e">
        <f t="shared" si="110"/>
        <v>#N/A</v>
      </c>
      <c r="F116" s="277" t="e">
        <f t="shared" si="110"/>
        <v>#N/A</v>
      </c>
      <c r="G116" s="277"/>
      <c r="H116" s="277" t="e">
        <f t="shared" si="111"/>
        <v>#N/A</v>
      </c>
      <c r="I116" s="277" t="e">
        <f t="shared" si="111"/>
        <v>#N/A</v>
      </c>
      <c r="J116" s="277"/>
      <c r="K116" s="277" t="e">
        <f t="shared" si="112"/>
        <v>#N/A</v>
      </c>
      <c r="L116" s="277" t="e">
        <f t="shared" si="112"/>
        <v>#N/A</v>
      </c>
      <c r="M116" s="277"/>
      <c r="N116" s="277" t="e">
        <f t="shared" si="113"/>
        <v>#N/A</v>
      </c>
      <c r="O116" s="277" t="e">
        <f t="shared" si="113"/>
        <v>#N/A</v>
      </c>
    </row>
    <row r="117" spans="2:15" x14ac:dyDescent="0.3">
      <c r="B117" s="361" t="s">
        <v>1018</v>
      </c>
      <c r="C117" s="272" t="s">
        <v>1010</v>
      </c>
      <c r="D117" s="272">
        <v>14</v>
      </c>
      <c r="E117" s="277" t="e">
        <f t="shared" si="110"/>
        <v>#N/A</v>
      </c>
      <c r="F117" s="277" t="e">
        <f t="shared" si="110"/>
        <v>#N/A</v>
      </c>
      <c r="G117" s="277"/>
      <c r="H117" s="277" t="e">
        <f t="shared" si="111"/>
        <v>#N/A</v>
      </c>
      <c r="I117" s="277" t="e">
        <f t="shared" si="111"/>
        <v>#N/A</v>
      </c>
      <c r="J117" s="277"/>
      <c r="K117" s="277" t="e">
        <f t="shared" si="112"/>
        <v>#N/A</v>
      </c>
      <c r="L117" s="277" t="e">
        <f t="shared" si="112"/>
        <v>#N/A</v>
      </c>
      <c r="M117" s="277"/>
      <c r="N117" s="277" t="e">
        <f t="shared" si="113"/>
        <v>#N/A</v>
      </c>
      <c r="O117" s="277" t="e">
        <f t="shared" si="113"/>
        <v>#N/A</v>
      </c>
    </row>
    <row r="118" spans="2:15" x14ac:dyDescent="0.3">
      <c r="B118" s="361" t="s">
        <v>1018</v>
      </c>
      <c r="C118" s="272" t="s">
        <v>1010</v>
      </c>
      <c r="D118" s="272">
        <v>15</v>
      </c>
      <c r="E118" s="277" t="e">
        <f t="shared" si="110"/>
        <v>#N/A</v>
      </c>
      <c r="F118" s="277" t="e">
        <f t="shared" si="110"/>
        <v>#N/A</v>
      </c>
      <c r="G118" s="277"/>
      <c r="H118" s="277" t="e">
        <f t="shared" si="111"/>
        <v>#N/A</v>
      </c>
      <c r="I118" s="277" t="e">
        <f t="shared" si="111"/>
        <v>#N/A</v>
      </c>
      <c r="J118" s="277"/>
      <c r="K118" s="277" t="e">
        <f t="shared" si="112"/>
        <v>#N/A</v>
      </c>
      <c r="L118" s="277" t="e">
        <f t="shared" si="112"/>
        <v>#N/A</v>
      </c>
      <c r="M118" s="277"/>
      <c r="N118" s="277" t="e">
        <f t="shared" si="113"/>
        <v>#N/A</v>
      </c>
      <c r="O118" s="277" t="e">
        <f t="shared" si="113"/>
        <v>#N/A</v>
      </c>
    </row>
    <row r="119" spans="2:15" x14ac:dyDescent="0.3">
      <c r="B119" s="361" t="s">
        <v>1018</v>
      </c>
      <c r="C119" s="272" t="s">
        <v>1010</v>
      </c>
      <c r="D119" s="272">
        <v>16</v>
      </c>
      <c r="E119" s="277" t="e">
        <f t="shared" si="110"/>
        <v>#N/A</v>
      </c>
      <c r="F119" s="277" t="e">
        <f t="shared" si="110"/>
        <v>#N/A</v>
      </c>
      <c r="G119" s="277"/>
      <c r="H119" s="277" t="e">
        <f t="shared" si="111"/>
        <v>#N/A</v>
      </c>
      <c r="I119" s="277" t="e">
        <f t="shared" si="111"/>
        <v>#N/A</v>
      </c>
      <c r="J119" s="277"/>
      <c r="K119" s="277" t="e">
        <f t="shared" si="112"/>
        <v>#N/A</v>
      </c>
      <c r="L119" s="277" t="e">
        <f t="shared" si="112"/>
        <v>#N/A</v>
      </c>
      <c r="M119" s="277"/>
      <c r="N119" s="277" t="e">
        <f t="shared" si="113"/>
        <v>#N/A</v>
      </c>
      <c r="O119" s="277" t="e">
        <f t="shared" si="113"/>
        <v>#N/A</v>
      </c>
    </row>
    <row r="120" spans="2:15" x14ac:dyDescent="0.3">
      <c r="B120" s="361" t="s">
        <v>1018</v>
      </c>
      <c r="C120" s="272" t="s">
        <v>1010</v>
      </c>
      <c r="D120" s="272">
        <v>17</v>
      </c>
      <c r="E120" s="277" t="e">
        <f t="shared" si="110"/>
        <v>#N/A</v>
      </c>
      <c r="F120" s="277" t="e">
        <f t="shared" si="110"/>
        <v>#N/A</v>
      </c>
      <c r="G120" s="277"/>
      <c r="H120" s="277" t="e">
        <f t="shared" si="111"/>
        <v>#N/A</v>
      </c>
      <c r="I120" s="277" t="e">
        <f t="shared" si="111"/>
        <v>#N/A</v>
      </c>
      <c r="J120" s="277"/>
      <c r="K120" s="277" t="e">
        <f t="shared" si="112"/>
        <v>#N/A</v>
      </c>
      <c r="L120" s="277" t="e">
        <f t="shared" si="112"/>
        <v>#N/A</v>
      </c>
      <c r="M120" s="277"/>
      <c r="N120" s="277" t="e">
        <f t="shared" si="113"/>
        <v>#N/A</v>
      </c>
      <c r="O120" s="277" t="e">
        <f t="shared" si="113"/>
        <v>#N/A</v>
      </c>
    </row>
    <row r="121" spans="2:15" x14ac:dyDescent="0.3">
      <c r="B121" s="361" t="s">
        <v>1018</v>
      </c>
      <c r="C121" s="272" t="s">
        <v>1010</v>
      </c>
      <c r="D121" s="272">
        <v>18</v>
      </c>
      <c r="E121" s="277" t="e">
        <f t="shared" si="110"/>
        <v>#N/A</v>
      </c>
      <c r="F121" s="277" t="e">
        <f t="shared" si="110"/>
        <v>#N/A</v>
      </c>
      <c r="G121" s="277"/>
      <c r="H121" s="277" t="e">
        <f t="shared" si="111"/>
        <v>#N/A</v>
      </c>
      <c r="I121" s="277" t="e">
        <f t="shared" si="111"/>
        <v>#N/A</v>
      </c>
      <c r="J121" s="277"/>
      <c r="K121" s="277" t="e">
        <f t="shared" si="112"/>
        <v>#N/A</v>
      </c>
      <c r="L121" s="277" t="e">
        <f t="shared" si="112"/>
        <v>#N/A</v>
      </c>
      <c r="M121" s="277"/>
      <c r="N121" s="277" t="e">
        <f t="shared" si="113"/>
        <v>#N/A</v>
      </c>
      <c r="O121" s="277" t="e">
        <f t="shared" si="113"/>
        <v>#N/A</v>
      </c>
    </row>
    <row r="122" spans="2:15" x14ac:dyDescent="0.3">
      <c r="B122" s="361" t="s">
        <v>1018</v>
      </c>
      <c r="C122" s="272" t="s">
        <v>1010</v>
      </c>
      <c r="D122" s="272">
        <v>19</v>
      </c>
      <c r="E122" s="277" t="e">
        <f t="shared" si="110"/>
        <v>#N/A</v>
      </c>
      <c r="F122" s="277" t="e">
        <f t="shared" si="110"/>
        <v>#N/A</v>
      </c>
      <c r="G122" s="277"/>
      <c r="H122" s="277" t="e">
        <f t="shared" si="111"/>
        <v>#N/A</v>
      </c>
      <c r="I122" s="277" t="e">
        <f t="shared" si="111"/>
        <v>#N/A</v>
      </c>
      <c r="J122" s="277"/>
      <c r="K122" s="277" t="e">
        <f t="shared" si="112"/>
        <v>#N/A</v>
      </c>
      <c r="L122" s="277" t="e">
        <f t="shared" si="112"/>
        <v>#N/A</v>
      </c>
      <c r="M122" s="277"/>
      <c r="N122" s="277" t="e">
        <f t="shared" si="113"/>
        <v>#N/A</v>
      </c>
      <c r="O122" s="277" t="e">
        <f t="shared" si="113"/>
        <v>#N/A</v>
      </c>
    </row>
    <row r="123" spans="2:15" x14ac:dyDescent="0.3">
      <c r="B123" s="361" t="s">
        <v>1018</v>
      </c>
      <c r="C123" s="272" t="s">
        <v>1010</v>
      </c>
      <c r="D123" s="272">
        <v>20</v>
      </c>
      <c r="E123" s="277" t="e">
        <f t="shared" si="110"/>
        <v>#N/A</v>
      </c>
      <c r="F123" s="277" t="e">
        <f t="shared" si="110"/>
        <v>#N/A</v>
      </c>
      <c r="G123" s="277"/>
      <c r="H123" s="277" t="e">
        <f t="shared" si="111"/>
        <v>#N/A</v>
      </c>
      <c r="I123" s="277" t="e">
        <f t="shared" si="111"/>
        <v>#N/A</v>
      </c>
      <c r="J123" s="277"/>
      <c r="K123" s="277" t="e">
        <f t="shared" si="112"/>
        <v>#N/A</v>
      </c>
      <c r="L123" s="277" t="e">
        <f t="shared" si="112"/>
        <v>#N/A</v>
      </c>
      <c r="M123" s="277"/>
      <c r="N123" s="277" t="e">
        <f t="shared" si="113"/>
        <v>#N/A</v>
      </c>
      <c r="O123" s="277" t="e">
        <f t="shared" si="113"/>
        <v>#N/A</v>
      </c>
    </row>
    <row r="124" spans="2:15" x14ac:dyDescent="0.3">
      <c r="B124" s="361" t="s">
        <v>1016</v>
      </c>
      <c r="C124" s="272" t="s">
        <v>1010</v>
      </c>
      <c r="D124" s="272">
        <v>0</v>
      </c>
      <c r="E124" s="277" t="e">
        <f>MIN(1-E$90,1-EXP(-E$94*$D124^E$95)+E$99)</f>
        <v>#N/A</v>
      </c>
      <c r="F124" s="277" t="e">
        <f>MIN(1-F$90,1-EXP(-F$94*$D124^F$95)+F$99)</f>
        <v>#N/A</v>
      </c>
      <c r="G124" s="277"/>
      <c r="H124" s="277" t="e">
        <f>MIN(1-H$90,1-EXP(-H$94*$D124^H$95)+H$99)</f>
        <v>#N/A</v>
      </c>
      <c r="I124" s="277" t="e">
        <f>MIN(1-I$90,1-EXP(-I$94*$D124^I$95)+I$99)</f>
        <v>#N/A</v>
      </c>
      <c r="K124" s="277" t="e">
        <f>MIN(1-K$90,1-EXP(-K$94*$D124^K$95)+K$99)</f>
        <v>#N/A</v>
      </c>
      <c r="L124" s="277" t="e">
        <f>MIN(1-L$90,1-EXP(-L$94*$D124^L$95)+L$99)</f>
        <v>#N/A</v>
      </c>
      <c r="M124" s="277"/>
      <c r="N124" s="277" t="e">
        <f>MIN(1-N$90,1-EXP(-N$94*$D124^N$95)+N$99)</f>
        <v>#N/A</v>
      </c>
      <c r="O124" s="277" t="e">
        <f>MIN(1-O$90,1-EXP(-O$94*$D124^O$95)+O$99)</f>
        <v>#N/A</v>
      </c>
    </row>
    <row r="125" spans="2:15" x14ac:dyDescent="0.3">
      <c r="B125" s="361" t="s">
        <v>1016</v>
      </c>
      <c r="C125" s="272" t="s">
        <v>1010</v>
      </c>
      <c r="D125" s="272">
        <v>1</v>
      </c>
      <c r="E125" s="277" t="e">
        <f>MIN(1-E$90,1-EXP(-E$94*$D125^E$95)+E$99)</f>
        <v>#N/A</v>
      </c>
      <c r="F125" s="277" t="e">
        <f>MIN(1-F$90,1-EXP(-F$94*$D125^F$95)+F$99)</f>
        <v>#N/A</v>
      </c>
      <c r="G125" s="277"/>
      <c r="H125" s="277" t="e">
        <f>MIN(1-H$90,1-EXP(-H$94*$D125^H$95)+H$99)</f>
        <v>#N/A</v>
      </c>
      <c r="I125" s="277" t="e">
        <f>MIN(1-I$90,1-EXP(-I$94*$D125^I$95)+I$99)</f>
        <v>#N/A</v>
      </c>
      <c r="K125" s="277" t="e">
        <f>MIN(1-K$90,1-EXP(-K$94*$D125^K$95)+K$99)</f>
        <v>#N/A</v>
      </c>
      <c r="L125" s="277" t="e">
        <f>MIN(1-L$90,1-EXP(-L$94*$D125^L$95)+L$99)</f>
        <v>#N/A</v>
      </c>
      <c r="M125" s="277"/>
      <c r="N125" s="277" t="e">
        <f>MIN(1-N$90,1-EXP(-N$94*$D125^N$95)+N$99)</f>
        <v>#N/A</v>
      </c>
      <c r="O125" s="277" t="e">
        <f>MIN(1-O$90,1-EXP(-O$94*$D125^O$95)+O$99)</f>
        <v>#N/A</v>
      </c>
    </row>
    <row r="126" spans="2:15" x14ac:dyDescent="0.3">
      <c r="B126" s="361" t="s">
        <v>1016</v>
      </c>
      <c r="C126" s="272" t="s">
        <v>1010</v>
      </c>
      <c r="D126" s="272">
        <v>2</v>
      </c>
      <c r="E126" s="277" t="e">
        <f t="shared" ref="E126:O144" si="114">MIN(1-E$90,1-EXP(-E$94*$D126^E$95)+E$99)</f>
        <v>#N/A</v>
      </c>
      <c r="F126" s="277" t="e">
        <f t="shared" si="114"/>
        <v>#N/A</v>
      </c>
      <c r="G126" s="277"/>
      <c r="H126" s="277" t="e">
        <f t="shared" si="114"/>
        <v>#N/A</v>
      </c>
      <c r="I126" s="277" t="e">
        <f t="shared" si="114"/>
        <v>#N/A</v>
      </c>
      <c r="K126" s="277" t="e">
        <f t="shared" si="114"/>
        <v>#N/A</v>
      </c>
      <c r="L126" s="277" t="e">
        <f t="shared" si="114"/>
        <v>#N/A</v>
      </c>
      <c r="M126" s="277"/>
      <c r="N126" s="277" t="e">
        <f t="shared" si="114"/>
        <v>#N/A</v>
      </c>
      <c r="O126" s="277" t="e">
        <f t="shared" si="114"/>
        <v>#N/A</v>
      </c>
    </row>
    <row r="127" spans="2:15" x14ac:dyDescent="0.3">
      <c r="B127" s="361" t="s">
        <v>1016</v>
      </c>
      <c r="C127" s="272" t="s">
        <v>1010</v>
      </c>
      <c r="D127" s="272">
        <v>3</v>
      </c>
      <c r="E127" s="277" t="e">
        <f t="shared" si="114"/>
        <v>#N/A</v>
      </c>
      <c r="F127" s="277" t="e">
        <f t="shared" si="114"/>
        <v>#N/A</v>
      </c>
      <c r="G127" s="277"/>
      <c r="H127" s="277" t="e">
        <f t="shared" si="114"/>
        <v>#N/A</v>
      </c>
      <c r="I127" s="277" t="e">
        <f t="shared" si="114"/>
        <v>#N/A</v>
      </c>
      <c r="K127" s="277" t="e">
        <f t="shared" si="114"/>
        <v>#N/A</v>
      </c>
      <c r="L127" s="277" t="e">
        <f t="shared" si="114"/>
        <v>#N/A</v>
      </c>
      <c r="M127" s="277"/>
      <c r="N127" s="277" t="e">
        <f t="shared" si="114"/>
        <v>#N/A</v>
      </c>
      <c r="O127" s="277" t="e">
        <f t="shared" si="114"/>
        <v>#N/A</v>
      </c>
    </row>
    <row r="128" spans="2:15" x14ac:dyDescent="0.3">
      <c r="B128" s="361" t="s">
        <v>1016</v>
      </c>
      <c r="C128" s="272" t="s">
        <v>1010</v>
      </c>
      <c r="D128" s="272">
        <v>4</v>
      </c>
      <c r="E128" s="277" t="e">
        <f t="shared" si="114"/>
        <v>#N/A</v>
      </c>
      <c r="F128" s="277" t="e">
        <f t="shared" si="114"/>
        <v>#N/A</v>
      </c>
      <c r="G128" s="277"/>
      <c r="H128" s="277" t="e">
        <f t="shared" si="114"/>
        <v>#N/A</v>
      </c>
      <c r="I128" s="277" t="e">
        <f t="shared" si="114"/>
        <v>#N/A</v>
      </c>
      <c r="K128" s="277" t="e">
        <f t="shared" si="114"/>
        <v>#N/A</v>
      </c>
      <c r="L128" s="277" t="e">
        <f t="shared" si="114"/>
        <v>#N/A</v>
      </c>
      <c r="M128" s="277"/>
      <c r="N128" s="277" t="e">
        <f t="shared" si="114"/>
        <v>#N/A</v>
      </c>
      <c r="O128" s="277" t="e">
        <f t="shared" si="114"/>
        <v>#N/A</v>
      </c>
    </row>
    <row r="129" spans="2:15" x14ac:dyDescent="0.3">
      <c r="B129" s="361" t="s">
        <v>1016</v>
      </c>
      <c r="C129" s="272" t="s">
        <v>1010</v>
      </c>
      <c r="D129" s="272">
        <v>5</v>
      </c>
      <c r="E129" s="277" t="e">
        <f t="shared" si="114"/>
        <v>#N/A</v>
      </c>
      <c r="F129" s="277" t="e">
        <f t="shared" si="114"/>
        <v>#N/A</v>
      </c>
      <c r="G129" s="277"/>
      <c r="H129" s="277" t="e">
        <f t="shared" si="114"/>
        <v>#N/A</v>
      </c>
      <c r="I129" s="277" t="e">
        <f t="shared" si="114"/>
        <v>#N/A</v>
      </c>
      <c r="K129" s="277" t="e">
        <f t="shared" si="114"/>
        <v>#N/A</v>
      </c>
      <c r="L129" s="277" t="e">
        <f t="shared" si="114"/>
        <v>#N/A</v>
      </c>
      <c r="M129" s="277"/>
      <c r="N129" s="277" t="e">
        <f t="shared" si="114"/>
        <v>#N/A</v>
      </c>
      <c r="O129" s="277" t="e">
        <f t="shared" si="114"/>
        <v>#N/A</v>
      </c>
    </row>
    <row r="130" spans="2:15" x14ac:dyDescent="0.3">
      <c r="B130" s="361" t="s">
        <v>1016</v>
      </c>
      <c r="C130" s="272" t="s">
        <v>1010</v>
      </c>
      <c r="D130" s="272">
        <v>6</v>
      </c>
      <c r="E130" s="277" t="e">
        <f t="shared" si="114"/>
        <v>#N/A</v>
      </c>
      <c r="F130" s="277" t="e">
        <f t="shared" si="114"/>
        <v>#N/A</v>
      </c>
      <c r="G130" s="277"/>
      <c r="H130" s="277" t="e">
        <f t="shared" si="114"/>
        <v>#N/A</v>
      </c>
      <c r="I130" s="277" t="e">
        <f t="shared" si="114"/>
        <v>#N/A</v>
      </c>
      <c r="K130" s="277" t="e">
        <f t="shared" si="114"/>
        <v>#N/A</v>
      </c>
      <c r="L130" s="277" t="e">
        <f t="shared" si="114"/>
        <v>#N/A</v>
      </c>
      <c r="M130" s="277"/>
      <c r="N130" s="277" t="e">
        <f t="shared" si="114"/>
        <v>#N/A</v>
      </c>
      <c r="O130" s="277" t="e">
        <f t="shared" si="114"/>
        <v>#N/A</v>
      </c>
    </row>
    <row r="131" spans="2:15" x14ac:dyDescent="0.3">
      <c r="B131" s="361" t="s">
        <v>1016</v>
      </c>
      <c r="C131" s="272" t="s">
        <v>1010</v>
      </c>
      <c r="D131" s="272">
        <v>7</v>
      </c>
      <c r="E131" s="277" t="e">
        <f t="shared" si="114"/>
        <v>#N/A</v>
      </c>
      <c r="F131" s="277" t="e">
        <f t="shared" si="114"/>
        <v>#N/A</v>
      </c>
      <c r="G131" s="277"/>
      <c r="H131" s="277" t="e">
        <f t="shared" si="114"/>
        <v>#N/A</v>
      </c>
      <c r="I131" s="277" t="e">
        <f t="shared" si="114"/>
        <v>#N/A</v>
      </c>
      <c r="K131" s="277" t="e">
        <f t="shared" si="114"/>
        <v>#N/A</v>
      </c>
      <c r="L131" s="277" t="e">
        <f t="shared" si="114"/>
        <v>#N/A</v>
      </c>
      <c r="M131" s="277"/>
      <c r="N131" s="277" t="e">
        <f t="shared" si="114"/>
        <v>#N/A</v>
      </c>
      <c r="O131" s="277" t="e">
        <f t="shared" si="114"/>
        <v>#N/A</v>
      </c>
    </row>
    <row r="132" spans="2:15" x14ac:dyDescent="0.3">
      <c r="B132" s="361" t="s">
        <v>1016</v>
      </c>
      <c r="C132" s="272" t="s">
        <v>1010</v>
      </c>
      <c r="D132" s="272">
        <v>8</v>
      </c>
      <c r="E132" s="277" t="e">
        <f t="shared" si="114"/>
        <v>#N/A</v>
      </c>
      <c r="F132" s="277" t="e">
        <f t="shared" si="114"/>
        <v>#N/A</v>
      </c>
      <c r="G132" s="277"/>
      <c r="H132" s="277" t="e">
        <f t="shared" si="114"/>
        <v>#N/A</v>
      </c>
      <c r="I132" s="277" t="e">
        <f t="shared" si="114"/>
        <v>#N/A</v>
      </c>
      <c r="K132" s="277" t="e">
        <f t="shared" si="114"/>
        <v>#N/A</v>
      </c>
      <c r="L132" s="277" t="e">
        <f t="shared" si="114"/>
        <v>#N/A</v>
      </c>
      <c r="M132" s="277"/>
      <c r="N132" s="277" t="e">
        <f t="shared" si="114"/>
        <v>#N/A</v>
      </c>
      <c r="O132" s="277" t="e">
        <f t="shared" si="114"/>
        <v>#N/A</v>
      </c>
    </row>
    <row r="133" spans="2:15" x14ac:dyDescent="0.3">
      <c r="B133" s="361" t="s">
        <v>1016</v>
      </c>
      <c r="C133" s="272" t="s">
        <v>1010</v>
      </c>
      <c r="D133" s="272">
        <v>9</v>
      </c>
      <c r="E133" s="277" t="e">
        <f t="shared" si="114"/>
        <v>#N/A</v>
      </c>
      <c r="F133" s="277" t="e">
        <f t="shared" si="114"/>
        <v>#N/A</v>
      </c>
      <c r="G133" s="277"/>
      <c r="H133" s="277" t="e">
        <f t="shared" si="114"/>
        <v>#N/A</v>
      </c>
      <c r="I133" s="277" t="e">
        <f t="shared" si="114"/>
        <v>#N/A</v>
      </c>
      <c r="K133" s="277" t="e">
        <f t="shared" si="114"/>
        <v>#N/A</v>
      </c>
      <c r="L133" s="277" t="e">
        <f t="shared" si="114"/>
        <v>#N/A</v>
      </c>
      <c r="M133" s="277"/>
      <c r="N133" s="277" t="e">
        <f t="shared" si="114"/>
        <v>#N/A</v>
      </c>
      <c r="O133" s="277" t="e">
        <f t="shared" si="114"/>
        <v>#N/A</v>
      </c>
    </row>
    <row r="134" spans="2:15" x14ac:dyDescent="0.3">
      <c r="B134" s="361" t="s">
        <v>1016</v>
      </c>
      <c r="C134" s="272" t="s">
        <v>1010</v>
      </c>
      <c r="D134" s="272">
        <v>10</v>
      </c>
      <c r="E134" s="277" t="e">
        <f t="shared" si="114"/>
        <v>#N/A</v>
      </c>
      <c r="F134" s="277" t="e">
        <f t="shared" si="114"/>
        <v>#N/A</v>
      </c>
      <c r="G134" s="277"/>
      <c r="H134" s="277" t="e">
        <f t="shared" si="114"/>
        <v>#N/A</v>
      </c>
      <c r="I134" s="277" t="e">
        <f t="shared" si="114"/>
        <v>#N/A</v>
      </c>
      <c r="K134" s="277" t="e">
        <f t="shared" si="114"/>
        <v>#N/A</v>
      </c>
      <c r="L134" s="277" t="e">
        <f t="shared" si="114"/>
        <v>#N/A</v>
      </c>
      <c r="M134" s="277"/>
      <c r="N134" s="277" t="e">
        <f t="shared" si="114"/>
        <v>#N/A</v>
      </c>
      <c r="O134" s="277" t="e">
        <f t="shared" si="114"/>
        <v>#N/A</v>
      </c>
    </row>
    <row r="135" spans="2:15" x14ac:dyDescent="0.3">
      <c r="B135" s="361" t="s">
        <v>1016</v>
      </c>
      <c r="C135" s="272" t="s">
        <v>1010</v>
      </c>
      <c r="D135" s="272">
        <v>11</v>
      </c>
      <c r="E135" s="277" t="e">
        <f t="shared" si="114"/>
        <v>#N/A</v>
      </c>
      <c r="F135" s="277" t="e">
        <f t="shared" si="114"/>
        <v>#N/A</v>
      </c>
      <c r="G135" s="277"/>
      <c r="H135" s="277" t="e">
        <f t="shared" si="114"/>
        <v>#N/A</v>
      </c>
      <c r="I135" s="277" t="e">
        <f t="shared" si="114"/>
        <v>#N/A</v>
      </c>
      <c r="K135" s="277" t="e">
        <f t="shared" si="114"/>
        <v>#N/A</v>
      </c>
      <c r="L135" s="277" t="e">
        <f t="shared" si="114"/>
        <v>#N/A</v>
      </c>
      <c r="M135" s="277"/>
      <c r="N135" s="277" t="e">
        <f t="shared" si="114"/>
        <v>#N/A</v>
      </c>
      <c r="O135" s="277" t="e">
        <f t="shared" si="114"/>
        <v>#N/A</v>
      </c>
    </row>
    <row r="136" spans="2:15" x14ac:dyDescent="0.3">
      <c r="B136" s="361" t="s">
        <v>1016</v>
      </c>
      <c r="C136" s="272" t="s">
        <v>1010</v>
      </c>
      <c r="D136" s="272">
        <v>12</v>
      </c>
      <c r="E136" s="277" t="e">
        <f t="shared" si="114"/>
        <v>#N/A</v>
      </c>
      <c r="F136" s="277" t="e">
        <f t="shared" si="114"/>
        <v>#N/A</v>
      </c>
      <c r="G136" s="277"/>
      <c r="H136" s="277" t="e">
        <f t="shared" si="114"/>
        <v>#N/A</v>
      </c>
      <c r="I136" s="277" t="e">
        <f t="shared" si="114"/>
        <v>#N/A</v>
      </c>
      <c r="K136" s="277" t="e">
        <f t="shared" si="114"/>
        <v>#N/A</v>
      </c>
      <c r="L136" s="277" t="e">
        <f t="shared" si="114"/>
        <v>#N/A</v>
      </c>
      <c r="M136" s="277"/>
      <c r="N136" s="277" t="e">
        <f t="shared" si="114"/>
        <v>#N/A</v>
      </c>
      <c r="O136" s="277" t="e">
        <f t="shared" si="114"/>
        <v>#N/A</v>
      </c>
    </row>
    <row r="137" spans="2:15" x14ac:dyDescent="0.3">
      <c r="B137" s="361" t="s">
        <v>1016</v>
      </c>
      <c r="C137" s="272" t="s">
        <v>1010</v>
      </c>
      <c r="D137" s="272">
        <v>13</v>
      </c>
      <c r="E137" s="277" t="e">
        <f t="shared" si="114"/>
        <v>#N/A</v>
      </c>
      <c r="F137" s="277" t="e">
        <f t="shared" si="114"/>
        <v>#N/A</v>
      </c>
      <c r="G137" s="277"/>
      <c r="H137" s="277" t="e">
        <f t="shared" si="114"/>
        <v>#N/A</v>
      </c>
      <c r="I137" s="277" t="e">
        <f t="shared" si="114"/>
        <v>#N/A</v>
      </c>
      <c r="K137" s="277" t="e">
        <f t="shared" si="114"/>
        <v>#N/A</v>
      </c>
      <c r="L137" s="277" t="e">
        <f t="shared" si="114"/>
        <v>#N/A</v>
      </c>
      <c r="M137" s="277"/>
      <c r="N137" s="277" t="e">
        <f t="shared" si="114"/>
        <v>#N/A</v>
      </c>
      <c r="O137" s="277" t="e">
        <f t="shared" si="114"/>
        <v>#N/A</v>
      </c>
    </row>
    <row r="138" spans="2:15" x14ac:dyDescent="0.3">
      <c r="B138" s="361" t="s">
        <v>1016</v>
      </c>
      <c r="C138" s="272" t="s">
        <v>1010</v>
      </c>
      <c r="D138" s="272">
        <v>14</v>
      </c>
      <c r="E138" s="277" t="e">
        <f t="shared" si="114"/>
        <v>#N/A</v>
      </c>
      <c r="F138" s="277" t="e">
        <f t="shared" si="114"/>
        <v>#N/A</v>
      </c>
      <c r="G138" s="277"/>
      <c r="H138" s="277" t="e">
        <f t="shared" si="114"/>
        <v>#N/A</v>
      </c>
      <c r="I138" s="277" t="e">
        <f t="shared" si="114"/>
        <v>#N/A</v>
      </c>
      <c r="K138" s="277" t="e">
        <f t="shared" si="114"/>
        <v>#N/A</v>
      </c>
      <c r="L138" s="277" t="e">
        <f t="shared" si="114"/>
        <v>#N/A</v>
      </c>
      <c r="M138" s="277"/>
      <c r="N138" s="277" t="e">
        <f t="shared" si="114"/>
        <v>#N/A</v>
      </c>
      <c r="O138" s="277" t="e">
        <f t="shared" si="114"/>
        <v>#N/A</v>
      </c>
    </row>
    <row r="139" spans="2:15" x14ac:dyDescent="0.3">
      <c r="B139" s="361" t="s">
        <v>1016</v>
      </c>
      <c r="C139" s="272" t="s">
        <v>1010</v>
      </c>
      <c r="D139" s="272">
        <v>15</v>
      </c>
      <c r="E139" s="277" t="e">
        <f t="shared" si="114"/>
        <v>#N/A</v>
      </c>
      <c r="F139" s="277" t="e">
        <f t="shared" si="114"/>
        <v>#N/A</v>
      </c>
      <c r="G139" s="277"/>
      <c r="H139" s="277" t="e">
        <f t="shared" si="114"/>
        <v>#N/A</v>
      </c>
      <c r="I139" s="277" t="e">
        <f t="shared" si="114"/>
        <v>#N/A</v>
      </c>
      <c r="K139" s="277" t="e">
        <f t="shared" si="114"/>
        <v>#N/A</v>
      </c>
      <c r="L139" s="277" t="e">
        <f t="shared" si="114"/>
        <v>#N/A</v>
      </c>
      <c r="M139" s="277"/>
      <c r="N139" s="277" t="e">
        <f t="shared" si="114"/>
        <v>#N/A</v>
      </c>
      <c r="O139" s="277" t="e">
        <f t="shared" si="114"/>
        <v>#N/A</v>
      </c>
    </row>
    <row r="140" spans="2:15" x14ac:dyDescent="0.3">
      <c r="B140" s="361" t="s">
        <v>1016</v>
      </c>
      <c r="C140" s="272" t="s">
        <v>1010</v>
      </c>
      <c r="D140" s="272">
        <v>16</v>
      </c>
      <c r="E140" s="277" t="e">
        <f t="shared" si="114"/>
        <v>#N/A</v>
      </c>
      <c r="F140" s="277" t="e">
        <f t="shared" si="114"/>
        <v>#N/A</v>
      </c>
      <c r="G140" s="277"/>
      <c r="H140" s="277" t="e">
        <f t="shared" si="114"/>
        <v>#N/A</v>
      </c>
      <c r="I140" s="277" t="e">
        <f t="shared" si="114"/>
        <v>#N/A</v>
      </c>
      <c r="K140" s="277" t="e">
        <f t="shared" si="114"/>
        <v>#N/A</v>
      </c>
      <c r="L140" s="277" t="e">
        <f t="shared" si="114"/>
        <v>#N/A</v>
      </c>
      <c r="M140" s="277"/>
      <c r="N140" s="277" t="e">
        <f t="shared" si="114"/>
        <v>#N/A</v>
      </c>
      <c r="O140" s="277" t="e">
        <f t="shared" si="114"/>
        <v>#N/A</v>
      </c>
    </row>
    <row r="141" spans="2:15" x14ac:dyDescent="0.3">
      <c r="B141" s="361" t="s">
        <v>1016</v>
      </c>
      <c r="C141" s="272" t="s">
        <v>1010</v>
      </c>
      <c r="D141" s="272">
        <v>17</v>
      </c>
      <c r="E141" s="277" t="e">
        <f t="shared" si="114"/>
        <v>#N/A</v>
      </c>
      <c r="F141" s="277" t="e">
        <f t="shared" si="114"/>
        <v>#N/A</v>
      </c>
      <c r="G141" s="277"/>
      <c r="H141" s="277" t="e">
        <f t="shared" si="114"/>
        <v>#N/A</v>
      </c>
      <c r="I141" s="277" t="e">
        <f t="shared" si="114"/>
        <v>#N/A</v>
      </c>
      <c r="K141" s="277" t="e">
        <f t="shared" si="114"/>
        <v>#N/A</v>
      </c>
      <c r="L141" s="277" t="e">
        <f t="shared" si="114"/>
        <v>#N/A</v>
      </c>
      <c r="M141" s="277"/>
      <c r="N141" s="277" t="e">
        <f t="shared" si="114"/>
        <v>#N/A</v>
      </c>
      <c r="O141" s="277" t="e">
        <f t="shared" si="114"/>
        <v>#N/A</v>
      </c>
    </row>
    <row r="142" spans="2:15" x14ac:dyDescent="0.3">
      <c r="B142" s="361" t="s">
        <v>1016</v>
      </c>
      <c r="C142" s="272" t="s">
        <v>1010</v>
      </c>
      <c r="D142" s="272">
        <v>18</v>
      </c>
      <c r="E142" s="277" t="e">
        <f t="shared" si="114"/>
        <v>#N/A</v>
      </c>
      <c r="F142" s="277" t="e">
        <f t="shared" si="114"/>
        <v>#N/A</v>
      </c>
      <c r="G142" s="277"/>
      <c r="H142" s="277" t="e">
        <f t="shared" si="114"/>
        <v>#N/A</v>
      </c>
      <c r="I142" s="277" t="e">
        <f t="shared" si="114"/>
        <v>#N/A</v>
      </c>
      <c r="K142" s="277" t="e">
        <f t="shared" si="114"/>
        <v>#N/A</v>
      </c>
      <c r="L142" s="277" t="e">
        <f t="shared" si="114"/>
        <v>#N/A</v>
      </c>
      <c r="M142" s="277"/>
      <c r="N142" s="277" t="e">
        <f t="shared" si="114"/>
        <v>#N/A</v>
      </c>
      <c r="O142" s="277" t="e">
        <f t="shared" si="114"/>
        <v>#N/A</v>
      </c>
    </row>
    <row r="143" spans="2:15" x14ac:dyDescent="0.3">
      <c r="B143" s="361" t="s">
        <v>1016</v>
      </c>
      <c r="C143" s="272" t="s">
        <v>1010</v>
      </c>
      <c r="D143" s="272">
        <v>19</v>
      </c>
      <c r="E143" s="277" t="e">
        <f t="shared" si="114"/>
        <v>#N/A</v>
      </c>
      <c r="F143" s="277" t="e">
        <f t="shared" si="114"/>
        <v>#N/A</v>
      </c>
      <c r="G143" s="277"/>
      <c r="H143" s="277" t="e">
        <f t="shared" si="114"/>
        <v>#N/A</v>
      </c>
      <c r="I143" s="277" t="e">
        <f t="shared" si="114"/>
        <v>#N/A</v>
      </c>
      <c r="K143" s="277" t="e">
        <f t="shared" si="114"/>
        <v>#N/A</v>
      </c>
      <c r="L143" s="277" t="e">
        <f t="shared" si="114"/>
        <v>#N/A</v>
      </c>
      <c r="M143" s="277"/>
      <c r="N143" s="277" t="e">
        <f t="shared" si="114"/>
        <v>#N/A</v>
      </c>
      <c r="O143" s="277" t="e">
        <f t="shared" si="114"/>
        <v>#N/A</v>
      </c>
    </row>
    <row r="144" spans="2:15" x14ac:dyDescent="0.3">
      <c r="B144" s="361" t="s">
        <v>1016</v>
      </c>
      <c r="C144" s="272" t="s">
        <v>1010</v>
      </c>
      <c r="D144" s="272">
        <v>20</v>
      </c>
      <c r="E144" s="277" t="e">
        <f t="shared" si="114"/>
        <v>#N/A</v>
      </c>
      <c r="F144" s="277" t="e">
        <f t="shared" si="114"/>
        <v>#N/A</v>
      </c>
      <c r="G144" s="277"/>
      <c r="H144" s="277" t="e">
        <f t="shared" si="114"/>
        <v>#N/A</v>
      </c>
      <c r="I144" s="277" t="e">
        <f t="shared" si="114"/>
        <v>#N/A</v>
      </c>
      <c r="K144" s="277" t="e">
        <f t="shared" si="114"/>
        <v>#N/A</v>
      </c>
      <c r="L144" s="277" t="e">
        <f t="shared" si="114"/>
        <v>#N/A</v>
      </c>
      <c r="M144" s="277"/>
      <c r="N144" s="277" t="e">
        <f t="shared" si="114"/>
        <v>#N/A</v>
      </c>
      <c r="O144" s="277" t="e">
        <f t="shared" si="114"/>
        <v>#N/A</v>
      </c>
    </row>
    <row r="145" spans="2:15" x14ac:dyDescent="0.3">
      <c r="B145" s="361" t="s">
        <v>1017</v>
      </c>
      <c r="C145" s="272" t="s">
        <v>1010</v>
      </c>
      <c r="D145" s="272">
        <v>0</v>
      </c>
      <c r="E145" s="277" t="e">
        <f>IF(E$21=Input_lists!$C$3,MIN(1-E$90,IF(calc_COSTREAM!$D145&lt;calc_COSTREAM!E$91,E$46*$D145/(calc_COSTREAM!E$91-1)*E$96/10000,(($D145-calc_COSTREAM!E$91+1)*E$33+E$46)*E$96/10000)),MIN(1-E$90,($D145*E$33+E$46)*E$96/10000))</f>
        <v>#N/A</v>
      </c>
      <c r="F145" s="277" t="e">
        <f>IF(F$21=Input_lists!$C$3,MIN(1-F$90,IF(calc_COSTREAM!$D145&lt;calc_COSTREAM!F$91,F$46*$D145/(calc_COSTREAM!F$91-1)*F$96/10000,(($D145-calc_COSTREAM!F$91+1)*F$33+F$46)*F$96/10000)),MIN(1-F$90,($D145*F$33+F$46)*F$96/10000))</f>
        <v>#N/A</v>
      </c>
      <c r="G145" s="277"/>
      <c r="H145" s="277" t="e">
        <f>IF(H$21=Input_lists!$C$3,MIN(1-H$90,IF(calc_COSTREAM!$D145&lt;calc_COSTREAM!H$91,H$46*$D145/(calc_COSTREAM!H$91-1)*H$96/10000,(($D145-calc_COSTREAM!H$91+1)*H$33+H$46)*H$96/10000)),MIN(1-H$90,($D145*H$33+H$46)*H$96/10000))</f>
        <v>#N/A</v>
      </c>
      <c r="I145" s="277" t="e">
        <f>IF(I$21=Input_lists!$C$3,MIN(1-I$90,IF(calc_COSTREAM!$D145&lt;calc_COSTREAM!I$91,I$46*$D145/(calc_COSTREAM!I$91-1)*I$96/10000,(($D145-calc_COSTREAM!I$91+1)*I$33+I$46)*I$96/10000)),MIN(1-I$90,($D145*I$33+I$46)*I$96/10000))</f>
        <v>#N/A</v>
      </c>
      <c r="K145" s="277" t="e">
        <f>IF(K$21=Input_lists!$C$3,MIN(1-K$90,IF(calc_COSTREAM!$D145&lt;calc_COSTREAM!K$91,K$46*$D145/(calc_COSTREAM!K$91-1)*K$96/10000,(($D145-calc_COSTREAM!K$91+1)*K$33+K$46)*K$96/10000)),MIN(1-K$90,($D145*K$33+K$46)*K$96/10000))</f>
        <v>#N/A</v>
      </c>
      <c r="L145" s="277" t="e">
        <f>IF(L$21=Input_lists!$C$3,MIN(1-L$90,IF(calc_COSTREAM!$D145&lt;calc_COSTREAM!L$91,L$46*$D145/(calc_COSTREAM!L$91-1)*L$96/10000,(($D145-calc_COSTREAM!L$91+1)*L$33+L$46)*L$96/10000)),MIN(1-L$90,($D145*L$33+L$46)*L$96/10000))</f>
        <v>#N/A</v>
      </c>
      <c r="M145" s="277"/>
      <c r="N145" s="277" t="e">
        <f>IF(N$21=Input_lists!$C$3,MIN(1-N$90,IF(calc_COSTREAM!$D145&lt;calc_COSTREAM!N$91,N$46*$D145/(calc_COSTREAM!N$91-1)*N$96/10000,(($D145-calc_COSTREAM!N$91+1)*N$33+N$46)*N$96/10000)),MIN(1-N$90,($D145*N$33+N$46)*N$96/10000))</f>
        <v>#N/A</v>
      </c>
      <c r="O145" s="277" t="e">
        <f>IF(O$21=Input_lists!$C$3,MIN(1-O$90,IF(calc_COSTREAM!$D145&lt;calc_COSTREAM!O$91,O$46*$D145/(calc_COSTREAM!O$91-1)*O$96/10000,(($D145-calc_COSTREAM!O$91+1)*O$33+O$46)*O$96/10000)),MIN(1-O$90,($D145*O$33+O$46)*O$96/10000))</f>
        <v>#N/A</v>
      </c>
    </row>
    <row r="146" spans="2:15" x14ac:dyDescent="0.3">
      <c r="B146" s="361" t="s">
        <v>1017</v>
      </c>
      <c r="C146" s="272" t="s">
        <v>1010</v>
      </c>
      <c r="D146" s="272">
        <v>1</v>
      </c>
      <c r="E146" s="277" t="e">
        <f>IF(E$21=Input_lists!$C$3,MIN(1-E$90,IF(calc_COSTREAM!$D146&lt;calc_COSTREAM!E$91,E$46*$D146/(calc_COSTREAM!E$91-1)*E$96/10000,(($D146-calc_COSTREAM!E$91+1)*E$33+E$46)*E$96/10000)),MIN(1-E$90,($D146*E$33+E$46)*E$96/10000))</f>
        <v>#N/A</v>
      </c>
      <c r="F146" s="277" t="e">
        <f>IF(F$21=Input_lists!$C$3,MIN(1-F$90,IF(calc_COSTREAM!$D146&lt;calc_COSTREAM!F$91,F$46*$D146/(calc_COSTREAM!F$91-1)*F$96/10000,(($D146-calc_COSTREAM!F$91+1)*F$33+F$46)*F$96/10000)),MIN(1-F$90,($D146*F$33+F$46)*F$96/10000))</f>
        <v>#N/A</v>
      </c>
      <c r="G146" s="277"/>
      <c r="H146" s="277" t="e">
        <f>IF(H$21=Input_lists!$C$3,MIN(1-H$90,IF(calc_COSTREAM!$D146&lt;calc_COSTREAM!H$91,H$46*$D146/(calc_COSTREAM!H$91-1)*H$96/10000,(($D146-calc_COSTREAM!H$91+1)*H$33+H$46)*H$96/10000)),MIN(1-H$90,($D146*H$33+H$46)*H$96/10000))</f>
        <v>#N/A</v>
      </c>
      <c r="I146" s="277" t="e">
        <f>IF(I$21=Input_lists!$C$3,MIN(1-I$90,IF(calc_COSTREAM!$D146&lt;calc_COSTREAM!I$91,I$46*$D146/(calc_COSTREAM!I$91-1)*I$96/10000,(($D146-calc_COSTREAM!I$91+1)*I$33+I$46)*I$96/10000)),MIN(1-I$90,($D146*I$33+I$46)*I$96/10000))</f>
        <v>#N/A</v>
      </c>
      <c r="K146" s="277" t="e">
        <f>IF(K$21=Input_lists!$C$3,MIN(1-K$90,IF(calc_COSTREAM!$D146&lt;calc_COSTREAM!K$91,K$46*$D146/(calc_COSTREAM!K$91-1)*K$96/10000,(($D146-calc_COSTREAM!K$91+1)*K$33+K$46)*K$96/10000)),MIN(1-K$90,($D146*K$33+K$46)*K$96/10000))</f>
        <v>#N/A</v>
      </c>
      <c r="L146" s="277" t="e">
        <f>IF(L$21=Input_lists!$C$3,MIN(1-L$90,IF(calc_COSTREAM!$D146&lt;calc_COSTREAM!L$91,L$46*$D146/(calc_COSTREAM!L$91-1)*L$96/10000,(($D146-calc_COSTREAM!L$91+1)*L$33+L$46)*L$96/10000)),MIN(1-L$90,($D146*L$33+L$46)*L$96/10000))</f>
        <v>#N/A</v>
      </c>
      <c r="M146" s="277"/>
      <c r="N146" s="277" t="e">
        <f>IF(N$21=Input_lists!$C$3,MIN(1-N$90,IF(calc_COSTREAM!$D146&lt;calc_COSTREAM!N$91,N$46*$D146/(calc_COSTREAM!N$91-1)*N$96/10000,(($D146-calc_COSTREAM!N$91+1)*N$33+N$46)*N$96/10000)),MIN(1-N$90,($D146*N$33+N$46)*N$96/10000))</f>
        <v>#N/A</v>
      </c>
      <c r="O146" s="277" t="e">
        <f>IF(O$21=Input_lists!$C$3,MIN(1-O$90,IF(calc_COSTREAM!$D146&lt;calc_COSTREAM!O$91,O$46*$D146/(calc_COSTREAM!O$91-1)*O$96/10000,(($D146-calc_COSTREAM!O$91+1)*O$33+O$46)*O$96/10000)),MIN(1-O$90,($D146*O$33+O$46)*O$96/10000))</f>
        <v>#N/A</v>
      </c>
    </row>
    <row r="147" spans="2:15" x14ac:dyDescent="0.3">
      <c r="B147" s="361" t="s">
        <v>1017</v>
      </c>
      <c r="C147" s="272" t="s">
        <v>1010</v>
      </c>
      <c r="D147" s="272">
        <v>2</v>
      </c>
      <c r="E147" s="277" t="e">
        <f>IF(E$21=Input_lists!$C$3,MIN(1-E$90,IF(calc_COSTREAM!$D147&lt;calc_COSTREAM!E$91,E$46*$D147/(calc_COSTREAM!E$91-1)*E$96/10000,(($D147-calc_COSTREAM!E$91+1)*E$33+E$46)*E$96/10000)),MIN(1-E$90,($D147*E$33+E$46)*E$96/10000))</f>
        <v>#N/A</v>
      </c>
      <c r="F147" s="277" t="e">
        <f>IF(F$21=Input_lists!$C$3,MIN(1-F$90,IF(calc_COSTREAM!$D147&lt;calc_COSTREAM!F$91,F$46*$D147/(calc_COSTREAM!F$91-1)*F$96/10000,(($D147-calc_COSTREAM!F$91+1)*F$33+F$46)*F$96/10000)),MIN(1-F$90,($D147*F$33+F$46)*F$96/10000))</f>
        <v>#N/A</v>
      </c>
      <c r="G147" s="277"/>
      <c r="H147" s="277" t="e">
        <f>IF(H$21=Input_lists!$C$3,MIN(1-H$90,IF(calc_COSTREAM!$D147&lt;calc_COSTREAM!H$91,H$46*$D147/(calc_COSTREAM!H$91-1)*H$96/10000,(($D147-calc_COSTREAM!H$91+1)*H$33+H$46)*H$96/10000)),MIN(1-H$90,($D147*H$33+H$46)*H$96/10000))</f>
        <v>#N/A</v>
      </c>
      <c r="I147" s="277" t="e">
        <f>IF(I$21=Input_lists!$C$3,MIN(1-I$90,IF(calc_COSTREAM!$D147&lt;calc_COSTREAM!I$91,I$46*$D147/(calc_COSTREAM!I$91-1)*I$96/10000,(($D147-calc_COSTREAM!I$91+1)*I$33+I$46)*I$96/10000)),MIN(1-I$90,($D147*I$33+I$46)*I$96/10000))</f>
        <v>#N/A</v>
      </c>
      <c r="K147" s="277" t="e">
        <f>IF(K$21=Input_lists!$C$3,MIN(1-K$90,IF(calc_COSTREAM!$D147&lt;calc_COSTREAM!K$91,K$46*$D147/(calc_COSTREAM!K$91-1)*K$96/10000,(($D147-calc_COSTREAM!K$91+1)*K$33+K$46)*K$96/10000)),MIN(1-K$90,($D147*K$33+K$46)*K$96/10000))</f>
        <v>#N/A</v>
      </c>
      <c r="L147" s="277" t="e">
        <f>IF(L$21=Input_lists!$C$3,MIN(1-L$90,IF(calc_COSTREAM!$D147&lt;calc_COSTREAM!L$91,L$46*$D147/(calc_COSTREAM!L$91-1)*L$96/10000,(($D147-calc_COSTREAM!L$91+1)*L$33+L$46)*L$96/10000)),MIN(1-L$90,($D147*L$33+L$46)*L$96/10000))</f>
        <v>#N/A</v>
      </c>
      <c r="M147" s="277"/>
      <c r="N147" s="277" t="e">
        <f>IF(N$21=Input_lists!$C$3,MIN(1-N$90,IF(calc_COSTREAM!$D147&lt;calc_COSTREAM!N$91,N$46*$D147/(calc_COSTREAM!N$91-1)*N$96/10000,(($D147-calc_COSTREAM!N$91+1)*N$33+N$46)*N$96/10000)),MIN(1-N$90,($D147*N$33+N$46)*N$96/10000))</f>
        <v>#N/A</v>
      </c>
      <c r="O147" s="277" t="e">
        <f>IF(O$21=Input_lists!$C$3,MIN(1-O$90,IF(calc_COSTREAM!$D147&lt;calc_COSTREAM!O$91,O$46*$D147/(calc_COSTREAM!O$91-1)*O$96/10000,(($D147-calc_COSTREAM!O$91+1)*O$33+O$46)*O$96/10000)),MIN(1-O$90,($D147*O$33+O$46)*O$96/10000))</f>
        <v>#N/A</v>
      </c>
    </row>
    <row r="148" spans="2:15" x14ac:dyDescent="0.3">
      <c r="B148" s="361" t="s">
        <v>1017</v>
      </c>
      <c r="C148" s="272" t="s">
        <v>1010</v>
      </c>
      <c r="D148" s="272">
        <v>3</v>
      </c>
      <c r="E148" s="277" t="e">
        <f>IF(E$21=Input_lists!$C$3,MIN(1-E$90,IF(calc_COSTREAM!$D148&lt;calc_COSTREAM!E$91,E$46*$D148/(calc_COSTREAM!E$91-1)*E$96/10000,(($D148-calc_COSTREAM!E$91+1)*E$33+E$46)*E$96/10000)),MIN(1-E$90,($D148*E$33+E$46)*E$96/10000))</f>
        <v>#N/A</v>
      </c>
      <c r="F148" s="277" t="e">
        <f>IF(F$21=Input_lists!$C$3,MIN(1-F$90,IF(calc_COSTREAM!$D148&lt;calc_COSTREAM!F$91,F$46*$D148/(calc_COSTREAM!F$91-1)*F$96/10000,(($D148-calc_COSTREAM!F$91+1)*F$33+F$46)*F$96/10000)),MIN(1-F$90,($D148*F$33+F$46)*F$96/10000))</f>
        <v>#N/A</v>
      </c>
      <c r="G148" s="277"/>
      <c r="H148" s="277" t="e">
        <f>IF(H$21=Input_lists!$C$3,MIN(1-H$90,IF(calc_COSTREAM!$D148&lt;calc_COSTREAM!H$91,H$46*$D148/(calc_COSTREAM!H$91-1)*H$96/10000,(($D148-calc_COSTREAM!H$91+1)*H$33+H$46)*H$96/10000)),MIN(1-H$90,($D148*H$33+H$46)*H$96/10000))</f>
        <v>#N/A</v>
      </c>
      <c r="I148" s="277" t="e">
        <f>IF(I$21=Input_lists!$C$3,MIN(1-I$90,IF(calc_COSTREAM!$D148&lt;calc_COSTREAM!I$91,I$46*$D148/(calc_COSTREAM!I$91-1)*I$96/10000,(($D148-calc_COSTREAM!I$91+1)*I$33+I$46)*I$96/10000)),MIN(1-I$90,($D148*I$33+I$46)*I$96/10000))</f>
        <v>#N/A</v>
      </c>
      <c r="K148" s="277" t="e">
        <f>IF(K$21=Input_lists!$C$3,MIN(1-K$90,IF(calc_COSTREAM!$D148&lt;calc_COSTREAM!K$91,K$46*$D148/(calc_COSTREAM!K$91-1)*K$96/10000,(($D148-calc_COSTREAM!K$91+1)*K$33+K$46)*K$96/10000)),MIN(1-K$90,($D148*K$33+K$46)*K$96/10000))</f>
        <v>#N/A</v>
      </c>
      <c r="L148" s="277" t="e">
        <f>IF(L$21=Input_lists!$C$3,MIN(1-L$90,IF(calc_COSTREAM!$D148&lt;calc_COSTREAM!L$91,L$46*$D148/(calc_COSTREAM!L$91-1)*L$96/10000,(($D148-calc_COSTREAM!L$91+1)*L$33+L$46)*L$96/10000)),MIN(1-L$90,($D148*L$33+L$46)*L$96/10000))</f>
        <v>#N/A</v>
      </c>
      <c r="M148" s="277"/>
      <c r="N148" s="277" t="e">
        <f>IF(N$21=Input_lists!$C$3,MIN(1-N$90,IF(calc_COSTREAM!$D148&lt;calc_COSTREAM!N$91,N$46*$D148/(calc_COSTREAM!N$91-1)*N$96/10000,(($D148-calc_COSTREAM!N$91+1)*N$33+N$46)*N$96/10000)),MIN(1-N$90,($D148*N$33+N$46)*N$96/10000))</f>
        <v>#N/A</v>
      </c>
      <c r="O148" s="277" t="e">
        <f>IF(O$21=Input_lists!$C$3,MIN(1-O$90,IF(calc_COSTREAM!$D148&lt;calc_COSTREAM!O$91,O$46*$D148/(calc_COSTREAM!O$91-1)*O$96/10000,(($D148-calc_COSTREAM!O$91+1)*O$33+O$46)*O$96/10000)),MIN(1-O$90,($D148*O$33+O$46)*O$96/10000))</f>
        <v>#N/A</v>
      </c>
    </row>
    <row r="149" spans="2:15" x14ac:dyDescent="0.3">
      <c r="B149" s="361" t="s">
        <v>1017</v>
      </c>
      <c r="C149" s="272" t="s">
        <v>1010</v>
      </c>
      <c r="D149" s="272">
        <v>4</v>
      </c>
      <c r="E149" s="277" t="e">
        <f>IF(E$21=Input_lists!$C$3,MIN(1-E$90,IF(calc_COSTREAM!$D149&lt;calc_COSTREAM!E$91,E$46*$D149/(calc_COSTREAM!E$91-1)*E$96/10000,(($D149-calc_COSTREAM!E$91+1)*E$33+E$46)*E$96/10000)),MIN(1-E$90,($D149*E$33+E$46)*E$96/10000))</f>
        <v>#N/A</v>
      </c>
      <c r="F149" s="277" t="e">
        <f>IF(F$21=Input_lists!$C$3,MIN(1-F$90,IF(calc_COSTREAM!$D149&lt;calc_COSTREAM!F$91,F$46*$D149/(calc_COSTREAM!F$91-1)*F$96/10000,(($D149-calc_COSTREAM!F$91+1)*F$33+F$46)*F$96/10000)),MIN(1-F$90,($D149*F$33+F$46)*F$96/10000))</f>
        <v>#N/A</v>
      </c>
      <c r="G149" s="277"/>
      <c r="H149" s="277" t="e">
        <f>IF(H$21=Input_lists!$C$3,MIN(1-H$90,IF(calc_COSTREAM!$D149&lt;calc_COSTREAM!H$91,H$46*$D149/(calc_COSTREAM!H$91-1)*H$96/10000,(($D149-calc_COSTREAM!H$91+1)*H$33+H$46)*H$96/10000)),MIN(1-H$90,($D149*H$33+H$46)*H$96/10000))</f>
        <v>#N/A</v>
      </c>
      <c r="I149" s="277" t="e">
        <f>IF(I$21=Input_lists!$C$3,MIN(1-I$90,IF(calc_COSTREAM!$D149&lt;calc_COSTREAM!I$91,I$46*$D149/(calc_COSTREAM!I$91-1)*I$96/10000,(($D149-calc_COSTREAM!I$91+1)*I$33+I$46)*I$96/10000)),MIN(1-I$90,($D149*I$33+I$46)*I$96/10000))</f>
        <v>#N/A</v>
      </c>
      <c r="K149" s="277" t="e">
        <f>IF(K$21=Input_lists!$C$3,MIN(1-K$90,IF(calc_COSTREAM!$D149&lt;calc_COSTREAM!K$91,K$46*$D149/(calc_COSTREAM!K$91-1)*K$96/10000,(($D149-calc_COSTREAM!K$91+1)*K$33+K$46)*K$96/10000)),MIN(1-K$90,($D149*K$33+K$46)*K$96/10000))</f>
        <v>#N/A</v>
      </c>
      <c r="L149" s="277" t="e">
        <f>IF(L$21=Input_lists!$C$3,MIN(1-L$90,IF(calc_COSTREAM!$D149&lt;calc_COSTREAM!L$91,L$46*$D149/(calc_COSTREAM!L$91-1)*L$96/10000,(($D149-calc_COSTREAM!L$91+1)*L$33+L$46)*L$96/10000)),MIN(1-L$90,($D149*L$33+L$46)*L$96/10000))</f>
        <v>#N/A</v>
      </c>
      <c r="M149" s="277"/>
      <c r="N149" s="277" t="e">
        <f>IF(N$21=Input_lists!$C$3,MIN(1-N$90,IF(calc_COSTREAM!$D149&lt;calc_COSTREAM!N$91,N$46*$D149/(calc_COSTREAM!N$91-1)*N$96/10000,(($D149-calc_COSTREAM!N$91+1)*N$33+N$46)*N$96/10000)),MIN(1-N$90,($D149*N$33+N$46)*N$96/10000))</f>
        <v>#N/A</v>
      </c>
      <c r="O149" s="277" t="e">
        <f>IF(O$21=Input_lists!$C$3,MIN(1-O$90,IF(calc_COSTREAM!$D149&lt;calc_COSTREAM!O$91,O$46*$D149/(calc_COSTREAM!O$91-1)*O$96/10000,(($D149-calc_COSTREAM!O$91+1)*O$33+O$46)*O$96/10000)),MIN(1-O$90,($D149*O$33+O$46)*O$96/10000))</f>
        <v>#N/A</v>
      </c>
    </row>
    <row r="150" spans="2:15" x14ac:dyDescent="0.3">
      <c r="B150" s="361" t="s">
        <v>1017</v>
      </c>
      <c r="C150" s="272" t="s">
        <v>1010</v>
      </c>
      <c r="D150" s="272">
        <v>5</v>
      </c>
      <c r="E150" s="277" t="e">
        <f>IF(E$21=Input_lists!$C$3,MIN(1-E$90,IF(calc_COSTREAM!$D150&lt;calc_COSTREAM!E$91,E$46*$D150/(calc_COSTREAM!E$91-1)*E$96/10000,(($D150-calc_COSTREAM!E$91+1)*E$33+E$46)*E$96/10000)),MIN(1-E$90,($D150*E$33+E$46)*E$96/10000))</f>
        <v>#N/A</v>
      </c>
      <c r="F150" s="277" t="e">
        <f>IF(F$21=Input_lists!$C$3,MIN(1-F$90,IF(calc_COSTREAM!$D150&lt;calc_COSTREAM!F$91,F$46*$D150/(calc_COSTREAM!F$91-1)*F$96/10000,(($D150-calc_COSTREAM!F$91+1)*F$33+F$46)*F$96/10000)),MIN(1-F$90,($D150*F$33+F$46)*F$96/10000))</f>
        <v>#N/A</v>
      </c>
      <c r="G150" s="277"/>
      <c r="H150" s="277" t="e">
        <f>IF(H$21=Input_lists!$C$3,MIN(1-H$90,IF(calc_COSTREAM!$D150&lt;calc_COSTREAM!H$91,H$46*$D150/(calc_COSTREAM!H$91-1)*H$96/10000,(($D150-calc_COSTREAM!H$91+1)*H$33+H$46)*H$96/10000)),MIN(1-H$90,($D150*H$33+H$46)*H$96/10000))</f>
        <v>#N/A</v>
      </c>
      <c r="I150" s="277" t="e">
        <f>IF(I$21=Input_lists!$C$3,MIN(1-I$90,IF(calc_COSTREAM!$D150&lt;calc_COSTREAM!I$91,I$46*$D150/(calc_COSTREAM!I$91-1)*I$96/10000,(($D150-calc_COSTREAM!I$91+1)*I$33+I$46)*I$96/10000)),MIN(1-I$90,($D150*I$33+I$46)*I$96/10000))</f>
        <v>#N/A</v>
      </c>
      <c r="K150" s="277" t="e">
        <f>IF(K$21=Input_lists!$C$3,MIN(1-K$90,IF(calc_COSTREAM!$D150&lt;calc_COSTREAM!K$91,K$46*$D150/(calc_COSTREAM!K$91-1)*K$96/10000,(($D150-calc_COSTREAM!K$91+1)*K$33+K$46)*K$96/10000)),MIN(1-K$90,($D150*K$33+K$46)*K$96/10000))</f>
        <v>#N/A</v>
      </c>
      <c r="L150" s="277" t="e">
        <f>IF(L$21=Input_lists!$C$3,MIN(1-L$90,IF(calc_COSTREAM!$D150&lt;calc_COSTREAM!L$91,L$46*$D150/(calc_COSTREAM!L$91-1)*L$96/10000,(($D150-calc_COSTREAM!L$91+1)*L$33+L$46)*L$96/10000)),MIN(1-L$90,($D150*L$33+L$46)*L$96/10000))</f>
        <v>#N/A</v>
      </c>
      <c r="M150" s="277"/>
      <c r="N150" s="277" t="e">
        <f>IF(N$21=Input_lists!$C$3,MIN(1-N$90,IF(calc_COSTREAM!$D150&lt;calc_COSTREAM!N$91,N$46*$D150/(calc_COSTREAM!N$91-1)*N$96/10000,(($D150-calc_COSTREAM!N$91+1)*N$33+N$46)*N$96/10000)),MIN(1-N$90,($D150*N$33+N$46)*N$96/10000))</f>
        <v>#N/A</v>
      </c>
      <c r="O150" s="277" t="e">
        <f>IF(O$21=Input_lists!$C$3,MIN(1-O$90,IF(calc_COSTREAM!$D150&lt;calc_COSTREAM!O$91,O$46*$D150/(calc_COSTREAM!O$91-1)*O$96/10000,(($D150-calc_COSTREAM!O$91+1)*O$33+O$46)*O$96/10000)),MIN(1-O$90,($D150*O$33+O$46)*O$96/10000))</f>
        <v>#N/A</v>
      </c>
    </row>
    <row r="151" spans="2:15" x14ac:dyDescent="0.3">
      <c r="B151" s="361" t="s">
        <v>1017</v>
      </c>
      <c r="C151" s="272" t="s">
        <v>1010</v>
      </c>
      <c r="D151" s="272">
        <v>6</v>
      </c>
      <c r="E151" s="277" t="e">
        <f>IF(E$21=Input_lists!$C$3,MIN(1-E$90,IF(calc_COSTREAM!$D151&lt;calc_COSTREAM!E$91,E$46*$D151/(calc_COSTREAM!E$91-1)*E$96/10000,(($D151-calc_COSTREAM!E$91+1)*E$33+E$46)*E$96/10000)),MIN(1-E$90,($D151*E$33+E$46)*E$96/10000))</f>
        <v>#N/A</v>
      </c>
      <c r="F151" s="277" t="e">
        <f>IF(F$21=Input_lists!$C$3,MIN(1-F$90,IF(calc_COSTREAM!$D151&lt;calc_COSTREAM!F$91,F$46*$D151/(calc_COSTREAM!F$91-1)*F$96/10000,(($D151-calc_COSTREAM!F$91+1)*F$33+F$46)*F$96/10000)),MIN(1-F$90,($D151*F$33+F$46)*F$96/10000))</f>
        <v>#N/A</v>
      </c>
      <c r="G151" s="277"/>
      <c r="H151" s="277" t="e">
        <f>IF(H$21=Input_lists!$C$3,MIN(1-H$90,IF(calc_COSTREAM!$D151&lt;calc_COSTREAM!H$91,H$46*$D151/(calc_COSTREAM!H$91-1)*H$96/10000,(($D151-calc_COSTREAM!H$91+1)*H$33+H$46)*H$96/10000)),MIN(1-H$90,($D151*H$33+H$46)*H$96/10000))</f>
        <v>#N/A</v>
      </c>
      <c r="I151" s="277" t="e">
        <f>IF(I$21=Input_lists!$C$3,MIN(1-I$90,IF(calc_COSTREAM!$D151&lt;calc_COSTREAM!I$91,I$46*$D151/(calc_COSTREAM!I$91-1)*I$96/10000,(($D151-calc_COSTREAM!I$91+1)*I$33+I$46)*I$96/10000)),MIN(1-I$90,($D151*I$33+I$46)*I$96/10000))</f>
        <v>#N/A</v>
      </c>
      <c r="K151" s="277" t="e">
        <f>IF(K$21=Input_lists!$C$3,MIN(1-K$90,IF(calc_COSTREAM!$D151&lt;calc_COSTREAM!K$91,K$46*$D151/(calc_COSTREAM!K$91-1)*K$96/10000,(($D151-calc_COSTREAM!K$91+1)*K$33+K$46)*K$96/10000)),MIN(1-K$90,($D151*K$33+K$46)*K$96/10000))</f>
        <v>#N/A</v>
      </c>
      <c r="L151" s="277" t="e">
        <f>IF(L$21=Input_lists!$C$3,MIN(1-L$90,IF(calc_COSTREAM!$D151&lt;calc_COSTREAM!L$91,L$46*$D151/(calc_COSTREAM!L$91-1)*L$96/10000,(($D151-calc_COSTREAM!L$91+1)*L$33+L$46)*L$96/10000)),MIN(1-L$90,($D151*L$33+L$46)*L$96/10000))</f>
        <v>#N/A</v>
      </c>
      <c r="M151" s="277"/>
      <c r="N151" s="277" t="e">
        <f>IF(N$21=Input_lists!$C$3,MIN(1-N$90,IF(calc_COSTREAM!$D151&lt;calc_COSTREAM!N$91,N$46*$D151/(calc_COSTREAM!N$91-1)*N$96/10000,(($D151-calc_COSTREAM!N$91+1)*N$33+N$46)*N$96/10000)),MIN(1-N$90,($D151*N$33+N$46)*N$96/10000))</f>
        <v>#N/A</v>
      </c>
      <c r="O151" s="277" t="e">
        <f>IF(O$21=Input_lists!$C$3,MIN(1-O$90,IF(calc_COSTREAM!$D151&lt;calc_COSTREAM!O$91,O$46*$D151/(calc_COSTREAM!O$91-1)*O$96/10000,(($D151-calc_COSTREAM!O$91+1)*O$33+O$46)*O$96/10000)),MIN(1-O$90,($D151*O$33+O$46)*O$96/10000))</f>
        <v>#N/A</v>
      </c>
    </row>
    <row r="152" spans="2:15" x14ac:dyDescent="0.3">
      <c r="B152" s="361" t="s">
        <v>1017</v>
      </c>
      <c r="C152" s="272" t="s">
        <v>1010</v>
      </c>
      <c r="D152" s="272">
        <v>7</v>
      </c>
      <c r="E152" s="277" t="e">
        <f>IF(E$21=Input_lists!$C$3,MIN(1-E$90,IF(calc_COSTREAM!$D152&lt;calc_COSTREAM!E$91,E$46*$D152/(calc_COSTREAM!E$91-1)*E$96/10000,(($D152-calc_COSTREAM!E$91+1)*E$33+E$46)*E$96/10000)),MIN(1-E$90,($D152*E$33+E$46)*E$96/10000))</f>
        <v>#N/A</v>
      </c>
      <c r="F152" s="277" t="e">
        <f>IF(F$21=Input_lists!$C$3,MIN(1-F$90,IF(calc_COSTREAM!$D152&lt;calc_COSTREAM!F$91,F$46*$D152/(calc_COSTREAM!F$91-1)*F$96/10000,(($D152-calc_COSTREAM!F$91+1)*F$33+F$46)*F$96/10000)),MIN(1-F$90,($D152*F$33+F$46)*F$96/10000))</f>
        <v>#N/A</v>
      </c>
      <c r="G152" s="277"/>
      <c r="H152" s="277" t="e">
        <f>IF(H$21=Input_lists!$C$3,MIN(1-H$90,IF(calc_COSTREAM!$D152&lt;calc_COSTREAM!H$91,H$46*$D152/(calc_COSTREAM!H$91-1)*H$96/10000,(($D152-calc_COSTREAM!H$91+1)*H$33+H$46)*H$96/10000)),MIN(1-H$90,($D152*H$33+H$46)*H$96/10000))</f>
        <v>#N/A</v>
      </c>
      <c r="I152" s="277" t="e">
        <f>IF(I$21=Input_lists!$C$3,MIN(1-I$90,IF(calc_COSTREAM!$D152&lt;calc_COSTREAM!I$91,I$46*$D152/(calc_COSTREAM!I$91-1)*I$96/10000,(($D152-calc_COSTREAM!I$91+1)*I$33+I$46)*I$96/10000)),MIN(1-I$90,($D152*I$33+I$46)*I$96/10000))</f>
        <v>#N/A</v>
      </c>
      <c r="K152" s="277" t="e">
        <f>IF(K$21=Input_lists!$C$3,MIN(1-K$90,IF(calc_COSTREAM!$D152&lt;calc_COSTREAM!K$91,K$46*$D152/(calc_COSTREAM!K$91-1)*K$96/10000,(($D152-calc_COSTREAM!K$91+1)*K$33+K$46)*K$96/10000)),MIN(1-K$90,($D152*K$33+K$46)*K$96/10000))</f>
        <v>#N/A</v>
      </c>
      <c r="L152" s="277" t="e">
        <f>IF(L$21=Input_lists!$C$3,MIN(1-L$90,IF(calc_COSTREAM!$D152&lt;calc_COSTREAM!L$91,L$46*$D152/(calc_COSTREAM!L$91-1)*L$96/10000,(($D152-calc_COSTREAM!L$91+1)*L$33+L$46)*L$96/10000)),MIN(1-L$90,($D152*L$33+L$46)*L$96/10000))</f>
        <v>#N/A</v>
      </c>
      <c r="M152" s="277"/>
      <c r="N152" s="277" t="e">
        <f>IF(N$21=Input_lists!$C$3,MIN(1-N$90,IF(calc_COSTREAM!$D152&lt;calc_COSTREAM!N$91,N$46*$D152/(calc_COSTREAM!N$91-1)*N$96/10000,(($D152-calc_COSTREAM!N$91+1)*N$33+N$46)*N$96/10000)),MIN(1-N$90,($D152*N$33+N$46)*N$96/10000))</f>
        <v>#N/A</v>
      </c>
      <c r="O152" s="277" t="e">
        <f>IF(O$21=Input_lists!$C$3,MIN(1-O$90,IF(calc_COSTREAM!$D152&lt;calc_COSTREAM!O$91,O$46*$D152/(calc_COSTREAM!O$91-1)*O$96/10000,(($D152-calc_COSTREAM!O$91+1)*O$33+O$46)*O$96/10000)),MIN(1-O$90,($D152*O$33+O$46)*O$96/10000))</f>
        <v>#N/A</v>
      </c>
    </row>
    <row r="153" spans="2:15" x14ac:dyDescent="0.3">
      <c r="B153" s="361" t="s">
        <v>1017</v>
      </c>
      <c r="C153" s="272" t="s">
        <v>1010</v>
      </c>
      <c r="D153" s="272">
        <v>8</v>
      </c>
      <c r="E153" s="277" t="e">
        <f>IF(E$21=Input_lists!$C$3,MIN(1-E$90,IF(calc_COSTREAM!$D153&lt;calc_COSTREAM!E$91,E$46*$D153/(calc_COSTREAM!E$91-1)*E$96/10000,(($D153-calc_COSTREAM!E$91+1)*E$33+E$46)*E$96/10000)),MIN(1-E$90,($D153*E$33+E$46)*E$96/10000))</f>
        <v>#N/A</v>
      </c>
      <c r="F153" s="277" t="e">
        <f>IF(F$21=Input_lists!$C$3,MIN(1-F$90,IF(calc_COSTREAM!$D153&lt;calc_COSTREAM!F$91,F$46*$D153/(calc_COSTREAM!F$91-1)*F$96/10000,(($D153-calc_COSTREAM!F$91+1)*F$33+F$46)*F$96/10000)),MIN(1-F$90,($D153*F$33+F$46)*F$96/10000))</f>
        <v>#N/A</v>
      </c>
      <c r="G153" s="277"/>
      <c r="H153" s="277" t="e">
        <f>IF(H$21=Input_lists!$C$3,MIN(1-H$90,IF(calc_COSTREAM!$D153&lt;calc_COSTREAM!H$91,H$46*$D153/(calc_COSTREAM!H$91-1)*H$96/10000,(($D153-calc_COSTREAM!H$91+1)*H$33+H$46)*H$96/10000)),MIN(1-H$90,($D153*H$33+H$46)*H$96/10000))</f>
        <v>#N/A</v>
      </c>
      <c r="I153" s="277" t="e">
        <f>IF(I$21=Input_lists!$C$3,MIN(1-I$90,IF(calc_COSTREAM!$D153&lt;calc_COSTREAM!I$91,I$46*$D153/(calc_COSTREAM!I$91-1)*I$96/10000,(($D153-calc_COSTREAM!I$91+1)*I$33+I$46)*I$96/10000)),MIN(1-I$90,($D153*I$33+I$46)*I$96/10000))</f>
        <v>#N/A</v>
      </c>
      <c r="K153" s="277" t="e">
        <f>IF(K$21=Input_lists!$C$3,MIN(1-K$90,IF(calc_COSTREAM!$D153&lt;calc_COSTREAM!K$91,K$46*$D153/(calc_COSTREAM!K$91-1)*K$96/10000,(($D153-calc_COSTREAM!K$91+1)*K$33+K$46)*K$96/10000)),MIN(1-K$90,($D153*K$33+K$46)*K$96/10000))</f>
        <v>#N/A</v>
      </c>
      <c r="L153" s="277" t="e">
        <f>IF(L$21=Input_lists!$C$3,MIN(1-L$90,IF(calc_COSTREAM!$D153&lt;calc_COSTREAM!L$91,L$46*$D153/(calc_COSTREAM!L$91-1)*L$96/10000,(($D153-calc_COSTREAM!L$91+1)*L$33+L$46)*L$96/10000)),MIN(1-L$90,($D153*L$33+L$46)*L$96/10000))</f>
        <v>#N/A</v>
      </c>
      <c r="M153" s="277"/>
      <c r="N153" s="277" t="e">
        <f>IF(N$21=Input_lists!$C$3,MIN(1-N$90,IF(calc_COSTREAM!$D153&lt;calc_COSTREAM!N$91,N$46*$D153/(calc_COSTREAM!N$91-1)*N$96/10000,(($D153-calc_COSTREAM!N$91+1)*N$33+N$46)*N$96/10000)),MIN(1-N$90,($D153*N$33+N$46)*N$96/10000))</f>
        <v>#N/A</v>
      </c>
      <c r="O153" s="277" t="e">
        <f>IF(O$21=Input_lists!$C$3,MIN(1-O$90,IF(calc_COSTREAM!$D153&lt;calc_COSTREAM!O$91,O$46*$D153/(calc_COSTREAM!O$91-1)*O$96/10000,(($D153-calc_COSTREAM!O$91+1)*O$33+O$46)*O$96/10000)),MIN(1-O$90,($D153*O$33+O$46)*O$96/10000))</f>
        <v>#N/A</v>
      </c>
    </row>
    <row r="154" spans="2:15" x14ac:dyDescent="0.3">
      <c r="B154" s="361" t="s">
        <v>1017</v>
      </c>
      <c r="C154" s="272" t="s">
        <v>1010</v>
      </c>
      <c r="D154" s="272">
        <v>9</v>
      </c>
      <c r="E154" s="277" t="e">
        <f>IF(E$21=Input_lists!$C$3,MIN(1-E$90,IF(calc_COSTREAM!$D154&lt;calc_COSTREAM!E$91,E$46*$D154/(calc_COSTREAM!E$91-1)*E$96/10000,(($D154-calc_COSTREAM!E$91+1)*E$33+E$46)*E$96/10000)),MIN(1-E$90,($D154*E$33+E$46)*E$96/10000))</f>
        <v>#N/A</v>
      </c>
      <c r="F154" s="277" t="e">
        <f>IF(F$21=Input_lists!$C$3,MIN(1-F$90,IF(calc_COSTREAM!$D154&lt;calc_COSTREAM!F$91,F$46*$D154/(calc_COSTREAM!F$91-1)*F$96/10000,(($D154-calc_COSTREAM!F$91+1)*F$33+F$46)*F$96/10000)),MIN(1-F$90,($D154*F$33+F$46)*F$96/10000))</f>
        <v>#N/A</v>
      </c>
      <c r="G154" s="277"/>
      <c r="H154" s="277" t="e">
        <f>IF(H$21=Input_lists!$C$3,MIN(1-H$90,IF(calc_COSTREAM!$D154&lt;calc_COSTREAM!H$91,H$46*$D154/(calc_COSTREAM!H$91-1)*H$96/10000,(($D154-calc_COSTREAM!H$91+1)*H$33+H$46)*H$96/10000)),MIN(1-H$90,($D154*H$33+H$46)*H$96/10000))</f>
        <v>#N/A</v>
      </c>
      <c r="I154" s="277" t="e">
        <f>IF(I$21=Input_lists!$C$3,MIN(1-I$90,IF(calc_COSTREAM!$D154&lt;calc_COSTREAM!I$91,I$46*$D154/(calc_COSTREAM!I$91-1)*I$96/10000,(($D154-calc_COSTREAM!I$91+1)*I$33+I$46)*I$96/10000)),MIN(1-I$90,($D154*I$33+I$46)*I$96/10000))</f>
        <v>#N/A</v>
      </c>
      <c r="K154" s="277" t="e">
        <f>IF(K$21=Input_lists!$C$3,MIN(1-K$90,IF(calc_COSTREAM!$D154&lt;calc_COSTREAM!K$91,K$46*$D154/(calc_COSTREAM!K$91-1)*K$96/10000,(($D154-calc_COSTREAM!K$91+1)*K$33+K$46)*K$96/10000)),MIN(1-K$90,($D154*K$33+K$46)*K$96/10000))</f>
        <v>#N/A</v>
      </c>
      <c r="L154" s="277" t="e">
        <f>IF(L$21=Input_lists!$C$3,MIN(1-L$90,IF(calc_COSTREAM!$D154&lt;calc_COSTREAM!L$91,L$46*$D154/(calc_COSTREAM!L$91-1)*L$96/10000,(($D154-calc_COSTREAM!L$91+1)*L$33+L$46)*L$96/10000)),MIN(1-L$90,($D154*L$33+L$46)*L$96/10000))</f>
        <v>#N/A</v>
      </c>
      <c r="M154" s="277"/>
      <c r="N154" s="277" t="e">
        <f>IF(N$21=Input_lists!$C$3,MIN(1-N$90,IF(calc_COSTREAM!$D154&lt;calc_COSTREAM!N$91,N$46*$D154/(calc_COSTREAM!N$91-1)*N$96/10000,(($D154-calc_COSTREAM!N$91+1)*N$33+N$46)*N$96/10000)),MIN(1-N$90,($D154*N$33+N$46)*N$96/10000))</f>
        <v>#N/A</v>
      </c>
      <c r="O154" s="277" t="e">
        <f>IF(O$21=Input_lists!$C$3,MIN(1-O$90,IF(calc_COSTREAM!$D154&lt;calc_COSTREAM!O$91,O$46*$D154/(calc_COSTREAM!O$91-1)*O$96/10000,(($D154-calc_COSTREAM!O$91+1)*O$33+O$46)*O$96/10000)),MIN(1-O$90,($D154*O$33+O$46)*O$96/10000))</f>
        <v>#N/A</v>
      </c>
    </row>
    <row r="155" spans="2:15" x14ac:dyDescent="0.3">
      <c r="B155" s="361" t="s">
        <v>1017</v>
      </c>
      <c r="C155" s="272" t="s">
        <v>1010</v>
      </c>
      <c r="D155" s="272">
        <v>10</v>
      </c>
      <c r="E155" s="277" t="e">
        <f>IF(E$21=Input_lists!$C$3,MIN(1-E$90,IF(calc_COSTREAM!$D155&lt;calc_COSTREAM!E$91,E$46*$D155/(calc_COSTREAM!E$91-1)*E$96/10000,(($D155-calc_COSTREAM!E$91+1)*E$33+E$46)*E$96/10000)),MIN(1-E$90,($D155*E$33+E$46)*E$96/10000))</f>
        <v>#N/A</v>
      </c>
      <c r="F155" s="277" t="e">
        <f>IF(F$21=Input_lists!$C$3,MIN(1-F$90,IF(calc_COSTREAM!$D155&lt;calc_COSTREAM!F$91,F$46*$D155/(calc_COSTREAM!F$91-1)*F$96/10000,(($D155-calc_COSTREAM!F$91+1)*F$33+F$46)*F$96/10000)),MIN(1-F$90,($D155*F$33+F$46)*F$96/10000))</f>
        <v>#N/A</v>
      </c>
      <c r="G155" s="277"/>
      <c r="H155" s="277" t="e">
        <f>IF(H$21=Input_lists!$C$3,MIN(1-H$90,IF(calc_COSTREAM!$D155&lt;calc_COSTREAM!H$91,H$46*$D155/(calc_COSTREAM!H$91-1)*H$96/10000,(($D155-calc_COSTREAM!H$91+1)*H$33+H$46)*H$96/10000)),MIN(1-H$90,($D155*H$33+H$46)*H$96/10000))</f>
        <v>#N/A</v>
      </c>
      <c r="I155" s="277" t="e">
        <f>IF(I$21=Input_lists!$C$3,MIN(1-I$90,IF(calc_COSTREAM!$D155&lt;calc_COSTREAM!I$91,I$46*$D155/(calc_COSTREAM!I$91-1)*I$96/10000,(($D155-calc_COSTREAM!I$91+1)*I$33+I$46)*I$96/10000)),MIN(1-I$90,($D155*I$33+I$46)*I$96/10000))</f>
        <v>#N/A</v>
      </c>
      <c r="K155" s="277" t="e">
        <f>IF(K$21=Input_lists!$C$3,MIN(1-K$90,IF(calc_COSTREAM!$D155&lt;calc_COSTREAM!K$91,K$46*$D155/(calc_COSTREAM!K$91-1)*K$96/10000,(($D155-calc_COSTREAM!K$91+1)*K$33+K$46)*K$96/10000)),MIN(1-K$90,($D155*K$33+K$46)*K$96/10000))</f>
        <v>#N/A</v>
      </c>
      <c r="L155" s="277" t="e">
        <f>IF(L$21=Input_lists!$C$3,MIN(1-L$90,IF(calc_COSTREAM!$D155&lt;calc_COSTREAM!L$91,L$46*$D155/(calc_COSTREAM!L$91-1)*L$96/10000,(($D155-calc_COSTREAM!L$91+1)*L$33+L$46)*L$96/10000)),MIN(1-L$90,($D155*L$33+L$46)*L$96/10000))</f>
        <v>#N/A</v>
      </c>
      <c r="M155" s="277"/>
      <c r="N155" s="277" t="e">
        <f>IF(N$21=Input_lists!$C$3,MIN(1-N$90,IF(calc_COSTREAM!$D155&lt;calc_COSTREAM!N$91,N$46*$D155/(calc_COSTREAM!N$91-1)*N$96/10000,(($D155-calc_COSTREAM!N$91+1)*N$33+N$46)*N$96/10000)),MIN(1-N$90,($D155*N$33+N$46)*N$96/10000))</f>
        <v>#N/A</v>
      </c>
      <c r="O155" s="277" t="e">
        <f>IF(O$21=Input_lists!$C$3,MIN(1-O$90,IF(calc_COSTREAM!$D155&lt;calc_COSTREAM!O$91,O$46*$D155/(calc_COSTREAM!O$91-1)*O$96/10000,(($D155-calc_COSTREAM!O$91+1)*O$33+O$46)*O$96/10000)),MIN(1-O$90,($D155*O$33+O$46)*O$96/10000))</f>
        <v>#N/A</v>
      </c>
    </row>
    <row r="156" spans="2:15" x14ac:dyDescent="0.3">
      <c r="B156" s="361" t="s">
        <v>1017</v>
      </c>
      <c r="C156" s="272" t="s">
        <v>1010</v>
      </c>
      <c r="D156" s="272">
        <v>11</v>
      </c>
      <c r="E156" s="277" t="e">
        <f>IF(E$21=Input_lists!$C$3,MIN(1-E$90,IF(calc_COSTREAM!$D156&lt;calc_COSTREAM!E$91,E$46*$D156/(calc_COSTREAM!E$91-1)*E$96/10000,(($D156-calc_COSTREAM!E$91+1)*E$33+E$46)*E$96/10000)),MIN(1-E$90,($D156*E$33+E$46)*E$96/10000))</f>
        <v>#N/A</v>
      </c>
      <c r="F156" s="277" t="e">
        <f>IF(F$21=Input_lists!$C$3,MIN(1-F$90,IF(calc_COSTREAM!$D156&lt;calc_COSTREAM!F$91,F$46*$D156/(calc_COSTREAM!F$91-1)*F$96/10000,(($D156-calc_COSTREAM!F$91+1)*F$33+F$46)*F$96/10000)),MIN(1-F$90,($D156*F$33+F$46)*F$96/10000))</f>
        <v>#N/A</v>
      </c>
      <c r="G156" s="277"/>
      <c r="H156" s="277" t="e">
        <f>IF(H$21=Input_lists!$C$3,MIN(1-H$90,IF(calc_COSTREAM!$D156&lt;calc_COSTREAM!H$91,H$46*$D156/(calc_COSTREAM!H$91-1)*H$96/10000,(($D156-calc_COSTREAM!H$91+1)*H$33+H$46)*H$96/10000)),MIN(1-H$90,($D156*H$33+H$46)*H$96/10000))</f>
        <v>#N/A</v>
      </c>
      <c r="I156" s="277" t="e">
        <f>IF(I$21=Input_lists!$C$3,MIN(1-I$90,IF(calc_COSTREAM!$D156&lt;calc_COSTREAM!I$91,I$46*$D156/(calc_COSTREAM!I$91-1)*I$96/10000,(($D156-calc_COSTREAM!I$91+1)*I$33+I$46)*I$96/10000)),MIN(1-I$90,($D156*I$33+I$46)*I$96/10000))</f>
        <v>#N/A</v>
      </c>
      <c r="K156" s="277" t="e">
        <f>IF(K$21=Input_lists!$C$3,MIN(1-K$90,IF(calc_COSTREAM!$D156&lt;calc_COSTREAM!K$91,K$46*$D156/(calc_COSTREAM!K$91-1)*K$96/10000,(($D156-calc_COSTREAM!K$91+1)*K$33+K$46)*K$96/10000)),MIN(1-K$90,($D156*K$33+K$46)*K$96/10000))</f>
        <v>#N/A</v>
      </c>
      <c r="L156" s="277" t="e">
        <f>IF(L$21=Input_lists!$C$3,MIN(1-L$90,IF(calc_COSTREAM!$D156&lt;calc_COSTREAM!L$91,L$46*$D156/(calc_COSTREAM!L$91-1)*L$96/10000,(($D156-calc_COSTREAM!L$91+1)*L$33+L$46)*L$96/10000)),MIN(1-L$90,($D156*L$33+L$46)*L$96/10000))</f>
        <v>#N/A</v>
      </c>
      <c r="M156" s="277"/>
      <c r="N156" s="277" t="e">
        <f>IF(N$21=Input_lists!$C$3,MIN(1-N$90,IF(calc_COSTREAM!$D156&lt;calc_COSTREAM!N$91,N$46*$D156/(calc_COSTREAM!N$91-1)*N$96/10000,(($D156-calc_COSTREAM!N$91+1)*N$33+N$46)*N$96/10000)),MIN(1-N$90,($D156*N$33+N$46)*N$96/10000))</f>
        <v>#N/A</v>
      </c>
      <c r="O156" s="277" t="e">
        <f>IF(O$21=Input_lists!$C$3,MIN(1-O$90,IF(calc_COSTREAM!$D156&lt;calc_COSTREAM!O$91,O$46*$D156/(calc_COSTREAM!O$91-1)*O$96/10000,(($D156-calc_COSTREAM!O$91+1)*O$33+O$46)*O$96/10000)),MIN(1-O$90,($D156*O$33+O$46)*O$96/10000))</f>
        <v>#N/A</v>
      </c>
    </row>
    <row r="157" spans="2:15" x14ac:dyDescent="0.3">
      <c r="B157" s="361" t="s">
        <v>1017</v>
      </c>
      <c r="C157" s="272" t="s">
        <v>1010</v>
      </c>
      <c r="D157" s="272">
        <v>12</v>
      </c>
      <c r="E157" s="277" t="e">
        <f>IF(E$21=Input_lists!$C$3,MIN(1-E$90,IF(calc_COSTREAM!$D157&lt;calc_COSTREAM!E$91,E$46*$D157/(calc_COSTREAM!E$91-1)*E$96/10000,(($D157-calc_COSTREAM!E$91+1)*E$33+E$46)*E$96/10000)),MIN(1-E$90,($D157*E$33+E$46)*E$96/10000))</f>
        <v>#N/A</v>
      </c>
      <c r="F157" s="277" t="e">
        <f>IF(F$21=Input_lists!$C$3,MIN(1-F$90,IF(calc_COSTREAM!$D157&lt;calc_COSTREAM!F$91,F$46*$D157/(calc_COSTREAM!F$91-1)*F$96/10000,(($D157-calc_COSTREAM!F$91+1)*F$33+F$46)*F$96/10000)),MIN(1-F$90,($D157*F$33+F$46)*F$96/10000))</f>
        <v>#N/A</v>
      </c>
      <c r="G157" s="277"/>
      <c r="H157" s="277" t="e">
        <f>IF(H$21=Input_lists!$C$3,MIN(1-H$90,IF(calc_COSTREAM!$D157&lt;calc_COSTREAM!H$91,H$46*$D157/(calc_COSTREAM!H$91-1)*H$96/10000,(($D157-calc_COSTREAM!H$91+1)*H$33+H$46)*H$96/10000)),MIN(1-H$90,($D157*H$33+H$46)*H$96/10000))</f>
        <v>#N/A</v>
      </c>
      <c r="I157" s="277" t="e">
        <f>IF(I$21=Input_lists!$C$3,MIN(1-I$90,IF(calc_COSTREAM!$D157&lt;calc_COSTREAM!I$91,I$46*$D157/(calc_COSTREAM!I$91-1)*I$96/10000,(($D157-calc_COSTREAM!I$91+1)*I$33+I$46)*I$96/10000)),MIN(1-I$90,($D157*I$33+I$46)*I$96/10000))</f>
        <v>#N/A</v>
      </c>
      <c r="K157" s="277" t="e">
        <f>IF(K$21=Input_lists!$C$3,MIN(1-K$90,IF(calc_COSTREAM!$D157&lt;calc_COSTREAM!K$91,K$46*$D157/(calc_COSTREAM!K$91-1)*K$96/10000,(($D157-calc_COSTREAM!K$91+1)*K$33+K$46)*K$96/10000)),MIN(1-K$90,($D157*K$33+K$46)*K$96/10000))</f>
        <v>#N/A</v>
      </c>
      <c r="L157" s="277" t="e">
        <f>IF(L$21=Input_lists!$C$3,MIN(1-L$90,IF(calc_COSTREAM!$D157&lt;calc_COSTREAM!L$91,L$46*$D157/(calc_COSTREAM!L$91-1)*L$96/10000,(($D157-calc_COSTREAM!L$91+1)*L$33+L$46)*L$96/10000)),MIN(1-L$90,($D157*L$33+L$46)*L$96/10000))</f>
        <v>#N/A</v>
      </c>
      <c r="M157" s="277"/>
      <c r="N157" s="277" t="e">
        <f>IF(N$21=Input_lists!$C$3,MIN(1-N$90,IF(calc_COSTREAM!$D157&lt;calc_COSTREAM!N$91,N$46*$D157/(calc_COSTREAM!N$91-1)*N$96/10000,(($D157-calc_COSTREAM!N$91+1)*N$33+N$46)*N$96/10000)),MIN(1-N$90,($D157*N$33+N$46)*N$96/10000))</f>
        <v>#N/A</v>
      </c>
      <c r="O157" s="277" t="e">
        <f>IF(O$21=Input_lists!$C$3,MIN(1-O$90,IF(calc_COSTREAM!$D157&lt;calc_COSTREAM!O$91,O$46*$D157/(calc_COSTREAM!O$91-1)*O$96/10000,(($D157-calc_COSTREAM!O$91+1)*O$33+O$46)*O$96/10000)),MIN(1-O$90,($D157*O$33+O$46)*O$96/10000))</f>
        <v>#N/A</v>
      </c>
    </row>
    <row r="158" spans="2:15" x14ac:dyDescent="0.3">
      <c r="B158" s="361" t="s">
        <v>1017</v>
      </c>
      <c r="C158" s="272" t="s">
        <v>1010</v>
      </c>
      <c r="D158" s="272">
        <v>13</v>
      </c>
      <c r="E158" s="277" t="e">
        <f>IF(E$21=Input_lists!$C$3,MIN(1-E$90,IF(calc_COSTREAM!$D158&lt;calc_COSTREAM!E$91,E$46*$D158/(calc_COSTREAM!E$91-1)*E$96/10000,(($D158-calc_COSTREAM!E$91+1)*E$33+E$46)*E$96/10000)),MIN(1-E$90,($D158*E$33+E$46)*E$96/10000))</f>
        <v>#N/A</v>
      </c>
      <c r="F158" s="277" t="e">
        <f>IF(F$21=Input_lists!$C$3,MIN(1-F$90,IF(calc_COSTREAM!$D158&lt;calc_COSTREAM!F$91,F$46*$D158/(calc_COSTREAM!F$91-1)*F$96/10000,(($D158-calc_COSTREAM!F$91+1)*F$33+F$46)*F$96/10000)),MIN(1-F$90,($D158*F$33+F$46)*F$96/10000))</f>
        <v>#N/A</v>
      </c>
      <c r="G158" s="277"/>
      <c r="H158" s="277" t="e">
        <f>IF(H$21=Input_lists!$C$3,MIN(1-H$90,IF(calc_COSTREAM!$D158&lt;calc_COSTREAM!H$91,H$46*$D158/(calc_COSTREAM!H$91-1)*H$96/10000,(($D158-calc_COSTREAM!H$91+1)*H$33+H$46)*H$96/10000)),MIN(1-H$90,($D158*H$33+H$46)*H$96/10000))</f>
        <v>#N/A</v>
      </c>
      <c r="I158" s="277" t="e">
        <f>IF(I$21=Input_lists!$C$3,MIN(1-I$90,IF(calc_COSTREAM!$D158&lt;calc_COSTREAM!I$91,I$46*$D158/(calc_COSTREAM!I$91-1)*I$96/10000,(($D158-calc_COSTREAM!I$91+1)*I$33+I$46)*I$96/10000)),MIN(1-I$90,($D158*I$33+I$46)*I$96/10000))</f>
        <v>#N/A</v>
      </c>
      <c r="K158" s="277" t="e">
        <f>IF(K$21=Input_lists!$C$3,MIN(1-K$90,IF(calc_COSTREAM!$D158&lt;calc_COSTREAM!K$91,K$46*$D158/(calc_COSTREAM!K$91-1)*K$96/10000,(($D158-calc_COSTREAM!K$91+1)*K$33+K$46)*K$96/10000)),MIN(1-K$90,($D158*K$33+K$46)*K$96/10000))</f>
        <v>#N/A</v>
      </c>
      <c r="L158" s="277" t="e">
        <f>IF(L$21=Input_lists!$C$3,MIN(1-L$90,IF(calc_COSTREAM!$D158&lt;calc_COSTREAM!L$91,L$46*$D158/(calc_COSTREAM!L$91-1)*L$96/10000,(($D158-calc_COSTREAM!L$91+1)*L$33+L$46)*L$96/10000)),MIN(1-L$90,($D158*L$33+L$46)*L$96/10000))</f>
        <v>#N/A</v>
      </c>
      <c r="M158" s="277"/>
      <c r="N158" s="277" t="e">
        <f>IF(N$21=Input_lists!$C$3,MIN(1-N$90,IF(calc_COSTREAM!$D158&lt;calc_COSTREAM!N$91,N$46*$D158/(calc_COSTREAM!N$91-1)*N$96/10000,(($D158-calc_COSTREAM!N$91+1)*N$33+N$46)*N$96/10000)),MIN(1-N$90,($D158*N$33+N$46)*N$96/10000))</f>
        <v>#N/A</v>
      </c>
      <c r="O158" s="277" t="e">
        <f>IF(O$21=Input_lists!$C$3,MIN(1-O$90,IF(calc_COSTREAM!$D158&lt;calc_COSTREAM!O$91,O$46*$D158/(calc_COSTREAM!O$91-1)*O$96/10000,(($D158-calc_COSTREAM!O$91+1)*O$33+O$46)*O$96/10000)),MIN(1-O$90,($D158*O$33+O$46)*O$96/10000))</f>
        <v>#N/A</v>
      </c>
    </row>
    <row r="159" spans="2:15" x14ac:dyDescent="0.3">
      <c r="B159" s="361" t="s">
        <v>1017</v>
      </c>
      <c r="C159" s="272" t="s">
        <v>1010</v>
      </c>
      <c r="D159" s="272">
        <v>14</v>
      </c>
      <c r="E159" s="277" t="e">
        <f>IF(E$21=Input_lists!$C$3,MIN(1-E$90,IF(calc_COSTREAM!$D159&lt;calc_COSTREAM!E$91,E$46*$D159/(calc_COSTREAM!E$91-1)*E$96/10000,(($D159-calc_COSTREAM!E$91+1)*E$33+E$46)*E$96/10000)),MIN(1-E$90,($D159*E$33+E$46)*E$96/10000))</f>
        <v>#N/A</v>
      </c>
      <c r="F159" s="277" t="e">
        <f>IF(F$21=Input_lists!$C$3,MIN(1-F$90,IF(calc_COSTREAM!$D159&lt;calc_COSTREAM!F$91,F$46*$D159/(calc_COSTREAM!F$91-1)*F$96/10000,(($D159-calc_COSTREAM!F$91+1)*F$33+F$46)*F$96/10000)),MIN(1-F$90,($D159*F$33+F$46)*F$96/10000))</f>
        <v>#N/A</v>
      </c>
      <c r="G159" s="277"/>
      <c r="H159" s="277" t="e">
        <f>IF(H$21=Input_lists!$C$3,MIN(1-H$90,IF(calc_COSTREAM!$D159&lt;calc_COSTREAM!H$91,H$46*$D159/(calc_COSTREAM!H$91-1)*H$96/10000,(($D159-calc_COSTREAM!H$91+1)*H$33+H$46)*H$96/10000)),MIN(1-H$90,($D159*H$33+H$46)*H$96/10000))</f>
        <v>#N/A</v>
      </c>
      <c r="I159" s="277" t="e">
        <f>IF(I$21=Input_lists!$C$3,MIN(1-I$90,IF(calc_COSTREAM!$D159&lt;calc_COSTREAM!I$91,I$46*$D159/(calc_COSTREAM!I$91-1)*I$96/10000,(($D159-calc_COSTREAM!I$91+1)*I$33+I$46)*I$96/10000)),MIN(1-I$90,($D159*I$33+I$46)*I$96/10000))</f>
        <v>#N/A</v>
      </c>
      <c r="K159" s="277" t="e">
        <f>IF(K$21=Input_lists!$C$3,MIN(1-K$90,IF(calc_COSTREAM!$D159&lt;calc_COSTREAM!K$91,K$46*$D159/(calc_COSTREAM!K$91-1)*K$96/10000,(($D159-calc_COSTREAM!K$91+1)*K$33+K$46)*K$96/10000)),MIN(1-K$90,($D159*K$33+K$46)*K$96/10000))</f>
        <v>#N/A</v>
      </c>
      <c r="L159" s="277" t="e">
        <f>IF(L$21=Input_lists!$C$3,MIN(1-L$90,IF(calc_COSTREAM!$D159&lt;calc_COSTREAM!L$91,L$46*$D159/(calc_COSTREAM!L$91-1)*L$96/10000,(($D159-calc_COSTREAM!L$91+1)*L$33+L$46)*L$96/10000)),MIN(1-L$90,($D159*L$33+L$46)*L$96/10000))</f>
        <v>#N/A</v>
      </c>
      <c r="M159" s="277"/>
      <c r="N159" s="277" t="e">
        <f>IF(N$21=Input_lists!$C$3,MIN(1-N$90,IF(calc_COSTREAM!$D159&lt;calc_COSTREAM!N$91,N$46*$D159/(calc_COSTREAM!N$91-1)*N$96/10000,(($D159-calc_COSTREAM!N$91+1)*N$33+N$46)*N$96/10000)),MIN(1-N$90,($D159*N$33+N$46)*N$96/10000))</f>
        <v>#N/A</v>
      </c>
      <c r="O159" s="277" t="e">
        <f>IF(O$21=Input_lists!$C$3,MIN(1-O$90,IF(calc_COSTREAM!$D159&lt;calc_COSTREAM!O$91,O$46*$D159/(calc_COSTREAM!O$91-1)*O$96/10000,(($D159-calc_COSTREAM!O$91+1)*O$33+O$46)*O$96/10000)),MIN(1-O$90,($D159*O$33+O$46)*O$96/10000))</f>
        <v>#N/A</v>
      </c>
    </row>
    <row r="160" spans="2:15" x14ac:dyDescent="0.3">
      <c r="B160" s="361" t="s">
        <v>1017</v>
      </c>
      <c r="C160" s="272" t="s">
        <v>1010</v>
      </c>
      <c r="D160" s="272">
        <v>15</v>
      </c>
      <c r="E160" s="277" t="e">
        <f>IF(E$21=Input_lists!$C$3,MIN(1-E$90,IF(calc_COSTREAM!$D160&lt;calc_COSTREAM!E$91,E$46*$D160/(calc_COSTREAM!E$91-1)*E$96/10000,(($D160-calc_COSTREAM!E$91+1)*E$33+E$46)*E$96/10000)),MIN(1-E$90,($D160*E$33+E$46)*E$96/10000))</f>
        <v>#N/A</v>
      </c>
      <c r="F160" s="277" t="e">
        <f>IF(F$21=Input_lists!$C$3,MIN(1-F$90,IF(calc_COSTREAM!$D160&lt;calc_COSTREAM!F$91,F$46*$D160/(calc_COSTREAM!F$91-1)*F$96/10000,(($D160-calc_COSTREAM!F$91+1)*F$33+F$46)*F$96/10000)),MIN(1-F$90,($D160*F$33+F$46)*F$96/10000))</f>
        <v>#N/A</v>
      </c>
      <c r="G160" s="277"/>
      <c r="H160" s="277" t="e">
        <f>IF(H$21=Input_lists!$C$3,MIN(1-H$90,IF(calc_COSTREAM!$D160&lt;calc_COSTREAM!H$91,H$46*$D160/(calc_COSTREAM!H$91-1)*H$96/10000,(($D160-calc_COSTREAM!H$91+1)*H$33+H$46)*H$96/10000)),MIN(1-H$90,($D160*H$33+H$46)*H$96/10000))</f>
        <v>#N/A</v>
      </c>
      <c r="I160" s="277" t="e">
        <f>IF(I$21=Input_lists!$C$3,MIN(1-I$90,IF(calc_COSTREAM!$D160&lt;calc_COSTREAM!I$91,I$46*$D160/(calc_COSTREAM!I$91-1)*I$96/10000,(($D160-calc_COSTREAM!I$91+1)*I$33+I$46)*I$96/10000)),MIN(1-I$90,($D160*I$33+I$46)*I$96/10000))</f>
        <v>#N/A</v>
      </c>
      <c r="K160" s="277" t="e">
        <f>IF(K$21=Input_lists!$C$3,MIN(1-K$90,IF(calc_COSTREAM!$D160&lt;calc_COSTREAM!K$91,K$46*$D160/(calc_COSTREAM!K$91-1)*K$96/10000,(($D160-calc_COSTREAM!K$91+1)*K$33+K$46)*K$96/10000)),MIN(1-K$90,($D160*K$33+K$46)*K$96/10000))</f>
        <v>#N/A</v>
      </c>
      <c r="L160" s="277" t="e">
        <f>IF(L$21=Input_lists!$C$3,MIN(1-L$90,IF(calc_COSTREAM!$D160&lt;calc_COSTREAM!L$91,L$46*$D160/(calc_COSTREAM!L$91-1)*L$96/10000,(($D160-calc_COSTREAM!L$91+1)*L$33+L$46)*L$96/10000)),MIN(1-L$90,($D160*L$33+L$46)*L$96/10000))</f>
        <v>#N/A</v>
      </c>
      <c r="M160" s="277"/>
      <c r="N160" s="277" t="e">
        <f>IF(N$21=Input_lists!$C$3,MIN(1-N$90,IF(calc_COSTREAM!$D160&lt;calc_COSTREAM!N$91,N$46*$D160/(calc_COSTREAM!N$91-1)*N$96/10000,(($D160-calc_COSTREAM!N$91+1)*N$33+N$46)*N$96/10000)),MIN(1-N$90,($D160*N$33+N$46)*N$96/10000))</f>
        <v>#N/A</v>
      </c>
      <c r="O160" s="277" t="e">
        <f>IF(O$21=Input_lists!$C$3,MIN(1-O$90,IF(calc_COSTREAM!$D160&lt;calc_COSTREAM!O$91,O$46*$D160/(calc_COSTREAM!O$91-1)*O$96/10000,(($D160-calc_COSTREAM!O$91+1)*O$33+O$46)*O$96/10000)),MIN(1-O$90,($D160*O$33+O$46)*O$96/10000))</f>
        <v>#N/A</v>
      </c>
    </row>
    <row r="161" spans="1:17" x14ac:dyDescent="0.3">
      <c r="B161" s="361" t="s">
        <v>1017</v>
      </c>
      <c r="C161" s="272" t="s">
        <v>1010</v>
      </c>
      <c r="D161" s="272">
        <v>16</v>
      </c>
      <c r="E161" s="277" t="e">
        <f>IF(E$21=Input_lists!$C$3,MIN(1-E$90,IF(calc_COSTREAM!$D161&lt;calc_COSTREAM!E$91,E$46*$D161/(calc_COSTREAM!E$91-1)*E$96/10000,(($D161-calc_COSTREAM!E$91+1)*E$33+E$46)*E$96/10000)),MIN(1-E$90,($D161*E$33+E$46)*E$96/10000))</f>
        <v>#N/A</v>
      </c>
      <c r="F161" s="277" t="e">
        <f>IF(F$21=Input_lists!$C$3,MIN(1-F$90,IF(calc_COSTREAM!$D161&lt;calc_COSTREAM!F$91,F$46*$D161/(calc_COSTREAM!F$91-1)*F$96/10000,(($D161-calc_COSTREAM!F$91+1)*F$33+F$46)*F$96/10000)),MIN(1-F$90,($D161*F$33+F$46)*F$96/10000))</f>
        <v>#N/A</v>
      </c>
      <c r="G161" s="277"/>
      <c r="H161" s="277" t="e">
        <f>IF(H$21=Input_lists!$C$3,MIN(1-H$90,IF(calc_COSTREAM!$D161&lt;calc_COSTREAM!H$91,H$46*$D161/(calc_COSTREAM!H$91-1)*H$96/10000,(($D161-calc_COSTREAM!H$91+1)*H$33+H$46)*H$96/10000)),MIN(1-H$90,($D161*H$33+H$46)*H$96/10000))</f>
        <v>#N/A</v>
      </c>
      <c r="I161" s="277" t="e">
        <f>IF(I$21=Input_lists!$C$3,MIN(1-I$90,IF(calc_COSTREAM!$D161&lt;calc_COSTREAM!I$91,I$46*$D161/(calc_COSTREAM!I$91-1)*I$96/10000,(($D161-calc_COSTREAM!I$91+1)*I$33+I$46)*I$96/10000)),MIN(1-I$90,($D161*I$33+I$46)*I$96/10000))</f>
        <v>#N/A</v>
      </c>
      <c r="K161" s="277" t="e">
        <f>IF(K$21=Input_lists!$C$3,MIN(1-K$90,IF(calc_COSTREAM!$D161&lt;calc_COSTREAM!K$91,K$46*$D161/(calc_COSTREAM!K$91-1)*K$96/10000,(($D161-calc_COSTREAM!K$91+1)*K$33+K$46)*K$96/10000)),MIN(1-K$90,($D161*K$33+K$46)*K$96/10000))</f>
        <v>#N/A</v>
      </c>
      <c r="L161" s="277" t="e">
        <f>IF(L$21=Input_lists!$C$3,MIN(1-L$90,IF(calc_COSTREAM!$D161&lt;calc_COSTREAM!L$91,L$46*$D161/(calc_COSTREAM!L$91-1)*L$96/10000,(($D161-calc_COSTREAM!L$91+1)*L$33+L$46)*L$96/10000)),MIN(1-L$90,($D161*L$33+L$46)*L$96/10000))</f>
        <v>#N/A</v>
      </c>
      <c r="M161" s="277"/>
      <c r="N161" s="277" t="e">
        <f>IF(N$21=Input_lists!$C$3,MIN(1-N$90,IF(calc_COSTREAM!$D161&lt;calc_COSTREAM!N$91,N$46*$D161/(calc_COSTREAM!N$91-1)*N$96/10000,(($D161-calc_COSTREAM!N$91+1)*N$33+N$46)*N$96/10000)),MIN(1-N$90,($D161*N$33+N$46)*N$96/10000))</f>
        <v>#N/A</v>
      </c>
      <c r="O161" s="277" t="e">
        <f>IF(O$21=Input_lists!$C$3,MIN(1-O$90,IF(calc_COSTREAM!$D161&lt;calc_COSTREAM!O$91,O$46*$D161/(calc_COSTREAM!O$91-1)*O$96/10000,(($D161-calc_COSTREAM!O$91+1)*O$33+O$46)*O$96/10000)),MIN(1-O$90,($D161*O$33+O$46)*O$96/10000))</f>
        <v>#N/A</v>
      </c>
    </row>
    <row r="162" spans="1:17" x14ac:dyDescent="0.3">
      <c r="B162" s="361" t="s">
        <v>1017</v>
      </c>
      <c r="C162" s="272" t="s">
        <v>1010</v>
      </c>
      <c r="D162" s="272">
        <v>17</v>
      </c>
      <c r="E162" s="277" t="e">
        <f>IF(E$21=Input_lists!$C$3,MIN(1-E$90,IF(calc_COSTREAM!$D162&lt;calc_COSTREAM!E$91,E$46*$D162/(calc_COSTREAM!E$91-1)*E$96/10000,(($D162-calc_COSTREAM!E$91+1)*E$33+E$46)*E$96/10000)),MIN(1-E$90,($D162*E$33+E$46)*E$96/10000))</f>
        <v>#N/A</v>
      </c>
      <c r="F162" s="277" t="e">
        <f>IF(F$21=Input_lists!$C$3,MIN(1-F$90,IF(calc_COSTREAM!$D162&lt;calc_COSTREAM!F$91,F$46*$D162/(calc_COSTREAM!F$91-1)*F$96/10000,(($D162-calc_COSTREAM!F$91+1)*F$33+F$46)*F$96/10000)),MIN(1-F$90,($D162*F$33+F$46)*F$96/10000))</f>
        <v>#N/A</v>
      </c>
      <c r="G162" s="277"/>
      <c r="H162" s="277" t="e">
        <f>IF(H$21=Input_lists!$C$3,MIN(1-H$90,IF(calc_COSTREAM!$D162&lt;calc_COSTREAM!H$91,H$46*$D162/(calc_COSTREAM!H$91-1)*H$96/10000,(($D162-calc_COSTREAM!H$91+1)*H$33+H$46)*H$96/10000)),MIN(1-H$90,($D162*H$33+H$46)*H$96/10000))</f>
        <v>#N/A</v>
      </c>
      <c r="I162" s="277" t="e">
        <f>IF(I$21=Input_lists!$C$3,MIN(1-I$90,IF(calc_COSTREAM!$D162&lt;calc_COSTREAM!I$91,I$46*$D162/(calc_COSTREAM!I$91-1)*I$96/10000,(($D162-calc_COSTREAM!I$91+1)*I$33+I$46)*I$96/10000)),MIN(1-I$90,($D162*I$33+I$46)*I$96/10000))</f>
        <v>#N/A</v>
      </c>
      <c r="K162" s="277" t="e">
        <f>IF(K$21=Input_lists!$C$3,MIN(1-K$90,IF(calc_COSTREAM!$D162&lt;calc_COSTREAM!K$91,K$46*$D162/(calc_COSTREAM!K$91-1)*K$96/10000,(($D162-calc_COSTREAM!K$91+1)*K$33+K$46)*K$96/10000)),MIN(1-K$90,($D162*K$33+K$46)*K$96/10000))</f>
        <v>#N/A</v>
      </c>
      <c r="L162" s="277" t="e">
        <f>IF(L$21=Input_lists!$C$3,MIN(1-L$90,IF(calc_COSTREAM!$D162&lt;calc_COSTREAM!L$91,L$46*$D162/(calc_COSTREAM!L$91-1)*L$96/10000,(($D162-calc_COSTREAM!L$91+1)*L$33+L$46)*L$96/10000)),MIN(1-L$90,($D162*L$33+L$46)*L$96/10000))</f>
        <v>#N/A</v>
      </c>
      <c r="M162" s="277"/>
      <c r="N162" s="277" t="e">
        <f>IF(N$21=Input_lists!$C$3,MIN(1-N$90,IF(calc_COSTREAM!$D162&lt;calc_COSTREAM!N$91,N$46*$D162/(calc_COSTREAM!N$91-1)*N$96/10000,(($D162-calc_COSTREAM!N$91+1)*N$33+N$46)*N$96/10000)),MIN(1-N$90,($D162*N$33+N$46)*N$96/10000))</f>
        <v>#N/A</v>
      </c>
      <c r="O162" s="277" t="e">
        <f>IF(O$21=Input_lists!$C$3,MIN(1-O$90,IF(calc_COSTREAM!$D162&lt;calc_COSTREAM!O$91,O$46*$D162/(calc_COSTREAM!O$91-1)*O$96/10000,(($D162-calc_COSTREAM!O$91+1)*O$33+O$46)*O$96/10000)),MIN(1-O$90,($D162*O$33+O$46)*O$96/10000))</f>
        <v>#N/A</v>
      </c>
    </row>
    <row r="163" spans="1:17" x14ac:dyDescent="0.3">
      <c r="B163" s="361" t="s">
        <v>1017</v>
      </c>
      <c r="C163" s="272" t="s">
        <v>1010</v>
      </c>
      <c r="D163" s="272">
        <v>18</v>
      </c>
      <c r="E163" s="277" t="e">
        <f>IF(E$21=Input_lists!$C$3,MIN(1-E$90,IF(calc_COSTREAM!$D163&lt;calc_COSTREAM!E$91,E$46*$D163/(calc_COSTREAM!E$91-1)*E$96/10000,(($D163-calc_COSTREAM!E$91+1)*E$33+E$46)*E$96/10000)),MIN(1-E$90,($D163*E$33+E$46)*E$96/10000))</f>
        <v>#N/A</v>
      </c>
      <c r="F163" s="277" t="e">
        <f>IF(F$21=Input_lists!$C$3,MIN(1-F$90,IF(calc_COSTREAM!$D163&lt;calc_COSTREAM!F$91,F$46*$D163/(calc_COSTREAM!F$91-1)*F$96/10000,(($D163-calc_COSTREAM!F$91+1)*F$33+F$46)*F$96/10000)),MIN(1-F$90,($D163*F$33+F$46)*F$96/10000))</f>
        <v>#N/A</v>
      </c>
      <c r="G163" s="277"/>
      <c r="H163" s="277" t="e">
        <f>IF(H$21=Input_lists!$C$3,MIN(1-H$90,IF(calc_COSTREAM!$D163&lt;calc_COSTREAM!H$91,H$46*$D163/(calc_COSTREAM!H$91-1)*H$96/10000,(($D163-calc_COSTREAM!H$91+1)*H$33+H$46)*H$96/10000)),MIN(1-H$90,($D163*H$33+H$46)*H$96/10000))</f>
        <v>#N/A</v>
      </c>
      <c r="I163" s="277" t="e">
        <f>IF(I$21=Input_lists!$C$3,MIN(1-I$90,IF(calc_COSTREAM!$D163&lt;calc_COSTREAM!I$91,I$46*$D163/(calc_COSTREAM!I$91-1)*I$96/10000,(($D163-calc_COSTREAM!I$91+1)*I$33+I$46)*I$96/10000)),MIN(1-I$90,($D163*I$33+I$46)*I$96/10000))</f>
        <v>#N/A</v>
      </c>
      <c r="K163" s="277" t="e">
        <f>IF(K$21=Input_lists!$C$3,MIN(1-K$90,IF(calc_COSTREAM!$D163&lt;calc_COSTREAM!K$91,K$46*$D163/(calc_COSTREAM!K$91-1)*K$96/10000,(($D163-calc_COSTREAM!K$91+1)*K$33+K$46)*K$96/10000)),MIN(1-K$90,($D163*K$33+K$46)*K$96/10000))</f>
        <v>#N/A</v>
      </c>
      <c r="L163" s="277" t="e">
        <f>IF(L$21=Input_lists!$C$3,MIN(1-L$90,IF(calc_COSTREAM!$D163&lt;calc_COSTREAM!L$91,L$46*$D163/(calc_COSTREAM!L$91-1)*L$96/10000,(($D163-calc_COSTREAM!L$91+1)*L$33+L$46)*L$96/10000)),MIN(1-L$90,($D163*L$33+L$46)*L$96/10000))</f>
        <v>#N/A</v>
      </c>
      <c r="M163" s="277"/>
      <c r="N163" s="277" t="e">
        <f>IF(N$21=Input_lists!$C$3,MIN(1-N$90,IF(calc_COSTREAM!$D163&lt;calc_COSTREAM!N$91,N$46*$D163/(calc_COSTREAM!N$91-1)*N$96/10000,(($D163-calc_COSTREAM!N$91+1)*N$33+N$46)*N$96/10000)),MIN(1-N$90,($D163*N$33+N$46)*N$96/10000))</f>
        <v>#N/A</v>
      </c>
      <c r="O163" s="277" t="e">
        <f>IF(O$21=Input_lists!$C$3,MIN(1-O$90,IF(calc_COSTREAM!$D163&lt;calc_COSTREAM!O$91,O$46*$D163/(calc_COSTREAM!O$91-1)*O$96/10000,(($D163-calc_COSTREAM!O$91+1)*O$33+O$46)*O$96/10000)),MIN(1-O$90,($D163*O$33+O$46)*O$96/10000))</f>
        <v>#N/A</v>
      </c>
    </row>
    <row r="164" spans="1:17" x14ac:dyDescent="0.3">
      <c r="B164" s="361" t="s">
        <v>1017</v>
      </c>
      <c r="C164" s="272" t="s">
        <v>1010</v>
      </c>
      <c r="D164" s="272">
        <v>19</v>
      </c>
      <c r="E164" s="277" t="e">
        <f>IF(E$21=Input_lists!$C$3,MIN(1-E$90,IF(calc_COSTREAM!$D164&lt;calc_COSTREAM!E$91,E$46*$D164/(calc_COSTREAM!E$91-1)*E$96/10000,(($D164-calc_COSTREAM!E$91+1)*E$33+E$46)*E$96/10000)),MIN(1-E$90,($D164*E$33+E$46)*E$96/10000))</f>
        <v>#N/A</v>
      </c>
      <c r="F164" s="277" t="e">
        <f>IF(F$21=Input_lists!$C$3,MIN(1-F$90,IF(calc_COSTREAM!$D164&lt;calc_COSTREAM!F$91,F$46*$D164/(calc_COSTREAM!F$91-1)*F$96/10000,(($D164-calc_COSTREAM!F$91+1)*F$33+F$46)*F$96/10000)),MIN(1-F$90,($D164*F$33+F$46)*F$96/10000))</f>
        <v>#N/A</v>
      </c>
      <c r="G164" s="277"/>
      <c r="H164" s="277" t="e">
        <f>IF(H$21=Input_lists!$C$3,MIN(1-H$90,IF(calc_COSTREAM!$D164&lt;calc_COSTREAM!H$91,H$46*$D164/(calc_COSTREAM!H$91-1)*H$96/10000,(($D164-calc_COSTREAM!H$91+1)*H$33+H$46)*H$96/10000)),MIN(1-H$90,($D164*H$33+H$46)*H$96/10000))</f>
        <v>#N/A</v>
      </c>
      <c r="I164" s="277" t="e">
        <f>IF(I$21=Input_lists!$C$3,MIN(1-I$90,IF(calc_COSTREAM!$D164&lt;calc_COSTREAM!I$91,I$46*$D164/(calc_COSTREAM!I$91-1)*I$96/10000,(($D164-calc_COSTREAM!I$91+1)*I$33+I$46)*I$96/10000)),MIN(1-I$90,($D164*I$33+I$46)*I$96/10000))</f>
        <v>#N/A</v>
      </c>
      <c r="K164" s="277" t="e">
        <f>IF(K$21=Input_lists!$C$3,MIN(1-K$90,IF(calc_COSTREAM!$D164&lt;calc_COSTREAM!K$91,K$46*$D164/(calc_COSTREAM!K$91-1)*K$96/10000,(($D164-calc_COSTREAM!K$91+1)*K$33+K$46)*K$96/10000)),MIN(1-K$90,($D164*K$33+K$46)*K$96/10000))</f>
        <v>#N/A</v>
      </c>
      <c r="L164" s="277" t="e">
        <f>IF(L$21=Input_lists!$C$3,MIN(1-L$90,IF(calc_COSTREAM!$D164&lt;calc_COSTREAM!L$91,L$46*$D164/(calc_COSTREAM!L$91-1)*L$96/10000,(($D164-calc_COSTREAM!L$91+1)*L$33+L$46)*L$96/10000)),MIN(1-L$90,($D164*L$33+L$46)*L$96/10000))</f>
        <v>#N/A</v>
      </c>
      <c r="M164" s="277"/>
      <c r="N164" s="277" t="e">
        <f>IF(N$21=Input_lists!$C$3,MIN(1-N$90,IF(calc_COSTREAM!$D164&lt;calc_COSTREAM!N$91,N$46*$D164/(calc_COSTREAM!N$91-1)*N$96/10000,(($D164-calc_COSTREAM!N$91+1)*N$33+N$46)*N$96/10000)),MIN(1-N$90,($D164*N$33+N$46)*N$96/10000))</f>
        <v>#N/A</v>
      </c>
      <c r="O164" s="277" t="e">
        <f>IF(O$21=Input_lists!$C$3,MIN(1-O$90,IF(calc_COSTREAM!$D164&lt;calc_COSTREAM!O$91,O$46*$D164/(calc_COSTREAM!O$91-1)*O$96/10000,(($D164-calc_COSTREAM!O$91+1)*O$33+O$46)*O$96/10000)),MIN(1-O$90,($D164*O$33+O$46)*O$96/10000))</f>
        <v>#N/A</v>
      </c>
    </row>
    <row r="165" spans="1:17" x14ac:dyDescent="0.3">
      <c r="B165" s="361" t="s">
        <v>1017</v>
      </c>
      <c r="C165" s="272" t="s">
        <v>1010</v>
      </c>
      <c r="D165" s="272">
        <v>20</v>
      </c>
      <c r="E165" s="277" t="e">
        <f>IF(E$21=Input_lists!$C$3,MIN(1-E$90,IF(calc_COSTREAM!$D165&lt;calc_COSTREAM!E$91,E$46*$D165/(calc_COSTREAM!E$91-1)*E$96/10000,(($D165-calc_COSTREAM!E$91+1)*E$33+E$46)*E$96/10000)),MIN(1-E$90,($D165*E$33+E$46)*E$96/10000))</f>
        <v>#N/A</v>
      </c>
      <c r="F165" s="277" t="e">
        <f>IF(F$21=Input_lists!$C$3,MIN(1-F$90,IF(calc_COSTREAM!$D165&lt;calc_COSTREAM!F$91,F$46*$D165/(calc_COSTREAM!F$91-1)*F$96/10000,(($D165-calc_COSTREAM!F$91+1)*F$33+F$46)*F$96/10000)),MIN(1-F$90,($D165*F$33+F$46)*F$96/10000))</f>
        <v>#N/A</v>
      </c>
      <c r="G165" s="277"/>
      <c r="H165" s="277" t="e">
        <f>IF(H$21=Input_lists!$C$3,MIN(1-H$90,IF(calc_COSTREAM!$D165&lt;calc_COSTREAM!H$91,H$46*$D165/(calc_COSTREAM!H$91-1)*H$96/10000,(($D165-calc_COSTREAM!H$91+1)*H$33+H$46)*H$96/10000)),MIN(1-H$90,($D165*H$33+H$46)*H$96/10000))</f>
        <v>#N/A</v>
      </c>
      <c r="I165" s="277" t="e">
        <f>IF(I$21=Input_lists!$C$3,MIN(1-I$90,IF(calc_COSTREAM!$D165&lt;calc_COSTREAM!I$91,I$46*$D165/(calc_COSTREAM!I$91-1)*I$96/10000,(($D165-calc_COSTREAM!I$91+1)*I$33+I$46)*I$96/10000)),MIN(1-I$90,($D165*I$33+I$46)*I$96/10000))</f>
        <v>#N/A</v>
      </c>
      <c r="K165" s="277" t="e">
        <f>IF(K$21=Input_lists!$C$3,MIN(1-K$90,IF(calc_COSTREAM!$D165&lt;calc_COSTREAM!K$91,K$46*$D165/(calc_COSTREAM!K$91-1)*K$96/10000,(($D165-calc_COSTREAM!K$91+1)*K$33+K$46)*K$96/10000)),MIN(1-K$90,($D165*K$33+K$46)*K$96/10000))</f>
        <v>#N/A</v>
      </c>
      <c r="L165" s="277" t="e">
        <f>IF(L$21=Input_lists!$C$3,MIN(1-L$90,IF(calc_COSTREAM!$D165&lt;calc_COSTREAM!L$91,L$46*$D165/(calc_COSTREAM!L$91-1)*L$96/10000,(($D165-calc_COSTREAM!L$91+1)*L$33+L$46)*L$96/10000)),MIN(1-L$90,($D165*L$33+L$46)*L$96/10000))</f>
        <v>#N/A</v>
      </c>
      <c r="M165" s="277"/>
      <c r="N165" s="277" t="e">
        <f>IF(N$21=Input_lists!$C$3,MIN(1-N$90,IF(calc_COSTREAM!$D165&lt;calc_COSTREAM!N$91,N$46*$D165/(calc_COSTREAM!N$91-1)*N$96/10000,(($D165-calc_COSTREAM!N$91+1)*N$33+N$46)*N$96/10000)),MIN(1-N$90,($D165*N$33+N$46)*N$96/10000))</f>
        <v>#N/A</v>
      </c>
      <c r="O165" s="277" t="e">
        <f>IF(O$21=Input_lists!$C$3,MIN(1-O$90,IF(calc_COSTREAM!$D165&lt;calc_COSTREAM!O$91,O$46*$D165/(calc_COSTREAM!O$91-1)*O$96/10000,(($D165-calc_COSTREAM!O$91+1)*O$33+O$46)*O$96/10000)),MIN(1-O$90,($D165*O$33+O$46)*O$96/10000))</f>
        <v>#N/A</v>
      </c>
    </row>
    <row r="166" spans="1:17" s="275" customFormat="1" x14ac:dyDescent="0.3">
      <c r="A166" s="275" t="s">
        <v>244</v>
      </c>
    </row>
    <row r="167" spans="1:17" customFormat="1" ht="17.25" customHeight="1" x14ac:dyDescent="0.3">
      <c r="B167" s="361" t="s">
        <v>1976</v>
      </c>
      <c r="C167" s="272"/>
      <c r="E167" s="276">
        <f>INDEX(Selectie_voertuigen!$C$7:$F$7,MATCH(calc_COSTREAM!E4,Selectie_voertuigen!$C$1:$F$1,0))</f>
        <v>0</v>
      </c>
      <c r="F167" s="276">
        <f>INDEX(Selectie_voertuigen!$C$7:$F$7,MATCH(calc_COSTREAM!F4,Selectie_voertuigen!$C$1:$F$1,0))</f>
        <v>0</v>
      </c>
      <c r="G167" s="276"/>
      <c r="H167" s="276">
        <f>INDEX(Selectie_voertuigen!$C$7:$F$7,MATCH(calc_COSTREAM!H4,Selectie_voertuigen!$C$1:$F$1,0))</f>
        <v>0</v>
      </c>
      <c r="I167" s="276">
        <f>INDEX(Selectie_voertuigen!$C$7:$F$7,MATCH(calc_COSTREAM!I4,Selectie_voertuigen!$C$1:$F$1,0))</f>
        <v>0</v>
      </c>
      <c r="J167" s="276"/>
      <c r="K167" s="276">
        <f>INDEX(Selectie_voertuigen!$C$7:$F$7,MATCH(calc_COSTREAM!K4,Selectie_voertuigen!$C$1:$F$1,0))</f>
        <v>0</v>
      </c>
      <c r="L167" s="276">
        <f>INDEX(Selectie_voertuigen!$C$7:$F$7,MATCH(calc_COSTREAM!L4,Selectie_voertuigen!$C$1:$F$1,0))</f>
        <v>0</v>
      </c>
      <c r="M167" s="276"/>
      <c r="N167" s="276">
        <f>INDEX(Selectie_voertuigen!$C$7:$F$7,MATCH(calc_COSTREAM!N4,Selectie_voertuigen!$C$1:$F$1,0))</f>
        <v>0</v>
      </c>
      <c r="O167" s="276">
        <f>INDEX(Selectie_voertuigen!$C$7:$F$7,MATCH(calc_COSTREAM!O4,Selectie_voertuigen!$C$1:$F$1,0))</f>
        <v>0</v>
      </c>
    </row>
    <row r="168" spans="1:17" customFormat="1" ht="17.25" customHeight="1" x14ac:dyDescent="0.3">
      <c r="B168" s="361" t="s">
        <v>1957</v>
      </c>
      <c r="C168" s="272"/>
      <c r="E168" s="276" t="e">
        <f>INDEX(Input_lists!$B36:$D36,MATCH(E$167,Input_lists!$B$35:$D$35,0))</f>
        <v>#N/A</v>
      </c>
      <c r="F168" s="276" t="e">
        <f>INDEX(Input_lists!$B36:$D36,MATCH(F$167,Input_lists!$B$35:$D$35,0))</f>
        <v>#N/A</v>
      </c>
      <c r="G168" s="276"/>
      <c r="H168" s="276" t="e">
        <f>INDEX(Input_lists!$B36:$D36,MATCH(H$167,Input_lists!$B$35:$D$35,0))</f>
        <v>#N/A</v>
      </c>
      <c r="I168" s="276" t="e">
        <f>INDEX(Input_lists!$B36:$D36,MATCH(I$167,Input_lists!$B$35:$D$35,0))</f>
        <v>#N/A</v>
      </c>
      <c r="J168" s="276"/>
      <c r="K168" s="276" t="e">
        <f>INDEX(Input_lists!$B36:$D36,MATCH(K$167,Input_lists!$B$35:$D$35,0))</f>
        <v>#N/A</v>
      </c>
      <c r="L168" s="276" t="e">
        <f>INDEX(Input_lists!$B36:$D36,MATCH(L$167,Input_lists!$B$35:$D$35,0))</f>
        <v>#N/A</v>
      </c>
      <c r="M168" s="276"/>
      <c r="N168" s="276" t="e">
        <f>INDEX(Input_lists!$B36:$D36,MATCH(N$167,Input_lists!$B$35:$D$35,0))</f>
        <v>#N/A</v>
      </c>
      <c r="O168" s="276" t="e">
        <f>INDEX(Input_lists!$B36:$D36,MATCH(O$167,Input_lists!$B$35:$D$35,0))</f>
        <v>#N/A</v>
      </c>
    </row>
    <row r="169" spans="1:17" customFormat="1" ht="17.25" customHeight="1" x14ac:dyDescent="0.3">
      <c r="B169" s="361" t="s">
        <v>1956</v>
      </c>
      <c r="C169" s="272"/>
      <c r="E169" s="276" t="e">
        <f>INDEX(Input_lists!$B37:$D37,MATCH(E$167,Input_lists!$B$35:$D$35,0))</f>
        <v>#N/A</v>
      </c>
      <c r="F169" s="276" t="e">
        <f>INDEX(Input_lists!$B37:$D37,MATCH(F$167,Input_lists!$B$35:$D$35,0))</f>
        <v>#N/A</v>
      </c>
      <c r="G169" s="276"/>
      <c r="H169" s="276" t="e">
        <f>INDEX(Input_lists!$B37:$D37,MATCH(H$167,Input_lists!$B$35:$D$35,0))</f>
        <v>#N/A</v>
      </c>
      <c r="I169" s="276" t="e">
        <f>INDEX(Input_lists!$B37:$D37,MATCH(I$167,Input_lists!$B$35:$D$35,0))</f>
        <v>#N/A</v>
      </c>
      <c r="J169" s="276"/>
      <c r="K169" s="276" t="e">
        <f>INDEX(Input_lists!$B37:$D37,MATCH(K$167,Input_lists!$B$35:$D$35,0))</f>
        <v>#N/A</v>
      </c>
      <c r="L169" s="276" t="e">
        <f>INDEX(Input_lists!$B37:$D37,MATCH(L$167,Input_lists!$B$35:$D$35,0))</f>
        <v>#N/A</v>
      </c>
      <c r="M169" s="276"/>
      <c r="N169" s="276" t="e">
        <f>INDEX(Input_lists!$B37:$D37,MATCH(N$167,Input_lists!$B$35:$D$35,0))</f>
        <v>#N/A</v>
      </c>
      <c r="O169" s="276" t="e">
        <f>INDEX(Input_lists!$B37:$D37,MATCH(O$167,Input_lists!$B$35:$D$35,0))</f>
        <v>#N/A</v>
      </c>
    </row>
    <row r="170" spans="1:17" customFormat="1" ht="17.25" customHeight="1" x14ac:dyDescent="0.3">
      <c r="B170" s="361" t="s">
        <v>1978</v>
      </c>
      <c r="C170" s="272"/>
      <c r="E170" s="276" t="e">
        <f>INDEX(Input_lists!$B38:$D38,MATCH(E$167,Input_lists!$B$35:$D$35,0))</f>
        <v>#N/A</v>
      </c>
      <c r="F170" s="276" t="e">
        <f>INDEX(Input_lists!$B38:$D38,MATCH(F$167,Input_lists!$B$35:$D$35,0))</f>
        <v>#N/A</v>
      </c>
      <c r="G170" s="276"/>
      <c r="H170" s="276" t="e">
        <f>INDEX(Input_lists!$B38:$D38,MATCH(H$167,Input_lists!$B$35:$D$35,0))</f>
        <v>#N/A</v>
      </c>
      <c r="I170" s="276" t="e">
        <f>INDEX(Input_lists!$B38:$D38,MATCH(I$167,Input_lists!$B$35:$D$35,0))</f>
        <v>#N/A</v>
      </c>
      <c r="J170" s="276"/>
      <c r="K170" s="276" t="e">
        <f>INDEX(Input_lists!$B38:$D38,MATCH(K$167,Input_lists!$B$35:$D$35,0))</f>
        <v>#N/A</v>
      </c>
      <c r="L170" s="276" t="e">
        <f>INDEX(Input_lists!$B38:$D38,MATCH(L$167,Input_lists!$B$35:$D$35,0))</f>
        <v>#N/A</v>
      </c>
      <c r="M170" s="276"/>
      <c r="N170" s="276" t="e">
        <f>INDEX(Input_lists!$B38:$D38,MATCH(N$167,Input_lists!$B$35:$D$35,0))</f>
        <v>#N/A</v>
      </c>
      <c r="O170" s="276" t="e">
        <f>INDEX(Input_lists!$B38:$D38,MATCH(O$167,Input_lists!$B$35:$D$35,0))</f>
        <v>#N/A</v>
      </c>
    </row>
    <row r="171" spans="1:17" customFormat="1" ht="17.25" customHeight="1" x14ac:dyDescent="0.3">
      <c r="B171" s="361" t="s">
        <v>1979</v>
      </c>
      <c r="C171" s="272"/>
      <c r="E171" s="276" t="e">
        <f>INDEX(Input_lists!$B39:$D39,MATCH(E$167,Input_lists!$B$35:$D$35,0))</f>
        <v>#N/A</v>
      </c>
      <c r="F171" s="276" t="e">
        <f>INDEX(Input_lists!$B39:$D39,MATCH(F$167,Input_lists!$B$35:$D$35,0))</f>
        <v>#N/A</v>
      </c>
      <c r="G171" s="276"/>
      <c r="H171" s="276" t="e">
        <f>INDEX(Input_lists!$B39:$D39,MATCH(H$167,Input_lists!$B$35:$D$35,0))</f>
        <v>#N/A</v>
      </c>
      <c r="I171" s="276" t="e">
        <f>INDEX(Input_lists!$B39:$D39,MATCH(I$167,Input_lists!$B$35:$D$35,0))</f>
        <v>#N/A</v>
      </c>
      <c r="J171" s="276"/>
      <c r="K171" s="276" t="e">
        <f>INDEX(Input_lists!$B39:$D39,MATCH(K$167,Input_lists!$B$35:$D$35,0))</f>
        <v>#N/A</v>
      </c>
      <c r="L171" s="276" t="e">
        <f>INDEX(Input_lists!$B39:$D39,MATCH(L$167,Input_lists!$B$35:$D$35,0))</f>
        <v>#N/A</v>
      </c>
      <c r="M171" s="276"/>
      <c r="N171" s="276" t="e">
        <f>INDEX(Input_lists!$B39:$D39,MATCH(N$167,Input_lists!$B$35:$D$35,0))</f>
        <v>#N/A</v>
      </c>
      <c r="O171" s="276" t="e">
        <f>INDEX(Input_lists!$B39:$D39,MATCH(O$167,Input_lists!$B$35:$D$35,0))</f>
        <v>#N/A</v>
      </c>
    </row>
    <row r="172" spans="1:17" customFormat="1" ht="17.25" customHeight="1" x14ac:dyDescent="0.3">
      <c r="B172" s="361" t="s">
        <v>1977</v>
      </c>
      <c r="C172" s="272"/>
      <c r="E172" s="276">
        <f>E11</f>
        <v>0</v>
      </c>
      <c r="F172" s="276">
        <f>F11</f>
        <v>0</v>
      </c>
      <c r="G172" s="276"/>
      <c r="H172" s="276">
        <f>H11</f>
        <v>0</v>
      </c>
      <c r="I172" s="276">
        <f>I11</f>
        <v>0</v>
      </c>
      <c r="J172" s="276"/>
      <c r="K172" s="276">
        <f>K11</f>
        <v>0</v>
      </c>
      <c r="L172" s="276">
        <f>L11</f>
        <v>0</v>
      </c>
      <c r="M172" s="276"/>
      <c r="N172" s="276">
        <f>N11</f>
        <v>0</v>
      </c>
      <c r="O172" s="276">
        <f>O11</f>
        <v>0</v>
      </c>
    </row>
    <row r="173" spans="1:17" customFormat="1" ht="17.25" customHeight="1" x14ac:dyDescent="0.3">
      <c r="B173" s="361" t="s">
        <v>1980</v>
      </c>
      <c r="C173" s="272"/>
      <c r="E173" s="276" t="e">
        <f>MIN(E169,MAX(E168,TREND(E168:E169,E170:E171,E172)))</f>
        <v>#VALUE!</v>
      </c>
      <c r="F173" s="276" t="e">
        <f t="shared" ref="F173:O173" si="115">MIN(F169,MAX(F168,TREND(F168:F169,F170:F171,F172)))</f>
        <v>#VALUE!</v>
      </c>
      <c r="G173" s="276"/>
      <c r="H173" s="276" t="e">
        <f t="shared" si="115"/>
        <v>#VALUE!</v>
      </c>
      <c r="I173" s="276" t="e">
        <f t="shared" si="115"/>
        <v>#VALUE!</v>
      </c>
      <c r="J173" s="276"/>
      <c r="K173" s="276" t="e">
        <f t="shared" si="115"/>
        <v>#VALUE!</v>
      </c>
      <c r="L173" s="276" t="e">
        <f t="shared" si="115"/>
        <v>#VALUE!</v>
      </c>
      <c r="M173" s="276"/>
      <c r="N173" s="276" t="e">
        <f t="shared" si="115"/>
        <v>#VALUE!</v>
      </c>
      <c r="O173" s="276" t="e">
        <f t="shared" si="115"/>
        <v>#VALUE!</v>
      </c>
    </row>
    <row r="174" spans="1:17" x14ac:dyDescent="0.3">
      <c r="B174" s="272" t="s">
        <v>244</v>
      </c>
      <c r="C174" s="272" t="s">
        <v>38</v>
      </c>
      <c r="E174" s="276" t="e">
        <f>E173*12*E32</f>
        <v>#VALUE!</v>
      </c>
      <c r="F174" s="276" t="e">
        <f t="shared" ref="F174:O174" si="116">F173*12*F32</f>
        <v>#VALUE!</v>
      </c>
      <c r="G174" s="276"/>
      <c r="H174" s="276" t="e">
        <f t="shared" si="116"/>
        <v>#VALUE!</v>
      </c>
      <c r="I174" s="276" t="e">
        <f t="shared" si="116"/>
        <v>#VALUE!</v>
      </c>
      <c r="J174" s="276"/>
      <c r="K174" s="276" t="e">
        <f t="shared" si="116"/>
        <v>#VALUE!</v>
      </c>
      <c r="L174" s="276" t="e">
        <f t="shared" si="116"/>
        <v>#VALUE!</v>
      </c>
      <c r="M174" s="276"/>
      <c r="N174" s="276" t="e">
        <f t="shared" si="116"/>
        <v>#VALUE!</v>
      </c>
      <c r="O174" s="276" t="e">
        <f t="shared" si="116"/>
        <v>#VALUE!</v>
      </c>
      <c r="P174" s="276"/>
      <c r="Q174" s="276"/>
    </row>
    <row r="175" spans="1:17" x14ac:dyDescent="0.3">
      <c r="B175" s="361" t="s">
        <v>1958</v>
      </c>
      <c r="E175" s="686" t="e">
        <f>E174/E33/E32</f>
        <v>#VALUE!</v>
      </c>
      <c r="F175" s="686" t="e">
        <f>F174/F33/F32</f>
        <v>#VALUE!</v>
      </c>
      <c r="G175" s="686"/>
      <c r="H175" s="686" t="e">
        <f>H174/H33/H32</f>
        <v>#VALUE!</v>
      </c>
      <c r="I175" s="686" t="e">
        <f>I174/I33/I32</f>
        <v>#VALUE!</v>
      </c>
      <c r="J175" s="686"/>
      <c r="K175" s="686" t="e">
        <f>K174/K33/K32</f>
        <v>#VALUE!</v>
      </c>
      <c r="L175" s="686" t="e">
        <f>L174/L33/L32</f>
        <v>#VALUE!</v>
      </c>
      <c r="M175" s="686"/>
      <c r="N175" s="686" t="e">
        <f>N174/N33/N32</f>
        <v>#VALUE!</v>
      </c>
      <c r="O175" s="686" t="e">
        <f>O174/O33/O32</f>
        <v>#VALUE!</v>
      </c>
    </row>
    <row r="176" spans="1:17" s="275" customFormat="1" x14ac:dyDescent="0.3">
      <c r="A176" s="275" t="s">
        <v>1007</v>
      </c>
    </row>
    <row r="177" spans="1:15" x14ac:dyDescent="0.3">
      <c r="B177" s="361" t="s">
        <v>1982</v>
      </c>
      <c r="E177" s="272" t="b">
        <f>Aantal_voertuigen</f>
        <v>0</v>
      </c>
      <c r="F177" s="272" t="b">
        <f>Aantal_voertuigen</f>
        <v>0</v>
      </c>
      <c r="H177" s="272" t="b">
        <f>Aantal_voertuigen</f>
        <v>0</v>
      </c>
      <c r="I177" s="272" t="b">
        <f>Aantal_voertuigen</f>
        <v>0</v>
      </c>
      <c r="K177" s="272" t="b">
        <f>Aantal_voertuigen</f>
        <v>0</v>
      </c>
      <c r="L177" s="272" t="b">
        <f>Aantal_voertuigen</f>
        <v>0</v>
      </c>
      <c r="N177" s="272" t="b">
        <f>Aantal_voertuigen</f>
        <v>0</v>
      </c>
      <c r="O177" s="272" t="b">
        <f>Aantal_voertuigen</f>
        <v>0</v>
      </c>
    </row>
    <row r="178" spans="1:15" x14ac:dyDescent="0.3">
      <c r="B178" s="272" t="s">
        <v>1007</v>
      </c>
      <c r="C178" s="272" t="s">
        <v>1141</v>
      </c>
      <c r="E178" s="272" t="e">
        <f>MATCH(E26,MRB_module!$A$5:$A$21,1)+MATCH(E9,MRB_module!$H$5:$H$154,0)-1</f>
        <v>#N/A</v>
      </c>
      <c r="F178" s="272" t="e">
        <f>MATCH(F26,MRB_module!$A$5:$A$21,1)+MATCH(F9,MRB_module!$H$5:$H$154,0)-1</f>
        <v>#N/A</v>
      </c>
      <c r="H178" s="272" t="e">
        <f>MATCH(H26,MRB_module!$A$5:$A$21,1)+MATCH(H9,MRB_module!$H$5:$H$154,0)-1</f>
        <v>#N/A</v>
      </c>
      <c r="I178" s="272" t="e">
        <f>MATCH(I26,MRB_module!$A$5:$A$21,1)+MATCH(I9,MRB_module!$H$5:$H$154,0)-1</f>
        <v>#N/A</v>
      </c>
      <c r="K178" s="272" t="e">
        <f>MATCH(K26,MRB_module!$A$5:$A$21,1)+MATCH(K9,MRB_module!$H$5:$H$154,0)-1</f>
        <v>#N/A</v>
      </c>
      <c r="L178" s="272" t="e">
        <f>MATCH(L26,MRB_module!$A$5:$A$21,1)+MATCH(L9,MRB_module!$H$5:$H$154,0)-1</f>
        <v>#N/A</v>
      </c>
      <c r="N178" s="272" t="e">
        <f>MATCH(N26,MRB_module!$A$5:$A$21,1)+MATCH(N9,MRB_module!$H$5:$H$154,0)-1</f>
        <v>#N/A</v>
      </c>
      <c r="O178" s="272" t="e">
        <f>MATCH(O26,MRB_module!$A$5:$A$21,1)+MATCH(O9,MRB_module!$H$5:$H$154,0)-1</f>
        <v>#N/A</v>
      </c>
    </row>
    <row r="179" spans="1:15" x14ac:dyDescent="0.3">
      <c r="A179" s="296"/>
      <c r="B179" s="296" t="s">
        <v>1007</v>
      </c>
      <c r="C179" s="296" t="s">
        <v>1109</v>
      </c>
      <c r="D179" s="296">
        <v>1</v>
      </c>
      <c r="E179" s="309" t="e">
        <f t="shared" ref="E179:F198" si="117">IF(E$177,0,INDEX(value_MRB,E$178,E347-2014)*E387)</f>
        <v>#N/A</v>
      </c>
      <c r="F179" s="309" t="e">
        <f t="shared" si="117"/>
        <v>#N/A</v>
      </c>
      <c r="G179" s="309"/>
      <c r="H179" s="309" t="e">
        <f t="shared" ref="H179:I198" si="118">IF(H$177,0,INDEX(value_MRB,H$178,H347-2014)*H387)</f>
        <v>#N/A</v>
      </c>
      <c r="I179" s="309" t="e">
        <f t="shared" si="118"/>
        <v>#N/A</v>
      </c>
      <c r="J179" s="309"/>
      <c r="K179" s="309" t="e">
        <f t="shared" ref="K179:L198" si="119">IF(K$177,0,INDEX(value_MRB,K$178,K347-2014)*K387)</f>
        <v>#N/A</v>
      </c>
      <c r="L179" s="309" t="e">
        <f t="shared" si="119"/>
        <v>#N/A</v>
      </c>
      <c r="M179" s="309"/>
      <c r="N179" s="309" t="e">
        <f t="shared" ref="N179:O198" si="120">IF(N$177,0,INDEX(value_MRB,N$178,N347-2014)*N387)</f>
        <v>#N/A</v>
      </c>
      <c r="O179" s="309" t="e">
        <f t="shared" si="120"/>
        <v>#N/A</v>
      </c>
    </row>
    <row r="180" spans="1:15" x14ac:dyDescent="0.3">
      <c r="B180" s="272" t="s">
        <v>1007</v>
      </c>
      <c r="C180" s="272" t="s">
        <v>1109</v>
      </c>
      <c r="D180" s="272">
        <v>2</v>
      </c>
      <c r="E180" s="276" t="e">
        <f t="shared" si="117"/>
        <v>#N/A</v>
      </c>
      <c r="F180" s="276" t="e">
        <f t="shared" si="117"/>
        <v>#N/A</v>
      </c>
      <c r="G180" s="276"/>
      <c r="H180" s="276" t="e">
        <f t="shared" si="118"/>
        <v>#N/A</v>
      </c>
      <c r="I180" s="276" t="e">
        <f t="shared" si="118"/>
        <v>#N/A</v>
      </c>
      <c r="J180" s="276"/>
      <c r="K180" s="276" t="e">
        <f t="shared" si="119"/>
        <v>#N/A</v>
      </c>
      <c r="L180" s="276" t="e">
        <f t="shared" si="119"/>
        <v>#N/A</v>
      </c>
      <c r="M180" s="276"/>
      <c r="N180" s="276" t="e">
        <f t="shared" si="120"/>
        <v>#N/A</v>
      </c>
      <c r="O180" s="276" t="e">
        <f t="shared" si="120"/>
        <v>#N/A</v>
      </c>
    </row>
    <row r="181" spans="1:15" x14ac:dyDescent="0.3">
      <c r="B181" s="272" t="s">
        <v>1007</v>
      </c>
      <c r="C181" s="272" t="s">
        <v>1109</v>
      </c>
      <c r="D181" s="272">
        <v>3</v>
      </c>
      <c r="E181" s="276" t="e">
        <f t="shared" si="117"/>
        <v>#N/A</v>
      </c>
      <c r="F181" s="276" t="e">
        <f t="shared" si="117"/>
        <v>#N/A</v>
      </c>
      <c r="G181" s="276"/>
      <c r="H181" s="276" t="e">
        <f t="shared" si="118"/>
        <v>#N/A</v>
      </c>
      <c r="I181" s="276" t="e">
        <f t="shared" si="118"/>
        <v>#N/A</v>
      </c>
      <c r="J181" s="276"/>
      <c r="K181" s="276" t="e">
        <f t="shared" si="119"/>
        <v>#N/A</v>
      </c>
      <c r="L181" s="276" t="e">
        <f t="shared" si="119"/>
        <v>#N/A</v>
      </c>
      <c r="M181" s="276"/>
      <c r="N181" s="276" t="e">
        <f t="shared" si="120"/>
        <v>#N/A</v>
      </c>
      <c r="O181" s="276" t="e">
        <f t="shared" si="120"/>
        <v>#N/A</v>
      </c>
    </row>
    <row r="182" spans="1:15" x14ac:dyDescent="0.3">
      <c r="B182" s="272" t="s">
        <v>1007</v>
      </c>
      <c r="C182" s="272" t="s">
        <v>1109</v>
      </c>
      <c r="D182" s="272">
        <v>4</v>
      </c>
      <c r="E182" s="276" t="e">
        <f t="shared" si="117"/>
        <v>#N/A</v>
      </c>
      <c r="F182" s="276" t="e">
        <f t="shared" si="117"/>
        <v>#N/A</v>
      </c>
      <c r="G182" s="276"/>
      <c r="H182" s="276" t="e">
        <f t="shared" si="118"/>
        <v>#N/A</v>
      </c>
      <c r="I182" s="276" t="e">
        <f t="shared" si="118"/>
        <v>#N/A</v>
      </c>
      <c r="J182" s="276"/>
      <c r="K182" s="276" t="e">
        <f t="shared" si="119"/>
        <v>#N/A</v>
      </c>
      <c r="L182" s="276" t="e">
        <f t="shared" si="119"/>
        <v>#N/A</v>
      </c>
      <c r="M182" s="276"/>
      <c r="N182" s="276" t="e">
        <f t="shared" si="120"/>
        <v>#N/A</v>
      </c>
      <c r="O182" s="276" t="e">
        <f t="shared" si="120"/>
        <v>#N/A</v>
      </c>
    </row>
    <row r="183" spans="1:15" x14ac:dyDescent="0.3">
      <c r="B183" s="272" t="s">
        <v>1007</v>
      </c>
      <c r="C183" s="272" t="s">
        <v>1109</v>
      </c>
      <c r="D183" s="272">
        <v>5</v>
      </c>
      <c r="E183" s="276" t="e">
        <f t="shared" si="117"/>
        <v>#N/A</v>
      </c>
      <c r="F183" s="276" t="e">
        <f t="shared" si="117"/>
        <v>#N/A</v>
      </c>
      <c r="G183" s="276"/>
      <c r="H183" s="276" t="e">
        <f t="shared" si="118"/>
        <v>#N/A</v>
      </c>
      <c r="I183" s="276" t="e">
        <f t="shared" si="118"/>
        <v>#N/A</v>
      </c>
      <c r="J183" s="276"/>
      <c r="K183" s="276" t="e">
        <f t="shared" si="119"/>
        <v>#N/A</v>
      </c>
      <c r="L183" s="276" t="e">
        <f t="shared" si="119"/>
        <v>#N/A</v>
      </c>
      <c r="M183" s="276"/>
      <c r="N183" s="276" t="e">
        <f t="shared" si="120"/>
        <v>#N/A</v>
      </c>
      <c r="O183" s="276" t="e">
        <f t="shared" si="120"/>
        <v>#N/A</v>
      </c>
    </row>
    <row r="184" spans="1:15" x14ac:dyDescent="0.3">
      <c r="B184" s="272" t="s">
        <v>1007</v>
      </c>
      <c r="C184" s="272" t="s">
        <v>1109</v>
      </c>
      <c r="D184" s="272">
        <v>6</v>
      </c>
      <c r="E184" s="276" t="e">
        <f t="shared" si="117"/>
        <v>#N/A</v>
      </c>
      <c r="F184" s="276" t="e">
        <f t="shared" si="117"/>
        <v>#N/A</v>
      </c>
      <c r="G184" s="276"/>
      <c r="H184" s="276" t="e">
        <f t="shared" si="118"/>
        <v>#N/A</v>
      </c>
      <c r="I184" s="276" t="e">
        <f t="shared" si="118"/>
        <v>#N/A</v>
      </c>
      <c r="J184" s="276"/>
      <c r="K184" s="276" t="e">
        <f t="shared" si="119"/>
        <v>#N/A</v>
      </c>
      <c r="L184" s="276" t="e">
        <f t="shared" si="119"/>
        <v>#N/A</v>
      </c>
      <c r="M184" s="276"/>
      <c r="N184" s="276" t="e">
        <f t="shared" si="120"/>
        <v>#N/A</v>
      </c>
      <c r="O184" s="276" t="e">
        <f t="shared" si="120"/>
        <v>#N/A</v>
      </c>
    </row>
    <row r="185" spans="1:15" x14ac:dyDescent="0.3">
      <c r="B185" s="272" t="s">
        <v>1007</v>
      </c>
      <c r="C185" s="272" t="s">
        <v>1109</v>
      </c>
      <c r="D185" s="272">
        <v>7</v>
      </c>
      <c r="E185" s="276" t="e">
        <f t="shared" si="117"/>
        <v>#N/A</v>
      </c>
      <c r="F185" s="276" t="e">
        <f t="shared" si="117"/>
        <v>#N/A</v>
      </c>
      <c r="G185" s="276"/>
      <c r="H185" s="276" t="e">
        <f t="shared" si="118"/>
        <v>#N/A</v>
      </c>
      <c r="I185" s="276" t="e">
        <f t="shared" si="118"/>
        <v>#N/A</v>
      </c>
      <c r="J185" s="276"/>
      <c r="K185" s="276" t="e">
        <f t="shared" si="119"/>
        <v>#N/A</v>
      </c>
      <c r="L185" s="276" t="e">
        <f t="shared" si="119"/>
        <v>#N/A</v>
      </c>
      <c r="M185" s="276"/>
      <c r="N185" s="276" t="e">
        <f t="shared" si="120"/>
        <v>#N/A</v>
      </c>
      <c r="O185" s="276" t="e">
        <f t="shared" si="120"/>
        <v>#N/A</v>
      </c>
    </row>
    <row r="186" spans="1:15" x14ac:dyDescent="0.3">
      <c r="B186" s="272" t="s">
        <v>1007</v>
      </c>
      <c r="C186" s="272" t="s">
        <v>1109</v>
      </c>
      <c r="D186" s="272">
        <v>8</v>
      </c>
      <c r="E186" s="276" t="e">
        <f t="shared" si="117"/>
        <v>#N/A</v>
      </c>
      <c r="F186" s="276" t="e">
        <f t="shared" si="117"/>
        <v>#N/A</v>
      </c>
      <c r="G186" s="276"/>
      <c r="H186" s="276" t="e">
        <f t="shared" si="118"/>
        <v>#N/A</v>
      </c>
      <c r="I186" s="276" t="e">
        <f t="shared" si="118"/>
        <v>#N/A</v>
      </c>
      <c r="J186" s="276"/>
      <c r="K186" s="276" t="e">
        <f t="shared" si="119"/>
        <v>#N/A</v>
      </c>
      <c r="L186" s="276" t="e">
        <f t="shared" si="119"/>
        <v>#N/A</v>
      </c>
      <c r="M186" s="276"/>
      <c r="N186" s="276" t="e">
        <f t="shared" si="120"/>
        <v>#N/A</v>
      </c>
      <c r="O186" s="276" t="e">
        <f t="shared" si="120"/>
        <v>#N/A</v>
      </c>
    </row>
    <row r="187" spans="1:15" x14ac:dyDescent="0.3">
      <c r="B187" s="272" t="s">
        <v>1007</v>
      </c>
      <c r="C187" s="272" t="s">
        <v>1109</v>
      </c>
      <c r="D187" s="272">
        <v>9</v>
      </c>
      <c r="E187" s="276" t="e">
        <f t="shared" si="117"/>
        <v>#N/A</v>
      </c>
      <c r="F187" s="276" t="e">
        <f t="shared" si="117"/>
        <v>#N/A</v>
      </c>
      <c r="G187" s="276"/>
      <c r="H187" s="276" t="e">
        <f t="shared" si="118"/>
        <v>#N/A</v>
      </c>
      <c r="I187" s="276" t="e">
        <f t="shared" si="118"/>
        <v>#N/A</v>
      </c>
      <c r="J187" s="276"/>
      <c r="K187" s="276" t="e">
        <f t="shared" si="119"/>
        <v>#N/A</v>
      </c>
      <c r="L187" s="276" t="e">
        <f t="shared" si="119"/>
        <v>#N/A</v>
      </c>
      <c r="M187" s="276"/>
      <c r="N187" s="276" t="e">
        <f t="shared" si="120"/>
        <v>#N/A</v>
      </c>
      <c r="O187" s="276" t="e">
        <f t="shared" si="120"/>
        <v>#N/A</v>
      </c>
    </row>
    <row r="188" spans="1:15" x14ac:dyDescent="0.3">
      <c r="B188" s="272" t="s">
        <v>1007</v>
      </c>
      <c r="C188" s="272" t="s">
        <v>1109</v>
      </c>
      <c r="D188" s="272">
        <v>10</v>
      </c>
      <c r="E188" s="276" t="e">
        <f t="shared" si="117"/>
        <v>#N/A</v>
      </c>
      <c r="F188" s="276" t="e">
        <f t="shared" si="117"/>
        <v>#N/A</v>
      </c>
      <c r="G188" s="276"/>
      <c r="H188" s="276" t="e">
        <f t="shared" si="118"/>
        <v>#N/A</v>
      </c>
      <c r="I188" s="276" t="e">
        <f t="shared" si="118"/>
        <v>#N/A</v>
      </c>
      <c r="J188" s="276"/>
      <c r="K188" s="276" t="e">
        <f t="shared" si="119"/>
        <v>#N/A</v>
      </c>
      <c r="L188" s="276" t="e">
        <f t="shared" si="119"/>
        <v>#N/A</v>
      </c>
      <c r="M188" s="276"/>
      <c r="N188" s="276" t="e">
        <f t="shared" si="120"/>
        <v>#N/A</v>
      </c>
      <c r="O188" s="276" t="e">
        <f t="shared" si="120"/>
        <v>#N/A</v>
      </c>
    </row>
    <row r="189" spans="1:15" x14ac:dyDescent="0.3">
      <c r="B189" s="272" t="s">
        <v>1007</v>
      </c>
      <c r="C189" s="272" t="s">
        <v>1109</v>
      </c>
      <c r="D189" s="272">
        <v>11</v>
      </c>
      <c r="E189" s="276" t="e">
        <f t="shared" si="117"/>
        <v>#N/A</v>
      </c>
      <c r="F189" s="276" t="e">
        <f t="shared" si="117"/>
        <v>#N/A</v>
      </c>
      <c r="G189" s="276"/>
      <c r="H189" s="276" t="e">
        <f t="shared" si="118"/>
        <v>#N/A</v>
      </c>
      <c r="I189" s="276" t="e">
        <f t="shared" si="118"/>
        <v>#N/A</v>
      </c>
      <c r="J189" s="276"/>
      <c r="K189" s="276" t="e">
        <f t="shared" si="119"/>
        <v>#N/A</v>
      </c>
      <c r="L189" s="276" t="e">
        <f t="shared" si="119"/>
        <v>#N/A</v>
      </c>
      <c r="M189" s="276"/>
      <c r="N189" s="276" t="e">
        <f t="shared" si="120"/>
        <v>#N/A</v>
      </c>
      <c r="O189" s="276" t="e">
        <f t="shared" si="120"/>
        <v>#N/A</v>
      </c>
    </row>
    <row r="190" spans="1:15" x14ac:dyDescent="0.3">
      <c r="B190" s="272" t="s">
        <v>1007</v>
      </c>
      <c r="C190" s="272" t="s">
        <v>1109</v>
      </c>
      <c r="D190" s="272">
        <v>12</v>
      </c>
      <c r="E190" s="276" t="e">
        <f t="shared" si="117"/>
        <v>#N/A</v>
      </c>
      <c r="F190" s="276" t="e">
        <f t="shared" si="117"/>
        <v>#N/A</v>
      </c>
      <c r="G190" s="276"/>
      <c r="H190" s="276" t="e">
        <f t="shared" si="118"/>
        <v>#N/A</v>
      </c>
      <c r="I190" s="276" t="e">
        <f t="shared" si="118"/>
        <v>#N/A</v>
      </c>
      <c r="J190" s="276"/>
      <c r="K190" s="276" t="e">
        <f t="shared" si="119"/>
        <v>#N/A</v>
      </c>
      <c r="L190" s="276" t="e">
        <f t="shared" si="119"/>
        <v>#N/A</v>
      </c>
      <c r="M190" s="276"/>
      <c r="N190" s="276" t="e">
        <f t="shared" si="120"/>
        <v>#N/A</v>
      </c>
      <c r="O190" s="276" t="e">
        <f t="shared" si="120"/>
        <v>#N/A</v>
      </c>
    </row>
    <row r="191" spans="1:15" x14ac:dyDescent="0.3">
      <c r="B191" s="272" t="s">
        <v>1007</v>
      </c>
      <c r="C191" s="272" t="s">
        <v>1109</v>
      </c>
      <c r="D191" s="272">
        <v>13</v>
      </c>
      <c r="E191" s="276" t="e">
        <f t="shared" si="117"/>
        <v>#N/A</v>
      </c>
      <c r="F191" s="276" t="e">
        <f t="shared" si="117"/>
        <v>#N/A</v>
      </c>
      <c r="G191" s="276"/>
      <c r="H191" s="276" t="e">
        <f t="shared" si="118"/>
        <v>#N/A</v>
      </c>
      <c r="I191" s="276" t="e">
        <f t="shared" si="118"/>
        <v>#N/A</v>
      </c>
      <c r="J191" s="276"/>
      <c r="K191" s="276" t="e">
        <f t="shared" si="119"/>
        <v>#N/A</v>
      </c>
      <c r="L191" s="276" t="e">
        <f t="shared" si="119"/>
        <v>#N/A</v>
      </c>
      <c r="M191" s="276"/>
      <c r="N191" s="276" t="e">
        <f t="shared" si="120"/>
        <v>#N/A</v>
      </c>
      <c r="O191" s="276" t="e">
        <f t="shared" si="120"/>
        <v>#N/A</v>
      </c>
    </row>
    <row r="192" spans="1:15" x14ac:dyDescent="0.3">
      <c r="B192" s="272" t="s">
        <v>1007</v>
      </c>
      <c r="C192" s="272" t="s">
        <v>1109</v>
      </c>
      <c r="D192" s="272">
        <v>14</v>
      </c>
      <c r="E192" s="276" t="e">
        <f t="shared" si="117"/>
        <v>#N/A</v>
      </c>
      <c r="F192" s="276" t="e">
        <f t="shared" si="117"/>
        <v>#N/A</v>
      </c>
      <c r="G192" s="276"/>
      <c r="H192" s="276" t="e">
        <f t="shared" si="118"/>
        <v>#N/A</v>
      </c>
      <c r="I192" s="276" t="e">
        <f t="shared" si="118"/>
        <v>#N/A</v>
      </c>
      <c r="J192" s="276"/>
      <c r="K192" s="276" t="e">
        <f t="shared" si="119"/>
        <v>#N/A</v>
      </c>
      <c r="L192" s="276" t="e">
        <f t="shared" si="119"/>
        <v>#N/A</v>
      </c>
      <c r="M192" s="276"/>
      <c r="N192" s="276" t="e">
        <f t="shared" si="120"/>
        <v>#N/A</v>
      </c>
      <c r="O192" s="276" t="e">
        <f t="shared" si="120"/>
        <v>#N/A</v>
      </c>
    </row>
    <row r="193" spans="1:15" x14ac:dyDescent="0.3">
      <c r="B193" s="272" t="s">
        <v>1007</v>
      </c>
      <c r="C193" s="272" t="s">
        <v>1109</v>
      </c>
      <c r="D193" s="272">
        <v>15</v>
      </c>
      <c r="E193" s="276" t="e">
        <f t="shared" si="117"/>
        <v>#N/A</v>
      </c>
      <c r="F193" s="276" t="e">
        <f t="shared" si="117"/>
        <v>#N/A</v>
      </c>
      <c r="G193" s="276"/>
      <c r="H193" s="276" t="e">
        <f t="shared" si="118"/>
        <v>#N/A</v>
      </c>
      <c r="I193" s="276" t="e">
        <f t="shared" si="118"/>
        <v>#N/A</v>
      </c>
      <c r="J193" s="276"/>
      <c r="K193" s="276" t="e">
        <f t="shared" si="119"/>
        <v>#N/A</v>
      </c>
      <c r="L193" s="276" t="e">
        <f t="shared" si="119"/>
        <v>#N/A</v>
      </c>
      <c r="M193" s="276"/>
      <c r="N193" s="276" t="e">
        <f t="shared" si="120"/>
        <v>#N/A</v>
      </c>
      <c r="O193" s="276" t="e">
        <f t="shared" si="120"/>
        <v>#N/A</v>
      </c>
    </row>
    <row r="194" spans="1:15" x14ac:dyDescent="0.3">
      <c r="B194" s="272" t="s">
        <v>1007</v>
      </c>
      <c r="C194" s="272" t="s">
        <v>1109</v>
      </c>
      <c r="D194" s="272">
        <v>16</v>
      </c>
      <c r="E194" s="276" t="e">
        <f t="shared" si="117"/>
        <v>#N/A</v>
      </c>
      <c r="F194" s="276" t="e">
        <f t="shared" si="117"/>
        <v>#N/A</v>
      </c>
      <c r="G194" s="276"/>
      <c r="H194" s="276" t="e">
        <f t="shared" si="118"/>
        <v>#N/A</v>
      </c>
      <c r="I194" s="276" t="e">
        <f t="shared" si="118"/>
        <v>#N/A</v>
      </c>
      <c r="J194" s="276"/>
      <c r="K194" s="276" t="e">
        <f t="shared" si="119"/>
        <v>#N/A</v>
      </c>
      <c r="L194" s="276" t="e">
        <f t="shared" si="119"/>
        <v>#N/A</v>
      </c>
      <c r="M194" s="276"/>
      <c r="N194" s="276" t="e">
        <f t="shared" si="120"/>
        <v>#N/A</v>
      </c>
      <c r="O194" s="276" t="e">
        <f t="shared" si="120"/>
        <v>#N/A</v>
      </c>
    </row>
    <row r="195" spans="1:15" x14ac:dyDescent="0.3">
      <c r="B195" s="272" t="s">
        <v>1007</v>
      </c>
      <c r="C195" s="272" t="s">
        <v>1109</v>
      </c>
      <c r="D195" s="272">
        <v>17</v>
      </c>
      <c r="E195" s="276" t="e">
        <f t="shared" si="117"/>
        <v>#N/A</v>
      </c>
      <c r="F195" s="276" t="e">
        <f t="shared" si="117"/>
        <v>#N/A</v>
      </c>
      <c r="G195" s="276"/>
      <c r="H195" s="276" t="e">
        <f t="shared" si="118"/>
        <v>#N/A</v>
      </c>
      <c r="I195" s="276" t="e">
        <f t="shared" si="118"/>
        <v>#N/A</v>
      </c>
      <c r="J195" s="276"/>
      <c r="K195" s="276" t="e">
        <f t="shared" si="119"/>
        <v>#N/A</v>
      </c>
      <c r="L195" s="276" t="e">
        <f t="shared" si="119"/>
        <v>#N/A</v>
      </c>
      <c r="M195" s="276"/>
      <c r="N195" s="276" t="e">
        <f t="shared" si="120"/>
        <v>#N/A</v>
      </c>
      <c r="O195" s="276" t="e">
        <f t="shared" si="120"/>
        <v>#N/A</v>
      </c>
    </row>
    <row r="196" spans="1:15" x14ac:dyDescent="0.3">
      <c r="B196" s="272" t="s">
        <v>1007</v>
      </c>
      <c r="C196" s="272" t="s">
        <v>1109</v>
      </c>
      <c r="D196" s="272">
        <v>18</v>
      </c>
      <c r="E196" s="276" t="e">
        <f t="shared" si="117"/>
        <v>#N/A</v>
      </c>
      <c r="F196" s="276" t="e">
        <f t="shared" si="117"/>
        <v>#N/A</v>
      </c>
      <c r="G196" s="276"/>
      <c r="H196" s="276" t="e">
        <f t="shared" si="118"/>
        <v>#N/A</v>
      </c>
      <c r="I196" s="276" t="e">
        <f t="shared" si="118"/>
        <v>#N/A</v>
      </c>
      <c r="J196" s="276"/>
      <c r="K196" s="276" t="e">
        <f t="shared" si="119"/>
        <v>#N/A</v>
      </c>
      <c r="L196" s="276" t="e">
        <f t="shared" si="119"/>
        <v>#N/A</v>
      </c>
      <c r="M196" s="276"/>
      <c r="N196" s="276" t="e">
        <f t="shared" si="120"/>
        <v>#N/A</v>
      </c>
      <c r="O196" s="276" t="e">
        <f t="shared" si="120"/>
        <v>#N/A</v>
      </c>
    </row>
    <row r="197" spans="1:15" x14ac:dyDescent="0.3">
      <c r="B197" s="272" t="s">
        <v>1007</v>
      </c>
      <c r="C197" s="272" t="s">
        <v>1109</v>
      </c>
      <c r="D197" s="272">
        <v>19</v>
      </c>
      <c r="E197" s="276" t="e">
        <f t="shared" si="117"/>
        <v>#N/A</v>
      </c>
      <c r="F197" s="276" t="e">
        <f t="shared" si="117"/>
        <v>#N/A</v>
      </c>
      <c r="G197" s="276"/>
      <c r="H197" s="276" t="e">
        <f t="shared" si="118"/>
        <v>#N/A</v>
      </c>
      <c r="I197" s="276" t="e">
        <f t="shared" si="118"/>
        <v>#N/A</v>
      </c>
      <c r="J197" s="276"/>
      <c r="K197" s="276" t="e">
        <f t="shared" si="119"/>
        <v>#N/A</v>
      </c>
      <c r="L197" s="276" t="e">
        <f t="shared" si="119"/>
        <v>#N/A</v>
      </c>
      <c r="M197" s="276"/>
      <c r="N197" s="276" t="e">
        <f t="shared" si="120"/>
        <v>#N/A</v>
      </c>
      <c r="O197" s="276" t="e">
        <f t="shared" si="120"/>
        <v>#N/A</v>
      </c>
    </row>
    <row r="198" spans="1:15" x14ac:dyDescent="0.3">
      <c r="B198" s="272" t="s">
        <v>1007</v>
      </c>
      <c r="C198" s="272" t="s">
        <v>1109</v>
      </c>
      <c r="D198" s="272">
        <v>20</v>
      </c>
      <c r="E198" s="276" t="e">
        <f t="shared" si="117"/>
        <v>#N/A</v>
      </c>
      <c r="F198" s="276" t="e">
        <f t="shared" si="117"/>
        <v>#N/A</v>
      </c>
      <c r="G198" s="276"/>
      <c r="H198" s="276" t="e">
        <f t="shared" si="118"/>
        <v>#N/A</v>
      </c>
      <c r="I198" s="276" t="e">
        <f t="shared" si="118"/>
        <v>#N/A</v>
      </c>
      <c r="J198" s="276"/>
      <c r="K198" s="276" t="e">
        <f t="shared" si="119"/>
        <v>#N/A</v>
      </c>
      <c r="L198" s="276" t="e">
        <f t="shared" si="119"/>
        <v>#N/A</v>
      </c>
      <c r="M198" s="276"/>
      <c r="N198" s="276" t="e">
        <f t="shared" si="120"/>
        <v>#N/A</v>
      </c>
      <c r="O198" s="276" t="e">
        <f t="shared" si="120"/>
        <v>#N/A</v>
      </c>
    </row>
    <row r="199" spans="1:15" x14ac:dyDescent="0.3">
      <c r="E199" s="276"/>
      <c r="F199" s="276"/>
      <c r="H199" s="276"/>
      <c r="I199" s="276"/>
      <c r="K199" s="276"/>
      <c r="L199" s="276"/>
      <c r="M199" s="276"/>
      <c r="N199" s="276"/>
      <c r="O199" s="276"/>
    </row>
    <row r="200" spans="1:15" s="275" customFormat="1" x14ac:dyDescent="0.3">
      <c r="A200" s="275" t="s">
        <v>1004</v>
      </c>
    </row>
    <row r="201" spans="1:15" x14ac:dyDescent="0.3">
      <c r="B201" s="361" t="s">
        <v>1955</v>
      </c>
      <c r="C201" s="272" t="s">
        <v>265</v>
      </c>
      <c r="E201" s="276">
        <v>250</v>
      </c>
      <c r="F201" s="276">
        <v>250</v>
      </c>
      <c r="H201" s="276">
        <v>250</v>
      </c>
      <c r="I201" s="276">
        <v>250</v>
      </c>
      <c r="K201" s="276">
        <v>250</v>
      </c>
      <c r="L201" s="276">
        <v>250</v>
      </c>
      <c r="M201" s="276"/>
      <c r="N201" s="276">
        <v>250</v>
      </c>
      <c r="O201" s="276">
        <v>250</v>
      </c>
    </row>
    <row r="202" spans="1:15" customFormat="1" ht="15" x14ac:dyDescent="0.3">
      <c r="B202" s="361" t="s">
        <v>1954</v>
      </c>
      <c r="E202" s="685">
        <v>0.7</v>
      </c>
      <c r="F202" s="685">
        <v>0.7</v>
      </c>
      <c r="G202" s="685"/>
      <c r="H202" s="685">
        <v>0.7</v>
      </c>
      <c r="I202" s="685">
        <v>0.7</v>
      </c>
      <c r="J202" s="685"/>
      <c r="K202" s="685">
        <v>0.7</v>
      </c>
      <c r="L202" s="685">
        <v>0.7</v>
      </c>
      <c r="M202" s="685"/>
      <c r="N202" s="685">
        <v>0.7</v>
      </c>
      <c r="O202" s="685">
        <v>0.7</v>
      </c>
    </row>
    <row r="203" spans="1:15" customFormat="1" ht="15" x14ac:dyDescent="0.3"/>
    <row r="204" spans="1:15" x14ac:dyDescent="0.3">
      <c r="B204" s="272" t="s">
        <v>1004</v>
      </c>
      <c r="C204" s="272" t="s">
        <v>265</v>
      </c>
      <c r="E204" s="276" t="e">
        <f>E201*IF(E9="Elektrisch",E202,1)</f>
        <v>#N/A</v>
      </c>
      <c r="F204" s="276" t="e">
        <f>F201*IF(F9="Elektrisch",F202,1)</f>
        <v>#N/A</v>
      </c>
      <c r="G204" s="276"/>
      <c r="H204" s="276" t="e">
        <f>H201*IF(H9="Elektrisch",H202,1)</f>
        <v>#N/A</v>
      </c>
      <c r="I204" s="276" t="e">
        <f>I201*IF(I9="Elektrisch",I202,1)</f>
        <v>#N/A</v>
      </c>
      <c r="J204" s="276"/>
      <c r="K204" s="276" t="e">
        <f>K201*IF(K9="Elektrisch",K202,1)</f>
        <v>#N/A</v>
      </c>
      <c r="L204" s="276" t="e">
        <f>L201*IF(L9="Elektrisch",L202,1)</f>
        <v>#N/A</v>
      </c>
      <c r="M204" s="276"/>
      <c r="N204" s="276" t="e">
        <f>N201*IF(N9="Elektrisch",N202,1)</f>
        <v>#N/A</v>
      </c>
      <c r="O204" s="276" t="e">
        <f>O201*IF(O9="Elektrisch",O202,1)</f>
        <v>#N/A</v>
      </c>
    </row>
    <row r="205" spans="1:15" x14ac:dyDescent="0.3">
      <c r="B205" s="272" t="s">
        <v>1004</v>
      </c>
      <c r="C205" s="272" t="s">
        <v>38</v>
      </c>
      <c r="E205" s="276" t="e">
        <f>E204*E32</f>
        <v>#N/A</v>
      </c>
      <c r="F205" s="276" t="e">
        <f>F204*F32</f>
        <v>#N/A</v>
      </c>
      <c r="H205" s="276" t="e">
        <f>H204*H32</f>
        <v>#N/A</v>
      </c>
      <c r="I205" s="276" t="e">
        <f>I204*I32</f>
        <v>#N/A</v>
      </c>
      <c r="K205" s="276" t="e">
        <f>K204*K32</f>
        <v>#N/A</v>
      </c>
      <c r="L205" s="276" t="e">
        <f>L204*L32</f>
        <v>#N/A</v>
      </c>
      <c r="M205" s="276"/>
      <c r="N205" s="276" t="e">
        <f>N204*N32</f>
        <v>#N/A</v>
      </c>
      <c r="O205" s="276" t="e">
        <f>O204*O32</f>
        <v>#N/A</v>
      </c>
    </row>
    <row r="206" spans="1:15" s="275" customFormat="1" x14ac:dyDescent="0.3">
      <c r="A206" s="275" t="s">
        <v>1135</v>
      </c>
    </row>
    <row r="207" spans="1:15" x14ac:dyDescent="0.3">
      <c r="B207" s="272" t="s">
        <v>1135</v>
      </c>
      <c r="C207" s="272" t="s">
        <v>265</v>
      </c>
      <c r="E207" s="276" t="e">
        <f>IF(AND(OR(E9="Elektrisch",E9="plug-in"),Selectie_voertuigen!$C$42="ja"),E211,0)</f>
        <v>#N/A</v>
      </c>
      <c r="F207" s="276" t="e">
        <f>IF(AND(OR(F9="Elektrisch",F9="plug-in"),Selectie_voertuigen!$C$42="ja"),F211,0)</f>
        <v>#N/A</v>
      </c>
      <c r="G207" s="276"/>
      <c r="H207" s="276" t="e">
        <f>IF(AND(OR(H9="Elektrisch",H9="plug-in"),Selectie_voertuigen!$C$42="ja"),H211,0)</f>
        <v>#N/A</v>
      </c>
      <c r="I207" s="276" t="e">
        <f>IF(AND(OR(I9="Elektrisch",I9="plug-in"),Selectie_voertuigen!$C$42="ja"),I211,0)</f>
        <v>#N/A</v>
      </c>
      <c r="J207" s="276"/>
      <c r="K207" s="276" t="e">
        <f>IF(AND(OR(K9="Elektrisch",K9="plug-in"),Selectie_voertuigen!$C$42="ja"),K211,0)</f>
        <v>#N/A</v>
      </c>
      <c r="L207" s="276" t="e">
        <f>IF(AND(OR(L9="Elektrisch",L9="plug-in"),Selectie_voertuigen!$C$42="ja"),L211,0)</f>
        <v>#N/A</v>
      </c>
      <c r="M207" s="276"/>
      <c r="N207" s="276" t="e">
        <f>IF(AND(OR(N9="Elektrisch",N9="plug-in"),Selectie_voertuigen!$C$42="ja"),N211,0)</f>
        <v>#N/A</v>
      </c>
      <c r="O207" s="276" t="e">
        <f>IF(AND(OR(O9="Elektrisch",O9="plug-in"),Selectie_voertuigen!$C$42="ja"),O211,0)</f>
        <v>#N/A</v>
      </c>
    </row>
    <row r="208" spans="1:15" x14ac:dyDescent="0.3">
      <c r="B208" s="272" t="s">
        <v>1135</v>
      </c>
      <c r="C208" s="272" t="s">
        <v>38</v>
      </c>
      <c r="E208" s="276" t="e">
        <f>E207*E32</f>
        <v>#N/A</v>
      </c>
      <c r="F208" s="276" t="e">
        <f>F207*F32</f>
        <v>#N/A</v>
      </c>
      <c r="H208" s="276" t="e">
        <f>H207*H32</f>
        <v>#N/A</v>
      </c>
      <c r="I208" s="276" t="e">
        <f>I207*I32</f>
        <v>#N/A</v>
      </c>
      <c r="K208" s="276" t="e">
        <f>K207*K32</f>
        <v>#N/A</v>
      </c>
      <c r="L208" s="276" t="e">
        <f>L207*L32</f>
        <v>#N/A</v>
      </c>
      <c r="M208" s="276"/>
      <c r="N208" s="276" t="e">
        <f>N207*N32</f>
        <v>#N/A</v>
      </c>
      <c r="O208" s="276" t="e">
        <f>O207*O32</f>
        <v>#N/A</v>
      </c>
    </row>
    <row r="209" spans="1:15" x14ac:dyDescent="0.3">
      <c r="B209" s="272" t="s">
        <v>1135</v>
      </c>
      <c r="C209" s="272" t="s">
        <v>56</v>
      </c>
      <c r="E209" s="276">
        <f>INDEX(kosten_thuislader[[Kosten]:[Kosten]],MATCH(E2,kosten_thuislader[[Jaar]:[Jaar]]))</f>
        <v>2250</v>
      </c>
      <c r="F209" s="276">
        <f>INDEX(kosten_thuislader[[Kosten]:[Kosten]],MATCH(F2,kosten_thuislader[[Jaar]:[Jaar]]))</f>
        <v>2250</v>
      </c>
      <c r="G209" s="276"/>
      <c r="H209" s="276">
        <f>INDEX(kosten_thuislader[[Kosten]:[Kosten]],MATCH(H2,kosten_thuislader[[Jaar]:[Jaar]]))</f>
        <v>2250</v>
      </c>
      <c r="I209" s="276">
        <f>INDEX(kosten_thuislader[[Kosten]:[Kosten]],MATCH(I2,kosten_thuislader[[Jaar]:[Jaar]]))</f>
        <v>2250</v>
      </c>
      <c r="J209" s="276"/>
      <c r="K209" s="276">
        <f>INDEX(kosten_thuislader[[Kosten]:[Kosten]],MATCH(K2,kosten_thuislader[[Jaar]:[Jaar]]))</f>
        <v>2250</v>
      </c>
      <c r="L209" s="276">
        <f>INDEX(kosten_thuislader[[Kosten]:[Kosten]],MATCH(L2,kosten_thuislader[[Jaar]:[Jaar]]))</f>
        <v>2250</v>
      </c>
      <c r="M209" s="276"/>
      <c r="N209" s="276">
        <f>INDEX(kosten_thuislader[[Kosten]:[Kosten]],MATCH(N2,kosten_thuislader[[Jaar]:[Jaar]]))</f>
        <v>2250</v>
      </c>
      <c r="O209" s="276">
        <f>INDEX(kosten_thuislader[[Kosten]:[Kosten]],MATCH(O2,kosten_thuislader[[Jaar]:[Jaar]]))</f>
        <v>2250</v>
      </c>
    </row>
    <row r="210" spans="1:15" x14ac:dyDescent="0.3">
      <c r="B210" s="272" t="s">
        <v>1135</v>
      </c>
      <c r="C210" s="272" t="s">
        <v>57</v>
      </c>
      <c r="E210" s="272">
        <v>10</v>
      </c>
      <c r="F210" s="272">
        <v>10</v>
      </c>
      <c r="H210" s="272">
        <v>10</v>
      </c>
      <c r="I210" s="272">
        <v>10</v>
      </c>
      <c r="K210" s="272">
        <v>10</v>
      </c>
      <c r="L210" s="272">
        <v>10</v>
      </c>
      <c r="N210" s="272">
        <v>10</v>
      </c>
      <c r="O210" s="272">
        <v>10</v>
      </c>
    </row>
    <row r="211" spans="1:15" x14ac:dyDescent="0.3">
      <c r="B211" s="272" t="s">
        <v>1135</v>
      </c>
      <c r="C211" s="272" t="s">
        <v>55</v>
      </c>
      <c r="E211" s="276">
        <f t="shared" ref="E211:F211" si="121">-PMT(input_rente,E210,E209)*E212</f>
        <v>0</v>
      </c>
      <c r="F211" s="276">
        <f t="shared" si="121"/>
        <v>0</v>
      </c>
      <c r="H211" s="276">
        <f t="shared" ref="H211:I211" si="122">-PMT(input_rente,H210,H209)*H212</f>
        <v>0</v>
      </c>
      <c r="I211" s="276">
        <f t="shared" si="122"/>
        <v>0</v>
      </c>
      <c r="K211" s="276">
        <f t="shared" ref="K211:L211" si="123">-PMT(input_rente,K210,K209)*K212</f>
        <v>0</v>
      </c>
      <c r="L211" s="276">
        <f t="shared" si="123"/>
        <v>0</v>
      </c>
      <c r="M211" s="276"/>
      <c r="N211" s="276">
        <f t="shared" ref="N211:O211" si="124">-PMT(input_rente,N210,N209)*N212</f>
        <v>0</v>
      </c>
      <c r="O211" s="276">
        <f t="shared" si="124"/>
        <v>0</v>
      </c>
    </row>
    <row r="212" spans="1:15" x14ac:dyDescent="0.3">
      <c r="B212" s="272" t="s">
        <v>1135</v>
      </c>
      <c r="C212" s="272" t="s">
        <v>1184</v>
      </c>
      <c r="E212" s="272">
        <f t="shared" ref="E212:O212" si="125">IF(input_thuisladen=0,0,1)</f>
        <v>0</v>
      </c>
      <c r="F212" s="272">
        <f t="shared" si="125"/>
        <v>0</v>
      </c>
      <c r="H212" s="272">
        <f t="shared" si="125"/>
        <v>0</v>
      </c>
      <c r="I212" s="272">
        <f t="shared" si="125"/>
        <v>0</v>
      </c>
      <c r="K212" s="272">
        <f t="shared" si="125"/>
        <v>0</v>
      </c>
      <c r="L212" s="272">
        <f t="shared" si="125"/>
        <v>0</v>
      </c>
      <c r="N212" s="272">
        <f t="shared" si="125"/>
        <v>0</v>
      </c>
      <c r="O212" s="272">
        <f t="shared" si="125"/>
        <v>0</v>
      </c>
    </row>
    <row r="213" spans="1:15" x14ac:dyDescent="0.3">
      <c r="E213" s="277"/>
      <c r="F213" s="277"/>
      <c r="H213" s="277"/>
      <c r="I213" s="277"/>
      <c r="K213" s="277"/>
      <c r="L213" s="277"/>
      <c r="M213" s="277"/>
      <c r="N213" s="277"/>
      <c r="O213" s="277"/>
    </row>
    <row r="214" spans="1:15" s="275" customFormat="1" x14ac:dyDescent="0.3">
      <c r="A214" s="275" t="s">
        <v>1091</v>
      </c>
    </row>
    <row r="215" spans="1:15" x14ac:dyDescent="0.3">
      <c r="B215" s="361" t="s">
        <v>61</v>
      </c>
      <c r="C215" s="361" t="s">
        <v>1143</v>
      </c>
      <c r="E215" s="504" t="e">
        <f>E12</f>
        <v>#N/A</v>
      </c>
      <c r="F215" s="504" t="e">
        <f>F12</f>
        <v>#N/A</v>
      </c>
      <c r="G215" s="504"/>
      <c r="H215" s="504" t="e">
        <f>H12</f>
        <v>#N/A</v>
      </c>
      <c r="I215" s="504" t="e">
        <f>I12</f>
        <v>#N/A</v>
      </c>
      <c r="J215" s="504"/>
      <c r="K215" s="504" t="e">
        <f>K12</f>
        <v>#N/A</v>
      </c>
      <c r="L215" s="504" t="e">
        <f>L12</f>
        <v>#N/A</v>
      </c>
      <c r="M215" s="504"/>
      <c r="N215" s="504" t="e">
        <f>N12</f>
        <v>#N/A</v>
      </c>
      <c r="O215" s="504" t="e">
        <f>O12</f>
        <v>#N/A</v>
      </c>
    </row>
    <row r="216" spans="1:15" x14ac:dyDescent="0.3">
      <c r="B216" s="272" t="s">
        <v>1157</v>
      </c>
      <c r="C216" s="272" t="s">
        <v>28</v>
      </c>
      <c r="E216" s="325" t="e">
        <f>IF(E9="diesel",input_data!$H$349,input_data!$H$347)</f>
        <v>#N/A</v>
      </c>
      <c r="F216" s="325" t="e">
        <f>IF(F9="diesel",input_data!$H$349,input_data!$H$347)</f>
        <v>#N/A</v>
      </c>
      <c r="H216" s="325" t="e">
        <f>IF(H9="diesel",input_data!$H$349,input_data!$H$347)</f>
        <v>#N/A</v>
      </c>
      <c r="I216" s="325" t="e">
        <f>IF(I9="diesel",input_data!$H$349,input_data!$H$347)</f>
        <v>#N/A</v>
      </c>
      <c r="K216" s="325" t="e">
        <f>IF(K9="diesel",input_data!$H$349,input_data!$H$347)</f>
        <v>#N/A</v>
      </c>
      <c r="L216" s="325" t="e">
        <f>IF(L9="diesel",input_data!$H$349,input_data!$H$347)</f>
        <v>#N/A</v>
      </c>
      <c r="M216" s="325"/>
      <c r="N216" s="325" t="e">
        <f>IF(N9="diesel",input_data!$H$349,input_data!$H$347)</f>
        <v>#N/A</v>
      </c>
      <c r="O216" s="325" t="e">
        <f>IF(O9="diesel",input_data!$H$349,input_data!$H$347)</f>
        <v>#N/A</v>
      </c>
    </row>
    <row r="217" spans="1:15" x14ac:dyDescent="0.3">
      <c r="A217" s="274"/>
      <c r="B217" s="360" t="s">
        <v>1479</v>
      </c>
      <c r="C217" s="274" t="s">
        <v>29</v>
      </c>
      <c r="D217" s="274"/>
      <c r="E217" s="326">
        <f>E82</f>
        <v>0</v>
      </c>
      <c r="F217" s="326">
        <f>F82</f>
        <v>0</v>
      </c>
      <c r="H217" s="326">
        <f>H82</f>
        <v>0</v>
      </c>
      <c r="I217" s="326">
        <f>I82</f>
        <v>0</v>
      </c>
      <c r="K217" s="326">
        <f>K82</f>
        <v>0</v>
      </c>
      <c r="L217" s="326">
        <f>L82</f>
        <v>0</v>
      </c>
      <c r="N217" s="326">
        <f>N82</f>
        <v>0</v>
      </c>
      <c r="O217" s="326">
        <f>O82</f>
        <v>0</v>
      </c>
    </row>
    <row r="218" spans="1:15" x14ac:dyDescent="0.3">
      <c r="B218" s="361" t="s">
        <v>1653</v>
      </c>
      <c r="C218" s="361" t="s">
        <v>1654</v>
      </c>
      <c r="E218" s="277">
        <f>IF(Keuzemenu!$D$20="Ja",0.3,0)</f>
        <v>0</v>
      </c>
      <c r="F218" s="277">
        <f>IF(Keuzemenu!$D$20="Ja",0.3,0)</f>
        <v>0</v>
      </c>
      <c r="G218" s="277"/>
      <c r="H218" s="277">
        <f>IF(Keuzemenu!$D$20="Ja",0.3,0)</f>
        <v>0</v>
      </c>
      <c r="I218" s="277">
        <f>IF(Keuzemenu!$D$20="Ja",0.3,0)</f>
        <v>0</v>
      </c>
      <c r="J218" s="277"/>
      <c r="K218" s="277">
        <f>IF(Keuzemenu!$D$20="Ja",0.3,0)</f>
        <v>0</v>
      </c>
      <c r="L218" s="277">
        <f>IF(Keuzemenu!$D$20="Ja",0.3,0)</f>
        <v>0</v>
      </c>
      <c r="M218" s="277"/>
      <c r="N218" s="277">
        <f>IF(Keuzemenu!$D$20="Ja",0.3,0)</f>
        <v>0</v>
      </c>
      <c r="O218" s="277">
        <f>IF(Keuzemenu!$D$20="Ja",0.3,0)</f>
        <v>0</v>
      </c>
    </row>
    <row r="219" spans="1:15" x14ac:dyDescent="0.3">
      <c r="B219" s="361" t="s">
        <v>1653</v>
      </c>
      <c r="C219" s="361" t="s">
        <v>141</v>
      </c>
      <c r="E219" s="277">
        <f>IF(Keuzemenu!$D$20="Ja",0.15,0)</f>
        <v>0</v>
      </c>
      <c r="F219" s="277">
        <f>IF(Keuzemenu!$D$20="Ja",0.15,0)</f>
        <v>0</v>
      </c>
      <c r="G219" s="277"/>
      <c r="H219" s="277">
        <f>IF(Keuzemenu!$D$20="Ja",0.15,0)</f>
        <v>0</v>
      </c>
      <c r="I219" s="277">
        <f>IF(Keuzemenu!$D$20="Ja",0.15,0)</f>
        <v>0</v>
      </c>
      <c r="J219" s="277"/>
      <c r="K219" s="277">
        <f>IF(Keuzemenu!$D$20="Ja",0.15,0)</f>
        <v>0</v>
      </c>
      <c r="L219" s="277">
        <f>IF(Keuzemenu!$D$20="Ja",0.15,0)</f>
        <v>0</v>
      </c>
      <c r="M219" s="277"/>
      <c r="N219" s="277">
        <f>IF(Keuzemenu!$D$20="Ja",0.15,0)</f>
        <v>0</v>
      </c>
      <c r="O219" s="277">
        <f>IF(Keuzemenu!$D$20="Ja",0.15,0)</f>
        <v>0</v>
      </c>
    </row>
    <row r="220" spans="1:15" x14ac:dyDescent="0.3">
      <c r="B220" s="272" t="s">
        <v>1138</v>
      </c>
      <c r="C220" s="272" t="s">
        <v>141</v>
      </c>
      <c r="E220" s="272">
        <f>input_data!$C$355</f>
        <v>1.25</v>
      </c>
      <c r="F220" s="272">
        <f>input_data!$C$355</f>
        <v>1.25</v>
      </c>
      <c r="H220" s="272">
        <f>input_data!$C$355</f>
        <v>1.25</v>
      </c>
      <c r="I220" s="272">
        <f>input_data!$C$355</f>
        <v>1.25</v>
      </c>
      <c r="K220" s="272">
        <f>input_data!$C$355</f>
        <v>1.25</v>
      </c>
      <c r="L220" s="272">
        <f>input_data!$C$355</f>
        <v>1.25</v>
      </c>
      <c r="N220" s="272">
        <f>input_data!$C$355</f>
        <v>1.25</v>
      </c>
      <c r="O220" s="272">
        <f>input_data!$C$355</f>
        <v>1.25</v>
      </c>
    </row>
    <row r="221" spans="1:15" x14ac:dyDescent="0.3">
      <c r="B221" s="272" t="s">
        <v>523</v>
      </c>
      <c r="C221" s="272" t="s">
        <v>141</v>
      </c>
      <c r="E221" s="290">
        <f t="shared" ref="E221:O221" si="126">input_value_laadverlies</f>
        <v>4.9999999999999933E-2</v>
      </c>
      <c r="F221" s="290">
        <f t="shared" si="126"/>
        <v>4.9999999999999933E-2</v>
      </c>
      <c r="H221" s="290">
        <f t="shared" si="126"/>
        <v>4.9999999999999933E-2</v>
      </c>
      <c r="I221" s="290">
        <f t="shared" si="126"/>
        <v>4.9999999999999933E-2</v>
      </c>
      <c r="K221" s="290">
        <f t="shared" si="126"/>
        <v>4.9999999999999933E-2</v>
      </c>
      <c r="L221" s="290">
        <f t="shared" si="126"/>
        <v>4.9999999999999933E-2</v>
      </c>
      <c r="M221" s="290"/>
      <c r="N221" s="290">
        <f t="shared" si="126"/>
        <v>4.9999999999999933E-2</v>
      </c>
      <c r="O221" s="290">
        <f t="shared" si="126"/>
        <v>4.9999999999999933E-2</v>
      </c>
    </row>
    <row r="222" spans="1:15" x14ac:dyDescent="0.3">
      <c r="A222" s="274"/>
      <c r="B222" s="272" t="s">
        <v>1387</v>
      </c>
      <c r="C222" s="272" t="s">
        <v>1137</v>
      </c>
      <c r="E222" s="325">
        <f>E220*E27*(1/(1-E221))</f>
        <v>0</v>
      </c>
      <c r="F222" s="325">
        <f>F220*F27*(1/(1-F221))</f>
        <v>0</v>
      </c>
      <c r="H222" s="325">
        <f>H220*H27*(1/(1-H221))</f>
        <v>0</v>
      </c>
      <c r="I222" s="325">
        <f>I220*I27*(1/(1-I221))</f>
        <v>0</v>
      </c>
      <c r="K222" s="325">
        <f>K220*K27*(1/(1-K221))</f>
        <v>0</v>
      </c>
      <c r="L222" s="325">
        <f>L220*L27*(1/(1-L221))</f>
        <v>0</v>
      </c>
      <c r="M222" s="277"/>
      <c r="N222" s="325">
        <f>N220*N27*(1/(1-N221))</f>
        <v>0</v>
      </c>
      <c r="O222" s="325">
        <f>O220*O27*(1/(1-O221))</f>
        <v>0</v>
      </c>
    </row>
    <row r="223" spans="1:15" x14ac:dyDescent="0.3">
      <c r="B223" s="672" t="s">
        <v>1919</v>
      </c>
      <c r="C223" s="296"/>
      <c r="D223" s="296"/>
      <c r="E223" s="296" t="e">
        <f>IF(E9="Plug-in",'control panel'!$D$22,0)</f>
        <v>#N/A</v>
      </c>
      <c r="F223" s="296" t="e">
        <f>IF(F9="Plug-in",'control panel'!$D$22,0)</f>
        <v>#N/A</v>
      </c>
      <c r="G223" s="296"/>
      <c r="H223" s="296" t="e">
        <f>IF(H9="Plug-in",'control panel'!$D$22,0)</f>
        <v>#N/A</v>
      </c>
      <c r="I223" s="296" t="e">
        <f>IF(I9="Plug-in",'control panel'!$D$22,0)</f>
        <v>#N/A</v>
      </c>
      <c r="J223" s="296"/>
      <c r="K223" s="296" t="e">
        <f>IF(K9="Plug-in",'control panel'!$D$22,0)</f>
        <v>#N/A</v>
      </c>
      <c r="L223" s="296" t="e">
        <f>IF(L9="Plug-in",'control panel'!$D$22,0)</f>
        <v>#N/A</v>
      </c>
      <c r="M223" s="296"/>
      <c r="N223" s="296" t="e">
        <f>IF(N9="Plug-in",'control panel'!$D$22,0)</f>
        <v>#N/A</v>
      </c>
      <c r="O223" s="296" t="e">
        <f>IF(O9="Plug-in",'control panel'!$D$22,0)</f>
        <v>#N/A</v>
      </c>
    </row>
    <row r="224" spans="1:15" x14ac:dyDescent="0.3">
      <c r="B224" s="361" t="s">
        <v>1927</v>
      </c>
      <c r="E224" s="325" t="e">
        <f>IF(E9="Plug-in",E215/input_data!$H$347*input_data!$D$347*input_data!$E$347/2.95/3.6*0.75/0.25,0)</f>
        <v>#N/A</v>
      </c>
      <c r="F224" s="325" t="e">
        <f>IF(F9="Plug-in",F215/input_data!$H$347*input_data!$D$347*input_data!$E$347/2.95/3.6*0.75/0.25,0)</f>
        <v>#N/A</v>
      </c>
      <c r="G224" s="325"/>
      <c r="H224" s="325" t="e">
        <f>IF(H9="Plug-in",H215/input_data!$H$347*input_data!$D$347*input_data!$E$347/2.95/3.6*0.75/0.25,0)</f>
        <v>#N/A</v>
      </c>
      <c r="I224" s="325" t="e">
        <f>IF(I9="Plug-in",I215/input_data!$H$347*input_data!$D$347*input_data!$E$347/2.95/3.6*0.75/0.25,0)</f>
        <v>#N/A</v>
      </c>
      <c r="J224" s="325"/>
      <c r="K224" s="325" t="e">
        <f>IF(K9="Plug-in",K215/input_data!$H$347*input_data!$D$347*input_data!$E$347/2.95/3.6*0.75/0.25,0)</f>
        <v>#N/A</v>
      </c>
      <c r="L224" s="325" t="e">
        <f>IF(L9="Plug-in",L215/input_data!$H$347*input_data!$D$347*input_data!$E$347/2.95/3.6*0.75/0.25,0)</f>
        <v>#N/A</v>
      </c>
      <c r="M224" s="325"/>
      <c r="N224" s="325" t="e">
        <f>IF(N9="Plug-in",N215/input_data!$H$347*input_data!$D$347*input_data!$E$347/2.95/3.6*0.75/0.25,0)</f>
        <v>#N/A</v>
      </c>
      <c r="O224" s="325" t="e">
        <f>IF(O9="Plug-in",O215/input_data!$H$347*input_data!$D$347*input_data!$E$347/2.95/3.6*0.75/0.25,0)</f>
        <v>#N/A</v>
      </c>
    </row>
    <row r="225" spans="1:15" x14ac:dyDescent="0.3">
      <c r="B225" s="361" t="s">
        <v>1940</v>
      </c>
      <c r="E225" s="504" t="e">
        <f>E224*E223</f>
        <v>#N/A</v>
      </c>
      <c r="F225" s="504" t="e">
        <f t="shared" ref="F225:O225" si="127">F224*F223</f>
        <v>#N/A</v>
      </c>
      <c r="G225" s="504"/>
      <c r="H225" s="504" t="e">
        <f t="shared" si="127"/>
        <v>#N/A</v>
      </c>
      <c r="I225" s="504" t="e">
        <f t="shared" si="127"/>
        <v>#N/A</v>
      </c>
      <c r="J225" s="504"/>
      <c r="K225" s="504" t="e">
        <f t="shared" si="127"/>
        <v>#N/A</v>
      </c>
      <c r="L225" s="504" t="e">
        <f t="shared" si="127"/>
        <v>#N/A</v>
      </c>
      <c r="M225" s="504"/>
      <c r="N225" s="504" t="e">
        <f t="shared" si="127"/>
        <v>#N/A</v>
      </c>
      <c r="O225" s="504" t="e">
        <f t="shared" si="127"/>
        <v>#N/A</v>
      </c>
    </row>
    <row r="226" spans="1:15" x14ac:dyDescent="0.3">
      <c r="B226" s="361" t="s">
        <v>1941</v>
      </c>
      <c r="E226" s="504">
        <v>325</v>
      </c>
      <c r="F226" s="504">
        <v>325</v>
      </c>
      <c r="G226" s="504"/>
      <c r="H226" s="504">
        <v>325</v>
      </c>
      <c r="I226" s="504">
        <v>325</v>
      </c>
      <c r="J226" s="504"/>
      <c r="K226" s="504">
        <v>325</v>
      </c>
      <c r="L226" s="504">
        <v>325</v>
      </c>
      <c r="M226" s="504"/>
      <c r="N226" s="504">
        <v>325</v>
      </c>
      <c r="O226" s="504">
        <v>325</v>
      </c>
    </row>
    <row r="227" spans="1:15" x14ac:dyDescent="0.3">
      <c r="B227" s="361" t="s">
        <v>1942</v>
      </c>
      <c r="E227" s="504" t="e">
        <f>E226*E225</f>
        <v>#N/A</v>
      </c>
      <c r="F227" s="504" t="e">
        <f t="shared" ref="F227:O227" si="128">F226*F225</f>
        <v>#N/A</v>
      </c>
      <c r="G227" s="504"/>
      <c r="H227" s="504" t="e">
        <f t="shared" si="128"/>
        <v>#N/A</v>
      </c>
      <c r="I227" s="504" t="e">
        <f t="shared" si="128"/>
        <v>#N/A</v>
      </c>
      <c r="J227" s="504"/>
      <c r="K227" s="504" t="e">
        <f t="shared" si="128"/>
        <v>#N/A</v>
      </c>
      <c r="L227" s="504" t="e">
        <f t="shared" si="128"/>
        <v>#N/A</v>
      </c>
      <c r="M227" s="504"/>
      <c r="N227" s="504" t="e">
        <f t="shared" si="128"/>
        <v>#N/A</v>
      </c>
      <c r="O227" s="504" t="e">
        <f t="shared" si="128"/>
        <v>#N/A</v>
      </c>
    </row>
    <row r="228" spans="1:15" x14ac:dyDescent="0.3">
      <c r="A228" s="296"/>
      <c r="B228" s="296" t="s">
        <v>1095</v>
      </c>
      <c r="C228" s="296" t="s">
        <v>141</v>
      </c>
      <c r="D228" s="296"/>
      <c r="E228" s="320" t="e">
        <f>E34</f>
        <v>#N/A</v>
      </c>
      <c r="F228" s="320" t="e">
        <f>F34</f>
        <v>#N/A</v>
      </c>
      <c r="H228" s="320" t="e">
        <f>H34</f>
        <v>#N/A</v>
      </c>
      <c r="I228" s="320" t="e">
        <f>I34</f>
        <v>#N/A</v>
      </c>
      <c r="K228" s="320" t="e">
        <f>K34</f>
        <v>#N/A</v>
      </c>
      <c r="L228" s="320" t="e">
        <f>L34</f>
        <v>#N/A</v>
      </c>
      <c r="M228" s="277"/>
      <c r="N228" s="320" t="e">
        <f>N34</f>
        <v>#N/A</v>
      </c>
      <c r="O228" s="320" t="e">
        <f>O34</f>
        <v>#N/A</v>
      </c>
    </row>
    <row r="229" spans="1:15" x14ac:dyDescent="0.3">
      <c r="B229" s="272" t="s">
        <v>1095</v>
      </c>
      <c r="C229" s="272" t="s">
        <v>262</v>
      </c>
      <c r="E229" s="277">
        <f>Selectie_voertuigen!$E46</f>
        <v>0</v>
      </c>
      <c r="F229" s="277">
        <f>Selectie_voertuigen!$E46</f>
        <v>0</v>
      </c>
      <c r="H229" s="277">
        <f>Selectie_voertuigen!$E46</f>
        <v>0</v>
      </c>
      <c r="I229" s="277">
        <f>Selectie_voertuigen!$E46</f>
        <v>0</v>
      </c>
      <c r="J229" s="277"/>
      <c r="K229" s="277">
        <f>Selectie_voertuigen!$E46</f>
        <v>0</v>
      </c>
      <c r="L229" s="277">
        <f>Selectie_voertuigen!$E46</f>
        <v>0</v>
      </c>
      <c r="M229" s="277"/>
      <c r="N229" s="277">
        <f>Selectie_voertuigen!$E46</f>
        <v>0</v>
      </c>
      <c r="O229" s="277">
        <f>Selectie_voertuigen!$E46</f>
        <v>0</v>
      </c>
    </row>
    <row r="230" spans="1:15" x14ac:dyDescent="0.3">
      <c r="B230" s="272" t="s">
        <v>1095</v>
      </c>
      <c r="C230" s="272" t="s">
        <v>1094</v>
      </c>
      <c r="E230" s="277">
        <f>Selectie_voertuigen!$E47</f>
        <v>0.8</v>
      </c>
      <c r="F230" s="277">
        <f>Selectie_voertuigen!$E47</f>
        <v>0.8</v>
      </c>
      <c r="G230" s="277"/>
      <c r="H230" s="277">
        <f>Selectie_voertuigen!$E47</f>
        <v>0.8</v>
      </c>
      <c r="I230" s="277">
        <f>Selectie_voertuigen!$E47</f>
        <v>0.8</v>
      </c>
      <c r="J230" s="277"/>
      <c r="K230" s="277">
        <f>Selectie_voertuigen!$E47</f>
        <v>0.8</v>
      </c>
      <c r="L230" s="277">
        <f>Selectie_voertuigen!$E47</f>
        <v>0.8</v>
      </c>
      <c r="M230" s="277"/>
      <c r="N230" s="277">
        <f>Selectie_voertuigen!$E47</f>
        <v>0.8</v>
      </c>
      <c r="O230" s="277">
        <f>Selectie_voertuigen!$E47</f>
        <v>0.8</v>
      </c>
    </row>
    <row r="231" spans="1:15" x14ac:dyDescent="0.3">
      <c r="A231" s="274"/>
      <c r="B231" s="274" t="s">
        <v>1095</v>
      </c>
      <c r="C231" s="274" t="s">
        <v>1093</v>
      </c>
      <c r="D231" s="274"/>
      <c r="E231" s="277">
        <f>Selectie_voertuigen!$E48</f>
        <v>0.2</v>
      </c>
      <c r="F231" s="277">
        <f>Selectie_voertuigen!$E48</f>
        <v>0.2</v>
      </c>
      <c r="G231" s="277"/>
      <c r="H231" s="277">
        <f>Selectie_voertuigen!$E48</f>
        <v>0.2</v>
      </c>
      <c r="I231" s="277">
        <f>Selectie_voertuigen!$E48</f>
        <v>0.2</v>
      </c>
      <c r="J231" s="277"/>
      <c r="K231" s="277">
        <f>Selectie_voertuigen!$E48</f>
        <v>0.2</v>
      </c>
      <c r="L231" s="277">
        <f>Selectie_voertuigen!$E48</f>
        <v>0.2</v>
      </c>
      <c r="M231" s="277"/>
      <c r="N231" s="277">
        <f>Selectie_voertuigen!$E48</f>
        <v>0.2</v>
      </c>
      <c r="O231" s="277">
        <f>Selectie_voertuigen!$E48</f>
        <v>0.2</v>
      </c>
    </row>
    <row r="232" spans="1:15" x14ac:dyDescent="0.3">
      <c r="A232" s="296"/>
      <c r="B232" s="296" t="s">
        <v>1092</v>
      </c>
      <c r="C232" s="296" t="s">
        <v>265</v>
      </c>
      <c r="D232" s="296"/>
      <c r="E232" s="324" t="e">
        <f>(1-E228)*E33/100*E217</f>
        <v>#N/A</v>
      </c>
      <c r="F232" s="324" t="e">
        <f>(1-F228)*F33/100*F217</f>
        <v>#N/A</v>
      </c>
      <c r="G232" s="277"/>
      <c r="H232" s="324" t="e">
        <f>(1-H228)*H33/100*H217</f>
        <v>#N/A</v>
      </c>
      <c r="I232" s="324" t="e">
        <f>(1-I228)*I33/100*I217</f>
        <v>#N/A</v>
      </c>
      <c r="K232" s="324" t="e">
        <f>(1-K228)*K33/100*K217</f>
        <v>#N/A</v>
      </c>
      <c r="L232" s="324" t="e">
        <f>(1-L228)*L33/100*L217</f>
        <v>#N/A</v>
      </c>
      <c r="N232" s="324" t="e">
        <f>(1-N228)*N33/100*N217</f>
        <v>#N/A</v>
      </c>
      <c r="O232" s="324" t="e">
        <f>(1-O228)*O33/100*O217</f>
        <v>#N/A</v>
      </c>
    </row>
    <row r="233" spans="1:15" x14ac:dyDescent="0.3">
      <c r="A233" s="274"/>
      <c r="B233" s="274" t="s">
        <v>1388</v>
      </c>
      <c r="C233" s="274" t="s">
        <v>265</v>
      </c>
      <c r="D233" s="274"/>
      <c r="E233" s="676" t="e">
        <f>E228*E33/100*E222+E227</f>
        <v>#N/A</v>
      </c>
      <c r="F233" s="676" t="e">
        <f>F228*F33/100*F222+F227</f>
        <v>#N/A</v>
      </c>
      <c r="H233" s="676" t="e">
        <f>H228*H33/100*H222+H227</f>
        <v>#N/A</v>
      </c>
      <c r="I233" s="676" t="e">
        <f>I228*I33/100*I222+I227</f>
        <v>#N/A</v>
      </c>
      <c r="J233" s="676"/>
      <c r="K233" s="676" t="e">
        <f>K228*K33/100*K222+K227</f>
        <v>#N/A</v>
      </c>
      <c r="L233" s="676" t="e">
        <f>L228*L33/100*L222+L227</f>
        <v>#N/A</v>
      </c>
      <c r="M233" s="676"/>
      <c r="N233" s="676" t="e">
        <f>N228*N33/100*N222+N227</f>
        <v>#N/A</v>
      </c>
      <c r="O233" s="676" t="e">
        <f>O228*O33/100*O222+O227</f>
        <v>#N/A</v>
      </c>
    </row>
    <row r="234" spans="1:15" x14ac:dyDescent="0.3">
      <c r="B234" s="272" t="s">
        <v>1096</v>
      </c>
      <c r="C234" s="272" t="s">
        <v>141</v>
      </c>
      <c r="D234" s="272">
        <v>1</v>
      </c>
      <c r="E234" s="306">
        <f>SUMPRODUCT(E$229:E$231,INDEX(value_prijselektrisch,,E347-2009))*(1+$E$219)</f>
        <v>0.37670949678648297</v>
      </c>
      <c r="F234" s="306">
        <f>SUMPRODUCT(F$229:F$231,INDEX(value_prijselektrisch,,F347-2009))*(1+$E$219)</f>
        <v>0.37505660422449949</v>
      </c>
      <c r="H234" s="306">
        <f>SUMPRODUCT(H$229:H$231,INDEX(value_prijselektrisch,,H347-2009))*(1+$E$219)</f>
        <v>0.37670949678648297</v>
      </c>
      <c r="I234" s="306">
        <f t="shared" ref="H234:I253" si="129">SUMPRODUCT(I$229:I$231,INDEX(value_prijselektrisch,,I347-2009))*(1+$E$219)</f>
        <v>0.37505660422449949</v>
      </c>
      <c r="K234" s="306">
        <f>SUMPRODUCT(K$229:K$231,INDEX(value_prijselektrisch,,K347-2009))*(1+$E$219)</f>
        <v>0.37670949678648297</v>
      </c>
      <c r="L234" s="306">
        <f t="shared" ref="K234:L253" si="130">SUMPRODUCT(L$229:L$231,INDEX(value_prijselektrisch,,L347-2009))*(1+$E$219)</f>
        <v>0.37505660422449949</v>
      </c>
      <c r="N234" s="306">
        <f t="shared" ref="N234:O253" si="131">SUMPRODUCT(N$229:N$231,INDEX(value_prijselektrisch,,N347-2009))*(1+$E$219)</f>
        <v>0.37670949678648297</v>
      </c>
      <c r="O234" s="306">
        <f t="shared" si="131"/>
        <v>0.37505660422449949</v>
      </c>
    </row>
    <row r="235" spans="1:15" x14ac:dyDescent="0.3">
      <c r="B235" s="272" t="s">
        <v>1096</v>
      </c>
      <c r="C235" s="272" t="s">
        <v>141</v>
      </c>
      <c r="D235" s="272">
        <v>2</v>
      </c>
      <c r="E235" s="306">
        <f t="shared" ref="E234:F253" si="132">SUMPRODUCT(E$229:E$231,INDEX(value_prijselektrisch,,E348-2009))*(1+$E$219)</f>
        <v>0.37505660422449949</v>
      </c>
      <c r="F235" s="306">
        <f t="shared" si="132"/>
        <v>0.3645421129891942</v>
      </c>
      <c r="H235" s="306">
        <f t="shared" si="129"/>
        <v>0.37505660422449949</v>
      </c>
      <c r="I235" s="306">
        <f t="shared" si="129"/>
        <v>0.3645421129891942</v>
      </c>
      <c r="K235" s="306">
        <f t="shared" si="130"/>
        <v>0.37505660422449949</v>
      </c>
      <c r="L235" s="306">
        <f t="shared" si="130"/>
        <v>0.3645421129891942</v>
      </c>
      <c r="N235" s="306">
        <f t="shared" si="131"/>
        <v>0.37505660422449949</v>
      </c>
      <c r="O235" s="306">
        <f t="shared" si="131"/>
        <v>0.3645421129891942</v>
      </c>
    </row>
    <row r="236" spans="1:15" x14ac:dyDescent="0.3">
      <c r="B236" s="272" t="s">
        <v>1096</v>
      </c>
      <c r="C236" s="272" t="s">
        <v>141</v>
      </c>
      <c r="D236" s="272">
        <v>3</v>
      </c>
      <c r="E236" s="306">
        <f t="shared" si="132"/>
        <v>0.3645421129891942</v>
      </c>
      <c r="F236" s="306">
        <f t="shared" si="132"/>
        <v>0.34806957860240989</v>
      </c>
      <c r="H236" s="306">
        <f t="shared" si="129"/>
        <v>0.3645421129891942</v>
      </c>
      <c r="I236" s="306">
        <f t="shared" si="129"/>
        <v>0.34806957860240989</v>
      </c>
      <c r="K236" s="306">
        <f t="shared" si="130"/>
        <v>0.3645421129891942</v>
      </c>
      <c r="L236" s="306">
        <f t="shared" si="130"/>
        <v>0.34806957860240989</v>
      </c>
      <c r="M236" s="306"/>
      <c r="N236" s="306">
        <f t="shared" si="131"/>
        <v>0.3645421129891942</v>
      </c>
      <c r="O236" s="306">
        <f t="shared" si="131"/>
        <v>0.34806957860240989</v>
      </c>
    </row>
    <row r="237" spans="1:15" x14ac:dyDescent="0.3">
      <c r="B237" s="272" t="s">
        <v>1096</v>
      </c>
      <c r="C237" s="272" t="s">
        <v>141</v>
      </c>
      <c r="D237" s="272">
        <v>4</v>
      </c>
      <c r="E237" s="306">
        <f t="shared" si="132"/>
        <v>0.34806957860240989</v>
      </c>
      <c r="F237" s="306">
        <f t="shared" si="132"/>
        <v>0.33597974128399721</v>
      </c>
      <c r="H237" s="306">
        <f t="shared" si="129"/>
        <v>0.34806957860240989</v>
      </c>
      <c r="I237" s="306">
        <f t="shared" si="129"/>
        <v>0.33597974128399721</v>
      </c>
      <c r="K237" s="306">
        <f t="shared" si="130"/>
        <v>0.34806957860240989</v>
      </c>
      <c r="L237" s="306">
        <f t="shared" si="130"/>
        <v>0.33597974128399721</v>
      </c>
      <c r="M237" s="306"/>
      <c r="N237" s="306">
        <f t="shared" si="131"/>
        <v>0.34806957860240989</v>
      </c>
      <c r="O237" s="306">
        <f t="shared" si="131"/>
        <v>0.33597974128399721</v>
      </c>
    </row>
    <row r="238" spans="1:15" x14ac:dyDescent="0.3">
      <c r="B238" s="272" t="s">
        <v>1096</v>
      </c>
      <c r="C238" s="272" t="s">
        <v>141</v>
      </c>
      <c r="D238" s="272">
        <v>5</v>
      </c>
      <c r="E238" s="306">
        <f t="shared" si="132"/>
        <v>0.33597974128399721</v>
      </c>
      <c r="F238" s="306">
        <f t="shared" si="132"/>
        <v>0.32071945655332323</v>
      </c>
      <c r="H238" s="306">
        <f t="shared" si="129"/>
        <v>0.33597974128399721</v>
      </c>
      <c r="I238" s="306">
        <f t="shared" si="129"/>
        <v>0.32071945655332323</v>
      </c>
      <c r="K238" s="306">
        <f t="shared" si="130"/>
        <v>0.33597974128399721</v>
      </c>
      <c r="L238" s="306">
        <f t="shared" si="130"/>
        <v>0.32071945655332323</v>
      </c>
      <c r="M238" s="306"/>
      <c r="N238" s="306">
        <f t="shared" si="131"/>
        <v>0.33597974128399721</v>
      </c>
      <c r="O238" s="306">
        <f t="shared" si="131"/>
        <v>0.32071945655332323</v>
      </c>
    </row>
    <row r="239" spans="1:15" x14ac:dyDescent="0.3">
      <c r="B239" s="272" t="s">
        <v>1096</v>
      </c>
      <c r="C239" s="272" t="s">
        <v>141</v>
      </c>
      <c r="D239" s="272">
        <v>6</v>
      </c>
      <c r="E239" s="306">
        <f t="shared" si="132"/>
        <v>0.32071945655332323</v>
      </c>
      <c r="F239" s="306">
        <f t="shared" si="132"/>
        <v>0.32450596463513171</v>
      </c>
      <c r="H239" s="306">
        <f t="shared" si="129"/>
        <v>0.32071945655332323</v>
      </c>
      <c r="I239" s="306">
        <f t="shared" si="129"/>
        <v>0.32450596463513171</v>
      </c>
      <c r="K239" s="306">
        <f t="shared" si="130"/>
        <v>0.32071945655332323</v>
      </c>
      <c r="L239" s="306">
        <f t="shared" si="130"/>
        <v>0.32450596463513171</v>
      </c>
      <c r="M239" s="306"/>
      <c r="N239" s="306">
        <f t="shared" si="131"/>
        <v>0.32071945655332323</v>
      </c>
      <c r="O239" s="306">
        <f t="shared" si="131"/>
        <v>0.32450596463513171</v>
      </c>
    </row>
    <row r="240" spans="1:15" x14ac:dyDescent="0.3">
      <c r="B240" s="272" t="s">
        <v>1096</v>
      </c>
      <c r="C240" s="272" t="s">
        <v>141</v>
      </c>
      <c r="D240" s="272">
        <v>7</v>
      </c>
      <c r="E240" s="306">
        <f t="shared" si="132"/>
        <v>0.32450596463513171</v>
      </c>
      <c r="F240" s="306">
        <f t="shared" si="132"/>
        <v>0.32829247271694018</v>
      </c>
      <c r="H240" s="306">
        <f t="shared" si="129"/>
        <v>0.32450596463513171</v>
      </c>
      <c r="I240" s="306">
        <f t="shared" si="129"/>
        <v>0.32829247271694018</v>
      </c>
      <c r="K240" s="306">
        <f t="shared" si="130"/>
        <v>0.32450596463513171</v>
      </c>
      <c r="L240" s="306">
        <f t="shared" si="130"/>
        <v>0.32829247271694018</v>
      </c>
      <c r="M240" s="306"/>
      <c r="N240" s="306">
        <f t="shared" si="131"/>
        <v>0.32450596463513171</v>
      </c>
      <c r="O240" s="306">
        <f t="shared" si="131"/>
        <v>0.32829247271694018</v>
      </c>
    </row>
    <row r="241" spans="1:15" x14ac:dyDescent="0.3">
      <c r="B241" s="272" t="s">
        <v>1096</v>
      </c>
      <c r="C241" s="272" t="s">
        <v>141</v>
      </c>
      <c r="D241" s="272">
        <v>8</v>
      </c>
      <c r="E241" s="306">
        <f t="shared" si="132"/>
        <v>0.32829247271694018</v>
      </c>
      <c r="F241" s="306">
        <f t="shared" si="132"/>
        <v>0.33207898079874865</v>
      </c>
      <c r="H241" s="306">
        <f t="shared" si="129"/>
        <v>0.32829247271694018</v>
      </c>
      <c r="I241" s="306">
        <f t="shared" si="129"/>
        <v>0.33207898079874865</v>
      </c>
      <c r="K241" s="306">
        <f t="shared" si="130"/>
        <v>0.32829247271694018</v>
      </c>
      <c r="L241" s="306">
        <f t="shared" si="130"/>
        <v>0.33207898079874865</v>
      </c>
      <c r="M241" s="306"/>
      <c r="N241" s="306">
        <f t="shared" si="131"/>
        <v>0.32829247271694018</v>
      </c>
      <c r="O241" s="306">
        <f t="shared" si="131"/>
        <v>0.33207898079874865</v>
      </c>
    </row>
    <row r="242" spans="1:15" x14ac:dyDescent="0.3">
      <c r="B242" s="272" t="s">
        <v>1096</v>
      </c>
      <c r="C242" s="272" t="s">
        <v>141</v>
      </c>
      <c r="D242" s="272">
        <v>9</v>
      </c>
      <c r="E242" s="306">
        <f t="shared" si="132"/>
        <v>0.33207898079874865</v>
      </c>
      <c r="F242" s="306">
        <f t="shared" si="132"/>
        <v>0.33586548888055717</v>
      </c>
      <c r="H242" s="306">
        <f t="shared" si="129"/>
        <v>0.33207898079874865</v>
      </c>
      <c r="I242" s="306">
        <f t="shared" si="129"/>
        <v>0.33586548888055717</v>
      </c>
      <c r="K242" s="306">
        <f t="shared" si="130"/>
        <v>0.33207898079874865</v>
      </c>
      <c r="L242" s="306">
        <f t="shared" si="130"/>
        <v>0.33586548888055717</v>
      </c>
      <c r="M242" s="306"/>
      <c r="N242" s="306">
        <f t="shared" si="131"/>
        <v>0.33207898079874865</v>
      </c>
      <c r="O242" s="306">
        <f t="shared" si="131"/>
        <v>0.33586548888055717</v>
      </c>
    </row>
    <row r="243" spans="1:15" x14ac:dyDescent="0.3">
      <c r="B243" s="272" t="s">
        <v>1096</v>
      </c>
      <c r="C243" s="272" t="s">
        <v>141</v>
      </c>
      <c r="D243" s="272">
        <v>10</v>
      </c>
      <c r="E243" s="306">
        <f t="shared" si="132"/>
        <v>0.33586548888055717</v>
      </c>
      <c r="F243" s="306">
        <f t="shared" si="132"/>
        <v>0.33965199696236559</v>
      </c>
      <c r="H243" s="306">
        <f t="shared" si="129"/>
        <v>0.33586548888055717</v>
      </c>
      <c r="I243" s="306">
        <f t="shared" si="129"/>
        <v>0.33965199696236559</v>
      </c>
      <c r="K243" s="306">
        <f t="shared" si="130"/>
        <v>0.33586548888055717</v>
      </c>
      <c r="L243" s="306">
        <f t="shared" si="130"/>
        <v>0.33965199696236559</v>
      </c>
      <c r="M243" s="306"/>
      <c r="N243" s="306">
        <f t="shared" si="131"/>
        <v>0.33586548888055717</v>
      </c>
      <c r="O243" s="306">
        <f t="shared" si="131"/>
        <v>0.33965199696236559</v>
      </c>
    </row>
    <row r="244" spans="1:15" x14ac:dyDescent="0.3">
      <c r="B244" s="272" t="s">
        <v>1096</v>
      </c>
      <c r="C244" s="272" t="s">
        <v>141</v>
      </c>
      <c r="D244" s="272">
        <v>11</v>
      </c>
      <c r="E244" s="306">
        <f t="shared" si="132"/>
        <v>0.33965199696236559</v>
      </c>
      <c r="F244" s="306">
        <f t="shared" si="132"/>
        <v>0.34343850504417411</v>
      </c>
      <c r="H244" s="306">
        <f t="shared" si="129"/>
        <v>0.33965199696236559</v>
      </c>
      <c r="I244" s="306">
        <f t="shared" si="129"/>
        <v>0.34343850504417411</v>
      </c>
      <c r="K244" s="306">
        <f t="shared" si="130"/>
        <v>0.33965199696236559</v>
      </c>
      <c r="L244" s="306">
        <f t="shared" si="130"/>
        <v>0.34343850504417411</v>
      </c>
      <c r="M244" s="306"/>
      <c r="N244" s="306">
        <f t="shared" si="131"/>
        <v>0.33965199696236559</v>
      </c>
      <c r="O244" s="306">
        <f t="shared" si="131"/>
        <v>0.34343850504417411</v>
      </c>
    </row>
    <row r="245" spans="1:15" x14ac:dyDescent="0.3">
      <c r="B245" s="272" t="s">
        <v>1096</v>
      </c>
      <c r="C245" s="272" t="s">
        <v>141</v>
      </c>
      <c r="D245" s="272">
        <v>12</v>
      </c>
      <c r="E245" s="306">
        <f t="shared" si="132"/>
        <v>0.34343850504417411</v>
      </c>
      <c r="F245" s="306">
        <f t="shared" si="132"/>
        <v>0.34722501312598258</v>
      </c>
      <c r="H245" s="306">
        <f t="shared" si="129"/>
        <v>0.34343850504417411</v>
      </c>
      <c r="I245" s="306">
        <f t="shared" si="129"/>
        <v>0.34722501312598258</v>
      </c>
      <c r="K245" s="306">
        <f t="shared" si="130"/>
        <v>0.34343850504417411</v>
      </c>
      <c r="L245" s="306">
        <f t="shared" si="130"/>
        <v>0.34722501312598258</v>
      </c>
      <c r="M245" s="306"/>
      <c r="N245" s="306">
        <f t="shared" si="131"/>
        <v>0.34343850504417411</v>
      </c>
      <c r="O245" s="306">
        <f t="shared" si="131"/>
        <v>0.34722501312598258</v>
      </c>
    </row>
    <row r="246" spans="1:15" x14ac:dyDescent="0.3">
      <c r="B246" s="272" t="s">
        <v>1096</v>
      </c>
      <c r="C246" s="272" t="s">
        <v>141</v>
      </c>
      <c r="D246" s="272">
        <v>13</v>
      </c>
      <c r="E246" s="306">
        <f t="shared" si="132"/>
        <v>0.34722501312598258</v>
      </c>
      <c r="F246" s="306">
        <f t="shared" si="132"/>
        <v>0.351011521207791</v>
      </c>
      <c r="H246" s="306">
        <f t="shared" si="129"/>
        <v>0.34722501312598258</v>
      </c>
      <c r="I246" s="306">
        <f t="shared" si="129"/>
        <v>0.351011521207791</v>
      </c>
      <c r="K246" s="306">
        <f t="shared" si="130"/>
        <v>0.34722501312598258</v>
      </c>
      <c r="L246" s="306">
        <f t="shared" si="130"/>
        <v>0.351011521207791</v>
      </c>
      <c r="M246" s="306"/>
      <c r="N246" s="306">
        <f t="shared" si="131"/>
        <v>0.34722501312598258</v>
      </c>
      <c r="O246" s="306">
        <f t="shared" si="131"/>
        <v>0.351011521207791</v>
      </c>
    </row>
    <row r="247" spans="1:15" x14ac:dyDescent="0.3">
      <c r="B247" s="272" t="s">
        <v>1096</v>
      </c>
      <c r="C247" s="272" t="s">
        <v>141</v>
      </c>
      <c r="D247" s="272">
        <v>14</v>
      </c>
      <c r="E247" s="306">
        <f t="shared" si="132"/>
        <v>0.351011521207791</v>
      </c>
      <c r="F247" s="306">
        <f t="shared" si="132"/>
        <v>0.35479802928959953</v>
      </c>
      <c r="H247" s="306">
        <f t="shared" si="129"/>
        <v>0.351011521207791</v>
      </c>
      <c r="I247" s="306">
        <f t="shared" si="129"/>
        <v>0.35479802928959953</v>
      </c>
      <c r="K247" s="306">
        <f t="shared" si="130"/>
        <v>0.351011521207791</v>
      </c>
      <c r="L247" s="306">
        <f t="shared" si="130"/>
        <v>0.35479802928959953</v>
      </c>
      <c r="M247" s="306"/>
      <c r="N247" s="306">
        <f t="shared" si="131"/>
        <v>0.351011521207791</v>
      </c>
      <c r="O247" s="306">
        <f t="shared" si="131"/>
        <v>0.35479802928959953</v>
      </c>
    </row>
    <row r="248" spans="1:15" x14ac:dyDescent="0.3">
      <c r="B248" s="272" t="s">
        <v>1096</v>
      </c>
      <c r="C248" s="272" t="s">
        <v>141</v>
      </c>
      <c r="D248" s="272">
        <v>15</v>
      </c>
      <c r="E248" s="306">
        <f t="shared" si="132"/>
        <v>0.35479802928959953</v>
      </c>
      <c r="F248" s="306">
        <f t="shared" si="132"/>
        <v>0.358584537371408</v>
      </c>
      <c r="H248" s="306">
        <f t="shared" si="129"/>
        <v>0.35479802928959953</v>
      </c>
      <c r="I248" s="306">
        <f t="shared" si="129"/>
        <v>0.358584537371408</v>
      </c>
      <c r="K248" s="306">
        <f t="shared" si="130"/>
        <v>0.35479802928959953</v>
      </c>
      <c r="L248" s="306">
        <f t="shared" si="130"/>
        <v>0.358584537371408</v>
      </c>
      <c r="M248" s="306"/>
      <c r="N248" s="306">
        <f t="shared" si="131"/>
        <v>0.35479802928959953</v>
      </c>
      <c r="O248" s="306">
        <f t="shared" si="131"/>
        <v>0.358584537371408</v>
      </c>
    </row>
    <row r="249" spans="1:15" x14ac:dyDescent="0.3">
      <c r="B249" s="272" t="s">
        <v>1096</v>
      </c>
      <c r="C249" s="272" t="s">
        <v>141</v>
      </c>
      <c r="D249" s="272">
        <v>16</v>
      </c>
      <c r="E249" s="306">
        <f t="shared" si="132"/>
        <v>0.358584537371408</v>
      </c>
      <c r="F249" s="306">
        <f t="shared" si="132"/>
        <v>0.358584537371408</v>
      </c>
      <c r="H249" s="306">
        <f t="shared" si="129"/>
        <v>0.358584537371408</v>
      </c>
      <c r="I249" s="306">
        <f t="shared" si="129"/>
        <v>0.358584537371408</v>
      </c>
      <c r="K249" s="306">
        <f t="shared" si="130"/>
        <v>0.358584537371408</v>
      </c>
      <c r="L249" s="306">
        <f t="shared" si="130"/>
        <v>0.358584537371408</v>
      </c>
      <c r="M249" s="306"/>
      <c r="N249" s="306">
        <f t="shared" si="131"/>
        <v>0.358584537371408</v>
      </c>
      <c r="O249" s="306">
        <f t="shared" si="131"/>
        <v>0.358584537371408</v>
      </c>
    </row>
    <row r="250" spans="1:15" x14ac:dyDescent="0.3">
      <c r="B250" s="272" t="s">
        <v>1096</v>
      </c>
      <c r="C250" s="272" t="s">
        <v>141</v>
      </c>
      <c r="D250" s="272">
        <v>17</v>
      </c>
      <c r="E250" s="306">
        <f t="shared" si="132"/>
        <v>0.358584537371408</v>
      </c>
      <c r="F250" s="306">
        <f t="shared" si="132"/>
        <v>0.358584537371408</v>
      </c>
      <c r="H250" s="306">
        <f t="shared" si="129"/>
        <v>0.358584537371408</v>
      </c>
      <c r="I250" s="306">
        <f t="shared" si="129"/>
        <v>0.358584537371408</v>
      </c>
      <c r="K250" s="306">
        <f t="shared" si="130"/>
        <v>0.358584537371408</v>
      </c>
      <c r="L250" s="306">
        <f t="shared" si="130"/>
        <v>0.358584537371408</v>
      </c>
      <c r="M250" s="306"/>
      <c r="N250" s="306">
        <f t="shared" si="131"/>
        <v>0.358584537371408</v>
      </c>
      <c r="O250" s="306">
        <f t="shared" si="131"/>
        <v>0.358584537371408</v>
      </c>
    </row>
    <row r="251" spans="1:15" x14ac:dyDescent="0.3">
      <c r="B251" s="272" t="s">
        <v>1096</v>
      </c>
      <c r="C251" s="272" t="s">
        <v>141</v>
      </c>
      <c r="D251" s="272">
        <v>18</v>
      </c>
      <c r="E251" s="306">
        <f t="shared" si="132"/>
        <v>0.358584537371408</v>
      </c>
      <c r="F251" s="306">
        <f t="shared" si="132"/>
        <v>0.358584537371408</v>
      </c>
      <c r="H251" s="306">
        <f t="shared" si="129"/>
        <v>0.358584537371408</v>
      </c>
      <c r="I251" s="306">
        <f t="shared" si="129"/>
        <v>0.358584537371408</v>
      </c>
      <c r="K251" s="306">
        <f t="shared" si="130"/>
        <v>0.358584537371408</v>
      </c>
      <c r="L251" s="306">
        <f t="shared" si="130"/>
        <v>0.358584537371408</v>
      </c>
      <c r="M251" s="306"/>
      <c r="N251" s="306">
        <f t="shared" si="131"/>
        <v>0.358584537371408</v>
      </c>
      <c r="O251" s="306">
        <f t="shared" si="131"/>
        <v>0.358584537371408</v>
      </c>
    </row>
    <row r="252" spans="1:15" x14ac:dyDescent="0.3">
      <c r="B252" s="272" t="s">
        <v>1096</v>
      </c>
      <c r="C252" s="272" t="s">
        <v>141</v>
      </c>
      <c r="D252" s="272">
        <v>19</v>
      </c>
      <c r="E252" s="306">
        <f t="shared" si="132"/>
        <v>0.358584537371408</v>
      </c>
      <c r="F252" s="306">
        <f t="shared" si="132"/>
        <v>0.358584537371408</v>
      </c>
      <c r="H252" s="306">
        <f t="shared" si="129"/>
        <v>0.358584537371408</v>
      </c>
      <c r="I252" s="306">
        <f t="shared" si="129"/>
        <v>0.358584537371408</v>
      </c>
      <c r="K252" s="306">
        <f t="shared" si="130"/>
        <v>0.358584537371408</v>
      </c>
      <c r="L252" s="306">
        <f t="shared" si="130"/>
        <v>0.358584537371408</v>
      </c>
      <c r="M252" s="306"/>
      <c r="N252" s="306">
        <f t="shared" si="131"/>
        <v>0.358584537371408</v>
      </c>
      <c r="O252" s="306">
        <f t="shared" si="131"/>
        <v>0.358584537371408</v>
      </c>
    </row>
    <row r="253" spans="1:15" x14ac:dyDescent="0.3">
      <c r="B253" s="272" t="s">
        <v>1096</v>
      </c>
      <c r="C253" s="272" t="s">
        <v>141</v>
      </c>
      <c r="D253" s="272">
        <v>20</v>
      </c>
      <c r="E253" s="306">
        <f t="shared" si="132"/>
        <v>0.358584537371408</v>
      </c>
      <c r="F253" s="306">
        <f t="shared" si="132"/>
        <v>0.358584537371408</v>
      </c>
      <c r="H253" s="306">
        <f t="shared" si="129"/>
        <v>0.358584537371408</v>
      </c>
      <c r="I253" s="306">
        <f t="shared" si="129"/>
        <v>0.358584537371408</v>
      </c>
      <c r="K253" s="306">
        <f t="shared" si="130"/>
        <v>0.358584537371408</v>
      </c>
      <c r="L253" s="306">
        <f t="shared" si="130"/>
        <v>0.358584537371408</v>
      </c>
      <c r="M253" s="306"/>
      <c r="N253" s="306">
        <f t="shared" si="131"/>
        <v>0.358584537371408</v>
      </c>
      <c r="O253" s="306">
        <f t="shared" si="131"/>
        <v>0.358584537371408</v>
      </c>
    </row>
    <row r="254" spans="1:15" x14ac:dyDescent="0.3">
      <c r="A254" s="296"/>
      <c r="B254" s="296" t="s">
        <v>1096</v>
      </c>
      <c r="C254" s="296" t="s">
        <v>1097</v>
      </c>
      <c r="D254" s="296">
        <v>1</v>
      </c>
      <c r="E254" s="322">
        <f>IFERROR(INDEX(value_prijsfossiel,VLOOKUP(E$9,brandstofkosten!$BE$31:$BF$34,2,0),E347-2009),0)*(1+E$218)</f>
        <v>0</v>
      </c>
      <c r="F254" s="322">
        <f>IFERROR(INDEX(value_prijsfossiel,VLOOKUP(F$9,brandstofkosten!$BE$31:$BF$34,2,0),F347-2009),0)*(1+F$218)</f>
        <v>0</v>
      </c>
      <c r="G254" s="322"/>
      <c r="H254" s="322">
        <f>IFERROR(INDEX(value_prijsfossiel,VLOOKUP(H$9,brandstofkosten!$BE$31:$BF$34,2,0),H347-2009),0)*(1+H$218)</f>
        <v>0</v>
      </c>
      <c r="I254" s="322">
        <f>IFERROR(INDEX(value_prijsfossiel,VLOOKUP(I$9,brandstofkosten!$BE$31:$BF$34,2,0),I347-2009),0)*(1+I$218)</f>
        <v>0</v>
      </c>
      <c r="J254" s="322"/>
      <c r="K254" s="322">
        <f>IFERROR(INDEX(value_prijsfossiel,VLOOKUP(K$9,brandstofkosten!$BE$31:$BF$34,2,0),K347-2009),0)*(1+K$218)</f>
        <v>0</v>
      </c>
      <c r="L254" s="322">
        <f>IFERROR(INDEX(value_prijsfossiel,VLOOKUP(L$9,brandstofkosten!$BE$31:$BF$34,2,0),L347-2009),0)*(1+L$218)</f>
        <v>0</v>
      </c>
      <c r="M254" s="322"/>
      <c r="N254" s="322">
        <f>IFERROR(INDEX(value_prijsfossiel,VLOOKUP(N$9,brandstofkosten!$BE$31:$BF$34,2,0),N347-2009),0)*(1+N$218)</f>
        <v>0</v>
      </c>
      <c r="O254" s="322">
        <f>IFERROR(INDEX(value_prijsfossiel,VLOOKUP(O$9,brandstofkosten!$BE$31:$BF$34,2,0),O347-2009),0)*(1+O$218)</f>
        <v>0</v>
      </c>
    </row>
    <row r="255" spans="1:15" x14ac:dyDescent="0.3">
      <c r="B255" s="272" t="s">
        <v>1096</v>
      </c>
      <c r="C255" s="272" t="s">
        <v>1097</v>
      </c>
      <c r="D255" s="272">
        <v>2</v>
      </c>
      <c r="E255" s="306">
        <f>IFERROR(INDEX(value_prijsfossiel,VLOOKUP(E$9,brandstofkosten!$BE$31:$BF$34,2,0),E348-2009),0)*(1+E$218)</f>
        <v>0</v>
      </c>
      <c r="F255" s="306">
        <f>IFERROR(INDEX(value_prijsfossiel,VLOOKUP(F$9,brandstofkosten!$BE$31:$BF$34,2,0),F348-2009),0)*(1+F$218)</f>
        <v>0</v>
      </c>
      <c r="H255" s="306">
        <f>IFERROR(INDEX(value_prijsfossiel,VLOOKUP(H$9,brandstofkosten!$BE$31:$BF$34,2,0),H348-2009),0)*(1+H$218)</f>
        <v>0</v>
      </c>
      <c r="I255" s="306">
        <f>IFERROR(INDEX(value_prijsfossiel,VLOOKUP(I$9,brandstofkosten!$BE$31:$BF$34,2,0),I348-2009),0)*(1+I$218)</f>
        <v>0</v>
      </c>
      <c r="K255" s="306">
        <f>IFERROR(INDEX(value_prijsfossiel,VLOOKUP(K$9,brandstofkosten!$BE$31:$BF$34,2,0),K348-2009),0)*(1+K$218)</f>
        <v>0</v>
      </c>
      <c r="L255" s="306">
        <f>IFERROR(INDEX(value_prijsfossiel,VLOOKUP(L$9,brandstofkosten!$BE$31:$BF$34,2,0),L348-2009),0)*(1+L$218)</f>
        <v>0</v>
      </c>
      <c r="M255" s="306"/>
      <c r="N255" s="306">
        <f>IFERROR(INDEX(value_prijsfossiel,VLOOKUP(N$9,brandstofkosten!$BE$31:$BF$34,2,0),N348-2009),0)*(1+N$218)</f>
        <v>0</v>
      </c>
      <c r="O255" s="306">
        <f>IFERROR(INDEX(value_prijsfossiel,VLOOKUP(O$9,brandstofkosten!$BE$31:$BF$34,2,0),O348-2009),0)*(1+O$218)</f>
        <v>0</v>
      </c>
    </row>
    <row r="256" spans="1:15" x14ac:dyDescent="0.3">
      <c r="B256" s="272" t="s">
        <v>1096</v>
      </c>
      <c r="C256" s="272" t="s">
        <v>1097</v>
      </c>
      <c r="D256" s="272">
        <v>3</v>
      </c>
      <c r="E256" s="306">
        <f>IFERROR(INDEX(value_prijsfossiel,VLOOKUP(E$9,brandstofkosten!$BE$31:$BF$34,2,0),E349-2009),0)*(1+E$218)</f>
        <v>0</v>
      </c>
      <c r="F256" s="306">
        <f>IFERROR(INDEX(value_prijsfossiel,VLOOKUP(F$9,brandstofkosten!$BE$31:$BF$34,2,0),F349-2009),0)*(1+F$218)</f>
        <v>0</v>
      </c>
      <c r="H256" s="306">
        <f>IFERROR(INDEX(value_prijsfossiel,VLOOKUP(H$9,brandstofkosten!$BE$31:$BF$34,2,0),H349-2009),0)*(1+H$218)</f>
        <v>0</v>
      </c>
      <c r="I256" s="306">
        <f>IFERROR(INDEX(value_prijsfossiel,VLOOKUP(I$9,brandstofkosten!$BE$31:$BF$34,2,0),I349-2009),0)*(1+I$218)</f>
        <v>0</v>
      </c>
      <c r="K256" s="306">
        <f>IFERROR(INDEX(value_prijsfossiel,VLOOKUP(K$9,brandstofkosten!$BE$31:$BF$34,2,0),K349-2009),0)*(1+K$218)</f>
        <v>0</v>
      </c>
      <c r="L256" s="306">
        <f>IFERROR(INDEX(value_prijsfossiel,VLOOKUP(L$9,brandstofkosten!$BE$31:$BF$34,2,0),L349-2009),0)*(1+L$218)</f>
        <v>0</v>
      </c>
      <c r="M256" s="306"/>
      <c r="N256" s="306">
        <f>IFERROR(INDEX(value_prijsfossiel,VLOOKUP(N$9,brandstofkosten!$BE$31:$BF$34,2,0),N349-2009),0)*(1+N$218)</f>
        <v>0</v>
      </c>
      <c r="O256" s="306">
        <f>IFERROR(INDEX(value_prijsfossiel,VLOOKUP(O$9,brandstofkosten!$BE$31:$BF$34,2,0),O349-2009),0)*(1+O$218)</f>
        <v>0</v>
      </c>
    </row>
    <row r="257" spans="2:15" x14ac:dyDescent="0.3">
      <c r="B257" s="272" t="s">
        <v>1096</v>
      </c>
      <c r="C257" s="272" t="s">
        <v>1097</v>
      </c>
      <c r="D257" s="272">
        <v>4</v>
      </c>
      <c r="E257" s="306">
        <f>IFERROR(INDEX(value_prijsfossiel,VLOOKUP(E$9,brandstofkosten!$BE$31:$BF$34,2,0),E350-2009),0)*(1+E$218)</f>
        <v>0</v>
      </c>
      <c r="F257" s="306">
        <f>IFERROR(INDEX(value_prijsfossiel,VLOOKUP(F$9,brandstofkosten!$BE$31:$BF$34,2,0),F350-2009),0)*(1+F$218)</f>
        <v>0</v>
      </c>
      <c r="H257" s="306">
        <f>IFERROR(INDEX(value_prijsfossiel,VLOOKUP(H$9,brandstofkosten!$BE$31:$BF$34,2,0),H350-2009),0)*(1+H$218)</f>
        <v>0</v>
      </c>
      <c r="I257" s="306">
        <f>IFERROR(INDEX(value_prijsfossiel,VLOOKUP(I$9,brandstofkosten!$BE$31:$BF$34,2,0),I350-2009),0)*(1+I$218)</f>
        <v>0</v>
      </c>
      <c r="K257" s="306">
        <f>IFERROR(INDEX(value_prijsfossiel,VLOOKUP(K$9,brandstofkosten!$BE$31:$BF$34,2,0),K350-2009),0)*(1+K$218)</f>
        <v>0</v>
      </c>
      <c r="L257" s="306">
        <f>IFERROR(INDEX(value_prijsfossiel,VLOOKUP(L$9,brandstofkosten!$BE$31:$BF$34,2,0),L350-2009),0)*(1+L$218)</f>
        <v>0</v>
      </c>
      <c r="M257" s="306"/>
      <c r="N257" s="306">
        <f>IFERROR(INDEX(value_prijsfossiel,VLOOKUP(N$9,brandstofkosten!$BE$31:$BF$34,2,0),N350-2009),0)*(1+N$218)</f>
        <v>0</v>
      </c>
      <c r="O257" s="306">
        <f>IFERROR(INDEX(value_prijsfossiel,VLOOKUP(O$9,brandstofkosten!$BE$31:$BF$34,2,0),O350-2009),0)*(1+O$218)</f>
        <v>0</v>
      </c>
    </row>
    <row r="258" spans="2:15" x14ac:dyDescent="0.3">
      <c r="B258" s="272" t="s">
        <v>1096</v>
      </c>
      <c r="C258" s="272" t="s">
        <v>1097</v>
      </c>
      <c r="D258" s="272">
        <v>5</v>
      </c>
      <c r="E258" s="306">
        <f>IFERROR(INDEX(value_prijsfossiel,VLOOKUP(E$9,brandstofkosten!$BE$31:$BF$34,2,0),E351-2009),0)*(1+E$218)</f>
        <v>0</v>
      </c>
      <c r="F258" s="306">
        <f>IFERROR(INDEX(value_prijsfossiel,VLOOKUP(F$9,brandstofkosten!$BE$31:$BF$34,2,0),F351-2009),0)*(1+F$218)</f>
        <v>0</v>
      </c>
      <c r="H258" s="306">
        <f>IFERROR(INDEX(value_prijsfossiel,VLOOKUP(H$9,brandstofkosten!$BE$31:$BF$34,2,0),H351-2009),0)*(1+H$218)</f>
        <v>0</v>
      </c>
      <c r="I258" s="306">
        <f>IFERROR(INDEX(value_prijsfossiel,VLOOKUP(I$9,brandstofkosten!$BE$31:$BF$34,2,0),I351-2009),0)*(1+I$218)</f>
        <v>0</v>
      </c>
      <c r="K258" s="306">
        <f>IFERROR(INDEX(value_prijsfossiel,VLOOKUP(K$9,brandstofkosten!$BE$31:$BF$34,2,0),K351-2009),0)*(1+K$218)</f>
        <v>0</v>
      </c>
      <c r="L258" s="306">
        <f>IFERROR(INDEX(value_prijsfossiel,VLOOKUP(L$9,brandstofkosten!$BE$31:$BF$34,2,0),L351-2009),0)*(1+L$218)</f>
        <v>0</v>
      </c>
      <c r="M258" s="306"/>
      <c r="N258" s="306">
        <f>IFERROR(INDEX(value_prijsfossiel,VLOOKUP(N$9,brandstofkosten!$BE$31:$BF$34,2,0),N351-2009),0)*(1+N$218)</f>
        <v>0</v>
      </c>
      <c r="O258" s="306">
        <f>IFERROR(INDEX(value_prijsfossiel,VLOOKUP(O$9,brandstofkosten!$BE$31:$BF$34,2,0),O351-2009),0)*(1+O$218)</f>
        <v>0</v>
      </c>
    </row>
    <row r="259" spans="2:15" x14ac:dyDescent="0.3">
      <c r="B259" s="272" t="s">
        <v>1096</v>
      </c>
      <c r="C259" s="272" t="s">
        <v>1097</v>
      </c>
      <c r="D259" s="272">
        <v>6</v>
      </c>
      <c r="E259" s="306">
        <f>IFERROR(INDEX(value_prijsfossiel,VLOOKUP(E$9,brandstofkosten!$BE$31:$BF$34,2,0),E352-2009),0)*(1+E$218)</f>
        <v>0</v>
      </c>
      <c r="F259" s="306">
        <f>IFERROR(INDEX(value_prijsfossiel,VLOOKUP(F$9,brandstofkosten!$BE$31:$BF$34,2,0),F352-2009),0)*(1+F$218)</f>
        <v>0</v>
      </c>
      <c r="H259" s="306">
        <f>IFERROR(INDEX(value_prijsfossiel,VLOOKUP(H$9,brandstofkosten!$BE$31:$BF$34,2,0),H352-2009),0)*(1+H$218)</f>
        <v>0</v>
      </c>
      <c r="I259" s="306">
        <f>IFERROR(INDEX(value_prijsfossiel,VLOOKUP(I$9,brandstofkosten!$BE$31:$BF$34,2,0),I352-2009),0)*(1+I$218)</f>
        <v>0</v>
      </c>
      <c r="K259" s="306">
        <f>IFERROR(INDEX(value_prijsfossiel,VLOOKUP(K$9,brandstofkosten!$BE$31:$BF$34,2,0),K352-2009),0)*(1+K$218)</f>
        <v>0</v>
      </c>
      <c r="L259" s="306">
        <f>IFERROR(INDEX(value_prijsfossiel,VLOOKUP(L$9,brandstofkosten!$BE$31:$BF$34,2,0),L352-2009),0)*(1+L$218)</f>
        <v>0</v>
      </c>
      <c r="M259" s="306"/>
      <c r="N259" s="306">
        <f>IFERROR(INDEX(value_prijsfossiel,VLOOKUP(N$9,brandstofkosten!$BE$31:$BF$34,2,0),N352-2009),0)*(1+N$218)</f>
        <v>0</v>
      </c>
      <c r="O259" s="306">
        <f>IFERROR(INDEX(value_prijsfossiel,VLOOKUP(O$9,brandstofkosten!$BE$31:$BF$34,2,0),O352-2009),0)*(1+O$218)</f>
        <v>0</v>
      </c>
    </row>
    <row r="260" spans="2:15" x14ac:dyDescent="0.3">
      <c r="B260" s="272" t="s">
        <v>1096</v>
      </c>
      <c r="C260" s="272" t="s">
        <v>1097</v>
      </c>
      <c r="D260" s="272">
        <v>7</v>
      </c>
      <c r="E260" s="306">
        <f>IFERROR(INDEX(value_prijsfossiel,VLOOKUP(E$9,brandstofkosten!$BE$31:$BF$34,2,0),E353-2009),0)*(1+E$218)</f>
        <v>0</v>
      </c>
      <c r="F260" s="306">
        <f>IFERROR(INDEX(value_prijsfossiel,VLOOKUP(F$9,brandstofkosten!$BE$31:$BF$34,2,0),F353-2009),0)*(1+F$218)</f>
        <v>0</v>
      </c>
      <c r="H260" s="306">
        <f>IFERROR(INDEX(value_prijsfossiel,VLOOKUP(H$9,brandstofkosten!$BE$31:$BF$34,2,0),H353-2009),0)*(1+H$218)</f>
        <v>0</v>
      </c>
      <c r="I260" s="306">
        <f>IFERROR(INDEX(value_prijsfossiel,VLOOKUP(I$9,brandstofkosten!$BE$31:$BF$34,2,0),I353-2009),0)*(1+I$218)</f>
        <v>0</v>
      </c>
      <c r="K260" s="306">
        <f>IFERROR(INDEX(value_prijsfossiel,VLOOKUP(K$9,brandstofkosten!$BE$31:$BF$34,2,0),K353-2009),0)*(1+K$218)</f>
        <v>0</v>
      </c>
      <c r="L260" s="306">
        <f>IFERROR(INDEX(value_prijsfossiel,VLOOKUP(L$9,brandstofkosten!$BE$31:$BF$34,2,0),L353-2009),0)*(1+L$218)</f>
        <v>0</v>
      </c>
      <c r="M260" s="306"/>
      <c r="N260" s="306">
        <f>IFERROR(INDEX(value_prijsfossiel,VLOOKUP(N$9,brandstofkosten!$BE$31:$BF$34,2,0),N353-2009),0)*(1+N$218)</f>
        <v>0</v>
      </c>
      <c r="O260" s="306">
        <f>IFERROR(INDEX(value_prijsfossiel,VLOOKUP(O$9,brandstofkosten!$BE$31:$BF$34,2,0),O353-2009),0)*(1+O$218)</f>
        <v>0</v>
      </c>
    </row>
    <row r="261" spans="2:15" x14ac:dyDescent="0.3">
      <c r="B261" s="272" t="s">
        <v>1096</v>
      </c>
      <c r="C261" s="272" t="s">
        <v>1097</v>
      </c>
      <c r="D261" s="272">
        <v>8</v>
      </c>
      <c r="E261" s="306">
        <f>IFERROR(INDEX(value_prijsfossiel,VLOOKUP(E$9,brandstofkosten!$BE$31:$BF$34,2,0),E354-2009),0)*(1+E$218)</f>
        <v>0</v>
      </c>
      <c r="F261" s="306">
        <f>IFERROR(INDEX(value_prijsfossiel,VLOOKUP(F$9,brandstofkosten!$BE$31:$BF$34,2,0),F354-2009),0)*(1+F$218)</f>
        <v>0</v>
      </c>
      <c r="H261" s="306">
        <f>IFERROR(INDEX(value_prijsfossiel,VLOOKUP(H$9,brandstofkosten!$BE$31:$BF$34,2,0),H354-2009),0)*(1+H$218)</f>
        <v>0</v>
      </c>
      <c r="I261" s="306">
        <f>IFERROR(INDEX(value_prijsfossiel,VLOOKUP(I$9,brandstofkosten!$BE$31:$BF$34,2,0),I354-2009),0)*(1+I$218)</f>
        <v>0</v>
      </c>
      <c r="K261" s="306">
        <f>IFERROR(INDEX(value_prijsfossiel,VLOOKUP(K$9,brandstofkosten!$BE$31:$BF$34,2,0),K354-2009),0)*(1+K$218)</f>
        <v>0</v>
      </c>
      <c r="L261" s="306">
        <f>IFERROR(INDEX(value_prijsfossiel,VLOOKUP(L$9,brandstofkosten!$BE$31:$BF$34,2,0),L354-2009),0)*(1+L$218)</f>
        <v>0</v>
      </c>
      <c r="M261" s="306"/>
      <c r="N261" s="306">
        <f>IFERROR(INDEX(value_prijsfossiel,VLOOKUP(N$9,brandstofkosten!$BE$31:$BF$34,2,0),N354-2009),0)*(1+N$218)</f>
        <v>0</v>
      </c>
      <c r="O261" s="306">
        <f>IFERROR(INDEX(value_prijsfossiel,VLOOKUP(O$9,brandstofkosten!$BE$31:$BF$34,2,0),O354-2009),0)*(1+O$218)</f>
        <v>0</v>
      </c>
    </row>
    <row r="262" spans="2:15" x14ac:dyDescent="0.3">
      <c r="B262" s="272" t="s">
        <v>1096</v>
      </c>
      <c r="C262" s="272" t="s">
        <v>1097</v>
      </c>
      <c r="D262" s="272">
        <v>9</v>
      </c>
      <c r="E262" s="306">
        <f>IFERROR(INDEX(value_prijsfossiel,VLOOKUP(E$9,brandstofkosten!$BE$31:$BF$34,2,0),E355-2009),0)*(1+E$218)</f>
        <v>0</v>
      </c>
      <c r="F262" s="306">
        <f>IFERROR(INDEX(value_prijsfossiel,VLOOKUP(F$9,brandstofkosten!$BE$31:$BF$34,2,0),F355-2009),0)*(1+F$218)</f>
        <v>0</v>
      </c>
      <c r="H262" s="306">
        <f>IFERROR(INDEX(value_prijsfossiel,VLOOKUP(H$9,brandstofkosten!$BE$31:$BF$34,2,0),H355-2009),0)*(1+H$218)</f>
        <v>0</v>
      </c>
      <c r="I262" s="306">
        <f>IFERROR(INDEX(value_prijsfossiel,VLOOKUP(I$9,brandstofkosten!$BE$31:$BF$34,2,0),I355-2009),0)*(1+I$218)</f>
        <v>0</v>
      </c>
      <c r="K262" s="306">
        <f>IFERROR(INDEX(value_prijsfossiel,VLOOKUP(K$9,brandstofkosten!$BE$31:$BF$34,2,0),K355-2009),0)*(1+K$218)</f>
        <v>0</v>
      </c>
      <c r="L262" s="306">
        <f>IFERROR(INDEX(value_prijsfossiel,VLOOKUP(L$9,brandstofkosten!$BE$31:$BF$34,2,0),L355-2009),0)*(1+L$218)</f>
        <v>0</v>
      </c>
      <c r="M262" s="306"/>
      <c r="N262" s="306">
        <f>IFERROR(INDEX(value_prijsfossiel,VLOOKUP(N$9,brandstofkosten!$BE$31:$BF$34,2,0),N355-2009),0)*(1+N$218)</f>
        <v>0</v>
      </c>
      <c r="O262" s="306">
        <f>IFERROR(INDEX(value_prijsfossiel,VLOOKUP(O$9,brandstofkosten!$BE$31:$BF$34,2,0),O355-2009),0)*(1+O$218)</f>
        <v>0</v>
      </c>
    </row>
    <row r="263" spans="2:15" x14ac:dyDescent="0.3">
      <c r="B263" s="272" t="s">
        <v>1096</v>
      </c>
      <c r="C263" s="272" t="s">
        <v>1097</v>
      </c>
      <c r="D263" s="272">
        <v>10</v>
      </c>
      <c r="E263" s="306">
        <f>IFERROR(INDEX(value_prijsfossiel,VLOOKUP(E$9,brandstofkosten!$BE$31:$BF$34,2,0),E356-2009),0)*(1+E$218)</f>
        <v>0</v>
      </c>
      <c r="F263" s="306">
        <f>IFERROR(INDEX(value_prijsfossiel,VLOOKUP(F$9,brandstofkosten!$BE$31:$BF$34,2,0),F356-2009),0)*(1+F$218)</f>
        <v>0</v>
      </c>
      <c r="H263" s="306">
        <f>IFERROR(INDEX(value_prijsfossiel,VLOOKUP(H$9,brandstofkosten!$BE$31:$BF$34,2,0),H356-2009),0)*(1+H$218)</f>
        <v>0</v>
      </c>
      <c r="I263" s="306">
        <f>IFERROR(INDEX(value_prijsfossiel,VLOOKUP(I$9,brandstofkosten!$BE$31:$BF$34,2,0),I356-2009),0)*(1+I$218)</f>
        <v>0</v>
      </c>
      <c r="K263" s="306">
        <f>IFERROR(INDEX(value_prijsfossiel,VLOOKUP(K$9,brandstofkosten!$BE$31:$BF$34,2,0),K356-2009),0)*(1+K$218)</f>
        <v>0</v>
      </c>
      <c r="L263" s="306">
        <f>IFERROR(INDEX(value_prijsfossiel,VLOOKUP(L$9,brandstofkosten!$BE$31:$BF$34,2,0),L356-2009),0)*(1+L$218)</f>
        <v>0</v>
      </c>
      <c r="M263" s="306"/>
      <c r="N263" s="306">
        <f>IFERROR(INDEX(value_prijsfossiel,VLOOKUP(N$9,brandstofkosten!$BE$31:$BF$34,2,0),N356-2009),0)*(1+N$218)</f>
        <v>0</v>
      </c>
      <c r="O263" s="306">
        <f>IFERROR(INDEX(value_prijsfossiel,VLOOKUP(O$9,brandstofkosten!$BE$31:$BF$34,2,0),O356-2009),0)*(1+O$218)</f>
        <v>0</v>
      </c>
    </row>
    <row r="264" spans="2:15" x14ac:dyDescent="0.3">
      <c r="B264" s="272" t="s">
        <v>1096</v>
      </c>
      <c r="C264" s="272" t="s">
        <v>1097</v>
      </c>
      <c r="D264" s="272">
        <v>11</v>
      </c>
      <c r="E264" s="306">
        <f>IFERROR(INDEX(value_prijsfossiel,VLOOKUP(E$9,brandstofkosten!$BE$31:$BF$34,2,0),E357-2009),0)*(1+E$218)</f>
        <v>0</v>
      </c>
      <c r="F264" s="306">
        <f>IFERROR(INDEX(value_prijsfossiel,VLOOKUP(F$9,brandstofkosten!$BE$31:$BF$34,2,0),F357-2009),0)*(1+F$218)</f>
        <v>0</v>
      </c>
      <c r="H264" s="306">
        <f>IFERROR(INDEX(value_prijsfossiel,VLOOKUP(H$9,brandstofkosten!$BE$31:$BF$34,2,0),H357-2009),0)*(1+H$218)</f>
        <v>0</v>
      </c>
      <c r="I264" s="306">
        <f>IFERROR(INDEX(value_prijsfossiel,VLOOKUP(I$9,brandstofkosten!$BE$31:$BF$34,2,0),I357-2009),0)*(1+I$218)</f>
        <v>0</v>
      </c>
      <c r="K264" s="306">
        <f>IFERROR(INDEX(value_prijsfossiel,VLOOKUP(K$9,brandstofkosten!$BE$31:$BF$34,2,0),K357-2009),0)*(1+K$218)</f>
        <v>0</v>
      </c>
      <c r="L264" s="306">
        <f>IFERROR(INDEX(value_prijsfossiel,VLOOKUP(L$9,brandstofkosten!$BE$31:$BF$34,2,0),L357-2009),0)*(1+L$218)</f>
        <v>0</v>
      </c>
      <c r="M264" s="306"/>
      <c r="N264" s="306">
        <f>IFERROR(INDEX(value_prijsfossiel,VLOOKUP(N$9,brandstofkosten!$BE$31:$BF$34,2,0),N357-2009),0)*(1+N$218)</f>
        <v>0</v>
      </c>
      <c r="O264" s="306">
        <f>IFERROR(INDEX(value_prijsfossiel,VLOOKUP(O$9,brandstofkosten!$BE$31:$BF$34,2,0),O357-2009),0)*(1+O$218)</f>
        <v>0</v>
      </c>
    </row>
    <row r="265" spans="2:15" x14ac:dyDescent="0.3">
      <c r="B265" s="272" t="s">
        <v>1096</v>
      </c>
      <c r="C265" s="272" t="s">
        <v>1097</v>
      </c>
      <c r="D265" s="272">
        <v>12</v>
      </c>
      <c r="E265" s="306">
        <f>IFERROR(INDEX(value_prijsfossiel,VLOOKUP(E$9,brandstofkosten!$BE$31:$BF$34,2,0),E358-2009),0)*(1+E$218)</f>
        <v>0</v>
      </c>
      <c r="F265" s="306">
        <f>IFERROR(INDEX(value_prijsfossiel,VLOOKUP(F$9,brandstofkosten!$BE$31:$BF$34,2,0),F358-2009),0)*(1+F$218)</f>
        <v>0</v>
      </c>
      <c r="H265" s="306">
        <f>IFERROR(INDEX(value_prijsfossiel,VLOOKUP(H$9,brandstofkosten!$BE$31:$BF$34,2,0),H358-2009),0)*(1+H$218)</f>
        <v>0</v>
      </c>
      <c r="I265" s="306">
        <f>IFERROR(INDEX(value_prijsfossiel,VLOOKUP(I$9,brandstofkosten!$BE$31:$BF$34,2,0),I358-2009),0)*(1+I$218)</f>
        <v>0</v>
      </c>
      <c r="K265" s="306">
        <f>IFERROR(INDEX(value_prijsfossiel,VLOOKUP(K$9,brandstofkosten!$BE$31:$BF$34,2,0),K358-2009),0)*(1+K$218)</f>
        <v>0</v>
      </c>
      <c r="L265" s="306">
        <f>IFERROR(INDEX(value_prijsfossiel,VLOOKUP(L$9,brandstofkosten!$BE$31:$BF$34,2,0),L358-2009),0)*(1+L$218)</f>
        <v>0</v>
      </c>
      <c r="M265" s="306"/>
      <c r="N265" s="306">
        <f>IFERROR(INDEX(value_prijsfossiel,VLOOKUP(N$9,brandstofkosten!$BE$31:$BF$34,2,0),N358-2009),0)*(1+N$218)</f>
        <v>0</v>
      </c>
      <c r="O265" s="306">
        <f>IFERROR(INDEX(value_prijsfossiel,VLOOKUP(O$9,brandstofkosten!$BE$31:$BF$34,2,0),O358-2009),0)*(1+O$218)</f>
        <v>0</v>
      </c>
    </row>
    <row r="266" spans="2:15" x14ac:dyDescent="0.3">
      <c r="B266" s="272" t="s">
        <v>1096</v>
      </c>
      <c r="C266" s="272" t="s">
        <v>1097</v>
      </c>
      <c r="D266" s="272">
        <v>13</v>
      </c>
      <c r="E266" s="306">
        <f>IFERROR(INDEX(value_prijsfossiel,VLOOKUP(E$9,brandstofkosten!$BE$31:$BF$34,2,0),E359-2009),0)*(1+E$218)</f>
        <v>0</v>
      </c>
      <c r="F266" s="306">
        <f>IFERROR(INDEX(value_prijsfossiel,VLOOKUP(F$9,brandstofkosten!$BE$31:$BF$34,2,0),F359-2009),0)*(1+F$218)</f>
        <v>0</v>
      </c>
      <c r="H266" s="306">
        <f>IFERROR(INDEX(value_prijsfossiel,VLOOKUP(H$9,brandstofkosten!$BE$31:$BF$34,2,0),H359-2009),0)*(1+H$218)</f>
        <v>0</v>
      </c>
      <c r="I266" s="306">
        <f>IFERROR(INDEX(value_prijsfossiel,VLOOKUP(I$9,brandstofkosten!$BE$31:$BF$34,2,0),I359-2009),0)*(1+I$218)</f>
        <v>0</v>
      </c>
      <c r="K266" s="306">
        <f>IFERROR(INDEX(value_prijsfossiel,VLOOKUP(K$9,brandstofkosten!$BE$31:$BF$34,2,0),K359-2009),0)*(1+K$218)</f>
        <v>0</v>
      </c>
      <c r="L266" s="306">
        <f>IFERROR(INDEX(value_prijsfossiel,VLOOKUP(L$9,brandstofkosten!$BE$31:$BF$34,2,0),L359-2009),0)*(1+L$218)</f>
        <v>0</v>
      </c>
      <c r="M266" s="306"/>
      <c r="N266" s="306">
        <f>IFERROR(INDEX(value_prijsfossiel,VLOOKUP(N$9,brandstofkosten!$BE$31:$BF$34,2,0),N359-2009),0)*(1+N$218)</f>
        <v>0</v>
      </c>
      <c r="O266" s="306">
        <f>IFERROR(INDEX(value_prijsfossiel,VLOOKUP(O$9,brandstofkosten!$BE$31:$BF$34,2,0),O359-2009),0)*(1+O$218)</f>
        <v>0</v>
      </c>
    </row>
    <row r="267" spans="2:15" x14ac:dyDescent="0.3">
      <c r="B267" s="272" t="s">
        <v>1096</v>
      </c>
      <c r="C267" s="272" t="s">
        <v>1097</v>
      </c>
      <c r="D267" s="272">
        <v>14</v>
      </c>
      <c r="E267" s="306">
        <f>IFERROR(INDEX(value_prijsfossiel,VLOOKUP(E$9,brandstofkosten!$BE$31:$BF$34,2,0),E360-2009),0)*(1+E$218)</f>
        <v>0</v>
      </c>
      <c r="F267" s="306">
        <f>IFERROR(INDEX(value_prijsfossiel,VLOOKUP(F$9,brandstofkosten!$BE$31:$BF$34,2,0),F360-2009),0)*(1+F$218)</f>
        <v>0</v>
      </c>
      <c r="H267" s="306">
        <f>IFERROR(INDEX(value_prijsfossiel,VLOOKUP(H$9,brandstofkosten!$BE$31:$BF$34,2,0),H360-2009),0)*(1+H$218)</f>
        <v>0</v>
      </c>
      <c r="I267" s="306">
        <f>IFERROR(INDEX(value_prijsfossiel,VLOOKUP(I$9,brandstofkosten!$BE$31:$BF$34,2,0),I360-2009),0)*(1+I$218)</f>
        <v>0</v>
      </c>
      <c r="K267" s="306">
        <f>IFERROR(INDEX(value_prijsfossiel,VLOOKUP(K$9,brandstofkosten!$BE$31:$BF$34,2,0),K360-2009),0)*(1+K$218)</f>
        <v>0</v>
      </c>
      <c r="L267" s="306">
        <f>IFERROR(INDEX(value_prijsfossiel,VLOOKUP(L$9,brandstofkosten!$BE$31:$BF$34,2,0),L360-2009),0)*(1+L$218)</f>
        <v>0</v>
      </c>
      <c r="M267" s="306"/>
      <c r="N267" s="306">
        <f>IFERROR(INDEX(value_prijsfossiel,VLOOKUP(N$9,brandstofkosten!$BE$31:$BF$34,2,0),N360-2009),0)*(1+N$218)</f>
        <v>0</v>
      </c>
      <c r="O267" s="306">
        <f>IFERROR(INDEX(value_prijsfossiel,VLOOKUP(O$9,brandstofkosten!$BE$31:$BF$34,2,0),O360-2009),0)*(1+O$218)</f>
        <v>0</v>
      </c>
    </row>
    <row r="268" spans="2:15" x14ac:dyDescent="0.3">
      <c r="B268" s="272" t="s">
        <v>1096</v>
      </c>
      <c r="C268" s="272" t="s">
        <v>1097</v>
      </c>
      <c r="D268" s="272">
        <v>15</v>
      </c>
      <c r="E268" s="306">
        <f>IFERROR(INDEX(value_prijsfossiel,VLOOKUP(E$9,brandstofkosten!$BE$31:$BF$34,2,0),E361-2009),0)*(1+E$218)</f>
        <v>0</v>
      </c>
      <c r="F268" s="306">
        <f>IFERROR(INDEX(value_prijsfossiel,VLOOKUP(F$9,brandstofkosten!$BE$31:$BF$34,2,0),F361-2009),0)*(1+F$218)</f>
        <v>0</v>
      </c>
      <c r="H268" s="306">
        <f>IFERROR(INDEX(value_prijsfossiel,VLOOKUP(H$9,brandstofkosten!$BE$31:$BF$34,2,0),H361-2009),0)*(1+H$218)</f>
        <v>0</v>
      </c>
      <c r="I268" s="306">
        <f>IFERROR(INDEX(value_prijsfossiel,VLOOKUP(I$9,brandstofkosten!$BE$31:$BF$34,2,0),I361-2009),0)*(1+I$218)</f>
        <v>0</v>
      </c>
      <c r="K268" s="306">
        <f>IFERROR(INDEX(value_prijsfossiel,VLOOKUP(K$9,brandstofkosten!$BE$31:$BF$34,2,0),K361-2009),0)*(1+K$218)</f>
        <v>0</v>
      </c>
      <c r="L268" s="306">
        <f>IFERROR(INDEX(value_prijsfossiel,VLOOKUP(L$9,brandstofkosten!$BE$31:$BF$34,2,0),L361-2009),0)*(1+L$218)</f>
        <v>0</v>
      </c>
      <c r="M268" s="306"/>
      <c r="N268" s="306">
        <f>IFERROR(INDEX(value_prijsfossiel,VLOOKUP(N$9,brandstofkosten!$BE$31:$BF$34,2,0),N361-2009),0)*(1+N$218)</f>
        <v>0</v>
      </c>
      <c r="O268" s="306">
        <f>IFERROR(INDEX(value_prijsfossiel,VLOOKUP(O$9,brandstofkosten!$BE$31:$BF$34,2,0),O361-2009),0)*(1+O$218)</f>
        <v>0</v>
      </c>
    </row>
    <row r="269" spans="2:15" x14ac:dyDescent="0.3">
      <c r="B269" s="272" t="s">
        <v>1096</v>
      </c>
      <c r="C269" s="272" t="s">
        <v>1097</v>
      </c>
      <c r="D269" s="272">
        <v>16</v>
      </c>
      <c r="E269" s="306">
        <f>IFERROR(INDEX(value_prijsfossiel,VLOOKUP(E$9,brandstofkosten!$BE$31:$BF$34,2,0),E362-2009),0)*(1+E$218)</f>
        <v>0</v>
      </c>
      <c r="F269" s="306">
        <f>IFERROR(INDEX(value_prijsfossiel,VLOOKUP(F$9,brandstofkosten!$BE$31:$BF$34,2,0),F362-2009),0)*(1+F$218)</f>
        <v>0</v>
      </c>
      <c r="H269" s="306">
        <f>IFERROR(INDEX(value_prijsfossiel,VLOOKUP(H$9,brandstofkosten!$BE$31:$BF$34,2,0),H362-2009),0)*(1+H$218)</f>
        <v>0</v>
      </c>
      <c r="I269" s="306">
        <f>IFERROR(INDEX(value_prijsfossiel,VLOOKUP(I$9,brandstofkosten!$BE$31:$BF$34,2,0),I362-2009),0)*(1+I$218)</f>
        <v>0</v>
      </c>
      <c r="K269" s="306">
        <f>IFERROR(INDEX(value_prijsfossiel,VLOOKUP(K$9,brandstofkosten!$BE$31:$BF$34,2,0),K362-2009),0)*(1+K$218)</f>
        <v>0</v>
      </c>
      <c r="L269" s="306">
        <f>IFERROR(INDEX(value_prijsfossiel,VLOOKUP(L$9,brandstofkosten!$BE$31:$BF$34,2,0),L362-2009),0)*(1+L$218)</f>
        <v>0</v>
      </c>
      <c r="M269" s="306"/>
      <c r="N269" s="306">
        <f>IFERROR(INDEX(value_prijsfossiel,VLOOKUP(N$9,brandstofkosten!$BE$31:$BF$34,2,0),N362-2009),0)*(1+N$218)</f>
        <v>0</v>
      </c>
      <c r="O269" s="306">
        <f>IFERROR(INDEX(value_prijsfossiel,VLOOKUP(O$9,brandstofkosten!$BE$31:$BF$34,2,0),O362-2009),0)*(1+O$218)</f>
        <v>0</v>
      </c>
    </row>
    <row r="270" spans="2:15" x14ac:dyDescent="0.3">
      <c r="B270" s="272" t="s">
        <v>1096</v>
      </c>
      <c r="C270" s="272" t="s">
        <v>1097</v>
      </c>
      <c r="D270" s="272">
        <v>17</v>
      </c>
      <c r="E270" s="306">
        <f>IFERROR(INDEX(value_prijsfossiel,VLOOKUP(E$9,brandstofkosten!$BE$31:$BF$34,2,0),E363-2009),0)*(1+E$218)</f>
        <v>0</v>
      </c>
      <c r="F270" s="306">
        <f>IFERROR(INDEX(value_prijsfossiel,VLOOKUP(F$9,brandstofkosten!$BE$31:$BF$34,2,0),F363-2009),0)*(1+F$218)</f>
        <v>0</v>
      </c>
      <c r="H270" s="306">
        <f>IFERROR(INDEX(value_prijsfossiel,VLOOKUP(H$9,brandstofkosten!$BE$31:$BF$34,2,0),H363-2009),0)*(1+H$218)</f>
        <v>0</v>
      </c>
      <c r="I270" s="306">
        <f>IFERROR(INDEX(value_prijsfossiel,VLOOKUP(I$9,brandstofkosten!$BE$31:$BF$34,2,0),I363-2009),0)*(1+I$218)</f>
        <v>0</v>
      </c>
      <c r="K270" s="306">
        <f>IFERROR(INDEX(value_prijsfossiel,VLOOKUP(K$9,brandstofkosten!$BE$31:$BF$34,2,0),K363-2009),0)*(1+K$218)</f>
        <v>0</v>
      </c>
      <c r="L270" s="306">
        <f>IFERROR(INDEX(value_prijsfossiel,VLOOKUP(L$9,brandstofkosten!$BE$31:$BF$34,2,0),L363-2009),0)*(1+L$218)</f>
        <v>0</v>
      </c>
      <c r="M270" s="306"/>
      <c r="N270" s="306">
        <f>IFERROR(INDEX(value_prijsfossiel,VLOOKUP(N$9,brandstofkosten!$BE$31:$BF$34,2,0),N363-2009),0)*(1+N$218)</f>
        <v>0</v>
      </c>
      <c r="O270" s="306">
        <f>IFERROR(INDEX(value_prijsfossiel,VLOOKUP(O$9,brandstofkosten!$BE$31:$BF$34,2,0),O363-2009),0)*(1+O$218)</f>
        <v>0</v>
      </c>
    </row>
    <row r="271" spans="2:15" x14ac:dyDescent="0.3">
      <c r="B271" s="272" t="s">
        <v>1096</v>
      </c>
      <c r="C271" s="272" t="s">
        <v>1097</v>
      </c>
      <c r="D271" s="272">
        <v>18</v>
      </c>
      <c r="E271" s="306">
        <f>IFERROR(INDEX(value_prijsfossiel,VLOOKUP(E$9,brandstofkosten!$BE$31:$BF$34,2,0),E364-2009),0)*(1+E$218)</f>
        <v>0</v>
      </c>
      <c r="F271" s="306">
        <f>IFERROR(INDEX(value_prijsfossiel,VLOOKUP(F$9,brandstofkosten!$BE$31:$BF$34,2,0),F364-2009),0)*(1+F$218)</f>
        <v>0</v>
      </c>
      <c r="H271" s="306">
        <f>IFERROR(INDEX(value_prijsfossiel,VLOOKUP(H$9,brandstofkosten!$BE$31:$BF$34,2,0),H364-2009),0)*(1+H$218)</f>
        <v>0</v>
      </c>
      <c r="I271" s="306">
        <f>IFERROR(INDEX(value_prijsfossiel,VLOOKUP(I$9,brandstofkosten!$BE$31:$BF$34,2,0),I364-2009),0)*(1+I$218)</f>
        <v>0</v>
      </c>
      <c r="K271" s="306">
        <f>IFERROR(INDEX(value_prijsfossiel,VLOOKUP(K$9,brandstofkosten!$BE$31:$BF$34,2,0),K364-2009),0)*(1+K$218)</f>
        <v>0</v>
      </c>
      <c r="L271" s="306">
        <f>IFERROR(INDEX(value_prijsfossiel,VLOOKUP(L$9,brandstofkosten!$BE$31:$BF$34,2,0),L364-2009),0)*(1+L$218)</f>
        <v>0</v>
      </c>
      <c r="M271" s="306"/>
      <c r="N271" s="306">
        <f>IFERROR(INDEX(value_prijsfossiel,VLOOKUP(N$9,brandstofkosten!$BE$31:$BF$34,2,0),N364-2009),0)*(1+N$218)</f>
        <v>0</v>
      </c>
      <c r="O271" s="306">
        <f>IFERROR(INDEX(value_prijsfossiel,VLOOKUP(O$9,brandstofkosten!$BE$31:$BF$34,2,0),O364-2009),0)*(1+O$218)</f>
        <v>0</v>
      </c>
    </row>
    <row r="272" spans="2:15" x14ac:dyDescent="0.3">
      <c r="B272" s="272" t="s">
        <v>1096</v>
      </c>
      <c r="C272" s="272" t="s">
        <v>1097</v>
      </c>
      <c r="D272" s="272">
        <v>19</v>
      </c>
      <c r="E272" s="306">
        <f>IFERROR(INDEX(value_prijsfossiel,VLOOKUP(E$9,brandstofkosten!$BE$31:$BF$34,2,0),E365-2009),0)*(1+E$218)</f>
        <v>0</v>
      </c>
      <c r="F272" s="306">
        <f>IFERROR(INDEX(value_prijsfossiel,VLOOKUP(F$9,brandstofkosten!$BE$31:$BF$34,2,0),F365-2009),0)*(1+F$218)</f>
        <v>0</v>
      </c>
      <c r="H272" s="306">
        <f>IFERROR(INDEX(value_prijsfossiel,VLOOKUP(H$9,brandstofkosten!$BE$31:$BF$34,2,0),H365-2009),0)*(1+H$218)</f>
        <v>0</v>
      </c>
      <c r="I272" s="306">
        <f>IFERROR(INDEX(value_prijsfossiel,VLOOKUP(I$9,brandstofkosten!$BE$31:$BF$34,2,0),I365-2009),0)*(1+I$218)</f>
        <v>0</v>
      </c>
      <c r="K272" s="306">
        <f>IFERROR(INDEX(value_prijsfossiel,VLOOKUP(K$9,brandstofkosten!$BE$31:$BF$34,2,0),K365-2009),0)*(1+K$218)</f>
        <v>0</v>
      </c>
      <c r="L272" s="306">
        <f>IFERROR(INDEX(value_prijsfossiel,VLOOKUP(L$9,brandstofkosten!$BE$31:$BF$34,2,0),L365-2009),0)*(1+L$218)</f>
        <v>0</v>
      </c>
      <c r="M272" s="306"/>
      <c r="N272" s="306">
        <f>IFERROR(INDEX(value_prijsfossiel,VLOOKUP(N$9,brandstofkosten!$BE$31:$BF$34,2,0),N365-2009),0)*(1+N$218)</f>
        <v>0</v>
      </c>
      <c r="O272" s="306">
        <f>IFERROR(INDEX(value_prijsfossiel,VLOOKUP(O$9,brandstofkosten!$BE$31:$BF$34,2,0),O365-2009),0)*(1+O$218)</f>
        <v>0</v>
      </c>
    </row>
    <row r="273" spans="1:15" x14ac:dyDescent="0.3">
      <c r="A273" s="274"/>
      <c r="B273" s="274" t="s">
        <v>1096</v>
      </c>
      <c r="C273" s="274" t="s">
        <v>1097</v>
      </c>
      <c r="D273" s="274">
        <v>20</v>
      </c>
      <c r="E273" s="323">
        <f>IFERROR(INDEX(value_prijsfossiel,VLOOKUP(E$9,brandstofkosten!$BE$31:$BF$34,2,0),E366-2009),0)*(1+E$218)</f>
        <v>0</v>
      </c>
      <c r="F273" s="323">
        <f>IFERROR(INDEX(value_prijsfossiel,VLOOKUP(F$9,brandstofkosten!$BE$31:$BF$34,2,0),F366-2009),0)*(1+F$218)</f>
        <v>0</v>
      </c>
      <c r="H273" s="323">
        <f>IFERROR(INDEX(value_prijsfossiel,VLOOKUP(H$9,brandstofkosten!$BE$31:$BF$34,2,0),H366-2009),0)*(1+H$218)</f>
        <v>0</v>
      </c>
      <c r="I273" s="323">
        <f>IFERROR(INDEX(value_prijsfossiel,VLOOKUP(I$9,brandstofkosten!$BE$31:$BF$34,2,0),I366-2009),0)*(1+I$218)</f>
        <v>0</v>
      </c>
      <c r="K273" s="323">
        <f>IFERROR(INDEX(value_prijsfossiel,VLOOKUP(K$9,brandstofkosten!$BE$31:$BF$34,2,0),K366-2009),0)*(1+K$218)</f>
        <v>0</v>
      </c>
      <c r="L273" s="323">
        <f>IFERROR(INDEX(value_prijsfossiel,VLOOKUP(L$9,brandstofkosten!$BE$31:$BF$34,2,0),L366-2009),0)*(1+L$218)</f>
        <v>0</v>
      </c>
      <c r="M273" s="323"/>
      <c r="N273" s="323">
        <f>IFERROR(INDEX(value_prijsfossiel,VLOOKUP(N$9,brandstofkosten!$BE$31:$BF$34,2,0),N366-2009),0)*(1+N$218)</f>
        <v>0</v>
      </c>
      <c r="O273" s="323">
        <f>IFERROR(INDEX(value_prijsfossiel,VLOOKUP(O$9,brandstofkosten!$BE$31:$BF$34,2,0),O366-2009),0)*(1+O$218)</f>
        <v>0</v>
      </c>
    </row>
    <row r="274" spans="1:15" x14ac:dyDescent="0.3">
      <c r="B274" s="272" t="s">
        <v>1139</v>
      </c>
      <c r="C274" s="272" t="s">
        <v>38</v>
      </c>
      <c r="D274" s="272">
        <v>1</v>
      </c>
      <c r="E274" s="276" t="e">
        <f t="shared" ref="E274:E293" si="133">(E$232*E254+E$233*E234)*E387</f>
        <v>#N/A</v>
      </c>
      <c r="F274" s="276" t="e">
        <f t="shared" ref="F274:F283" si="134">(F$232*F254+F$233*F234)*F387</f>
        <v>#N/A</v>
      </c>
      <c r="G274" s="306"/>
      <c r="H274" s="276" t="e">
        <f>(H$232*H254+H$233*H234)*H387</f>
        <v>#N/A</v>
      </c>
      <c r="I274" s="276" t="e">
        <f t="shared" ref="H274:I289" si="135">(I$232*I254+I$233*I234)*I387</f>
        <v>#N/A</v>
      </c>
      <c r="K274" s="276" t="e">
        <f t="shared" ref="K274:L289" si="136">(K$232*K254+K$233*K234)*K387</f>
        <v>#N/A</v>
      </c>
      <c r="L274" s="276" t="e">
        <f t="shared" si="136"/>
        <v>#N/A</v>
      </c>
      <c r="M274" s="276"/>
      <c r="N274" s="276" t="e">
        <f t="shared" ref="N274:O289" si="137">(N$232*N254+N$233*N234)*N387</f>
        <v>#N/A</v>
      </c>
      <c r="O274" s="276" t="e">
        <f t="shared" si="137"/>
        <v>#N/A</v>
      </c>
    </row>
    <row r="275" spans="1:15" x14ac:dyDescent="0.3">
      <c r="B275" s="272" t="s">
        <v>1139</v>
      </c>
      <c r="C275" s="272" t="s">
        <v>38</v>
      </c>
      <c r="D275" s="272">
        <v>2</v>
      </c>
      <c r="E275" s="276" t="e">
        <f t="shared" si="133"/>
        <v>#N/A</v>
      </c>
      <c r="F275" s="276" t="e">
        <f t="shared" si="134"/>
        <v>#N/A</v>
      </c>
      <c r="G275" s="306"/>
      <c r="H275" s="276" t="e">
        <f t="shared" si="135"/>
        <v>#N/A</v>
      </c>
      <c r="I275" s="276" t="e">
        <f t="shared" si="135"/>
        <v>#N/A</v>
      </c>
      <c r="K275" s="276" t="e">
        <f t="shared" si="136"/>
        <v>#N/A</v>
      </c>
      <c r="L275" s="276" t="e">
        <f t="shared" si="136"/>
        <v>#N/A</v>
      </c>
      <c r="M275" s="276"/>
      <c r="N275" s="276" t="e">
        <f t="shared" si="137"/>
        <v>#N/A</v>
      </c>
      <c r="O275" s="276" t="e">
        <f t="shared" si="137"/>
        <v>#N/A</v>
      </c>
    </row>
    <row r="276" spans="1:15" x14ac:dyDescent="0.3">
      <c r="B276" s="272" t="s">
        <v>1139</v>
      </c>
      <c r="C276" s="272" t="s">
        <v>38</v>
      </c>
      <c r="D276" s="272">
        <v>3</v>
      </c>
      <c r="E276" s="276" t="e">
        <f t="shared" si="133"/>
        <v>#N/A</v>
      </c>
      <c r="F276" s="276" t="e">
        <f t="shared" si="134"/>
        <v>#N/A</v>
      </c>
      <c r="H276" s="276" t="e">
        <f t="shared" si="135"/>
        <v>#N/A</v>
      </c>
      <c r="I276" s="276" t="e">
        <f t="shared" si="135"/>
        <v>#N/A</v>
      </c>
      <c r="K276" s="276" t="e">
        <f t="shared" si="136"/>
        <v>#N/A</v>
      </c>
      <c r="L276" s="276" t="e">
        <f t="shared" si="136"/>
        <v>#N/A</v>
      </c>
      <c r="M276" s="276"/>
      <c r="N276" s="276" t="e">
        <f t="shared" si="137"/>
        <v>#N/A</v>
      </c>
      <c r="O276" s="276" t="e">
        <f t="shared" si="137"/>
        <v>#N/A</v>
      </c>
    </row>
    <row r="277" spans="1:15" x14ac:dyDescent="0.3">
      <c r="B277" s="272" t="s">
        <v>1139</v>
      </c>
      <c r="C277" s="272" t="s">
        <v>38</v>
      </c>
      <c r="D277" s="272">
        <v>4</v>
      </c>
      <c r="E277" s="276" t="e">
        <f t="shared" si="133"/>
        <v>#N/A</v>
      </c>
      <c r="F277" s="276" t="e">
        <f t="shared" si="134"/>
        <v>#N/A</v>
      </c>
      <c r="H277" s="276" t="e">
        <f t="shared" si="135"/>
        <v>#N/A</v>
      </c>
      <c r="I277" s="276" t="e">
        <f t="shared" si="135"/>
        <v>#N/A</v>
      </c>
      <c r="K277" s="276" t="e">
        <f t="shared" si="136"/>
        <v>#N/A</v>
      </c>
      <c r="L277" s="276" t="e">
        <f t="shared" si="136"/>
        <v>#N/A</v>
      </c>
      <c r="M277" s="276"/>
      <c r="N277" s="276" t="e">
        <f t="shared" si="137"/>
        <v>#N/A</v>
      </c>
      <c r="O277" s="276" t="e">
        <f t="shared" si="137"/>
        <v>#N/A</v>
      </c>
    </row>
    <row r="278" spans="1:15" x14ac:dyDescent="0.3">
      <c r="B278" s="272" t="s">
        <v>1139</v>
      </c>
      <c r="C278" s="272" t="s">
        <v>38</v>
      </c>
      <c r="D278" s="272">
        <v>5</v>
      </c>
      <c r="E278" s="276" t="e">
        <f t="shared" si="133"/>
        <v>#N/A</v>
      </c>
      <c r="F278" s="276" t="e">
        <f t="shared" si="134"/>
        <v>#N/A</v>
      </c>
      <c r="H278" s="276" t="e">
        <f t="shared" si="135"/>
        <v>#N/A</v>
      </c>
      <c r="I278" s="276" t="e">
        <f t="shared" si="135"/>
        <v>#N/A</v>
      </c>
      <c r="K278" s="276" t="e">
        <f t="shared" si="136"/>
        <v>#N/A</v>
      </c>
      <c r="L278" s="276" t="e">
        <f t="shared" si="136"/>
        <v>#N/A</v>
      </c>
      <c r="M278" s="276"/>
      <c r="N278" s="276" t="e">
        <f t="shared" si="137"/>
        <v>#N/A</v>
      </c>
      <c r="O278" s="276" t="e">
        <f t="shared" si="137"/>
        <v>#N/A</v>
      </c>
    </row>
    <row r="279" spans="1:15" x14ac:dyDescent="0.3">
      <c r="B279" s="272" t="s">
        <v>1139</v>
      </c>
      <c r="C279" s="272" t="s">
        <v>38</v>
      </c>
      <c r="D279" s="272">
        <v>6</v>
      </c>
      <c r="E279" s="276" t="e">
        <f t="shared" si="133"/>
        <v>#N/A</v>
      </c>
      <c r="F279" s="276" t="e">
        <f t="shared" si="134"/>
        <v>#N/A</v>
      </c>
      <c r="H279" s="276" t="e">
        <f t="shared" si="135"/>
        <v>#N/A</v>
      </c>
      <c r="I279" s="276" t="e">
        <f t="shared" si="135"/>
        <v>#N/A</v>
      </c>
      <c r="K279" s="276" t="e">
        <f t="shared" si="136"/>
        <v>#N/A</v>
      </c>
      <c r="L279" s="276" t="e">
        <f t="shared" si="136"/>
        <v>#N/A</v>
      </c>
      <c r="M279" s="276"/>
      <c r="N279" s="276" t="e">
        <f t="shared" si="137"/>
        <v>#N/A</v>
      </c>
      <c r="O279" s="276" t="e">
        <f t="shared" si="137"/>
        <v>#N/A</v>
      </c>
    </row>
    <row r="280" spans="1:15" x14ac:dyDescent="0.3">
      <c r="B280" s="272" t="s">
        <v>1139</v>
      </c>
      <c r="C280" s="272" t="s">
        <v>38</v>
      </c>
      <c r="D280" s="272">
        <v>7</v>
      </c>
      <c r="E280" s="276" t="e">
        <f t="shared" si="133"/>
        <v>#N/A</v>
      </c>
      <c r="F280" s="276" t="e">
        <f t="shared" si="134"/>
        <v>#N/A</v>
      </c>
      <c r="H280" s="276" t="e">
        <f t="shared" si="135"/>
        <v>#N/A</v>
      </c>
      <c r="I280" s="276" t="e">
        <f t="shared" si="135"/>
        <v>#N/A</v>
      </c>
      <c r="K280" s="276" t="e">
        <f t="shared" si="136"/>
        <v>#N/A</v>
      </c>
      <c r="L280" s="276" t="e">
        <f t="shared" si="136"/>
        <v>#N/A</v>
      </c>
      <c r="M280" s="276"/>
      <c r="N280" s="276" t="e">
        <f t="shared" si="137"/>
        <v>#N/A</v>
      </c>
      <c r="O280" s="276" t="e">
        <f t="shared" si="137"/>
        <v>#N/A</v>
      </c>
    </row>
    <row r="281" spans="1:15" x14ac:dyDescent="0.3">
      <c r="B281" s="272" t="s">
        <v>1139</v>
      </c>
      <c r="C281" s="272" t="s">
        <v>38</v>
      </c>
      <c r="D281" s="272">
        <v>8</v>
      </c>
      <c r="E281" s="276" t="e">
        <f t="shared" si="133"/>
        <v>#N/A</v>
      </c>
      <c r="F281" s="276" t="e">
        <f t="shared" si="134"/>
        <v>#N/A</v>
      </c>
      <c r="H281" s="276" t="e">
        <f t="shared" si="135"/>
        <v>#N/A</v>
      </c>
      <c r="I281" s="276" t="e">
        <f t="shared" si="135"/>
        <v>#N/A</v>
      </c>
      <c r="K281" s="276" t="e">
        <f t="shared" si="136"/>
        <v>#N/A</v>
      </c>
      <c r="L281" s="276" t="e">
        <f t="shared" si="136"/>
        <v>#N/A</v>
      </c>
      <c r="M281" s="276"/>
      <c r="N281" s="276" t="e">
        <f t="shared" si="137"/>
        <v>#N/A</v>
      </c>
      <c r="O281" s="276" t="e">
        <f t="shared" si="137"/>
        <v>#N/A</v>
      </c>
    </row>
    <row r="282" spans="1:15" x14ac:dyDescent="0.3">
      <c r="B282" s="272" t="s">
        <v>1139</v>
      </c>
      <c r="C282" s="272" t="s">
        <v>38</v>
      </c>
      <c r="D282" s="272">
        <v>9</v>
      </c>
      <c r="E282" s="276" t="e">
        <f t="shared" si="133"/>
        <v>#N/A</v>
      </c>
      <c r="F282" s="276" t="e">
        <f t="shared" si="134"/>
        <v>#N/A</v>
      </c>
      <c r="H282" s="276" t="e">
        <f t="shared" si="135"/>
        <v>#N/A</v>
      </c>
      <c r="I282" s="276" t="e">
        <f t="shared" si="135"/>
        <v>#N/A</v>
      </c>
      <c r="K282" s="276" t="e">
        <f t="shared" si="136"/>
        <v>#N/A</v>
      </c>
      <c r="L282" s="276" t="e">
        <f t="shared" si="136"/>
        <v>#N/A</v>
      </c>
      <c r="M282" s="276"/>
      <c r="N282" s="276" t="e">
        <f t="shared" si="137"/>
        <v>#N/A</v>
      </c>
      <c r="O282" s="276" t="e">
        <f t="shared" si="137"/>
        <v>#N/A</v>
      </c>
    </row>
    <row r="283" spans="1:15" x14ac:dyDescent="0.3">
      <c r="B283" s="272" t="s">
        <v>1139</v>
      </c>
      <c r="C283" s="272" t="s">
        <v>38</v>
      </c>
      <c r="D283" s="272">
        <v>10</v>
      </c>
      <c r="E283" s="276" t="e">
        <f t="shared" si="133"/>
        <v>#N/A</v>
      </c>
      <c r="F283" s="276" t="e">
        <f t="shared" si="134"/>
        <v>#N/A</v>
      </c>
      <c r="H283" s="276" t="e">
        <f t="shared" si="135"/>
        <v>#N/A</v>
      </c>
      <c r="I283" s="276" t="e">
        <f t="shared" si="135"/>
        <v>#N/A</v>
      </c>
      <c r="K283" s="276" t="e">
        <f t="shared" si="136"/>
        <v>#N/A</v>
      </c>
      <c r="L283" s="276" t="e">
        <f t="shared" si="136"/>
        <v>#N/A</v>
      </c>
      <c r="M283" s="276"/>
      <c r="N283" s="276" t="e">
        <f t="shared" si="137"/>
        <v>#N/A</v>
      </c>
      <c r="O283" s="276" t="e">
        <f t="shared" si="137"/>
        <v>#N/A</v>
      </c>
    </row>
    <row r="284" spans="1:15" x14ac:dyDescent="0.3">
      <c r="B284" s="272" t="s">
        <v>1139</v>
      </c>
      <c r="C284" s="272" t="s">
        <v>38</v>
      </c>
      <c r="D284" s="272">
        <v>11</v>
      </c>
      <c r="E284" s="276" t="e">
        <f t="shared" si="133"/>
        <v>#N/A</v>
      </c>
      <c r="F284" s="276" t="e">
        <f t="shared" ref="F284:F293" si="138">(F$232*F264+F$233*F244)*F397</f>
        <v>#N/A</v>
      </c>
      <c r="H284" s="276" t="e">
        <f t="shared" si="135"/>
        <v>#N/A</v>
      </c>
      <c r="I284" s="276" t="e">
        <f t="shared" si="135"/>
        <v>#N/A</v>
      </c>
      <c r="K284" s="276" t="e">
        <f t="shared" si="136"/>
        <v>#N/A</v>
      </c>
      <c r="L284" s="276" t="e">
        <f t="shared" si="136"/>
        <v>#N/A</v>
      </c>
      <c r="M284" s="276"/>
      <c r="N284" s="276" t="e">
        <f t="shared" si="137"/>
        <v>#N/A</v>
      </c>
      <c r="O284" s="276" t="e">
        <f t="shared" si="137"/>
        <v>#N/A</v>
      </c>
    </row>
    <row r="285" spans="1:15" x14ac:dyDescent="0.3">
      <c r="B285" s="272" t="s">
        <v>1139</v>
      </c>
      <c r="C285" s="272" t="s">
        <v>38</v>
      </c>
      <c r="D285" s="272">
        <v>12</v>
      </c>
      <c r="E285" s="276" t="e">
        <f t="shared" si="133"/>
        <v>#N/A</v>
      </c>
      <c r="F285" s="276" t="e">
        <f t="shared" si="138"/>
        <v>#N/A</v>
      </c>
      <c r="H285" s="276" t="e">
        <f t="shared" si="135"/>
        <v>#N/A</v>
      </c>
      <c r="I285" s="276" t="e">
        <f t="shared" si="135"/>
        <v>#N/A</v>
      </c>
      <c r="K285" s="276" t="e">
        <f t="shared" si="136"/>
        <v>#N/A</v>
      </c>
      <c r="L285" s="276" t="e">
        <f t="shared" si="136"/>
        <v>#N/A</v>
      </c>
      <c r="M285" s="276"/>
      <c r="N285" s="276" t="e">
        <f t="shared" si="137"/>
        <v>#N/A</v>
      </c>
      <c r="O285" s="276" t="e">
        <f t="shared" si="137"/>
        <v>#N/A</v>
      </c>
    </row>
    <row r="286" spans="1:15" x14ac:dyDescent="0.3">
      <c r="B286" s="272" t="s">
        <v>1139</v>
      </c>
      <c r="C286" s="272" t="s">
        <v>38</v>
      </c>
      <c r="D286" s="272">
        <v>13</v>
      </c>
      <c r="E286" s="276" t="e">
        <f t="shared" si="133"/>
        <v>#N/A</v>
      </c>
      <c r="F286" s="276" t="e">
        <f t="shared" si="138"/>
        <v>#N/A</v>
      </c>
      <c r="H286" s="276" t="e">
        <f t="shared" si="135"/>
        <v>#N/A</v>
      </c>
      <c r="I286" s="276" t="e">
        <f t="shared" si="135"/>
        <v>#N/A</v>
      </c>
      <c r="K286" s="276" t="e">
        <f t="shared" si="136"/>
        <v>#N/A</v>
      </c>
      <c r="L286" s="276" t="e">
        <f t="shared" si="136"/>
        <v>#N/A</v>
      </c>
      <c r="M286" s="276"/>
      <c r="N286" s="276" t="e">
        <f t="shared" si="137"/>
        <v>#N/A</v>
      </c>
      <c r="O286" s="276" t="e">
        <f t="shared" si="137"/>
        <v>#N/A</v>
      </c>
    </row>
    <row r="287" spans="1:15" x14ac:dyDescent="0.3">
      <c r="B287" s="272" t="s">
        <v>1139</v>
      </c>
      <c r="C287" s="272" t="s">
        <v>38</v>
      </c>
      <c r="D287" s="272">
        <v>14</v>
      </c>
      <c r="E287" s="276" t="e">
        <f t="shared" si="133"/>
        <v>#N/A</v>
      </c>
      <c r="F287" s="276" t="e">
        <f t="shared" si="138"/>
        <v>#N/A</v>
      </c>
      <c r="H287" s="276" t="e">
        <f t="shared" si="135"/>
        <v>#N/A</v>
      </c>
      <c r="I287" s="276" t="e">
        <f t="shared" si="135"/>
        <v>#N/A</v>
      </c>
      <c r="K287" s="276" t="e">
        <f t="shared" si="136"/>
        <v>#N/A</v>
      </c>
      <c r="L287" s="276" t="e">
        <f t="shared" si="136"/>
        <v>#N/A</v>
      </c>
      <c r="M287" s="276"/>
      <c r="N287" s="276" t="e">
        <f t="shared" si="137"/>
        <v>#N/A</v>
      </c>
      <c r="O287" s="276" t="e">
        <f t="shared" si="137"/>
        <v>#N/A</v>
      </c>
    </row>
    <row r="288" spans="1:15" x14ac:dyDescent="0.3">
      <c r="B288" s="272" t="s">
        <v>1139</v>
      </c>
      <c r="C288" s="272" t="s">
        <v>38</v>
      </c>
      <c r="D288" s="272">
        <v>15</v>
      </c>
      <c r="E288" s="276" t="e">
        <f t="shared" si="133"/>
        <v>#N/A</v>
      </c>
      <c r="F288" s="276" t="e">
        <f t="shared" si="138"/>
        <v>#N/A</v>
      </c>
      <c r="H288" s="276" t="e">
        <f t="shared" si="135"/>
        <v>#N/A</v>
      </c>
      <c r="I288" s="276" t="e">
        <f t="shared" si="135"/>
        <v>#N/A</v>
      </c>
      <c r="K288" s="276" t="e">
        <f t="shared" si="136"/>
        <v>#N/A</v>
      </c>
      <c r="L288" s="276" t="e">
        <f t="shared" si="136"/>
        <v>#N/A</v>
      </c>
      <c r="M288" s="276"/>
      <c r="N288" s="276" t="e">
        <f t="shared" si="137"/>
        <v>#N/A</v>
      </c>
      <c r="O288" s="276" t="e">
        <f t="shared" si="137"/>
        <v>#N/A</v>
      </c>
    </row>
    <row r="289" spans="1:15" x14ac:dyDescent="0.3">
      <c r="B289" s="272" t="s">
        <v>1139</v>
      </c>
      <c r="C289" s="272" t="s">
        <v>38</v>
      </c>
      <c r="D289" s="272">
        <v>16</v>
      </c>
      <c r="E289" s="276" t="e">
        <f t="shared" si="133"/>
        <v>#N/A</v>
      </c>
      <c r="F289" s="276" t="e">
        <f t="shared" si="138"/>
        <v>#N/A</v>
      </c>
      <c r="H289" s="276" t="e">
        <f t="shared" si="135"/>
        <v>#N/A</v>
      </c>
      <c r="I289" s="276" t="e">
        <f t="shared" si="135"/>
        <v>#N/A</v>
      </c>
      <c r="K289" s="276" t="e">
        <f t="shared" si="136"/>
        <v>#N/A</v>
      </c>
      <c r="L289" s="276" t="e">
        <f t="shared" si="136"/>
        <v>#N/A</v>
      </c>
      <c r="M289" s="276"/>
      <c r="N289" s="276" t="e">
        <f t="shared" si="137"/>
        <v>#N/A</v>
      </c>
      <c r="O289" s="276" t="e">
        <f t="shared" si="137"/>
        <v>#N/A</v>
      </c>
    </row>
    <row r="290" spans="1:15" x14ac:dyDescent="0.3">
      <c r="B290" s="272" t="s">
        <v>1139</v>
      </c>
      <c r="C290" s="272" t="s">
        <v>38</v>
      </c>
      <c r="D290" s="272">
        <v>17</v>
      </c>
      <c r="E290" s="276" t="e">
        <f t="shared" si="133"/>
        <v>#N/A</v>
      </c>
      <c r="F290" s="276" t="e">
        <f t="shared" si="138"/>
        <v>#N/A</v>
      </c>
      <c r="H290" s="276" t="e">
        <f t="shared" ref="H290:I293" si="139">(H$232*H270+H$233*H250)*H403</f>
        <v>#N/A</v>
      </c>
      <c r="I290" s="276" t="e">
        <f t="shared" si="139"/>
        <v>#N/A</v>
      </c>
      <c r="K290" s="276" t="e">
        <f t="shared" ref="K290:L293" si="140">(K$232*K270+K$233*K250)*K403</f>
        <v>#N/A</v>
      </c>
      <c r="L290" s="276" t="e">
        <f t="shared" si="140"/>
        <v>#N/A</v>
      </c>
      <c r="M290" s="276"/>
      <c r="N290" s="276" t="e">
        <f t="shared" ref="N290:O293" si="141">(N$232*N270+N$233*N250)*N403</f>
        <v>#N/A</v>
      </c>
      <c r="O290" s="276" t="e">
        <f t="shared" si="141"/>
        <v>#N/A</v>
      </c>
    </row>
    <row r="291" spans="1:15" x14ac:dyDescent="0.3">
      <c r="B291" s="272" t="s">
        <v>1139</v>
      </c>
      <c r="C291" s="272" t="s">
        <v>38</v>
      </c>
      <c r="D291" s="272">
        <v>18</v>
      </c>
      <c r="E291" s="276" t="e">
        <f t="shared" si="133"/>
        <v>#N/A</v>
      </c>
      <c r="F291" s="276" t="e">
        <f t="shared" si="138"/>
        <v>#N/A</v>
      </c>
      <c r="H291" s="276" t="e">
        <f t="shared" si="139"/>
        <v>#N/A</v>
      </c>
      <c r="I291" s="276" t="e">
        <f t="shared" si="139"/>
        <v>#N/A</v>
      </c>
      <c r="K291" s="276" t="e">
        <f t="shared" si="140"/>
        <v>#N/A</v>
      </c>
      <c r="L291" s="276" t="e">
        <f t="shared" si="140"/>
        <v>#N/A</v>
      </c>
      <c r="M291" s="276"/>
      <c r="N291" s="276" t="e">
        <f t="shared" si="141"/>
        <v>#N/A</v>
      </c>
      <c r="O291" s="276" t="e">
        <f t="shared" si="141"/>
        <v>#N/A</v>
      </c>
    </row>
    <row r="292" spans="1:15" x14ac:dyDescent="0.3">
      <c r="B292" s="272" t="s">
        <v>1139</v>
      </c>
      <c r="C292" s="272" t="s">
        <v>38</v>
      </c>
      <c r="D292" s="272">
        <v>19</v>
      </c>
      <c r="E292" s="276" t="e">
        <f t="shared" si="133"/>
        <v>#N/A</v>
      </c>
      <c r="F292" s="276" t="e">
        <f t="shared" si="138"/>
        <v>#N/A</v>
      </c>
      <c r="H292" s="276" t="e">
        <f t="shared" si="139"/>
        <v>#N/A</v>
      </c>
      <c r="I292" s="276" t="e">
        <f t="shared" si="139"/>
        <v>#N/A</v>
      </c>
      <c r="K292" s="276" t="e">
        <f t="shared" si="140"/>
        <v>#N/A</v>
      </c>
      <c r="L292" s="276" t="e">
        <f t="shared" si="140"/>
        <v>#N/A</v>
      </c>
      <c r="M292" s="276"/>
      <c r="N292" s="276" t="e">
        <f t="shared" si="141"/>
        <v>#N/A</v>
      </c>
      <c r="O292" s="276" t="e">
        <f t="shared" si="141"/>
        <v>#N/A</v>
      </c>
    </row>
    <row r="293" spans="1:15" x14ac:dyDescent="0.3">
      <c r="B293" s="272" t="s">
        <v>1139</v>
      </c>
      <c r="C293" s="272" t="s">
        <v>38</v>
      </c>
      <c r="D293" s="272">
        <v>20</v>
      </c>
      <c r="E293" s="276" t="e">
        <f t="shared" si="133"/>
        <v>#N/A</v>
      </c>
      <c r="F293" s="276" t="e">
        <f t="shared" si="138"/>
        <v>#N/A</v>
      </c>
      <c r="H293" s="276" t="e">
        <f t="shared" si="139"/>
        <v>#N/A</v>
      </c>
      <c r="I293" s="276" t="e">
        <f t="shared" si="139"/>
        <v>#N/A</v>
      </c>
      <c r="K293" s="276" t="e">
        <f t="shared" si="140"/>
        <v>#N/A</v>
      </c>
      <c r="L293" s="276" t="e">
        <f t="shared" si="140"/>
        <v>#N/A</v>
      </c>
      <c r="M293" s="276"/>
      <c r="N293" s="276" t="e">
        <f t="shared" si="141"/>
        <v>#N/A</v>
      </c>
      <c r="O293" s="276" t="e">
        <f t="shared" si="141"/>
        <v>#N/A</v>
      </c>
    </row>
    <row r="294" spans="1:15" s="275" customFormat="1" x14ac:dyDescent="0.3">
      <c r="A294" s="275" t="s">
        <v>1090</v>
      </c>
    </row>
    <row r="295" spans="1:15" x14ac:dyDescent="0.3">
      <c r="B295" s="272" t="s">
        <v>1008</v>
      </c>
      <c r="C295" s="272" t="s">
        <v>1165</v>
      </c>
      <c r="D295" s="272" t="s">
        <v>1083</v>
      </c>
      <c r="E295" s="299" t="e">
        <f t="shared" ref="E295:O295" si="142">INDEX(default_kstart,E$79,E$80)</f>
        <v>#N/A</v>
      </c>
      <c r="F295" s="299" t="e">
        <f t="shared" si="142"/>
        <v>#N/A</v>
      </c>
      <c r="H295" s="299" t="e">
        <f t="shared" si="142"/>
        <v>#N/A</v>
      </c>
      <c r="I295" s="299" t="e">
        <f t="shared" si="142"/>
        <v>#N/A</v>
      </c>
      <c r="K295" s="299" t="e">
        <f t="shared" si="142"/>
        <v>#N/A</v>
      </c>
      <c r="L295" s="299" t="e">
        <f t="shared" si="142"/>
        <v>#N/A</v>
      </c>
      <c r="M295" s="299"/>
      <c r="N295" s="299" t="e">
        <f t="shared" si="142"/>
        <v>#N/A</v>
      </c>
      <c r="O295" s="299" t="e">
        <f t="shared" si="142"/>
        <v>#N/A</v>
      </c>
    </row>
    <row r="296" spans="1:15" x14ac:dyDescent="0.3">
      <c r="B296" s="272" t="s">
        <v>1008</v>
      </c>
      <c r="C296" s="272" t="s">
        <v>1165</v>
      </c>
      <c r="D296" s="272" t="s">
        <v>1082</v>
      </c>
      <c r="E296" s="272" t="e">
        <f>INDEX(default_kmax,E$79,E$80)</f>
        <v>#N/A</v>
      </c>
      <c r="F296" s="272" t="e">
        <f t="shared" ref="F296" si="143">INDEX(default_kmax,F$79,F$80)</f>
        <v>#N/A</v>
      </c>
      <c r="H296" s="272" t="e">
        <f>INDEX(default_kmax,H$79,H$80)</f>
        <v>#N/A</v>
      </c>
      <c r="I296" s="272" t="e">
        <f t="shared" ref="I296" si="144">INDEX(default_kmax,I$79,I$80)</f>
        <v>#N/A</v>
      </c>
      <c r="K296" s="272" t="e">
        <f>INDEX(default_kmax,K$79,K$80)</f>
        <v>#N/A</v>
      </c>
      <c r="L296" s="272" t="e">
        <f t="shared" ref="L296" si="145">INDEX(default_kmax,L$79,L$80)</f>
        <v>#N/A</v>
      </c>
      <c r="N296" s="272" t="e">
        <f>INDEX(default_kmax,N$79,N$80)</f>
        <v>#N/A</v>
      </c>
      <c r="O296" s="272" t="e">
        <f t="shared" ref="O296" si="146">INDEX(default_kmax,O$79,O$80)</f>
        <v>#N/A</v>
      </c>
    </row>
    <row r="297" spans="1:15" x14ac:dyDescent="0.3">
      <c r="B297" s="272" t="s">
        <v>1008</v>
      </c>
      <c r="C297" s="272" t="s">
        <v>1165</v>
      </c>
      <c r="D297" s="272" t="s">
        <v>223</v>
      </c>
      <c r="E297" s="272" t="e">
        <f>(E296/E295-1)/E298</f>
        <v>#N/A</v>
      </c>
      <c r="F297" s="272" t="e">
        <f t="shared" ref="F297" si="147">(F296/F295-1)/F298</f>
        <v>#N/A</v>
      </c>
      <c r="H297" s="272" t="e">
        <f t="shared" ref="H297:I297" si="148">(H296/H295-1)/H298</f>
        <v>#N/A</v>
      </c>
      <c r="I297" s="272" t="e">
        <f t="shared" si="148"/>
        <v>#N/A</v>
      </c>
      <c r="K297" s="272" t="e">
        <f t="shared" ref="K297:L297" si="149">(K296/K295-1)/K298</f>
        <v>#N/A</v>
      </c>
      <c r="L297" s="272" t="e">
        <f t="shared" si="149"/>
        <v>#N/A</v>
      </c>
      <c r="N297" s="272" t="e">
        <f t="shared" ref="N297:O297" si="150">(N296/N295-1)/N298</f>
        <v>#N/A</v>
      </c>
      <c r="O297" s="272" t="e">
        <f t="shared" si="150"/>
        <v>#N/A</v>
      </c>
    </row>
    <row r="298" spans="1:15" x14ac:dyDescent="0.3">
      <c r="B298" s="272" t="s">
        <v>1008</v>
      </c>
      <c r="C298" s="272" t="s">
        <v>1165</v>
      </c>
      <c r="D298" s="272" t="s">
        <v>1023</v>
      </c>
      <c r="E298" s="272">
        <v>0.5</v>
      </c>
      <c r="F298" s="272">
        <v>0.5</v>
      </c>
      <c r="H298" s="272">
        <v>0.5</v>
      </c>
      <c r="I298" s="272">
        <v>0.5</v>
      </c>
      <c r="K298" s="272">
        <v>0.5</v>
      </c>
      <c r="L298" s="272">
        <v>0.5</v>
      </c>
      <c r="N298" s="272">
        <v>0.5</v>
      </c>
      <c r="O298" s="272">
        <v>0.5</v>
      </c>
    </row>
    <row r="299" spans="1:15" x14ac:dyDescent="0.3">
      <c r="A299" s="296"/>
      <c r="B299" s="296" t="s">
        <v>1008</v>
      </c>
      <c r="C299" s="296" t="s">
        <v>1012</v>
      </c>
      <c r="D299" s="296">
        <v>1</v>
      </c>
      <c r="E299" s="309" t="e">
        <f t="shared" ref="E299:F318" si="151">E$296/(1+E$297*E$298^E367)*E$33/100*E387</f>
        <v>#N/A</v>
      </c>
      <c r="F299" s="309" t="e">
        <f t="shared" si="151"/>
        <v>#N/A</v>
      </c>
      <c r="H299" s="309" t="e">
        <f t="shared" ref="H299:I318" si="152">H$296/(1+H$297*H$298^H367)*H$33/100*H387</f>
        <v>#N/A</v>
      </c>
      <c r="I299" s="309" t="e">
        <f t="shared" si="152"/>
        <v>#N/A</v>
      </c>
      <c r="K299" s="309" t="e">
        <f t="shared" ref="K299:L318" si="153">K$296/(1+K$297*K$298^K367)*K$33/100*K387</f>
        <v>#N/A</v>
      </c>
      <c r="L299" s="309" t="e">
        <f t="shared" si="153"/>
        <v>#N/A</v>
      </c>
      <c r="M299" s="309"/>
      <c r="N299" s="309" t="e">
        <f t="shared" ref="N299:O318" si="154">N$296/(1+N$297*N$298^N367)*N$33/100*N387</f>
        <v>#N/A</v>
      </c>
      <c r="O299" s="309" t="e">
        <f t="shared" si="154"/>
        <v>#N/A</v>
      </c>
    </row>
    <row r="300" spans="1:15" x14ac:dyDescent="0.3">
      <c r="B300" s="272" t="s">
        <v>1008</v>
      </c>
      <c r="C300" s="272" t="s">
        <v>1012</v>
      </c>
      <c r="D300" s="272">
        <v>2</v>
      </c>
      <c r="E300" s="276" t="e">
        <f t="shared" si="151"/>
        <v>#N/A</v>
      </c>
      <c r="F300" s="276" t="e">
        <f t="shared" si="151"/>
        <v>#N/A</v>
      </c>
      <c r="H300" s="276" t="e">
        <f t="shared" si="152"/>
        <v>#N/A</v>
      </c>
      <c r="I300" s="276" t="e">
        <f t="shared" si="152"/>
        <v>#N/A</v>
      </c>
      <c r="K300" s="276" t="e">
        <f t="shared" si="153"/>
        <v>#N/A</v>
      </c>
      <c r="L300" s="276" t="e">
        <f t="shared" si="153"/>
        <v>#N/A</v>
      </c>
      <c r="M300" s="276"/>
      <c r="N300" s="276" t="e">
        <f t="shared" si="154"/>
        <v>#N/A</v>
      </c>
      <c r="O300" s="276" t="e">
        <f t="shared" si="154"/>
        <v>#N/A</v>
      </c>
    </row>
    <row r="301" spans="1:15" x14ac:dyDescent="0.3">
      <c r="B301" s="272" t="s">
        <v>1008</v>
      </c>
      <c r="C301" s="272" t="s">
        <v>1012</v>
      </c>
      <c r="D301" s="272">
        <v>3</v>
      </c>
      <c r="E301" s="276" t="e">
        <f t="shared" si="151"/>
        <v>#N/A</v>
      </c>
      <c r="F301" s="276" t="e">
        <f t="shared" si="151"/>
        <v>#N/A</v>
      </c>
      <c r="H301" s="276" t="e">
        <f t="shared" si="152"/>
        <v>#N/A</v>
      </c>
      <c r="I301" s="276" t="e">
        <f t="shared" si="152"/>
        <v>#N/A</v>
      </c>
      <c r="K301" s="276" t="e">
        <f t="shared" si="153"/>
        <v>#N/A</v>
      </c>
      <c r="L301" s="276" t="e">
        <f t="shared" si="153"/>
        <v>#N/A</v>
      </c>
      <c r="M301" s="276"/>
      <c r="N301" s="276" t="e">
        <f t="shared" si="154"/>
        <v>#N/A</v>
      </c>
      <c r="O301" s="276" t="e">
        <f t="shared" si="154"/>
        <v>#N/A</v>
      </c>
    </row>
    <row r="302" spans="1:15" x14ac:dyDescent="0.3">
      <c r="B302" s="272" t="s">
        <v>1008</v>
      </c>
      <c r="C302" s="272" t="s">
        <v>1012</v>
      </c>
      <c r="D302" s="272">
        <v>4</v>
      </c>
      <c r="E302" s="276" t="e">
        <f t="shared" si="151"/>
        <v>#N/A</v>
      </c>
      <c r="F302" s="276" t="e">
        <f t="shared" si="151"/>
        <v>#N/A</v>
      </c>
      <c r="H302" s="276" t="e">
        <f t="shared" si="152"/>
        <v>#N/A</v>
      </c>
      <c r="I302" s="276" t="e">
        <f t="shared" si="152"/>
        <v>#N/A</v>
      </c>
      <c r="K302" s="276" t="e">
        <f t="shared" si="153"/>
        <v>#N/A</v>
      </c>
      <c r="L302" s="276" t="e">
        <f t="shared" si="153"/>
        <v>#N/A</v>
      </c>
      <c r="M302" s="276"/>
      <c r="N302" s="276" t="e">
        <f t="shared" si="154"/>
        <v>#N/A</v>
      </c>
      <c r="O302" s="276" t="e">
        <f t="shared" si="154"/>
        <v>#N/A</v>
      </c>
    </row>
    <row r="303" spans="1:15" x14ac:dyDescent="0.3">
      <c r="B303" s="272" t="s">
        <v>1008</v>
      </c>
      <c r="C303" s="272" t="s">
        <v>1012</v>
      </c>
      <c r="D303" s="272">
        <v>5</v>
      </c>
      <c r="E303" s="276" t="e">
        <f t="shared" si="151"/>
        <v>#N/A</v>
      </c>
      <c r="F303" s="276" t="e">
        <f t="shared" si="151"/>
        <v>#N/A</v>
      </c>
      <c r="H303" s="276" t="e">
        <f t="shared" si="152"/>
        <v>#N/A</v>
      </c>
      <c r="I303" s="276" t="e">
        <f t="shared" si="152"/>
        <v>#N/A</v>
      </c>
      <c r="K303" s="276" t="e">
        <f t="shared" si="153"/>
        <v>#N/A</v>
      </c>
      <c r="L303" s="276" t="e">
        <f t="shared" si="153"/>
        <v>#N/A</v>
      </c>
      <c r="M303" s="276"/>
      <c r="N303" s="276" t="e">
        <f t="shared" si="154"/>
        <v>#N/A</v>
      </c>
      <c r="O303" s="276" t="e">
        <f t="shared" si="154"/>
        <v>#N/A</v>
      </c>
    </row>
    <row r="304" spans="1:15" x14ac:dyDescent="0.3">
      <c r="B304" s="272" t="s">
        <v>1008</v>
      </c>
      <c r="C304" s="272" t="s">
        <v>1012</v>
      </c>
      <c r="D304" s="272">
        <v>6</v>
      </c>
      <c r="E304" s="276" t="e">
        <f t="shared" si="151"/>
        <v>#N/A</v>
      </c>
      <c r="F304" s="276" t="e">
        <f t="shared" si="151"/>
        <v>#N/A</v>
      </c>
      <c r="H304" s="276" t="e">
        <f t="shared" si="152"/>
        <v>#N/A</v>
      </c>
      <c r="I304" s="276" t="e">
        <f t="shared" si="152"/>
        <v>#N/A</v>
      </c>
      <c r="K304" s="276" t="e">
        <f t="shared" si="153"/>
        <v>#N/A</v>
      </c>
      <c r="L304" s="276" t="e">
        <f t="shared" si="153"/>
        <v>#N/A</v>
      </c>
      <c r="M304" s="276"/>
      <c r="N304" s="276" t="e">
        <f t="shared" si="154"/>
        <v>#N/A</v>
      </c>
      <c r="O304" s="276" t="e">
        <f t="shared" si="154"/>
        <v>#N/A</v>
      </c>
    </row>
    <row r="305" spans="1:15" x14ac:dyDescent="0.3">
      <c r="B305" s="272" t="s">
        <v>1008</v>
      </c>
      <c r="C305" s="272" t="s">
        <v>1012</v>
      </c>
      <c r="D305" s="272">
        <v>7</v>
      </c>
      <c r="E305" s="276" t="e">
        <f t="shared" si="151"/>
        <v>#N/A</v>
      </c>
      <c r="F305" s="276" t="e">
        <f t="shared" si="151"/>
        <v>#N/A</v>
      </c>
      <c r="H305" s="276" t="e">
        <f t="shared" si="152"/>
        <v>#N/A</v>
      </c>
      <c r="I305" s="276" t="e">
        <f t="shared" si="152"/>
        <v>#N/A</v>
      </c>
      <c r="K305" s="276" t="e">
        <f t="shared" si="153"/>
        <v>#N/A</v>
      </c>
      <c r="L305" s="276" t="e">
        <f t="shared" si="153"/>
        <v>#N/A</v>
      </c>
      <c r="M305" s="276"/>
      <c r="N305" s="276" t="e">
        <f t="shared" si="154"/>
        <v>#N/A</v>
      </c>
      <c r="O305" s="276" t="e">
        <f t="shared" si="154"/>
        <v>#N/A</v>
      </c>
    </row>
    <row r="306" spans="1:15" x14ac:dyDescent="0.3">
      <c r="B306" s="272" t="s">
        <v>1008</v>
      </c>
      <c r="C306" s="272" t="s">
        <v>1012</v>
      </c>
      <c r="D306" s="272">
        <v>8</v>
      </c>
      <c r="E306" s="276" t="e">
        <f t="shared" si="151"/>
        <v>#N/A</v>
      </c>
      <c r="F306" s="276" t="e">
        <f t="shared" si="151"/>
        <v>#N/A</v>
      </c>
      <c r="H306" s="276" t="e">
        <f t="shared" si="152"/>
        <v>#N/A</v>
      </c>
      <c r="I306" s="276" t="e">
        <f t="shared" si="152"/>
        <v>#N/A</v>
      </c>
      <c r="K306" s="276" t="e">
        <f t="shared" si="153"/>
        <v>#N/A</v>
      </c>
      <c r="L306" s="276" t="e">
        <f t="shared" si="153"/>
        <v>#N/A</v>
      </c>
      <c r="M306" s="276"/>
      <c r="N306" s="276" t="e">
        <f t="shared" si="154"/>
        <v>#N/A</v>
      </c>
      <c r="O306" s="276" t="e">
        <f t="shared" si="154"/>
        <v>#N/A</v>
      </c>
    </row>
    <row r="307" spans="1:15" x14ac:dyDescent="0.3">
      <c r="B307" s="272" t="s">
        <v>1008</v>
      </c>
      <c r="C307" s="272" t="s">
        <v>1012</v>
      </c>
      <c r="D307" s="272">
        <v>9</v>
      </c>
      <c r="E307" s="276" t="e">
        <f t="shared" si="151"/>
        <v>#N/A</v>
      </c>
      <c r="F307" s="276" t="e">
        <f t="shared" si="151"/>
        <v>#N/A</v>
      </c>
      <c r="H307" s="276" t="e">
        <f t="shared" si="152"/>
        <v>#N/A</v>
      </c>
      <c r="I307" s="276" t="e">
        <f t="shared" si="152"/>
        <v>#N/A</v>
      </c>
      <c r="K307" s="276" t="e">
        <f t="shared" si="153"/>
        <v>#N/A</v>
      </c>
      <c r="L307" s="276" t="e">
        <f t="shared" si="153"/>
        <v>#N/A</v>
      </c>
      <c r="M307" s="276"/>
      <c r="N307" s="276" t="e">
        <f t="shared" si="154"/>
        <v>#N/A</v>
      </c>
      <c r="O307" s="276" t="e">
        <f t="shared" si="154"/>
        <v>#N/A</v>
      </c>
    </row>
    <row r="308" spans="1:15" x14ac:dyDescent="0.3">
      <c r="B308" s="272" t="s">
        <v>1008</v>
      </c>
      <c r="C308" s="272" t="s">
        <v>1012</v>
      </c>
      <c r="D308" s="272">
        <v>10</v>
      </c>
      <c r="E308" s="276" t="e">
        <f t="shared" si="151"/>
        <v>#N/A</v>
      </c>
      <c r="F308" s="276" t="e">
        <f t="shared" si="151"/>
        <v>#N/A</v>
      </c>
      <c r="H308" s="276" t="e">
        <f t="shared" si="152"/>
        <v>#N/A</v>
      </c>
      <c r="I308" s="276" t="e">
        <f t="shared" si="152"/>
        <v>#N/A</v>
      </c>
      <c r="K308" s="276" t="e">
        <f t="shared" si="153"/>
        <v>#N/A</v>
      </c>
      <c r="L308" s="276" t="e">
        <f t="shared" si="153"/>
        <v>#N/A</v>
      </c>
      <c r="M308" s="276"/>
      <c r="N308" s="276" t="e">
        <f t="shared" si="154"/>
        <v>#N/A</v>
      </c>
      <c r="O308" s="276" t="e">
        <f t="shared" si="154"/>
        <v>#N/A</v>
      </c>
    </row>
    <row r="309" spans="1:15" x14ac:dyDescent="0.3">
      <c r="B309" s="272" t="s">
        <v>1008</v>
      </c>
      <c r="C309" s="272" t="s">
        <v>1012</v>
      </c>
      <c r="D309" s="272">
        <v>11</v>
      </c>
      <c r="E309" s="276" t="e">
        <f t="shared" si="151"/>
        <v>#N/A</v>
      </c>
      <c r="F309" s="276" t="e">
        <f t="shared" si="151"/>
        <v>#N/A</v>
      </c>
      <c r="H309" s="276" t="e">
        <f t="shared" si="152"/>
        <v>#N/A</v>
      </c>
      <c r="I309" s="276" t="e">
        <f t="shared" si="152"/>
        <v>#N/A</v>
      </c>
      <c r="K309" s="276" t="e">
        <f t="shared" si="153"/>
        <v>#N/A</v>
      </c>
      <c r="L309" s="276" t="e">
        <f t="shared" si="153"/>
        <v>#N/A</v>
      </c>
      <c r="M309" s="276"/>
      <c r="N309" s="276" t="e">
        <f t="shared" si="154"/>
        <v>#N/A</v>
      </c>
      <c r="O309" s="276" t="e">
        <f t="shared" si="154"/>
        <v>#N/A</v>
      </c>
    </row>
    <row r="310" spans="1:15" x14ac:dyDescent="0.3">
      <c r="B310" s="272" t="s">
        <v>1008</v>
      </c>
      <c r="C310" s="272" t="s">
        <v>1012</v>
      </c>
      <c r="D310" s="272">
        <v>12</v>
      </c>
      <c r="E310" s="276" t="e">
        <f t="shared" si="151"/>
        <v>#N/A</v>
      </c>
      <c r="F310" s="276" t="e">
        <f t="shared" si="151"/>
        <v>#N/A</v>
      </c>
      <c r="H310" s="276" t="e">
        <f t="shared" si="152"/>
        <v>#N/A</v>
      </c>
      <c r="I310" s="276" t="e">
        <f t="shared" si="152"/>
        <v>#N/A</v>
      </c>
      <c r="K310" s="276" t="e">
        <f t="shared" si="153"/>
        <v>#N/A</v>
      </c>
      <c r="L310" s="276" t="e">
        <f t="shared" si="153"/>
        <v>#N/A</v>
      </c>
      <c r="M310" s="276"/>
      <c r="N310" s="276" t="e">
        <f t="shared" si="154"/>
        <v>#N/A</v>
      </c>
      <c r="O310" s="276" t="e">
        <f t="shared" si="154"/>
        <v>#N/A</v>
      </c>
    </row>
    <row r="311" spans="1:15" x14ac:dyDescent="0.3">
      <c r="B311" s="272" t="s">
        <v>1008</v>
      </c>
      <c r="C311" s="272" t="s">
        <v>1012</v>
      </c>
      <c r="D311" s="272">
        <v>13</v>
      </c>
      <c r="E311" s="276" t="e">
        <f t="shared" si="151"/>
        <v>#N/A</v>
      </c>
      <c r="F311" s="276" t="e">
        <f t="shared" si="151"/>
        <v>#N/A</v>
      </c>
      <c r="H311" s="276" t="e">
        <f t="shared" si="152"/>
        <v>#N/A</v>
      </c>
      <c r="I311" s="276" t="e">
        <f t="shared" si="152"/>
        <v>#N/A</v>
      </c>
      <c r="K311" s="276" t="e">
        <f t="shared" si="153"/>
        <v>#N/A</v>
      </c>
      <c r="L311" s="276" t="e">
        <f t="shared" si="153"/>
        <v>#N/A</v>
      </c>
      <c r="M311" s="276"/>
      <c r="N311" s="276" t="e">
        <f t="shared" si="154"/>
        <v>#N/A</v>
      </c>
      <c r="O311" s="276" t="e">
        <f t="shared" si="154"/>
        <v>#N/A</v>
      </c>
    </row>
    <row r="312" spans="1:15" x14ac:dyDescent="0.3">
      <c r="B312" s="272" t="s">
        <v>1008</v>
      </c>
      <c r="C312" s="272" t="s">
        <v>1012</v>
      </c>
      <c r="D312" s="272">
        <v>14</v>
      </c>
      <c r="E312" s="276" t="e">
        <f t="shared" si="151"/>
        <v>#N/A</v>
      </c>
      <c r="F312" s="276" t="e">
        <f t="shared" si="151"/>
        <v>#N/A</v>
      </c>
      <c r="H312" s="276" t="e">
        <f t="shared" si="152"/>
        <v>#N/A</v>
      </c>
      <c r="I312" s="276" t="e">
        <f t="shared" si="152"/>
        <v>#N/A</v>
      </c>
      <c r="K312" s="276" t="e">
        <f t="shared" si="153"/>
        <v>#N/A</v>
      </c>
      <c r="L312" s="276" t="e">
        <f t="shared" si="153"/>
        <v>#N/A</v>
      </c>
      <c r="M312" s="276"/>
      <c r="N312" s="276" t="e">
        <f t="shared" si="154"/>
        <v>#N/A</v>
      </c>
      <c r="O312" s="276" t="e">
        <f t="shared" si="154"/>
        <v>#N/A</v>
      </c>
    </row>
    <row r="313" spans="1:15" x14ac:dyDescent="0.3">
      <c r="B313" s="272" t="s">
        <v>1008</v>
      </c>
      <c r="C313" s="272" t="s">
        <v>1012</v>
      </c>
      <c r="D313" s="272">
        <v>15</v>
      </c>
      <c r="E313" s="276" t="e">
        <f t="shared" si="151"/>
        <v>#N/A</v>
      </c>
      <c r="F313" s="276" t="e">
        <f t="shared" si="151"/>
        <v>#N/A</v>
      </c>
      <c r="H313" s="276" t="e">
        <f t="shared" si="152"/>
        <v>#N/A</v>
      </c>
      <c r="I313" s="276" t="e">
        <f t="shared" si="152"/>
        <v>#N/A</v>
      </c>
      <c r="K313" s="276" t="e">
        <f t="shared" si="153"/>
        <v>#N/A</v>
      </c>
      <c r="L313" s="276" t="e">
        <f t="shared" si="153"/>
        <v>#N/A</v>
      </c>
      <c r="M313" s="276"/>
      <c r="N313" s="276" t="e">
        <f t="shared" si="154"/>
        <v>#N/A</v>
      </c>
      <c r="O313" s="276" t="e">
        <f t="shared" si="154"/>
        <v>#N/A</v>
      </c>
    </row>
    <row r="314" spans="1:15" x14ac:dyDescent="0.3">
      <c r="B314" s="272" t="s">
        <v>1008</v>
      </c>
      <c r="C314" s="272" t="s">
        <v>1012</v>
      </c>
      <c r="D314" s="272">
        <v>16</v>
      </c>
      <c r="E314" s="276" t="e">
        <f t="shared" si="151"/>
        <v>#N/A</v>
      </c>
      <c r="F314" s="276" t="e">
        <f t="shared" si="151"/>
        <v>#N/A</v>
      </c>
      <c r="H314" s="276" t="e">
        <f t="shared" si="152"/>
        <v>#N/A</v>
      </c>
      <c r="I314" s="276" t="e">
        <f t="shared" si="152"/>
        <v>#N/A</v>
      </c>
      <c r="K314" s="276" t="e">
        <f t="shared" si="153"/>
        <v>#N/A</v>
      </c>
      <c r="L314" s="276" t="e">
        <f t="shared" si="153"/>
        <v>#N/A</v>
      </c>
      <c r="M314" s="276"/>
      <c r="N314" s="276" t="e">
        <f t="shared" si="154"/>
        <v>#N/A</v>
      </c>
      <c r="O314" s="276" t="e">
        <f t="shared" si="154"/>
        <v>#N/A</v>
      </c>
    </row>
    <row r="315" spans="1:15" x14ac:dyDescent="0.3">
      <c r="B315" s="272" t="s">
        <v>1008</v>
      </c>
      <c r="C315" s="272" t="s">
        <v>1012</v>
      </c>
      <c r="D315" s="272">
        <v>17</v>
      </c>
      <c r="E315" s="276" t="e">
        <f t="shared" si="151"/>
        <v>#N/A</v>
      </c>
      <c r="F315" s="276" t="e">
        <f t="shared" si="151"/>
        <v>#N/A</v>
      </c>
      <c r="H315" s="276" t="e">
        <f t="shared" si="152"/>
        <v>#N/A</v>
      </c>
      <c r="I315" s="276" t="e">
        <f t="shared" si="152"/>
        <v>#N/A</v>
      </c>
      <c r="K315" s="276" t="e">
        <f t="shared" si="153"/>
        <v>#N/A</v>
      </c>
      <c r="L315" s="276" t="e">
        <f t="shared" si="153"/>
        <v>#N/A</v>
      </c>
      <c r="M315" s="276"/>
      <c r="N315" s="276" t="e">
        <f t="shared" si="154"/>
        <v>#N/A</v>
      </c>
      <c r="O315" s="276" t="e">
        <f t="shared" si="154"/>
        <v>#N/A</v>
      </c>
    </row>
    <row r="316" spans="1:15" x14ac:dyDescent="0.3">
      <c r="B316" s="272" t="s">
        <v>1008</v>
      </c>
      <c r="C316" s="272" t="s">
        <v>1012</v>
      </c>
      <c r="D316" s="272">
        <v>18</v>
      </c>
      <c r="E316" s="276" t="e">
        <f t="shared" si="151"/>
        <v>#N/A</v>
      </c>
      <c r="F316" s="276" t="e">
        <f t="shared" si="151"/>
        <v>#N/A</v>
      </c>
      <c r="H316" s="276" t="e">
        <f t="shared" si="152"/>
        <v>#N/A</v>
      </c>
      <c r="I316" s="276" t="e">
        <f t="shared" si="152"/>
        <v>#N/A</v>
      </c>
      <c r="K316" s="276" t="e">
        <f t="shared" si="153"/>
        <v>#N/A</v>
      </c>
      <c r="L316" s="276" t="e">
        <f t="shared" si="153"/>
        <v>#N/A</v>
      </c>
      <c r="M316" s="276"/>
      <c r="N316" s="276" t="e">
        <f t="shared" si="154"/>
        <v>#N/A</v>
      </c>
      <c r="O316" s="276" t="e">
        <f t="shared" si="154"/>
        <v>#N/A</v>
      </c>
    </row>
    <row r="317" spans="1:15" x14ac:dyDescent="0.3">
      <c r="B317" s="272" t="s">
        <v>1008</v>
      </c>
      <c r="C317" s="272" t="s">
        <v>1012</v>
      </c>
      <c r="D317" s="272">
        <v>19</v>
      </c>
      <c r="E317" s="276" t="e">
        <f t="shared" si="151"/>
        <v>#N/A</v>
      </c>
      <c r="F317" s="276" t="e">
        <f t="shared" si="151"/>
        <v>#N/A</v>
      </c>
      <c r="H317" s="276" t="e">
        <f t="shared" si="152"/>
        <v>#N/A</v>
      </c>
      <c r="I317" s="276" t="e">
        <f t="shared" si="152"/>
        <v>#N/A</v>
      </c>
      <c r="K317" s="276" t="e">
        <f t="shared" si="153"/>
        <v>#N/A</v>
      </c>
      <c r="L317" s="276" t="e">
        <f t="shared" si="153"/>
        <v>#N/A</v>
      </c>
      <c r="M317" s="276"/>
      <c r="N317" s="276" t="e">
        <f t="shared" si="154"/>
        <v>#N/A</v>
      </c>
      <c r="O317" s="276" t="e">
        <f t="shared" si="154"/>
        <v>#N/A</v>
      </c>
    </row>
    <row r="318" spans="1:15" x14ac:dyDescent="0.3">
      <c r="A318" s="274"/>
      <c r="B318" s="274" t="s">
        <v>1008</v>
      </c>
      <c r="C318" s="274" t="s">
        <v>1012</v>
      </c>
      <c r="D318" s="274">
        <v>20</v>
      </c>
      <c r="E318" s="327" t="e">
        <f t="shared" si="151"/>
        <v>#N/A</v>
      </c>
      <c r="F318" s="327" t="e">
        <f t="shared" si="151"/>
        <v>#N/A</v>
      </c>
      <c r="H318" s="327" t="e">
        <f t="shared" si="152"/>
        <v>#N/A</v>
      </c>
      <c r="I318" s="327" t="e">
        <f t="shared" si="152"/>
        <v>#N/A</v>
      </c>
      <c r="K318" s="327" t="e">
        <f t="shared" si="153"/>
        <v>#N/A</v>
      </c>
      <c r="L318" s="327" t="e">
        <f t="shared" si="153"/>
        <v>#N/A</v>
      </c>
      <c r="M318" s="327"/>
      <c r="N318" s="327" t="e">
        <f t="shared" si="154"/>
        <v>#N/A</v>
      </c>
      <c r="O318" s="327" t="e">
        <f t="shared" si="154"/>
        <v>#N/A</v>
      </c>
    </row>
    <row r="319" spans="1:15" x14ac:dyDescent="0.3">
      <c r="A319" s="296"/>
      <c r="B319" s="272" t="s">
        <v>1008</v>
      </c>
      <c r="C319" s="272" t="s">
        <v>1160</v>
      </c>
      <c r="D319" s="272" t="s">
        <v>1012</v>
      </c>
      <c r="E319" s="308" t="e">
        <f>SUM(E299:E318)/E32/E33*100</f>
        <v>#N/A</v>
      </c>
      <c r="F319" s="308" t="e">
        <f>SUM(F299:F318)/F32/F33*100</f>
        <v>#N/A</v>
      </c>
      <c r="H319" s="308" t="e">
        <f>SUM(H299:H318)/H32/H33*100</f>
        <v>#N/A</v>
      </c>
      <c r="I319" s="308" t="e">
        <f>SUM(I299:I318)/I32/I33*100</f>
        <v>#N/A</v>
      </c>
      <c r="K319" s="308" t="e">
        <f>SUM(K299:K318)/K32/K33*100</f>
        <v>#N/A</v>
      </c>
      <c r="L319" s="308" t="e">
        <f>SUM(L299:L318)/L32/L33*100</f>
        <v>#N/A</v>
      </c>
      <c r="M319" s="308"/>
      <c r="N319" s="308" t="e">
        <f>SUM(N299:N318)/N32/N33*100</f>
        <v>#N/A</v>
      </c>
      <c r="O319" s="308" t="e">
        <f>SUM(O299:O318)/O32/O33*100</f>
        <v>#N/A</v>
      </c>
    </row>
    <row r="320" spans="1:15" x14ac:dyDescent="0.3">
      <c r="B320" s="272" t="s">
        <v>1008</v>
      </c>
      <c r="C320" s="272" t="s">
        <v>1160</v>
      </c>
      <c r="D320" s="272" t="s">
        <v>1162</v>
      </c>
      <c r="E320" s="308" t="e">
        <f>E28</f>
        <v>#N/A</v>
      </c>
      <c r="F320" s="308" t="e">
        <f>F28</f>
        <v>#N/A</v>
      </c>
      <c r="H320" s="308" t="e">
        <f>H28</f>
        <v>#N/A</v>
      </c>
      <c r="I320" s="308" t="e">
        <f>I28</f>
        <v>#N/A</v>
      </c>
      <c r="K320" s="308" t="e">
        <f>K28</f>
        <v>#N/A</v>
      </c>
      <c r="L320" s="308" t="e">
        <f>L28</f>
        <v>#N/A</v>
      </c>
      <c r="M320" s="308"/>
      <c r="N320" s="308" t="e">
        <f>N28</f>
        <v>#N/A</v>
      </c>
      <c r="O320" s="308" t="e">
        <f>O28</f>
        <v>#N/A</v>
      </c>
    </row>
    <row r="321" spans="1:15" x14ac:dyDescent="0.3">
      <c r="B321" s="272" t="s">
        <v>1008</v>
      </c>
      <c r="C321" s="272" t="s">
        <v>38</v>
      </c>
      <c r="D321" s="272" t="s">
        <v>1162</v>
      </c>
      <c r="E321" s="276" t="e">
        <f>+E320/100*E32*E33</f>
        <v>#N/A</v>
      </c>
      <c r="F321" s="276" t="e">
        <f>+F320/100*F32*F33</f>
        <v>#N/A</v>
      </c>
      <c r="H321" s="276" t="e">
        <f>+H320/100*H32*H33</f>
        <v>#N/A</v>
      </c>
      <c r="I321" s="276" t="e">
        <f>+I320/100*I32*I33</f>
        <v>#N/A</v>
      </c>
      <c r="K321" s="276" t="e">
        <f>+K320/100*K32*K33</f>
        <v>#N/A</v>
      </c>
      <c r="L321" s="276" t="e">
        <f>+L320/100*L32*L33</f>
        <v>#N/A</v>
      </c>
      <c r="M321" s="276"/>
      <c r="N321" s="276" t="e">
        <f>+N320/100*N32*N33</f>
        <v>#N/A</v>
      </c>
      <c r="O321" s="276" t="e">
        <f>+O320/100*O32*O33</f>
        <v>#N/A</v>
      </c>
    </row>
    <row r="322" spans="1:15" s="275" customFormat="1" x14ac:dyDescent="0.3">
      <c r="A322" s="275" t="s">
        <v>1009</v>
      </c>
    </row>
    <row r="323" spans="1:15" x14ac:dyDescent="0.3">
      <c r="B323" s="272" t="s">
        <v>1009</v>
      </c>
      <c r="C323" s="272" t="s">
        <v>1160</v>
      </c>
      <c r="D323" s="272" t="s">
        <v>1012</v>
      </c>
      <c r="E323" s="308" t="e">
        <f>E87</f>
        <v>#N/A</v>
      </c>
      <c r="F323" s="308" t="e">
        <f>F87</f>
        <v>#N/A</v>
      </c>
      <c r="H323" s="308" t="e">
        <f>H87</f>
        <v>#N/A</v>
      </c>
      <c r="I323" s="308" t="e">
        <f>I87</f>
        <v>#N/A</v>
      </c>
      <c r="K323" s="308" t="e">
        <f>K87</f>
        <v>#N/A</v>
      </c>
      <c r="L323" s="308" t="e">
        <f>L87</f>
        <v>#N/A</v>
      </c>
      <c r="M323" s="308"/>
      <c r="N323" s="308" t="e">
        <f>N87</f>
        <v>#N/A</v>
      </c>
      <c r="O323" s="308" t="e">
        <f>O87</f>
        <v>#N/A</v>
      </c>
    </row>
    <row r="324" spans="1:15" x14ac:dyDescent="0.3">
      <c r="B324" s="272" t="s">
        <v>1009</v>
      </c>
      <c r="C324" s="272" t="s">
        <v>1160</v>
      </c>
      <c r="D324" s="272" t="s">
        <v>1162</v>
      </c>
      <c r="E324" s="308" t="e">
        <f>E29</f>
        <v>#N/A</v>
      </c>
      <c r="F324" s="308" t="e">
        <f>F29</f>
        <v>#N/A</v>
      </c>
      <c r="H324" s="308" t="e">
        <f>H29</f>
        <v>#N/A</v>
      </c>
      <c r="I324" s="308" t="e">
        <f>I29</f>
        <v>#N/A</v>
      </c>
      <c r="K324" s="308" t="e">
        <f>K29</f>
        <v>#N/A</v>
      </c>
      <c r="L324" s="308" t="e">
        <f>L29</f>
        <v>#N/A</v>
      </c>
      <c r="M324" s="308"/>
      <c r="N324" s="308" t="e">
        <f>N29</f>
        <v>#N/A</v>
      </c>
      <c r="O324" s="308" t="e">
        <f>O29</f>
        <v>#N/A</v>
      </c>
    </row>
    <row r="325" spans="1:15" x14ac:dyDescent="0.3">
      <c r="A325" s="274"/>
      <c r="B325" s="274" t="s">
        <v>1009</v>
      </c>
      <c r="C325" s="274" t="s">
        <v>38</v>
      </c>
      <c r="D325" s="274" t="s">
        <v>1162</v>
      </c>
      <c r="E325" s="327" t="e">
        <f t="shared" ref="E325:F325" si="155">SUM(E326:E345)</f>
        <v>#N/A</v>
      </c>
      <c r="F325" s="327" t="e">
        <f t="shared" si="155"/>
        <v>#N/A</v>
      </c>
      <c r="H325" s="327" t="e">
        <f t="shared" ref="H325:I325" si="156">SUM(H326:H345)</f>
        <v>#N/A</v>
      </c>
      <c r="I325" s="327" t="e">
        <f t="shared" si="156"/>
        <v>#N/A</v>
      </c>
      <c r="K325" s="327" t="e">
        <f t="shared" ref="K325:L325" si="157">SUM(K326:K345)</f>
        <v>#N/A</v>
      </c>
      <c r="L325" s="327" t="e">
        <f t="shared" si="157"/>
        <v>#N/A</v>
      </c>
      <c r="M325" s="327"/>
      <c r="N325" s="327" t="e">
        <f t="shared" ref="N325:O325" si="158">SUM(N326:N345)</f>
        <v>#N/A</v>
      </c>
      <c r="O325" s="327" t="e">
        <f t="shared" si="158"/>
        <v>#N/A</v>
      </c>
    </row>
    <row r="326" spans="1:15" x14ac:dyDescent="0.3">
      <c r="B326" s="272" t="s">
        <v>1009</v>
      </c>
      <c r="C326" s="272" t="s">
        <v>1162</v>
      </c>
      <c r="D326" s="272">
        <v>1</v>
      </c>
      <c r="E326" s="276" t="e">
        <f t="shared" ref="E326:F345" si="159">E$324*E$33*E387/100</f>
        <v>#N/A</v>
      </c>
      <c r="F326" s="276" t="e">
        <f t="shared" si="159"/>
        <v>#N/A</v>
      </c>
      <c r="H326" s="276" t="e">
        <f t="shared" ref="H326:I345" si="160">H$324*H$33*H387/100</f>
        <v>#N/A</v>
      </c>
      <c r="I326" s="276" t="e">
        <f t="shared" si="160"/>
        <v>#N/A</v>
      </c>
      <c r="K326" s="276" t="e">
        <f t="shared" ref="K326:L345" si="161">K$324*K$33*K387/100</f>
        <v>#N/A</v>
      </c>
      <c r="L326" s="276" t="e">
        <f t="shared" si="161"/>
        <v>#N/A</v>
      </c>
      <c r="M326" s="276"/>
      <c r="N326" s="276" t="e">
        <f t="shared" ref="N326:O345" si="162">N$324*N$33*N387/100</f>
        <v>#N/A</v>
      </c>
      <c r="O326" s="276" t="e">
        <f t="shared" si="162"/>
        <v>#N/A</v>
      </c>
    </row>
    <row r="327" spans="1:15" x14ac:dyDescent="0.3">
      <c r="B327" s="272" t="s">
        <v>1009</v>
      </c>
      <c r="C327" s="272" t="s">
        <v>1162</v>
      </c>
      <c r="D327" s="272">
        <v>2</v>
      </c>
      <c r="E327" s="276" t="e">
        <f t="shared" si="159"/>
        <v>#N/A</v>
      </c>
      <c r="F327" s="276" t="e">
        <f t="shared" si="159"/>
        <v>#N/A</v>
      </c>
      <c r="H327" s="276" t="e">
        <f t="shared" si="160"/>
        <v>#N/A</v>
      </c>
      <c r="I327" s="276" t="e">
        <f t="shared" si="160"/>
        <v>#N/A</v>
      </c>
      <c r="K327" s="276" t="e">
        <f t="shared" si="161"/>
        <v>#N/A</v>
      </c>
      <c r="L327" s="276" t="e">
        <f t="shared" si="161"/>
        <v>#N/A</v>
      </c>
      <c r="M327" s="276"/>
      <c r="N327" s="276" t="e">
        <f t="shared" si="162"/>
        <v>#N/A</v>
      </c>
      <c r="O327" s="276" t="e">
        <f t="shared" si="162"/>
        <v>#N/A</v>
      </c>
    </row>
    <row r="328" spans="1:15" x14ac:dyDescent="0.3">
      <c r="B328" s="272" t="s">
        <v>1009</v>
      </c>
      <c r="C328" s="272" t="s">
        <v>1162</v>
      </c>
      <c r="D328" s="272">
        <v>3</v>
      </c>
      <c r="E328" s="276" t="e">
        <f t="shared" si="159"/>
        <v>#N/A</v>
      </c>
      <c r="F328" s="276" t="e">
        <f t="shared" si="159"/>
        <v>#N/A</v>
      </c>
      <c r="H328" s="276" t="e">
        <f t="shared" si="160"/>
        <v>#N/A</v>
      </c>
      <c r="I328" s="276" t="e">
        <f t="shared" si="160"/>
        <v>#N/A</v>
      </c>
      <c r="K328" s="276" t="e">
        <f t="shared" si="161"/>
        <v>#N/A</v>
      </c>
      <c r="L328" s="276" t="e">
        <f t="shared" si="161"/>
        <v>#N/A</v>
      </c>
      <c r="M328" s="276"/>
      <c r="N328" s="276" t="e">
        <f t="shared" si="162"/>
        <v>#N/A</v>
      </c>
      <c r="O328" s="276" t="e">
        <f t="shared" si="162"/>
        <v>#N/A</v>
      </c>
    </row>
    <row r="329" spans="1:15" x14ac:dyDescent="0.3">
      <c r="B329" s="272" t="s">
        <v>1009</v>
      </c>
      <c r="C329" s="272" t="s">
        <v>1162</v>
      </c>
      <c r="D329" s="272">
        <v>4</v>
      </c>
      <c r="E329" s="276" t="e">
        <f t="shared" si="159"/>
        <v>#N/A</v>
      </c>
      <c r="F329" s="276" t="e">
        <f t="shared" si="159"/>
        <v>#N/A</v>
      </c>
      <c r="H329" s="276" t="e">
        <f t="shared" si="160"/>
        <v>#N/A</v>
      </c>
      <c r="I329" s="276" t="e">
        <f t="shared" si="160"/>
        <v>#N/A</v>
      </c>
      <c r="K329" s="276" t="e">
        <f t="shared" si="161"/>
        <v>#N/A</v>
      </c>
      <c r="L329" s="276" t="e">
        <f t="shared" si="161"/>
        <v>#N/A</v>
      </c>
      <c r="M329" s="276"/>
      <c r="N329" s="276" t="e">
        <f t="shared" si="162"/>
        <v>#N/A</v>
      </c>
      <c r="O329" s="276" t="e">
        <f t="shared" si="162"/>
        <v>#N/A</v>
      </c>
    </row>
    <row r="330" spans="1:15" x14ac:dyDescent="0.3">
      <c r="B330" s="272" t="s">
        <v>1009</v>
      </c>
      <c r="C330" s="272" t="s">
        <v>1162</v>
      </c>
      <c r="D330" s="272">
        <v>5</v>
      </c>
      <c r="E330" s="276" t="e">
        <f t="shared" si="159"/>
        <v>#N/A</v>
      </c>
      <c r="F330" s="276" t="e">
        <f t="shared" si="159"/>
        <v>#N/A</v>
      </c>
      <c r="H330" s="276" t="e">
        <f t="shared" si="160"/>
        <v>#N/A</v>
      </c>
      <c r="I330" s="276" t="e">
        <f t="shared" si="160"/>
        <v>#N/A</v>
      </c>
      <c r="K330" s="276" t="e">
        <f t="shared" si="161"/>
        <v>#N/A</v>
      </c>
      <c r="L330" s="276" t="e">
        <f t="shared" si="161"/>
        <v>#N/A</v>
      </c>
      <c r="M330" s="276"/>
      <c r="N330" s="276" t="e">
        <f t="shared" si="162"/>
        <v>#N/A</v>
      </c>
      <c r="O330" s="276" t="e">
        <f t="shared" si="162"/>
        <v>#N/A</v>
      </c>
    </row>
    <row r="331" spans="1:15" x14ac:dyDescent="0.3">
      <c r="B331" s="272" t="s">
        <v>1009</v>
      </c>
      <c r="C331" s="272" t="s">
        <v>1162</v>
      </c>
      <c r="D331" s="272">
        <v>6</v>
      </c>
      <c r="E331" s="276" t="e">
        <f t="shared" si="159"/>
        <v>#N/A</v>
      </c>
      <c r="F331" s="276" t="e">
        <f t="shared" si="159"/>
        <v>#N/A</v>
      </c>
      <c r="H331" s="276" t="e">
        <f t="shared" si="160"/>
        <v>#N/A</v>
      </c>
      <c r="I331" s="276" t="e">
        <f t="shared" si="160"/>
        <v>#N/A</v>
      </c>
      <c r="K331" s="276" t="e">
        <f t="shared" si="161"/>
        <v>#N/A</v>
      </c>
      <c r="L331" s="276" t="e">
        <f t="shared" si="161"/>
        <v>#N/A</v>
      </c>
      <c r="M331" s="276"/>
      <c r="N331" s="276" t="e">
        <f t="shared" si="162"/>
        <v>#N/A</v>
      </c>
      <c r="O331" s="276" t="e">
        <f t="shared" si="162"/>
        <v>#N/A</v>
      </c>
    </row>
    <row r="332" spans="1:15" x14ac:dyDescent="0.3">
      <c r="B332" s="272" t="s">
        <v>1009</v>
      </c>
      <c r="C332" s="272" t="s">
        <v>1162</v>
      </c>
      <c r="D332" s="272">
        <v>7</v>
      </c>
      <c r="E332" s="276" t="e">
        <f t="shared" si="159"/>
        <v>#N/A</v>
      </c>
      <c r="F332" s="276" t="e">
        <f t="shared" si="159"/>
        <v>#N/A</v>
      </c>
      <c r="H332" s="276" t="e">
        <f t="shared" si="160"/>
        <v>#N/A</v>
      </c>
      <c r="I332" s="276" t="e">
        <f t="shared" si="160"/>
        <v>#N/A</v>
      </c>
      <c r="K332" s="276" t="e">
        <f t="shared" si="161"/>
        <v>#N/A</v>
      </c>
      <c r="L332" s="276" t="e">
        <f t="shared" si="161"/>
        <v>#N/A</v>
      </c>
      <c r="M332" s="276"/>
      <c r="N332" s="276" t="e">
        <f t="shared" si="162"/>
        <v>#N/A</v>
      </c>
      <c r="O332" s="276" t="e">
        <f t="shared" si="162"/>
        <v>#N/A</v>
      </c>
    </row>
    <row r="333" spans="1:15" x14ac:dyDescent="0.3">
      <c r="B333" s="272" t="s">
        <v>1009</v>
      </c>
      <c r="C333" s="272" t="s">
        <v>1162</v>
      </c>
      <c r="D333" s="272">
        <v>8</v>
      </c>
      <c r="E333" s="276" t="e">
        <f t="shared" si="159"/>
        <v>#N/A</v>
      </c>
      <c r="F333" s="276" t="e">
        <f t="shared" si="159"/>
        <v>#N/A</v>
      </c>
      <c r="H333" s="276" t="e">
        <f t="shared" si="160"/>
        <v>#N/A</v>
      </c>
      <c r="I333" s="276" t="e">
        <f t="shared" si="160"/>
        <v>#N/A</v>
      </c>
      <c r="K333" s="276" t="e">
        <f t="shared" si="161"/>
        <v>#N/A</v>
      </c>
      <c r="L333" s="276" t="e">
        <f t="shared" si="161"/>
        <v>#N/A</v>
      </c>
      <c r="M333" s="276"/>
      <c r="N333" s="276" t="e">
        <f t="shared" si="162"/>
        <v>#N/A</v>
      </c>
      <c r="O333" s="276" t="e">
        <f t="shared" si="162"/>
        <v>#N/A</v>
      </c>
    </row>
    <row r="334" spans="1:15" x14ac:dyDescent="0.3">
      <c r="B334" s="272" t="s">
        <v>1009</v>
      </c>
      <c r="C334" s="272" t="s">
        <v>1162</v>
      </c>
      <c r="D334" s="272">
        <v>9</v>
      </c>
      <c r="E334" s="276" t="e">
        <f t="shared" si="159"/>
        <v>#N/A</v>
      </c>
      <c r="F334" s="276" t="e">
        <f t="shared" si="159"/>
        <v>#N/A</v>
      </c>
      <c r="H334" s="276" t="e">
        <f t="shared" si="160"/>
        <v>#N/A</v>
      </c>
      <c r="I334" s="276" t="e">
        <f t="shared" si="160"/>
        <v>#N/A</v>
      </c>
      <c r="K334" s="276" t="e">
        <f t="shared" si="161"/>
        <v>#N/A</v>
      </c>
      <c r="L334" s="276" t="e">
        <f t="shared" si="161"/>
        <v>#N/A</v>
      </c>
      <c r="M334" s="276"/>
      <c r="N334" s="276" t="e">
        <f t="shared" si="162"/>
        <v>#N/A</v>
      </c>
      <c r="O334" s="276" t="e">
        <f t="shared" si="162"/>
        <v>#N/A</v>
      </c>
    </row>
    <row r="335" spans="1:15" x14ac:dyDescent="0.3">
      <c r="B335" s="272" t="s">
        <v>1009</v>
      </c>
      <c r="C335" s="272" t="s">
        <v>1162</v>
      </c>
      <c r="D335" s="272">
        <v>10</v>
      </c>
      <c r="E335" s="276" t="e">
        <f t="shared" si="159"/>
        <v>#N/A</v>
      </c>
      <c r="F335" s="276" t="e">
        <f t="shared" si="159"/>
        <v>#N/A</v>
      </c>
      <c r="H335" s="276" t="e">
        <f t="shared" si="160"/>
        <v>#N/A</v>
      </c>
      <c r="I335" s="276" t="e">
        <f t="shared" si="160"/>
        <v>#N/A</v>
      </c>
      <c r="K335" s="276" t="e">
        <f t="shared" si="161"/>
        <v>#N/A</v>
      </c>
      <c r="L335" s="276" t="e">
        <f t="shared" si="161"/>
        <v>#N/A</v>
      </c>
      <c r="M335" s="276"/>
      <c r="N335" s="276" t="e">
        <f t="shared" si="162"/>
        <v>#N/A</v>
      </c>
      <c r="O335" s="276" t="e">
        <f t="shared" si="162"/>
        <v>#N/A</v>
      </c>
    </row>
    <row r="336" spans="1:15" x14ac:dyDescent="0.3">
      <c r="B336" s="272" t="s">
        <v>1009</v>
      </c>
      <c r="C336" s="272" t="s">
        <v>1162</v>
      </c>
      <c r="D336" s="272">
        <v>11</v>
      </c>
      <c r="E336" s="276" t="e">
        <f t="shared" si="159"/>
        <v>#N/A</v>
      </c>
      <c r="F336" s="276" t="e">
        <f t="shared" si="159"/>
        <v>#N/A</v>
      </c>
      <c r="H336" s="276" t="e">
        <f t="shared" si="160"/>
        <v>#N/A</v>
      </c>
      <c r="I336" s="276" t="e">
        <f t="shared" si="160"/>
        <v>#N/A</v>
      </c>
      <c r="K336" s="276" t="e">
        <f t="shared" si="161"/>
        <v>#N/A</v>
      </c>
      <c r="L336" s="276" t="e">
        <f t="shared" si="161"/>
        <v>#N/A</v>
      </c>
      <c r="M336" s="276"/>
      <c r="N336" s="276" t="e">
        <f t="shared" si="162"/>
        <v>#N/A</v>
      </c>
      <c r="O336" s="276" t="e">
        <f t="shared" si="162"/>
        <v>#N/A</v>
      </c>
    </row>
    <row r="337" spans="1:15" x14ac:dyDescent="0.3">
      <c r="B337" s="272" t="s">
        <v>1009</v>
      </c>
      <c r="C337" s="272" t="s">
        <v>1162</v>
      </c>
      <c r="D337" s="272">
        <v>12</v>
      </c>
      <c r="E337" s="276" t="e">
        <f t="shared" si="159"/>
        <v>#N/A</v>
      </c>
      <c r="F337" s="276" t="e">
        <f t="shared" si="159"/>
        <v>#N/A</v>
      </c>
      <c r="H337" s="276" t="e">
        <f t="shared" si="160"/>
        <v>#N/A</v>
      </c>
      <c r="I337" s="276" t="e">
        <f t="shared" si="160"/>
        <v>#N/A</v>
      </c>
      <c r="K337" s="276" t="e">
        <f t="shared" si="161"/>
        <v>#N/A</v>
      </c>
      <c r="L337" s="276" t="e">
        <f t="shared" si="161"/>
        <v>#N/A</v>
      </c>
      <c r="M337" s="276"/>
      <c r="N337" s="276" t="e">
        <f t="shared" si="162"/>
        <v>#N/A</v>
      </c>
      <c r="O337" s="276" t="e">
        <f t="shared" si="162"/>
        <v>#N/A</v>
      </c>
    </row>
    <row r="338" spans="1:15" x14ac:dyDescent="0.3">
      <c r="B338" s="272" t="s">
        <v>1009</v>
      </c>
      <c r="C338" s="272" t="s">
        <v>1162</v>
      </c>
      <c r="D338" s="272">
        <v>13</v>
      </c>
      <c r="E338" s="276" t="e">
        <f t="shared" si="159"/>
        <v>#N/A</v>
      </c>
      <c r="F338" s="276" t="e">
        <f t="shared" si="159"/>
        <v>#N/A</v>
      </c>
      <c r="H338" s="276" t="e">
        <f t="shared" si="160"/>
        <v>#N/A</v>
      </c>
      <c r="I338" s="276" t="e">
        <f t="shared" si="160"/>
        <v>#N/A</v>
      </c>
      <c r="K338" s="276" t="e">
        <f t="shared" si="161"/>
        <v>#N/A</v>
      </c>
      <c r="L338" s="276" t="e">
        <f t="shared" si="161"/>
        <v>#N/A</v>
      </c>
      <c r="M338" s="276"/>
      <c r="N338" s="276" t="e">
        <f t="shared" si="162"/>
        <v>#N/A</v>
      </c>
      <c r="O338" s="276" t="e">
        <f t="shared" si="162"/>
        <v>#N/A</v>
      </c>
    </row>
    <row r="339" spans="1:15" x14ac:dyDescent="0.3">
      <c r="B339" s="272" t="s">
        <v>1009</v>
      </c>
      <c r="C339" s="272" t="s">
        <v>1162</v>
      </c>
      <c r="D339" s="272">
        <v>14</v>
      </c>
      <c r="E339" s="276" t="e">
        <f t="shared" si="159"/>
        <v>#N/A</v>
      </c>
      <c r="F339" s="276" t="e">
        <f t="shared" si="159"/>
        <v>#N/A</v>
      </c>
      <c r="H339" s="276" t="e">
        <f t="shared" si="160"/>
        <v>#N/A</v>
      </c>
      <c r="I339" s="276" t="e">
        <f t="shared" si="160"/>
        <v>#N/A</v>
      </c>
      <c r="K339" s="276" t="e">
        <f t="shared" si="161"/>
        <v>#N/A</v>
      </c>
      <c r="L339" s="276" t="e">
        <f t="shared" si="161"/>
        <v>#N/A</v>
      </c>
      <c r="M339" s="276"/>
      <c r="N339" s="276" t="e">
        <f t="shared" si="162"/>
        <v>#N/A</v>
      </c>
      <c r="O339" s="276" t="e">
        <f t="shared" si="162"/>
        <v>#N/A</v>
      </c>
    </row>
    <row r="340" spans="1:15" x14ac:dyDescent="0.3">
      <c r="B340" s="272" t="s">
        <v>1009</v>
      </c>
      <c r="C340" s="272" t="s">
        <v>1162</v>
      </c>
      <c r="D340" s="272">
        <v>15</v>
      </c>
      <c r="E340" s="276" t="e">
        <f t="shared" si="159"/>
        <v>#N/A</v>
      </c>
      <c r="F340" s="276" t="e">
        <f t="shared" si="159"/>
        <v>#N/A</v>
      </c>
      <c r="H340" s="276" t="e">
        <f t="shared" si="160"/>
        <v>#N/A</v>
      </c>
      <c r="I340" s="276" t="e">
        <f t="shared" si="160"/>
        <v>#N/A</v>
      </c>
      <c r="K340" s="276" t="e">
        <f t="shared" si="161"/>
        <v>#N/A</v>
      </c>
      <c r="L340" s="276" t="e">
        <f t="shared" si="161"/>
        <v>#N/A</v>
      </c>
      <c r="M340" s="276"/>
      <c r="N340" s="276" t="e">
        <f t="shared" si="162"/>
        <v>#N/A</v>
      </c>
      <c r="O340" s="276" t="e">
        <f t="shared" si="162"/>
        <v>#N/A</v>
      </c>
    </row>
    <row r="341" spans="1:15" x14ac:dyDescent="0.3">
      <c r="B341" s="272" t="s">
        <v>1009</v>
      </c>
      <c r="C341" s="272" t="s">
        <v>1162</v>
      </c>
      <c r="D341" s="272">
        <v>16</v>
      </c>
      <c r="E341" s="276" t="e">
        <f t="shared" si="159"/>
        <v>#N/A</v>
      </c>
      <c r="F341" s="276" t="e">
        <f t="shared" si="159"/>
        <v>#N/A</v>
      </c>
      <c r="H341" s="276" t="e">
        <f t="shared" si="160"/>
        <v>#N/A</v>
      </c>
      <c r="I341" s="276" t="e">
        <f t="shared" si="160"/>
        <v>#N/A</v>
      </c>
      <c r="K341" s="276" t="e">
        <f t="shared" si="161"/>
        <v>#N/A</v>
      </c>
      <c r="L341" s="276" t="e">
        <f t="shared" si="161"/>
        <v>#N/A</v>
      </c>
      <c r="M341" s="276"/>
      <c r="N341" s="276" t="e">
        <f t="shared" si="162"/>
        <v>#N/A</v>
      </c>
      <c r="O341" s="276" t="e">
        <f t="shared" si="162"/>
        <v>#N/A</v>
      </c>
    </row>
    <row r="342" spans="1:15" x14ac:dyDescent="0.3">
      <c r="B342" s="272" t="s">
        <v>1009</v>
      </c>
      <c r="C342" s="272" t="s">
        <v>1162</v>
      </c>
      <c r="D342" s="272">
        <v>17</v>
      </c>
      <c r="E342" s="276" t="e">
        <f t="shared" si="159"/>
        <v>#N/A</v>
      </c>
      <c r="F342" s="276" t="e">
        <f t="shared" si="159"/>
        <v>#N/A</v>
      </c>
      <c r="H342" s="276" t="e">
        <f t="shared" si="160"/>
        <v>#N/A</v>
      </c>
      <c r="I342" s="276" t="e">
        <f t="shared" si="160"/>
        <v>#N/A</v>
      </c>
      <c r="K342" s="276" t="e">
        <f t="shared" si="161"/>
        <v>#N/A</v>
      </c>
      <c r="L342" s="276" t="e">
        <f t="shared" si="161"/>
        <v>#N/A</v>
      </c>
      <c r="M342" s="276"/>
      <c r="N342" s="276" t="e">
        <f t="shared" si="162"/>
        <v>#N/A</v>
      </c>
      <c r="O342" s="276" t="e">
        <f t="shared" si="162"/>
        <v>#N/A</v>
      </c>
    </row>
    <row r="343" spans="1:15" x14ac:dyDescent="0.3">
      <c r="B343" s="272" t="s">
        <v>1009</v>
      </c>
      <c r="C343" s="272" t="s">
        <v>1162</v>
      </c>
      <c r="D343" s="272">
        <v>18</v>
      </c>
      <c r="E343" s="276" t="e">
        <f t="shared" si="159"/>
        <v>#N/A</v>
      </c>
      <c r="F343" s="276" t="e">
        <f t="shared" si="159"/>
        <v>#N/A</v>
      </c>
      <c r="H343" s="276" t="e">
        <f t="shared" si="160"/>
        <v>#N/A</v>
      </c>
      <c r="I343" s="276" t="e">
        <f t="shared" si="160"/>
        <v>#N/A</v>
      </c>
      <c r="K343" s="276" t="e">
        <f t="shared" si="161"/>
        <v>#N/A</v>
      </c>
      <c r="L343" s="276" t="e">
        <f t="shared" si="161"/>
        <v>#N/A</v>
      </c>
      <c r="M343" s="276"/>
      <c r="N343" s="276" t="e">
        <f t="shared" si="162"/>
        <v>#N/A</v>
      </c>
      <c r="O343" s="276" t="e">
        <f t="shared" si="162"/>
        <v>#N/A</v>
      </c>
    </row>
    <row r="344" spans="1:15" x14ac:dyDescent="0.3">
      <c r="B344" s="272" t="s">
        <v>1009</v>
      </c>
      <c r="C344" s="272" t="s">
        <v>1162</v>
      </c>
      <c r="D344" s="272">
        <v>19</v>
      </c>
      <c r="E344" s="276" t="e">
        <f t="shared" si="159"/>
        <v>#N/A</v>
      </c>
      <c r="F344" s="276" t="e">
        <f t="shared" si="159"/>
        <v>#N/A</v>
      </c>
      <c r="H344" s="276" t="e">
        <f t="shared" si="160"/>
        <v>#N/A</v>
      </c>
      <c r="I344" s="276" t="e">
        <f t="shared" si="160"/>
        <v>#N/A</v>
      </c>
      <c r="K344" s="276" t="e">
        <f t="shared" si="161"/>
        <v>#N/A</v>
      </c>
      <c r="L344" s="276" t="e">
        <f t="shared" si="161"/>
        <v>#N/A</v>
      </c>
      <c r="M344" s="276"/>
      <c r="N344" s="276" t="e">
        <f t="shared" si="162"/>
        <v>#N/A</v>
      </c>
      <c r="O344" s="276" t="e">
        <f t="shared" si="162"/>
        <v>#N/A</v>
      </c>
    </row>
    <row r="345" spans="1:15" x14ac:dyDescent="0.3">
      <c r="B345" s="272" t="s">
        <v>1009</v>
      </c>
      <c r="C345" s="272" t="s">
        <v>1162</v>
      </c>
      <c r="D345" s="272">
        <v>20</v>
      </c>
      <c r="E345" s="276" t="e">
        <f t="shared" si="159"/>
        <v>#N/A</v>
      </c>
      <c r="F345" s="276" t="e">
        <f t="shared" si="159"/>
        <v>#N/A</v>
      </c>
      <c r="H345" s="276" t="e">
        <f t="shared" si="160"/>
        <v>#N/A</v>
      </c>
      <c r="I345" s="276" t="e">
        <f t="shared" si="160"/>
        <v>#N/A</v>
      </c>
      <c r="K345" s="276" t="e">
        <f t="shared" si="161"/>
        <v>#N/A</v>
      </c>
      <c r="L345" s="276" t="e">
        <f t="shared" si="161"/>
        <v>#N/A</v>
      </c>
      <c r="M345" s="276"/>
      <c r="N345" s="276" t="e">
        <f t="shared" si="162"/>
        <v>#N/A</v>
      </c>
      <c r="O345" s="276" t="e">
        <f t="shared" si="162"/>
        <v>#N/A</v>
      </c>
    </row>
    <row r="346" spans="1:15" s="275" customFormat="1" x14ac:dyDescent="0.3">
      <c r="A346" s="275" t="s">
        <v>1107</v>
      </c>
      <c r="D346" s="275" t="s">
        <v>1109</v>
      </c>
    </row>
    <row r="347" spans="1:15" x14ac:dyDescent="0.3">
      <c r="A347" s="272" t="s">
        <v>8</v>
      </c>
      <c r="B347" s="272" t="s">
        <v>1110</v>
      </c>
      <c r="D347" s="272">
        <v>1</v>
      </c>
      <c r="E347" s="272">
        <f t="shared" ref="E347:E366" si="163">+$D347+E$45-1</f>
        <v>2025</v>
      </c>
      <c r="F347" s="272">
        <f t="shared" ref="F347:F362" si="164">+$D347+F$45-1</f>
        <v>2026</v>
      </c>
      <c r="H347" s="272">
        <f t="shared" ref="H347:I366" si="165">+$D347+H$45-1</f>
        <v>2025</v>
      </c>
      <c r="I347" s="272">
        <f t="shared" si="165"/>
        <v>2026</v>
      </c>
      <c r="K347" s="272">
        <f t="shared" ref="K347:L366" si="166">+$D347+K$45-1</f>
        <v>2025</v>
      </c>
      <c r="L347" s="272">
        <f t="shared" si="166"/>
        <v>2026</v>
      </c>
      <c r="N347" s="272">
        <f t="shared" ref="N347:O366" si="167">+$D347+N$45-1</f>
        <v>2025</v>
      </c>
      <c r="O347" s="272">
        <f t="shared" si="167"/>
        <v>2026</v>
      </c>
    </row>
    <row r="348" spans="1:15" x14ac:dyDescent="0.3">
      <c r="A348" s="272" t="s">
        <v>8</v>
      </c>
      <c r="B348" s="272" t="s">
        <v>1111</v>
      </c>
      <c r="D348" s="272">
        <v>2</v>
      </c>
      <c r="E348" s="272">
        <f t="shared" si="163"/>
        <v>2026</v>
      </c>
      <c r="F348" s="272">
        <f t="shared" si="164"/>
        <v>2027</v>
      </c>
      <c r="H348" s="272">
        <f t="shared" si="165"/>
        <v>2026</v>
      </c>
      <c r="I348" s="272">
        <f t="shared" si="165"/>
        <v>2027</v>
      </c>
      <c r="K348" s="272">
        <f t="shared" si="166"/>
        <v>2026</v>
      </c>
      <c r="L348" s="272">
        <f t="shared" si="166"/>
        <v>2027</v>
      </c>
      <c r="N348" s="272">
        <f t="shared" si="167"/>
        <v>2026</v>
      </c>
      <c r="O348" s="272">
        <f t="shared" si="167"/>
        <v>2027</v>
      </c>
    </row>
    <row r="349" spans="1:15" x14ac:dyDescent="0.3">
      <c r="A349" s="272" t="s">
        <v>8</v>
      </c>
      <c r="B349" s="272" t="s">
        <v>1112</v>
      </c>
      <c r="D349" s="272">
        <v>3</v>
      </c>
      <c r="E349" s="272">
        <f t="shared" si="163"/>
        <v>2027</v>
      </c>
      <c r="F349" s="272">
        <f t="shared" si="164"/>
        <v>2028</v>
      </c>
      <c r="H349" s="272">
        <f t="shared" si="165"/>
        <v>2027</v>
      </c>
      <c r="I349" s="272">
        <f t="shared" si="165"/>
        <v>2028</v>
      </c>
      <c r="K349" s="272">
        <f t="shared" si="166"/>
        <v>2027</v>
      </c>
      <c r="L349" s="272">
        <f t="shared" si="166"/>
        <v>2028</v>
      </c>
      <c r="N349" s="272">
        <f t="shared" si="167"/>
        <v>2027</v>
      </c>
      <c r="O349" s="272">
        <f t="shared" si="167"/>
        <v>2028</v>
      </c>
    </row>
    <row r="350" spans="1:15" x14ac:dyDescent="0.3">
      <c r="A350" s="272" t="s">
        <v>8</v>
      </c>
      <c r="B350" s="272" t="s">
        <v>1113</v>
      </c>
      <c r="D350" s="272">
        <v>4</v>
      </c>
      <c r="E350" s="272">
        <f t="shared" si="163"/>
        <v>2028</v>
      </c>
      <c r="F350" s="272">
        <f t="shared" si="164"/>
        <v>2029</v>
      </c>
      <c r="H350" s="272">
        <f t="shared" si="165"/>
        <v>2028</v>
      </c>
      <c r="I350" s="272">
        <f t="shared" si="165"/>
        <v>2029</v>
      </c>
      <c r="K350" s="272">
        <f t="shared" si="166"/>
        <v>2028</v>
      </c>
      <c r="L350" s="272">
        <f t="shared" si="166"/>
        <v>2029</v>
      </c>
      <c r="N350" s="272">
        <f t="shared" si="167"/>
        <v>2028</v>
      </c>
      <c r="O350" s="272">
        <f t="shared" si="167"/>
        <v>2029</v>
      </c>
    </row>
    <row r="351" spans="1:15" x14ac:dyDescent="0.3">
      <c r="A351" s="272" t="s">
        <v>8</v>
      </c>
      <c r="B351" s="272" t="s">
        <v>1114</v>
      </c>
      <c r="D351" s="272">
        <v>5</v>
      </c>
      <c r="E351" s="272">
        <f t="shared" si="163"/>
        <v>2029</v>
      </c>
      <c r="F351" s="272">
        <f t="shared" si="164"/>
        <v>2030</v>
      </c>
      <c r="H351" s="272">
        <f t="shared" si="165"/>
        <v>2029</v>
      </c>
      <c r="I351" s="272">
        <f t="shared" si="165"/>
        <v>2030</v>
      </c>
      <c r="K351" s="272">
        <f t="shared" si="166"/>
        <v>2029</v>
      </c>
      <c r="L351" s="272">
        <f t="shared" si="166"/>
        <v>2030</v>
      </c>
      <c r="N351" s="272">
        <f t="shared" si="167"/>
        <v>2029</v>
      </c>
      <c r="O351" s="272">
        <f t="shared" si="167"/>
        <v>2030</v>
      </c>
    </row>
    <row r="352" spans="1:15" x14ac:dyDescent="0.3">
      <c r="A352" s="272" t="s">
        <v>8</v>
      </c>
      <c r="B352" s="272" t="s">
        <v>1115</v>
      </c>
      <c r="D352" s="272">
        <v>6</v>
      </c>
      <c r="E352" s="272">
        <f t="shared" si="163"/>
        <v>2030</v>
      </c>
      <c r="F352" s="272">
        <f t="shared" si="164"/>
        <v>2031</v>
      </c>
      <c r="H352" s="272">
        <f t="shared" si="165"/>
        <v>2030</v>
      </c>
      <c r="I352" s="272">
        <f t="shared" si="165"/>
        <v>2031</v>
      </c>
      <c r="K352" s="272">
        <f t="shared" si="166"/>
        <v>2030</v>
      </c>
      <c r="L352" s="272">
        <f t="shared" si="166"/>
        <v>2031</v>
      </c>
      <c r="N352" s="272">
        <f t="shared" si="167"/>
        <v>2030</v>
      </c>
      <c r="O352" s="272">
        <f t="shared" si="167"/>
        <v>2031</v>
      </c>
    </row>
    <row r="353" spans="1:15" x14ac:dyDescent="0.3">
      <c r="A353" s="272" t="s">
        <v>8</v>
      </c>
      <c r="B353" s="272" t="s">
        <v>1116</v>
      </c>
      <c r="D353" s="272">
        <v>7</v>
      </c>
      <c r="E353" s="272">
        <f t="shared" si="163"/>
        <v>2031</v>
      </c>
      <c r="F353" s="272">
        <f t="shared" si="164"/>
        <v>2032</v>
      </c>
      <c r="H353" s="272">
        <f t="shared" si="165"/>
        <v>2031</v>
      </c>
      <c r="I353" s="272">
        <f t="shared" si="165"/>
        <v>2032</v>
      </c>
      <c r="K353" s="272">
        <f t="shared" si="166"/>
        <v>2031</v>
      </c>
      <c r="L353" s="272">
        <f t="shared" si="166"/>
        <v>2032</v>
      </c>
      <c r="N353" s="272">
        <f t="shared" si="167"/>
        <v>2031</v>
      </c>
      <c r="O353" s="272">
        <f t="shared" si="167"/>
        <v>2032</v>
      </c>
    </row>
    <row r="354" spans="1:15" x14ac:dyDescent="0.3">
      <c r="A354" s="272" t="s">
        <v>8</v>
      </c>
      <c r="B354" s="272" t="s">
        <v>1117</v>
      </c>
      <c r="D354" s="272">
        <v>8</v>
      </c>
      <c r="E354" s="272">
        <f t="shared" si="163"/>
        <v>2032</v>
      </c>
      <c r="F354" s="272">
        <f t="shared" si="164"/>
        <v>2033</v>
      </c>
      <c r="H354" s="272">
        <f t="shared" si="165"/>
        <v>2032</v>
      </c>
      <c r="I354" s="272">
        <f t="shared" si="165"/>
        <v>2033</v>
      </c>
      <c r="K354" s="272">
        <f t="shared" si="166"/>
        <v>2032</v>
      </c>
      <c r="L354" s="272">
        <f t="shared" si="166"/>
        <v>2033</v>
      </c>
      <c r="N354" s="272">
        <f t="shared" si="167"/>
        <v>2032</v>
      </c>
      <c r="O354" s="272">
        <f t="shared" si="167"/>
        <v>2033</v>
      </c>
    </row>
    <row r="355" spans="1:15" x14ac:dyDescent="0.3">
      <c r="A355" s="272" t="s">
        <v>8</v>
      </c>
      <c r="B355" s="272" t="s">
        <v>1118</v>
      </c>
      <c r="D355" s="272">
        <v>9</v>
      </c>
      <c r="E355" s="272">
        <f t="shared" si="163"/>
        <v>2033</v>
      </c>
      <c r="F355" s="272">
        <f t="shared" si="164"/>
        <v>2034</v>
      </c>
      <c r="H355" s="272">
        <f t="shared" si="165"/>
        <v>2033</v>
      </c>
      <c r="I355" s="272">
        <f t="shared" si="165"/>
        <v>2034</v>
      </c>
      <c r="K355" s="272">
        <f t="shared" si="166"/>
        <v>2033</v>
      </c>
      <c r="L355" s="272">
        <f t="shared" si="166"/>
        <v>2034</v>
      </c>
      <c r="N355" s="272">
        <f t="shared" si="167"/>
        <v>2033</v>
      </c>
      <c r="O355" s="272">
        <f t="shared" si="167"/>
        <v>2034</v>
      </c>
    </row>
    <row r="356" spans="1:15" x14ac:dyDescent="0.3">
      <c r="A356" s="272" t="s">
        <v>8</v>
      </c>
      <c r="B356" s="272" t="s">
        <v>1119</v>
      </c>
      <c r="D356" s="272">
        <v>10</v>
      </c>
      <c r="E356" s="272">
        <f t="shared" si="163"/>
        <v>2034</v>
      </c>
      <c r="F356" s="272">
        <f t="shared" si="164"/>
        <v>2035</v>
      </c>
      <c r="H356" s="272">
        <f t="shared" si="165"/>
        <v>2034</v>
      </c>
      <c r="I356" s="272">
        <f t="shared" si="165"/>
        <v>2035</v>
      </c>
      <c r="K356" s="272">
        <f t="shared" si="166"/>
        <v>2034</v>
      </c>
      <c r="L356" s="272">
        <f t="shared" si="166"/>
        <v>2035</v>
      </c>
      <c r="N356" s="272">
        <f t="shared" si="167"/>
        <v>2034</v>
      </c>
      <c r="O356" s="272">
        <f t="shared" si="167"/>
        <v>2035</v>
      </c>
    </row>
    <row r="357" spans="1:15" x14ac:dyDescent="0.3">
      <c r="A357" s="272" t="s">
        <v>8</v>
      </c>
      <c r="B357" s="272" t="s">
        <v>1120</v>
      </c>
      <c r="D357" s="272">
        <v>11</v>
      </c>
      <c r="E357" s="272">
        <f t="shared" si="163"/>
        <v>2035</v>
      </c>
      <c r="F357" s="272">
        <f t="shared" si="164"/>
        <v>2036</v>
      </c>
      <c r="H357" s="272">
        <f t="shared" si="165"/>
        <v>2035</v>
      </c>
      <c r="I357" s="272">
        <f t="shared" si="165"/>
        <v>2036</v>
      </c>
      <c r="K357" s="272">
        <f t="shared" si="166"/>
        <v>2035</v>
      </c>
      <c r="L357" s="272">
        <f t="shared" si="166"/>
        <v>2036</v>
      </c>
      <c r="N357" s="272">
        <f t="shared" si="167"/>
        <v>2035</v>
      </c>
      <c r="O357" s="272">
        <f t="shared" si="167"/>
        <v>2036</v>
      </c>
    </row>
    <row r="358" spans="1:15" x14ac:dyDescent="0.3">
      <c r="A358" s="272" t="s">
        <v>8</v>
      </c>
      <c r="B358" s="272" t="s">
        <v>1121</v>
      </c>
      <c r="D358" s="272">
        <v>12</v>
      </c>
      <c r="E358" s="272">
        <f t="shared" si="163"/>
        <v>2036</v>
      </c>
      <c r="F358" s="272">
        <f t="shared" si="164"/>
        <v>2037</v>
      </c>
      <c r="H358" s="272">
        <f t="shared" si="165"/>
        <v>2036</v>
      </c>
      <c r="I358" s="272">
        <f t="shared" si="165"/>
        <v>2037</v>
      </c>
      <c r="K358" s="272">
        <f t="shared" si="166"/>
        <v>2036</v>
      </c>
      <c r="L358" s="272">
        <f t="shared" si="166"/>
        <v>2037</v>
      </c>
      <c r="N358" s="272">
        <f t="shared" si="167"/>
        <v>2036</v>
      </c>
      <c r="O358" s="272">
        <f t="shared" si="167"/>
        <v>2037</v>
      </c>
    </row>
    <row r="359" spans="1:15" x14ac:dyDescent="0.3">
      <c r="A359" s="272" t="s">
        <v>8</v>
      </c>
      <c r="B359" s="272" t="s">
        <v>1122</v>
      </c>
      <c r="D359" s="272">
        <v>13</v>
      </c>
      <c r="E359" s="272">
        <f t="shared" si="163"/>
        <v>2037</v>
      </c>
      <c r="F359" s="272">
        <f t="shared" si="164"/>
        <v>2038</v>
      </c>
      <c r="H359" s="272">
        <f t="shared" si="165"/>
        <v>2037</v>
      </c>
      <c r="I359" s="272">
        <f t="shared" si="165"/>
        <v>2038</v>
      </c>
      <c r="K359" s="272">
        <f t="shared" si="166"/>
        <v>2037</v>
      </c>
      <c r="L359" s="272">
        <f t="shared" si="166"/>
        <v>2038</v>
      </c>
      <c r="N359" s="272">
        <f t="shared" si="167"/>
        <v>2037</v>
      </c>
      <c r="O359" s="272">
        <f t="shared" si="167"/>
        <v>2038</v>
      </c>
    </row>
    <row r="360" spans="1:15" x14ac:dyDescent="0.3">
      <c r="A360" s="272" t="s">
        <v>8</v>
      </c>
      <c r="B360" s="272" t="s">
        <v>1123</v>
      </c>
      <c r="D360" s="272">
        <v>14</v>
      </c>
      <c r="E360" s="272">
        <f t="shared" si="163"/>
        <v>2038</v>
      </c>
      <c r="F360" s="272">
        <f t="shared" si="164"/>
        <v>2039</v>
      </c>
      <c r="H360" s="272">
        <f t="shared" si="165"/>
        <v>2038</v>
      </c>
      <c r="I360" s="272">
        <f t="shared" si="165"/>
        <v>2039</v>
      </c>
      <c r="K360" s="272">
        <f t="shared" si="166"/>
        <v>2038</v>
      </c>
      <c r="L360" s="272">
        <f t="shared" si="166"/>
        <v>2039</v>
      </c>
      <c r="N360" s="272">
        <f t="shared" si="167"/>
        <v>2038</v>
      </c>
      <c r="O360" s="272">
        <f t="shared" si="167"/>
        <v>2039</v>
      </c>
    </row>
    <row r="361" spans="1:15" x14ac:dyDescent="0.3">
      <c r="A361" s="272" t="s">
        <v>8</v>
      </c>
      <c r="B361" s="272" t="s">
        <v>1124</v>
      </c>
      <c r="D361" s="272">
        <v>15</v>
      </c>
      <c r="E361" s="272">
        <f t="shared" si="163"/>
        <v>2039</v>
      </c>
      <c r="F361" s="272">
        <f t="shared" si="164"/>
        <v>2040</v>
      </c>
      <c r="H361" s="272">
        <f t="shared" si="165"/>
        <v>2039</v>
      </c>
      <c r="I361" s="272">
        <f t="shared" si="165"/>
        <v>2040</v>
      </c>
      <c r="K361" s="272">
        <f t="shared" si="166"/>
        <v>2039</v>
      </c>
      <c r="L361" s="272">
        <f t="shared" si="166"/>
        <v>2040</v>
      </c>
      <c r="N361" s="272">
        <f t="shared" si="167"/>
        <v>2039</v>
      </c>
      <c r="O361" s="272">
        <f t="shared" si="167"/>
        <v>2040</v>
      </c>
    </row>
    <row r="362" spans="1:15" x14ac:dyDescent="0.3">
      <c r="A362" s="272" t="s">
        <v>8</v>
      </c>
      <c r="B362" s="272" t="s">
        <v>1125</v>
      </c>
      <c r="D362" s="272">
        <v>16</v>
      </c>
      <c r="E362" s="272">
        <f t="shared" si="163"/>
        <v>2040</v>
      </c>
      <c r="F362" s="272">
        <f t="shared" si="164"/>
        <v>2041</v>
      </c>
      <c r="H362" s="272">
        <f t="shared" si="165"/>
        <v>2040</v>
      </c>
      <c r="I362" s="272">
        <f t="shared" si="165"/>
        <v>2041</v>
      </c>
      <c r="K362" s="272">
        <f t="shared" si="166"/>
        <v>2040</v>
      </c>
      <c r="L362" s="272">
        <f t="shared" si="166"/>
        <v>2041</v>
      </c>
      <c r="N362" s="272">
        <f t="shared" si="167"/>
        <v>2040</v>
      </c>
      <c r="O362" s="272">
        <f t="shared" si="167"/>
        <v>2041</v>
      </c>
    </row>
    <row r="363" spans="1:15" x14ac:dyDescent="0.3">
      <c r="A363" s="272" t="s">
        <v>8</v>
      </c>
      <c r="B363" s="272" t="s">
        <v>1126</v>
      </c>
      <c r="D363" s="272">
        <v>17</v>
      </c>
      <c r="E363" s="272">
        <f t="shared" si="163"/>
        <v>2041</v>
      </c>
      <c r="F363" s="272">
        <f t="shared" ref="F363:F366" si="168">+$D363+F$45-1</f>
        <v>2042</v>
      </c>
      <c r="H363" s="272">
        <f t="shared" si="165"/>
        <v>2041</v>
      </c>
      <c r="I363" s="272">
        <f t="shared" si="165"/>
        <v>2042</v>
      </c>
      <c r="K363" s="272">
        <f t="shared" si="166"/>
        <v>2041</v>
      </c>
      <c r="L363" s="272">
        <f t="shared" si="166"/>
        <v>2042</v>
      </c>
      <c r="N363" s="272">
        <f t="shared" si="167"/>
        <v>2041</v>
      </c>
      <c r="O363" s="272">
        <f t="shared" si="167"/>
        <v>2042</v>
      </c>
    </row>
    <row r="364" spans="1:15" x14ac:dyDescent="0.3">
      <c r="A364" s="272" t="s">
        <v>8</v>
      </c>
      <c r="B364" s="272" t="s">
        <v>1127</v>
      </c>
      <c r="D364" s="272">
        <v>18</v>
      </c>
      <c r="E364" s="272">
        <f t="shared" si="163"/>
        <v>2042</v>
      </c>
      <c r="F364" s="272">
        <f t="shared" si="168"/>
        <v>2043</v>
      </c>
      <c r="H364" s="272">
        <f t="shared" si="165"/>
        <v>2042</v>
      </c>
      <c r="I364" s="272">
        <f t="shared" si="165"/>
        <v>2043</v>
      </c>
      <c r="K364" s="272">
        <f t="shared" si="166"/>
        <v>2042</v>
      </c>
      <c r="L364" s="272">
        <f t="shared" si="166"/>
        <v>2043</v>
      </c>
      <c r="N364" s="272">
        <f t="shared" si="167"/>
        <v>2042</v>
      </c>
      <c r="O364" s="272">
        <f t="shared" si="167"/>
        <v>2043</v>
      </c>
    </row>
    <row r="365" spans="1:15" x14ac:dyDescent="0.3">
      <c r="A365" s="272" t="s">
        <v>8</v>
      </c>
      <c r="B365" s="272" t="s">
        <v>1128</v>
      </c>
      <c r="D365" s="272">
        <v>19</v>
      </c>
      <c r="E365" s="272">
        <f t="shared" si="163"/>
        <v>2043</v>
      </c>
      <c r="F365" s="272">
        <f t="shared" si="168"/>
        <v>2044</v>
      </c>
      <c r="H365" s="272">
        <f t="shared" si="165"/>
        <v>2043</v>
      </c>
      <c r="I365" s="272">
        <f t="shared" si="165"/>
        <v>2044</v>
      </c>
      <c r="K365" s="272">
        <f t="shared" si="166"/>
        <v>2043</v>
      </c>
      <c r="L365" s="272">
        <f t="shared" si="166"/>
        <v>2044</v>
      </c>
      <c r="N365" s="272">
        <f t="shared" si="167"/>
        <v>2043</v>
      </c>
      <c r="O365" s="272">
        <f t="shared" si="167"/>
        <v>2044</v>
      </c>
    </row>
    <row r="366" spans="1:15" x14ac:dyDescent="0.3">
      <c r="A366" s="272" t="s">
        <v>8</v>
      </c>
      <c r="B366" s="272" t="s">
        <v>1129</v>
      </c>
      <c r="D366" s="272">
        <v>20</v>
      </c>
      <c r="E366" s="272">
        <f t="shared" si="163"/>
        <v>2044</v>
      </c>
      <c r="F366" s="272">
        <f t="shared" si="168"/>
        <v>2045</v>
      </c>
      <c r="H366" s="272">
        <f t="shared" si="165"/>
        <v>2044</v>
      </c>
      <c r="I366" s="272">
        <f t="shared" si="165"/>
        <v>2045</v>
      </c>
      <c r="K366" s="272">
        <f t="shared" si="166"/>
        <v>2044</v>
      </c>
      <c r="L366" s="272">
        <f t="shared" si="166"/>
        <v>2045</v>
      </c>
      <c r="N366" s="272">
        <f t="shared" si="167"/>
        <v>2044</v>
      </c>
      <c r="O366" s="272">
        <f t="shared" si="167"/>
        <v>2045</v>
      </c>
    </row>
    <row r="367" spans="1:15" x14ac:dyDescent="0.3">
      <c r="A367" s="296" t="s">
        <v>1010</v>
      </c>
      <c r="B367" s="296" t="s">
        <v>1057</v>
      </c>
      <c r="C367" s="296"/>
      <c r="D367" s="296">
        <v>1</v>
      </c>
      <c r="E367" s="324">
        <f>+E$45-E$10+$D367</f>
        <v>2026</v>
      </c>
      <c r="F367" s="296">
        <f t="shared" ref="E367:F386" si="169">+F$45-F$10+$D367</f>
        <v>2027</v>
      </c>
      <c r="H367" s="296">
        <f t="shared" ref="H367:I386" si="170">+H$45-H$10+$D367</f>
        <v>2026</v>
      </c>
      <c r="I367" s="296">
        <f t="shared" si="170"/>
        <v>2027</v>
      </c>
      <c r="K367" s="296">
        <f t="shared" ref="K367:L386" si="171">+K$45-K$10+$D367</f>
        <v>2026</v>
      </c>
      <c r="L367" s="296">
        <f t="shared" si="171"/>
        <v>2027</v>
      </c>
      <c r="M367" s="296"/>
      <c r="N367" s="296">
        <f t="shared" ref="N367:O386" si="172">+N$45-N$10+$D367</f>
        <v>2026</v>
      </c>
      <c r="O367" s="296">
        <f t="shared" si="172"/>
        <v>2027</v>
      </c>
    </row>
    <row r="368" spans="1:15" x14ac:dyDescent="0.3">
      <c r="A368" s="272" t="s">
        <v>1010</v>
      </c>
      <c r="B368" s="272" t="s">
        <v>1058</v>
      </c>
      <c r="D368" s="272">
        <v>2</v>
      </c>
      <c r="E368" s="272">
        <f t="shared" si="169"/>
        <v>2027</v>
      </c>
      <c r="F368" s="272">
        <f t="shared" si="169"/>
        <v>2028</v>
      </c>
      <c r="H368" s="272">
        <f t="shared" si="170"/>
        <v>2027</v>
      </c>
      <c r="I368" s="272">
        <f t="shared" si="170"/>
        <v>2028</v>
      </c>
      <c r="K368" s="272">
        <f t="shared" si="171"/>
        <v>2027</v>
      </c>
      <c r="L368" s="272">
        <f t="shared" si="171"/>
        <v>2028</v>
      </c>
      <c r="N368" s="272">
        <f t="shared" si="172"/>
        <v>2027</v>
      </c>
      <c r="O368" s="272">
        <f t="shared" si="172"/>
        <v>2028</v>
      </c>
    </row>
    <row r="369" spans="1:15" x14ac:dyDescent="0.3">
      <c r="A369" s="272" t="s">
        <v>1010</v>
      </c>
      <c r="B369" s="272" t="s">
        <v>1059</v>
      </c>
      <c r="D369" s="272">
        <v>3</v>
      </c>
      <c r="E369" s="272">
        <f t="shared" si="169"/>
        <v>2028</v>
      </c>
      <c r="F369" s="272">
        <f t="shared" si="169"/>
        <v>2029</v>
      </c>
      <c r="H369" s="272">
        <f t="shared" si="170"/>
        <v>2028</v>
      </c>
      <c r="I369" s="272">
        <f t="shared" si="170"/>
        <v>2029</v>
      </c>
      <c r="K369" s="272">
        <f t="shared" si="171"/>
        <v>2028</v>
      </c>
      <c r="L369" s="272">
        <f t="shared" si="171"/>
        <v>2029</v>
      </c>
      <c r="N369" s="272">
        <f t="shared" si="172"/>
        <v>2028</v>
      </c>
      <c r="O369" s="272">
        <f t="shared" si="172"/>
        <v>2029</v>
      </c>
    </row>
    <row r="370" spans="1:15" x14ac:dyDescent="0.3">
      <c r="A370" s="272" t="s">
        <v>1010</v>
      </c>
      <c r="B370" s="272" t="s">
        <v>1060</v>
      </c>
      <c r="D370" s="272">
        <v>4</v>
      </c>
      <c r="E370" s="272">
        <f t="shared" si="169"/>
        <v>2029</v>
      </c>
      <c r="F370" s="272">
        <f t="shared" si="169"/>
        <v>2030</v>
      </c>
      <c r="H370" s="272">
        <f t="shared" si="170"/>
        <v>2029</v>
      </c>
      <c r="I370" s="272">
        <f t="shared" si="170"/>
        <v>2030</v>
      </c>
      <c r="K370" s="272">
        <f t="shared" si="171"/>
        <v>2029</v>
      </c>
      <c r="L370" s="272">
        <f t="shared" si="171"/>
        <v>2030</v>
      </c>
      <c r="N370" s="272">
        <f t="shared" si="172"/>
        <v>2029</v>
      </c>
      <c r="O370" s="272">
        <f t="shared" si="172"/>
        <v>2030</v>
      </c>
    </row>
    <row r="371" spans="1:15" x14ac:dyDescent="0.3">
      <c r="A371" s="272" t="s">
        <v>1010</v>
      </c>
      <c r="B371" s="272" t="s">
        <v>1061</v>
      </c>
      <c r="D371" s="272">
        <v>5</v>
      </c>
      <c r="E371" s="272">
        <f t="shared" si="169"/>
        <v>2030</v>
      </c>
      <c r="F371" s="272">
        <f t="shared" si="169"/>
        <v>2031</v>
      </c>
      <c r="H371" s="272">
        <f t="shared" si="170"/>
        <v>2030</v>
      </c>
      <c r="I371" s="272">
        <f t="shared" si="170"/>
        <v>2031</v>
      </c>
      <c r="K371" s="272">
        <f t="shared" si="171"/>
        <v>2030</v>
      </c>
      <c r="L371" s="272">
        <f t="shared" si="171"/>
        <v>2031</v>
      </c>
      <c r="N371" s="272">
        <f t="shared" si="172"/>
        <v>2030</v>
      </c>
      <c r="O371" s="272">
        <f t="shared" si="172"/>
        <v>2031</v>
      </c>
    </row>
    <row r="372" spans="1:15" x14ac:dyDescent="0.3">
      <c r="A372" s="272" t="s">
        <v>1010</v>
      </c>
      <c r="B372" s="272" t="s">
        <v>1062</v>
      </c>
      <c r="D372" s="272">
        <v>6</v>
      </c>
      <c r="E372" s="272">
        <f t="shared" si="169"/>
        <v>2031</v>
      </c>
      <c r="F372" s="272">
        <f t="shared" si="169"/>
        <v>2032</v>
      </c>
      <c r="H372" s="272">
        <f t="shared" si="170"/>
        <v>2031</v>
      </c>
      <c r="I372" s="272">
        <f t="shared" si="170"/>
        <v>2032</v>
      </c>
      <c r="K372" s="272">
        <f t="shared" si="171"/>
        <v>2031</v>
      </c>
      <c r="L372" s="272">
        <f t="shared" si="171"/>
        <v>2032</v>
      </c>
      <c r="N372" s="272">
        <f t="shared" si="172"/>
        <v>2031</v>
      </c>
      <c r="O372" s="272">
        <f t="shared" si="172"/>
        <v>2032</v>
      </c>
    </row>
    <row r="373" spans="1:15" x14ac:dyDescent="0.3">
      <c r="A373" s="272" t="s">
        <v>1010</v>
      </c>
      <c r="B373" s="272" t="s">
        <v>1063</v>
      </c>
      <c r="D373" s="272">
        <v>7</v>
      </c>
      <c r="E373" s="272">
        <f t="shared" si="169"/>
        <v>2032</v>
      </c>
      <c r="F373" s="272">
        <f t="shared" si="169"/>
        <v>2033</v>
      </c>
      <c r="H373" s="272">
        <f t="shared" si="170"/>
        <v>2032</v>
      </c>
      <c r="I373" s="272">
        <f t="shared" si="170"/>
        <v>2033</v>
      </c>
      <c r="K373" s="272">
        <f t="shared" si="171"/>
        <v>2032</v>
      </c>
      <c r="L373" s="272">
        <f t="shared" si="171"/>
        <v>2033</v>
      </c>
      <c r="N373" s="272">
        <f t="shared" si="172"/>
        <v>2032</v>
      </c>
      <c r="O373" s="272">
        <f t="shared" si="172"/>
        <v>2033</v>
      </c>
    </row>
    <row r="374" spans="1:15" x14ac:dyDescent="0.3">
      <c r="A374" s="272" t="s">
        <v>1010</v>
      </c>
      <c r="B374" s="272" t="s">
        <v>1064</v>
      </c>
      <c r="D374" s="272">
        <v>8</v>
      </c>
      <c r="E374" s="272">
        <f t="shared" si="169"/>
        <v>2033</v>
      </c>
      <c r="F374" s="272">
        <f t="shared" si="169"/>
        <v>2034</v>
      </c>
      <c r="H374" s="272">
        <f t="shared" si="170"/>
        <v>2033</v>
      </c>
      <c r="I374" s="272">
        <f t="shared" si="170"/>
        <v>2034</v>
      </c>
      <c r="K374" s="272">
        <f t="shared" si="171"/>
        <v>2033</v>
      </c>
      <c r="L374" s="272">
        <f t="shared" si="171"/>
        <v>2034</v>
      </c>
      <c r="N374" s="272">
        <f t="shared" si="172"/>
        <v>2033</v>
      </c>
      <c r="O374" s="272">
        <f t="shared" si="172"/>
        <v>2034</v>
      </c>
    </row>
    <row r="375" spans="1:15" x14ac:dyDescent="0.3">
      <c r="A375" s="272" t="s">
        <v>1010</v>
      </c>
      <c r="B375" s="272" t="s">
        <v>1065</v>
      </c>
      <c r="D375" s="272">
        <v>9</v>
      </c>
      <c r="E375" s="272">
        <f t="shared" si="169"/>
        <v>2034</v>
      </c>
      <c r="F375" s="272">
        <f t="shared" si="169"/>
        <v>2035</v>
      </c>
      <c r="H375" s="272">
        <f t="shared" si="170"/>
        <v>2034</v>
      </c>
      <c r="I375" s="272">
        <f t="shared" si="170"/>
        <v>2035</v>
      </c>
      <c r="K375" s="272">
        <f t="shared" si="171"/>
        <v>2034</v>
      </c>
      <c r="L375" s="272">
        <f t="shared" si="171"/>
        <v>2035</v>
      </c>
      <c r="N375" s="272">
        <f t="shared" si="172"/>
        <v>2034</v>
      </c>
      <c r="O375" s="272">
        <f t="shared" si="172"/>
        <v>2035</v>
      </c>
    </row>
    <row r="376" spans="1:15" x14ac:dyDescent="0.3">
      <c r="A376" s="272" t="s">
        <v>1010</v>
      </c>
      <c r="B376" s="272" t="s">
        <v>1066</v>
      </c>
      <c r="D376" s="272">
        <v>10</v>
      </c>
      <c r="E376" s="272">
        <f t="shared" si="169"/>
        <v>2035</v>
      </c>
      <c r="F376" s="272">
        <f t="shared" si="169"/>
        <v>2036</v>
      </c>
      <c r="H376" s="272">
        <f t="shared" si="170"/>
        <v>2035</v>
      </c>
      <c r="I376" s="272">
        <f t="shared" si="170"/>
        <v>2036</v>
      </c>
      <c r="K376" s="272">
        <f t="shared" si="171"/>
        <v>2035</v>
      </c>
      <c r="L376" s="272">
        <f t="shared" si="171"/>
        <v>2036</v>
      </c>
      <c r="N376" s="272">
        <f t="shared" si="172"/>
        <v>2035</v>
      </c>
      <c r="O376" s="272">
        <f t="shared" si="172"/>
        <v>2036</v>
      </c>
    </row>
    <row r="377" spans="1:15" x14ac:dyDescent="0.3">
      <c r="A377" s="272" t="s">
        <v>1010</v>
      </c>
      <c r="B377" s="272" t="s">
        <v>1067</v>
      </c>
      <c r="D377" s="272">
        <v>11</v>
      </c>
      <c r="E377" s="272">
        <f t="shared" si="169"/>
        <v>2036</v>
      </c>
      <c r="F377" s="272">
        <f t="shared" si="169"/>
        <v>2037</v>
      </c>
      <c r="H377" s="272">
        <f t="shared" si="170"/>
        <v>2036</v>
      </c>
      <c r="I377" s="272">
        <f t="shared" si="170"/>
        <v>2037</v>
      </c>
      <c r="K377" s="272">
        <f t="shared" si="171"/>
        <v>2036</v>
      </c>
      <c r="L377" s="272">
        <f t="shared" si="171"/>
        <v>2037</v>
      </c>
      <c r="N377" s="272">
        <f t="shared" si="172"/>
        <v>2036</v>
      </c>
      <c r="O377" s="272">
        <f t="shared" si="172"/>
        <v>2037</v>
      </c>
    </row>
    <row r="378" spans="1:15" x14ac:dyDescent="0.3">
      <c r="A378" s="272" t="s">
        <v>1010</v>
      </c>
      <c r="B378" s="272" t="s">
        <v>1068</v>
      </c>
      <c r="D378" s="272">
        <v>12</v>
      </c>
      <c r="E378" s="272">
        <f t="shared" si="169"/>
        <v>2037</v>
      </c>
      <c r="F378" s="272">
        <f t="shared" si="169"/>
        <v>2038</v>
      </c>
      <c r="H378" s="272">
        <f t="shared" si="170"/>
        <v>2037</v>
      </c>
      <c r="I378" s="272">
        <f t="shared" si="170"/>
        <v>2038</v>
      </c>
      <c r="K378" s="272">
        <f t="shared" si="171"/>
        <v>2037</v>
      </c>
      <c r="L378" s="272">
        <f t="shared" si="171"/>
        <v>2038</v>
      </c>
      <c r="N378" s="272">
        <f t="shared" si="172"/>
        <v>2037</v>
      </c>
      <c r="O378" s="272">
        <f t="shared" si="172"/>
        <v>2038</v>
      </c>
    </row>
    <row r="379" spans="1:15" x14ac:dyDescent="0.3">
      <c r="A379" s="272" t="s">
        <v>1010</v>
      </c>
      <c r="B379" s="272" t="s">
        <v>1069</v>
      </c>
      <c r="D379" s="272">
        <v>13</v>
      </c>
      <c r="E379" s="272">
        <f t="shared" si="169"/>
        <v>2038</v>
      </c>
      <c r="F379" s="272">
        <f t="shared" si="169"/>
        <v>2039</v>
      </c>
      <c r="H379" s="272">
        <f t="shared" si="170"/>
        <v>2038</v>
      </c>
      <c r="I379" s="272">
        <f t="shared" si="170"/>
        <v>2039</v>
      </c>
      <c r="K379" s="272">
        <f t="shared" si="171"/>
        <v>2038</v>
      </c>
      <c r="L379" s="272">
        <f t="shared" si="171"/>
        <v>2039</v>
      </c>
      <c r="N379" s="272">
        <f t="shared" si="172"/>
        <v>2038</v>
      </c>
      <c r="O379" s="272">
        <f t="shared" si="172"/>
        <v>2039</v>
      </c>
    </row>
    <row r="380" spans="1:15" x14ac:dyDescent="0.3">
      <c r="A380" s="272" t="s">
        <v>1010</v>
      </c>
      <c r="B380" s="272" t="s">
        <v>1070</v>
      </c>
      <c r="D380" s="272">
        <v>14</v>
      </c>
      <c r="E380" s="272">
        <f t="shared" si="169"/>
        <v>2039</v>
      </c>
      <c r="F380" s="272">
        <f t="shared" si="169"/>
        <v>2040</v>
      </c>
      <c r="H380" s="272">
        <f t="shared" si="170"/>
        <v>2039</v>
      </c>
      <c r="I380" s="272">
        <f t="shared" si="170"/>
        <v>2040</v>
      </c>
      <c r="K380" s="272">
        <f t="shared" si="171"/>
        <v>2039</v>
      </c>
      <c r="L380" s="272">
        <f t="shared" si="171"/>
        <v>2040</v>
      </c>
      <c r="N380" s="272">
        <f t="shared" si="172"/>
        <v>2039</v>
      </c>
      <c r="O380" s="272">
        <f t="shared" si="172"/>
        <v>2040</v>
      </c>
    </row>
    <row r="381" spans="1:15" x14ac:dyDescent="0.3">
      <c r="A381" s="272" t="s">
        <v>1010</v>
      </c>
      <c r="B381" s="272" t="s">
        <v>1071</v>
      </c>
      <c r="D381" s="272">
        <v>15</v>
      </c>
      <c r="E381" s="272">
        <f t="shared" si="169"/>
        <v>2040</v>
      </c>
      <c r="F381" s="272">
        <f t="shared" si="169"/>
        <v>2041</v>
      </c>
      <c r="H381" s="272">
        <f t="shared" si="170"/>
        <v>2040</v>
      </c>
      <c r="I381" s="272">
        <f t="shared" si="170"/>
        <v>2041</v>
      </c>
      <c r="K381" s="272">
        <f t="shared" si="171"/>
        <v>2040</v>
      </c>
      <c r="L381" s="272">
        <f t="shared" si="171"/>
        <v>2041</v>
      </c>
      <c r="N381" s="272">
        <f t="shared" si="172"/>
        <v>2040</v>
      </c>
      <c r="O381" s="272">
        <f t="shared" si="172"/>
        <v>2041</v>
      </c>
    </row>
    <row r="382" spans="1:15" x14ac:dyDescent="0.3">
      <c r="A382" s="272" t="s">
        <v>1010</v>
      </c>
      <c r="B382" s="272" t="s">
        <v>1072</v>
      </c>
      <c r="D382" s="272">
        <v>16</v>
      </c>
      <c r="E382" s="272">
        <f t="shared" si="169"/>
        <v>2041</v>
      </c>
      <c r="F382" s="272">
        <f t="shared" si="169"/>
        <v>2042</v>
      </c>
      <c r="H382" s="272">
        <f t="shared" si="170"/>
        <v>2041</v>
      </c>
      <c r="I382" s="272">
        <f t="shared" si="170"/>
        <v>2042</v>
      </c>
      <c r="K382" s="272">
        <f t="shared" si="171"/>
        <v>2041</v>
      </c>
      <c r="L382" s="272">
        <f t="shared" si="171"/>
        <v>2042</v>
      </c>
      <c r="N382" s="272">
        <f t="shared" si="172"/>
        <v>2041</v>
      </c>
      <c r="O382" s="272">
        <f t="shared" si="172"/>
        <v>2042</v>
      </c>
    </row>
    <row r="383" spans="1:15" x14ac:dyDescent="0.3">
      <c r="A383" s="272" t="s">
        <v>1010</v>
      </c>
      <c r="B383" s="272" t="s">
        <v>1073</v>
      </c>
      <c r="D383" s="272">
        <v>17</v>
      </c>
      <c r="E383" s="272">
        <f t="shared" si="169"/>
        <v>2042</v>
      </c>
      <c r="F383" s="272">
        <f t="shared" si="169"/>
        <v>2043</v>
      </c>
      <c r="H383" s="272">
        <f t="shared" si="170"/>
        <v>2042</v>
      </c>
      <c r="I383" s="272">
        <f t="shared" si="170"/>
        <v>2043</v>
      </c>
      <c r="K383" s="272">
        <f t="shared" si="171"/>
        <v>2042</v>
      </c>
      <c r="L383" s="272">
        <f t="shared" si="171"/>
        <v>2043</v>
      </c>
      <c r="N383" s="272">
        <f t="shared" si="172"/>
        <v>2042</v>
      </c>
      <c r="O383" s="272">
        <f t="shared" si="172"/>
        <v>2043</v>
      </c>
    </row>
    <row r="384" spans="1:15" x14ac:dyDescent="0.3">
      <c r="A384" s="272" t="s">
        <v>1010</v>
      </c>
      <c r="B384" s="272" t="s">
        <v>1074</v>
      </c>
      <c r="D384" s="272">
        <v>18</v>
      </c>
      <c r="E384" s="272">
        <f t="shared" si="169"/>
        <v>2043</v>
      </c>
      <c r="F384" s="272">
        <f t="shared" si="169"/>
        <v>2044</v>
      </c>
      <c r="H384" s="272">
        <f t="shared" si="170"/>
        <v>2043</v>
      </c>
      <c r="I384" s="272">
        <f t="shared" si="170"/>
        <v>2044</v>
      </c>
      <c r="K384" s="272">
        <f t="shared" si="171"/>
        <v>2043</v>
      </c>
      <c r="L384" s="272">
        <f t="shared" si="171"/>
        <v>2044</v>
      </c>
      <c r="N384" s="272">
        <f t="shared" si="172"/>
        <v>2043</v>
      </c>
      <c r="O384" s="272">
        <f t="shared" si="172"/>
        <v>2044</v>
      </c>
    </row>
    <row r="385" spans="1:15" x14ac:dyDescent="0.3">
      <c r="A385" s="272" t="s">
        <v>1010</v>
      </c>
      <c r="B385" s="272" t="s">
        <v>1075</v>
      </c>
      <c r="D385" s="272">
        <v>19</v>
      </c>
      <c r="E385" s="272">
        <f t="shared" si="169"/>
        <v>2044</v>
      </c>
      <c r="F385" s="272">
        <f t="shared" si="169"/>
        <v>2045</v>
      </c>
      <c r="H385" s="272">
        <f t="shared" si="170"/>
        <v>2044</v>
      </c>
      <c r="I385" s="272">
        <f t="shared" si="170"/>
        <v>2045</v>
      </c>
      <c r="K385" s="272">
        <f t="shared" si="171"/>
        <v>2044</v>
      </c>
      <c r="L385" s="272">
        <f t="shared" si="171"/>
        <v>2045</v>
      </c>
      <c r="N385" s="272">
        <f t="shared" si="172"/>
        <v>2044</v>
      </c>
      <c r="O385" s="272">
        <f t="shared" si="172"/>
        <v>2045</v>
      </c>
    </row>
    <row r="386" spans="1:15" x14ac:dyDescent="0.3">
      <c r="A386" s="274" t="s">
        <v>1010</v>
      </c>
      <c r="B386" s="274" t="s">
        <v>1076</v>
      </c>
      <c r="C386" s="274"/>
      <c r="D386" s="274">
        <v>20</v>
      </c>
      <c r="E386" s="274">
        <f t="shared" si="169"/>
        <v>2045</v>
      </c>
      <c r="F386" s="274">
        <f t="shared" si="169"/>
        <v>2046</v>
      </c>
      <c r="H386" s="274">
        <f t="shared" si="170"/>
        <v>2045</v>
      </c>
      <c r="I386" s="274">
        <f t="shared" si="170"/>
        <v>2046</v>
      </c>
      <c r="K386" s="274">
        <f t="shared" si="171"/>
        <v>2045</v>
      </c>
      <c r="L386" s="274">
        <f t="shared" si="171"/>
        <v>2046</v>
      </c>
      <c r="M386" s="274"/>
      <c r="N386" s="274">
        <f t="shared" si="172"/>
        <v>2045</v>
      </c>
      <c r="O386" s="274">
        <f t="shared" si="172"/>
        <v>2046</v>
      </c>
    </row>
    <row r="387" spans="1:15" x14ac:dyDescent="0.3">
      <c r="A387" s="272" t="s">
        <v>1108</v>
      </c>
      <c r="B387" s="272" t="s">
        <v>1037</v>
      </c>
      <c r="D387" s="272">
        <v>1</v>
      </c>
      <c r="E387" s="272">
        <f t="shared" ref="E387:E406" si="173">IF($D387&gt;E$32,0,1)</f>
        <v>0</v>
      </c>
      <c r="F387" s="272">
        <f t="shared" ref="F387:F402" si="174">IF($D387&gt;F$32,0,1)</f>
        <v>0</v>
      </c>
      <c r="H387" s="272">
        <f t="shared" ref="H387:I406" si="175">IF($D387&gt;H$32,0,1)</f>
        <v>0</v>
      </c>
      <c r="I387" s="272">
        <f t="shared" si="175"/>
        <v>0</v>
      </c>
      <c r="K387" s="272">
        <f t="shared" ref="K387:L406" si="176">IF($D387&gt;K$32,0,1)</f>
        <v>0</v>
      </c>
      <c r="L387" s="272">
        <f t="shared" si="176"/>
        <v>0</v>
      </c>
      <c r="N387" s="272">
        <f t="shared" ref="N387:O406" si="177">IF($D387&gt;N$32,0,1)</f>
        <v>0</v>
      </c>
      <c r="O387" s="272">
        <f t="shared" si="177"/>
        <v>0</v>
      </c>
    </row>
    <row r="388" spans="1:15" x14ac:dyDescent="0.3">
      <c r="A388" s="272" t="s">
        <v>1108</v>
      </c>
      <c r="B388" s="272" t="s">
        <v>1038</v>
      </c>
      <c r="D388" s="272">
        <v>2</v>
      </c>
      <c r="E388" s="272">
        <f t="shared" si="173"/>
        <v>0</v>
      </c>
      <c r="F388" s="272">
        <f t="shared" si="174"/>
        <v>0</v>
      </c>
      <c r="H388" s="272">
        <f t="shared" si="175"/>
        <v>0</v>
      </c>
      <c r="I388" s="272">
        <f t="shared" si="175"/>
        <v>0</v>
      </c>
      <c r="K388" s="272">
        <f t="shared" si="176"/>
        <v>0</v>
      </c>
      <c r="L388" s="272">
        <f t="shared" si="176"/>
        <v>0</v>
      </c>
      <c r="N388" s="272">
        <f t="shared" si="177"/>
        <v>0</v>
      </c>
      <c r="O388" s="272">
        <f t="shared" si="177"/>
        <v>0</v>
      </c>
    </row>
    <row r="389" spans="1:15" x14ac:dyDescent="0.3">
      <c r="A389" s="272" t="s">
        <v>1108</v>
      </c>
      <c r="B389" s="272" t="s">
        <v>1039</v>
      </c>
      <c r="D389" s="272">
        <v>3</v>
      </c>
      <c r="E389" s="272">
        <f t="shared" si="173"/>
        <v>0</v>
      </c>
      <c r="F389" s="272">
        <f t="shared" si="174"/>
        <v>0</v>
      </c>
      <c r="H389" s="272">
        <f t="shared" si="175"/>
        <v>0</v>
      </c>
      <c r="I389" s="272">
        <f t="shared" si="175"/>
        <v>0</v>
      </c>
      <c r="K389" s="272">
        <f t="shared" si="176"/>
        <v>0</v>
      </c>
      <c r="L389" s="272">
        <f t="shared" si="176"/>
        <v>0</v>
      </c>
      <c r="N389" s="272">
        <f t="shared" si="177"/>
        <v>0</v>
      </c>
      <c r="O389" s="272">
        <f t="shared" si="177"/>
        <v>0</v>
      </c>
    </row>
    <row r="390" spans="1:15" x14ac:dyDescent="0.3">
      <c r="A390" s="272" t="s">
        <v>1108</v>
      </c>
      <c r="B390" s="272" t="s">
        <v>1040</v>
      </c>
      <c r="D390" s="272">
        <v>4</v>
      </c>
      <c r="E390" s="272">
        <f t="shared" si="173"/>
        <v>0</v>
      </c>
      <c r="F390" s="272">
        <f t="shared" si="174"/>
        <v>0</v>
      </c>
      <c r="H390" s="272">
        <f t="shared" si="175"/>
        <v>0</v>
      </c>
      <c r="I390" s="272">
        <f t="shared" si="175"/>
        <v>0</v>
      </c>
      <c r="K390" s="272">
        <f t="shared" si="176"/>
        <v>0</v>
      </c>
      <c r="L390" s="272">
        <f t="shared" si="176"/>
        <v>0</v>
      </c>
      <c r="N390" s="272">
        <f t="shared" si="177"/>
        <v>0</v>
      </c>
      <c r="O390" s="272">
        <f t="shared" si="177"/>
        <v>0</v>
      </c>
    </row>
    <row r="391" spans="1:15" x14ac:dyDescent="0.3">
      <c r="A391" s="272" t="s">
        <v>1108</v>
      </c>
      <c r="B391" s="272" t="s">
        <v>1041</v>
      </c>
      <c r="D391" s="272">
        <v>5</v>
      </c>
      <c r="E391" s="272">
        <f t="shared" si="173"/>
        <v>0</v>
      </c>
      <c r="F391" s="272">
        <f t="shared" si="174"/>
        <v>0</v>
      </c>
      <c r="H391" s="272">
        <f t="shared" si="175"/>
        <v>0</v>
      </c>
      <c r="I391" s="272">
        <f t="shared" si="175"/>
        <v>0</v>
      </c>
      <c r="K391" s="272">
        <f t="shared" si="176"/>
        <v>0</v>
      </c>
      <c r="L391" s="272">
        <f t="shared" si="176"/>
        <v>0</v>
      </c>
      <c r="N391" s="272">
        <f t="shared" si="177"/>
        <v>0</v>
      </c>
      <c r="O391" s="272">
        <f t="shared" si="177"/>
        <v>0</v>
      </c>
    </row>
    <row r="392" spans="1:15" x14ac:dyDescent="0.3">
      <c r="A392" s="272" t="s">
        <v>1108</v>
      </c>
      <c r="B392" s="272" t="s">
        <v>1042</v>
      </c>
      <c r="D392" s="272">
        <v>6</v>
      </c>
      <c r="E392" s="272">
        <f t="shared" si="173"/>
        <v>0</v>
      </c>
      <c r="F392" s="272">
        <f t="shared" si="174"/>
        <v>0</v>
      </c>
      <c r="H392" s="272">
        <f t="shared" si="175"/>
        <v>0</v>
      </c>
      <c r="I392" s="272">
        <f t="shared" si="175"/>
        <v>0</v>
      </c>
      <c r="K392" s="272">
        <f t="shared" si="176"/>
        <v>0</v>
      </c>
      <c r="L392" s="272">
        <f t="shared" si="176"/>
        <v>0</v>
      </c>
      <c r="N392" s="272">
        <f t="shared" si="177"/>
        <v>0</v>
      </c>
      <c r="O392" s="272">
        <f t="shared" si="177"/>
        <v>0</v>
      </c>
    </row>
    <row r="393" spans="1:15" x14ac:dyDescent="0.3">
      <c r="A393" s="272" t="s">
        <v>1108</v>
      </c>
      <c r="B393" s="272" t="s">
        <v>1043</v>
      </c>
      <c r="D393" s="272">
        <v>7</v>
      </c>
      <c r="E393" s="272">
        <f t="shared" si="173"/>
        <v>0</v>
      </c>
      <c r="F393" s="272">
        <f t="shared" si="174"/>
        <v>0</v>
      </c>
      <c r="H393" s="272">
        <f t="shared" si="175"/>
        <v>0</v>
      </c>
      <c r="I393" s="272">
        <f t="shared" si="175"/>
        <v>0</v>
      </c>
      <c r="K393" s="272">
        <f t="shared" si="176"/>
        <v>0</v>
      </c>
      <c r="L393" s="272">
        <f t="shared" si="176"/>
        <v>0</v>
      </c>
      <c r="N393" s="272">
        <f t="shared" si="177"/>
        <v>0</v>
      </c>
      <c r="O393" s="272">
        <f t="shared" si="177"/>
        <v>0</v>
      </c>
    </row>
    <row r="394" spans="1:15" x14ac:dyDescent="0.3">
      <c r="A394" s="272" t="s">
        <v>1108</v>
      </c>
      <c r="B394" s="272" t="s">
        <v>1044</v>
      </c>
      <c r="D394" s="272">
        <v>8</v>
      </c>
      <c r="E394" s="272">
        <f t="shared" si="173"/>
        <v>0</v>
      </c>
      <c r="F394" s="272">
        <f t="shared" si="174"/>
        <v>0</v>
      </c>
      <c r="H394" s="272">
        <f t="shared" si="175"/>
        <v>0</v>
      </c>
      <c r="I394" s="272">
        <f t="shared" si="175"/>
        <v>0</v>
      </c>
      <c r="K394" s="272">
        <f t="shared" si="176"/>
        <v>0</v>
      </c>
      <c r="L394" s="272">
        <f t="shared" si="176"/>
        <v>0</v>
      </c>
      <c r="N394" s="272">
        <f t="shared" si="177"/>
        <v>0</v>
      </c>
      <c r="O394" s="272">
        <f t="shared" si="177"/>
        <v>0</v>
      </c>
    </row>
    <row r="395" spans="1:15" x14ac:dyDescent="0.3">
      <c r="A395" s="272" t="s">
        <v>1108</v>
      </c>
      <c r="B395" s="272" t="s">
        <v>1045</v>
      </c>
      <c r="D395" s="272">
        <v>9</v>
      </c>
      <c r="E395" s="272">
        <f t="shared" si="173"/>
        <v>0</v>
      </c>
      <c r="F395" s="272">
        <f t="shared" si="174"/>
        <v>0</v>
      </c>
      <c r="H395" s="272">
        <f t="shared" si="175"/>
        <v>0</v>
      </c>
      <c r="I395" s="272">
        <f t="shared" si="175"/>
        <v>0</v>
      </c>
      <c r="K395" s="272">
        <f t="shared" si="176"/>
        <v>0</v>
      </c>
      <c r="L395" s="272">
        <f t="shared" si="176"/>
        <v>0</v>
      </c>
      <c r="N395" s="272">
        <f t="shared" si="177"/>
        <v>0</v>
      </c>
      <c r="O395" s="272">
        <f t="shared" si="177"/>
        <v>0</v>
      </c>
    </row>
    <row r="396" spans="1:15" x14ac:dyDescent="0.3">
      <c r="A396" s="272" t="s">
        <v>1108</v>
      </c>
      <c r="B396" s="272" t="s">
        <v>1046</v>
      </c>
      <c r="D396" s="272">
        <v>10</v>
      </c>
      <c r="E396" s="272">
        <f t="shared" si="173"/>
        <v>0</v>
      </c>
      <c r="F396" s="272">
        <f t="shared" si="174"/>
        <v>0</v>
      </c>
      <c r="H396" s="272">
        <f t="shared" si="175"/>
        <v>0</v>
      </c>
      <c r="I396" s="272">
        <f t="shared" si="175"/>
        <v>0</v>
      </c>
      <c r="K396" s="272">
        <f t="shared" si="176"/>
        <v>0</v>
      </c>
      <c r="L396" s="272">
        <f t="shared" si="176"/>
        <v>0</v>
      </c>
      <c r="N396" s="272">
        <f t="shared" si="177"/>
        <v>0</v>
      </c>
      <c r="O396" s="272">
        <f t="shared" si="177"/>
        <v>0</v>
      </c>
    </row>
    <row r="397" spans="1:15" x14ac:dyDescent="0.3">
      <c r="A397" s="272" t="s">
        <v>1108</v>
      </c>
      <c r="B397" s="272" t="s">
        <v>1047</v>
      </c>
      <c r="D397" s="272">
        <v>11</v>
      </c>
      <c r="E397" s="272">
        <f t="shared" si="173"/>
        <v>0</v>
      </c>
      <c r="F397" s="272">
        <f t="shared" si="174"/>
        <v>0</v>
      </c>
      <c r="H397" s="272">
        <f t="shared" si="175"/>
        <v>0</v>
      </c>
      <c r="I397" s="272">
        <f t="shared" si="175"/>
        <v>0</v>
      </c>
      <c r="K397" s="272">
        <f t="shared" si="176"/>
        <v>0</v>
      </c>
      <c r="L397" s="272">
        <f t="shared" si="176"/>
        <v>0</v>
      </c>
      <c r="N397" s="272">
        <f t="shared" si="177"/>
        <v>0</v>
      </c>
      <c r="O397" s="272">
        <f t="shared" si="177"/>
        <v>0</v>
      </c>
    </row>
    <row r="398" spans="1:15" x14ac:dyDescent="0.3">
      <c r="A398" s="272" t="s">
        <v>1108</v>
      </c>
      <c r="B398" s="272" t="s">
        <v>1048</v>
      </c>
      <c r="D398" s="272">
        <v>12</v>
      </c>
      <c r="E398" s="272">
        <f t="shared" si="173"/>
        <v>0</v>
      </c>
      <c r="F398" s="272">
        <f t="shared" si="174"/>
        <v>0</v>
      </c>
      <c r="H398" s="272">
        <f t="shared" si="175"/>
        <v>0</v>
      </c>
      <c r="I398" s="272">
        <f t="shared" si="175"/>
        <v>0</v>
      </c>
      <c r="K398" s="272">
        <f t="shared" si="176"/>
        <v>0</v>
      </c>
      <c r="L398" s="272">
        <f t="shared" si="176"/>
        <v>0</v>
      </c>
      <c r="N398" s="272">
        <f t="shared" si="177"/>
        <v>0</v>
      </c>
      <c r="O398" s="272">
        <f t="shared" si="177"/>
        <v>0</v>
      </c>
    </row>
    <row r="399" spans="1:15" x14ac:dyDescent="0.3">
      <c r="A399" s="272" t="s">
        <v>1108</v>
      </c>
      <c r="B399" s="272" t="s">
        <v>1049</v>
      </c>
      <c r="D399" s="272">
        <v>13</v>
      </c>
      <c r="E399" s="272">
        <f t="shared" si="173"/>
        <v>0</v>
      </c>
      <c r="F399" s="272">
        <f t="shared" si="174"/>
        <v>0</v>
      </c>
      <c r="H399" s="272">
        <f t="shared" si="175"/>
        <v>0</v>
      </c>
      <c r="I399" s="272">
        <f t="shared" si="175"/>
        <v>0</v>
      </c>
      <c r="K399" s="272">
        <f t="shared" si="176"/>
        <v>0</v>
      </c>
      <c r="L399" s="272">
        <f t="shared" si="176"/>
        <v>0</v>
      </c>
      <c r="N399" s="272">
        <f t="shared" si="177"/>
        <v>0</v>
      </c>
      <c r="O399" s="272">
        <f t="shared" si="177"/>
        <v>0</v>
      </c>
    </row>
    <row r="400" spans="1:15" x14ac:dyDescent="0.3">
      <c r="A400" s="272" t="s">
        <v>1108</v>
      </c>
      <c r="B400" s="272" t="s">
        <v>1050</v>
      </c>
      <c r="D400" s="272">
        <v>14</v>
      </c>
      <c r="E400" s="272">
        <f t="shared" si="173"/>
        <v>0</v>
      </c>
      <c r="F400" s="272">
        <f t="shared" si="174"/>
        <v>0</v>
      </c>
      <c r="H400" s="272">
        <f t="shared" si="175"/>
        <v>0</v>
      </c>
      <c r="I400" s="272">
        <f t="shared" si="175"/>
        <v>0</v>
      </c>
      <c r="K400" s="272">
        <f t="shared" si="176"/>
        <v>0</v>
      </c>
      <c r="L400" s="272">
        <f t="shared" si="176"/>
        <v>0</v>
      </c>
      <c r="N400" s="272">
        <f t="shared" si="177"/>
        <v>0</v>
      </c>
      <c r="O400" s="272">
        <f t="shared" si="177"/>
        <v>0</v>
      </c>
    </row>
    <row r="401" spans="1:15" x14ac:dyDescent="0.3">
      <c r="A401" s="272" t="s">
        <v>1108</v>
      </c>
      <c r="B401" s="272" t="s">
        <v>1051</v>
      </c>
      <c r="D401" s="272">
        <v>15</v>
      </c>
      <c r="E401" s="272">
        <f t="shared" si="173"/>
        <v>0</v>
      </c>
      <c r="F401" s="272">
        <f t="shared" si="174"/>
        <v>0</v>
      </c>
      <c r="H401" s="272">
        <f t="shared" si="175"/>
        <v>0</v>
      </c>
      <c r="I401" s="272">
        <f t="shared" si="175"/>
        <v>0</v>
      </c>
      <c r="K401" s="272">
        <f t="shared" si="176"/>
        <v>0</v>
      </c>
      <c r="L401" s="272">
        <f t="shared" si="176"/>
        <v>0</v>
      </c>
      <c r="N401" s="272">
        <f t="shared" si="177"/>
        <v>0</v>
      </c>
      <c r="O401" s="272">
        <f t="shared" si="177"/>
        <v>0</v>
      </c>
    </row>
    <row r="402" spans="1:15" x14ac:dyDescent="0.3">
      <c r="A402" s="272" t="s">
        <v>1108</v>
      </c>
      <c r="B402" s="272" t="s">
        <v>1052</v>
      </c>
      <c r="D402" s="272">
        <v>16</v>
      </c>
      <c r="E402" s="272">
        <f t="shared" si="173"/>
        <v>0</v>
      </c>
      <c r="F402" s="272">
        <f t="shared" si="174"/>
        <v>0</v>
      </c>
      <c r="H402" s="272">
        <f t="shared" si="175"/>
        <v>0</v>
      </c>
      <c r="I402" s="272">
        <f t="shared" si="175"/>
        <v>0</v>
      </c>
      <c r="K402" s="272">
        <f t="shared" si="176"/>
        <v>0</v>
      </c>
      <c r="L402" s="272">
        <f t="shared" si="176"/>
        <v>0</v>
      </c>
      <c r="N402" s="272">
        <f t="shared" si="177"/>
        <v>0</v>
      </c>
      <c r="O402" s="272">
        <f t="shared" si="177"/>
        <v>0</v>
      </c>
    </row>
    <row r="403" spans="1:15" x14ac:dyDescent="0.3">
      <c r="A403" s="272" t="s">
        <v>1108</v>
      </c>
      <c r="B403" s="272" t="s">
        <v>1053</v>
      </c>
      <c r="D403" s="272">
        <v>17</v>
      </c>
      <c r="E403" s="272">
        <f t="shared" si="173"/>
        <v>0</v>
      </c>
      <c r="F403" s="272">
        <f t="shared" ref="F403:F406" si="178">IF($D403&gt;F$32,0,1)</f>
        <v>0</v>
      </c>
      <c r="H403" s="272">
        <f t="shared" si="175"/>
        <v>0</v>
      </c>
      <c r="I403" s="272">
        <f t="shared" si="175"/>
        <v>0</v>
      </c>
      <c r="K403" s="272">
        <f t="shared" si="176"/>
        <v>0</v>
      </c>
      <c r="L403" s="272">
        <f t="shared" si="176"/>
        <v>0</v>
      </c>
      <c r="N403" s="272">
        <f t="shared" si="177"/>
        <v>0</v>
      </c>
      <c r="O403" s="272">
        <f t="shared" si="177"/>
        <v>0</v>
      </c>
    </row>
    <row r="404" spans="1:15" x14ac:dyDescent="0.3">
      <c r="A404" s="272" t="s">
        <v>1108</v>
      </c>
      <c r="B404" s="272" t="s">
        <v>1054</v>
      </c>
      <c r="D404" s="272">
        <v>18</v>
      </c>
      <c r="E404" s="272">
        <f t="shared" si="173"/>
        <v>0</v>
      </c>
      <c r="F404" s="272">
        <f t="shared" si="178"/>
        <v>0</v>
      </c>
      <c r="H404" s="272">
        <f t="shared" si="175"/>
        <v>0</v>
      </c>
      <c r="I404" s="272">
        <f t="shared" si="175"/>
        <v>0</v>
      </c>
      <c r="K404" s="272">
        <f t="shared" si="176"/>
        <v>0</v>
      </c>
      <c r="L404" s="272">
        <f t="shared" si="176"/>
        <v>0</v>
      </c>
      <c r="N404" s="272">
        <f t="shared" si="177"/>
        <v>0</v>
      </c>
      <c r="O404" s="272">
        <f t="shared" si="177"/>
        <v>0</v>
      </c>
    </row>
    <row r="405" spans="1:15" x14ac:dyDescent="0.3">
      <c r="A405" s="272" t="s">
        <v>1108</v>
      </c>
      <c r="B405" s="272" t="s">
        <v>1055</v>
      </c>
      <c r="D405" s="272">
        <v>19</v>
      </c>
      <c r="E405" s="272">
        <f t="shared" si="173"/>
        <v>0</v>
      </c>
      <c r="F405" s="272">
        <f t="shared" si="178"/>
        <v>0</v>
      </c>
      <c r="H405" s="272">
        <f t="shared" si="175"/>
        <v>0</v>
      </c>
      <c r="I405" s="272">
        <f t="shared" si="175"/>
        <v>0</v>
      </c>
      <c r="K405" s="272">
        <f t="shared" si="176"/>
        <v>0</v>
      </c>
      <c r="L405" s="272">
        <f t="shared" si="176"/>
        <v>0</v>
      </c>
      <c r="N405" s="272">
        <f t="shared" si="177"/>
        <v>0</v>
      </c>
      <c r="O405" s="272">
        <f t="shared" si="177"/>
        <v>0</v>
      </c>
    </row>
    <row r="406" spans="1:15" x14ac:dyDescent="0.3">
      <c r="A406" s="272" t="s">
        <v>1108</v>
      </c>
      <c r="B406" s="272" t="s">
        <v>1056</v>
      </c>
      <c r="D406" s="272">
        <v>20</v>
      </c>
      <c r="E406" s="272">
        <f t="shared" si="173"/>
        <v>0</v>
      </c>
      <c r="F406" s="272">
        <f t="shared" si="178"/>
        <v>0</v>
      </c>
      <c r="H406" s="272">
        <f t="shared" si="175"/>
        <v>0</v>
      </c>
      <c r="I406" s="272">
        <f t="shared" si="175"/>
        <v>0</v>
      </c>
      <c r="K406" s="272">
        <f t="shared" si="176"/>
        <v>0</v>
      </c>
      <c r="L406" s="272">
        <f t="shared" si="176"/>
        <v>0</v>
      </c>
      <c r="N406" s="272">
        <f t="shared" si="177"/>
        <v>0</v>
      </c>
      <c r="O406" s="272">
        <f t="shared" si="177"/>
        <v>0</v>
      </c>
    </row>
  </sheetData>
  <dataValidations count="2">
    <dataValidation type="list" allowBlank="1" showInputMessage="1" sqref="H14:H20 E14:E20 K14:K20 N14:N20" xr:uid="{00000000-0002-0000-0400-000000000000}">
      <formula1>"default,#N/B"</formula1>
    </dataValidation>
    <dataValidation type="list" allowBlank="1" showInputMessage="1" sqref="N12:N13 E12:E13 K12:K13 H12:H13 F13 I13 L13 O13" xr:uid="{00000000-0002-0000-0400-000001000000}">
      <formula1>$E$81</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
    <tabColor theme="1"/>
  </sheetPr>
  <dimension ref="B2:N39"/>
  <sheetViews>
    <sheetView zoomScaleNormal="100" workbookViewId="0">
      <selection activeCell="E33" sqref="E33"/>
    </sheetView>
  </sheetViews>
  <sheetFormatPr defaultRowHeight="15" x14ac:dyDescent="0.3"/>
  <cols>
    <col min="2" max="2" width="20.85546875" bestFit="1" customWidth="1"/>
    <col min="3" max="3" width="37" bestFit="1" customWidth="1"/>
    <col min="4" max="4" width="16" bestFit="1" customWidth="1"/>
    <col min="5" max="5" width="10" bestFit="1" customWidth="1"/>
    <col min="12" max="12" width="9.7109375" bestFit="1" customWidth="1"/>
  </cols>
  <sheetData>
    <row r="2" spans="2:14" ht="21" thickBot="1" x14ac:dyDescent="0.4">
      <c r="B2" s="86" t="s">
        <v>544</v>
      </c>
      <c r="C2" s="86"/>
      <c r="D2" s="86"/>
      <c r="E2" s="86"/>
      <c r="J2" t="str">
        <f>"TCO resultaat (€ "&amp;INDEX(calc_TCO!K13:K17,MATCH(input_eenheid,calc_TCO!$J$13:$J$17,0))&amp;  ") - "&amp;input_zichtjaar</f>
        <v>TCO resultaat (€ per 0 jaar) - 0</v>
      </c>
    </row>
    <row r="3" spans="2:14" ht="15.75" thickTop="1" x14ac:dyDescent="0.3">
      <c r="G3" t="e">
        <f>MATCH(G4,$D$5:$E$5,0)</f>
        <v>#N/A</v>
      </c>
    </row>
    <row r="4" spans="2:14" x14ac:dyDescent="0.3">
      <c r="G4">
        <f>input_zichtjaar</f>
        <v>0</v>
      </c>
    </row>
    <row r="5" spans="2:14" ht="21" thickBot="1" x14ac:dyDescent="0.4">
      <c r="B5" s="86" t="s">
        <v>1402</v>
      </c>
      <c r="C5" s="86">
        <f>Selectie_voertuigen!C5</f>
        <v>0</v>
      </c>
      <c r="D5" s="86">
        <f>input_basisjaar</f>
        <v>2025</v>
      </c>
      <c r="E5" s="86">
        <f>D5+1</f>
        <v>2026</v>
      </c>
      <c r="G5" s="128" t="str">
        <f>B5</f>
        <v>Taxi 1</v>
      </c>
      <c r="J5" s="38"/>
      <c r="K5" s="38" t="str">
        <f>calc_TCO!G5</f>
        <v>Taxi 1</v>
      </c>
      <c r="L5" s="38" t="str">
        <f>calc_TCO!G14</f>
        <v>Taxi 2</v>
      </c>
      <c r="M5" s="38" t="str">
        <f>calc_TCO!G23</f>
        <v>Taxi 3</v>
      </c>
      <c r="N5" s="38" t="str">
        <f>calc_TCO!G32</f>
        <v>Taxi 4</v>
      </c>
    </row>
    <row r="6" spans="2:14" ht="15.75" thickTop="1" x14ac:dyDescent="0.3">
      <c r="B6" s="3" t="str">
        <f>calc_COSTREAM!B70</f>
        <v>afschrijving</v>
      </c>
      <c r="D6" s="311" t="e">
        <f>IF(ISERROR(calc_COSTREAM!E$5),#N/A,calc_COSTREAM!E70)</f>
        <v>#N/A</v>
      </c>
      <c r="E6" s="311" t="e">
        <f>IF(ISERROR(calc_COSTREAM!F$5),#N/A,calc_COSTREAM!F70)</f>
        <v>#N/A</v>
      </c>
      <c r="G6" s="196" t="e">
        <f>INDEX(D6:E6,,$G$3)</f>
        <v>#N/A</v>
      </c>
      <c r="J6" s="38" t="s">
        <v>55</v>
      </c>
      <c r="K6" s="127" t="e">
        <f>calc_TCO!G6</f>
        <v>#N/A</v>
      </c>
      <c r="L6" s="127" t="e">
        <f>calc_TCO!G15</f>
        <v>#N/A</v>
      </c>
      <c r="M6" s="127" t="e">
        <f>calc_TCO!G24</f>
        <v>#N/A</v>
      </c>
      <c r="N6" s="127" t="e">
        <f>calc_TCO!G33</f>
        <v>#N/A</v>
      </c>
    </row>
    <row r="7" spans="2:14" x14ac:dyDescent="0.3">
      <c r="B7" s="3" t="str">
        <f>calc_COSTREAM!B71</f>
        <v>verzekering</v>
      </c>
      <c r="D7" s="311" t="e">
        <f>IF(ISERROR(calc_COSTREAM!E$5),#N/A,calc_COSTREAM!E71)</f>
        <v>#N/A</v>
      </c>
      <c r="E7" s="311" t="e">
        <f>IF(ISERROR(calc_COSTREAM!F$5),#N/A,calc_COSTREAM!F71)</f>
        <v>#N/A</v>
      </c>
      <c r="G7" s="196" t="e">
        <f t="shared" ref="G7:G12" si="0">INDEX(D7:E7,,$G$3)</f>
        <v>#N/A</v>
      </c>
      <c r="J7" s="38" t="s">
        <v>1130</v>
      </c>
      <c r="K7" s="127" t="e">
        <f>calc_TCO!G7</f>
        <v>#N/A</v>
      </c>
      <c r="L7" s="127" t="e">
        <f>calc_TCO!G16</f>
        <v>#N/A</v>
      </c>
      <c r="M7" s="127" t="e">
        <f>calc_TCO!G25</f>
        <v>#N/A</v>
      </c>
      <c r="N7" s="127" t="e">
        <f>calc_TCO!G34</f>
        <v>#N/A</v>
      </c>
    </row>
    <row r="8" spans="2:14" x14ac:dyDescent="0.3">
      <c r="B8" s="3" t="str">
        <f>calc_COSTREAM!B72</f>
        <v>mrb</v>
      </c>
      <c r="D8" s="311" t="e">
        <f>IF(ISERROR(calc_COSTREAM!E$5),#N/A,calc_COSTREAM!E72)</f>
        <v>#N/A</v>
      </c>
      <c r="E8" s="311" t="e">
        <f>IF(ISERROR(calc_COSTREAM!F$5),#N/A,calc_COSTREAM!F72)</f>
        <v>#N/A</v>
      </c>
      <c r="G8" s="196" t="e">
        <f t="shared" si="0"/>
        <v>#N/A</v>
      </c>
      <c r="J8" s="38" t="s">
        <v>1131</v>
      </c>
      <c r="K8" s="127" t="e">
        <f>calc_TCO!G8</f>
        <v>#N/A</v>
      </c>
      <c r="L8" s="127" t="e">
        <f>calc_TCO!G17</f>
        <v>#N/A</v>
      </c>
      <c r="M8" s="127" t="e">
        <f>calc_TCO!G26</f>
        <v>#N/A</v>
      </c>
      <c r="N8" s="127" t="e">
        <f>calc_TCO!G35</f>
        <v>#N/A</v>
      </c>
    </row>
    <row r="9" spans="2:14" x14ac:dyDescent="0.3">
      <c r="B9" s="3" t="str">
        <f>calc_COSTREAM!B73</f>
        <v>rob</v>
      </c>
      <c r="D9" s="311" t="e">
        <f>IF(ISERROR(calc_COSTREAM!E$5),#N/A,calc_COSTREAM!E73)</f>
        <v>#N/A</v>
      </c>
      <c r="E9" s="311" t="e">
        <f>IF(ISERROR(calc_COSTREAM!F$5),#N/A,calc_COSTREAM!F73)</f>
        <v>#N/A</v>
      </c>
      <c r="G9" s="196" t="e">
        <f t="shared" si="0"/>
        <v>#N/A</v>
      </c>
      <c r="J9" s="38" t="s">
        <v>1132</v>
      </c>
      <c r="K9" s="127" t="e">
        <f>calc_TCO!G9</f>
        <v>#N/A</v>
      </c>
      <c r="L9" s="127" t="e">
        <f>calc_TCO!G18</f>
        <v>#N/A</v>
      </c>
      <c r="M9" s="127" t="e">
        <f>calc_TCO!G27</f>
        <v>#N/A</v>
      </c>
      <c r="N9" s="127" t="e">
        <f>calc_TCO!G36</f>
        <v>#N/A</v>
      </c>
    </row>
    <row r="10" spans="2:14" x14ac:dyDescent="0.3">
      <c r="B10" s="3" t="str">
        <f>calc_COSTREAM!B74</f>
        <v>energie</v>
      </c>
      <c r="D10" s="311" t="e">
        <f>IF(ISERROR(calc_COSTREAM!E$5),#N/A,calc_COSTREAM!E74)</f>
        <v>#N/A</v>
      </c>
      <c r="E10" s="311" t="e">
        <f>IF(ISERROR(calc_COSTREAM!F$5),#N/A,calc_COSTREAM!F74)</f>
        <v>#N/A</v>
      </c>
      <c r="G10" s="196" t="e">
        <f t="shared" si="0"/>
        <v>#N/A</v>
      </c>
      <c r="J10" s="38" t="s">
        <v>1133</v>
      </c>
      <c r="K10" s="127" t="e">
        <f>calc_TCO!G10</f>
        <v>#N/A</v>
      </c>
      <c r="L10" s="127" t="e">
        <f>calc_TCO!G19</f>
        <v>#N/A</v>
      </c>
      <c r="M10" s="127" t="e">
        <f>calc_TCO!G28</f>
        <v>#N/A</v>
      </c>
      <c r="N10" s="127" t="e">
        <f>calc_TCO!G37</f>
        <v>#N/A</v>
      </c>
    </row>
    <row r="11" spans="2:14" x14ac:dyDescent="0.3">
      <c r="B11" s="3" t="str">
        <f>calc_COSTREAM!B75</f>
        <v>overig</v>
      </c>
      <c r="D11" s="311" t="e">
        <f>IF(ISERROR(calc_COSTREAM!E$5),#N/A,calc_COSTREAM!E75)</f>
        <v>#N/A</v>
      </c>
      <c r="E11" s="311" t="e">
        <f>IF(ISERROR(calc_COSTREAM!F$5),#N/A,calc_COSTREAM!F75)</f>
        <v>#N/A</v>
      </c>
      <c r="G11" s="196" t="e">
        <f t="shared" si="0"/>
        <v>#N/A</v>
      </c>
      <c r="J11" s="38" t="s">
        <v>1134</v>
      </c>
      <c r="K11" s="127" t="e">
        <f>calc_TCO!G11</f>
        <v>#N/A</v>
      </c>
      <c r="L11" s="127" t="e">
        <f>calc_TCO!G20</f>
        <v>#N/A</v>
      </c>
      <c r="M11" s="127" t="e">
        <f>calc_TCO!G29</f>
        <v>#N/A</v>
      </c>
      <c r="N11" s="127" t="e">
        <f>calc_TCO!G38</f>
        <v>#N/A</v>
      </c>
    </row>
    <row r="12" spans="2:14" x14ac:dyDescent="0.3">
      <c r="B12" s="3" t="str">
        <f>calc_COSTREAM!B76</f>
        <v>totaal</v>
      </c>
      <c r="D12" s="311" t="e">
        <f>SUM(D6:D11)</f>
        <v>#N/A</v>
      </c>
      <c r="E12" s="311" t="e">
        <f>SUM(E6:E11)</f>
        <v>#N/A</v>
      </c>
      <c r="G12" s="197" t="e">
        <f t="shared" si="0"/>
        <v>#N/A</v>
      </c>
    </row>
    <row r="13" spans="2:14" x14ac:dyDescent="0.3">
      <c r="J13" s="38" t="s">
        <v>265</v>
      </c>
      <c r="K13" s="38" t="s">
        <v>387</v>
      </c>
      <c r="L13" s="349" t="e">
        <f>1/input_gebruik</f>
        <v>#DIV/0!</v>
      </c>
    </row>
    <row r="14" spans="2:14" ht="21" thickBot="1" x14ac:dyDescent="0.4">
      <c r="B14" s="86" t="s">
        <v>1403</v>
      </c>
      <c r="C14" s="86">
        <f>Selectie_voertuigen!D5</f>
        <v>0</v>
      </c>
      <c r="D14" s="86">
        <f>D5</f>
        <v>2025</v>
      </c>
      <c r="E14" s="86">
        <f>E5</f>
        <v>2026</v>
      </c>
      <c r="G14" s="128" t="str">
        <f>B14</f>
        <v>Taxi 2</v>
      </c>
      <c r="J14" s="38" t="s">
        <v>266</v>
      </c>
      <c r="K14" s="38" t="s">
        <v>388</v>
      </c>
      <c r="L14" s="349" t="e">
        <f>L13/12</f>
        <v>#DIV/0!</v>
      </c>
    </row>
    <row r="15" spans="2:14" ht="15.75" thickTop="1" x14ac:dyDescent="0.3">
      <c r="B15" s="3" t="s">
        <v>55</v>
      </c>
      <c r="D15" s="311" t="e">
        <f>IF(ISERROR(calc_COSTREAM!H$5),#N/A,calc_COSTREAM!H70)</f>
        <v>#N/A</v>
      </c>
      <c r="E15" s="311" t="e">
        <f>IF(ISERROR(calc_COSTREAM!I$5),#N/A,calc_COSTREAM!I70)</f>
        <v>#N/A</v>
      </c>
      <c r="G15" s="196" t="e">
        <f>INDEX(D15:E15,,$G$3)</f>
        <v>#N/A</v>
      </c>
      <c r="J15" s="38" t="s">
        <v>267</v>
      </c>
      <c r="K15" s="38" t="s">
        <v>389</v>
      </c>
      <c r="L15" s="349" t="e">
        <f>L13*4</f>
        <v>#DIV/0!</v>
      </c>
    </row>
    <row r="16" spans="2:14" x14ac:dyDescent="0.3">
      <c r="B16" s="3" t="s">
        <v>1130</v>
      </c>
      <c r="D16" s="311" t="e">
        <f>IF(ISERROR(calc_COSTREAM!H$5),#N/A,calc_COSTREAM!H71)</f>
        <v>#N/A</v>
      </c>
      <c r="E16" s="311" t="e">
        <f>IF(ISERROR(calc_COSTREAM!I$5),#N/A,calc_COSTREAM!I71)</f>
        <v>#N/A</v>
      </c>
      <c r="G16" s="196" t="e">
        <f t="shared" ref="G16:G21" si="1">INDEX(D16:E16,,$G$3)</f>
        <v>#N/A</v>
      </c>
      <c r="J16" s="38" t="s">
        <v>268</v>
      </c>
      <c r="K16" s="38" t="str">
        <f>"per "&amp;input_gebruik&amp;" jaar"</f>
        <v>per 0 jaar</v>
      </c>
      <c r="L16" s="349">
        <v>1</v>
      </c>
    </row>
    <row r="17" spans="2:12" x14ac:dyDescent="0.3">
      <c r="B17" s="3" t="s">
        <v>1131</v>
      </c>
      <c r="D17" s="311" t="e">
        <f>IF(ISERROR(calc_COSTREAM!H$5),#N/A,calc_COSTREAM!H72)</f>
        <v>#N/A</v>
      </c>
      <c r="E17" s="311" t="e">
        <f>IF(ISERROR(calc_COSTREAM!I$5),#N/A,calc_COSTREAM!I72)</f>
        <v>#N/A</v>
      </c>
      <c r="G17" s="196" t="e">
        <f t="shared" si="1"/>
        <v>#N/A</v>
      </c>
      <c r="J17" s="38" t="s">
        <v>269</v>
      </c>
      <c r="K17" s="38" t="s">
        <v>390</v>
      </c>
      <c r="L17" s="349" t="e">
        <f>L13/input_jaarkm</f>
        <v>#DIV/0!</v>
      </c>
    </row>
    <row r="18" spans="2:12" x14ac:dyDescent="0.3">
      <c r="B18" s="3" t="s">
        <v>1132</v>
      </c>
      <c r="D18" s="311" t="e">
        <f>IF(ISERROR(calc_COSTREAM!H$5),#N/A,calc_COSTREAM!H73)</f>
        <v>#N/A</v>
      </c>
      <c r="E18" s="311" t="e">
        <f>IF(ISERROR(calc_COSTREAM!I$5),#N/A,calc_COSTREAM!I73)</f>
        <v>#N/A</v>
      </c>
      <c r="G18" s="196" t="e">
        <f t="shared" si="1"/>
        <v>#N/A</v>
      </c>
    </row>
    <row r="19" spans="2:12" x14ac:dyDescent="0.3">
      <c r="B19" s="3" t="s">
        <v>1133</v>
      </c>
      <c r="D19" s="311" t="e">
        <f>IF(ISERROR(calc_COSTREAM!H$5),#N/A,calc_COSTREAM!H74)</f>
        <v>#N/A</v>
      </c>
      <c r="E19" s="311" t="e">
        <f>IF(ISERROR(calc_COSTREAM!I$5),#N/A,calc_COSTREAM!I74)</f>
        <v>#N/A</v>
      </c>
      <c r="G19" s="196" t="e">
        <f t="shared" si="1"/>
        <v>#N/A</v>
      </c>
    </row>
    <row r="20" spans="2:12" x14ac:dyDescent="0.3">
      <c r="B20" s="3" t="s">
        <v>1134</v>
      </c>
      <c r="D20" s="311" t="e">
        <f>IF(ISERROR(calc_COSTREAM!H$5),#N/A,calc_COSTREAM!H75)</f>
        <v>#N/A</v>
      </c>
      <c r="E20" s="311" t="e">
        <f>IF(ISERROR(calc_COSTREAM!I$5),#N/A,calc_COSTREAM!I75)</f>
        <v>#N/A</v>
      </c>
      <c r="G20" s="196" t="e">
        <f t="shared" si="1"/>
        <v>#N/A</v>
      </c>
    </row>
    <row r="21" spans="2:12" x14ac:dyDescent="0.3">
      <c r="B21" s="3" t="s">
        <v>38</v>
      </c>
      <c r="D21" s="311" t="e">
        <f>SUM(D15:D20)</f>
        <v>#N/A</v>
      </c>
      <c r="E21" s="311" t="e">
        <f>SUM(E15:E20)</f>
        <v>#N/A</v>
      </c>
      <c r="G21" s="196" t="e">
        <f t="shared" si="1"/>
        <v>#N/A</v>
      </c>
    </row>
    <row r="23" spans="2:12" ht="21" thickBot="1" x14ac:dyDescent="0.4">
      <c r="B23" s="86" t="s">
        <v>1404</v>
      </c>
      <c r="C23" s="86">
        <f>Selectie_voertuigen!E5</f>
        <v>0</v>
      </c>
      <c r="D23" s="86">
        <f>D5</f>
        <v>2025</v>
      </c>
      <c r="E23" s="86">
        <f>E5</f>
        <v>2026</v>
      </c>
      <c r="G23" s="128" t="str">
        <f>B23</f>
        <v>Taxi 3</v>
      </c>
    </row>
    <row r="24" spans="2:12" ht="15.75" thickTop="1" x14ac:dyDescent="0.3">
      <c r="B24" s="3" t="s">
        <v>55</v>
      </c>
      <c r="D24" s="311" t="e">
        <f>IF(ISERROR(calc_COSTREAM!K$5),#N/A,calc_COSTREAM!K70)</f>
        <v>#N/A</v>
      </c>
      <c r="E24" s="311" t="e">
        <f>IF(ISERROR(calc_COSTREAM!L$5),#N/A,calc_COSTREAM!L70)</f>
        <v>#N/A</v>
      </c>
      <c r="G24" s="196" t="e">
        <f>INDEX(D24:E24,,$G$3)</f>
        <v>#N/A</v>
      </c>
    </row>
    <row r="25" spans="2:12" x14ac:dyDescent="0.3">
      <c r="B25" s="3" t="s">
        <v>1130</v>
      </c>
      <c r="D25" s="311" t="e">
        <f>IF(ISERROR(calc_COSTREAM!K$5),#N/A,calc_COSTREAM!K71)</f>
        <v>#N/A</v>
      </c>
      <c r="E25" s="311" t="e">
        <f>IF(ISERROR(calc_COSTREAM!L$5),#N/A,calc_COSTREAM!L71)</f>
        <v>#N/A</v>
      </c>
      <c r="G25" s="196" t="e">
        <f t="shared" ref="G25:G30" si="2">INDEX(D25:E25,,$G$3)</f>
        <v>#N/A</v>
      </c>
    </row>
    <row r="26" spans="2:12" x14ac:dyDescent="0.3">
      <c r="B26" s="3" t="s">
        <v>1131</v>
      </c>
      <c r="D26" s="311" t="e">
        <f>IF(ISERROR(calc_COSTREAM!K$5),#N/A,calc_COSTREAM!K72)</f>
        <v>#N/A</v>
      </c>
      <c r="E26" s="311" t="e">
        <f>IF(ISERROR(calc_COSTREAM!L$5),#N/A,calc_COSTREAM!L72)</f>
        <v>#N/A</v>
      </c>
      <c r="G26" s="196" t="e">
        <f t="shared" si="2"/>
        <v>#N/A</v>
      </c>
    </row>
    <row r="27" spans="2:12" x14ac:dyDescent="0.3">
      <c r="B27" s="3" t="s">
        <v>1132</v>
      </c>
      <c r="D27" s="311" t="e">
        <f>IF(ISERROR(calc_COSTREAM!K$5),#N/A,calc_COSTREAM!K73)</f>
        <v>#N/A</v>
      </c>
      <c r="E27" s="311" t="e">
        <f>IF(ISERROR(calc_COSTREAM!L$5),#N/A,calc_COSTREAM!L73)</f>
        <v>#N/A</v>
      </c>
      <c r="G27" s="196" t="e">
        <f t="shared" si="2"/>
        <v>#N/A</v>
      </c>
    </row>
    <row r="28" spans="2:12" x14ac:dyDescent="0.3">
      <c r="B28" s="3" t="s">
        <v>1133</v>
      </c>
      <c r="D28" s="311" t="e">
        <f>IF(ISERROR(calc_COSTREAM!K$5),#N/A,calc_COSTREAM!K74)</f>
        <v>#N/A</v>
      </c>
      <c r="E28" s="311" t="e">
        <f>IF(ISERROR(calc_COSTREAM!L$5),#N/A,calc_COSTREAM!L74)</f>
        <v>#N/A</v>
      </c>
      <c r="G28" s="196" t="e">
        <f t="shared" si="2"/>
        <v>#N/A</v>
      </c>
    </row>
    <row r="29" spans="2:12" x14ac:dyDescent="0.3">
      <c r="B29" s="3" t="s">
        <v>1134</v>
      </c>
      <c r="D29" s="311" t="e">
        <f>IF(ISERROR(calc_COSTREAM!K$5),#N/A,calc_COSTREAM!K75)</f>
        <v>#N/A</v>
      </c>
      <c r="E29" s="311" t="e">
        <f>IF(ISERROR(calc_COSTREAM!L$5),#N/A,calc_COSTREAM!L75)</f>
        <v>#N/A</v>
      </c>
      <c r="G29" s="196" t="e">
        <f t="shared" si="2"/>
        <v>#N/A</v>
      </c>
    </row>
    <row r="30" spans="2:12" x14ac:dyDescent="0.3">
      <c r="B30" s="3" t="s">
        <v>38</v>
      </c>
      <c r="D30" s="311" t="e">
        <f>SUM(D24:D29)</f>
        <v>#N/A</v>
      </c>
      <c r="E30" s="311" t="e">
        <f>SUM(E24:E29)</f>
        <v>#N/A</v>
      </c>
      <c r="G30" s="196" t="e">
        <f t="shared" si="2"/>
        <v>#N/A</v>
      </c>
    </row>
    <row r="31" spans="2:12" x14ac:dyDescent="0.3">
      <c r="D31" s="311" t="e">
        <f>IF(ISERROR(calc_COSTREAM!K$5),#N/A,calc_COSTREAM!K77)</f>
        <v>#N/A</v>
      </c>
      <c r="E31" s="311" t="e">
        <f>IF(ISERROR(calc_COSTREAM!L$5),#N/A,calc_COSTREAM!L77)</f>
        <v>#N/A</v>
      </c>
    </row>
    <row r="32" spans="2:12" ht="21" thickBot="1" x14ac:dyDescent="0.4">
      <c r="B32" s="86" t="s">
        <v>1405</v>
      </c>
      <c r="C32" s="86">
        <f>Selectie_voertuigen!F5</f>
        <v>0</v>
      </c>
      <c r="D32" s="86">
        <f>D5</f>
        <v>2025</v>
      </c>
      <c r="E32" s="86">
        <f>E5</f>
        <v>2026</v>
      </c>
      <c r="G32" s="128" t="str">
        <f>B32</f>
        <v>Taxi 4</v>
      </c>
    </row>
    <row r="33" spans="2:7" ht="15.75" thickTop="1" x14ac:dyDescent="0.3">
      <c r="B33" s="3" t="s">
        <v>55</v>
      </c>
      <c r="D33" s="311" t="e">
        <f>IF(ISERROR(calc_COSTREAM!N$5),#N/A,calc_COSTREAM!N70)</f>
        <v>#N/A</v>
      </c>
      <c r="E33" s="311" t="e">
        <f>IF(ISERROR(calc_COSTREAM!O$5),#N/A,calc_COSTREAM!O70)</f>
        <v>#N/A</v>
      </c>
      <c r="G33" s="196" t="e">
        <f>INDEX(D33:E33,,$G$3)</f>
        <v>#N/A</v>
      </c>
    </row>
    <row r="34" spans="2:7" x14ac:dyDescent="0.3">
      <c r="B34" s="3" t="s">
        <v>1130</v>
      </c>
      <c r="D34" s="311" t="e">
        <f>IF(ISERROR(calc_COSTREAM!N$5),#N/A,calc_COSTREAM!N71)</f>
        <v>#N/A</v>
      </c>
      <c r="E34" s="311" t="e">
        <f>IF(ISERROR(calc_COSTREAM!O$5),#N/A,calc_COSTREAM!O71)</f>
        <v>#N/A</v>
      </c>
      <c r="G34" s="196" t="e">
        <f t="shared" ref="G34:G39" si="3">INDEX(D34:E34,,$G$3)</f>
        <v>#N/A</v>
      </c>
    </row>
    <row r="35" spans="2:7" x14ac:dyDescent="0.3">
      <c r="B35" s="3" t="s">
        <v>1131</v>
      </c>
      <c r="D35" s="311" t="e">
        <f>IF(ISERROR(calc_COSTREAM!N$5),#N/A,calc_COSTREAM!N72)</f>
        <v>#N/A</v>
      </c>
      <c r="E35" s="311" t="e">
        <f>IF(ISERROR(calc_COSTREAM!O$5),#N/A,calc_COSTREAM!O72)</f>
        <v>#N/A</v>
      </c>
      <c r="G35" s="196" t="e">
        <f t="shared" si="3"/>
        <v>#N/A</v>
      </c>
    </row>
    <row r="36" spans="2:7" x14ac:dyDescent="0.3">
      <c r="B36" s="3" t="s">
        <v>1132</v>
      </c>
      <c r="D36" s="311" t="e">
        <f>IF(ISERROR(calc_COSTREAM!N$5),#N/A,calc_COSTREAM!N73)</f>
        <v>#N/A</v>
      </c>
      <c r="E36" s="311" t="e">
        <f>IF(ISERROR(calc_COSTREAM!O$5),#N/A,calc_COSTREAM!O73)</f>
        <v>#N/A</v>
      </c>
      <c r="G36" s="196" t="e">
        <f t="shared" si="3"/>
        <v>#N/A</v>
      </c>
    </row>
    <row r="37" spans="2:7" x14ac:dyDescent="0.3">
      <c r="B37" s="3" t="s">
        <v>1133</v>
      </c>
      <c r="D37" s="311" t="e">
        <f>IF(ISERROR(calc_COSTREAM!N$5),#N/A,calc_COSTREAM!N74)</f>
        <v>#N/A</v>
      </c>
      <c r="E37" s="311" t="e">
        <f>IF(ISERROR(calc_COSTREAM!O$5),#N/A,calc_COSTREAM!O74)</f>
        <v>#N/A</v>
      </c>
      <c r="G37" s="196" t="e">
        <f t="shared" si="3"/>
        <v>#N/A</v>
      </c>
    </row>
    <row r="38" spans="2:7" x14ac:dyDescent="0.3">
      <c r="B38" s="3" t="s">
        <v>1134</v>
      </c>
      <c r="D38" s="311" t="e">
        <f>IF(ISERROR(calc_COSTREAM!N$5),#N/A,calc_COSTREAM!N75)</f>
        <v>#N/A</v>
      </c>
      <c r="E38" s="311" t="e">
        <f>IF(ISERROR(calc_COSTREAM!O$5),#N/A,calc_COSTREAM!O75)</f>
        <v>#N/A</v>
      </c>
      <c r="G38" s="196" t="e">
        <f t="shared" si="3"/>
        <v>#N/A</v>
      </c>
    </row>
    <row r="39" spans="2:7" x14ac:dyDescent="0.3">
      <c r="B39" s="3" t="s">
        <v>38</v>
      </c>
      <c r="D39" s="311" t="e">
        <f>SUM(D33:D38)</f>
        <v>#N/A</v>
      </c>
      <c r="E39" s="311" t="e">
        <f>SUM(E33:E38)</f>
        <v>#N/A</v>
      </c>
      <c r="G39" s="196" t="e">
        <f t="shared" si="3"/>
        <v>#N/A</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4">
    <tabColor theme="7"/>
  </sheetPr>
  <dimension ref="A1:AT360"/>
  <sheetViews>
    <sheetView topLeftCell="A336" zoomScaleNormal="100" workbookViewId="0">
      <selection activeCell="E33" sqref="E33"/>
    </sheetView>
  </sheetViews>
  <sheetFormatPr defaultRowHeight="15" x14ac:dyDescent="0.3"/>
  <cols>
    <col min="2" max="2" width="18.7109375" bestFit="1" customWidth="1"/>
    <col min="3" max="3" width="17.85546875" customWidth="1"/>
    <col min="4" max="5" width="11.28515625" customWidth="1"/>
    <col min="6" max="7" width="10" bestFit="1" customWidth="1"/>
    <col min="11" max="11" width="13" bestFit="1" customWidth="1"/>
    <col min="12" max="15" width="10.85546875" bestFit="1" customWidth="1"/>
    <col min="16" max="16" width="16.5703125" customWidth="1"/>
    <col min="17" max="17" width="16.42578125" bestFit="1" customWidth="1"/>
    <col min="18" max="20" width="10.85546875" bestFit="1" customWidth="1"/>
    <col min="21" max="21" width="13.7109375" customWidth="1"/>
    <col min="22" max="22" width="14.140625" customWidth="1"/>
    <col min="23" max="23" width="11.7109375" bestFit="1" customWidth="1"/>
    <col min="24" max="46" width="10.85546875" bestFit="1" customWidth="1"/>
  </cols>
  <sheetData>
    <row r="1" spans="3:7" x14ac:dyDescent="0.3">
      <c r="C1" t="s">
        <v>62</v>
      </c>
      <c r="E1" t="s">
        <v>189</v>
      </c>
      <c r="G1" t="s">
        <v>55</v>
      </c>
    </row>
    <row r="2" spans="3:7" x14ac:dyDescent="0.3">
      <c r="C2" t="s">
        <v>165</v>
      </c>
      <c r="E2" t="s">
        <v>994</v>
      </c>
      <c r="G2" t="s">
        <v>1011</v>
      </c>
    </row>
    <row r="3" spans="3:7" x14ac:dyDescent="0.3">
      <c r="C3" t="s">
        <v>45</v>
      </c>
      <c r="E3" t="s">
        <v>1174</v>
      </c>
      <c r="G3" t="s">
        <v>1013</v>
      </c>
    </row>
    <row r="4" spans="3:7" x14ac:dyDescent="0.3">
      <c r="C4" t="s">
        <v>46</v>
      </c>
    </row>
    <row r="5" spans="3:7" x14ac:dyDescent="0.3">
      <c r="C5" t="s">
        <v>193</v>
      </c>
    </row>
    <row r="21" spans="1:46" ht="16.5" x14ac:dyDescent="0.3">
      <c r="A21" s="41"/>
      <c r="B21" s="41" t="s">
        <v>21</v>
      </c>
      <c r="C21" s="41" t="s">
        <v>22</v>
      </c>
      <c r="D21" s="41" t="s">
        <v>23</v>
      </c>
      <c r="E21" s="41" t="s">
        <v>24</v>
      </c>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row>
    <row r="22" spans="1:46" ht="18.75" x14ac:dyDescent="0.3">
      <c r="A22" s="42"/>
      <c r="B22" s="68" t="str">
        <f>input_names!$A$4</f>
        <v>olieprijs</v>
      </c>
      <c r="C22" s="42"/>
      <c r="D22" s="42"/>
      <c r="E22" s="42"/>
      <c r="F22" s="69">
        <v>2010</v>
      </c>
      <c r="G22" s="69">
        <v>2011</v>
      </c>
      <c r="H22" s="69">
        <v>2012</v>
      </c>
      <c r="I22" s="69">
        <v>2013</v>
      </c>
      <c r="J22" s="69">
        <v>2014</v>
      </c>
      <c r="K22" s="69">
        <v>2015</v>
      </c>
      <c r="L22" s="69">
        <v>2016</v>
      </c>
      <c r="M22" s="69">
        <v>2017</v>
      </c>
      <c r="N22" s="69">
        <v>2018</v>
      </c>
      <c r="O22" s="69">
        <v>2019</v>
      </c>
      <c r="P22" s="69">
        <v>2020</v>
      </c>
      <c r="Q22" s="69">
        <v>2021</v>
      </c>
      <c r="R22" s="69">
        <v>2022</v>
      </c>
      <c r="S22" s="69">
        <v>2023</v>
      </c>
      <c r="T22" s="69">
        <v>2024</v>
      </c>
      <c r="U22" s="69">
        <v>2025</v>
      </c>
      <c r="V22" s="69">
        <v>2026</v>
      </c>
      <c r="W22" s="69">
        <v>2027</v>
      </c>
      <c r="X22" s="69">
        <v>2028</v>
      </c>
      <c r="Y22" s="69">
        <v>2029</v>
      </c>
      <c r="Z22" s="69">
        <v>2030</v>
      </c>
      <c r="AA22" s="69">
        <v>2031</v>
      </c>
      <c r="AB22" s="69">
        <v>2032</v>
      </c>
      <c r="AC22" s="69">
        <v>2033</v>
      </c>
      <c r="AD22" s="69">
        <v>2034</v>
      </c>
      <c r="AE22" s="69">
        <v>2035</v>
      </c>
      <c r="AF22" s="69">
        <v>2036</v>
      </c>
      <c r="AG22" s="69">
        <v>2037</v>
      </c>
      <c r="AH22" s="69">
        <v>2038</v>
      </c>
      <c r="AI22" s="69">
        <v>2039</v>
      </c>
      <c r="AJ22" s="69">
        <v>2040</v>
      </c>
      <c r="AK22" s="69">
        <v>2041</v>
      </c>
      <c r="AL22" s="69">
        <v>2042</v>
      </c>
      <c r="AM22" s="69">
        <v>2043</v>
      </c>
      <c r="AN22" s="69">
        <v>2044</v>
      </c>
      <c r="AO22" s="69">
        <v>2045</v>
      </c>
      <c r="AP22" s="69">
        <v>2046</v>
      </c>
      <c r="AQ22" s="69">
        <v>2047</v>
      </c>
      <c r="AR22" s="69">
        <v>2048</v>
      </c>
      <c r="AS22" s="69">
        <v>2049</v>
      </c>
      <c r="AT22" s="69">
        <v>2050</v>
      </c>
    </row>
    <row r="23" spans="1:46" ht="16.5" x14ac:dyDescent="0.3">
      <c r="A23" s="42"/>
      <c r="B23" t="str">
        <f>input_names!$A$4</f>
        <v>olieprijs</v>
      </c>
      <c r="C23" t="s">
        <v>19</v>
      </c>
      <c r="F23" cm="1">
        <f t="array" ref="F23:AT25">TRANSPOSE(Olieprijs2010_2050)</f>
        <v>63.222246890029538</v>
      </c>
      <c r="G23">
        <v>81.918749700750084</v>
      </c>
      <c r="H23">
        <v>86.885118306351188</v>
      </c>
      <c r="I23">
        <v>80.652814858044778</v>
      </c>
      <c r="J23">
        <v>73.187470070467512</v>
      </c>
      <c r="K23">
        <v>46.311366513291411</v>
      </c>
      <c r="L23">
        <v>52.6</v>
      </c>
      <c r="M23">
        <v>44</v>
      </c>
      <c r="N23">
        <v>51.8</v>
      </c>
      <c r="O23">
        <v>63.5</v>
      </c>
      <c r="P23">
        <v>59.1</v>
      </c>
      <c r="Q23">
        <v>39.1</v>
      </c>
      <c r="R23">
        <v>59.9</v>
      </c>
      <c r="S23">
        <v>78.690587034606907</v>
      </c>
      <c r="T23">
        <v>75.7637580978394</v>
      </c>
      <c r="U23">
        <v>72.836929161071794</v>
      </c>
      <c r="V23">
        <v>72.251566694641099</v>
      </c>
      <c r="W23">
        <v>71.666195925903295</v>
      </c>
      <c r="X23">
        <v>71.0808334594727</v>
      </c>
      <c r="Y23">
        <v>70.495462690734897</v>
      </c>
      <c r="Z23">
        <v>69.910100224304202</v>
      </c>
      <c r="AA23">
        <v>67.819507237080202</v>
      </c>
      <c r="AB23">
        <v>66.704524587304306</v>
      </c>
      <c r="AC23">
        <v>65.589541937528395</v>
      </c>
      <c r="AD23">
        <v>64.474559287752498</v>
      </c>
      <c r="AE23">
        <v>63.359576637976602</v>
      </c>
      <c r="AF23">
        <v>62.244593988200698</v>
      </c>
      <c r="AG23">
        <v>61.129611338424702</v>
      </c>
      <c r="AH23">
        <v>60.014628688648898</v>
      </c>
      <c r="AI23">
        <v>58.899646038873001</v>
      </c>
      <c r="AJ23">
        <v>57.784663389097098</v>
      </c>
      <c r="AK23">
        <v>56.669680739321201</v>
      </c>
      <c r="AL23">
        <v>55.604977700531897</v>
      </c>
      <c r="AM23">
        <v>56.088176036164903</v>
      </c>
      <c r="AN23">
        <v>56.571374371797802</v>
      </c>
      <c r="AO23">
        <v>57.0545727074308</v>
      </c>
      <c r="AP23">
        <v>57.537771043063699</v>
      </c>
      <c r="AQ23">
        <v>58.020969378696698</v>
      </c>
      <c r="AR23">
        <v>58.504167714329697</v>
      </c>
      <c r="AS23">
        <v>58.987366049962603</v>
      </c>
      <c r="AT23">
        <v>59.470564385595601</v>
      </c>
    </row>
    <row r="24" spans="1:46" ht="16.5" x14ac:dyDescent="0.3">
      <c r="A24" s="42"/>
      <c r="B24" t="str">
        <f>input_names!$A$4</f>
        <v>olieprijs</v>
      </c>
      <c r="C24" t="str">
        <f>input_names!$C$4</f>
        <v>middel</v>
      </c>
      <c r="F24">
        <v>63.222246890029538</v>
      </c>
      <c r="G24">
        <v>81.918749700750084</v>
      </c>
      <c r="H24">
        <v>86.885118306351188</v>
      </c>
      <c r="I24">
        <v>80.652814858044778</v>
      </c>
      <c r="J24">
        <v>73.187470070467512</v>
      </c>
      <c r="K24">
        <v>46.311366513291411</v>
      </c>
      <c r="L24">
        <v>52.6</v>
      </c>
      <c r="M24">
        <v>44</v>
      </c>
      <c r="N24">
        <v>51.8</v>
      </c>
      <c r="O24">
        <v>63.5</v>
      </c>
      <c r="P24">
        <v>59.1</v>
      </c>
      <c r="Q24">
        <v>39.1</v>
      </c>
      <c r="R24">
        <v>59.9</v>
      </c>
      <c r="S24">
        <v>92.018421807861301</v>
      </c>
      <c r="T24">
        <v>92.018421807861301</v>
      </c>
      <c r="U24">
        <v>92.018421807861301</v>
      </c>
      <c r="V24">
        <v>92.018421807861301</v>
      </c>
      <c r="W24">
        <v>92.018421807861301</v>
      </c>
      <c r="X24">
        <v>92.018421807861301</v>
      </c>
      <c r="Y24">
        <v>92.018421807861301</v>
      </c>
      <c r="Z24">
        <v>92.018421807861301</v>
      </c>
      <c r="AA24">
        <v>92.018421807861301</v>
      </c>
      <c r="AB24">
        <v>92.018421807861301</v>
      </c>
      <c r="AC24">
        <v>92.018421807861301</v>
      </c>
      <c r="AD24">
        <v>92.018421807861301</v>
      </c>
      <c r="AE24">
        <v>92.018421807861301</v>
      </c>
      <c r="AF24">
        <v>92.018421807861301</v>
      </c>
      <c r="AG24">
        <v>92.018421807861301</v>
      </c>
      <c r="AH24">
        <v>92.395792355796502</v>
      </c>
      <c r="AI24">
        <v>93.504541864066098</v>
      </c>
      <c r="AJ24">
        <v>94.613291372335595</v>
      </c>
      <c r="AK24">
        <v>95.722040880605206</v>
      </c>
      <c r="AL24">
        <v>96.830790388874803</v>
      </c>
      <c r="AM24">
        <v>97.9395398971444</v>
      </c>
      <c r="AN24">
        <v>99.048289405413897</v>
      </c>
      <c r="AO24">
        <v>100.157038913683</v>
      </c>
      <c r="AP24">
        <v>101.265788421953</v>
      </c>
      <c r="AQ24">
        <v>102.374537930223</v>
      </c>
      <c r="AR24">
        <v>103.483287438492</v>
      </c>
      <c r="AS24">
        <v>104.59203694676199</v>
      </c>
      <c r="AT24">
        <v>105.70078645503099</v>
      </c>
    </row>
    <row r="25" spans="1:46" ht="16.5" x14ac:dyDescent="0.3">
      <c r="A25" s="42"/>
      <c r="B25" t="str">
        <f>input_names!$A$4</f>
        <v>olieprijs</v>
      </c>
      <c r="C25" t="s">
        <v>18</v>
      </c>
      <c r="F25">
        <v>63.222246890029538</v>
      </c>
      <c r="G25">
        <v>81.918749700750084</v>
      </c>
      <c r="H25">
        <v>86.885118306351188</v>
      </c>
      <c r="I25">
        <v>80.652814858044778</v>
      </c>
      <c r="J25">
        <v>73.187470070467512</v>
      </c>
      <c r="K25">
        <v>46.311366513291411</v>
      </c>
      <c r="L25">
        <v>52.6</v>
      </c>
      <c r="M25">
        <v>44</v>
      </c>
      <c r="N25">
        <v>51.8</v>
      </c>
      <c r="O25">
        <v>63.5</v>
      </c>
      <c r="P25">
        <v>59.1</v>
      </c>
      <c r="Q25">
        <v>39.1</v>
      </c>
      <c r="R25">
        <v>59.9</v>
      </c>
      <c r="S25">
        <v>106.95648074646</v>
      </c>
      <c r="T25">
        <v>106.95648074646</v>
      </c>
      <c r="U25">
        <v>106.95648074646</v>
      </c>
      <c r="V25">
        <v>106.95648074646</v>
      </c>
      <c r="W25">
        <v>106.95648074646</v>
      </c>
      <c r="X25">
        <v>106.95648074646</v>
      </c>
      <c r="Y25">
        <v>106.95648074646</v>
      </c>
      <c r="Z25">
        <v>106.95648074646</v>
      </c>
      <c r="AA25">
        <v>106.95648074646</v>
      </c>
      <c r="AB25">
        <v>106.95648074646</v>
      </c>
      <c r="AC25">
        <v>106.95648074646</v>
      </c>
      <c r="AD25">
        <v>106.95648074646</v>
      </c>
      <c r="AE25">
        <v>107.04701589407212</v>
      </c>
      <c r="AF25">
        <v>107.93907435985599</v>
      </c>
      <c r="AG25">
        <v>108.83113282564</v>
      </c>
      <c r="AH25">
        <v>109.723191291424</v>
      </c>
      <c r="AI25">
        <v>110.61524975720801</v>
      </c>
      <c r="AJ25">
        <v>111.50730822299199</v>
      </c>
      <c r="AK25">
        <v>112.399366688776</v>
      </c>
      <c r="AL25">
        <v>113.29142515456</v>
      </c>
      <c r="AM25">
        <v>114.18348362034401</v>
      </c>
      <c r="AN25">
        <v>115.075542086128</v>
      </c>
      <c r="AO25">
        <v>115.967600551911</v>
      </c>
      <c r="AP25">
        <v>116.85965901769499</v>
      </c>
      <c r="AQ25">
        <v>117.751717483479</v>
      </c>
      <c r="AR25">
        <v>118.643775949263</v>
      </c>
      <c r="AS25">
        <v>119.53583441504701</v>
      </c>
      <c r="AT25">
        <v>120.427892880831</v>
      </c>
    </row>
    <row r="26" spans="1:46" ht="18.75" x14ac:dyDescent="0.3">
      <c r="A26" s="42"/>
      <c r="B26" s="68" t="str">
        <f>input_names!$A$8</f>
        <v>batterijkosten</v>
      </c>
      <c r="C26" s="42"/>
      <c r="D26" s="42"/>
      <c r="E26" s="42"/>
      <c r="F26" s="69">
        <v>2010</v>
      </c>
      <c r="G26" s="69">
        <v>2011</v>
      </c>
      <c r="H26" s="69">
        <v>2012</v>
      </c>
      <c r="I26" s="69">
        <v>2013</v>
      </c>
      <c r="J26" s="69">
        <v>2014</v>
      </c>
      <c r="K26" s="69">
        <v>2015</v>
      </c>
      <c r="L26" s="69">
        <v>2016</v>
      </c>
      <c r="M26" s="69">
        <v>2017</v>
      </c>
      <c r="N26" s="69">
        <v>2018</v>
      </c>
      <c r="O26" s="69">
        <v>2019</v>
      </c>
      <c r="P26" s="69">
        <v>2020</v>
      </c>
      <c r="Q26" s="69">
        <v>2021</v>
      </c>
      <c r="R26" s="69">
        <v>2022</v>
      </c>
      <c r="S26" s="69">
        <v>2023</v>
      </c>
      <c r="T26" s="69">
        <v>2024</v>
      </c>
      <c r="U26" s="69">
        <v>2025</v>
      </c>
      <c r="V26" s="69">
        <v>2026</v>
      </c>
      <c r="W26" s="69">
        <v>2027</v>
      </c>
      <c r="X26" s="69">
        <v>2028</v>
      </c>
      <c r="Y26" s="69">
        <v>2029</v>
      </c>
      <c r="Z26" s="69">
        <v>2030</v>
      </c>
      <c r="AA26" s="69">
        <v>2031</v>
      </c>
      <c r="AB26" s="69">
        <v>2032</v>
      </c>
      <c r="AC26" s="69">
        <v>2033</v>
      </c>
      <c r="AD26" s="69">
        <v>2034</v>
      </c>
      <c r="AE26" s="69">
        <v>2035</v>
      </c>
      <c r="AF26" s="69">
        <v>2036</v>
      </c>
      <c r="AG26" s="69">
        <v>2037</v>
      </c>
      <c r="AH26" s="69">
        <v>2038</v>
      </c>
      <c r="AI26" s="69">
        <v>2039</v>
      </c>
      <c r="AJ26" s="69">
        <v>2040</v>
      </c>
      <c r="AK26" s="69">
        <v>2041</v>
      </c>
      <c r="AL26" s="69">
        <v>2042</v>
      </c>
      <c r="AM26" s="69">
        <v>2043</v>
      </c>
      <c r="AN26" s="69">
        <v>2044</v>
      </c>
      <c r="AO26" s="69">
        <v>2045</v>
      </c>
      <c r="AP26" s="69">
        <v>2046</v>
      </c>
      <c r="AQ26" s="69">
        <v>2047</v>
      </c>
      <c r="AR26" s="69">
        <v>2048</v>
      </c>
      <c r="AS26" s="69">
        <v>2049</v>
      </c>
      <c r="AT26" s="69">
        <v>2050</v>
      </c>
    </row>
    <row r="27" spans="1:46" ht="16.5" x14ac:dyDescent="0.3">
      <c r="A27" s="42"/>
      <c r="B27" t="str">
        <f>input_names!$A$8</f>
        <v>batterijkosten</v>
      </c>
      <c r="C27" t="str">
        <f>input_names!$B$8</f>
        <v>laag</v>
      </c>
      <c r="K27" s="392" cm="1">
        <f t="array" ref="K27:AT29">TRANSPOSE(input_data!F189:H224)</f>
        <v>334.39255834788332</v>
      </c>
      <c r="L27" s="392">
        <v>257.81410987126878</v>
      </c>
      <c r="M27" s="392">
        <v>153.15689695322899</v>
      </c>
      <c r="N27" s="392">
        <v>143.44248585023317</v>
      </c>
      <c r="O27" s="392">
        <v>132.73597735946515</v>
      </c>
      <c r="P27" s="392">
        <v>124.80250114958682</v>
      </c>
      <c r="Q27" s="392">
        <v>120.25573234973636</v>
      </c>
      <c r="R27" s="392">
        <v>128.48161911076431</v>
      </c>
      <c r="S27" s="392">
        <v>117.63300557657725</v>
      </c>
      <c r="T27" s="392">
        <v>106.78439204239022</v>
      </c>
      <c r="U27" s="392">
        <v>95.935778508203157</v>
      </c>
      <c r="V27" s="392">
        <v>85.087164974016105</v>
      </c>
      <c r="W27" s="392">
        <v>80.194652988010176</v>
      </c>
      <c r="X27" s="392">
        <v>75.302141002004248</v>
      </c>
      <c r="Y27" s="392">
        <v>70.40962901599832</v>
      </c>
      <c r="Z27" s="392">
        <v>65.517117029992406</v>
      </c>
      <c r="AA27" s="392">
        <v>62.964502080771922</v>
      </c>
      <c r="AB27" s="392">
        <v>60.411887131551431</v>
      </c>
      <c r="AC27" s="392">
        <v>57.859272182330955</v>
      </c>
      <c r="AD27" s="392">
        <v>55.306657233110464</v>
      </c>
      <c r="AE27" s="392">
        <v>52.754042283889987</v>
      </c>
      <c r="AF27" s="392">
        <v>52.073344964097856</v>
      </c>
      <c r="AG27" s="392">
        <v>51.392647644305733</v>
      </c>
      <c r="AH27" s="392">
        <v>50.711950324513609</v>
      </c>
      <c r="AI27" s="392">
        <v>50.031253004721485</v>
      </c>
      <c r="AJ27" s="392">
        <v>49.350555684929354</v>
      </c>
      <c r="AK27" s="392">
        <v>48.669858365137223</v>
      </c>
      <c r="AL27" s="392">
        <v>47.989161045345099</v>
      </c>
      <c r="AM27" s="392">
        <v>47.308463725552976</v>
      </c>
      <c r="AN27" s="392">
        <v>46.627766405760852</v>
      </c>
      <c r="AO27" s="392">
        <v>45.947069085968728</v>
      </c>
      <c r="AP27" s="392">
        <v>45.266371766176597</v>
      </c>
      <c r="AQ27" s="392">
        <v>44.585674446384466</v>
      </c>
      <c r="AR27" s="392">
        <v>43.904977126592343</v>
      </c>
      <c r="AS27" s="392">
        <v>43.224279806800219</v>
      </c>
      <c r="AT27" s="392">
        <v>42.543582487008052</v>
      </c>
    </row>
    <row r="28" spans="1:46" ht="16.5" x14ac:dyDescent="0.3">
      <c r="A28" s="42"/>
      <c r="B28" t="str">
        <f>input_names!$A$8</f>
        <v>batterijkosten</v>
      </c>
      <c r="C28" t="str">
        <f>input_names!$C$8</f>
        <v>hoog</v>
      </c>
      <c r="K28" s="392">
        <v>403.07117274068884</v>
      </c>
      <c r="L28" s="392">
        <v>310.76479730388985</v>
      </c>
      <c r="M28" s="392">
        <v>184.61275087359795</v>
      </c>
      <c r="N28" s="392">
        <v>172.90316291172672</v>
      </c>
      <c r="O28" s="392">
        <v>159.99771742378488</v>
      </c>
      <c r="P28" s="392">
        <v>150.4348384661161</v>
      </c>
      <c r="Q28" s="392">
        <v>144.95423973093165</v>
      </c>
      <c r="R28" s="392">
        <v>154.86958545507383</v>
      </c>
      <c r="S28" s="392">
        <v>141.79284893486064</v>
      </c>
      <c r="T28" s="392">
        <v>128.71611241464745</v>
      </c>
      <c r="U28" s="392">
        <v>115.63937589443427</v>
      </c>
      <c r="V28" s="392">
        <v>102.56263937422109</v>
      </c>
      <c r="W28" s="392">
        <v>96.665287610203364</v>
      </c>
      <c r="X28" s="392">
        <v>90.767935846185651</v>
      </c>
      <c r="Y28" s="392">
        <v>84.870584082167937</v>
      </c>
      <c r="Z28" s="392">
        <v>78.973232318150224</v>
      </c>
      <c r="AA28" s="392">
        <v>75.896353136923608</v>
      </c>
      <c r="AB28" s="392">
        <v>72.819473955696964</v>
      </c>
      <c r="AC28" s="392">
        <v>69.742594774470334</v>
      </c>
      <c r="AD28" s="392">
        <v>66.665715593243704</v>
      </c>
      <c r="AE28" s="392">
        <v>63.588836412017066</v>
      </c>
      <c r="AF28" s="392">
        <v>62.768335297023299</v>
      </c>
      <c r="AG28" s="392">
        <v>61.947834182029538</v>
      </c>
      <c r="AH28" s="392">
        <v>61.127333067035771</v>
      </c>
      <c r="AI28" s="392">
        <v>60.30683195204201</v>
      </c>
      <c r="AJ28" s="392">
        <v>59.486330837048229</v>
      </c>
      <c r="AK28" s="392">
        <v>58.665829722054475</v>
      </c>
      <c r="AL28" s="392">
        <v>57.845328607060708</v>
      </c>
      <c r="AM28" s="392">
        <v>57.024827492066947</v>
      </c>
      <c r="AN28" s="392">
        <v>56.20432637707318</v>
      </c>
      <c r="AO28" s="392">
        <v>55.383825262079419</v>
      </c>
      <c r="AP28" s="392">
        <v>54.563324147085645</v>
      </c>
      <c r="AQ28" s="392">
        <v>53.742823032091884</v>
      </c>
      <c r="AR28" s="392">
        <v>52.922321917098117</v>
      </c>
      <c r="AS28" s="392">
        <v>52.101820802104356</v>
      </c>
      <c r="AT28" s="392">
        <v>51.281319687110546</v>
      </c>
    </row>
    <row r="29" spans="1:46" ht="16.5" x14ac:dyDescent="0.3">
      <c r="A29" s="42"/>
      <c r="B29" t="str">
        <f>input_names!$A$8</f>
        <v>batterijkosten</v>
      </c>
      <c r="C29" t="str">
        <f>input_names!$D$8</f>
        <v>middel</v>
      </c>
      <c r="K29" s="392">
        <v>363.88888888888886</v>
      </c>
      <c r="L29" s="392">
        <v>280.55555555555554</v>
      </c>
      <c r="M29" s="392">
        <v>166.66666666666666</v>
      </c>
      <c r="N29" s="392">
        <v>156.09536005642369</v>
      </c>
      <c r="O29" s="392">
        <v>144.44444444444443</v>
      </c>
      <c r="P29" s="392">
        <v>135.81116666666665</v>
      </c>
      <c r="Q29" s="392">
        <v>130.86333333333334</v>
      </c>
      <c r="R29" s="392">
        <v>139.81481481481481</v>
      </c>
      <c r="S29" s="392">
        <v>128.00925925925924</v>
      </c>
      <c r="T29" s="392">
        <v>116.2037037037037</v>
      </c>
      <c r="U29" s="392">
        <v>104.39814814814814</v>
      </c>
      <c r="V29" s="392">
        <v>92.592592592592581</v>
      </c>
      <c r="W29" s="392">
        <v>87.268518518518519</v>
      </c>
      <c r="X29" s="392">
        <v>81.944444444444443</v>
      </c>
      <c r="Y29" s="392">
        <v>76.620370370370367</v>
      </c>
      <c r="Z29" s="392">
        <v>71.296296296296291</v>
      </c>
      <c r="AA29" s="392">
        <v>68.518518518518519</v>
      </c>
      <c r="AB29" s="392">
        <v>65.740740740740733</v>
      </c>
      <c r="AC29" s="392">
        <v>62.962962962962962</v>
      </c>
      <c r="AD29" s="392">
        <v>60.185185185185183</v>
      </c>
      <c r="AE29" s="392">
        <v>57.407407407407405</v>
      </c>
      <c r="AF29" s="392">
        <v>56.666666666666664</v>
      </c>
      <c r="AG29" s="392">
        <v>55.925925925925931</v>
      </c>
      <c r="AH29" s="392">
        <v>55.18518518518519</v>
      </c>
      <c r="AI29" s="392">
        <v>54.44444444444445</v>
      </c>
      <c r="AJ29" s="392">
        <v>53.703703703703717</v>
      </c>
      <c r="AK29" s="392">
        <v>52.962962962962976</v>
      </c>
      <c r="AL29" s="392">
        <v>52.222222222222236</v>
      </c>
      <c r="AM29" s="392">
        <v>51.481481481481502</v>
      </c>
      <c r="AN29" s="392">
        <v>50.740740740740762</v>
      </c>
      <c r="AO29" s="392">
        <v>50.000000000000021</v>
      </c>
      <c r="AP29" s="392">
        <v>49.259259259259288</v>
      </c>
      <c r="AQ29" s="392">
        <v>48.518518518518547</v>
      </c>
      <c r="AR29" s="392">
        <v>47.777777777777807</v>
      </c>
      <c r="AS29" s="392">
        <v>47.037037037037074</v>
      </c>
      <c r="AT29" s="392">
        <v>46.296296296296291</v>
      </c>
    </row>
    <row r="30" spans="1:46" ht="18.75" x14ac:dyDescent="0.3">
      <c r="A30" s="42"/>
      <c r="B30" s="68" t="s">
        <v>167</v>
      </c>
      <c r="C30" s="42"/>
      <c r="D30" s="42"/>
      <c r="E30" s="42"/>
      <c r="F30" s="69">
        <v>2010</v>
      </c>
      <c r="G30" s="69">
        <v>2011</v>
      </c>
      <c r="H30" s="69">
        <v>2012</v>
      </c>
      <c r="I30" s="69">
        <v>2013</v>
      </c>
      <c r="J30" s="69">
        <v>2014</v>
      </c>
      <c r="K30" s="69">
        <v>2015</v>
      </c>
      <c r="L30" s="69">
        <v>2016</v>
      </c>
      <c r="M30" s="69">
        <v>2017</v>
      </c>
      <c r="N30" s="69">
        <v>2018</v>
      </c>
      <c r="O30" s="69">
        <v>2019</v>
      </c>
      <c r="P30" s="69">
        <v>2020</v>
      </c>
      <c r="Q30" s="69">
        <v>2021</v>
      </c>
      <c r="R30" s="69">
        <v>2022</v>
      </c>
      <c r="S30" s="69">
        <v>2023</v>
      </c>
      <c r="T30" s="69">
        <v>2024</v>
      </c>
      <c r="U30" s="69">
        <v>2025</v>
      </c>
      <c r="V30" s="69">
        <v>2026</v>
      </c>
      <c r="W30" s="69">
        <v>2027</v>
      </c>
      <c r="X30" s="69">
        <v>2028</v>
      </c>
      <c r="Y30" s="69">
        <v>2029</v>
      </c>
      <c r="Z30" s="69">
        <v>2030</v>
      </c>
      <c r="AA30" s="69">
        <v>2031</v>
      </c>
      <c r="AB30" s="69">
        <v>2032</v>
      </c>
      <c r="AC30" s="69">
        <v>2033</v>
      </c>
      <c r="AD30" s="69">
        <v>2034</v>
      </c>
      <c r="AE30" s="69">
        <v>2035</v>
      </c>
      <c r="AF30" s="69">
        <v>2036</v>
      </c>
      <c r="AG30" s="69">
        <v>2037</v>
      </c>
      <c r="AH30" s="69">
        <v>2038</v>
      </c>
      <c r="AI30" s="69">
        <v>2039</v>
      </c>
      <c r="AJ30" s="69">
        <v>2040</v>
      </c>
      <c r="AK30" s="69">
        <v>2041</v>
      </c>
      <c r="AL30" s="69">
        <v>2042</v>
      </c>
      <c r="AM30" s="69">
        <v>2043</v>
      </c>
      <c r="AN30" s="69">
        <v>2044</v>
      </c>
      <c r="AO30" s="69">
        <v>2045</v>
      </c>
      <c r="AP30" s="69">
        <v>2046</v>
      </c>
      <c r="AQ30" s="69">
        <v>2047</v>
      </c>
      <c r="AR30" s="69">
        <v>2048</v>
      </c>
      <c r="AS30" s="69">
        <v>2049</v>
      </c>
      <c r="AT30" s="69">
        <v>2050</v>
      </c>
    </row>
    <row r="31" spans="1:46" ht="16.5" x14ac:dyDescent="0.3">
      <c r="A31" s="42"/>
      <c r="B31" t="s">
        <v>167</v>
      </c>
      <c r="C31" t="str">
        <f>input_names!$B$2</f>
        <v>A</v>
      </c>
      <c r="F31" s="95">
        <f t="shared" ref="F31:K31" si="0">F32</f>
        <v>2498.1949999999997</v>
      </c>
      <c r="G31" s="95">
        <f>G32</f>
        <v>2498.1949999999997</v>
      </c>
      <c r="H31" s="95">
        <f t="shared" si="0"/>
        <v>2498.1949999999997</v>
      </c>
      <c r="I31" s="95">
        <f t="shared" si="0"/>
        <v>2498.1949999999997</v>
      </c>
      <c r="J31" s="95">
        <f t="shared" si="0"/>
        <v>2498.1949999999997</v>
      </c>
      <c r="K31" s="95">
        <f t="shared" si="0"/>
        <v>2498.1949999999997</v>
      </c>
      <c r="L31" s="95">
        <f t="shared" ref="L31:AT31" si="1">L32</f>
        <v>2461.8739999999998</v>
      </c>
      <c r="M31" s="95">
        <f t="shared" si="1"/>
        <v>2425.5529999999999</v>
      </c>
      <c r="N31" s="95">
        <f t="shared" si="1"/>
        <v>2389.232</v>
      </c>
      <c r="O31" s="95">
        <f t="shared" si="1"/>
        <v>2352.9110000000001</v>
      </c>
      <c r="P31" s="95">
        <f t="shared" si="1"/>
        <v>2316.59</v>
      </c>
      <c r="Q31" s="95">
        <f t="shared" si="1"/>
        <v>2280.2689999999993</v>
      </c>
      <c r="R31" s="95">
        <f t="shared" si="1"/>
        <v>2243.9479999999994</v>
      </c>
      <c r="S31" s="95">
        <f t="shared" si="1"/>
        <v>2207.6269999999995</v>
      </c>
      <c r="T31" s="95">
        <f t="shared" si="1"/>
        <v>2171.3059999999996</v>
      </c>
      <c r="U31" s="95">
        <f t="shared" si="1"/>
        <v>2134.9849999999997</v>
      </c>
      <c r="V31" s="95">
        <f t="shared" si="1"/>
        <v>2098.6639999999998</v>
      </c>
      <c r="W31" s="95">
        <f t="shared" si="1"/>
        <v>2062.3429999999998</v>
      </c>
      <c r="X31" s="95">
        <f t="shared" si="1"/>
        <v>2026.0219999999999</v>
      </c>
      <c r="Y31" s="95">
        <f t="shared" si="1"/>
        <v>1989.701</v>
      </c>
      <c r="Z31" s="95">
        <f t="shared" si="1"/>
        <v>1953.38</v>
      </c>
      <c r="AA31" s="95">
        <f t="shared" si="1"/>
        <v>1953.38</v>
      </c>
      <c r="AB31" s="95">
        <f t="shared" si="1"/>
        <v>1953.38</v>
      </c>
      <c r="AC31" s="95">
        <f t="shared" si="1"/>
        <v>1953.38</v>
      </c>
      <c r="AD31" s="95">
        <f t="shared" si="1"/>
        <v>1953.38</v>
      </c>
      <c r="AE31" s="95">
        <f t="shared" si="1"/>
        <v>1953.38</v>
      </c>
      <c r="AF31" s="95">
        <f t="shared" si="1"/>
        <v>1953.38</v>
      </c>
      <c r="AG31" s="95">
        <f t="shared" si="1"/>
        <v>1953.38</v>
      </c>
      <c r="AH31" s="95">
        <f t="shared" si="1"/>
        <v>1953.38</v>
      </c>
      <c r="AI31" s="95">
        <f t="shared" si="1"/>
        <v>1953.38</v>
      </c>
      <c r="AJ31" s="95">
        <f t="shared" si="1"/>
        <v>1953.38</v>
      </c>
      <c r="AK31" s="95">
        <f t="shared" si="1"/>
        <v>1953.38</v>
      </c>
      <c r="AL31" s="95">
        <f t="shared" si="1"/>
        <v>1953.38</v>
      </c>
      <c r="AM31" s="95">
        <f t="shared" si="1"/>
        <v>1953.38</v>
      </c>
      <c r="AN31" s="95">
        <f t="shared" si="1"/>
        <v>1953.38</v>
      </c>
      <c r="AO31" s="95">
        <f t="shared" si="1"/>
        <v>1953.38</v>
      </c>
      <c r="AP31" s="95">
        <f t="shared" si="1"/>
        <v>1953.38</v>
      </c>
      <c r="AQ31" s="95">
        <f t="shared" si="1"/>
        <v>1953.38</v>
      </c>
      <c r="AR31" s="95">
        <f t="shared" si="1"/>
        <v>1953.38</v>
      </c>
      <c r="AS31" s="95">
        <f t="shared" si="1"/>
        <v>1953.38</v>
      </c>
      <c r="AT31" s="95">
        <f t="shared" si="1"/>
        <v>1953.38</v>
      </c>
    </row>
    <row r="32" spans="1:46" ht="16.5" x14ac:dyDescent="0.3">
      <c r="A32" s="42"/>
      <c r="B32" t="s">
        <v>167</v>
      </c>
      <c r="C32" t="str">
        <f>input_names!$C$2</f>
        <v>B</v>
      </c>
      <c r="F32" s="95">
        <f t="shared" ref="F32:J34" si="2">G32</f>
        <v>2498.1949999999997</v>
      </c>
      <c r="G32" s="95">
        <f t="shared" si="2"/>
        <v>2498.1949999999997</v>
      </c>
      <c r="H32" s="95">
        <f>I32</f>
        <v>2498.1949999999997</v>
      </c>
      <c r="I32" s="95">
        <f t="shared" si="2"/>
        <v>2498.1949999999997</v>
      </c>
      <c r="J32" s="95">
        <f t="shared" si="2"/>
        <v>2498.1949999999997</v>
      </c>
      <c r="K32" s="95">
        <f>L32+($P32-$Z32)/10</f>
        <v>2498.1949999999997</v>
      </c>
      <c r="L32" s="95">
        <f t="shared" ref="K32:O34" si="3">M32+($P32-$Z32)/10</f>
        <v>2461.8739999999998</v>
      </c>
      <c r="M32" s="95">
        <f t="shared" si="3"/>
        <v>2425.5529999999999</v>
      </c>
      <c r="N32" s="95">
        <f t="shared" si="3"/>
        <v>2389.232</v>
      </c>
      <c r="O32" s="95">
        <f t="shared" si="3"/>
        <v>2352.9110000000001</v>
      </c>
      <c r="P32" s="95">
        <f>input_data!I229</f>
        <v>2316.59</v>
      </c>
      <c r="Q32" s="95">
        <f t="shared" ref="Q32:Y32" si="4">R32+($P32-$Z32)/10</f>
        <v>2280.2689999999993</v>
      </c>
      <c r="R32" s="95">
        <f t="shared" si="4"/>
        <v>2243.9479999999994</v>
      </c>
      <c r="S32" s="95">
        <f t="shared" si="4"/>
        <v>2207.6269999999995</v>
      </c>
      <c r="T32" s="95">
        <f t="shared" si="4"/>
        <v>2171.3059999999996</v>
      </c>
      <c r="U32" s="95">
        <f t="shared" si="4"/>
        <v>2134.9849999999997</v>
      </c>
      <c r="V32" s="95">
        <f t="shared" si="4"/>
        <v>2098.6639999999998</v>
      </c>
      <c r="W32" s="95">
        <f t="shared" si="4"/>
        <v>2062.3429999999998</v>
      </c>
      <c r="X32" s="95">
        <f t="shared" si="4"/>
        <v>2026.0219999999999</v>
      </c>
      <c r="Y32" s="95">
        <f t="shared" si="4"/>
        <v>1989.701</v>
      </c>
      <c r="Z32" s="95">
        <f>input_data!I232</f>
        <v>1953.38</v>
      </c>
      <c r="AA32" s="95">
        <f>Z32</f>
        <v>1953.38</v>
      </c>
      <c r="AB32" s="95">
        <f t="shared" ref="AB32:AT32" si="5">AA32</f>
        <v>1953.38</v>
      </c>
      <c r="AC32" s="95">
        <f t="shared" si="5"/>
        <v>1953.38</v>
      </c>
      <c r="AD32" s="95">
        <f t="shared" si="5"/>
        <v>1953.38</v>
      </c>
      <c r="AE32" s="95">
        <f t="shared" si="5"/>
        <v>1953.38</v>
      </c>
      <c r="AF32" s="95">
        <f t="shared" si="5"/>
        <v>1953.38</v>
      </c>
      <c r="AG32" s="95">
        <f t="shared" si="5"/>
        <v>1953.38</v>
      </c>
      <c r="AH32" s="95">
        <f t="shared" si="5"/>
        <v>1953.38</v>
      </c>
      <c r="AI32" s="95">
        <f t="shared" si="5"/>
        <v>1953.38</v>
      </c>
      <c r="AJ32" s="95">
        <f t="shared" si="5"/>
        <v>1953.38</v>
      </c>
      <c r="AK32" s="95">
        <f t="shared" si="5"/>
        <v>1953.38</v>
      </c>
      <c r="AL32" s="95">
        <f t="shared" si="5"/>
        <v>1953.38</v>
      </c>
      <c r="AM32" s="95">
        <f t="shared" si="5"/>
        <v>1953.38</v>
      </c>
      <c r="AN32" s="95">
        <f t="shared" si="5"/>
        <v>1953.38</v>
      </c>
      <c r="AO32" s="95">
        <f t="shared" si="5"/>
        <v>1953.38</v>
      </c>
      <c r="AP32" s="95">
        <f t="shared" si="5"/>
        <v>1953.38</v>
      </c>
      <c r="AQ32" s="95">
        <f t="shared" si="5"/>
        <v>1953.38</v>
      </c>
      <c r="AR32" s="95">
        <f t="shared" si="5"/>
        <v>1953.38</v>
      </c>
      <c r="AS32" s="95">
        <f t="shared" si="5"/>
        <v>1953.38</v>
      </c>
      <c r="AT32" s="95">
        <f t="shared" si="5"/>
        <v>1953.38</v>
      </c>
    </row>
    <row r="33" spans="1:46" ht="16.5" x14ac:dyDescent="0.3">
      <c r="A33" s="42"/>
      <c r="B33" t="s">
        <v>167</v>
      </c>
      <c r="C33" t="str">
        <f>input_names!$D$2</f>
        <v>C</v>
      </c>
      <c r="F33" s="95">
        <f t="shared" si="2"/>
        <v>2992.4049999999993</v>
      </c>
      <c r="G33" s="95">
        <f t="shared" si="2"/>
        <v>2992.4049999999993</v>
      </c>
      <c r="H33" s="95">
        <f t="shared" si="2"/>
        <v>2992.4049999999993</v>
      </c>
      <c r="I33" s="95">
        <f t="shared" si="2"/>
        <v>2992.4049999999993</v>
      </c>
      <c r="J33" s="95">
        <f t="shared" si="2"/>
        <v>2992.4049999999993</v>
      </c>
      <c r="K33" s="95">
        <f>L33+($P33-$Z33)/10</f>
        <v>2992.4049999999993</v>
      </c>
      <c r="L33" s="95">
        <f>M33+($P33-$Z33)/10</f>
        <v>2947.5639999999994</v>
      </c>
      <c r="M33" s="95">
        <f t="shared" si="3"/>
        <v>2902.7229999999995</v>
      </c>
      <c r="N33" s="95">
        <f t="shared" si="3"/>
        <v>2857.8819999999996</v>
      </c>
      <c r="O33" s="95">
        <f t="shared" si="3"/>
        <v>2813.0409999999997</v>
      </c>
      <c r="P33" s="95">
        <f>input_data!I230</f>
        <v>2768.2</v>
      </c>
      <c r="Q33" s="95">
        <f t="shared" ref="Q33:Y33" si="6">R33+($P33-$Z33)/10</f>
        <v>2723.358999999999</v>
      </c>
      <c r="R33" s="95">
        <f t="shared" si="6"/>
        <v>2678.5179999999991</v>
      </c>
      <c r="S33" s="95">
        <f t="shared" si="6"/>
        <v>2633.6769999999992</v>
      </c>
      <c r="T33" s="95">
        <f t="shared" si="6"/>
        <v>2588.8359999999993</v>
      </c>
      <c r="U33" s="95">
        <f t="shared" si="6"/>
        <v>2543.9949999999994</v>
      </c>
      <c r="V33" s="95">
        <f t="shared" si="6"/>
        <v>2499.1539999999995</v>
      </c>
      <c r="W33" s="95">
        <f t="shared" si="6"/>
        <v>2454.3129999999996</v>
      </c>
      <c r="X33" s="95">
        <f t="shared" si="6"/>
        <v>2409.4719999999998</v>
      </c>
      <c r="Y33" s="95">
        <f t="shared" si="6"/>
        <v>2364.6309999999999</v>
      </c>
      <c r="Z33" s="95">
        <f>input_data!I233</f>
        <v>2319.79</v>
      </c>
      <c r="AA33" s="95">
        <f t="shared" ref="AA33:AT33" si="7">Z33</f>
        <v>2319.79</v>
      </c>
      <c r="AB33" s="95">
        <f t="shared" si="7"/>
        <v>2319.79</v>
      </c>
      <c r="AC33" s="95">
        <f t="shared" si="7"/>
        <v>2319.79</v>
      </c>
      <c r="AD33" s="95">
        <f t="shared" si="7"/>
        <v>2319.79</v>
      </c>
      <c r="AE33" s="95">
        <f t="shared" si="7"/>
        <v>2319.79</v>
      </c>
      <c r="AF33" s="95">
        <f t="shared" si="7"/>
        <v>2319.79</v>
      </c>
      <c r="AG33" s="95">
        <f t="shared" si="7"/>
        <v>2319.79</v>
      </c>
      <c r="AH33" s="95">
        <f t="shared" si="7"/>
        <v>2319.79</v>
      </c>
      <c r="AI33" s="95">
        <f t="shared" si="7"/>
        <v>2319.79</v>
      </c>
      <c r="AJ33" s="95">
        <f t="shared" si="7"/>
        <v>2319.79</v>
      </c>
      <c r="AK33" s="95">
        <f t="shared" si="7"/>
        <v>2319.79</v>
      </c>
      <c r="AL33" s="95">
        <f t="shared" si="7"/>
        <v>2319.79</v>
      </c>
      <c r="AM33" s="95">
        <f t="shared" si="7"/>
        <v>2319.79</v>
      </c>
      <c r="AN33" s="95">
        <f t="shared" si="7"/>
        <v>2319.79</v>
      </c>
      <c r="AO33" s="95">
        <f t="shared" si="7"/>
        <v>2319.79</v>
      </c>
      <c r="AP33" s="95">
        <f t="shared" si="7"/>
        <v>2319.79</v>
      </c>
      <c r="AQ33" s="95">
        <f t="shared" si="7"/>
        <v>2319.79</v>
      </c>
      <c r="AR33" s="95">
        <f t="shared" si="7"/>
        <v>2319.79</v>
      </c>
      <c r="AS33" s="95">
        <f t="shared" si="7"/>
        <v>2319.79</v>
      </c>
      <c r="AT33" s="95">
        <f t="shared" si="7"/>
        <v>2319.79</v>
      </c>
    </row>
    <row r="34" spans="1:46" ht="16.5" x14ac:dyDescent="0.3">
      <c r="A34" s="42"/>
      <c r="B34" t="s">
        <v>167</v>
      </c>
      <c r="C34" t="str">
        <f>input_names!$E$2</f>
        <v>D</v>
      </c>
      <c r="F34" s="95">
        <f t="shared" si="2"/>
        <v>3217.139999999999</v>
      </c>
      <c r="G34" s="95">
        <f t="shared" si="2"/>
        <v>3217.139999999999</v>
      </c>
      <c r="H34" s="95">
        <f t="shared" si="2"/>
        <v>3217.139999999999</v>
      </c>
      <c r="I34" s="95">
        <f t="shared" si="2"/>
        <v>3217.139999999999</v>
      </c>
      <c r="J34" s="95">
        <f t="shared" si="2"/>
        <v>3217.139999999999</v>
      </c>
      <c r="K34" s="95">
        <f t="shared" si="3"/>
        <v>3217.139999999999</v>
      </c>
      <c r="L34" s="95">
        <f t="shared" si="3"/>
        <v>3170.3819999999992</v>
      </c>
      <c r="M34" s="95">
        <f t="shared" si="3"/>
        <v>3123.6239999999993</v>
      </c>
      <c r="N34" s="95">
        <f t="shared" si="3"/>
        <v>3076.8659999999995</v>
      </c>
      <c r="O34" s="95">
        <f t="shared" si="3"/>
        <v>3030.1079999999997</v>
      </c>
      <c r="P34" s="95">
        <f>input_data!I231</f>
        <v>2983.35</v>
      </c>
      <c r="Q34" s="95">
        <f t="shared" ref="Q34:Y34" si="8">R34+($P34-$Z34)/10</f>
        <v>2936.5919999999983</v>
      </c>
      <c r="R34" s="95">
        <f t="shared" si="8"/>
        <v>2889.8339999999985</v>
      </c>
      <c r="S34" s="95">
        <f t="shared" si="8"/>
        <v>2843.0759999999987</v>
      </c>
      <c r="T34" s="95">
        <f t="shared" si="8"/>
        <v>2796.3179999999988</v>
      </c>
      <c r="U34" s="95">
        <f t="shared" si="8"/>
        <v>2749.559999999999</v>
      </c>
      <c r="V34" s="95">
        <f t="shared" si="8"/>
        <v>2702.8019999999992</v>
      </c>
      <c r="W34" s="95">
        <f t="shared" si="8"/>
        <v>2656.0439999999994</v>
      </c>
      <c r="X34" s="95">
        <f t="shared" si="8"/>
        <v>2609.2859999999996</v>
      </c>
      <c r="Y34" s="95">
        <f t="shared" si="8"/>
        <v>2562.5279999999998</v>
      </c>
      <c r="Z34" s="95">
        <f>input_data!I234</f>
        <v>2515.77</v>
      </c>
      <c r="AA34" s="95">
        <f t="shared" ref="AA34:AT34" si="9">Z34</f>
        <v>2515.77</v>
      </c>
      <c r="AB34" s="95">
        <f t="shared" si="9"/>
        <v>2515.77</v>
      </c>
      <c r="AC34" s="95">
        <f t="shared" si="9"/>
        <v>2515.77</v>
      </c>
      <c r="AD34" s="95">
        <f t="shared" si="9"/>
        <v>2515.77</v>
      </c>
      <c r="AE34" s="95">
        <f t="shared" si="9"/>
        <v>2515.77</v>
      </c>
      <c r="AF34" s="95">
        <f t="shared" si="9"/>
        <v>2515.77</v>
      </c>
      <c r="AG34" s="95">
        <f t="shared" si="9"/>
        <v>2515.77</v>
      </c>
      <c r="AH34" s="95">
        <f t="shared" si="9"/>
        <v>2515.77</v>
      </c>
      <c r="AI34" s="95">
        <f t="shared" si="9"/>
        <v>2515.77</v>
      </c>
      <c r="AJ34" s="95">
        <f t="shared" si="9"/>
        <v>2515.77</v>
      </c>
      <c r="AK34" s="95">
        <f t="shared" si="9"/>
        <v>2515.77</v>
      </c>
      <c r="AL34" s="95">
        <f t="shared" si="9"/>
        <v>2515.77</v>
      </c>
      <c r="AM34" s="95">
        <f t="shared" si="9"/>
        <v>2515.77</v>
      </c>
      <c r="AN34" s="95">
        <f t="shared" si="9"/>
        <v>2515.77</v>
      </c>
      <c r="AO34" s="95">
        <f t="shared" si="9"/>
        <v>2515.77</v>
      </c>
      <c r="AP34" s="95">
        <f t="shared" si="9"/>
        <v>2515.77</v>
      </c>
      <c r="AQ34" s="95">
        <f t="shared" si="9"/>
        <v>2515.77</v>
      </c>
      <c r="AR34" s="95">
        <f t="shared" si="9"/>
        <v>2515.77</v>
      </c>
      <c r="AS34" s="95">
        <f t="shared" si="9"/>
        <v>2515.77</v>
      </c>
      <c r="AT34" s="95">
        <f t="shared" si="9"/>
        <v>2515.77</v>
      </c>
    </row>
    <row r="35" spans="1:46" ht="16.5" x14ac:dyDescent="0.3">
      <c r="A35" s="42"/>
      <c r="B35" t="s">
        <v>167</v>
      </c>
      <c r="C35" t="str">
        <f>input_names!$F$2</f>
        <v>E</v>
      </c>
      <c r="F35" s="95">
        <f>F34</f>
        <v>3217.139999999999</v>
      </c>
      <c r="G35" s="95">
        <f t="shared" ref="G35:AT35" si="10">G34</f>
        <v>3217.139999999999</v>
      </c>
      <c r="H35" s="95">
        <f t="shared" si="10"/>
        <v>3217.139999999999</v>
      </c>
      <c r="I35" s="95">
        <f t="shared" si="10"/>
        <v>3217.139999999999</v>
      </c>
      <c r="J35" s="95">
        <f t="shared" si="10"/>
        <v>3217.139999999999</v>
      </c>
      <c r="K35" s="95">
        <f t="shared" si="10"/>
        <v>3217.139999999999</v>
      </c>
      <c r="L35" s="95">
        <f t="shared" si="10"/>
        <v>3170.3819999999992</v>
      </c>
      <c r="M35" s="95">
        <f t="shared" si="10"/>
        <v>3123.6239999999993</v>
      </c>
      <c r="N35" s="95">
        <f t="shared" si="10"/>
        <v>3076.8659999999995</v>
      </c>
      <c r="O35" s="95">
        <f t="shared" si="10"/>
        <v>3030.1079999999997</v>
      </c>
      <c r="P35" s="95">
        <f t="shared" si="10"/>
        <v>2983.35</v>
      </c>
      <c r="Q35" s="95">
        <f t="shared" si="10"/>
        <v>2936.5919999999983</v>
      </c>
      <c r="R35" s="95">
        <f t="shared" si="10"/>
        <v>2889.8339999999985</v>
      </c>
      <c r="S35" s="95">
        <f t="shared" si="10"/>
        <v>2843.0759999999987</v>
      </c>
      <c r="T35" s="95">
        <f t="shared" si="10"/>
        <v>2796.3179999999988</v>
      </c>
      <c r="U35" s="95">
        <f t="shared" si="10"/>
        <v>2749.559999999999</v>
      </c>
      <c r="V35" s="95">
        <f t="shared" si="10"/>
        <v>2702.8019999999992</v>
      </c>
      <c r="W35" s="95">
        <f t="shared" si="10"/>
        <v>2656.0439999999994</v>
      </c>
      <c r="X35" s="95">
        <f t="shared" si="10"/>
        <v>2609.2859999999996</v>
      </c>
      <c r="Y35" s="95">
        <f t="shared" si="10"/>
        <v>2562.5279999999998</v>
      </c>
      <c r="Z35" s="95">
        <f t="shared" si="10"/>
        <v>2515.77</v>
      </c>
      <c r="AA35" s="95">
        <f t="shared" si="10"/>
        <v>2515.77</v>
      </c>
      <c r="AB35" s="95">
        <f t="shared" si="10"/>
        <v>2515.77</v>
      </c>
      <c r="AC35" s="95">
        <f t="shared" si="10"/>
        <v>2515.77</v>
      </c>
      <c r="AD35" s="95">
        <f t="shared" si="10"/>
        <v>2515.77</v>
      </c>
      <c r="AE35" s="95">
        <f t="shared" si="10"/>
        <v>2515.77</v>
      </c>
      <c r="AF35" s="95">
        <f t="shared" si="10"/>
        <v>2515.77</v>
      </c>
      <c r="AG35" s="95">
        <f t="shared" si="10"/>
        <v>2515.77</v>
      </c>
      <c r="AH35" s="95">
        <f t="shared" si="10"/>
        <v>2515.77</v>
      </c>
      <c r="AI35" s="95">
        <f t="shared" si="10"/>
        <v>2515.77</v>
      </c>
      <c r="AJ35" s="95">
        <f t="shared" si="10"/>
        <v>2515.77</v>
      </c>
      <c r="AK35" s="95">
        <f t="shared" si="10"/>
        <v>2515.77</v>
      </c>
      <c r="AL35" s="95">
        <f t="shared" si="10"/>
        <v>2515.77</v>
      </c>
      <c r="AM35" s="95">
        <f t="shared" si="10"/>
        <v>2515.77</v>
      </c>
      <c r="AN35" s="95">
        <f t="shared" si="10"/>
        <v>2515.77</v>
      </c>
      <c r="AO35" s="95">
        <f t="shared" si="10"/>
        <v>2515.77</v>
      </c>
      <c r="AP35" s="95">
        <f t="shared" si="10"/>
        <v>2515.77</v>
      </c>
      <c r="AQ35" s="95">
        <f t="shared" si="10"/>
        <v>2515.77</v>
      </c>
      <c r="AR35" s="95">
        <f t="shared" si="10"/>
        <v>2515.77</v>
      </c>
      <c r="AS35" s="95">
        <f t="shared" si="10"/>
        <v>2515.77</v>
      </c>
      <c r="AT35" s="95">
        <f t="shared" si="10"/>
        <v>2515.77</v>
      </c>
    </row>
    <row r="36" spans="1:46" ht="16.5" x14ac:dyDescent="0.3">
      <c r="A36" s="42"/>
      <c r="B36" t="s">
        <v>167</v>
      </c>
      <c r="C36" t="s">
        <v>1372</v>
      </c>
      <c r="D36" t="s">
        <v>1410</v>
      </c>
      <c r="F36" s="515">
        <f>F34</f>
        <v>3217.139999999999</v>
      </c>
      <c r="G36" s="515">
        <f t="shared" ref="G36:AT36" si="11">G34</f>
        <v>3217.139999999999</v>
      </c>
      <c r="H36" s="515">
        <f t="shared" si="11"/>
        <v>3217.139999999999</v>
      </c>
      <c r="I36" s="515">
        <f t="shared" si="11"/>
        <v>3217.139999999999</v>
      </c>
      <c r="J36" s="515">
        <f t="shared" si="11"/>
        <v>3217.139999999999</v>
      </c>
      <c r="K36" s="515">
        <f t="shared" si="11"/>
        <v>3217.139999999999</v>
      </c>
      <c r="L36" s="515">
        <f t="shared" si="11"/>
        <v>3170.3819999999992</v>
      </c>
      <c r="M36" s="515">
        <f t="shared" si="11"/>
        <v>3123.6239999999993</v>
      </c>
      <c r="N36" s="515">
        <f t="shared" si="11"/>
        <v>3076.8659999999995</v>
      </c>
      <c r="O36" s="515">
        <f t="shared" si="11"/>
        <v>3030.1079999999997</v>
      </c>
      <c r="P36" s="515">
        <f t="shared" si="11"/>
        <v>2983.35</v>
      </c>
      <c r="Q36" s="515">
        <f t="shared" si="11"/>
        <v>2936.5919999999983</v>
      </c>
      <c r="R36" s="515">
        <f t="shared" si="11"/>
        <v>2889.8339999999985</v>
      </c>
      <c r="S36" s="515">
        <f t="shared" si="11"/>
        <v>2843.0759999999987</v>
      </c>
      <c r="T36" s="515">
        <f t="shared" si="11"/>
        <v>2796.3179999999988</v>
      </c>
      <c r="U36" s="515">
        <f t="shared" si="11"/>
        <v>2749.559999999999</v>
      </c>
      <c r="V36" s="515">
        <f t="shared" si="11"/>
        <v>2702.8019999999992</v>
      </c>
      <c r="W36" s="515">
        <f t="shared" si="11"/>
        <v>2656.0439999999994</v>
      </c>
      <c r="X36" s="515">
        <f t="shared" si="11"/>
        <v>2609.2859999999996</v>
      </c>
      <c r="Y36" s="515">
        <f t="shared" si="11"/>
        <v>2562.5279999999998</v>
      </c>
      <c r="Z36" s="515">
        <f t="shared" si="11"/>
        <v>2515.77</v>
      </c>
      <c r="AA36" s="515">
        <f t="shared" si="11"/>
        <v>2515.77</v>
      </c>
      <c r="AB36" s="515">
        <f t="shared" si="11"/>
        <v>2515.77</v>
      </c>
      <c r="AC36" s="515">
        <f t="shared" si="11"/>
        <v>2515.77</v>
      </c>
      <c r="AD36" s="515">
        <f t="shared" si="11"/>
        <v>2515.77</v>
      </c>
      <c r="AE36" s="515">
        <f t="shared" si="11"/>
        <v>2515.77</v>
      </c>
      <c r="AF36" s="515">
        <f t="shared" si="11"/>
        <v>2515.77</v>
      </c>
      <c r="AG36" s="515">
        <f t="shared" si="11"/>
        <v>2515.77</v>
      </c>
      <c r="AH36" s="515">
        <f t="shared" si="11"/>
        <v>2515.77</v>
      </c>
      <c r="AI36" s="515">
        <f t="shared" si="11"/>
        <v>2515.77</v>
      </c>
      <c r="AJ36" s="515">
        <f t="shared" si="11"/>
        <v>2515.77</v>
      </c>
      <c r="AK36" s="515">
        <f t="shared" si="11"/>
        <v>2515.77</v>
      </c>
      <c r="AL36" s="515">
        <f t="shared" si="11"/>
        <v>2515.77</v>
      </c>
      <c r="AM36" s="515">
        <f t="shared" si="11"/>
        <v>2515.77</v>
      </c>
      <c r="AN36" s="515">
        <f t="shared" si="11"/>
        <v>2515.77</v>
      </c>
      <c r="AO36" s="515">
        <f t="shared" si="11"/>
        <v>2515.77</v>
      </c>
      <c r="AP36" s="515">
        <f t="shared" si="11"/>
        <v>2515.77</v>
      </c>
      <c r="AQ36" s="515">
        <f t="shared" si="11"/>
        <v>2515.77</v>
      </c>
      <c r="AR36" s="515">
        <f t="shared" si="11"/>
        <v>2515.77</v>
      </c>
      <c r="AS36" s="515">
        <f t="shared" si="11"/>
        <v>2515.77</v>
      </c>
      <c r="AT36" s="515">
        <f t="shared" si="11"/>
        <v>2515.77</v>
      </c>
    </row>
    <row r="37" spans="1:46" ht="18.75" x14ac:dyDescent="0.3">
      <c r="A37" s="42"/>
      <c r="B37" s="68" t="str">
        <f>input_names!$A$10</f>
        <v>afname_voertuigkosten</v>
      </c>
      <c r="C37" s="42"/>
      <c r="D37" s="42"/>
      <c r="E37" s="42"/>
      <c r="F37" s="69">
        <v>2010</v>
      </c>
      <c r="G37" s="69">
        <v>2011</v>
      </c>
      <c r="H37" s="69">
        <v>2012</v>
      </c>
      <c r="I37" s="69">
        <v>2013</v>
      </c>
      <c r="J37" s="69">
        <v>2014</v>
      </c>
      <c r="K37" s="69">
        <v>2015</v>
      </c>
      <c r="L37" s="69">
        <v>2016</v>
      </c>
      <c r="M37" s="69">
        <v>2017</v>
      </c>
      <c r="N37" s="69">
        <v>2018</v>
      </c>
      <c r="O37" s="69">
        <v>2019</v>
      </c>
      <c r="P37" s="69">
        <v>2020</v>
      </c>
      <c r="Q37" s="69">
        <v>2021</v>
      </c>
      <c r="R37" s="69">
        <v>2022</v>
      </c>
      <c r="S37" s="69">
        <v>2023</v>
      </c>
      <c r="T37" s="69">
        <v>2024</v>
      </c>
      <c r="U37" s="69">
        <v>2025</v>
      </c>
      <c r="V37" s="69">
        <v>2026</v>
      </c>
      <c r="W37" s="69">
        <v>2027</v>
      </c>
      <c r="X37" s="69">
        <v>2028</v>
      </c>
      <c r="Y37" s="69">
        <v>2029</v>
      </c>
      <c r="Z37" s="69">
        <v>2030</v>
      </c>
      <c r="AA37" s="69">
        <v>2031</v>
      </c>
      <c r="AB37" s="69">
        <v>2032</v>
      </c>
      <c r="AC37" s="69">
        <v>2033</v>
      </c>
      <c r="AD37" s="69">
        <v>2034</v>
      </c>
      <c r="AE37" s="69">
        <v>2035</v>
      </c>
      <c r="AF37" s="69">
        <v>2036</v>
      </c>
      <c r="AG37" s="69">
        <v>2037</v>
      </c>
      <c r="AH37" s="69">
        <v>2038</v>
      </c>
      <c r="AI37" s="69">
        <v>2039</v>
      </c>
      <c r="AJ37" s="69">
        <v>2040</v>
      </c>
      <c r="AK37" s="69">
        <v>2041</v>
      </c>
      <c r="AL37" s="69">
        <v>2042</v>
      </c>
      <c r="AM37" s="69">
        <v>2043</v>
      </c>
      <c r="AN37" s="69">
        <v>2044</v>
      </c>
      <c r="AO37" s="69">
        <v>2045</v>
      </c>
      <c r="AP37" s="69">
        <v>2046</v>
      </c>
      <c r="AQ37" s="69">
        <v>2047</v>
      </c>
      <c r="AR37" s="69">
        <v>2048</v>
      </c>
      <c r="AS37" s="69">
        <v>2049</v>
      </c>
      <c r="AT37" s="69">
        <v>2050</v>
      </c>
    </row>
    <row r="38" spans="1:46" ht="16.5" x14ac:dyDescent="0.3">
      <c r="A38" s="42"/>
      <c r="B38" t="str">
        <f>input_names!$A$10</f>
        <v>afname_voertuigkosten</v>
      </c>
      <c r="C38" t="str">
        <f>input_names!$B$10</f>
        <v>hoog</v>
      </c>
      <c r="K38" s="44" cm="1">
        <f t="array" ref="K38:AJ40">TRANSPOSE(input_data!F158:H183)</f>
        <v>0</v>
      </c>
      <c r="L38" s="44">
        <v>0</v>
      </c>
      <c r="M38" s="44">
        <v>0</v>
      </c>
      <c r="N38" s="44">
        <v>0</v>
      </c>
      <c r="O38" s="44">
        <v>0</v>
      </c>
      <c r="P38" s="44">
        <v>1.0666666666666667</v>
      </c>
      <c r="Q38" s="44">
        <v>1.0533333333333332</v>
      </c>
      <c r="R38" s="44">
        <v>1.04</v>
      </c>
      <c r="S38" s="44">
        <v>1.0266666666666666</v>
      </c>
      <c r="T38" s="44">
        <v>1.0133333333333334</v>
      </c>
      <c r="U38" s="44">
        <v>1</v>
      </c>
      <c r="V38" s="44">
        <v>0.98666666666666669</v>
      </c>
      <c r="W38" s="44">
        <v>0.97333333333333338</v>
      </c>
      <c r="X38" s="44">
        <v>0.96</v>
      </c>
      <c r="Y38" s="44">
        <v>0.94666666666666666</v>
      </c>
      <c r="Z38" s="44">
        <v>0.93333333333333335</v>
      </c>
      <c r="AA38" s="44">
        <v>0.93333333333333335</v>
      </c>
      <c r="AB38" s="44">
        <v>0.93333333333333335</v>
      </c>
      <c r="AC38" s="44">
        <v>0.93333333333333335</v>
      </c>
      <c r="AD38" s="44">
        <v>0.93333333333333335</v>
      </c>
      <c r="AE38" s="44">
        <v>0.93333333333333335</v>
      </c>
      <c r="AF38" s="44">
        <v>0.93333333333333335</v>
      </c>
      <c r="AG38" s="44">
        <v>0.93333333333333335</v>
      </c>
      <c r="AH38" s="44">
        <v>0.93333333333333335</v>
      </c>
      <c r="AI38" s="44">
        <v>0.93333333333333335</v>
      </c>
      <c r="AJ38" s="44">
        <v>0.93333333333333335</v>
      </c>
    </row>
    <row r="39" spans="1:46" ht="16.5" x14ac:dyDescent="0.3">
      <c r="A39" s="42"/>
      <c r="B39" t="str">
        <f>input_names!$A$10</f>
        <v>afname_voertuigkosten</v>
      </c>
      <c r="C39" t="str">
        <f>input_names!$C$10</f>
        <v>middel</v>
      </c>
      <c r="K39" s="44">
        <v>0</v>
      </c>
      <c r="L39" s="44">
        <v>0</v>
      </c>
      <c r="M39" s="44">
        <v>0</v>
      </c>
      <c r="N39" s="44">
        <v>0</v>
      </c>
      <c r="O39" s="44">
        <v>0</v>
      </c>
      <c r="P39" s="44">
        <v>1.0666666666666667</v>
      </c>
      <c r="Q39" s="44">
        <v>1.0533333333333332</v>
      </c>
      <c r="R39" s="44">
        <v>1.04</v>
      </c>
      <c r="S39" s="44">
        <v>1.0266666666666666</v>
      </c>
      <c r="T39" s="44">
        <v>1.0133333333333334</v>
      </c>
      <c r="U39" s="44">
        <v>1</v>
      </c>
      <c r="V39" s="44">
        <v>0.98666666666666669</v>
      </c>
      <c r="W39" s="44">
        <v>0.97333333333333338</v>
      </c>
      <c r="X39" s="44">
        <v>0.96</v>
      </c>
      <c r="Y39" s="44">
        <v>0.94666666666666666</v>
      </c>
      <c r="Z39" s="44">
        <v>0.93333333333333335</v>
      </c>
      <c r="AA39" s="44">
        <v>0.93333333333333335</v>
      </c>
      <c r="AB39" s="44">
        <v>0.93333333333333335</v>
      </c>
      <c r="AC39" s="44">
        <v>0.93333333333333335</v>
      </c>
      <c r="AD39" s="44">
        <v>0.93333333333333335</v>
      </c>
      <c r="AE39" s="44">
        <v>0.93333333333333335</v>
      </c>
      <c r="AF39" s="44">
        <v>0.93333333333333335</v>
      </c>
      <c r="AG39" s="44">
        <v>0.93333333333333335</v>
      </c>
      <c r="AH39" s="44">
        <v>0.93333333333333335</v>
      </c>
      <c r="AI39" s="44">
        <v>0.93333333333333335</v>
      </c>
      <c r="AJ39" s="44">
        <v>0.93333333333333335</v>
      </c>
    </row>
    <row r="40" spans="1:46" ht="16.5" x14ac:dyDescent="0.3">
      <c r="A40" s="42"/>
      <c r="B40" t="str">
        <f>input_names!$A$10</f>
        <v>afname_voertuigkosten</v>
      </c>
      <c r="C40" t="str">
        <f>input_names!$D$10</f>
        <v>laag</v>
      </c>
      <c r="K40" s="44">
        <v>0</v>
      </c>
      <c r="L40" s="44">
        <v>0</v>
      </c>
      <c r="M40" s="44">
        <v>0</v>
      </c>
      <c r="N40" s="44">
        <v>0</v>
      </c>
      <c r="O40" s="44">
        <v>0</v>
      </c>
      <c r="P40" s="44">
        <v>1.0666666666666667</v>
      </c>
      <c r="Q40" s="44">
        <v>1.0533333333333332</v>
      </c>
      <c r="R40" s="44">
        <v>1.04</v>
      </c>
      <c r="S40" s="44">
        <v>1.0266666666666666</v>
      </c>
      <c r="T40" s="44">
        <v>1.0133333333333334</v>
      </c>
      <c r="U40" s="44">
        <v>1</v>
      </c>
      <c r="V40" s="44">
        <v>0.98666666666666669</v>
      </c>
      <c r="W40" s="44">
        <v>0.97333333333333338</v>
      </c>
      <c r="X40" s="44">
        <v>0.96</v>
      </c>
      <c r="Y40" s="44">
        <v>0.94666666666666666</v>
      </c>
      <c r="Z40" s="44">
        <v>0.93333333333333335</v>
      </c>
      <c r="AA40" s="44">
        <v>0.93333333333333335</v>
      </c>
      <c r="AB40" s="44">
        <v>0.93333333333333335</v>
      </c>
      <c r="AC40" s="44">
        <v>0.93333333333333335</v>
      </c>
      <c r="AD40" s="44">
        <v>0.93333333333333335</v>
      </c>
      <c r="AE40" s="44">
        <v>0.93333333333333335</v>
      </c>
      <c r="AF40" s="44">
        <v>0.93333333333333335</v>
      </c>
      <c r="AG40" s="44">
        <v>0.93333333333333335</v>
      </c>
      <c r="AH40" s="44">
        <v>0.93333333333333335</v>
      </c>
      <c r="AI40" s="44">
        <v>0.93333333333333335</v>
      </c>
      <c r="AJ40" s="44">
        <v>0.93333333333333335</v>
      </c>
    </row>
    <row r="41" spans="1:46" ht="16.5" x14ac:dyDescent="0.3">
      <c r="A41" s="42"/>
    </row>
    <row r="42" spans="1:46" ht="18.75" x14ac:dyDescent="0.3">
      <c r="A42" s="42"/>
      <c r="B42" s="68" t="str">
        <f>input_names!$A$17</f>
        <v>laadverlies</v>
      </c>
      <c r="C42" s="42"/>
      <c r="D42" s="42"/>
      <c r="E42" s="42"/>
      <c r="F42" s="69">
        <v>2010</v>
      </c>
      <c r="G42" s="69">
        <v>2011</v>
      </c>
      <c r="H42" s="69">
        <v>2012</v>
      </c>
      <c r="I42" s="69">
        <v>2013</v>
      </c>
      <c r="J42" s="69">
        <v>2014</v>
      </c>
      <c r="K42" s="69">
        <v>2015</v>
      </c>
      <c r="L42" s="69">
        <v>2016</v>
      </c>
      <c r="M42" s="69">
        <v>2017</v>
      </c>
      <c r="N42" s="69">
        <v>2018</v>
      </c>
      <c r="O42" s="69">
        <v>2019</v>
      </c>
      <c r="P42" s="69">
        <v>2020</v>
      </c>
      <c r="Q42" s="69">
        <v>2021</v>
      </c>
      <c r="R42" s="69">
        <v>2022</v>
      </c>
      <c r="S42" s="69">
        <v>2023</v>
      </c>
      <c r="T42" s="69">
        <v>2024</v>
      </c>
      <c r="U42" s="69">
        <v>2025</v>
      </c>
      <c r="V42" s="69">
        <v>2026</v>
      </c>
      <c r="W42" s="69">
        <v>2027</v>
      </c>
      <c r="X42" s="69">
        <v>2028</v>
      </c>
      <c r="Y42" s="69">
        <v>2029</v>
      </c>
      <c r="Z42" s="69">
        <v>2030</v>
      </c>
      <c r="AA42" s="69">
        <v>2031</v>
      </c>
      <c r="AB42" s="69">
        <v>2032</v>
      </c>
      <c r="AC42" s="69">
        <v>2033</v>
      </c>
      <c r="AD42" s="69">
        <v>2034</v>
      </c>
      <c r="AE42" s="69">
        <v>2035</v>
      </c>
      <c r="AF42" s="69">
        <v>2036</v>
      </c>
      <c r="AG42" s="69">
        <v>2037</v>
      </c>
      <c r="AH42" s="69">
        <v>2038</v>
      </c>
      <c r="AI42" s="69">
        <v>2039</v>
      </c>
      <c r="AJ42" s="69">
        <v>2040</v>
      </c>
      <c r="AK42" s="69">
        <v>2041</v>
      </c>
      <c r="AL42" s="69">
        <v>2042</v>
      </c>
      <c r="AM42" s="69">
        <v>2043</v>
      </c>
      <c r="AN42" s="69">
        <v>2044</v>
      </c>
      <c r="AO42" s="69">
        <v>2045</v>
      </c>
      <c r="AP42" s="69">
        <v>2046</v>
      </c>
      <c r="AQ42" s="69">
        <v>2047</v>
      </c>
      <c r="AR42" s="69">
        <v>2048</v>
      </c>
      <c r="AS42" s="69">
        <v>2049</v>
      </c>
      <c r="AT42" s="69">
        <v>2050</v>
      </c>
    </row>
    <row r="43" spans="1:46" ht="16.5" x14ac:dyDescent="0.3">
      <c r="A43" s="42"/>
      <c r="B43" t="str">
        <f>input_names!$A$17</f>
        <v>laadverlies</v>
      </c>
      <c r="C43" t="str">
        <f>input_names!$B$17</f>
        <v>hoog</v>
      </c>
      <c r="K43" s="47" cm="1">
        <f t="array" ref="K43:AJ45">TRANSPOSE(C113:E138)</f>
        <v>0.95</v>
      </c>
      <c r="L43" s="47">
        <v>0.95199999999999996</v>
      </c>
      <c r="M43" s="47">
        <v>0.95399999999999996</v>
      </c>
      <c r="N43" s="47">
        <v>0.95599999999999996</v>
      </c>
      <c r="O43" s="47">
        <v>0.95799999999999996</v>
      </c>
      <c r="P43" s="47">
        <v>0.96</v>
      </c>
      <c r="Q43" s="47">
        <v>0.96199999999999997</v>
      </c>
      <c r="R43" s="47">
        <v>0.96399999999999997</v>
      </c>
      <c r="S43" s="47">
        <v>0.96599999999999997</v>
      </c>
      <c r="T43" s="47">
        <v>0.96799999999999997</v>
      </c>
      <c r="U43" s="47">
        <v>0.97</v>
      </c>
      <c r="V43" s="47">
        <v>0.97199999999999998</v>
      </c>
      <c r="W43" s="47">
        <v>0.97399999999999998</v>
      </c>
      <c r="X43" s="47">
        <v>0.97599999999999998</v>
      </c>
      <c r="Y43" s="47">
        <v>0.97799999999999998</v>
      </c>
      <c r="Z43" s="47">
        <v>0.98</v>
      </c>
      <c r="AA43" s="47">
        <v>0.98</v>
      </c>
      <c r="AB43" s="47">
        <v>0.98</v>
      </c>
      <c r="AC43" s="47">
        <v>0.98</v>
      </c>
      <c r="AD43" s="47">
        <v>0.98</v>
      </c>
      <c r="AE43" s="47">
        <v>0.98</v>
      </c>
      <c r="AF43" s="47">
        <v>0.98</v>
      </c>
      <c r="AG43" s="47">
        <v>0.98</v>
      </c>
      <c r="AH43" s="47">
        <v>0.98</v>
      </c>
      <c r="AI43" s="47">
        <v>0.98</v>
      </c>
      <c r="AJ43" s="47">
        <v>0.98</v>
      </c>
    </row>
    <row r="44" spans="1:46" ht="16.5" x14ac:dyDescent="0.3">
      <c r="A44" s="42"/>
      <c r="B44" t="str">
        <f>input_names!$A$17</f>
        <v>laadverlies</v>
      </c>
      <c r="C44" t="str">
        <f>input_names!$C$17</f>
        <v>middel</v>
      </c>
      <c r="K44" s="47">
        <v>0.93</v>
      </c>
      <c r="L44" s="47">
        <v>0.93200000000000005</v>
      </c>
      <c r="M44" s="47">
        <v>0.93400000000000005</v>
      </c>
      <c r="N44" s="47">
        <v>0.93600000000000005</v>
      </c>
      <c r="O44" s="47">
        <v>0.93800000000000006</v>
      </c>
      <c r="P44" s="47">
        <v>0.94000000000000006</v>
      </c>
      <c r="Q44" s="47">
        <v>0.94200000000000006</v>
      </c>
      <c r="R44" s="47">
        <v>0.94400000000000006</v>
      </c>
      <c r="S44" s="47">
        <v>0.94600000000000006</v>
      </c>
      <c r="T44" s="47">
        <v>0.94800000000000006</v>
      </c>
      <c r="U44" s="47">
        <v>0.95000000000000007</v>
      </c>
      <c r="V44" s="47">
        <v>0.95200000000000007</v>
      </c>
      <c r="W44" s="47">
        <v>0.95400000000000007</v>
      </c>
      <c r="X44" s="47">
        <v>0.95600000000000007</v>
      </c>
      <c r="Y44" s="47">
        <v>0.95800000000000007</v>
      </c>
      <c r="Z44" s="47">
        <v>0.96</v>
      </c>
      <c r="AA44" s="47">
        <v>0.96</v>
      </c>
      <c r="AB44" s="47">
        <v>0.96</v>
      </c>
      <c r="AC44" s="47">
        <v>0.96</v>
      </c>
      <c r="AD44" s="47">
        <v>0.96</v>
      </c>
      <c r="AE44" s="47">
        <v>0.96</v>
      </c>
      <c r="AF44" s="47">
        <v>0.96</v>
      </c>
      <c r="AG44" s="47">
        <v>0.96</v>
      </c>
      <c r="AH44" s="47">
        <v>0.96</v>
      </c>
      <c r="AI44" s="47">
        <v>0.96</v>
      </c>
      <c r="AJ44" s="47">
        <v>0.96</v>
      </c>
    </row>
    <row r="45" spans="1:46" ht="16.5" x14ac:dyDescent="0.3">
      <c r="A45" s="42"/>
      <c r="B45" t="str">
        <f>input_names!$A$17</f>
        <v>laadverlies</v>
      </c>
      <c r="C45" t="str">
        <f>input_names!$D$17</f>
        <v>laag</v>
      </c>
      <c r="K45" s="47">
        <v>0.88</v>
      </c>
      <c r="L45" s="47">
        <v>0.88466666666666671</v>
      </c>
      <c r="M45" s="47">
        <v>0.88933333333333342</v>
      </c>
      <c r="N45" s="47">
        <v>0.89400000000000013</v>
      </c>
      <c r="O45" s="47">
        <v>0.89866666666666684</v>
      </c>
      <c r="P45" s="47">
        <v>0.90333333333333354</v>
      </c>
      <c r="Q45" s="47">
        <v>0.90800000000000025</v>
      </c>
      <c r="R45" s="47">
        <v>0.91266666666666696</v>
      </c>
      <c r="S45" s="47">
        <v>0.91733333333333367</v>
      </c>
      <c r="T45" s="47">
        <v>0.92200000000000037</v>
      </c>
      <c r="U45" s="47">
        <v>0.92666666666666708</v>
      </c>
      <c r="V45" s="47">
        <v>0.93133333333333379</v>
      </c>
      <c r="W45" s="47">
        <v>0.9360000000000005</v>
      </c>
      <c r="X45" s="47">
        <v>0.94066666666666721</v>
      </c>
      <c r="Y45" s="47">
        <v>0.94533333333333391</v>
      </c>
      <c r="Z45" s="47">
        <v>0.95</v>
      </c>
      <c r="AA45" s="47">
        <v>0.95</v>
      </c>
      <c r="AB45" s="47">
        <v>0.95</v>
      </c>
      <c r="AC45" s="47">
        <v>0.95</v>
      </c>
      <c r="AD45" s="47">
        <v>0.95</v>
      </c>
      <c r="AE45" s="47">
        <v>0.95</v>
      </c>
      <c r="AF45" s="47">
        <v>0.95</v>
      </c>
      <c r="AG45" s="47">
        <v>0.95</v>
      </c>
      <c r="AH45" s="47">
        <v>0.95</v>
      </c>
      <c r="AI45" s="47">
        <v>0.95</v>
      </c>
      <c r="AJ45" s="47">
        <v>0.95</v>
      </c>
    </row>
    <row r="46" spans="1:46" s="292" customFormat="1" ht="18.75" x14ac:dyDescent="0.3">
      <c r="A46" s="291"/>
      <c r="B46" s="293" t="s">
        <v>55</v>
      </c>
      <c r="F46" s="292" t="s">
        <v>54</v>
      </c>
    </row>
    <row r="47" spans="1:46" ht="16.5" x14ac:dyDescent="0.3">
      <c r="A47" s="291"/>
      <c r="B47" t="s">
        <v>55</v>
      </c>
      <c r="C47" t="str">
        <f>$G$2</f>
        <v>afschrijving eerste jaar</v>
      </c>
      <c r="D47" t="s">
        <v>1012</v>
      </c>
      <c r="F47" s="47">
        <v>0</v>
      </c>
    </row>
    <row r="48" spans="1:46" ht="16.5" x14ac:dyDescent="0.3">
      <c r="A48" s="291"/>
      <c r="B48" t="s">
        <v>55</v>
      </c>
      <c r="C48" t="str">
        <f>$G$2</f>
        <v>afschrijving eerste jaar</v>
      </c>
      <c r="D48" t="s">
        <v>19</v>
      </c>
      <c r="F48" s="47">
        <v>-0.05</v>
      </c>
    </row>
    <row r="49" spans="1:46" ht="16.5" x14ac:dyDescent="0.3">
      <c r="A49" s="291"/>
      <c r="B49" t="s">
        <v>55</v>
      </c>
      <c r="C49" t="str">
        <f>$G$2</f>
        <v>afschrijving eerste jaar</v>
      </c>
      <c r="D49" t="s">
        <v>18</v>
      </c>
      <c r="F49" s="47">
        <v>0.05</v>
      </c>
    </row>
    <row r="50" spans="1:46" ht="16.5" x14ac:dyDescent="0.3">
      <c r="A50" s="291"/>
      <c r="B50" t="s">
        <v>55</v>
      </c>
      <c r="C50" t="str">
        <f>$G$3</f>
        <v>waardedalingscoefficient</v>
      </c>
      <c r="D50" t="s">
        <v>1012</v>
      </c>
      <c r="F50" s="47">
        <v>0</v>
      </c>
    </row>
    <row r="51" spans="1:46" ht="16.5" x14ac:dyDescent="0.3">
      <c r="A51" s="291"/>
      <c r="B51" t="s">
        <v>55</v>
      </c>
      <c r="C51" t="str">
        <f>$G$3</f>
        <v>waardedalingscoefficient</v>
      </c>
      <c r="D51" t="s">
        <v>19</v>
      </c>
      <c r="F51" s="47">
        <v>-0.05</v>
      </c>
    </row>
    <row r="52" spans="1:46" ht="16.5" x14ac:dyDescent="0.3">
      <c r="A52" s="291"/>
      <c r="B52" t="s">
        <v>55</v>
      </c>
      <c r="C52" t="str">
        <f>$G$3</f>
        <v>waardedalingscoefficient</v>
      </c>
      <c r="D52" t="s">
        <v>18</v>
      </c>
      <c r="F52" s="47">
        <v>0.05</v>
      </c>
    </row>
    <row r="53" spans="1:46" ht="16.5" x14ac:dyDescent="0.3">
      <c r="A53" s="291"/>
    </row>
    <row r="54" spans="1:46" s="292" customFormat="1" ht="18.75" x14ac:dyDescent="0.3">
      <c r="A54" s="291"/>
      <c r="B54" s="293" t="str">
        <f>input_names!$A$18</f>
        <v>MRB_EV</v>
      </c>
      <c r="F54" s="292" t="s">
        <v>54</v>
      </c>
    </row>
    <row r="55" spans="1:46" ht="16.5" x14ac:dyDescent="0.3">
      <c r="A55" s="291"/>
      <c r="B55" t="str">
        <f>input_names!$A$18</f>
        <v>MRB_EV</v>
      </c>
      <c r="C55" t="str">
        <f>input_names!$B$18</f>
        <v>referentie</v>
      </c>
      <c r="F55" s="44">
        <v>1</v>
      </c>
    </row>
    <row r="56" spans="1:46" ht="16.5" x14ac:dyDescent="0.3">
      <c r="A56" s="291"/>
      <c r="B56" t="str">
        <f>input_names!$A$18</f>
        <v>MRB_EV</v>
      </c>
      <c r="C56" t="str">
        <f>input_names!$C$18</f>
        <v>halftarief</v>
      </c>
      <c r="F56" s="44">
        <v>0.5</v>
      </c>
    </row>
    <row r="57" spans="1:46" ht="16.5" x14ac:dyDescent="0.3">
      <c r="A57" s="291"/>
      <c r="B57" t="str">
        <f>input_names!$A$18</f>
        <v>MRB_EV</v>
      </c>
      <c r="C57" t="str">
        <f>input_names!$D$18</f>
        <v>geen MRB</v>
      </c>
      <c r="F57" s="44">
        <v>0</v>
      </c>
    </row>
    <row r="58" spans="1:46" ht="16.5" x14ac:dyDescent="0.3">
      <c r="A58" s="291"/>
    </row>
    <row r="59" spans="1:46" ht="16.5" x14ac:dyDescent="0.3">
      <c r="A59" s="291"/>
    </row>
    <row r="60" spans="1:46" ht="18.75" x14ac:dyDescent="0.3">
      <c r="A60" s="71"/>
      <c r="B60" s="73" t="str">
        <f>input_names!$A$5</f>
        <v>jaarkm</v>
      </c>
      <c r="C60" s="71"/>
      <c r="D60" s="71"/>
      <c r="E60" s="71"/>
      <c r="F60" s="72" t="s">
        <v>54</v>
      </c>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row>
    <row r="61" spans="1:46" x14ac:dyDescent="0.3">
      <c r="A61" s="71"/>
      <c r="B61" t="str">
        <f>input_names!$A$5</f>
        <v>jaarkm</v>
      </c>
      <c r="C61" t="str">
        <f>input_names!$B$5</f>
        <v>hoog</v>
      </c>
      <c r="F61" s="40">
        <v>30000</v>
      </c>
    </row>
    <row r="62" spans="1:46" x14ac:dyDescent="0.3">
      <c r="A62" s="71"/>
      <c r="B62" t="str">
        <f>input_names!$A$5</f>
        <v>jaarkm</v>
      </c>
      <c r="C62" t="str">
        <f>input_names!$C$5</f>
        <v>middel</v>
      </c>
      <c r="F62" s="40">
        <v>24000</v>
      </c>
    </row>
    <row r="63" spans="1:46" x14ac:dyDescent="0.3">
      <c r="A63" s="71"/>
      <c r="B63" t="str">
        <f>input_names!$A$5</f>
        <v>jaarkm</v>
      </c>
      <c r="C63" t="str">
        <f>input_names!$D$5</f>
        <v>laag</v>
      </c>
      <c r="F63" s="40">
        <v>12000</v>
      </c>
    </row>
    <row r="64" spans="1:46" x14ac:dyDescent="0.3">
      <c r="A64" s="71"/>
      <c r="B64" t="str">
        <f>input_names!$A$5</f>
        <v>jaarkm</v>
      </c>
      <c r="C64" t="str">
        <f>input_names!$E$5</f>
        <v>anders, namelijk</v>
      </c>
      <c r="F64">
        <f>input_jaarkm_anders</f>
        <v>0</v>
      </c>
    </row>
    <row r="65" spans="1:46" ht="18.75" x14ac:dyDescent="0.3">
      <c r="A65" s="71"/>
      <c r="B65" s="73" t="str">
        <f>input_names!$A$6</f>
        <v>gebruiksduur</v>
      </c>
      <c r="C65" s="71"/>
      <c r="D65" s="71"/>
      <c r="E65" s="71"/>
      <c r="F65" s="72" t="s">
        <v>54</v>
      </c>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row>
    <row r="66" spans="1:46" x14ac:dyDescent="0.3">
      <c r="A66" s="71"/>
      <c r="B66" t="str">
        <f>input_names!$A$6</f>
        <v>gebruiksduur</v>
      </c>
      <c r="C66" t="str">
        <f>input_names!$B$6</f>
        <v>hoog</v>
      </c>
      <c r="F66" s="40">
        <v>8</v>
      </c>
    </row>
    <row r="67" spans="1:46" x14ac:dyDescent="0.3">
      <c r="A67" s="71"/>
      <c r="B67" t="str">
        <f>input_names!$A$6</f>
        <v>gebruiksduur</v>
      </c>
      <c r="C67" t="str">
        <f>input_names!$C$6</f>
        <v>middel</v>
      </c>
      <c r="F67" s="40">
        <v>6</v>
      </c>
    </row>
    <row r="68" spans="1:46" x14ac:dyDescent="0.3">
      <c r="A68" s="71"/>
      <c r="B68" t="str">
        <f>input_names!$A$6</f>
        <v>gebruiksduur</v>
      </c>
      <c r="C68" t="str">
        <f>input_names!$D$6</f>
        <v>laag</v>
      </c>
      <c r="F68" s="40">
        <v>4</v>
      </c>
    </row>
    <row r="69" spans="1:46" x14ac:dyDescent="0.3">
      <c r="A69" s="71"/>
      <c r="B69" t="str">
        <f>input_names!$A$6</f>
        <v>gebruiksduur</v>
      </c>
      <c r="C69" t="str">
        <f>input_names!$E$6</f>
        <v>anders, namelijk</v>
      </c>
      <c r="F69" s="40" t="str">
        <f>'control panel'!D27</f>
        <v>0,1</v>
      </c>
    </row>
    <row r="70" spans="1:46" ht="18.75" x14ac:dyDescent="0.3">
      <c r="A70" s="71"/>
      <c r="B70" s="73" t="str">
        <f>input_names!$A$7</f>
        <v>rentevoet</v>
      </c>
      <c r="C70" s="71"/>
      <c r="D70" s="71"/>
      <c r="E70" s="71"/>
      <c r="F70" s="72" t="s">
        <v>54</v>
      </c>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row>
    <row r="71" spans="1:46" x14ac:dyDescent="0.3">
      <c r="A71" s="71"/>
      <c r="B71" t="str">
        <f>input_names!$A$7</f>
        <v>rentevoet</v>
      </c>
      <c r="C71" t="str">
        <f>input_names!$B$7</f>
        <v>hoog</v>
      </c>
      <c r="F71" s="48">
        <v>0.08</v>
      </c>
    </row>
    <row r="72" spans="1:46" ht="15.75" customHeight="1" x14ac:dyDescent="0.3">
      <c r="A72" s="71"/>
      <c r="B72" t="str">
        <f>input_names!$A$7</f>
        <v>rentevoet</v>
      </c>
      <c r="C72" t="str">
        <f>input_names!$C$7</f>
        <v>middel</v>
      </c>
      <c r="F72" s="48">
        <v>5.5E-2</v>
      </c>
    </row>
    <row r="73" spans="1:46" x14ac:dyDescent="0.3">
      <c r="A73" s="71"/>
      <c r="B73" t="str">
        <f>input_names!$A$7</f>
        <v>rentevoet</v>
      </c>
      <c r="C73" t="str">
        <f>input_names!$D$7</f>
        <v>laag</v>
      </c>
      <c r="F73" s="48">
        <v>2.5000000000000001E-2</v>
      </c>
    </row>
    <row r="74" spans="1:46" ht="18.75" x14ac:dyDescent="0.3">
      <c r="A74" s="71"/>
      <c r="B74" s="73" t="s">
        <v>1292</v>
      </c>
      <c r="C74" s="71"/>
      <c r="D74" s="71"/>
      <c r="E74" s="71"/>
      <c r="F74" s="72" t="s">
        <v>54</v>
      </c>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row>
    <row r="75" spans="1:46" x14ac:dyDescent="0.3">
      <c r="A75" s="71"/>
      <c r="B75" t="str">
        <f>input_names!$A$7</f>
        <v>rentevoet</v>
      </c>
      <c r="C75" t="str">
        <f>input_names!$B$7</f>
        <v>hoog</v>
      </c>
      <c r="F75" s="40">
        <v>20</v>
      </c>
    </row>
    <row r="76" spans="1:46" ht="15.75" customHeight="1" x14ac:dyDescent="0.3">
      <c r="A76" s="71"/>
      <c r="B76" t="str">
        <f>input_names!$A$7</f>
        <v>rentevoet</v>
      </c>
      <c r="C76" t="str">
        <f>input_names!$C$7</f>
        <v>middel</v>
      </c>
      <c r="F76" s="40">
        <v>15</v>
      </c>
    </row>
    <row r="77" spans="1:46" x14ac:dyDescent="0.3">
      <c r="A77" s="71"/>
      <c r="B77" t="str">
        <f>input_names!$A$7</f>
        <v>rentevoet</v>
      </c>
      <c r="C77" t="str">
        <f>input_names!$D$7</f>
        <v>laag</v>
      </c>
      <c r="F77" s="40">
        <v>10</v>
      </c>
    </row>
    <row r="78" spans="1:46" x14ac:dyDescent="0.3">
      <c r="A78" s="71"/>
      <c r="B78" t="str">
        <f>input_names!$A$6</f>
        <v>gebruiksduur</v>
      </c>
      <c r="C78" t="str">
        <f>input_names!$E$6</f>
        <v>anders, namelijk</v>
      </c>
      <c r="F78" s="40">
        <f>'control panel'!D48</f>
        <v>5</v>
      </c>
    </row>
    <row r="79" spans="1:46" ht="18.75" x14ac:dyDescent="0.3">
      <c r="A79" s="71"/>
      <c r="B79" s="73" t="str">
        <f>input_names!$A$9</f>
        <v>batterijcapaciteit</v>
      </c>
      <c r="C79" s="71"/>
      <c r="D79" s="71"/>
      <c r="E79" s="71"/>
      <c r="F79" s="72" t="s">
        <v>54</v>
      </c>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row>
    <row r="80" spans="1:46" x14ac:dyDescent="0.3">
      <c r="A80" s="71"/>
      <c r="B80" t="str">
        <f>input_names!$A$9</f>
        <v>batterijcapaciteit</v>
      </c>
      <c r="C80" t="str">
        <f>input_names!$B$9</f>
        <v>hoog</v>
      </c>
      <c r="F80">
        <v>40</v>
      </c>
    </row>
    <row r="81" spans="1:46" x14ac:dyDescent="0.3">
      <c r="A81" s="71"/>
      <c r="B81" t="str">
        <f>input_names!$A$9</f>
        <v>batterijcapaciteit</v>
      </c>
      <c r="C81" t="str">
        <f>input_names!$C$9</f>
        <v>middel</v>
      </c>
      <c r="F81">
        <v>25</v>
      </c>
    </row>
    <row r="82" spans="1:46" x14ac:dyDescent="0.3">
      <c r="A82" s="71"/>
      <c r="B82" t="str">
        <f>input_names!$A$9</f>
        <v>batterijcapaciteit</v>
      </c>
      <c r="C82" t="str">
        <f>input_names!$D$9</f>
        <v>laag</v>
      </c>
      <c r="F82">
        <v>20</v>
      </c>
    </row>
    <row r="83" spans="1:46" ht="18.75" x14ac:dyDescent="0.3">
      <c r="A83" s="71"/>
      <c r="B83" s="73" t="str">
        <f>input_names!$A$12</f>
        <v>efficiencyverbetering_EV</v>
      </c>
      <c r="C83" s="71"/>
      <c r="D83" s="71"/>
      <c r="E83" s="71"/>
      <c r="F83" s="72" t="s">
        <v>54</v>
      </c>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row>
    <row r="84" spans="1:46" x14ac:dyDescent="0.3">
      <c r="A84" s="71"/>
      <c r="B84" t="str">
        <f>input_names!$A$12</f>
        <v>efficiencyverbetering_EV</v>
      </c>
      <c r="C84" t="str">
        <f>input_names!$B12</f>
        <v>hoog</v>
      </c>
      <c r="F84" s="48">
        <v>0.16500000000000001</v>
      </c>
    </row>
    <row r="85" spans="1:46" x14ac:dyDescent="0.3">
      <c r="A85" s="71"/>
      <c r="B85" t="str">
        <f>input_names!$A$12</f>
        <v>efficiencyverbetering_EV</v>
      </c>
      <c r="C85" t="str">
        <f>input_names!$C$12</f>
        <v>middel</v>
      </c>
      <c r="F85" s="48">
        <v>7.8E-2</v>
      </c>
    </row>
    <row r="86" spans="1:46" x14ac:dyDescent="0.3">
      <c r="A86" s="71"/>
      <c r="B86" t="str">
        <f>input_names!$A$12</f>
        <v>efficiencyverbetering_EV</v>
      </c>
      <c r="C86" t="str">
        <f>input_names!$D$12</f>
        <v>laag</v>
      </c>
      <c r="F86" s="48">
        <v>1.4999999999999999E-2</v>
      </c>
    </row>
    <row r="87" spans="1:46" ht="18.75" x14ac:dyDescent="0.3">
      <c r="A87" s="71"/>
      <c r="B87" s="73" t="str">
        <f>input_names!$A$14</f>
        <v>eenheid</v>
      </c>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row>
    <row r="88" spans="1:46" x14ac:dyDescent="0.3">
      <c r="A88" s="71"/>
      <c r="B88" t="str">
        <f>input_names!$A$14</f>
        <v>eenheid</v>
      </c>
      <c r="C88" t="str">
        <f>input_names!$B$14</f>
        <v>jaarlijks</v>
      </c>
      <c r="F88">
        <v>1</v>
      </c>
    </row>
    <row r="89" spans="1:46" x14ac:dyDescent="0.3">
      <c r="A89" s="71"/>
      <c r="B89" t="str">
        <f>input_names!$A$14</f>
        <v>eenheid</v>
      </c>
      <c r="C89" t="str">
        <f>input_names!$C$14</f>
        <v>maandelijks</v>
      </c>
      <c r="F89">
        <f>1/12</f>
        <v>8.3333333333333329E-2</v>
      </c>
    </row>
    <row r="90" spans="1:46" x14ac:dyDescent="0.3">
      <c r="A90" s="71"/>
      <c r="B90" t="str">
        <f>input_names!$A$14</f>
        <v>eenheid</v>
      </c>
      <c r="C90" t="str">
        <f>input_names!$D$14</f>
        <v>4-jaarlijks</v>
      </c>
      <c r="F90">
        <v>4</v>
      </c>
    </row>
    <row r="91" spans="1:46" x14ac:dyDescent="0.3">
      <c r="A91" s="71"/>
      <c r="B91" t="str">
        <f>input_names!$A$14</f>
        <v>eenheid</v>
      </c>
      <c r="C91" t="str">
        <f>input_names!$E$14</f>
        <v>gebruiksduur</v>
      </c>
      <c r="F91">
        <f>input_gebruik</f>
        <v>0</v>
      </c>
    </row>
    <row r="92" spans="1:46" x14ac:dyDescent="0.3">
      <c r="A92" s="71"/>
      <c r="B92" t="str">
        <f>input_names!$A$14</f>
        <v>eenheid</v>
      </c>
      <c r="C92" t="str">
        <f>input_names!$F$14</f>
        <v>kilometer</v>
      </c>
      <c r="F92" t="e">
        <f>1/input_jaarkm</f>
        <v>#DIV/0!</v>
      </c>
    </row>
    <row r="93" spans="1:46" ht="18.75" x14ac:dyDescent="0.3">
      <c r="A93" s="71"/>
      <c r="B93" s="73" t="str">
        <f>input_names!$A$15</f>
        <v>input_onderhoud</v>
      </c>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row>
    <row r="94" spans="1:46" x14ac:dyDescent="0.3">
      <c r="A94" s="71"/>
      <c r="B94" t="str">
        <f>input_names!$A$15</f>
        <v>input_onderhoud</v>
      </c>
      <c r="C94" t="str">
        <f>input_names!$B$15</f>
        <v>hoog</v>
      </c>
      <c r="F94">
        <v>0.08</v>
      </c>
    </row>
    <row r="95" spans="1:46" x14ac:dyDescent="0.3">
      <c r="A95" s="71"/>
      <c r="B95" t="str">
        <f>input_names!$A$15</f>
        <v>input_onderhoud</v>
      </c>
      <c r="C95" t="str">
        <f>input_names!$C$15</f>
        <v>middel</v>
      </c>
      <c r="F95">
        <v>0.06</v>
      </c>
    </row>
    <row r="96" spans="1:46" x14ac:dyDescent="0.3">
      <c r="A96" s="71"/>
      <c r="B96" t="str">
        <f>input_names!$A$15</f>
        <v>input_onderhoud</v>
      </c>
      <c r="C96" t="str">
        <f>input_names!$D$15</f>
        <v>laag</v>
      </c>
      <c r="F96">
        <v>0.03</v>
      </c>
    </row>
    <row r="97" spans="1:7" x14ac:dyDescent="0.3">
      <c r="A97" s="71"/>
    </row>
    <row r="98" spans="1:7" x14ac:dyDescent="0.3">
      <c r="A98" s="71"/>
    </row>
    <row r="99" spans="1:7" ht="19.5" thickBot="1" x14ac:dyDescent="0.35">
      <c r="A99" s="71"/>
      <c r="B99" s="90" t="s">
        <v>1269</v>
      </c>
    </row>
    <row r="100" spans="1:7" x14ac:dyDescent="0.3">
      <c r="A100" s="71"/>
      <c r="B100" s="425" t="s">
        <v>62</v>
      </c>
      <c r="C100" s="130" t="s">
        <v>39</v>
      </c>
      <c r="D100" s="130" t="s">
        <v>966</v>
      </c>
    </row>
    <row r="101" spans="1:7" x14ac:dyDescent="0.3">
      <c r="A101" s="71"/>
      <c r="B101" s="426"/>
      <c r="C101" s="38" t="s">
        <v>1270</v>
      </c>
      <c r="D101" s="38" t="s">
        <v>1270</v>
      </c>
    </row>
    <row r="102" spans="1:7" x14ac:dyDescent="0.3">
      <c r="A102" s="71"/>
      <c r="B102" s="426" t="s">
        <v>46</v>
      </c>
      <c r="C102" s="38"/>
      <c r="D102" s="38">
        <v>1.1299999999999999</v>
      </c>
    </row>
    <row r="103" spans="1:7" x14ac:dyDescent="0.3">
      <c r="A103" s="71"/>
      <c r="B103" s="426" t="s">
        <v>45</v>
      </c>
      <c r="C103" s="38"/>
      <c r="D103" s="38">
        <v>1.1299999999999999</v>
      </c>
    </row>
    <row r="104" spans="1:7" x14ac:dyDescent="0.3">
      <c r="A104" s="71"/>
      <c r="B104" t="s">
        <v>175</v>
      </c>
      <c r="C104" s="128"/>
      <c r="D104" s="128">
        <v>2.4</v>
      </c>
    </row>
    <row r="105" spans="1:7" ht="15.75" thickBot="1" x14ac:dyDescent="0.35">
      <c r="A105" s="71"/>
      <c r="B105" s="427" t="s">
        <v>141</v>
      </c>
      <c r="C105" s="131">
        <v>1.19</v>
      </c>
      <c r="D105" s="131">
        <v>1</v>
      </c>
    </row>
    <row r="106" spans="1:7" x14ac:dyDescent="0.3">
      <c r="B106" s="428" t="s">
        <v>1271</v>
      </c>
      <c r="C106" s="67" t="s">
        <v>1272</v>
      </c>
    </row>
    <row r="111" spans="1:7" ht="19.5" thickBot="1" x14ac:dyDescent="0.35">
      <c r="B111" s="90" t="s">
        <v>227</v>
      </c>
    </row>
    <row r="112" spans="1:7" ht="16.5" x14ac:dyDescent="0.3">
      <c r="B112" s="176" t="s">
        <v>169</v>
      </c>
      <c r="C112" s="172" t="s">
        <v>228</v>
      </c>
      <c r="D112" s="172" t="s">
        <v>229</v>
      </c>
      <c r="E112" s="177" t="s">
        <v>230</v>
      </c>
      <c r="G112" s="180" t="s">
        <v>232</v>
      </c>
    </row>
    <row r="113" spans="2:9" x14ac:dyDescent="0.3">
      <c r="B113" s="106">
        <v>2015</v>
      </c>
      <c r="C113" s="47">
        <v>0.95</v>
      </c>
      <c r="D113" s="47">
        <v>0.93</v>
      </c>
      <c r="E113" s="178">
        <v>0.88</v>
      </c>
      <c r="G113" s="181">
        <f t="shared" ref="G113:G127" si="12">D113</f>
        <v>0.93</v>
      </c>
      <c r="I113" s="47">
        <f t="shared" ref="I113:I127" si="13">$G113</f>
        <v>0.93</v>
      </c>
    </row>
    <row r="114" spans="2:9" x14ac:dyDescent="0.3">
      <c r="B114" s="106">
        <v>2016</v>
      </c>
      <c r="C114" s="47">
        <v>0.95199999999999996</v>
      </c>
      <c r="D114" s="47">
        <v>0.93200000000000005</v>
      </c>
      <c r="E114" s="178">
        <v>0.88466666666666671</v>
      </c>
      <c r="G114" s="181">
        <f t="shared" si="12"/>
        <v>0.93200000000000005</v>
      </c>
      <c r="I114" s="47">
        <f t="shared" si="13"/>
        <v>0.93200000000000005</v>
      </c>
    </row>
    <row r="115" spans="2:9" x14ac:dyDescent="0.3">
      <c r="B115" s="106">
        <v>2017</v>
      </c>
      <c r="C115" s="47">
        <v>0.95399999999999996</v>
      </c>
      <c r="D115" s="47">
        <v>0.93400000000000005</v>
      </c>
      <c r="E115" s="178">
        <v>0.88933333333333342</v>
      </c>
      <c r="G115" s="181">
        <f t="shared" si="12"/>
        <v>0.93400000000000005</v>
      </c>
      <c r="I115" s="47">
        <f t="shared" si="13"/>
        <v>0.93400000000000005</v>
      </c>
    </row>
    <row r="116" spans="2:9" x14ac:dyDescent="0.3">
      <c r="B116" s="106">
        <v>2018</v>
      </c>
      <c r="C116" s="47">
        <v>0.95599999999999996</v>
      </c>
      <c r="D116" s="47">
        <v>0.93600000000000005</v>
      </c>
      <c r="E116" s="178">
        <v>0.89400000000000013</v>
      </c>
      <c r="G116" s="181">
        <f t="shared" si="12"/>
        <v>0.93600000000000005</v>
      </c>
      <c r="I116" s="47">
        <f t="shared" si="13"/>
        <v>0.93600000000000005</v>
      </c>
    </row>
    <row r="117" spans="2:9" x14ac:dyDescent="0.3">
      <c r="B117" s="106">
        <v>2019</v>
      </c>
      <c r="C117" s="47">
        <v>0.95799999999999996</v>
      </c>
      <c r="D117" s="47">
        <v>0.93800000000000006</v>
      </c>
      <c r="E117" s="178">
        <v>0.89866666666666684</v>
      </c>
      <c r="G117" s="181">
        <f t="shared" si="12"/>
        <v>0.93800000000000006</v>
      </c>
      <c r="I117" s="47">
        <f t="shared" si="13"/>
        <v>0.93800000000000006</v>
      </c>
    </row>
    <row r="118" spans="2:9" x14ac:dyDescent="0.3">
      <c r="B118" s="106">
        <v>2020</v>
      </c>
      <c r="C118" s="47">
        <v>0.96</v>
      </c>
      <c r="D118" s="47">
        <v>0.94000000000000006</v>
      </c>
      <c r="E118" s="178">
        <v>0.90333333333333354</v>
      </c>
      <c r="G118" s="181">
        <f t="shared" si="12"/>
        <v>0.94000000000000006</v>
      </c>
      <c r="I118" s="47">
        <f t="shared" si="13"/>
        <v>0.94000000000000006</v>
      </c>
    </row>
    <row r="119" spans="2:9" x14ac:dyDescent="0.3">
      <c r="B119" s="106">
        <v>2021</v>
      </c>
      <c r="C119" s="47">
        <v>0.96199999999999997</v>
      </c>
      <c r="D119" s="47">
        <v>0.94200000000000006</v>
      </c>
      <c r="E119" s="178">
        <v>0.90800000000000025</v>
      </c>
      <c r="G119" s="181">
        <f t="shared" si="12"/>
        <v>0.94200000000000006</v>
      </c>
      <c r="I119" s="47">
        <f t="shared" si="13"/>
        <v>0.94200000000000006</v>
      </c>
    </row>
    <row r="120" spans="2:9" x14ac:dyDescent="0.3">
      <c r="B120" s="106">
        <v>2022</v>
      </c>
      <c r="C120" s="47">
        <v>0.96399999999999997</v>
      </c>
      <c r="D120" s="47">
        <v>0.94400000000000006</v>
      </c>
      <c r="E120" s="178">
        <v>0.91266666666666696</v>
      </c>
      <c r="G120" s="181">
        <f t="shared" si="12"/>
        <v>0.94400000000000006</v>
      </c>
      <c r="I120" s="47">
        <f t="shared" si="13"/>
        <v>0.94400000000000006</v>
      </c>
    </row>
    <row r="121" spans="2:9" x14ac:dyDescent="0.3">
      <c r="B121" s="106">
        <v>2023</v>
      </c>
      <c r="C121" s="47">
        <v>0.96599999999999997</v>
      </c>
      <c r="D121" s="47">
        <v>0.94600000000000006</v>
      </c>
      <c r="E121" s="178">
        <v>0.91733333333333367</v>
      </c>
      <c r="G121" s="181">
        <f t="shared" si="12"/>
        <v>0.94600000000000006</v>
      </c>
      <c r="I121" s="47">
        <f t="shared" si="13"/>
        <v>0.94600000000000006</v>
      </c>
    </row>
    <row r="122" spans="2:9" x14ac:dyDescent="0.3">
      <c r="B122" s="106">
        <v>2024</v>
      </c>
      <c r="C122" s="47">
        <v>0.96799999999999997</v>
      </c>
      <c r="D122" s="47">
        <v>0.94800000000000006</v>
      </c>
      <c r="E122" s="178">
        <v>0.92200000000000037</v>
      </c>
      <c r="G122" s="181">
        <f t="shared" si="12"/>
        <v>0.94800000000000006</v>
      </c>
      <c r="I122" s="47">
        <f t="shared" si="13"/>
        <v>0.94800000000000006</v>
      </c>
    </row>
    <row r="123" spans="2:9" x14ac:dyDescent="0.3">
      <c r="B123" s="106">
        <v>2025</v>
      </c>
      <c r="C123" s="47">
        <v>0.97</v>
      </c>
      <c r="D123" s="47">
        <v>0.95000000000000007</v>
      </c>
      <c r="E123" s="178">
        <v>0.92666666666666708</v>
      </c>
      <c r="G123" s="181">
        <f t="shared" si="12"/>
        <v>0.95000000000000007</v>
      </c>
      <c r="I123" s="47">
        <f t="shared" si="13"/>
        <v>0.95000000000000007</v>
      </c>
    </row>
    <row r="124" spans="2:9" x14ac:dyDescent="0.3">
      <c r="B124" s="106">
        <v>2026</v>
      </c>
      <c r="C124" s="47">
        <v>0.97199999999999998</v>
      </c>
      <c r="D124" s="47">
        <v>0.95200000000000007</v>
      </c>
      <c r="E124" s="178">
        <v>0.93133333333333379</v>
      </c>
      <c r="G124" s="181">
        <f t="shared" si="12"/>
        <v>0.95200000000000007</v>
      </c>
      <c r="I124" s="47">
        <f t="shared" si="13"/>
        <v>0.95200000000000007</v>
      </c>
    </row>
    <row r="125" spans="2:9" x14ac:dyDescent="0.3">
      <c r="B125" s="106">
        <v>2027</v>
      </c>
      <c r="C125" s="47">
        <v>0.97399999999999998</v>
      </c>
      <c r="D125" s="47">
        <v>0.95400000000000007</v>
      </c>
      <c r="E125" s="178">
        <v>0.9360000000000005</v>
      </c>
      <c r="G125" s="181">
        <f t="shared" si="12"/>
        <v>0.95400000000000007</v>
      </c>
      <c r="I125" s="47">
        <f t="shared" si="13"/>
        <v>0.95400000000000007</v>
      </c>
    </row>
    <row r="126" spans="2:9" x14ac:dyDescent="0.3">
      <c r="B126" s="106">
        <v>2028</v>
      </c>
      <c r="C126" s="47">
        <v>0.97599999999999998</v>
      </c>
      <c r="D126" s="47">
        <v>0.95600000000000007</v>
      </c>
      <c r="E126" s="178">
        <v>0.94066666666666721</v>
      </c>
      <c r="G126" s="181">
        <f t="shared" si="12"/>
        <v>0.95600000000000007</v>
      </c>
      <c r="I126" s="47">
        <f t="shared" si="13"/>
        <v>0.95600000000000007</v>
      </c>
    </row>
    <row r="127" spans="2:9" x14ac:dyDescent="0.3">
      <c r="B127" s="106">
        <v>2029</v>
      </c>
      <c r="C127" s="47">
        <v>0.97799999999999998</v>
      </c>
      <c r="D127" s="47">
        <v>0.95800000000000007</v>
      </c>
      <c r="E127" s="178">
        <v>0.94533333333333391</v>
      </c>
      <c r="G127" s="181">
        <f t="shared" si="12"/>
        <v>0.95800000000000007</v>
      </c>
      <c r="I127" s="47">
        <f t="shared" si="13"/>
        <v>0.95800000000000007</v>
      </c>
    </row>
    <row r="128" spans="2:9" ht="15.75" thickBot="1" x14ac:dyDescent="0.35">
      <c r="B128" s="108">
        <v>2030</v>
      </c>
      <c r="C128" s="47">
        <v>0.98</v>
      </c>
      <c r="D128" s="47">
        <v>0.96</v>
      </c>
      <c r="E128" s="178">
        <v>0.95</v>
      </c>
      <c r="G128" s="182">
        <f>D128</f>
        <v>0.96</v>
      </c>
      <c r="I128" s="47">
        <f>$G128</f>
        <v>0.96</v>
      </c>
    </row>
    <row r="129" spans="2:9" x14ac:dyDescent="0.3">
      <c r="B129" s="381">
        <v>2031</v>
      </c>
      <c r="C129" s="382">
        <v>0.98</v>
      </c>
      <c r="D129" s="382">
        <v>0.96</v>
      </c>
      <c r="E129" s="383">
        <v>0.95</v>
      </c>
      <c r="G129" s="181">
        <f t="shared" ref="G129:G137" si="14">D129</f>
        <v>0.96</v>
      </c>
      <c r="I129" s="47"/>
    </row>
    <row r="130" spans="2:9" x14ac:dyDescent="0.3">
      <c r="B130" s="381">
        <v>2032</v>
      </c>
      <c r="C130" s="382">
        <v>0.98</v>
      </c>
      <c r="D130" s="382">
        <v>0.96</v>
      </c>
      <c r="E130" s="383">
        <v>0.95</v>
      </c>
      <c r="G130" s="181">
        <f t="shared" si="14"/>
        <v>0.96</v>
      </c>
      <c r="I130" s="47"/>
    </row>
    <row r="131" spans="2:9" x14ac:dyDescent="0.3">
      <c r="B131" s="381">
        <v>2033</v>
      </c>
      <c r="C131" s="382">
        <v>0.98</v>
      </c>
      <c r="D131" s="382">
        <v>0.96</v>
      </c>
      <c r="E131" s="383">
        <v>0.95</v>
      </c>
      <c r="G131" s="181">
        <f t="shared" si="14"/>
        <v>0.96</v>
      </c>
      <c r="I131" s="47"/>
    </row>
    <row r="132" spans="2:9" x14ac:dyDescent="0.3">
      <c r="B132" s="381">
        <v>2034</v>
      </c>
      <c r="C132" s="382">
        <v>0.98</v>
      </c>
      <c r="D132" s="382">
        <v>0.96</v>
      </c>
      <c r="E132" s="383">
        <v>0.95</v>
      </c>
      <c r="G132" s="181">
        <f t="shared" si="14"/>
        <v>0.96</v>
      </c>
      <c r="I132" s="47"/>
    </row>
    <row r="133" spans="2:9" x14ac:dyDescent="0.3">
      <c r="B133" s="381">
        <v>2035</v>
      </c>
      <c r="C133" s="382">
        <v>0.98</v>
      </c>
      <c r="D133" s="382">
        <v>0.96</v>
      </c>
      <c r="E133" s="383">
        <v>0.95</v>
      </c>
      <c r="G133" s="181">
        <f t="shared" si="14"/>
        <v>0.96</v>
      </c>
      <c r="I133" s="47"/>
    </row>
    <row r="134" spans="2:9" x14ac:dyDescent="0.3">
      <c r="B134" s="381">
        <v>2036</v>
      </c>
      <c r="C134" s="382">
        <v>0.98</v>
      </c>
      <c r="D134" s="382">
        <v>0.96</v>
      </c>
      <c r="E134" s="383">
        <v>0.95</v>
      </c>
      <c r="G134" s="181">
        <f t="shared" si="14"/>
        <v>0.96</v>
      </c>
      <c r="I134" s="47"/>
    </row>
    <row r="135" spans="2:9" x14ac:dyDescent="0.3">
      <c r="B135" s="381">
        <v>2037</v>
      </c>
      <c r="C135" s="382">
        <v>0.98</v>
      </c>
      <c r="D135" s="382">
        <v>0.96</v>
      </c>
      <c r="E135" s="383">
        <v>0.95</v>
      </c>
      <c r="G135" s="181">
        <f t="shared" si="14"/>
        <v>0.96</v>
      </c>
      <c r="I135" s="47"/>
    </row>
    <row r="136" spans="2:9" x14ac:dyDescent="0.3">
      <c r="B136" s="381">
        <v>2038</v>
      </c>
      <c r="C136" s="382">
        <v>0.98</v>
      </c>
      <c r="D136" s="382">
        <v>0.96</v>
      </c>
      <c r="E136" s="383">
        <v>0.95</v>
      </c>
      <c r="G136" s="181">
        <f t="shared" si="14"/>
        <v>0.96</v>
      </c>
      <c r="I136" s="47"/>
    </row>
    <row r="137" spans="2:9" x14ac:dyDescent="0.3">
      <c r="B137" s="381">
        <v>2039</v>
      </c>
      <c r="C137" s="382">
        <v>0.98</v>
      </c>
      <c r="D137" s="382">
        <v>0.96</v>
      </c>
      <c r="E137" s="383">
        <v>0.95</v>
      </c>
      <c r="G137" s="181">
        <f t="shared" si="14"/>
        <v>0.96</v>
      </c>
      <c r="I137" s="47"/>
    </row>
    <row r="138" spans="2:9" ht="15.75" thickBot="1" x14ac:dyDescent="0.35">
      <c r="B138" s="384">
        <v>2040</v>
      </c>
      <c r="C138" s="385">
        <v>0.98</v>
      </c>
      <c r="D138" s="385">
        <v>0.96</v>
      </c>
      <c r="E138" s="386">
        <v>0.95</v>
      </c>
      <c r="G138" s="182">
        <f>D138</f>
        <v>0.96</v>
      </c>
      <c r="I138" s="47"/>
    </row>
    <row r="143" spans="2:9" x14ac:dyDescent="0.3">
      <c r="B143" s="49" t="s">
        <v>195</v>
      </c>
    </row>
    <row r="144" spans="2:9" x14ac:dyDescent="0.3">
      <c r="B144" s="38"/>
      <c r="C144" s="38" t="s">
        <v>11</v>
      </c>
      <c r="D144" s="38" t="s">
        <v>12</v>
      </c>
      <c r="E144" s="38" t="s">
        <v>4</v>
      </c>
      <c r="F144" s="38" t="s">
        <v>13</v>
      </c>
      <c r="G144" s="38" t="s">
        <v>14</v>
      </c>
    </row>
    <row r="145" spans="2:8" x14ac:dyDescent="0.3">
      <c r="B145" s="38" t="s">
        <v>194</v>
      </c>
      <c r="C145" s="38">
        <v>0.06</v>
      </c>
      <c r="D145" s="38">
        <v>0.06</v>
      </c>
      <c r="E145" s="38">
        <v>7.0000000000000007E-2</v>
      </c>
      <c r="F145" s="38">
        <v>7.0000000000000007E-2</v>
      </c>
      <c r="G145" s="38">
        <v>0.09</v>
      </c>
    </row>
    <row r="146" spans="2:8" x14ac:dyDescent="0.3">
      <c r="B146" s="38" t="s">
        <v>165</v>
      </c>
      <c r="C146" s="38">
        <v>0.05</v>
      </c>
      <c r="D146" s="38">
        <v>0.05</v>
      </c>
      <c r="E146" s="38">
        <v>0.06</v>
      </c>
      <c r="F146" s="38">
        <v>0.06</v>
      </c>
      <c r="G146" s="38">
        <v>0.08</v>
      </c>
    </row>
    <row r="147" spans="2:8" x14ac:dyDescent="0.3">
      <c r="B147" s="38" t="s">
        <v>175</v>
      </c>
      <c r="C147" s="38"/>
      <c r="D147" s="38"/>
      <c r="E147" s="38">
        <v>7.0000000000000007E-2</v>
      </c>
      <c r="F147" s="38">
        <v>7.0000000000000007E-2</v>
      </c>
      <c r="G147" s="38"/>
    </row>
    <row r="148" spans="2:8" x14ac:dyDescent="0.3">
      <c r="B148" t="s">
        <v>260</v>
      </c>
    </row>
    <row r="153" spans="2:8" ht="18.75" x14ac:dyDescent="0.3">
      <c r="B153" s="90" t="s">
        <v>180</v>
      </c>
    </row>
    <row r="154" spans="2:8" ht="15.75" thickBot="1" x14ac:dyDescent="0.35"/>
    <row r="155" spans="2:8" ht="19.5" thickBot="1" x14ac:dyDescent="0.35">
      <c r="B155" s="90" t="s">
        <v>180</v>
      </c>
      <c r="F155" s="109"/>
      <c r="G155" s="110"/>
      <c r="H155" s="111"/>
    </row>
    <row r="156" spans="2:8" ht="16.5" x14ac:dyDescent="0.3">
      <c r="B156" s="109"/>
      <c r="C156" s="476" t="s">
        <v>1355</v>
      </c>
      <c r="D156" s="475" t="s">
        <v>1354</v>
      </c>
      <c r="E156" s="111"/>
      <c r="F156" s="110" t="s">
        <v>184</v>
      </c>
      <c r="G156" s="110"/>
      <c r="H156" s="111"/>
    </row>
    <row r="157" spans="2:8" ht="16.5" x14ac:dyDescent="0.3">
      <c r="B157" s="434" t="s">
        <v>169</v>
      </c>
      <c r="C157" s="393" t="s">
        <v>181</v>
      </c>
      <c r="D157" s="393" t="s">
        <v>182</v>
      </c>
      <c r="E157" s="435" t="s">
        <v>183</v>
      </c>
      <c r="F157" s="393" t="s">
        <v>187</v>
      </c>
      <c r="G157" s="393" t="s">
        <v>186</v>
      </c>
      <c r="H157" s="435" t="s">
        <v>185</v>
      </c>
    </row>
    <row r="158" spans="2:8" x14ac:dyDescent="0.3">
      <c r="B158" s="106">
        <v>2015</v>
      </c>
      <c r="C158" s="75">
        <v>0.8</v>
      </c>
      <c r="D158" s="40"/>
      <c r="E158" s="178">
        <v>1.2</v>
      </c>
      <c r="F158" s="44"/>
      <c r="G158" s="44"/>
      <c r="H158" s="44"/>
    </row>
    <row r="159" spans="2:8" x14ac:dyDescent="0.3">
      <c r="B159" s="106">
        <v>2016</v>
      </c>
      <c r="C159" s="40"/>
      <c r="D159" s="40"/>
      <c r="E159" s="107"/>
      <c r="F159" s="44"/>
      <c r="G159" s="44"/>
      <c r="H159" s="44"/>
    </row>
    <row r="160" spans="2:8" x14ac:dyDescent="0.3">
      <c r="B160" s="106">
        <v>2017</v>
      </c>
      <c r="C160" s="40"/>
      <c r="D160" s="40"/>
      <c r="E160" s="107"/>
      <c r="F160" s="44"/>
      <c r="G160" s="44"/>
      <c r="H160" s="44"/>
    </row>
    <row r="161" spans="2:8" x14ac:dyDescent="0.3">
      <c r="B161" s="106">
        <v>2018</v>
      </c>
      <c r="C161" s="40"/>
      <c r="D161" s="40"/>
      <c r="E161" s="107"/>
      <c r="F161" s="44"/>
      <c r="G161" s="44"/>
      <c r="H161" s="44"/>
    </row>
    <row r="162" spans="2:8" x14ac:dyDescent="0.3">
      <c r="B162" s="106">
        <v>2019</v>
      </c>
      <c r="C162" s="40"/>
      <c r="D162" s="40"/>
      <c r="E162" s="107"/>
      <c r="F162" s="44"/>
      <c r="G162" s="44"/>
      <c r="H162" s="44"/>
    </row>
    <row r="163" spans="2:8" x14ac:dyDescent="0.3">
      <c r="B163" s="106">
        <v>2020</v>
      </c>
      <c r="C163" s="40">
        <f>D163*$C$158</f>
        <v>6400</v>
      </c>
      <c r="D163" s="477">
        <v>8000</v>
      </c>
      <c r="E163" s="107">
        <f>D163*$E$158</f>
        <v>9600</v>
      </c>
      <c r="F163" s="47">
        <f t="shared" ref="F163:F183" si="15">C163/INDEX(C$163:C$183,MATCH(input_basisjaar,$B$163:$B$183,0))</f>
        <v>1.0666666666666667</v>
      </c>
      <c r="G163" s="47">
        <f t="shared" ref="G163:G183" si="16">D163/INDEX(D$163:D$183,MATCH(input_basisjaar,$B$163:$B$183,0))</f>
        <v>1.0666666666666667</v>
      </c>
      <c r="H163" s="47">
        <f t="shared" ref="H163:H183" si="17">E163/INDEX(E$163:E$183,MATCH(input_basisjaar,$B$163:$B$183,0))</f>
        <v>1.0666666666666667</v>
      </c>
    </row>
    <row r="164" spans="2:8" x14ac:dyDescent="0.3">
      <c r="B164" s="106">
        <v>2021</v>
      </c>
      <c r="C164" s="40">
        <f t="shared" ref="C164:C173" si="18">D164*$C$158</f>
        <v>6320</v>
      </c>
      <c r="D164" s="40">
        <f>($D$168-$D$163)/($B$168-$B$163)+D163</f>
        <v>7900</v>
      </c>
      <c r="E164" s="107">
        <f t="shared" ref="E164:E173" si="19">D164*$E$158</f>
        <v>9480</v>
      </c>
      <c r="F164" s="47">
        <f t="shared" si="15"/>
        <v>1.0533333333333332</v>
      </c>
      <c r="G164" s="47">
        <f t="shared" si="16"/>
        <v>1.0533333333333332</v>
      </c>
      <c r="H164" s="47">
        <f t="shared" si="17"/>
        <v>1.0533333333333332</v>
      </c>
    </row>
    <row r="165" spans="2:8" x14ac:dyDescent="0.3">
      <c r="B165" s="106">
        <v>2022</v>
      </c>
      <c r="C165" s="40">
        <f t="shared" si="18"/>
        <v>6240</v>
      </c>
      <c r="D165" s="40">
        <f t="shared" ref="D165:D167" si="20">($D$168-$D$163)/($B$168-$B$163)+D164</f>
        <v>7800</v>
      </c>
      <c r="E165" s="107">
        <f t="shared" si="19"/>
        <v>9360</v>
      </c>
      <c r="F165" s="47">
        <f t="shared" si="15"/>
        <v>1.04</v>
      </c>
      <c r="G165" s="47">
        <f t="shared" si="16"/>
        <v>1.04</v>
      </c>
      <c r="H165" s="47">
        <f t="shared" si="17"/>
        <v>1.04</v>
      </c>
    </row>
    <row r="166" spans="2:8" x14ac:dyDescent="0.3">
      <c r="B166" s="106">
        <v>2023</v>
      </c>
      <c r="C166" s="40">
        <f t="shared" si="18"/>
        <v>6160</v>
      </c>
      <c r="D166" s="40">
        <f t="shared" si="20"/>
        <v>7700</v>
      </c>
      <c r="E166" s="107">
        <f t="shared" si="19"/>
        <v>9240</v>
      </c>
      <c r="F166" s="47">
        <f t="shared" si="15"/>
        <v>1.0266666666666666</v>
      </c>
      <c r="G166" s="47">
        <f t="shared" si="16"/>
        <v>1.0266666666666666</v>
      </c>
      <c r="H166" s="47">
        <f t="shared" si="17"/>
        <v>1.0266666666666666</v>
      </c>
    </row>
    <row r="167" spans="2:8" x14ac:dyDescent="0.3">
      <c r="B167" s="106">
        <v>2024</v>
      </c>
      <c r="C167" s="40">
        <f t="shared" si="18"/>
        <v>6080</v>
      </c>
      <c r="D167" s="40">
        <f t="shared" si="20"/>
        <v>7600</v>
      </c>
      <c r="E167" s="107">
        <f t="shared" si="19"/>
        <v>9120</v>
      </c>
      <c r="F167" s="47">
        <f t="shared" si="15"/>
        <v>1.0133333333333334</v>
      </c>
      <c r="G167" s="47">
        <f t="shared" si="16"/>
        <v>1.0133333333333334</v>
      </c>
      <c r="H167" s="47">
        <f t="shared" si="17"/>
        <v>1.0133333333333334</v>
      </c>
    </row>
    <row r="168" spans="2:8" x14ac:dyDescent="0.3">
      <c r="B168" s="106">
        <v>2025</v>
      </c>
      <c r="C168" s="40">
        <f t="shared" si="18"/>
        <v>6000</v>
      </c>
      <c r="D168" s="477">
        <f>(12-4.5)*1000</f>
        <v>7500</v>
      </c>
      <c r="E168" s="107">
        <f t="shared" si="19"/>
        <v>9000</v>
      </c>
      <c r="F168" s="47">
        <f t="shared" si="15"/>
        <v>1</v>
      </c>
      <c r="G168" s="47">
        <f t="shared" si="16"/>
        <v>1</v>
      </c>
      <c r="H168" s="47">
        <f t="shared" si="17"/>
        <v>1</v>
      </c>
    </row>
    <row r="169" spans="2:8" x14ac:dyDescent="0.3">
      <c r="B169" s="106">
        <v>2026</v>
      </c>
      <c r="C169" s="40">
        <f t="shared" si="18"/>
        <v>5920</v>
      </c>
      <c r="D169" s="40">
        <f>($D$173-$D$168)/($B$173-$B$168)+D168</f>
        <v>7400</v>
      </c>
      <c r="E169" s="107">
        <f t="shared" si="19"/>
        <v>8880</v>
      </c>
      <c r="F169" s="47">
        <f t="shared" si="15"/>
        <v>0.98666666666666669</v>
      </c>
      <c r="G169" s="47">
        <f t="shared" si="16"/>
        <v>0.98666666666666669</v>
      </c>
      <c r="H169" s="47">
        <f t="shared" si="17"/>
        <v>0.98666666666666669</v>
      </c>
    </row>
    <row r="170" spans="2:8" x14ac:dyDescent="0.3">
      <c r="B170" s="106">
        <v>2027</v>
      </c>
      <c r="C170" s="40">
        <f t="shared" si="18"/>
        <v>5840</v>
      </c>
      <c r="D170" s="40">
        <f t="shared" ref="D170:D172" si="21">($D$173-$D$168)/($B$173-$B$168)+D169</f>
        <v>7300</v>
      </c>
      <c r="E170" s="107">
        <f t="shared" si="19"/>
        <v>8760</v>
      </c>
      <c r="F170" s="47">
        <f t="shared" si="15"/>
        <v>0.97333333333333338</v>
      </c>
      <c r="G170" s="47">
        <f t="shared" si="16"/>
        <v>0.97333333333333338</v>
      </c>
      <c r="H170" s="47">
        <f t="shared" si="17"/>
        <v>0.97333333333333338</v>
      </c>
    </row>
    <row r="171" spans="2:8" x14ac:dyDescent="0.3">
      <c r="B171" s="106">
        <v>2028</v>
      </c>
      <c r="C171" s="40">
        <f t="shared" si="18"/>
        <v>5760</v>
      </c>
      <c r="D171" s="40">
        <f t="shared" si="21"/>
        <v>7200</v>
      </c>
      <c r="E171" s="107">
        <f t="shared" si="19"/>
        <v>8640</v>
      </c>
      <c r="F171" s="47">
        <f t="shared" si="15"/>
        <v>0.96</v>
      </c>
      <c r="G171" s="47">
        <f t="shared" si="16"/>
        <v>0.96</v>
      </c>
      <c r="H171" s="47">
        <f t="shared" si="17"/>
        <v>0.96</v>
      </c>
    </row>
    <row r="172" spans="2:8" x14ac:dyDescent="0.3">
      <c r="B172" s="106">
        <v>2029</v>
      </c>
      <c r="C172" s="40">
        <f t="shared" si="18"/>
        <v>5680</v>
      </c>
      <c r="D172" s="40">
        <f t="shared" si="21"/>
        <v>7100</v>
      </c>
      <c r="E172" s="107">
        <f t="shared" si="19"/>
        <v>8520</v>
      </c>
      <c r="F172" s="47">
        <f t="shared" si="15"/>
        <v>0.94666666666666666</v>
      </c>
      <c r="G172" s="47">
        <f t="shared" si="16"/>
        <v>0.94666666666666666</v>
      </c>
      <c r="H172" s="47">
        <f t="shared" si="17"/>
        <v>0.94666666666666666</v>
      </c>
    </row>
    <row r="173" spans="2:8" x14ac:dyDescent="0.3">
      <c r="B173" s="106">
        <v>2030</v>
      </c>
      <c r="C173" s="40">
        <f t="shared" si="18"/>
        <v>5600</v>
      </c>
      <c r="D173" s="477">
        <f>(10-3)*1000</f>
        <v>7000</v>
      </c>
      <c r="E173" s="107">
        <f t="shared" si="19"/>
        <v>8400</v>
      </c>
      <c r="F173" s="47">
        <f t="shared" si="15"/>
        <v>0.93333333333333335</v>
      </c>
      <c r="G173" s="47">
        <f t="shared" si="16"/>
        <v>0.93333333333333335</v>
      </c>
      <c r="H173" s="47">
        <f t="shared" si="17"/>
        <v>0.93333333333333335</v>
      </c>
    </row>
    <row r="174" spans="2:8" x14ac:dyDescent="0.3">
      <c r="B174" s="106">
        <v>2031</v>
      </c>
      <c r="C174" s="442">
        <f>C173</f>
        <v>5600</v>
      </c>
      <c r="D174" s="442">
        <f t="shared" ref="D174:E174" si="22">D173</f>
        <v>7000</v>
      </c>
      <c r="E174" s="442">
        <f t="shared" si="22"/>
        <v>8400</v>
      </c>
      <c r="F174" s="47">
        <f t="shared" si="15"/>
        <v>0.93333333333333335</v>
      </c>
      <c r="G174" s="47">
        <f t="shared" si="16"/>
        <v>0.93333333333333335</v>
      </c>
      <c r="H174" s="47">
        <f t="shared" si="17"/>
        <v>0.93333333333333335</v>
      </c>
    </row>
    <row r="175" spans="2:8" x14ac:dyDescent="0.3">
      <c r="B175" s="106">
        <v>2032</v>
      </c>
      <c r="C175" s="442">
        <f t="shared" ref="C175:C183" si="23">C174</f>
        <v>5600</v>
      </c>
      <c r="D175" s="442">
        <f t="shared" ref="D175:D183" si="24">D174</f>
        <v>7000</v>
      </c>
      <c r="E175" s="442">
        <f t="shared" ref="E175:E183" si="25">E174</f>
        <v>8400</v>
      </c>
      <c r="F175" s="47">
        <f t="shared" si="15"/>
        <v>0.93333333333333335</v>
      </c>
      <c r="G175" s="47">
        <f t="shared" si="16"/>
        <v>0.93333333333333335</v>
      </c>
      <c r="H175" s="47">
        <f t="shared" si="17"/>
        <v>0.93333333333333335</v>
      </c>
    </row>
    <row r="176" spans="2:8" x14ac:dyDescent="0.3">
      <c r="B176" s="106">
        <v>2033</v>
      </c>
      <c r="C176" s="442">
        <f t="shared" si="23"/>
        <v>5600</v>
      </c>
      <c r="D176" s="442">
        <f t="shared" si="24"/>
        <v>7000</v>
      </c>
      <c r="E176" s="442">
        <f t="shared" si="25"/>
        <v>8400</v>
      </c>
      <c r="F176" s="47">
        <f t="shared" si="15"/>
        <v>0.93333333333333335</v>
      </c>
      <c r="G176" s="47">
        <f t="shared" si="16"/>
        <v>0.93333333333333335</v>
      </c>
      <c r="H176" s="47">
        <f t="shared" si="17"/>
        <v>0.93333333333333335</v>
      </c>
    </row>
    <row r="177" spans="2:24" x14ac:dyDescent="0.3">
      <c r="B177" s="106">
        <v>2034</v>
      </c>
      <c r="C177" s="442">
        <f t="shared" si="23"/>
        <v>5600</v>
      </c>
      <c r="D177" s="442">
        <f t="shared" si="24"/>
        <v>7000</v>
      </c>
      <c r="E177" s="442">
        <f t="shared" si="25"/>
        <v>8400</v>
      </c>
      <c r="F177" s="47">
        <f t="shared" si="15"/>
        <v>0.93333333333333335</v>
      </c>
      <c r="G177" s="47">
        <f t="shared" si="16"/>
        <v>0.93333333333333335</v>
      </c>
      <c r="H177" s="47">
        <f t="shared" si="17"/>
        <v>0.93333333333333335</v>
      </c>
    </row>
    <row r="178" spans="2:24" x14ac:dyDescent="0.3">
      <c r="B178" s="106">
        <v>2035</v>
      </c>
      <c r="C178" s="442">
        <f t="shared" si="23"/>
        <v>5600</v>
      </c>
      <c r="D178" s="442">
        <f t="shared" si="24"/>
        <v>7000</v>
      </c>
      <c r="E178" s="442">
        <f t="shared" si="25"/>
        <v>8400</v>
      </c>
      <c r="F178" s="47">
        <f t="shared" si="15"/>
        <v>0.93333333333333335</v>
      </c>
      <c r="G178" s="47">
        <f t="shared" si="16"/>
        <v>0.93333333333333335</v>
      </c>
      <c r="H178" s="47">
        <f t="shared" si="17"/>
        <v>0.93333333333333335</v>
      </c>
    </row>
    <row r="179" spans="2:24" x14ac:dyDescent="0.3">
      <c r="B179" s="106">
        <v>2036</v>
      </c>
      <c r="C179" s="442">
        <f t="shared" si="23"/>
        <v>5600</v>
      </c>
      <c r="D179" s="442">
        <f t="shared" si="24"/>
        <v>7000</v>
      </c>
      <c r="E179" s="442">
        <f t="shared" si="25"/>
        <v>8400</v>
      </c>
      <c r="F179" s="47">
        <f t="shared" si="15"/>
        <v>0.93333333333333335</v>
      </c>
      <c r="G179" s="47">
        <f t="shared" si="16"/>
        <v>0.93333333333333335</v>
      </c>
      <c r="H179" s="47">
        <f t="shared" si="17"/>
        <v>0.93333333333333335</v>
      </c>
    </row>
    <row r="180" spans="2:24" x14ac:dyDescent="0.3">
      <c r="B180" s="106">
        <v>2037</v>
      </c>
      <c r="C180" s="442">
        <f t="shared" si="23"/>
        <v>5600</v>
      </c>
      <c r="D180" s="442">
        <f t="shared" si="24"/>
        <v>7000</v>
      </c>
      <c r="E180" s="442">
        <f t="shared" si="25"/>
        <v>8400</v>
      </c>
      <c r="F180" s="47">
        <f t="shared" si="15"/>
        <v>0.93333333333333335</v>
      </c>
      <c r="G180" s="47">
        <f t="shared" si="16"/>
        <v>0.93333333333333335</v>
      </c>
      <c r="H180" s="47">
        <f t="shared" si="17"/>
        <v>0.93333333333333335</v>
      </c>
    </row>
    <row r="181" spans="2:24" x14ac:dyDescent="0.3">
      <c r="B181" s="106">
        <v>2038</v>
      </c>
      <c r="C181" s="442">
        <f t="shared" si="23"/>
        <v>5600</v>
      </c>
      <c r="D181" s="442">
        <f t="shared" si="24"/>
        <v>7000</v>
      </c>
      <c r="E181" s="442">
        <f t="shared" si="25"/>
        <v>8400</v>
      </c>
      <c r="F181" s="47">
        <f t="shared" si="15"/>
        <v>0.93333333333333335</v>
      </c>
      <c r="G181" s="47">
        <f t="shared" si="16"/>
        <v>0.93333333333333335</v>
      </c>
      <c r="H181" s="47">
        <f t="shared" si="17"/>
        <v>0.93333333333333335</v>
      </c>
    </row>
    <row r="182" spans="2:24" x14ac:dyDescent="0.3">
      <c r="B182" s="106">
        <v>2039</v>
      </c>
      <c r="C182" s="442">
        <f t="shared" si="23"/>
        <v>5600</v>
      </c>
      <c r="D182" s="442">
        <f t="shared" si="24"/>
        <v>7000</v>
      </c>
      <c r="E182" s="442">
        <f t="shared" si="25"/>
        <v>8400</v>
      </c>
      <c r="F182" s="47">
        <f t="shared" si="15"/>
        <v>0.93333333333333335</v>
      </c>
      <c r="G182" s="47">
        <f t="shared" si="16"/>
        <v>0.93333333333333335</v>
      </c>
      <c r="H182" s="47">
        <f t="shared" si="17"/>
        <v>0.93333333333333335</v>
      </c>
    </row>
    <row r="183" spans="2:24" ht="15.75" thickBot="1" x14ac:dyDescent="0.35">
      <c r="B183" s="108">
        <v>2040</v>
      </c>
      <c r="C183" s="442">
        <f t="shared" si="23"/>
        <v>5600</v>
      </c>
      <c r="D183" s="442">
        <f t="shared" si="24"/>
        <v>7000</v>
      </c>
      <c r="E183" s="442">
        <f t="shared" si="25"/>
        <v>8400</v>
      </c>
      <c r="F183" s="47">
        <f t="shared" si="15"/>
        <v>0.93333333333333335</v>
      </c>
      <c r="G183" s="47">
        <f t="shared" si="16"/>
        <v>0.93333333333333335</v>
      </c>
      <c r="H183" s="47">
        <f t="shared" si="17"/>
        <v>0.93333333333333335</v>
      </c>
    </row>
    <row r="185" spans="2:24" ht="18.75" x14ac:dyDescent="0.3">
      <c r="B185" s="90" t="s">
        <v>190</v>
      </c>
    </row>
    <row r="186" spans="2:24" x14ac:dyDescent="0.3">
      <c r="B186" s="409"/>
    </row>
    <row r="187" spans="2:24" ht="18.75" x14ac:dyDescent="0.3">
      <c r="B187" s="394"/>
      <c r="C187" s="36"/>
      <c r="D187" s="38"/>
      <c r="E187" s="38"/>
      <c r="F187" s="36" t="s">
        <v>191</v>
      </c>
      <c r="G187" s="36"/>
      <c r="H187" s="36"/>
    </row>
    <row r="188" spans="2:24" ht="16.5" x14ac:dyDescent="0.3">
      <c r="B188" s="36"/>
      <c r="C188" s="36" t="s">
        <v>1238</v>
      </c>
      <c r="D188" s="36" t="s">
        <v>1240</v>
      </c>
      <c r="E188" s="36" t="s">
        <v>1239</v>
      </c>
      <c r="F188" s="36" t="s">
        <v>185</v>
      </c>
      <c r="G188" s="36" t="s">
        <v>187</v>
      </c>
      <c r="H188" s="36" t="s">
        <v>186</v>
      </c>
      <c r="I188" s="393"/>
      <c r="J188" s="393" t="s">
        <v>1349</v>
      </c>
      <c r="N188" s="67" t="s">
        <v>1352</v>
      </c>
      <c r="O188" s="363">
        <v>1.08</v>
      </c>
      <c r="P188" t="s">
        <v>1353</v>
      </c>
    </row>
    <row r="189" spans="2:24" x14ac:dyDescent="0.3">
      <c r="B189" s="38">
        <v>2015</v>
      </c>
      <c r="C189" s="474">
        <f t="shared" ref="C189:C196" si="26">E189*120.381321005238/131</f>
        <v>361.14396301571401</v>
      </c>
      <c r="D189" s="473">
        <f t="shared" ref="D189:D196" si="27">E189*145.105622186648/131</f>
        <v>435.31686655994395</v>
      </c>
      <c r="E189" s="395">
        <v>393</v>
      </c>
      <c r="F189" s="359">
        <f>C189/$O$188</f>
        <v>334.39255834788332</v>
      </c>
      <c r="G189" s="359">
        <f t="shared" ref="G189:H204" si="28">D189/$O$188</f>
        <v>403.07117274068884</v>
      </c>
      <c r="H189" s="359">
        <f t="shared" si="28"/>
        <v>363.88888888888886</v>
      </c>
      <c r="I189" s="391"/>
      <c r="J189" s="391" t="s">
        <v>1644</v>
      </c>
    </row>
    <row r="190" spans="2:24" x14ac:dyDescent="0.3">
      <c r="B190" s="38">
        <v>2016</v>
      </c>
      <c r="C190" s="474">
        <f t="shared" si="26"/>
        <v>278.43923866097032</v>
      </c>
      <c r="D190" s="473">
        <f t="shared" si="27"/>
        <v>335.62598108820106</v>
      </c>
      <c r="E190" s="395">
        <v>303</v>
      </c>
      <c r="F190" s="359">
        <f t="shared" ref="F190:F224" si="29">C190/$O$188</f>
        <v>257.81410987126878</v>
      </c>
      <c r="G190" s="359">
        <f t="shared" si="28"/>
        <v>310.76479730388985</v>
      </c>
      <c r="H190" s="359">
        <f t="shared" si="28"/>
        <v>280.55555555555554</v>
      </c>
      <c r="I190" s="391"/>
      <c r="J190" s="67" t="s">
        <v>1643</v>
      </c>
      <c r="P190" s="67"/>
      <c r="V190">
        <v>2010</v>
      </c>
      <c r="W190" s="391">
        <f>1300*EXP(-0.17*(V190-$V$190))</f>
        <v>1300</v>
      </c>
      <c r="X190">
        <v>1350</v>
      </c>
    </row>
    <row r="191" spans="2:24" x14ac:dyDescent="0.3">
      <c r="B191" s="38">
        <v>2017</v>
      </c>
      <c r="C191" s="474">
        <f t="shared" si="26"/>
        <v>165.40944870948732</v>
      </c>
      <c r="D191" s="473">
        <f t="shared" si="27"/>
        <v>199.3817709434858</v>
      </c>
      <c r="E191" s="396">
        <v>180</v>
      </c>
      <c r="F191" s="359">
        <f t="shared" si="29"/>
        <v>153.15689695322899</v>
      </c>
      <c r="G191" s="359">
        <f t="shared" si="28"/>
        <v>184.61275087359795</v>
      </c>
      <c r="H191" s="359">
        <f t="shared" si="28"/>
        <v>166.66666666666666</v>
      </c>
      <c r="I191" s="447"/>
      <c r="J191" s="391"/>
      <c r="V191">
        <v>2011</v>
      </c>
      <c r="W191" s="391">
        <f t="shared" ref="W191:W215" si="30">1300*EXP(-0.17*(V191-$V$190))</f>
        <v>1096.7642615752989</v>
      </c>
      <c r="X191">
        <f>$X$190/(1+0.17)^(V191-$V$190)</f>
        <v>1153.8461538461538</v>
      </c>
    </row>
    <row r="192" spans="2:24" x14ac:dyDescent="0.3">
      <c r="B192" s="38">
        <v>2018</v>
      </c>
      <c r="C192" s="474">
        <f t="shared" si="26"/>
        <v>154.91788471825183</v>
      </c>
      <c r="D192" s="473">
        <f t="shared" si="27"/>
        <v>186.73541594466488</v>
      </c>
      <c r="E192" s="396">
        <v>168.5829888609376</v>
      </c>
      <c r="F192" s="359">
        <f t="shared" si="29"/>
        <v>143.44248585023317</v>
      </c>
      <c r="G192" s="359">
        <f t="shared" si="28"/>
        <v>172.90316291172672</v>
      </c>
      <c r="H192" s="359">
        <f t="shared" si="28"/>
        <v>156.09536005642369</v>
      </c>
      <c r="I192" s="447"/>
      <c r="J192" s="391"/>
      <c r="V192">
        <v>2012</v>
      </c>
      <c r="W192" s="391">
        <f t="shared" si="30"/>
        <v>925.30141959139257</v>
      </c>
      <c r="X192">
        <f t="shared" ref="X192:X215" si="31">$X$190/(1+0.17)^(V192-$V$190)</f>
        <v>986.19329388560175</v>
      </c>
    </row>
    <row r="193" spans="2:24" x14ac:dyDescent="0.3">
      <c r="B193" s="38">
        <v>2019</v>
      </c>
      <c r="C193" s="474">
        <f t="shared" si="26"/>
        <v>143.35485554822236</v>
      </c>
      <c r="D193" s="473">
        <f t="shared" si="27"/>
        <v>172.79753481768768</v>
      </c>
      <c r="E193" s="396">
        <v>156</v>
      </c>
      <c r="F193" s="359">
        <f t="shared" si="29"/>
        <v>132.73597735946515</v>
      </c>
      <c r="G193" s="359">
        <f t="shared" si="28"/>
        <v>159.99771742378488</v>
      </c>
      <c r="H193" s="359">
        <f t="shared" si="28"/>
        <v>144.44444444444443</v>
      </c>
      <c r="I193" s="447"/>
      <c r="J193" s="391"/>
      <c r="V193">
        <v>2013</v>
      </c>
      <c r="W193" s="391">
        <f t="shared" si="30"/>
        <v>780.64425245594566</v>
      </c>
      <c r="X193">
        <f t="shared" si="31"/>
        <v>842.90025118427502</v>
      </c>
    </row>
    <row r="194" spans="2:24" x14ac:dyDescent="0.3">
      <c r="B194" s="38">
        <v>2020</v>
      </c>
      <c r="C194" s="474">
        <f t="shared" si="26"/>
        <v>134.78670124155377</v>
      </c>
      <c r="D194" s="473">
        <f t="shared" si="27"/>
        <v>162.46962554340541</v>
      </c>
      <c r="E194" s="396">
        <v>146.67605999999998</v>
      </c>
      <c r="F194" s="359">
        <f t="shared" si="29"/>
        <v>124.80250114958682</v>
      </c>
      <c r="G194" s="359">
        <f t="shared" si="28"/>
        <v>150.4348384661161</v>
      </c>
      <c r="H194" s="359">
        <f t="shared" si="28"/>
        <v>135.81116666666665</v>
      </c>
      <c r="I194" s="447"/>
      <c r="J194" s="391"/>
      <c r="V194">
        <v>2014</v>
      </c>
      <c r="W194" s="391">
        <f t="shared" si="30"/>
        <v>658.60209007526646</v>
      </c>
      <c r="X194">
        <f t="shared" si="31"/>
        <v>720.427565114765</v>
      </c>
    </row>
    <row r="195" spans="2:24" x14ac:dyDescent="0.3">
      <c r="B195" s="38">
        <v>2021</v>
      </c>
      <c r="C195" s="474">
        <f t="shared" si="26"/>
        <v>129.87619093771528</v>
      </c>
      <c r="D195" s="473">
        <f t="shared" si="27"/>
        <v>156.5505789094062</v>
      </c>
      <c r="E195" s="396">
        <v>141.33240000000001</v>
      </c>
      <c r="F195" s="359">
        <f t="shared" si="29"/>
        <v>120.25573234973636</v>
      </c>
      <c r="G195" s="359">
        <f t="shared" si="28"/>
        <v>144.95423973093165</v>
      </c>
      <c r="H195" s="359">
        <f t="shared" si="28"/>
        <v>130.86333333333334</v>
      </c>
      <c r="I195" s="447"/>
      <c r="J195" s="391"/>
      <c r="L195">
        <v>2021</v>
      </c>
      <c r="M195">
        <v>2025</v>
      </c>
      <c r="N195">
        <v>2030</v>
      </c>
      <c r="V195">
        <v>2015</v>
      </c>
      <c r="W195" s="391">
        <f t="shared" si="30"/>
        <v>555.63941153334463</v>
      </c>
      <c r="X195">
        <f t="shared" si="31"/>
        <v>615.7500556536454</v>
      </c>
    </row>
    <row r="196" spans="2:24" x14ac:dyDescent="0.3">
      <c r="B196" s="38">
        <v>2022</v>
      </c>
      <c r="C196" s="474">
        <f t="shared" si="26"/>
        <v>138.76014863962547</v>
      </c>
      <c r="D196" s="473">
        <f t="shared" si="27"/>
        <v>167.25915229147975</v>
      </c>
      <c r="E196" s="396">
        <f>J196</f>
        <v>151</v>
      </c>
      <c r="F196" s="359">
        <f t="shared" si="29"/>
        <v>128.48161911076431</v>
      </c>
      <c r="G196" s="359">
        <f t="shared" si="28"/>
        <v>154.86958545507383</v>
      </c>
      <c r="H196" s="359">
        <f t="shared" si="28"/>
        <v>139.81481481481481</v>
      </c>
      <c r="I196" s="447"/>
      <c r="J196" s="391" cm="1">
        <f t="array" ref="J196">TREND($L$199:$M$199,$L$198:$M$198,B196)</f>
        <v>151</v>
      </c>
      <c r="L196">
        <v>119</v>
      </c>
      <c r="M196">
        <v>77</v>
      </c>
      <c r="N196">
        <v>53</v>
      </c>
      <c r="O196" t="s">
        <v>1350</v>
      </c>
      <c r="V196">
        <v>2016</v>
      </c>
      <c r="W196" s="391">
        <f t="shared" si="30"/>
        <v>468.77342222500181</v>
      </c>
      <c r="X196">
        <f t="shared" si="31"/>
        <v>526.28209884926957</v>
      </c>
    </row>
    <row r="197" spans="2:24" x14ac:dyDescent="0.3">
      <c r="B197" s="38">
        <v>2023</v>
      </c>
      <c r="C197" s="474">
        <f>E197*120.381321005238/131</f>
        <v>127.04364602270344</v>
      </c>
      <c r="D197" s="473">
        <f>E197*145.105622186648/131</f>
        <v>153.13627684964951</v>
      </c>
      <c r="E197" s="396">
        <f t="shared" ref="E197:E209" si="32">J197</f>
        <v>138.25</v>
      </c>
      <c r="F197" s="359">
        <f t="shared" si="29"/>
        <v>117.63300557657725</v>
      </c>
      <c r="G197" s="359">
        <f t="shared" si="28"/>
        <v>141.79284893486064</v>
      </c>
      <c r="H197" s="359">
        <f t="shared" si="28"/>
        <v>128.00925925925924</v>
      </c>
      <c r="I197" s="447"/>
      <c r="J197" s="391" cm="1">
        <f t="array" ref="J197">TREND($L$199:$M$199,$L$198:$M$198,B197)</f>
        <v>138.25</v>
      </c>
      <c r="V197">
        <v>2017</v>
      </c>
      <c r="W197" s="391">
        <f t="shared" si="30"/>
        <v>395.48764328671524</v>
      </c>
      <c r="X197">
        <f t="shared" si="31"/>
        <v>449.81375970023043</v>
      </c>
    </row>
    <row r="198" spans="2:24" x14ac:dyDescent="0.3">
      <c r="B198" s="38">
        <v>2024</v>
      </c>
      <c r="C198" s="474">
        <f t="shared" ref="C198:C209" si="33">E198*120.381321005238/131</f>
        <v>115.32714340578144</v>
      </c>
      <c r="D198" s="473">
        <f t="shared" ref="D198:D224" si="34">E198*145.105622186648/131</f>
        <v>139.01340140781926</v>
      </c>
      <c r="E198" s="396">
        <f t="shared" si="32"/>
        <v>125.5</v>
      </c>
      <c r="F198" s="359">
        <f t="shared" si="29"/>
        <v>106.78439204239022</v>
      </c>
      <c r="G198" s="359">
        <f t="shared" si="28"/>
        <v>128.71611241464745</v>
      </c>
      <c r="H198" s="359">
        <f t="shared" si="28"/>
        <v>116.2037037037037</v>
      </c>
      <c r="I198" s="447"/>
      <c r="J198" s="391" cm="1">
        <f t="array" ref="J198">TREND($L$199:$M$199,$L$198:$M$198,B198)</f>
        <v>125.5</v>
      </c>
      <c r="L198">
        <v>2022</v>
      </c>
      <c r="M198">
        <v>2026</v>
      </c>
      <c r="N198">
        <v>2030</v>
      </c>
      <c r="O198">
        <v>2035</v>
      </c>
      <c r="V198">
        <v>2018</v>
      </c>
      <c r="W198" s="391">
        <f t="shared" si="30"/>
        <v>333.65901003962267</v>
      </c>
      <c r="X198">
        <f t="shared" si="31"/>
        <v>384.45620487199187</v>
      </c>
    </row>
    <row r="199" spans="2:24" x14ac:dyDescent="0.3">
      <c r="B199" s="38">
        <v>2025</v>
      </c>
      <c r="C199" s="474">
        <f t="shared" si="33"/>
        <v>103.61064078885941</v>
      </c>
      <c r="D199" s="473">
        <f t="shared" si="34"/>
        <v>124.89052596598901</v>
      </c>
      <c r="E199" s="396">
        <f t="shared" si="32"/>
        <v>112.75</v>
      </c>
      <c r="F199" s="359">
        <f t="shared" si="29"/>
        <v>95.935778508203157</v>
      </c>
      <c r="G199" s="359">
        <f t="shared" si="28"/>
        <v>115.63937589443427</v>
      </c>
      <c r="H199" s="359">
        <f t="shared" si="28"/>
        <v>104.39814814814814</v>
      </c>
      <c r="I199" s="447"/>
      <c r="J199" s="391" cm="1">
        <f t="array" ref="J199">TREND($L$199:$M$199,$L$198:$M$198,B199)</f>
        <v>112.75</v>
      </c>
      <c r="L199" s="391">
        <v>151</v>
      </c>
      <c r="M199" s="44">
        <v>100</v>
      </c>
      <c r="N199" s="44">
        <v>77</v>
      </c>
      <c r="O199" s="44">
        <v>62</v>
      </c>
      <c r="P199" t="s">
        <v>1351</v>
      </c>
      <c r="V199">
        <v>2019</v>
      </c>
      <c r="W199" s="391">
        <f t="shared" si="30"/>
        <v>281.49636751080919</v>
      </c>
      <c r="X199">
        <f t="shared" si="31"/>
        <v>328.59504689913842</v>
      </c>
    </row>
    <row r="200" spans="2:24" x14ac:dyDescent="0.3">
      <c r="B200" s="38">
        <v>2026</v>
      </c>
      <c r="C200" s="474">
        <f t="shared" si="33"/>
        <v>91.894138171937399</v>
      </c>
      <c r="D200" s="473">
        <f t="shared" si="34"/>
        <v>110.76765052415878</v>
      </c>
      <c r="E200" s="396">
        <f t="shared" si="32"/>
        <v>100</v>
      </c>
      <c r="F200" s="359">
        <f t="shared" si="29"/>
        <v>85.087164974016105</v>
      </c>
      <c r="G200" s="359">
        <f t="shared" si="28"/>
        <v>102.56263937422109</v>
      </c>
      <c r="H200" s="359">
        <f t="shared" si="28"/>
        <v>92.592592592592581</v>
      </c>
      <c r="I200" s="447"/>
      <c r="J200" s="391" cm="1">
        <f t="array" ref="J200">TREND($L$199:$M$199,$L$198:$M$198,B200)</f>
        <v>100</v>
      </c>
      <c r="V200">
        <v>2020</v>
      </c>
      <c r="W200" s="391">
        <f t="shared" si="30"/>
        <v>237.48858126855498</v>
      </c>
      <c r="X200">
        <f t="shared" si="31"/>
        <v>280.85046743516102</v>
      </c>
    </row>
    <row r="201" spans="2:24" x14ac:dyDescent="0.3">
      <c r="B201" s="38">
        <v>2027</v>
      </c>
      <c r="C201" s="474">
        <f t="shared" si="33"/>
        <v>86.610225227051004</v>
      </c>
      <c r="D201" s="473">
        <f t="shared" si="34"/>
        <v>104.39851061901965</v>
      </c>
      <c r="E201" s="396">
        <f t="shared" si="32"/>
        <v>94.25</v>
      </c>
      <c r="F201" s="359">
        <f t="shared" si="29"/>
        <v>80.194652988010176</v>
      </c>
      <c r="G201" s="359">
        <f t="shared" si="28"/>
        <v>96.665287610203364</v>
      </c>
      <c r="H201" s="359">
        <f t="shared" si="28"/>
        <v>87.268518518518519</v>
      </c>
      <c r="I201" s="447"/>
      <c r="J201" s="391" cm="1">
        <f t="array" ref="J201">TREND($M$199:$N$199,$M$198:$N$198,B201)</f>
        <v>94.25</v>
      </c>
      <c r="V201">
        <v>2021</v>
      </c>
      <c r="W201" s="391">
        <f t="shared" si="30"/>
        <v>200.36076035967082</v>
      </c>
      <c r="X201">
        <f t="shared" si="31"/>
        <v>240.04313455996669</v>
      </c>
    </row>
    <row r="202" spans="2:24" x14ac:dyDescent="0.3">
      <c r="B202" s="38">
        <v>2028</v>
      </c>
      <c r="C202" s="474">
        <f t="shared" si="33"/>
        <v>81.326312282164594</v>
      </c>
      <c r="D202" s="473">
        <f t="shared" si="34"/>
        <v>98.02937071388051</v>
      </c>
      <c r="E202" s="396">
        <f t="shared" si="32"/>
        <v>88.5</v>
      </c>
      <c r="F202" s="359">
        <f t="shared" si="29"/>
        <v>75.302141002004248</v>
      </c>
      <c r="G202" s="359">
        <f t="shared" si="28"/>
        <v>90.767935846185651</v>
      </c>
      <c r="H202" s="359">
        <f t="shared" si="28"/>
        <v>81.944444444444443</v>
      </c>
      <c r="I202" s="447"/>
      <c r="J202" s="391" cm="1">
        <f t="array" ref="J202">TREND($M$199:$N$199,$M$198:$N$198,B202)</f>
        <v>88.5</v>
      </c>
      <c r="V202">
        <v>2022</v>
      </c>
      <c r="W202" s="391">
        <f t="shared" si="30"/>
        <v>169.03732414195369</v>
      </c>
      <c r="X202">
        <f t="shared" si="31"/>
        <v>205.16507227347586</v>
      </c>
    </row>
    <row r="203" spans="2:24" x14ac:dyDescent="0.3">
      <c r="B203" s="38">
        <v>2029</v>
      </c>
      <c r="C203" s="474">
        <f t="shared" si="33"/>
        <v>76.042399337278198</v>
      </c>
      <c r="D203" s="473">
        <f t="shared" si="34"/>
        <v>91.660230808741375</v>
      </c>
      <c r="E203" s="396">
        <f t="shared" si="32"/>
        <v>82.75</v>
      </c>
      <c r="F203" s="359">
        <f t="shared" si="29"/>
        <v>70.40962901599832</v>
      </c>
      <c r="G203" s="359">
        <f t="shared" si="28"/>
        <v>84.870584082167937</v>
      </c>
      <c r="H203" s="359">
        <f t="shared" si="28"/>
        <v>76.620370370370367</v>
      </c>
      <c r="I203" s="447"/>
      <c r="J203" s="391" cm="1">
        <f t="array" ref="J203">TREND($M$199:$N$199,$M$198:$N$198,B203)</f>
        <v>82.75</v>
      </c>
      <c r="V203">
        <v>2023</v>
      </c>
      <c r="W203" s="391">
        <f t="shared" si="30"/>
        <v>142.61084307016483</v>
      </c>
      <c r="X203">
        <f t="shared" si="31"/>
        <v>175.35476262690244</v>
      </c>
    </row>
    <row r="204" spans="2:24" x14ac:dyDescent="0.3">
      <c r="B204" s="38">
        <v>2030</v>
      </c>
      <c r="C204" s="474">
        <f t="shared" si="33"/>
        <v>70.758486392391802</v>
      </c>
      <c r="D204" s="473">
        <f t="shared" si="34"/>
        <v>85.291090903602253</v>
      </c>
      <c r="E204" s="396">
        <f t="shared" si="32"/>
        <v>77</v>
      </c>
      <c r="F204" s="359">
        <f t="shared" si="29"/>
        <v>65.517117029992406</v>
      </c>
      <c r="G204" s="359">
        <f t="shared" si="28"/>
        <v>78.973232318150224</v>
      </c>
      <c r="H204" s="359">
        <f t="shared" si="28"/>
        <v>71.296296296296291</v>
      </c>
      <c r="I204" s="447"/>
      <c r="J204" s="391">
        <v>77</v>
      </c>
      <c r="V204">
        <v>2024</v>
      </c>
      <c r="W204" s="391">
        <f t="shared" si="30"/>
        <v>120.31575076344622</v>
      </c>
      <c r="X204">
        <f t="shared" si="31"/>
        <v>149.875865493079</v>
      </c>
    </row>
    <row r="205" spans="2:24" x14ac:dyDescent="0.3">
      <c r="B205" s="38">
        <v>2031</v>
      </c>
      <c r="C205" s="474">
        <f t="shared" si="33"/>
        <v>68.001662247233682</v>
      </c>
      <c r="D205" s="473">
        <f t="shared" si="34"/>
        <v>81.968061387877498</v>
      </c>
      <c r="E205" s="396">
        <f t="shared" si="32"/>
        <v>74</v>
      </c>
      <c r="F205" s="359">
        <f t="shared" si="29"/>
        <v>62.964502080771922</v>
      </c>
      <c r="G205" s="359">
        <f t="shared" ref="G205:G224" si="35">D205/$O$188</f>
        <v>75.896353136923608</v>
      </c>
      <c r="H205" s="359">
        <f t="shared" ref="H205:H224" si="36">E205/$O$188</f>
        <v>68.518518518518519</v>
      </c>
      <c r="I205" s="447"/>
      <c r="J205" s="391" cm="1">
        <f t="array" ref="J205">TREND($N$199:$O$199,$N$198:$O$198,B205)</f>
        <v>74</v>
      </c>
      <c r="V205">
        <v>2025</v>
      </c>
      <c r="W205" s="391">
        <f t="shared" si="30"/>
        <v>101.50616580149907</v>
      </c>
      <c r="X205">
        <f t="shared" si="31"/>
        <v>128.09903033596498</v>
      </c>
    </row>
    <row r="206" spans="2:24" x14ac:dyDescent="0.3">
      <c r="B206" s="38">
        <v>2032</v>
      </c>
      <c r="C206" s="474">
        <f t="shared" si="33"/>
        <v>65.244838102075548</v>
      </c>
      <c r="D206" s="473">
        <f t="shared" si="34"/>
        <v>78.645031872152728</v>
      </c>
      <c r="E206" s="396">
        <f t="shared" si="32"/>
        <v>71</v>
      </c>
      <c r="F206" s="359">
        <f t="shared" si="29"/>
        <v>60.411887131551431</v>
      </c>
      <c r="G206" s="359">
        <f t="shared" si="35"/>
        <v>72.819473955696964</v>
      </c>
      <c r="H206" s="359">
        <f t="shared" si="36"/>
        <v>65.740740740740733</v>
      </c>
      <c r="I206" s="447"/>
      <c r="J206" s="391" cm="1">
        <f t="array" ref="J206">TREND($N$199:$O$199,$N$198:$O$198,B206)</f>
        <v>71</v>
      </c>
      <c r="N206" s="47"/>
      <c r="V206">
        <v>2026</v>
      </c>
      <c r="W206" s="391">
        <f t="shared" si="30"/>
        <v>85.637180754323836</v>
      </c>
      <c r="X206">
        <f t="shared" si="31"/>
        <v>109.48635071449999</v>
      </c>
    </row>
    <row r="207" spans="2:24" x14ac:dyDescent="0.3">
      <c r="B207" s="38">
        <v>2033</v>
      </c>
      <c r="C207" s="474">
        <f t="shared" si="33"/>
        <v>62.488013956917435</v>
      </c>
      <c r="D207" s="473">
        <f t="shared" si="34"/>
        <v>75.322002356427959</v>
      </c>
      <c r="E207" s="396">
        <f t="shared" si="32"/>
        <v>68</v>
      </c>
      <c r="F207" s="359">
        <f t="shared" si="29"/>
        <v>57.859272182330955</v>
      </c>
      <c r="G207" s="359">
        <f t="shared" si="35"/>
        <v>69.742594774470334</v>
      </c>
      <c r="H207" s="359">
        <f t="shared" si="36"/>
        <v>62.962962962962962</v>
      </c>
      <c r="I207" s="447"/>
      <c r="J207" s="391" cm="1">
        <f t="array" ref="J207">TREND($N$199:$O$199,$N$198:$O$198,B207)</f>
        <v>68</v>
      </c>
      <c r="N207" s="47"/>
      <c r="V207">
        <v>2027</v>
      </c>
      <c r="W207" s="391">
        <f t="shared" si="30"/>
        <v>72.249076394927982</v>
      </c>
      <c r="X207">
        <f t="shared" si="31"/>
        <v>93.578077533760691</v>
      </c>
    </row>
    <row r="208" spans="2:24" x14ac:dyDescent="0.3">
      <c r="B208" s="38">
        <v>2034</v>
      </c>
      <c r="C208" s="474">
        <f t="shared" si="33"/>
        <v>59.731189811759307</v>
      </c>
      <c r="D208" s="473">
        <f t="shared" si="34"/>
        <v>71.998972840703203</v>
      </c>
      <c r="E208" s="396">
        <f t="shared" si="32"/>
        <v>65</v>
      </c>
      <c r="F208" s="359">
        <f t="shared" si="29"/>
        <v>55.306657233110464</v>
      </c>
      <c r="G208" s="359">
        <f t="shared" si="35"/>
        <v>66.665715593243704</v>
      </c>
      <c r="H208" s="359">
        <f t="shared" si="36"/>
        <v>60.185185185185183</v>
      </c>
      <c r="I208" s="447"/>
      <c r="J208" s="391" cm="1">
        <f t="array" ref="J208">TREND($N$199:$O$199,$N$198:$O$198,B208)</f>
        <v>65</v>
      </c>
      <c r="N208" s="47"/>
      <c r="V208">
        <v>2028</v>
      </c>
      <c r="W208" s="391">
        <f t="shared" si="30"/>
        <v>60.95400378598503</v>
      </c>
      <c r="X208">
        <f t="shared" si="31"/>
        <v>79.981262849368107</v>
      </c>
    </row>
    <row r="209" spans="2:24" x14ac:dyDescent="0.3">
      <c r="B209" s="38">
        <v>2035</v>
      </c>
      <c r="C209" s="474">
        <f t="shared" si="33"/>
        <v>56.974365666601187</v>
      </c>
      <c r="D209" s="473">
        <f t="shared" si="34"/>
        <v>68.675943324978434</v>
      </c>
      <c r="E209" s="396">
        <f t="shared" si="32"/>
        <v>62</v>
      </c>
      <c r="F209" s="359">
        <f t="shared" si="29"/>
        <v>52.754042283889987</v>
      </c>
      <c r="G209" s="359">
        <f t="shared" si="35"/>
        <v>63.588836412017066</v>
      </c>
      <c r="H209" s="359">
        <f t="shared" si="36"/>
        <v>57.407407407407405</v>
      </c>
      <c r="I209" s="447"/>
      <c r="J209" s="391" cm="1">
        <f t="array" ref="J209">TREND($N$199:$O$199,$N$198:$O$198,B209)</f>
        <v>62</v>
      </c>
      <c r="N209" s="47"/>
      <c r="V209">
        <v>2029</v>
      </c>
      <c r="W209" s="391">
        <f t="shared" si="30"/>
        <v>51.424748424918327</v>
      </c>
      <c r="X209">
        <f t="shared" si="31"/>
        <v>68.360053717408647</v>
      </c>
    </row>
    <row r="210" spans="2:24" x14ac:dyDescent="0.3">
      <c r="B210" s="38">
        <v>2036</v>
      </c>
      <c r="C210" s="474">
        <f t="shared" ref="C210:C224" si="37">E210*120.381321005238/131</f>
        <v>56.239212561225692</v>
      </c>
      <c r="D210" s="473">
        <f t="shared" si="34"/>
        <v>67.789802120785168</v>
      </c>
      <c r="E210" s="396">
        <f>($E$224-$E$209)/($B$224-$B$209)+E209</f>
        <v>61.2</v>
      </c>
      <c r="F210" s="359">
        <f t="shared" si="29"/>
        <v>52.073344964097856</v>
      </c>
      <c r="G210" s="359">
        <f t="shared" si="35"/>
        <v>62.768335297023299</v>
      </c>
      <c r="H210" s="359">
        <f t="shared" si="36"/>
        <v>56.666666666666664</v>
      </c>
      <c r="I210" s="447"/>
      <c r="J210" s="391"/>
      <c r="N210" s="47"/>
      <c r="V210">
        <v>2030</v>
      </c>
      <c r="W210" s="391">
        <f t="shared" si="30"/>
        <v>43.385250948423888</v>
      </c>
      <c r="X210">
        <f t="shared" si="31"/>
        <v>58.42739633966552</v>
      </c>
    </row>
    <row r="211" spans="2:24" x14ac:dyDescent="0.3">
      <c r="B211" s="38">
        <v>2037</v>
      </c>
      <c r="C211" s="474">
        <f t="shared" si="37"/>
        <v>55.504059455850197</v>
      </c>
      <c r="D211" s="473">
        <f t="shared" si="34"/>
        <v>66.903660916591903</v>
      </c>
      <c r="E211" s="396">
        <f t="shared" ref="E211:E223" si="38">($E$224-$E$209)/($B$224-$B$209)+E210</f>
        <v>60.400000000000006</v>
      </c>
      <c r="F211" s="359">
        <f t="shared" si="29"/>
        <v>51.392647644305733</v>
      </c>
      <c r="G211" s="359">
        <f t="shared" si="35"/>
        <v>61.947834182029538</v>
      </c>
      <c r="H211" s="359">
        <f t="shared" si="36"/>
        <v>55.925925925925931</v>
      </c>
      <c r="I211" s="447"/>
      <c r="J211" s="391"/>
      <c r="N211" s="47"/>
      <c r="V211">
        <v>2031</v>
      </c>
      <c r="W211" s="391">
        <f t="shared" si="30"/>
        <v>36.602609784390125</v>
      </c>
      <c r="X211">
        <f t="shared" si="31"/>
        <v>49.937945589457712</v>
      </c>
    </row>
    <row r="212" spans="2:24" x14ac:dyDescent="0.3">
      <c r="B212" s="38">
        <v>2038</v>
      </c>
      <c r="C212" s="474">
        <f t="shared" si="37"/>
        <v>54.768906350474701</v>
      </c>
      <c r="D212" s="473">
        <f t="shared" si="34"/>
        <v>66.017519712398638</v>
      </c>
      <c r="E212" s="396">
        <f t="shared" si="38"/>
        <v>59.600000000000009</v>
      </c>
      <c r="F212" s="359">
        <f t="shared" si="29"/>
        <v>50.711950324513609</v>
      </c>
      <c r="G212" s="359">
        <f t="shared" si="35"/>
        <v>61.127333067035771</v>
      </c>
      <c r="H212" s="359">
        <f t="shared" si="36"/>
        <v>55.18518518518519</v>
      </c>
      <c r="I212" s="447"/>
      <c r="J212" s="391"/>
      <c r="N212" s="47"/>
      <c r="V212">
        <v>2032</v>
      </c>
      <c r="W212" s="391">
        <f t="shared" si="30"/>
        <v>30.880334070696495</v>
      </c>
      <c r="X212">
        <f t="shared" si="31"/>
        <v>42.682004777314283</v>
      </c>
    </row>
    <row r="213" spans="2:24" x14ac:dyDescent="0.3">
      <c r="B213" s="38">
        <v>2039</v>
      </c>
      <c r="C213" s="474">
        <f t="shared" si="37"/>
        <v>54.033753245099206</v>
      </c>
      <c r="D213" s="473">
        <f t="shared" si="34"/>
        <v>65.131378508205373</v>
      </c>
      <c r="E213" s="396">
        <f t="shared" si="38"/>
        <v>58.800000000000011</v>
      </c>
      <c r="F213" s="359">
        <f t="shared" si="29"/>
        <v>50.031253004721485</v>
      </c>
      <c r="G213" s="359">
        <f t="shared" si="35"/>
        <v>60.30683195204201</v>
      </c>
      <c r="H213" s="359">
        <f t="shared" si="36"/>
        <v>54.44444444444445</v>
      </c>
      <c r="I213" s="447"/>
      <c r="J213" s="391"/>
      <c r="N213" s="47"/>
      <c r="V213">
        <v>2033</v>
      </c>
      <c r="W213" s="391">
        <f t="shared" si="30"/>
        <v>26.052651380189218</v>
      </c>
      <c r="X213">
        <f t="shared" si="31"/>
        <v>36.480345963516484</v>
      </c>
    </row>
    <row r="214" spans="2:24" x14ac:dyDescent="0.3">
      <c r="B214" s="38">
        <v>2040</v>
      </c>
      <c r="C214" s="474">
        <f t="shared" si="37"/>
        <v>53.298600139723703</v>
      </c>
      <c r="D214" s="473">
        <f t="shared" si="34"/>
        <v>64.245237304012093</v>
      </c>
      <c r="E214" s="396">
        <f t="shared" si="38"/>
        <v>58.000000000000014</v>
      </c>
      <c r="F214" s="359">
        <f t="shared" si="29"/>
        <v>49.350555684929354</v>
      </c>
      <c r="G214" s="359">
        <f t="shared" si="35"/>
        <v>59.486330837048229</v>
      </c>
      <c r="H214" s="359">
        <f t="shared" si="36"/>
        <v>53.703703703703717</v>
      </c>
      <c r="I214" s="447"/>
      <c r="J214" s="391"/>
      <c r="N214" s="47"/>
      <c r="V214">
        <v>2034</v>
      </c>
      <c r="W214" s="391">
        <f t="shared" si="30"/>
        <v>21.979705348516863</v>
      </c>
      <c r="X214">
        <f t="shared" si="31"/>
        <v>31.17978287480042</v>
      </c>
    </row>
    <row r="215" spans="2:24" x14ac:dyDescent="0.3">
      <c r="B215" s="38">
        <v>2041</v>
      </c>
      <c r="C215" s="474">
        <f t="shared" si="37"/>
        <v>52.563447034348208</v>
      </c>
      <c r="D215" s="473">
        <f t="shared" si="34"/>
        <v>63.359096099818835</v>
      </c>
      <c r="E215" s="396">
        <f t="shared" si="38"/>
        <v>57.200000000000017</v>
      </c>
      <c r="F215" s="359">
        <f t="shared" si="29"/>
        <v>48.669858365137223</v>
      </c>
      <c r="G215" s="359">
        <f t="shared" si="35"/>
        <v>58.665829722054475</v>
      </c>
      <c r="H215" s="359">
        <f t="shared" si="36"/>
        <v>52.962962962962976</v>
      </c>
      <c r="I215" s="447"/>
      <c r="J215" s="391"/>
      <c r="V215">
        <v>2035</v>
      </c>
      <c r="W215" s="391">
        <f t="shared" si="30"/>
        <v>18.543504081699034</v>
      </c>
      <c r="X215">
        <f t="shared" si="31"/>
        <v>26.649387072478994</v>
      </c>
    </row>
    <row r="216" spans="2:24" x14ac:dyDescent="0.3">
      <c r="B216" s="38">
        <v>2042</v>
      </c>
      <c r="C216" s="474">
        <f t="shared" si="37"/>
        <v>51.828293928972712</v>
      </c>
      <c r="D216" s="473">
        <f t="shared" si="34"/>
        <v>62.47295489562557</v>
      </c>
      <c r="E216" s="396">
        <f t="shared" si="38"/>
        <v>56.40000000000002</v>
      </c>
      <c r="F216" s="359">
        <f t="shared" si="29"/>
        <v>47.989161045345099</v>
      </c>
      <c r="G216" s="359">
        <f t="shared" si="35"/>
        <v>57.845328607060708</v>
      </c>
      <c r="H216" s="359">
        <f t="shared" si="36"/>
        <v>52.222222222222236</v>
      </c>
      <c r="I216" s="447"/>
      <c r="J216" s="391"/>
    </row>
    <row r="217" spans="2:24" x14ac:dyDescent="0.3">
      <c r="B217" s="38">
        <v>2043</v>
      </c>
      <c r="C217" s="474">
        <f t="shared" si="37"/>
        <v>51.093140823597217</v>
      </c>
      <c r="D217" s="473">
        <f t="shared" si="34"/>
        <v>61.586813691432305</v>
      </c>
      <c r="E217" s="396">
        <f t="shared" si="38"/>
        <v>55.600000000000023</v>
      </c>
      <c r="F217" s="359">
        <f t="shared" si="29"/>
        <v>47.308463725552976</v>
      </c>
      <c r="G217" s="359">
        <f t="shared" si="35"/>
        <v>57.024827492066947</v>
      </c>
      <c r="H217" s="359">
        <f t="shared" si="36"/>
        <v>51.481481481481502</v>
      </c>
      <c r="I217" s="447"/>
      <c r="J217" s="391"/>
    </row>
    <row r="218" spans="2:24" x14ac:dyDescent="0.3">
      <c r="B218" s="38">
        <v>2044</v>
      </c>
      <c r="C218" s="474">
        <f t="shared" si="37"/>
        <v>50.357987718221722</v>
      </c>
      <c r="D218" s="473">
        <f t="shared" si="34"/>
        <v>60.700672487239039</v>
      </c>
      <c r="E218" s="396">
        <f t="shared" si="38"/>
        <v>54.800000000000026</v>
      </c>
      <c r="F218" s="359">
        <f t="shared" si="29"/>
        <v>46.627766405760852</v>
      </c>
      <c r="G218" s="359">
        <f t="shared" si="35"/>
        <v>56.20432637707318</v>
      </c>
      <c r="H218" s="359">
        <f t="shared" si="36"/>
        <v>50.740740740740762</v>
      </c>
      <c r="I218" s="447"/>
      <c r="J218" s="391"/>
    </row>
    <row r="219" spans="2:24" x14ac:dyDescent="0.3">
      <c r="B219" s="38">
        <v>2045</v>
      </c>
      <c r="C219" s="474">
        <f t="shared" si="37"/>
        <v>49.622834612846226</v>
      </c>
      <c r="D219" s="473">
        <f t="shared" si="34"/>
        <v>59.814531283045774</v>
      </c>
      <c r="E219" s="396">
        <f t="shared" si="38"/>
        <v>54.000000000000028</v>
      </c>
      <c r="F219" s="359">
        <f t="shared" si="29"/>
        <v>45.947069085968728</v>
      </c>
      <c r="G219" s="359">
        <f t="shared" si="35"/>
        <v>55.383825262079419</v>
      </c>
      <c r="H219" s="359">
        <f t="shared" si="36"/>
        <v>50.000000000000021</v>
      </c>
      <c r="I219" s="447"/>
      <c r="J219" s="391"/>
    </row>
    <row r="220" spans="2:24" x14ac:dyDescent="0.3">
      <c r="B220" s="38">
        <v>2046</v>
      </c>
      <c r="C220" s="474">
        <f t="shared" si="37"/>
        <v>48.887681507470731</v>
      </c>
      <c r="D220" s="473">
        <f t="shared" si="34"/>
        <v>58.928390078852502</v>
      </c>
      <c r="E220" s="396">
        <f t="shared" si="38"/>
        <v>53.200000000000031</v>
      </c>
      <c r="F220" s="359">
        <f t="shared" si="29"/>
        <v>45.266371766176597</v>
      </c>
      <c r="G220" s="359">
        <f t="shared" si="35"/>
        <v>54.563324147085645</v>
      </c>
      <c r="H220" s="359">
        <f t="shared" si="36"/>
        <v>49.259259259259288</v>
      </c>
      <c r="I220" s="447"/>
      <c r="J220" s="391"/>
    </row>
    <row r="221" spans="2:24" x14ac:dyDescent="0.3">
      <c r="B221" s="38">
        <v>2047</v>
      </c>
      <c r="C221" s="474">
        <f t="shared" si="37"/>
        <v>48.152528402095228</v>
      </c>
      <c r="D221" s="473">
        <f t="shared" si="34"/>
        <v>58.042248874659236</v>
      </c>
      <c r="E221" s="396">
        <f t="shared" si="38"/>
        <v>52.400000000000034</v>
      </c>
      <c r="F221" s="359">
        <f t="shared" si="29"/>
        <v>44.585674446384466</v>
      </c>
      <c r="G221" s="359">
        <f t="shared" si="35"/>
        <v>53.742823032091884</v>
      </c>
      <c r="H221" s="359">
        <f t="shared" si="36"/>
        <v>48.518518518518547</v>
      </c>
      <c r="I221" s="447"/>
      <c r="J221" s="391"/>
    </row>
    <row r="222" spans="2:24" x14ac:dyDescent="0.3">
      <c r="B222" s="38">
        <v>2048</v>
      </c>
      <c r="C222" s="474">
        <f t="shared" si="37"/>
        <v>47.417375296719733</v>
      </c>
      <c r="D222" s="473">
        <f t="shared" si="34"/>
        <v>57.156107670465971</v>
      </c>
      <c r="E222" s="396">
        <f t="shared" si="38"/>
        <v>51.600000000000037</v>
      </c>
      <c r="F222" s="359">
        <f t="shared" si="29"/>
        <v>43.904977126592343</v>
      </c>
      <c r="G222" s="359">
        <f t="shared" si="35"/>
        <v>52.922321917098117</v>
      </c>
      <c r="H222" s="359">
        <f t="shared" si="36"/>
        <v>47.777777777777807</v>
      </c>
      <c r="I222" s="447"/>
      <c r="J222" s="391"/>
      <c r="S222" t="s">
        <v>1642</v>
      </c>
    </row>
    <row r="223" spans="2:24" x14ac:dyDescent="0.3">
      <c r="B223" s="38">
        <v>2049</v>
      </c>
      <c r="C223" s="474">
        <f t="shared" si="37"/>
        <v>46.682222191344238</v>
      </c>
      <c r="D223" s="473">
        <f t="shared" si="34"/>
        <v>56.269966466272706</v>
      </c>
      <c r="E223" s="396">
        <f t="shared" si="38"/>
        <v>50.80000000000004</v>
      </c>
      <c r="F223" s="359">
        <f t="shared" si="29"/>
        <v>43.224279806800219</v>
      </c>
      <c r="G223" s="359">
        <f t="shared" si="35"/>
        <v>52.101820802104356</v>
      </c>
      <c r="H223" s="359">
        <f t="shared" si="36"/>
        <v>47.037037037037074</v>
      </c>
      <c r="I223" s="447"/>
      <c r="J223" s="391"/>
      <c r="S223" s="67" t="s">
        <v>1643</v>
      </c>
    </row>
    <row r="224" spans="2:24" x14ac:dyDescent="0.3">
      <c r="B224" s="38">
        <v>2050</v>
      </c>
      <c r="C224" s="474">
        <f t="shared" si="37"/>
        <v>45.9470690859687</v>
      </c>
      <c r="D224" s="473">
        <f t="shared" si="34"/>
        <v>55.383825262079391</v>
      </c>
      <c r="E224" s="396">
        <v>50</v>
      </c>
      <c r="F224" s="359">
        <f t="shared" si="29"/>
        <v>42.543582487008052</v>
      </c>
      <c r="G224" s="359">
        <f t="shared" si="35"/>
        <v>51.281319687110546</v>
      </c>
      <c r="H224" s="359">
        <f t="shared" si="36"/>
        <v>46.296296296296291</v>
      </c>
      <c r="I224" s="447"/>
      <c r="J224" s="391">
        <v>50</v>
      </c>
    </row>
    <row r="226" spans="2:9" ht="19.5" thickBot="1" x14ac:dyDescent="0.35">
      <c r="B226" s="90" t="s">
        <v>178</v>
      </c>
    </row>
    <row r="227" spans="2:9" ht="16.5" x14ac:dyDescent="0.3">
      <c r="B227" s="91" t="s">
        <v>168</v>
      </c>
      <c r="C227" s="92" t="s">
        <v>60</v>
      </c>
      <c r="D227" s="92" t="s">
        <v>169</v>
      </c>
      <c r="E227" s="92" t="s">
        <v>170</v>
      </c>
      <c r="F227" s="92" t="s">
        <v>171</v>
      </c>
      <c r="G227" s="92" t="s">
        <v>172</v>
      </c>
      <c r="H227" s="92" t="s">
        <v>173</v>
      </c>
      <c r="I227" s="93" t="s">
        <v>174</v>
      </c>
    </row>
    <row r="228" spans="2:9" x14ac:dyDescent="0.3">
      <c r="B228" s="94" t="s">
        <v>175</v>
      </c>
      <c r="C228" s="95">
        <v>0</v>
      </c>
      <c r="D228" s="96">
        <v>0</v>
      </c>
      <c r="E228" s="95">
        <v>0</v>
      </c>
      <c r="F228" s="95">
        <v>0</v>
      </c>
      <c r="G228" s="95">
        <v>0</v>
      </c>
      <c r="H228" s="95">
        <v>0</v>
      </c>
      <c r="I228" s="97"/>
    </row>
    <row r="229" spans="2:9" x14ac:dyDescent="0.3">
      <c r="B229" s="94" t="s">
        <v>165</v>
      </c>
      <c r="C229" s="95" t="s">
        <v>12</v>
      </c>
      <c r="D229" s="96">
        <v>2020</v>
      </c>
      <c r="E229" s="95">
        <v>463.32</v>
      </c>
      <c r="F229" s="95">
        <v>734.92</v>
      </c>
      <c r="G229" s="95">
        <v>255.62</v>
      </c>
      <c r="H229" s="95">
        <v>862.73</v>
      </c>
      <c r="I229" s="97">
        <f t="shared" ref="I229:I234" si="39">SUM(E229:H229)</f>
        <v>2316.59</v>
      </c>
    </row>
    <row r="230" spans="2:9" x14ac:dyDescent="0.3">
      <c r="B230" s="94" t="s">
        <v>165</v>
      </c>
      <c r="C230" s="95" t="s">
        <v>4</v>
      </c>
      <c r="D230" s="96">
        <v>2020</v>
      </c>
      <c r="E230" s="95">
        <v>586.87</v>
      </c>
      <c r="F230" s="95">
        <v>935.16</v>
      </c>
      <c r="G230" s="95">
        <v>287.58</v>
      </c>
      <c r="H230" s="95">
        <v>958.59</v>
      </c>
      <c r="I230" s="97">
        <f t="shared" si="39"/>
        <v>2768.2</v>
      </c>
    </row>
    <row r="231" spans="2:9" x14ac:dyDescent="0.3">
      <c r="B231" s="94" t="s">
        <v>165</v>
      </c>
      <c r="C231" s="95" t="s">
        <v>13</v>
      </c>
      <c r="D231" s="96">
        <v>2020</v>
      </c>
      <c r="E231" s="95">
        <v>619.89</v>
      </c>
      <c r="F231" s="95">
        <v>989.48</v>
      </c>
      <c r="G231" s="95">
        <v>319.52999999999997</v>
      </c>
      <c r="H231" s="95">
        <v>1054.45</v>
      </c>
      <c r="I231" s="97">
        <f t="shared" si="39"/>
        <v>2983.35</v>
      </c>
    </row>
    <row r="232" spans="2:9" x14ac:dyDescent="0.3">
      <c r="B232" s="94" t="s">
        <v>165</v>
      </c>
      <c r="C232" s="95" t="s">
        <v>12</v>
      </c>
      <c r="D232" s="96">
        <v>2030</v>
      </c>
      <c r="E232" s="95">
        <v>355.74</v>
      </c>
      <c r="F232" s="95">
        <v>564.5</v>
      </c>
      <c r="G232" s="95">
        <v>255.62</v>
      </c>
      <c r="H232" s="95">
        <v>777.52</v>
      </c>
      <c r="I232" s="97">
        <f t="shared" si="39"/>
        <v>1953.38</v>
      </c>
    </row>
    <row r="233" spans="2:9" x14ac:dyDescent="0.3">
      <c r="B233" s="94" t="s">
        <v>165</v>
      </c>
      <c r="C233" s="95" t="s">
        <v>4</v>
      </c>
      <c r="D233" s="96">
        <v>2030</v>
      </c>
      <c r="E233" s="95">
        <v>450.54</v>
      </c>
      <c r="F233" s="95">
        <v>718.94</v>
      </c>
      <c r="G233" s="95">
        <v>287.58</v>
      </c>
      <c r="H233" s="95">
        <v>862.73</v>
      </c>
      <c r="I233" s="97">
        <f t="shared" si="39"/>
        <v>2319.79</v>
      </c>
    </row>
    <row r="234" spans="2:9" ht="15.75" thickBot="1" x14ac:dyDescent="0.35">
      <c r="B234" s="98" t="s">
        <v>165</v>
      </c>
      <c r="C234" s="99" t="s">
        <v>13</v>
      </c>
      <c r="D234" s="100">
        <v>2030</v>
      </c>
      <c r="E234" s="99">
        <v>476.1</v>
      </c>
      <c r="F234" s="99">
        <v>761.55</v>
      </c>
      <c r="G234" s="99">
        <v>319.52999999999997</v>
      </c>
      <c r="H234" s="99">
        <v>958.59</v>
      </c>
      <c r="I234" s="101">
        <f t="shared" si="39"/>
        <v>2515.77</v>
      </c>
    </row>
    <row r="235" spans="2:9" ht="16.5" x14ac:dyDescent="0.3">
      <c r="B235" s="102" t="s">
        <v>176</v>
      </c>
      <c r="I235" t="s">
        <v>177</v>
      </c>
    </row>
    <row r="239" spans="2:9" ht="19.5" thickBot="1" x14ac:dyDescent="0.35">
      <c r="B239" s="90" t="s">
        <v>233</v>
      </c>
      <c r="G239" s="102" t="s">
        <v>234</v>
      </c>
    </row>
    <row r="240" spans="2:9" x14ac:dyDescent="0.3">
      <c r="B240" s="183" t="s">
        <v>235</v>
      </c>
      <c r="C240" s="184">
        <v>0</v>
      </c>
      <c r="D240" s="184">
        <v>0</v>
      </c>
      <c r="E240" s="184">
        <v>0</v>
      </c>
      <c r="F240" s="184">
        <v>0</v>
      </c>
      <c r="G240" s="185">
        <v>0</v>
      </c>
    </row>
    <row r="241" spans="2:7" x14ac:dyDescent="0.3">
      <c r="B241" s="106">
        <v>0</v>
      </c>
      <c r="C241">
        <v>0</v>
      </c>
      <c r="D241">
        <v>0</v>
      </c>
      <c r="E241">
        <v>0</v>
      </c>
      <c r="F241">
        <v>0</v>
      </c>
      <c r="G241" s="186">
        <v>0</v>
      </c>
    </row>
    <row r="242" spans="2:7" x14ac:dyDescent="0.3">
      <c r="B242" s="106" t="s">
        <v>236</v>
      </c>
      <c r="C242">
        <v>0</v>
      </c>
      <c r="D242">
        <v>0</v>
      </c>
      <c r="E242">
        <v>0</v>
      </c>
      <c r="F242">
        <v>0</v>
      </c>
      <c r="G242" s="186">
        <v>0</v>
      </c>
    </row>
    <row r="243" spans="2:7" ht="16.5" x14ac:dyDescent="0.3">
      <c r="B243" s="103" t="s">
        <v>237</v>
      </c>
      <c r="C243" s="104">
        <v>2015</v>
      </c>
      <c r="D243" s="104">
        <v>2017</v>
      </c>
      <c r="E243" s="104">
        <v>2020</v>
      </c>
      <c r="F243" s="104">
        <v>2025</v>
      </c>
      <c r="G243" s="105">
        <v>2030</v>
      </c>
    </row>
    <row r="244" spans="2:7" x14ac:dyDescent="0.3">
      <c r="B244" s="106" t="s">
        <v>238</v>
      </c>
      <c r="C244" s="39">
        <v>894.21382400000005</v>
      </c>
      <c r="D244" s="39">
        <v>866.85568690000002</v>
      </c>
      <c r="E244" s="39">
        <v>825.86930329999996</v>
      </c>
      <c r="F244" s="39">
        <v>757.69374319999997</v>
      </c>
      <c r="G244" s="346">
        <v>689.68631049999999</v>
      </c>
    </row>
    <row r="245" spans="2:7" x14ac:dyDescent="0.3">
      <c r="B245" s="106" t="s">
        <v>239</v>
      </c>
      <c r="C245" s="39">
        <v>1171.1968300000001</v>
      </c>
      <c r="D245" s="39">
        <v>1143.8386889999999</v>
      </c>
      <c r="E245" s="39">
        <v>1102.852306</v>
      </c>
      <c r="F245" s="39">
        <v>1034.6767460000001</v>
      </c>
      <c r="G245" s="346">
        <v>966.66931309999995</v>
      </c>
    </row>
    <row r="246" spans="2:7" x14ac:dyDescent="0.3">
      <c r="B246" s="106" t="s">
        <v>240</v>
      </c>
      <c r="C246" s="39">
        <v>1747.3511984802064</v>
      </c>
      <c r="D246" s="39">
        <v>1719.993061315763</v>
      </c>
      <c r="E246" s="39">
        <v>1679.0066777492466</v>
      </c>
      <c r="F246" s="39">
        <v>1610.8311176868447</v>
      </c>
      <c r="G246" s="346">
        <v>1542.8236849468958</v>
      </c>
    </row>
    <row r="247" spans="2:7" x14ac:dyDescent="0.3">
      <c r="B247" s="106" t="s">
        <v>241</v>
      </c>
      <c r="C247" s="39">
        <v>1144.7752599999999</v>
      </c>
      <c r="D247" s="39">
        <v>1117.4171229999999</v>
      </c>
      <c r="E247" s="39">
        <v>1076.43074</v>
      </c>
      <c r="F247" s="39">
        <v>1008.25518</v>
      </c>
      <c r="G247" s="346">
        <v>940.247747</v>
      </c>
    </row>
    <row r="248" spans="2:7" x14ac:dyDescent="0.3">
      <c r="B248" s="106" t="s">
        <v>242</v>
      </c>
      <c r="C248" s="39">
        <v>1330.3738800000001</v>
      </c>
      <c r="D248" s="39">
        <v>1303.015746</v>
      </c>
      <c r="E248" s="39">
        <v>1262.029362</v>
      </c>
      <c r="F248" s="39">
        <v>1193.8538020000001</v>
      </c>
      <c r="G248" s="346">
        <v>1125.8463690000001</v>
      </c>
    </row>
    <row r="249" spans="2:7" ht="15.75" thickBot="1" x14ac:dyDescent="0.35">
      <c r="B249" s="108" t="s">
        <v>243</v>
      </c>
      <c r="C249" s="347">
        <f>AVERAGE(C244:C248)</f>
        <v>1257.5821984960412</v>
      </c>
      <c r="D249" s="347">
        <f>AVERAGE(D244:D248)</f>
        <v>1230.2240612431526</v>
      </c>
      <c r="E249" s="347">
        <f>AVERAGE(E244:E248)</f>
        <v>1189.2376778098492</v>
      </c>
      <c r="F249" s="347">
        <f>AVERAGE(F244:F248)</f>
        <v>1121.0621177773689</v>
      </c>
      <c r="G249" s="347">
        <f>AVERAGE(G244:G248)</f>
        <v>1053.0546849093791</v>
      </c>
    </row>
    <row r="252" spans="2:7" ht="18.75" x14ac:dyDescent="0.3">
      <c r="B252" s="90" t="s">
        <v>1245</v>
      </c>
    </row>
    <row r="253" spans="2:7" x14ac:dyDescent="0.3">
      <c r="B253" s="416" t="s">
        <v>392</v>
      </c>
      <c r="C253" s="417" t="s">
        <v>1265</v>
      </c>
    </row>
    <row r="254" spans="2:7" x14ac:dyDescent="0.3">
      <c r="B254" s="77">
        <v>2015</v>
      </c>
      <c r="C254" s="399">
        <v>1000</v>
      </c>
    </row>
    <row r="255" spans="2:7" x14ac:dyDescent="0.3">
      <c r="B255" s="80">
        <v>2016</v>
      </c>
      <c r="C255" s="402">
        <f t="shared" ref="C255:C260" si="40">C254+($C$261-C$254)/(B$261-B$254)</f>
        <v>1178.5714285714287</v>
      </c>
    </row>
    <row r="256" spans="2:7" x14ac:dyDescent="0.3">
      <c r="B256" s="80">
        <v>2017</v>
      </c>
      <c r="C256" s="402">
        <f t="shared" si="40"/>
        <v>1357.1428571428573</v>
      </c>
    </row>
    <row r="257" spans="2:6" x14ac:dyDescent="0.3">
      <c r="B257" s="80">
        <v>2018</v>
      </c>
      <c r="C257" s="402">
        <f t="shared" si="40"/>
        <v>1535.714285714286</v>
      </c>
    </row>
    <row r="258" spans="2:6" x14ac:dyDescent="0.3">
      <c r="B258" s="80">
        <v>2019</v>
      </c>
      <c r="C258" s="402">
        <f t="shared" si="40"/>
        <v>1714.2857142857147</v>
      </c>
    </row>
    <row r="259" spans="2:6" x14ac:dyDescent="0.3">
      <c r="B259" s="80">
        <v>2020</v>
      </c>
      <c r="C259" s="402">
        <f t="shared" si="40"/>
        <v>1892.8571428571433</v>
      </c>
    </row>
    <row r="260" spans="2:6" x14ac:dyDescent="0.3">
      <c r="B260" s="80">
        <v>2021</v>
      </c>
      <c r="C260" s="402">
        <f t="shared" si="40"/>
        <v>2071.428571428572</v>
      </c>
    </row>
    <row r="261" spans="2:6" x14ac:dyDescent="0.3">
      <c r="B261" s="80">
        <v>2022</v>
      </c>
      <c r="C261" s="403">
        <v>2250</v>
      </c>
    </row>
    <row r="262" spans="2:6" x14ac:dyDescent="0.3">
      <c r="B262" s="80">
        <v>2023</v>
      </c>
      <c r="C262" s="402">
        <f>$C$261</f>
        <v>2250</v>
      </c>
    </row>
    <row r="263" spans="2:6" x14ac:dyDescent="0.3">
      <c r="B263" s="80">
        <v>2024</v>
      </c>
      <c r="C263" s="402">
        <f t="shared" ref="C263:C279" si="41">$C$261</f>
        <v>2250</v>
      </c>
    </row>
    <row r="264" spans="2:6" x14ac:dyDescent="0.3">
      <c r="B264" s="80">
        <v>2025</v>
      </c>
      <c r="C264" s="402">
        <f t="shared" si="41"/>
        <v>2250</v>
      </c>
      <c r="F264" s="175"/>
    </row>
    <row r="265" spans="2:6" x14ac:dyDescent="0.3">
      <c r="B265" s="80">
        <v>2026</v>
      </c>
      <c r="C265" s="402">
        <f t="shared" si="41"/>
        <v>2250</v>
      </c>
      <c r="F265" s="175"/>
    </row>
    <row r="266" spans="2:6" x14ac:dyDescent="0.3">
      <c r="B266" s="80">
        <v>2027</v>
      </c>
      <c r="C266" s="402">
        <f t="shared" si="41"/>
        <v>2250</v>
      </c>
      <c r="F266" s="175"/>
    </row>
    <row r="267" spans="2:6" x14ac:dyDescent="0.3">
      <c r="B267" s="80">
        <v>2028</v>
      </c>
      <c r="C267" s="402">
        <f t="shared" si="41"/>
        <v>2250</v>
      </c>
      <c r="F267" s="175"/>
    </row>
    <row r="268" spans="2:6" x14ac:dyDescent="0.3">
      <c r="B268" s="80">
        <v>2029</v>
      </c>
      <c r="C268" s="402">
        <f t="shared" si="41"/>
        <v>2250</v>
      </c>
      <c r="F268" s="175"/>
    </row>
    <row r="269" spans="2:6" x14ac:dyDescent="0.3">
      <c r="B269" s="80">
        <v>2030</v>
      </c>
      <c r="C269" s="402">
        <f t="shared" si="41"/>
        <v>2250</v>
      </c>
      <c r="F269" s="175"/>
    </row>
    <row r="270" spans="2:6" x14ac:dyDescent="0.3">
      <c r="B270" s="80">
        <v>2031</v>
      </c>
      <c r="C270" s="402">
        <f t="shared" si="41"/>
        <v>2250</v>
      </c>
    </row>
    <row r="271" spans="2:6" x14ac:dyDescent="0.3">
      <c r="B271" s="80">
        <v>2032</v>
      </c>
      <c r="C271" s="402">
        <f t="shared" si="41"/>
        <v>2250</v>
      </c>
    </row>
    <row r="272" spans="2:6" x14ac:dyDescent="0.3">
      <c r="B272" s="80">
        <v>2033</v>
      </c>
      <c r="C272" s="402">
        <f t="shared" si="41"/>
        <v>2250</v>
      </c>
    </row>
    <row r="273" spans="2:10" x14ac:dyDescent="0.3">
      <c r="B273" s="80">
        <v>2034</v>
      </c>
      <c r="C273" s="402">
        <f t="shared" si="41"/>
        <v>2250</v>
      </c>
    </row>
    <row r="274" spans="2:10" x14ac:dyDescent="0.3">
      <c r="B274" s="80">
        <v>2035</v>
      </c>
      <c r="C274" s="402">
        <f t="shared" si="41"/>
        <v>2250</v>
      </c>
    </row>
    <row r="275" spans="2:10" x14ac:dyDescent="0.3">
      <c r="B275" s="80">
        <v>2036</v>
      </c>
      <c r="C275" s="402">
        <f t="shared" si="41"/>
        <v>2250</v>
      </c>
    </row>
    <row r="276" spans="2:10" x14ac:dyDescent="0.3">
      <c r="B276" s="80">
        <v>2037</v>
      </c>
      <c r="C276" s="402">
        <f t="shared" si="41"/>
        <v>2250</v>
      </c>
    </row>
    <row r="277" spans="2:10" x14ac:dyDescent="0.3">
      <c r="B277" s="80">
        <v>2038</v>
      </c>
      <c r="C277" s="402">
        <f t="shared" si="41"/>
        <v>2250</v>
      </c>
    </row>
    <row r="278" spans="2:10" x14ac:dyDescent="0.3">
      <c r="B278" s="80">
        <v>2039</v>
      </c>
      <c r="C278" s="402">
        <f t="shared" si="41"/>
        <v>2250</v>
      </c>
    </row>
    <row r="279" spans="2:10" x14ac:dyDescent="0.3">
      <c r="B279" s="80">
        <v>2040</v>
      </c>
      <c r="C279" s="402">
        <f t="shared" si="41"/>
        <v>2250</v>
      </c>
    </row>
    <row r="280" spans="2:10" x14ac:dyDescent="0.3">
      <c r="F280" s="175"/>
      <c r="J280" s="75"/>
    </row>
    <row r="281" spans="2:10" ht="18.75" x14ac:dyDescent="0.3">
      <c r="B281" s="90" t="s">
        <v>1031</v>
      </c>
      <c r="F281" s="175"/>
    </row>
    <row r="282" spans="2:10" ht="15.75" thickBot="1" x14ac:dyDescent="0.35">
      <c r="F282" s="175"/>
    </row>
    <row r="283" spans="2:10" ht="15.75" thickBot="1" x14ac:dyDescent="0.35">
      <c r="B283" s="286" t="s">
        <v>1032</v>
      </c>
      <c r="C283" s="286" t="s">
        <v>1026</v>
      </c>
      <c r="D283" s="286" t="s">
        <v>1033</v>
      </c>
    </row>
    <row r="284" spans="2:10" ht="15.75" thickBot="1" x14ac:dyDescent="0.35">
      <c r="B284" s="283">
        <v>1</v>
      </c>
      <c r="C284" s="282">
        <v>0</v>
      </c>
      <c r="D284" s="282">
        <f>+C285-1</f>
        <v>8499</v>
      </c>
    </row>
    <row r="285" spans="2:10" ht="15.75" thickBot="1" x14ac:dyDescent="0.35">
      <c r="B285" s="283">
        <v>2</v>
      </c>
      <c r="C285" s="282">
        <v>8500</v>
      </c>
      <c r="D285" s="282">
        <f>+C286-1</f>
        <v>8999</v>
      </c>
    </row>
    <row r="286" spans="2:10" ht="15.75" thickBot="1" x14ac:dyDescent="0.35">
      <c r="B286" s="283">
        <v>3</v>
      </c>
      <c r="C286" s="282">
        <v>9000</v>
      </c>
      <c r="D286" s="282">
        <f t="shared" ref="D286:D299" si="42">+C287-1</f>
        <v>9499</v>
      </c>
    </row>
    <row r="287" spans="2:10" ht="15.75" thickBot="1" x14ac:dyDescent="0.35">
      <c r="B287" s="283">
        <v>4</v>
      </c>
      <c r="C287" s="282">
        <v>9500</v>
      </c>
      <c r="D287" s="282">
        <f t="shared" si="42"/>
        <v>9999</v>
      </c>
    </row>
    <row r="288" spans="2:10" ht="15.75" thickBot="1" x14ac:dyDescent="0.35">
      <c r="B288" s="283">
        <v>5</v>
      </c>
      <c r="C288" s="282">
        <v>10000</v>
      </c>
      <c r="D288" s="282">
        <f t="shared" si="42"/>
        <v>10499</v>
      </c>
    </row>
    <row r="289" spans="2:4" ht="15.75" thickBot="1" x14ac:dyDescent="0.35">
      <c r="B289" s="283">
        <v>6</v>
      </c>
      <c r="C289" s="282">
        <v>10500</v>
      </c>
      <c r="D289" s="282">
        <f t="shared" si="42"/>
        <v>10999</v>
      </c>
    </row>
    <row r="290" spans="2:4" ht="15.75" thickBot="1" x14ac:dyDescent="0.35">
      <c r="B290" s="283">
        <v>7</v>
      </c>
      <c r="C290" s="282">
        <v>11000</v>
      </c>
      <c r="D290" s="282">
        <f t="shared" si="42"/>
        <v>11499</v>
      </c>
    </row>
    <row r="291" spans="2:4" ht="15.75" thickBot="1" x14ac:dyDescent="0.35">
      <c r="B291" s="283">
        <v>8</v>
      </c>
      <c r="C291" s="282">
        <v>11500</v>
      </c>
      <c r="D291" s="282">
        <f t="shared" si="42"/>
        <v>11999</v>
      </c>
    </row>
    <row r="292" spans="2:4" ht="15.75" thickBot="1" x14ac:dyDescent="0.35">
      <c r="B292" s="283">
        <v>9</v>
      </c>
      <c r="C292" s="282">
        <v>12000</v>
      </c>
      <c r="D292" s="282">
        <f t="shared" si="42"/>
        <v>12499</v>
      </c>
    </row>
    <row r="293" spans="2:4" ht="15.75" thickBot="1" x14ac:dyDescent="0.35">
      <c r="B293" s="283">
        <v>10</v>
      </c>
      <c r="C293" s="282">
        <v>12500</v>
      </c>
      <c r="D293" s="282">
        <f t="shared" si="42"/>
        <v>12999</v>
      </c>
    </row>
    <row r="294" spans="2:4" ht="15.75" thickBot="1" x14ac:dyDescent="0.35">
      <c r="B294" s="283">
        <v>11</v>
      </c>
      <c r="C294" s="282">
        <v>13000</v>
      </c>
      <c r="D294" s="282">
        <f t="shared" si="42"/>
        <v>13499</v>
      </c>
    </row>
    <row r="295" spans="2:4" ht="15.75" thickBot="1" x14ac:dyDescent="0.35">
      <c r="B295" s="283">
        <v>12</v>
      </c>
      <c r="C295" s="282">
        <v>13500</v>
      </c>
      <c r="D295" s="282">
        <f t="shared" si="42"/>
        <v>13999</v>
      </c>
    </row>
    <row r="296" spans="2:4" ht="15.75" thickBot="1" x14ac:dyDescent="0.35">
      <c r="B296" s="283">
        <v>13</v>
      </c>
      <c r="C296" s="282">
        <v>14000</v>
      </c>
      <c r="D296" s="282">
        <f t="shared" si="42"/>
        <v>14499</v>
      </c>
    </row>
    <row r="297" spans="2:4" ht="15.75" thickBot="1" x14ac:dyDescent="0.35">
      <c r="B297" s="283">
        <v>14</v>
      </c>
      <c r="C297" s="282">
        <v>14500</v>
      </c>
      <c r="D297" s="282">
        <f t="shared" si="42"/>
        <v>14999</v>
      </c>
    </row>
    <row r="298" spans="2:4" ht="15.75" thickBot="1" x14ac:dyDescent="0.35">
      <c r="B298" s="283">
        <v>15</v>
      </c>
      <c r="C298" s="282">
        <v>15000</v>
      </c>
      <c r="D298" s="282">
        <f t="shared" si="42"/>
        <v>15499</v>
      </c>
    </row>
    <row r="299" spans="2:4" ht="15.75" thickBot="1" x14ac:dyDescent="0.35">
      <c r="B299" s="283">
        <v>16</v>
      </c>
      <c r="C299" s="282">
        <v>15500</v>
      </c>
      <c r="D299" s="282">
        <f t="shared" si="42"/>
        <v>15999</v>
      </c>
    </row>
    <row r="300" spans="2:4" ht="15.75" thickBot="1" x14ac:dyDescent="0.35">
      <c r="B300" s="283">
        <v>17</v>
      </c>
      <c r="C300" s="282">
        <v>16000</v>
      </c>
      <c r="D300" s="282">
        <f t="shared" ref="D300:D313" si="43">+C301-1</f>
        <v>16499</v>
      </c>
    </row>
    <row r="301" spans="2:4" ht="15.75" thickBot="1" x14ac:dyDescent="0.35">
      <c r="B301" s="283">
        <v>18</v>
      </c>
      <c r="C301" s="282">
        <v>16500</v>
      </c>
      <c r="D301" s="282">
        <f t="shared" si="43"/>
        <v>16999</v>
      </c>
    </row>
    <row r="302" spans="2:4" ht="15.75" thickBot="1" x14ac:dyDescent="0.35">
      <c r="B302" s="283">
        <v>19</v>
      </c>
      <c r="C302" s="282">
        <v>17000</v>
      </c>
      <c r="D302" s="282">
        <f t="shared" si="43"/>
        <v>17499</v>
      </c>
    </row>
    <row r="303" spans="2:4" ht="15.75" thickBot="1" x14ac:dyDescent="0.35">
      <c r="B303" s="283">
        <v>20</v>
      </c>
      <c r="C303" s="282">
        <v>17500</v>
      </c>
      <c r="D303" s="282">
        <f t="shared" si="43"/>
        <v>17999</v>
      </c>
    </row>
    <row r="304" spans="2:4" ht="15.75" thickBot="1" x14ac:dyDescent="0.35">
      <c r="B304" s="283">
        <v>21</v>
      </c>
      <c r="C304" s="282">
        <v>18000</v>
      </c>
      <c r="D304" s="282">
        <f t="shared" si="43"/>
        <v>18499</v>
      </c>
    </row>
    <row r="305" spans="2:4" ht="15.75" thickBot="1" x14ac:dyDescent="0.35">
      <c r="B305" s="283">
        <v>22</v>
      </c>
      <c r="C305" s="282">
        <v>18500</v>
      </c>
      <c r="D305" s="282">
        <f t="shared" si="43"/>
        <v>18999</v>
      </c>
    </row>
    <row r="306" spans="2:4" ht="15.75" thickBot="1" x14ac:dyDescent="0.35">
      <c r="B306" s="283">
        <v>23</v>
      </c>
      <c r="C306" s="282">
        <v>19000</v>
      </c>
      <c r="D306" s="282">
        <f t="shared" si="43"/>
        <v>19499</v>
      </c>
    </row>
    <row r="307" spans="2:4" ht="15.75" thickBot="1" x14ac:dyDescent="0.35">
      <c r="B307" s="283">
        <v>24</v>
      </c>
      <c r="C307" s="282">
        <v>19500</v>
      </c>
      <c r="D307" s="282">
        <f t="shared" si="43"/>
        <v>19999</v>
      </c>
    </row>
    <row r="308" spans="2:4" ht="15.75" thickBot="1" x14ac:dyDescent="0.35">
      <c r="B308" s="283">
        <v>25</v>
      </c>
      <c r="C308" s="282">
        <v>20000</v>
      </c>
      <c r="D308" s="282">
        <f t="shared" si="43"/>
        <v>20999</v>
      </c>
    </row>
    <row r="309" spans="2:4" ht="15.75" thickBot="1" x14ac:dyDescent="0.35">
      <c r="B309" s="283">
        <v>26</v>
      </c>
      <c r="C309" s="282">
        <v>21000</v>
      </c>
      <c r="D309" s="282">
        <f t="shared" si="43"/>
        <v>21999</v>
      </c>
    </row>
    <row r="310" spans="2:4" ht="15.75" thickBot="1" x14ac:dyDescent="0.35">
      <c r="B310" s="283">
        <v>27</v>
      </c>
      <c r="C310" s="282">
        <v>22000</v>
      </c>
      <c r="D310" s="282">
        <f t="shared" si="43"/>
        <v>22999</v>
      </c>
    </row>
    <row r="311" spans="2:4" ht="15.75" thickBot="1" x14ac:dyDescent="0.35">
      <c r="B311" s="283">
        <v>28</v>
      </c>
      <c r="C311" s="282">
        <v>23000</v>
      </c>
      <c r="D311" s="282">
        <f t="shared" si="43"/>
        <v>23999</v>
      </c>
    </row>
    <row r="312" spans="2:4" ht="15.75" thickBot="1" x14ac:dyDescent="0.35">
      <c r="B312" s="283">
        <v>29</v>
      </c>
      <c r="C312" s="282">
        <v>24000</v>
      </c>
      <c r="D312" s="282">
        <f t="shared" si="43"/>
        <v>24999</v>
      </c>
    </row>
    <row r="313" spans="2:4" ht="15.75" thickBot="1" x14ac:dyDescent="0.35">
      <c r="B313" s="283">
        <v>30</v>
      </c>
      <c r="C313" s="282">
        <v>25000</v>
      </c>
      <c r="D313" s="282">
        <f t="shared" si="43"/>
        <v>25999</v>
      </c>
    </row>
    <row r="314" spans="2:4" ht="15.75" thickBot="1" x14ac:dyDescent="0.35">
      <c r="B314" s="283">
        <v>31</v>
      </c>
      <c r="C314" s="282">
        <v>26000</v>
      </c>
      <c r="D314" s="282">
        <f t="shared" ref="D314:D341" si="44">+C315-1</f>
        <v>26999</v>
      </c>
    </row>
    <row r="315" spans="2:4" ht="15.75" thickBot="1" x14ac:dyDescent="0.35">
      <c r="B315" s="283">
        <v>32</v>
      </c>
      <c r="C315" s="282">
        <v>27000</v>
      </c>
      <c r="D315" s="282">
        <f t="shared" si="44"/>
        <v>27999</v>
      </c>
    </row>
    <row r="316" spans="2:4" ht="15.75" thickBot="1" x14ac:dyDescent="0.35">
      <c r="B316" s="283">
        <v>33</v>
      </c>
      <c r="C316" s="282">
        <v>28000</v>
      </c>
      <c r="D316" s="282">
        <f t="shared" si="44"/>
        <v>28999</v>
      </c>
    </row>
    <row r="317" spans="2:4" ht="15.75" thickBot="1" x14ac:dyDescent="0.35">
      <c r="B317" s="283">
        <v>34</v>
      </c>
      <c r="C317" s="282">
        <v>29000</v>
      </c>
      <c r="D317" s="282">
        <f t="shared" si="44"/>
        <v>29999</v>
      </c>
    </row>
    <row r="318" spans="2:4" ht="15.75" thickBot="1" x14ac:dyDescent="0.35">
      <c r="B318" s="283">
        <v>35</v>
      </c>
      <c r="C318" s="282">
        <v>30000</v>
      </c>
      <c r="D318" s="282">
        <f t="shared" si="44"/>
        <v>32499</v>
      </c>
    </row>
    <row r="319" spans="2:4" ht="15.75" thickBot="1" x14ac:dyDescent="0.35">
      <c r="B319" s="283">
        <v>36</v>
      </c>
      <c r="C319" s="282">
        <v>32500</v>
      </c>
      <c r="D319" s="282">
        <f t="shared" si="44"/>
        <v>34999</v>
      </c>
    </row>
    <row r="320" spans="2:4" ht="15.75" thickBot="1" x14ac:dyDescent="0.35">
      <c r="B320" s="283">
        <v>37</v>
      </c>
      <c r="C320" s="282">
        <v>35000</v>
      </c>
      <c r="D320" s="282">
        <f t="shared" si="44"/>
        <v>37499</v>
      </c>
    </row>
    <row r="321" spans="2:4" ht="15.75" thickBot="1" x14ac:dyDescent="0.35">
      <c r="B321" s="283">
        <v>38</v>
      </c>
      <c r="C321" s="282">
        <v>37500</v>
      </c>
      <c r="D321" s="282">
        <f t="shared" si="44"/>
        <v>39999</v>
      </c>
    </row>
    <row r="322" spans="2:4" ht="15.75" thickBot="1" x14ac:dyDescent="0.35">
      <c r="B322" s="283">
        <v>39</v>
      </c>
      <c r="C322" s="282">
        <v>40000</v>
      </c>
      <c r="D322" s="282">
        <f t="shared" si="44"/>
        <v>42499</v>
      </c>
    </row>
    <row r="323" spans="2:4" ht="15.75" thickBot="1" x14ac:dyDescent="0.35">
      <c r="B323" s="283">
        <v>40</v>
      </c>
      <c r="C323" s="282">
        <v>42500</v>
      </c>
      <c r="D323" s="282">
        <f t="shared" si="44"/>
        <v>44999</v>
      </c>
    </row>
    <row r="324" spans="2:4" ht="15.75" thickBot="1" x14ac:dyDescent="0.35">
      <c r="B324" s="283">
        <v>41</v>
      </c>
      <c r="C324" s="282">
        <v>45000</v>
      </c>
      <c r="D324" s="282">
        <f t="shared" si="44"/>
        <v>47499</v>
      </c>
    </row>
    <row r="325" spans="2:4" ht="15.75" thickBot="1" x14ac:dyDescent="0.35">
      <c r="B325" s="283">
        <v>42</v>
      </c>
      <c r="C325" s="282">
        <v>47500</v>
      </c>
      <c r="D325" s="282">
        <f t="shared" si="44"/>
        <v>49999</v>
      </c>
    </row>
    <row r="326" spans="2:4" ht="15.75" thickBot="1" x14ac:dyDescent="0.35">
      <c r="B326" s="283">
        <v>43</v>
      </c>
      <c r="C326" s="282">
        <v>50000</v>
      </c>
      <c r="D326" s="282">
        <f t="shared" si="44"/>
        <v>54999</v>
      </c>
    </row>
    <row r="327" spans="2:4" ht="15.75" thickBot="1" x14ac:dyDescent="0.35">
      <c r="B327" s="283">
        <v>44</v>
      </c>
      <c r="C327" s="282">
        <v>55000</v>
      </c>
      <c r="D327" s="282">
        <f t="shared" si="44"/>
        <v>59999</v>
      </c>
    </row>
    <row r="328" spans="2:4" ht="15.75" thickBot="1" x14ac:dyDescent="0.35">
      <c r="B328" s="283">
        <v>45</v>
      </c>
      <c r="C328" s="282">
        <v>60000</v>
      </c>
      <c r="D328" s="282">
        <f t="shared" si="44"/>
        <v>64999</v>
      </c>
    </row>
    <row r="329" spans="2:4" ht="15.75" thickBot="1" x14ac:dyDescent="0.35">
      <c r="B329" s="283">
        <v>46</v>
      </c>
      <c r="C329" s="282">
        <v>65000</v>
      </c>
      <c r="D329" s="282">
        <f t="shared" si="44"/>
        <v>69999</v>
      </c>
    </row>
    <row r="330" spans="2:4" ht="15.75" thickBot="1" x14ac:dyDescent="0.35">
      <c r="B330" s="283">
        <v>47</v>
      </c>
      <c r="C330" s="563">
        <v>70000</v>
      </c>
      <c r="D330" s="282">
        <f t="shared" si="44"/>
        <v>74999</v>
      </c>
    </row>
    <row r="331" spans="2:4" ht="15.75" thickBot="1" x14ac:dyDescent="0.35">
      <c r="B331" s="283">
        <v>48</v>
      </c>
      <c r="C331" s="565">
        <v>75000</v>
      </c>
      <c r="D331" s="282">
        <f t="shared" si="44"/>
        <v>79999</v>
      </c>
    </row>
    <row r="332" spans="2:4" ht="15.75" thickBot="1" x14ac:dyDescent="0.35">
      <c r="B332" s="283">
        <v>49</v>
      </c>
      <c r="C332" s="282">
        <v>80000</v>
      </c>
      <c r="D332" s="282">
        <f t="shared" si="44"/>
        <v>84999</v>
      </c>
    </row>
    <row r="333" spans="2:4" ht="15.75" thickBot="1" x14ac:dyDescent="0.35">
      <c r="B333" s="283">
        <v>50</v>
      </c>
      <c r="C333" s="282">
        <v>85000</v>
      </c>
      <c r="D333" s="282">
        <f t="shared" si="44"/>
        <v>89999</v>
      </c>
    </row>
    <row r="334" spans="2:4" ht="15.75" thickBot="1" x14ac:dyDescent="0.35">
      <c r="B334" s="283">
        <v>51</v>
      </c>
      <c r="C334" s="282">
        <v>90000</v>
      </c>
      <c r="D334" s="282">
        <f t="shared" si="44"/>
        <v>94999</v>
      </c>
    </row>
    <row r="335" spans="2:4" ht="15.75" thickBot="1" x14ac:dyDescent="0.35">
      <c r="B335" s="283">
        <v>52</v>
      </c>
      <c r="C335" s="282">
        <v>95000</v>
      </c>
      <c r="D335" s="282">
        <f t="shared" si="44"/>
        <v>99999</v>
      </c>
    </row>
    <row r="336" spans="2:4" ht="15.75" thickBot="1" x14ac:dyDescent="0.35">
      <c r="B336" s="283">
        <v>53</v>
      </c>
      <c r="C336" s="282">
        <v>100000</v>
      </c>
      <c r="D336" s="282">
        <f t="shared" si="44"/>
        <v>104999</v>
      </c>
    </row>
    <row r="337" spans="2:12" ht="15.75" thickBot="1" x14ac:dyDescent="0.35">
      <c r="B337" s="283">
        <v>54</v>
      </c>
      <c r="C337" s="282">
        <v>105000</v>
      </c>
      <c r="D337" s="282">
        <f t="shared" si="44"/>
        <v>109999</v>
      </c>
    </row>
    <row r="338" spans="2:12" ht="15.75" thickBot="1" x14ac:dyDescent="0.35">
      <c r="B338" s="283">
        <v>55</v>
      </c>
      <c r="C338" s="282">
        <v>110000</v>
      </c>
      <c r="D338" s="282">
        <f t="shared" si="44"/>
        <v>114999</v>
      </c>
    </row>
    <row r="339" spans="2:12" ht="15.75" thickBot="1" x14ac:dyDescent="0.35">
      <c r="B339" s="283">
        <v>56</v>
      </c>
      <c r="C339" s="282">
        <v>115000</v>
      </c>
      <c r="D339" s="282">
        <f t="shared" si="44"/>
        <v>119999</v>
      </c>
    </row>
    <row r="340" spans="2:12" ht="15.75" thickBot="1" x14ac:dyDescent="0.35">
      <c r="B340" s="283">
        <v>57</v>
      </c>
      <c r="C340" s="282">
        <v>120000</v>
      </c>
      <c r="D340" s="282">
        <f t="shared" si="44"/>
        <v>124999</v>
      </c>
    </row>
    <row r="341" spans="2:12" ht="15.75" thickBot="1" x14ac:dyDescent="0.35">
      <c r="B341" s="283">
        <v>58</v>
      </c>
      <c r="C341" s="282">
        <v>125000</v>
      </c>
      <c r="D341" s="282">
        <f t="shared" si="44"/>
        <v>129999</v>
      </c>
    </row>
    <row r="342" spans="2:12" ht="15.75" thickBot="1" x14ac:dyDescent="0.35">
      <c r="B342" s="283">
        <v>59</v>
      </c>
      <c r="C342" s="570">
        <v>130000</v>
      </c>
      <c r="D342" s="282">
        <v>1000000</v>
      </c>
    </row>
    <row r="344" spans="2:12" x14ac:dyDescent="0.3">
      <c r="B344" s="49" t="s">
        <v>1150</v>
      </c>
    </row>
    <row r="345" spans="2:12" x14ac:dyDescent="0.3">
      <c r="B345" s="313" t="s">
        <v>39</v>
      </c>
      <c r="C345" s="313" t="s">
        <v>168</v>
      </c>
      <c r="D345" s="313" t="s">
        <v>1151</v>
      </c>
      <c r="E345" s="313" t="s">
        <v>1152</v>
      </c>
      <c r="F345" s="313" t="s">
        <v>1153</v>
      </c>
      <c r="G345" s="313" t="s">
        <v>1153</v>
      </c>
      <c r="H345" s="313" t="s">
        <v>1157</v>
      </c>
    </row>
    <row r="346" spans="2:12" ht="15.75" thickBot="1" x14ac:dyDescent="0.35">
      <c r="B346" s="313"/>
      <c r="C346" s="313"/>
      <c r="D346" s="313" t="s">
        <v>27</v>
      </c>
      <c r="E346" s="313" t="s">
        <v>26</v>
      </c>
      <c r="F346" s="314" t="s">
        <v>1154</v>
      </c>
      <c r="G346" s="314" t="s">
        <v>1155</v>
      </c>
      <c r="H346" s="314" t="s">
        <v>1156</v>
      </c>
    </row>
    <row r="347" spans="2:12" ht="15.75" thickBot="1" x14ac:dyDescent="0.35">
      <c r="B347" s="283" t="s">
        <v>45</v>
      </c>
      <c r="C347" s="283" t="s">
        <v>1097</v>
      </c>
      <c r="D347" s="283">
        <v>0.74741765737672972</v>
      </c>
      <c r="E347" s="283">
        <v>41.8</v>
      </c>
      <c r="F347" s="283">
        <v>68.099999999999994</v>
      </c>
      <c r="G347" s="283">
        <f>+F347*E347</f>
        <v>2846.5799999999995</v>
      </c>
      <c r="H347" s="295">
        <f>+G347*D347</f>
        <v>2127.5841551354511</v>
      </c>
      <c r="I347" t="s">
        <v>1476</v>
      </c>
    </row>
    <row r="348" spans="2:12" ht="15.75" thickBot="1" x14ac:dyDescent="0.35">
      <c r="B348" s="358" t="s">
        <v>1459</v>
      </c>
      <c r="C348" s="283" t="str">
        <f>C349</f>
        <v>fossiel</v>
      </c>
      <c r="D348" s="283">
        <f t="shared" ref="D348" si="45">D349</f>
        <v>0.83677438659485337</v>
      </c>
      <c r="E348" s="283">
        <f t="shared" ref="E348:H348" si="46">E347</f>
        <v>41.8</v>
      </c>
      <c r="F348" s="283">
        <f>F347</f>
        <v>68.099999999999994</v>
      </c>
      <c r="G348" s="283">
        <f t="shared" si="46"/>
        <v>2846.5799999999995</v>
      </c>
      <c r="H348" s="283">
        <f t="shared" si="46"/>
        <v>2127.5841551354511</v>
      </c>
      <c r="I348" t="s">
        <v>1926</v>
      </c>
    </row>
    <row r="349" spans="2:12" ht="15.75" thickBot="1" x14ac:dyDescent="0.35">
      <c r="B349" s="283" t="s">
        <v>46</v>
      </c>
      <c r="C349" s="283" t="s">
        <v>1097</v>
      </c>
      <c r="D349" s="283">
        <v>0.83677438659485337</v>
      </c>
      <c r="E349" s="283">
        <v>42.8</v>
      </c>
      <c r="F349" s="283">
        <v>67.8</v>
      </c>
      <c r="G349" s="283">
        <f>+F349*E349</f>
        <v>2901.8399999999997</v>
      </c>
      <c r="H349" s="295">
        <f>+G349*D349</f>
        <v>2428.185385996409</v>
      </c>
      <c r="I349" t="s">
        <v>1477</v>
      </c>
    </row>
    <row r="352" spans="2:12" x14ac:dyDescent="0.3">
      <c r="B352" t="s">
        <v>1474</v>
      </c>
      <c r="L352">
        <f>(145.3-179.8)/145.3</f>
        <v>-0.23743977976600136</v>
      </c>
    </row>
    <row r="353" spans="2:5" x14ac:dyDescent="0.3">
      <c r="B353" s="487" t="s">
        <v>45</v>
      </c>
      <c r="C353" s="487">
        <v>1.204</v>
      </c>
    </row>
    <row r="354" spans="2:5" x14ac:dyDescent="0.3">
      <c r="B354" s="487" t="s">
        <v>46</v>
      </c>
      <c r="C354" s="487">
        <v>1.167</v>
      </c>
    </row>
    <row r="355" spans="2:5" x14ac:dyDescent="0.3">
      <c r="B355" s="487" t="s">
        <v>141</v>
      </c>
      <c r="C355" s="670">
        <v>1.25</v>
      </c>
    </row>
    <row r="356" spans="2:5" x14ac:dyDescent="0.3">
      <c r="B356" s="487" t="s">
        <v>1459</v>
      </c>
      <c r="C356" s="487">
        <v>3.51</v>
      </c>
      <c r="D356" t="s">
        <v>175</v>
      </c>
      <c r="E356" t="s">
        <v>2</v>
      </c>
    </row>
    <row r="357" spans="2:5" x14ac:dyDescent="0.3">
      <c r="B357" s="518" t="s">
        <v>1475</v>
      </c>
      <c r="C357" s="67" t="s">
        <v>1918</v>
      </c>
    </row>
    <row r="358" spans="2:5" x14ac:dyDescent="0.3">
      <c r="B358" s="518" t="s">
        <v>1923</v>
      </c>
      <c r="C358" s="67" t="s">
        <v>1922</v>
      </c>
    </row>
    <row r="360" spans="2:5" x14ac:dyDescent="0.3">
      <c r="B360" s="487" t="s">
        <v>1924</v>
      </c>
      <c r="C360" s="673">
        <v>0.3</v>
      </c>
      <c r="D360" t="s">
        <v>1925</v>
      </c>
    </row>
  </sheetData>
  <hyperlinks>
    <hyperlink ref="C106" r:id="rId1" xr:uid="{1DCA590F-FD5B-4797-BCB9-E24FCBA8473E}"/>
    <hyperlink ref="N188" r:id="rId2" display="https://www.exchangerates.org.uk/EUR-USD-spot-exchange-rates-history-2023.html" xr:uid="{59288B04-DCAD-4EC4-9C73-DDCA82374EAB}"/>
    <hyperlink ref="D156" r:id="rId3" xr:uid="{4CBD8DA5-89AC-4DA2-B39A-41F247FB21B1}"/>
    <hyperlink ref="S223" r:id="rId4" display="https://www.pbl.nl/system/files/document/2024-10/pbl-2024-revnext-achtergrondrapport-spark-modelanalyses-wagenpark-personenautos-kev-2024_5656.pdf" xr:uid="{3CC1F060-3DAE-4418-8041-39052A8548ED}"/>
    <hyperlink ref="J190" r:id="rId5" display="https://www.pbl.nl/system/files/document/2024-10/pbl-2024-revnext-achtergrondrapport-spark-modelanalyses-wagenpark-personenautos-kev-2024_5656.pdf" xr:uid="{2910C336-E3F2-479E-82AC-41CB9F4879F3}"/>
    <hyperlink ref="C357" r:id="rId6" display="https://climate.ec.europa.eu/document/download/b644dafe-1385-4b56-98d9-21e7e9f3601b_en?filename=report.pdf" xr:uid="{C464DDCE-4160-42F3-AE22-85558E287672}"/>
    <hyperlink ref="C358" r:id="rId7" display="https://publications.tno.nl/publication/34642358/YuUfgl/TNO-2023-R12726.pdf" xr:uid="{C159FEDC-69C0-4EF6-833E-B9B75086DCB1}"/>
  </hyperlinks>
  <pageMargins left="0.7" right="0.7" top="0.75" bottom="0.75" header="0.3" footer="0.3"/>
  <pageSetup paperSize="9" orientation="portrait" r:id="rId8"/>
  <drawing r:id="rId9"/>
  <legacyDrawing r:id="rId10"/>
  <tableParts count="1">
    <tablePart r:id="rId11"/>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rgb="FF7030A0"/>
    <pageSetUpPr autoPageBreaks="0" fitToPage="1"/>
  </sheetPr>
  <dimension ref="B1:AX118"/>
  <sheetViews>
    <sheetView zoomScale="85" zoomScaleNormal="85" workbookViewId="0">
      <selection activeCell="E33" sqref="E33"/>
    </sheetView>
  </sheetViews>
  <sheetFormatPr defaultColWidth="9.140625" defaultRowHeight="15" x14ac:dyDescent="0.3"/>
  <cols>
    <col min="1" max="1" width="9.140625" style="3"/>
    <col min="2" max="2" width="30.85546875" style="3" customWidth="1"/>
    <col min="3" max="3" width="9.140625" style="3"/>
    <col min="4" max="4" width="28.5703125" style="3" customWidth="1"/>
    <col min="5" max="5" width="20" style="3" customWidth="1"/>
    <col min="6" max="6" width="28.5703125" style="3" customWidth="1"/>
    <col min="7" max="7" width="6.42578125" style="3" customWidth="1"/>
    <col min="8" max="8" width="3.140625" style="3" customWidth="1"/>
    <col min="9" max="11" width="9.140625" style="3"/>
    <col min="12" max="12" width="17.7109375" style="3" customWidth="1"/>
    <col min="13" max="15" width="9.140625" style="3"/>
    <col min="16" max="18" width="9.85546875" style="3" bestFit="1" customWidth="1"/>
    <col min="19" max="19" width="10.5703125" style="3" bestFit="1" customWidth="1"/>
    <col min="20" max="20" width="9.85546875" style="3" bestFit="1" customWidth="1"/>
    <col min="21" max="21" width="10.42578125" style="3" customWidth="1"/>
    <col min="22" max="22" width="9.85546875" style="3" bestFit="1" customWidth="1"/>
    <col min="23" max="41" width="13" style="3" bestFit="1" customWidth="1"/>
    <col min="42" max="47" width="12.85546875" style="3" bestFit="1" customWidth="1"/>
    <col min="48" max="48" width="9.7109375" style="3" bestFit="1" customWidth="1"/>
    <col min="49" max="16384" width="9.140625" style="3"/>
  </cols>
  <sheetData>
    <row r="1" spans="2:19" ht="15.75" thickBot="1" x14ac:dyDescent="0.35"/>
    <row r="2" spans="2:19" x14ac:dyDescent="0.3">
      <c r="B2" s="5"/>
      <c r="C2" s="6"/>
      <c r="D2" s="6"/>
      <c r="E2" s="6"/>
      <c r="F2" s="6"/>
      <c r="G2" s="6"/>
      <c r="H2" s="7"/>
    </row>
    <row r="3" spans="2:19" x14ac:dyDescent="0.3">
      <c r="B3" s="8"/>
      <c r="C3" s="9"/>
      <c r="D3" s="9"/>
      <c r="E3" s="9"/>
      <c r="F3" s="9"/>
      <c r="G3" s="9"/>
      <c r="H3" s="10"/>
    </row>
    <row r="4" spans="2:19" x14ac:dyDescent="0.3">
      <c r="B4" s="748" t="s">
        <v>0</v>
      </c>
      <c r="C4" s="749"/>
      <c r="D4" s="749"/>
      <c r="E4" s="749"/>
      <c r="F4" s="749"/>
      <c r="G4" s="749"/>
      <c r="H4" s="750"/>
    </row>
    <row r="5" spans="2:19" x14ac:dyDescent="0.3">
      <c r="B5" s="748"/>
      <c r="C5" s="749"/>
      <c r="D5" s="749"/>
      <c r="E5" s="749"/>
      <c r="F5" s="749"/>
      <c r="G5" s="749"/>
      <c r="H5" s="750"/>
    </row>
    <row r="6" spans="2:19" x14ac:dyDescent="0.3">
      <c r="B6" s="748"/>
      <c r="C6" s="749"/>
      <c r="D6" s="749"/>
      <c r="E6" s="749"/>
      <c r="F6" s="749"/>
      <c r="G6" s="749"/>
      <c r="H6" s="750"/>
    </row>
    <row r="7" spans="2:19" x14ac:dyDescent="0.3">
      <c r="B7" s="751" t="s">
        <v>51</v>
      </c>
      <c r="C7" s="752"/>
      <c r="D7" s="752"/>
      <c r="E7" s="752"/>
      <c r="F7" s="752"/>
      <c r="G7" s="752"/>
      <c r="H7" s="753"/>
      <c r="S7" s="419"/>
    </row>
    <row r="8" spans="2:19" ht="15.75" thickBot="1" x14ac:dyDescent="0.35">
      <c r="B8" s="11"/>
      <c r="C8" s="12"/>
      <c r="D8" s="88" t="s">
        <v>790</v>
      </c>
      <c r="E8" s="12"/>
      <c r="F8" s="418"/>
      <c r="G8" s="418"/>
      <c r="H8" s="13"/>
    </row>
    <row r="9" spans="2:19" x14ac:dyDescent="0.3">
      <c r="B9" s="14" t="s">
        <v>7</v>
      </c>
      <c r="C9" s="15"/>
      <c r="D9" s="15"/>
      <c r="E9" s="15"/>
      <c r="F9" s="15"/>
      <c r="G9" s="15"/>
      <c r="H9" s="16"/>
    </row>
    <row r="10" spans="2:19" x14ac:dyDescent="0.3">
      <c r="B10" s="17"/>
      <c r="C10" s="18"/>
      <c r="D10" s="18"/>
      <c r="E10" s="18"/>
      <c r="F10" s="18" t="s">
        <v>1290</v>
      </c>
      <c r="G10" s="18"/>
      <c r="H10" s="19"/>
    </row>
    <row r="11" spans="2:19" ht="16.5" x14ac:dyDescent="0.3">
      <c r="B11" s="17" t="s">
        <v>1286</v>
      </c>
      <c r="C11" s="18"/>
      <c r="D11" s="446">
        <v>2025</v>
      </c>
      <c r="E11" s="18"/>
      <c r="F11" s="376">
        <v>2025</v>
      </c>
      <c r="G11" s="18"/>
      <c r="H11" s="19"/>
    </row>
    <row r="12" spans="2:19" x14ac:dyDescent="0.3">
      <c r="B12" s="17"/>
      <c r="C12" s="18"/>
      <c r="D12" s="18"/>
      <c r="E12" s="18"/>
      <c r="F12" s="18" t="s">
        <v>1291</v>
      </c>
      <c r="G12" s="18"/>
      <c r="H12" s="19"/>
    </row>
    <row r="13" spans="2:19" ht="16.5" x14ac:dyDescent="0.3">
      <c r="B13" s="17"/>
      <c r="C13" s="18"/>
      <c r="D13" s="17"/>
      <c r="E13" s="18"/>
      <c r="F13" s="376">
        <v>2026</v>
      </c>
      <c r="G13" s="18"/>
      <c r="H13" s="19"/>
    </row>
    <row r="14" spans="2:19" x14ac:dyDescent="0.3">
      <c r="B14" s="17"/>
      <c r="C14" s="18"/>
      <c r="D14" s="18"/>
      <c r="E14" s="18"/>
      <c r="F14" s="18"/>
      <c r="G14" s="18"/>
      <c r="H14" s="19"/>
    </row>
    <row r="15" spans="2:19" x14ac:dyDescent="0.3">
      <c r="B15" s="17" t="s">
        <v>3</v>
      </c>
      <c r="C15" s="18"/>
      <c r="D15" s="20"/>
      <c r="E15" s="18"/>
      <c r="F15" s="18"/>
      <c r="G15" s="18"/>
      <c r="H15" s="19"/>
    </row>
    <row r="16" spans="2:19" x14ac:dyDescent="0.3">
      <c r="B16" s="17"/>
      <c r="C16" s="18"/>
      <c r="D16" s="18"/>
      <c r="E16" s="18"/>
      <c r="F16" s="18"/>
      <c r="G16" s="18"/>
      <c r="H16" s="19"/>
    </row>
    <row r="17" spans="2:8" x14ac:dyDescent="0.3">
      <c r="B17" s="17" t="s">
        <v>264</v>
      </c>
      <c r="C17" s="18"/>
      <c r="D17" s="20" t="s">
        <v>268</v>
      </c>
      <c r="E17" s="18"/>
      <c r="F17" s="18">
        <f>input_gebruik</f>
        <v>0</v>
      </c>
      <c r="G17" s="18"/>
      <c r="H17" s="19"/>
    </row>
    <row r="18" spans="2:8" x14ac:dyDescent="0.3">
      <c r="B18" s="17"/>
      <c r="C18" s="18"/>
      <c r="D18" s="18"/>
      <c r="E18" s="18"/>
      <c r="F18" s="18"/>
      <c r="G18" s="18"/>
      <c r="H18" s="19"/>
    </row>
    <row r="19" spans="2:8" x14ac:dyDescent="0.3">
      <c r="B19" s="17" t="s">
        <v>9</v>
      </c>
      <c r="C19" s="18"/>
      <c r="D19" s="32" t="s">
        <v>53</v>
      </c>
      <c r="E19" s="74" t="str">
        <f>IF(D19="anders, namelijk","! Voer een waarde in","")</f>
        <v>! Voer een waarde in</v>
      </c>
      <c r="F19" s="202">
        <v>0.03</v>
      </c>
      <c r="G19" s="18"/>
      <c r="H19" s="19"/>
    </row>
    <row r="20" spans="2:8" ht="15.75" thickBot="1" x14ac:dyDescent="0.35">
      <c r="B20" s="21"/>
      <c r="C20" s="22"/>
      <c r="D20" s="22"/>
      <c r="E20" s="22"/>
      <c r="F20" s="22"/>
      <c r="G20" s="22"/>
      <c r="H20" s="23"/>
    </row>
    <row r="21" spans="2:8" x14ac:dyDescent="0.3">
      <c r="B21" s="24" t="s">
        <v>5</v>
      </c>
      <c r="C21" s="2"/>
      <c r="D21" s="2"/>
      <c r="E21" s="2"/>
      <c r="F21" s="2"/>
      <c r="H21" s="25"/>
    </row>
    <row r="22" spans="2:8" x14ac:dyDescent="0.3">
      <c r="B22" s="26" t="s">
        <v>1920</v>
      </c>
      <c r="D22" s="671">
        <v>60</v>
      </c>
      <c r="E22" s="3" t="s">
        <v>1921</v>
      </c>
      <c r="H22" s="27"/>
    </row>
    <row r="23" spans="2:8" x14ac:dyDescent="0.3">
      <c r="B23" s="26"/>
      <c r="H23" s="27"/>
    </row>
    <row r="24" spans="2:8" x14ac:dyDescent="0.3">
      <c r="B24" s="437"/>
      <c r="H24" s="27"/>
    </row>
    <row r="25" spans="2:8" x14ac:dyDescent="0.3">
      <c r="B25" s="26"/>
      <c r="H25" s="27"/>
    </row>
    <row r="26" spans="2:8" x14ac:dyDescent="0.3">
      <c r="B26" s="26"/>
      <c r="E26" s="89"/>
      <c r="H26" s="27"/>
    </row>
    <row r="27" spans="2:8" x14ac:dyDescent="0.3">
      <c r="B27" s="646" t="s">
        <v>1656</v>
      </c>
      <c r="D27" s="53" t="s">
        <v>1655</v>
      </c>
      <c r="H27" s="27"/>
    </row>
    <row r="28" spans="2:8" x14ac:dyDescent="0.3">
      <c r="B28" s="26"/>
      <c r="H28" s="27"/>
    </row>
    <row r="29" spans="2:8" x14ac:dyDescent="0.3">
      <c r="B29" s="26" t="s">
        <v>1381</v>
      </c>
      <c r="D29" s="70">
        <v>0.4</v>
      </c>
      <c r="H29" s="27"/>
    </row>
    <row r="30" spans="2:8" x14ac:dyDescent="0.3">
      <c r="B30" s="26"/>
      <c r="H30" s="27"/>
    </row>
    <row r="31" spans="2:8" x14ac:dyDescent="0.3">
      <c r="B31" s="26" t="s">
        <v>257</v>
      </c>
      <c r="D31" s="70">
        <v>0.6</v>
      </c>
      <c r="H31" s="27"/>
    </row>
    <row r="32" spans="2:8" x14ac:dyDescent="0.3">
      <c r="B32" s="26" t="s">
        <v>795</v>
      </c>
      <c r="D32" s="70">
        <v>0</v>
      </c>
      <c r="H32" s="27"/>
    </row>
    <row r="33" spans="2:8" x14ac:dyDescent="0.3">
      <c r="B33" s="26"/>
      <c r="F33" s="215" t="s">
        <v>1197</v>
      </c>
      <c r="H33" s="27"/>
    </row>
    <row r="34" spans="2:8" x14ac:dyDescent="0.3">
      <c r="B34" s="26" t="s">
        <v>1196</v>
      </c>
      <c r="D34" s="70">
        <v>0.1</v>
      </c>
      <c r="F34" s="205">
        <f>L115+D34</f>
        <v>0.57139324479411258</v>
      </c>
      <c r="H34" s="27"/>
    </row>
    <row r="35" spans="2:8" x14ac:dyDescent="0.3">
      <c r="B35" s="26"/>
      <c r="H35" s="27"/>
    </row>
    <row r="36" spans="2:8" x14ac:dyDescent="0.3">
      <c r="B36" s="26" t="s">
        <v>261</v>
      </c>
      <c r="D36" s="643" t="s">
        <v>1645</v>
      </c>
      <c r="H36" s="27"/>
    </row>
    <row r="37" spans="2:8" x14ac:dyDescent="0.3">
      <c r="B37" s="200" t="s">
        <v>262</v>
      </c>
      <c r="D37" s="70">
        <f>Selectie_voertuigen!E46</f>
        <v>0</v>
      </c>
      <c r="H37" s="27"/>
    </row>
    <row r="38" spans="2:8" x14ac:dyDescent="0.3">
      <c r="B38" s="200" t="s">
        <v>263</v>
      </c>
      <c r="D38" s="70">
        <f>Selectie_voertuigen!E47</f>
        <v>0.8</v>
      </c>
      <c r="F38" s="204"/>
      <c r="H38" s="27"/>
    </row>
    <row r="39" spans="2:8" x14ac:dyDescent="0.3">
      <c r="B39" s="200" t="s">
        <v>1093</v>
      </c>
      <c r="D39" s="70">
        <f>Selectie_voertuigen!E48</f>
        <v>0.2</v>
      </c>
      <c r="F39" s="204"/>
      <c r="H39" s="27"/>
    </row>
    <row r="40" spans="2:8" x14ac:dyDescent="0.3">
      <c r="B40" s="26"/>
      <c r="H40" s="27"/>
    </row>
    <row r="41" spans="2:8" x14ac:dyDescent="0.3">
      <c r="B41" s="26" t="s">
        <v>523</v>
      </c>
      <c r="D41" s="32" t="s">
        <v>6</v>
      </c>
      <c r="E41" s="89" t="str">
        <f>IF(D41="anders, namelijk","! Voer een waarde in","")</f>
        <v/>
      </c>
      <c r="F41" s="202" cm="1">
        <f t="array" ref="F41">IF(D41="anders, namelijk","",IF(ISNUMBER(D41),D41,1-SUMPRODUCT(1*(D41=input_data!C43:C45),INDEX(input_data!$R$43:$AT$45,,input_basisjaar-2022+1))))</f>
        <v>4.9999999999999933E-2</v>
      </c>
      <c r="H41" s="27"/>
    </row>
    <row r="42" spans="2:8" ht="15.75" thickBot="1" x14ac:dyDescent="0.35">
      <c r="B42" s="4"/>
      <c r="C42" s="30"/>
      <c r="D42" s="30"/>
      <c r="E42" s="30"/>
      <c r="F42" s="30"/>
      <c r="G42" s="30"/>
      <c r="H42" s="31"/>
    </row>
    <row r="43" spans="2:8" x14ac:dyDescent="0.3">
      <c r="B43" s="14" t="s">
        <v>216</v>
      </c>
      <c r="C43" s="15"/>
      <c r="D43" s="15"/>
      <c r="E43" s="15"/>
      <c r="F43" s="15"/>
      <c r="G43" s="15"/>
      <c r="H43" s="16"/>
    </row>
    <row r="44" spans="2:8" x14ac:dyDescent="0.3">
      <c r="B44" s="17"/>
      <c r="C44" s="18"/>
      <c r="D44" s="18"/>
      <c r="E44" s="18"/>
      <c r="F44" s="201" t="str">
        <f>input_basisjaar&amp;" (€/kWh)"</f>
        <v>2025 (€/kWh)</v>
      </c>
      <c r="G44" s="18"/>
      <c r="H44" s="19"/>
    </row>
    <row r="45" spans="2:8" x14ac:dyDescent="0.3">
      <c r="B45" s="17" t="s">
        <v>192</v>
      </c>
      <c r="C45" s="18"/>
      <c r="D45" s="362" t="s">
        <v>19</v>
      </c>
      <c r="E45" s="18"/>
      <c r="F45" s="206" cm="1">
        <f t="array" ref="F45">IF('control panel'!D45="anders, namelijk","",IF(ISNUMBER('control panel'!D45),'control panel'!D45,SUMPRODUCT(('control panel'!D45=input_data!$C$27:$C$29)*1,INDEX(input_data!F27:AT29,,MATCH(input_basisjaar,input_data!F26:AT26,0)))))</f>
        <v>95.935778508203157</v>
      </c>
      <c r="G45" s="18"/>
      <c r="H45" s="19"/>
    </row>
    <row r="46" spans="2:8" x14ac:dyDescent="0.3">
      <c r="B46" s="17"/>
      <c r="C46" s="18"/>
      <c r="D46" s="18"/>
      <c r="E46" s="18"/>
      <c r="F46" s="18"/>
      <c r="G46" s="18"/>
      <c r="H46" s="19"/>
    </row>
    <row r="47" spans="2:8" x14ac:dyDescent="0.3">
      <c r="B47" s="17" t="s">
        <v>395</v>
      </c>
      <c r="C47" s="18"/>
      <c r="D47" s="20" t="s">
        <v>6</v>
      </c>
      <c r="E47" s="18"/>
      <c r="F47" s="203">
        <f>IF(ISNUMBER(input_levensduur_batterij),input_levensduur_batterij,INDEX(input_data!F75:F78,MATCH(input_levensduur_batterij,input_data!C75:C78,0)))</f>
        <v>15</v>
      </c>
      <c r="G47" s="18"/>
      <c r="H47" s="19"/>
    </row>
    <row r="48" spans="2:8" x14ac:dyDescent="0.3">
      <c r="B48" s="440" t="str">
        <f>IF(D47="anders, namelijk","! Voer een waarde in","")</f>
        <v/>
      </c>
      <c r="C48" s="18"/>
      <c r="D48" s="441">
        <v>5</v>
      </c>
      <c r="E48" s="18"/>
      <c r="F48" s="18"/>
      <c r="G48" s="18"/>
      <c r="H48" s="19"/>
    </row>
    <row r="49" spans="2:29" x14ac:dyDescent="0.3">
      <c r="B49" s="17"/>
      <c r="C49" s="18"/>
      <c r="D49" s="18"/>
      <c r="E49" s="18"/>
      <c r="F49" s="18"/>
      <c r="G49" s="18"/>
      <c r="H49" s="19"/>
    </row>
    <row r="50" spans="2:29" x14ac:dyDescent="0.3">
      <c r="B50" s="17"/>
      <c r="C50" s="18"/>
      <c r="D50" s="18"/>
      <c r="E50" s="18"/>
      <c r="F50" s="18"/>
      <c r="G50" s="18"/>
      <c r="H50" s="19"/>
    </row>
    <row r="51" spans="2:29" x14ac:dyDescent="0.3">
      <c r="B51" s="212"/>
      <c r="C51" s="18"/>
      <c r="D51" s="20"/>
      <c r="E51" s="18"/>
      <c r="F51" s="203"/>
      <c r="G51" s="18"/>
      <c r="H51" s="19"/>
    </row>
    <row r="52" spans="2:29" x14ac:dyDescent="0.3">
      <c r="B52" s="212"/>
      <c r="C52" s="18"/>
      <c r="D52" s="70"/>
      <c r="E52" s="18"/>
      <c r="F52" s="203"/>
      <c r="G52" s="18"/>
      <c r="H52" s="19"/>
    </row>
    <row r="53" spans="2:29" x14ac:dyDescent="0.3">
      <c r="B53" s="17"/>
      <c r="C53" s="18"/>
      <c r="D53" s="18"/>
      <c r="E53" s="18"/>
      <c r="F53" s="18"/>
      <c r="G53" s="18"/>
      <c r="H53" s="19"/>
    </row>
    <row r="54" spans="2:29" x14ac:dyDescent="0.3">
      <c r="B54" s="17" t="s">
        <v>219</v>
      </c>
      <c r="C54" s="18"/>
      <c r="D54" s="53">
        <v>0</v>
      </c>
      <c r="E54" s="18"/>
      <c r="F54" s="18"/>
      <c r="G54" s="18"/>
      <c r="H54" s="19"/>
    </row>
    <row r="55" spans="2:29" x14ac:dyDescent="0.3">
      <c r="B55" s="17"/>
      <c r="C55" s="18"/>
      <c r="D55" s="18"/>
      <c r="E55" s="18"/>
      <c r="F55" s="18"/>
      <c r="G55" s="18"/>
      <c r="H55" s="19"/>
    </row>
    <row r="56" spans="2:29" x14ac:dyDescent="0.3">
      <c r="B56" s="17" t="s">
        <v>217</v>
      </c>
      <c r="C56" s="18"/>
      <c r="D56" s="20" t="s">
        <v>6</v>
      </c>
      <c r="E56" s="74" t="str">
        <f>IF(D56="anders, namelijk","! Voer een waarde in","")</f>
        <v/>
      </c>
      <c r="F56" s="18"/>
      <c r="G56" s="18"/>
      <c r="H56" s="19"/>
      <c r="AC56" s="3" t="s">
        <v>153</v>
      </c>
    </row>
    <row r="57" spans="2:29" x14ac:dyDescent="0.3">
      <c r="B57" s="17"/>
      <c r="C57" s="18"/>
      <c r="D57" s="74" t="str">
        <f>IF(C57="anders, namelijk","! Voer een waarde in","")</f>
        <v/>
      </c>
      <c r="E57" s="74"/>
      <c r="F57" s="201" t="s">
        <v>545</v>
      </c>
      <c r="G57" s="18"/>
      <c r="H57" s="19"/>
    </row>
    <row r="58" spans="2:29" x14ac:dyDescent="0.3">
      <c r="B58" s="17" t="str">
        <f>"efficiencyverbetering EV "&amp;input_basisjaar+15</f>
        <v>efficiencyverbetering EV 2040</v>
      </c>
      <c r="C58" s="18"/>
      <c r="D58" s="179" t="s">
        <v>6</v>
      </c>
      <c r="E58" s="74" t="str">
        <f>IF(D58="anders, namelijk","! Voer een waarde in","")</f>
        <v/>
      </c>
      <c r="F58" s="202" cm="1">
        <f t="array" ref="F58">IF(ISNUMBER(D58),D58,SUMPRODUCT(1*(D58=input_data!$C$84:$C$86),input_data!$F$84:$F$86))</f>
        <v>7.8E-2</v>
      </c>
      <c r="G58" s="18"/>
      <c r="H58" s="19"/>
    </row>
    <row r="59" spans="2:29" x14ac:dyDescent="0.3">
      <c r="B59" s="17"/>
      <c r="C59" s="18"/>
      <c r="D59" s="18"/>
      <c r="E59" s="18"/>
      <c r="F59" s="201" t="s">
        <v>546</v>
      </c>
      <c r="G59" s="18"/>
      <c r="H59" s="19"/>
    </row>
    <row r="60" spans="2:29" x14ac:dyDescent="0.3">
      <c r="B60" s="17" t="str">
        <f>"efficiencyverbetering ICEV "&amp;input_basisjaar+15</f>
        <v>efficiencyverbetering ICEV 2040</v>
      </c>
      <c r="C60" s="18"/>
      <c r="D60" s="179" t="s">
        <v>6</v>
      </c>
      <c r="E60" s="18"/>
      <c r="F60" s="202">
        <f>IF(D60="geen",0,)</f>
        <v>0</v>
      </c>
      <c r="G60" s="18"/>
      <c r="H60" s="19"/>
    </row>
    <row r="61" spans="2:29" x14ac:dyDescent="0.3">
      <c r="B61" s="17"/>
      <c r="C61" s="18"/>
      <c r="D61" s="201"/>
      <c r="E61" s="201"/>
      <c r="F61" s="18"/>
      <c r="G61" s="18"/>
      <c r="H61" s="19"/>
    </row>
    <row r="62" spans="2:29" x14ac:dyDescent="0.3">
      <c r="B62" s="17" t="s">
        <v>220</v>
      </c>
      <c r="C62" s="18"/>
      <c r="D62" s="20">
        <v>1.6</v>
      </c>
      <c r="E62" s="201"/>
      <c r="F62" s="18"/>
      <c r="G62" s="18"/>
      <c r="H62" s="19"/>
    </row>
    <row r="63" spans="2:29" x14ac:dyDescent="0.3">
      <c r="B63" s="17"/>
      <c r="C63" s="18"/>
      <c r="D63" s="201"/>
      <c r="E63" s="201"/>
      <c r="F63" s="201" t="s">
        <v>44</v>
      </c>
      <c r="G63" s="18"/>
      <c r="H63" s="19"/>
    </row>
    <row r="64" spans="2:29" x14ac:dyDescent="0.3">
      <c r="B64" s="17" t="str">
        <f>CONCATENATE("Indirecte kosten (RPE) voor EV ",input_basisjaar)</f>
        <v>Indirecte kosten (RPE) voor EV 2025</v>
      </c>
      <c r="C64" s="18"/>
      <c r="D64" s="415">
        <f>F64</f>
        <v>1.6</v>
      </c>
      <c r="E64" s="201"/>
      <c r="F64" s="414">
        <v>1.6</v>
      </c>
      <c r="G64" s="18"/>
      <c r="H64" s="19"/>
    </row>
    <row r="65" spans="2:15" x14ac:dyDescent="0.3">
      <c r="B65" s="17" t="str">
        <f>CONCATENATE("RPE in 15 jaar (",input_basisjaar+15,")")</f>
        <v>RPE in 15 jaar (2040)</v>
      </c>
      <c r="C65" s="18"/>
      <c r="D65" s="415">
        <f>F65</f>
        <v>1.6</v>
      </c>
      <c r="E65" s="201"/>
      <c r="F65" s="414">
        <v>1.6</v>
      </c>
      <c r="G65" s="18"/>
      <c r="H65" s="19"/>
    </row>
    <row r="66" spans="2:15" ht="15.75" thickBot="1" x14ac:dyDescent="0.35">
      <c r="B66" s="21"/>
      <c r="C66" s="22"/>
      <c r="D66" s="22"/>
      <c r="E66" s="22"/>
      <c r="F66" s="22"/>
      <c r="G66" s="22"/>
      <c r="H66" s="23"/>
    </row>
    <row r="67" spans="2:15" x14ac:dyDescent="0.3">
      <c r="B67" s="24" t="s">
        <v>48</v>
      </c>
      <c r="C67" s="2"/>
      <c r="D67" s="2"/>
      <c r="E67" s="2"/>
      <c r="F67" s="2"/>
      <c r="H67" s="25"/>
    </row>
    <row r="68" spans="2:15" x14ac:dyDescent="0.3">
      <c r="B68" s="26"/>
      <c r="H68" s="27"/>
      <c r="M68" s="420"/>
      <c r="O68" s="420"/>
    </row>
    <row r="69" spans="2:15" x14ac:dyDescent="0.3">
      <c r="B69" s="26" t="s">
        <v>47</v>
      </c>
      <c r="D69" s="28" t="s">
        <v>6</v>
      </c>
      <c r="F69" s="204"/>
      <c r="H69" s="27"/>
    </row>
    <row r="70" spans="2:15" x14ac:dyDescent="0.3">
      <c r="B70" s="26"/>
      <c r="H70" s="27"/>
    </row>
    <row r="71" spans="2:15" x14ac:dyDescent="0.3">
      <c r="B71" s="26" t="s">
        <v>1382</v>
      </c>
      <c r="D71" s="28" t="s">
        <v>1180</v>
      </c>
      <c r="H71" s="27"/>
    </row>
    <row r="72" spans="2:15" x14ac:dyDescent="0.3">
      <c r="B72" s="26"/>
      <c r="H72" s="27"/>
    </row>
    <row r="73" spans="2:15" x14ac:dyDescent="0.3">
      <c r="B73" s="26" t="s">
        <v>1464</v>
      </c>
      <c r="D73" s="20" t="s">
        <v>221</v>
      </c>
      <c r="F73" s="204"/>
      <c r="H73" s="27"/>
    </row>
    <row r="74" spans="2:15" x14ac:dyDescent="0.3">
      <c r="B74" s="26"/>
      <c r="H74" s="27"/>
    </row>
    <row r="75" spans="2:15" x14ac:dyDescent="0.3">
      <c r="B75" s="26" t="s">
        <v>1469</v>
      </c>
      <c r="D75" s="32">
        <v>0</v>
      </c>
      <c r="H75" s="27"/>
    </row>
    <row r="76" spans="2:15" x14ac:dyDescent="0.3">
      <c r="B76" s="26"/>
      <c r="H76" s="27"/>
    </row>
    <row r="77" spans="2:15" x14ac:dyDescent="0.3">
      <c r="B77" s="26" t="s">
        <v>273</v>
      </c>
      <c r="D77" s="20" t="s">
        <v>1358</v>
      </c>
      <c r="H77" s="27"/>
    </row>
    <row r="78" spans="2:15" ht="15.75" thickBot="1" x14ac:dyDescent="0.35">
      <c r="B78" s="4"/>
      <c r="C78" s="30"/>
      <c r="D78" s="30"/>
      <c r="E78" s="30"/>
      <c r="F78" s="30"/>
      <c r="G78" s="30"/>
      <c r="H78" s="31"/>
    </row>
    <row r="82" spans="14:20" x14ac:dyDescent="0.3">
      <c r="N82"/>
      <c r="O82"/>
      <c r="P82"/>
      <c r="Q82"/>
      <c r="R82"/>
      <c r="S82"/>
      <c r="T82"/>
    </row>
    <row r="83" spans="14:20" x14ac:dyDescent="0.3">
      <c r="N83"/>
      <c r="O83"/>
      <c r="P83"/>
      <c r="Q83"/>
      <c r="R83"/>
      <c r="S83"/>
      <c r="T83"/>
    </row>
    <row r="84" spans="14:20" x14ac:dyDescent="0.3">
      <c r="O84"/>
      <c r="P84"/>
      <c r="Q84"/>
      <c r="R84"/>
      <c r="S84"/>
      <c r="T84"/>
    </row>
    <row r="85" spans="14:20" x14ac:dyDescent="0.3">
      <c r="N85"/>
      <c r="O85"/>
      <c r="P85"/>
      <c r="Q85"/>
      <c r="R85"/>
      <c r="S85"/>
      <c r="T85"/>
    </row>
    <row r="86" spans="14:20" x14ac:dyDescent="0.3">
      <c r="N86"/>
      <c r="O86"/>
      <c r="P86"/>
      <c r="Q86"/>
      <c r="R86"/>
      <c r="S86"/>
      <c r="T86"/>
    </row>
    <row r="87" spans="14:20" x14ac:dyDescent="0.3">
      <c r="N87"/>
      <c r="O87"/>
      <c r="P87"/>
      <c r="Q87"/>
      <c r="R87"/>
      <c r="S87"/>
      <c r="T87"/>
    </row>
    <row r="88" spans="14:20" x14ac:dyDescent="0.3">
      <c r="N88"/>
      <c r="O88"/>
      <c r="P88"/>
      <c r="Q88"/>
      <c r="R88"/>
      <c r="S88"/>
      <c r="T88"/>
    </row>
    <row r="89" spans="14:20" x14ac:dyDescent="0.3">
      <c r="N89"/>
      <c r="O89"/>
      <c r="P89"/>
      <c r="Q89"/>
      <c r="R89"/>
      <c r="S89"/>
      <c r="T89"/>
    </row>
    <row r="90" spans="14:20" x14ac:dyDescent="0.3">
      <c r="N90"/>
      <c r="O90"/>
      <c r="P90"/>
      <c r="Q90"/>
      <c r="R90"/>
      <c r="S90"/>
      <c r="T90"/>
    </row>
    <row r="91" spans="14:20" x14ac:dyDescent="0.3">
      <c r="Q91"/>
      <c r="R91"/>
      <c r="S91"/>
      <c r="T91"/>
    </row>
    <row r="92" spans="14:20" x14ac:dyDescent="0.3">
      <c r="Q92"/>
      <c r="R92"/>
      <c r="S92"/>
      <c r="T92"/>
    </row>
    <row r="93" spans="14:20" x14ac:dyDescent="0.3">
      <c r="Q93"/>
      <c r="R93"/>
      <c r="S93"/>
      <c r="T93"/>
    </row>
    <row r="94" spans="14:20" x14ac:dyDescent="0.3">
      <c r="Q94"/>
      <c r="R94"/>
      <c r="S94"/>
      <c r="T94"/>
    </row>
    <row r="95" spans="14:20" x14ac:dyDescent="0.3">
      <c r="Q95"/>
      <c r="R95"/>
      <c r="S95"/>
      <c r="T95"/>
    </row>
    <row r="96" spans="14:20" x14ac:dyDescent="0.3">
      <c r="Q96"/>
      <c r="R96"/>
      <c r="S96"/>
    </row>
    <row r="99" spans="2:50" x14ac:dyDescent="0.3">
      <c r="R99"/>
      <c r="S99" s="391"/>
      <c r="T99"/>
      <c r="U99"/>
      <c r="V99"/>
      <c r="W99"/>
      <c r="X99"/>
      <c r="Y99"/>
      <c r="Z99"/>
      <c r="AA99"/>
      <c r="AB99"/>
      <c r="AC99"/>
      <c r="AD99"/>
      <c r="AE99"/>
      <c r="AF99"/>
      <c r="AG99"/>
      <c r="AH99"/>
      <c r="AI99"/>
      <c r="AJ99"/>
      <c r="AK99"/>
      <c r="AL99"/>
      <c r="AM99"/>
      <c r="AN99"/>
      <c r="AO99"/>
      <c r="AP99"/>
      <c r="AQ99"/>
      <c r="AR99"/>
      <c r="AS99"/>
      <c r="AT99"/>
      <c r="AU99"/>
      <c r="AV99"/>
      <c r="AW99"/>
      <c r="AX99"/>
    </row>
    <row r="100" spans="2:50" x14ac:dyDescent="0.3">
      <c r="O100"/>
      <c r="P100"/>
      <c r="Q100"/>
      <c r="R100"/>
      <c r="S100"/>
      <c r="T100" s="391" t="e">
        <f>MIN(P103:Q106)</f>
        <v>#REF!</v>
      </c>
      <c r="U100"/>
      <c r="V100"/>
      <c r="W100"/>
      <c r="X100"/>
      <c r="Y100"/>
      <c r="Z100"/>
      <c r="AA100"/>
      <c r="AB100"/>
      <c r="AC100"/>
      <c r="AD100"/>
      <c r="AE100"/>
      <c r="AF100"/>
      <c r="AG100"/>
      <c r="AH100"/>
      <c r="AI100"/>
      <c r="AJ100"/>
      <c r="AK100"/>
      <c r="AL100"/>
      <c r="AM100"/>
      <c r="AN100"/>
      <c r="AO100"/>
      <c r="AP100"/>
      <c r="AQ100"/>
      <c r="AR100"/>
      <c r="AS100"/>
      <c r="AT100"/>
      <c r="AU100"/>
      <c r="AV100"/>
      <c r="AW100"/>
      <c r="AX100"/>
    </row>
    <row r="101" spans="2:50" x14ac:dyDescent="0.3">
      <c r="O101" t="str">
        <f>"TCO segment "&amp;input_segment&amp;": "&amp;input_zichtjaar</f>
        <v>TCO segment : 0</v>
      </c>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row>
    <row r="102" spans="2:50" x14ac:dyDescent="0.3">
      <c r="O102" s="38"/>
      <c r="P102" s="38">
        <f>input_basisjaar</f>
        <v>2025</v>
      </c>
      <c r="Q102" s="38">
        <f>P102+1</f>
        <v>2026</v>
      </c>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row>
    <row r="103" spans="2:50" x14ac:dyDescent="0.3">
      <c r="O103" s="38" t="str">
        <f>Selectie_voertuigen!C25</f>
        <v>---onjuiste selectie---</v>
      </c>
      <c r="P103" s="422" t="e">
        <f>(calc_COSTREAM!H5)*(Resultaten_tabellen!$B$3)</f>
        <v>#REF!</v>
      </c>
      <c r="Q103" s="422" t="e">
        <f>(calc_COSTREAM!I5)*(Resultaten_tabellen!$B$3)</f>
        <v>#REF!</v>
      </c>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c r="AQ103"/>
      <c r="AR103"/>
      <c r="AS103"/>
      <c r="AT103"/>
      <c r="AU103"/>
      <c r="AV103"/>
      <c r="AW103"/>
      <c r="AX103"/>
    </row>
    <row r="104" spans="2:50" x14ac:dyDescent="0.3">
      <c r="O104" s="38" t="str">
        <f>Selectie_voertuigen!D25</f>
        <v>---onjuiste selectie---</v>
      </c>
      <c r="P104" s="422" t="e">
        <f>(calc_COSTREAM!E5)*(Resultaten_tabellen!$B$3)</f>
        <v>#REF!</v>
      </c>
      <c r="Q104" s="422" t="e">
        <f>(calc_COSTREAM!F5)*(Resultaten_tabellen!$B$3)</f>
        <v>#REF!</v>
      </c>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c r="AQ104"/>
      <c r="AR104"/>
      <c r="AS104"/>
      <c r="AT104"/>
      <c r="AU104"/>
      <c r="AV104"/>
      <c r="AW104"/>
      <c r="AX104"/>
    </row>
    <row r="105" spans="2:50" x14ac:dyDescent="0.3">
      <c r="L105" s="3" t="str">
        <f>"Elektrisch - "&amp;input_segment</f>
        <v xml:space="preserve">Elektrisch - </v>
      </c>
      <c r="O105" s="38" t="str">
        <f>Selectie_voertuigen!E25</f>
        <v>---onjuiste selectie---</v>
      </c>
      <c r="P105" s="422" t="e">
        <f>(calc_COSTREAM!K5)*(Resultaten_tabellen!$B$3)</f>
        <v>#REF!</v>
      </c>
      <c r="Q105" s="422" t="e">
        <f>(calc_COSTREAM!L5)*(Resultaten_tabellen!$B$3)</f>
        <v>#REF!</v>
      </c>
      <c r="R105" s="391"/>
      <c r="S105" s="391"/>
      <c r="T105" s="391"/>
      <c r="U105" s="391"/>
      <c r="V105" s="391"/>
      <c r="W105" s="391"/>
      <c r="X105" s="391"/>
      <c r="Y105" s="391"/>
      <c r="Z105" s="391"/>
      <c r="AA105" s="391"/>
      <c r="AB105" s="391"/>
      <c r="AC105" s="391"/>
      <c r="AD105" s="391"/>
      <c r="AE105" s="391"/>
      <c r="AF105" s="391"/>
      <c r="AG105" s="391"/>
      <c r="AH105" s="391"/>
      <c r="AI105" s="391"/>
      <c r="AJ105" s="391"/>
      <c r="AK105" s="391"/>
      <c r="AL105" s="391"/>
      <c r="AM105" s="391"/>
      <c r="AN105" s="391"/>
      <c r="AO105" s="391"/>
      <c r="AP105"/>
      <c r="AQ105"/>
      <c r="AR105"/>
      <c r="AS105"/>
      <c r="AT105"/>
      <c r="AU105"/>
      <c r="AV105"/>
      <c r="AW105"/>
      <c r="AX105"/>
    </row>
    <row r="106" spans="2:50" ht="12.75" customHeight="1" x14ac:dyDescent="0.3">
      <c r="O106" s="38" t="str">
        <f>Selectie_voertuigen!F25</f>
        <v>---onjuiste selectie---</v>
      </c>
      <c r="P106" s="38" t="e">
        <f>(calc_COSTREAM!N5)*(Resultaten_tabellen!$B$3)</f>
        <v>#REF!</v>
      </c>
      <c r="Q106" s="38" t="e">
        <f>(calc_COSTREAM!O5)*(Resultaten_tabellen!$B$3)</f>
        <v>#REF!</v>
      </c>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row>
    <row r="107" spans="2:50" x14ac:dyDescent="0.3">
      <c r="L107" s="499">
        <f>IFERROR(INDEX(Selectie_voertuigen!$C$36:$F$36,MATCH(Input_lists!$C$4,Selectie_voertuigen!$C$17:$F$17,0)),0)</f>
        <v>0</v>
      </c>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row>
    <row r="108" spans="2:50" x14ac:dyDescent="0.3">
      <c r="K108" s="272" t="s">
        <v>1035</v>
      </c>
      <c r="L108" s="272">
        <f>MATCH(L107,list_costclasses,1)</f>
        <v>1</v>
      </c>
      <c r="T108"/>
      <c r="U108"/>
      <c r="V108" t="s">
        <v>1383</v>
      </c>
      <c r="W108"/>
      <c r="X108"/>
      <c r="Y108"/>
      <c r="Z108"/>
      <c r="AA108"/>
      <c r="AB108"/>
      <c r="AC108"/>
      <c r="AD108"/>
      <c r="AE108"/>
      <c r="AF108"/>
      <c r="AG108"/>
      <c r="AH108"/>
      <c r="AI108"/>
      <c r="AJ108"/>
      <c r="AK108"/>
      <c r="AL108"/>
      <c r="AM108"/>
      <c r="AN108"/>
      <c r="AO108"/>
      <c r="AP108"/>
      <c r="AQ108"/>
      <c r="AR108"/>
      <c r="AS108"/>
      <c r="AT108"/>
      <c r="AU108"/>
      <c r="AV108"/>
      <c r="AW108"/>
      <c r="AX108"/>
    </row>
    <row r="109" spans="2:50" x14ac:dyDescent="0.3">
      <c r="K109" s="272" t="s">
        <v>1034</v>
      </c>
      <c r="L109" s="272">
        <v>3</v>
      </c>
      <c r="T109"/>
      <c r="U109" t="s">
        <v>1231</v>
      </c>
      <c r="V109" t="str">
        <f>"TCO Elektrisch "&amp;Selecteer_beginjaar&amp;"-"&amp;Selecteer_eindjaar</f>
        <v>TCO Elektrisch 2025-2026</v>
      </c>
      <c r="W109"/>
      <c r="X109"/>
      <c r="Y109"/>
      <c r="Z109"/>
      <c r="AA109"/>
      <c r="AB109"/>
      <c r="AC109"/>
      <c r="AF109"/>
      <c r="AG109"/>
      <c r="AH109"/>
      <c r="AI109"/>
      <c r="AJ109"/>
      <c r="AK109"/>
      <c r="AL109"/>
      <c r="AM109"/>
      <c r="AN109"/>
      <c r="AO109"/>
      <c r="AP109"/>
      <c r="AQ109"/>
      <c r="AR109"/>
      <c r="AS109"/>
      <c r="AT109"/>
      <c r="AU109"/>
      <c r="AV109"/>
      <c r="AW109"/>
      <c r="AX109"/>
    </row>
    <row r="110" spans="2:50" x14ac:dyDescent="0.3">
      <c r="T110"/>
      <c r="U110"/>
      <c r="V110" s="38" t="s">
        <v>141</v>
      </c>
      <c r="W110" s="38">
        <f>input_basisjaar</f>
        <v>2025</v>
      </c>
      <c r="X110" s="38">
        <f>W110+1</f>
        <v>2026</v>
      </c>
      <c r="Y110"/>
      <c r="Z110"/>
      <c r="AA110"/>
      <c r="AB110"/>
      <c r="AC110"/>
      <c r="AD110"/>
      <c r="AE110"/>
      <c r="AF110"/>
      <c r="AG110"/>
      <c r="AH110"/>
      <c r="AI110"/>
      <c r="AJ110"/>
      <c r="AK110"/>
      <c r="AL110"/>
      <c r="AM110"/>
      <c r="AN110"/>
      <c r="AO110"/>
      <c r="AP110"/>
      <c r="AQ110"/>
      <c r="AR110"/>
      <c r="AS110"/>
      <c r="AT110"/>
      <c r="AU110"/>
      <c r="AV110"/>
      <c r="AW110"/>
      <c r="AX110"/>
    </row>
    <row r="111" spans="2:50" x14ac:dyDescent="0.3">
      <c r="K111" s="272" t="s">
        <v>222</v>
      </c>
      <c r="L111" s="277">
        <f>INDEX(default_afschrijving_a,L$108,L$109)</f>
        <v>0.21</v>
      </c>
      <c r="T111"/>
      <c r="U111"/>
      <c r="V111" s="38" t="s">
        <v>55</v>
      </c>
      <c r="W111" s="422" t="e">
        <f>(calc_TCO!D15)*(Resultaten_tabellen!$B$3)</f>
        <v>#N/A</v>
      </c>
      <c r="X111" s="422" t="e">
        <f>(calc_TCO!E15)*(Resultaten_tabellen!$B$3)</f>
        <v>#N/A</v>
      </c>
      <c r="Y111" s="391"/>
      <c r="Z111" s="391"/>
      <c r="AA111" s="391"/>
      <c r="AB111" s="391"/>
      <c r="AC111" s="391"/>
      <c r="AD111" s="391"/>
      <c r="AE111" s="391"/>
      <c r="AF111" s="391"/>
      <c r="AG111" s="391"/>
      <c r="AH111" s="391"/>
      <c r="AI111" s="391"/>
      <c r="AJ111" s="391"/>
      <c r="AK111" s="391"/>
      <c r="AL111" s="391"/>
      <c r="AM111" s="391"/>
      <c r="AN111" s="391"/>
      <c r="AO111" s="391"/>
      <c r="AP111" s="391"/>
      <c r="AQ111" s="391"/>
      <c r="AR111" s="391"/>
      <c r="AS111" s="391"/>
      <c r="AT111" s="391"/>
      <c r="AU111" s="391"/>
      <c r="AV111" s="391"/>
      <c r="AW111"/>
      <c r="AX111"/>
    </row>
    <row r="112" spans="2:50" x14ac:dyDescent="0.3">
      <c r="B112" s="26" t="s">
        <v>164</v>
      </c>
      <c r="D112" s="32">
        <v>3.5000000000000003E-2</v>
      </c>
      <c r="F112" s="213" t="s">
        <v>765</v>
      </c>
      <c r="H112" s="27"/>
      <c r="K112" s="272" t="s">
        <v>223</v>
      </c>
      <c r="L112" s="289">
        <f>-LN(1-L111)</f>
        <v>0.23572233352106983</v>
      </c>
      <c r="T112"/>
      <c r="U112"/>
      <c r="V112" s="38" t="s">
        <v>1130</v>
      </c>
      <c r="W112" s="422" t="e">
        <f>(calc_TCO!D16)*(Resultaten_tabellen!$B$3)</f>
        <v>#N/A</v>
      </c>
      <c r="X112" s="422" t="e">
        <f>(calc_TCO!E16)*(Resultaten_tabellen!$B$3)</f>
        <v>#N/A</v>
      </c>
      <c r="Y112" s="391"/>
      <c r="Z112" s="391"/>
      <c r="AA112" s="391"/>
      <c r="AB112" s="391"/>
      <c r="AC112" s="391"/>
      <c r="AD112" s="391"/>
      <c r="AE112" s="391"/>
      <c r="AF112" s="391"/>
      <c r="AG112" s="391"/>
      <c r="AH112" s="391"/>
      <c r="AI112" s="391"/>
      <c r="AJ112" s="391"/>
      <c r="AK112" s="391"/>
      <c r="AL112" s="391"/>
      <c r="AM112" s="391"/>
      <c r="AN112" s="391"/>
      <c r="AO112" s="391"/>
      <c r="AP112" s="391"/>
      <c r="AQ112" s="391"/>
      <c r="AR112" s="391"/>
      <c r="AS112" s="391"/>
      <c r="AT112" s="391"/>
      <c r="AU112" s="391"/>
      <c r="AV112" s="391"/>
      <c r="AW112"/>
      <c r="AX112"/>
    </row>
    <row r="113" spans="2:50" x14ac:dyDescent="0.3">
      <c r="B113" s="26" t="s">
        <v>50</v>
      </c>
      <c r="D113" s="29" t="s">
        <v>6</v>
      </c>
      <c r="E113" s="89" t="str">
        <f>IF(D113="anders, namelijk","! Voer een waarde in","")</f>
        <v/>
      </c>
      <c r="F113" s="207">
        <f>IF(D113="anders, namelijk","",IF(ISNUMBER(D113),D113,SUMPRODUCT(1*(D113=input_data!C94:C96),input_data!F94:F96)))</f>
        <v>0.06</v>
      </c>
      <c r="H113" s="27"/>
      <c r="K113" s="272" t="s">
        <v>1023</v>
      </c>
      <c r="L113" s="289">
        <f>INDEX(default_afschrijving_c,L$108,L$109)</f>
        <v>0.5552732948416057</v>
      </c>
      <c r="T113"/>
      <c r="U113"/>
      <c r="V113" s="38" t="s">
        <v>1131</v>
      </c>
      <c r="W113" s="422" t="e">
        <f>(calc_TCO!D17)*(Resultaten_tabellen!$B$3)</f>
        <v>#N/A</v>
      </c>
      <c r="X113" s="422" t="e">
        <f>(calc_TCO!E17)*(Resultaten_tabellen!$B$3)</f>
        <v>#N/A</v>
      </c>
      <c r="Y113" s="391"/>
      <c r="Z113" s="391"/>
      <c r="AA113" s="391"/>
      <c r="AB113" s="391"/>
      <c r="AC113" s="391"/>
      <c r="AD113" s="391"/>
      <c r="AE113" s="391"/>
      <c r="AF113" s="391"/>
      <c r="AG113" s="391"/>
      <c r="AH113" s="391"/>
      <c r="AI113" s="391"/>
      <c r="AJ113" s="391"/>
      <c r="AK113" s="391"/>
      <c r="AL113" s="391"/>
      <c r="AM113" s="391"/>
      <c r="AN113" s="391"/>
      <c r="AO113" s="391"/>
      <c r="AP113" s="391"/>
      <c r="AQ113" s="391"/>
      <c r="AR113" s="391"/>
      <c r="AS113" s="391"/>
      <c r="AT113" s="391"/>
      <c r="AU113" s="391"/>
      <c r="AV113" s="391"/>
      <c r="AW113"/>
      <c r="AX113"/>
    </row>
    <row r="114" spans="2:50" x14ac:dyDescent="0.3">
      <c r="B114" s="3" t="s">
        <v>1229</v>
      </c>
      <c r="D114" s="377">
        <f>Selecteer_beginjaar-input_basisjaar</f>
        <v>0</v>
      </c>
      <c r="K114" s="272" t="s">
        <v>1015</v>
      </c>
      <c r="L114" s="357">
        <f>INDEX(default_afschrijving_var,L$108,L$109)</f>
        <v>1.3907164507488298E-2</v>
      </c>
      <c r="T114"/>
      <c r="U114"/>
      <c r="V114" s="38" t="s">
        <v>1132</v>
      </c>
      <c r="W114" s="422" t="e">
        <f>(calc_TCO!D18)*(Resultaten_tabellen!$B$3)</f>
        <v>#N/A</v>
      </c>
      <c r="X114" s="422" t="e">
        <f>(calc_TCO!E18)*(Resultaten_tabellen!$B$3)</f>
        <v>#N/A</v>
      </c>
      <c r="Y114" s="391"/>
      <c r="Z114" s="391"/>
      <c r="AA114" s="391"/>
      <c r="AB114" s="391"/>
      <c r="AC114" s="391"/>
      <c r="AD114" s="391"/>
      <c r="AE114" s="391"/>
      <c r="AF114" s="391"/>
      <c r="AG114" s="391"/>
      <c r="AH114" s="391"/>
      <c r="AI114" s="391"/>
      <c r="AJ114" s="391"/>
      <c r="AK114" s="391"/>
      <c r="AL114" s="391"/>
      <c r="AM114" s="391"/>
      <c r="AN114" s="391"/>
      <c r="AO114" s="391"/>
      <c r="AP114" s="391"/>
      <c r="AQ114" s="391"/>
      <c r="AR114" s="391"/>
      <c r="AS114" s="391"/>
      <c r="AT114" s="391"/>
      <c r="AU114" s="391"/>
      <c r="AV114" s="391"/>
      <c r="AW114"/>
      <c r="AX114"/>
    </row>
    <row r="115" spans="2:50" x14ac:dyDescent="0.3">
      <c r="B115" s="3" t="s">
        <v>1230</v>
      </c>
      <c r="D115" s="377">
        <f>MIN(Selecteer_eindjaar-Selecteer_beginjaar+1,Selecteer_eindjaar-input_basisjaar+1)</f>
        <v>2</v>
      </c>
      <c r="L115" s="320">
        <f>MIN(1,1-EXP(-L$112*6^L$113)+MIN(1,6*input_jaarkm*L$114/10000))</f>
        <v>0.4713932447941126</v>
      </c>
      <c r="T115"/>
      <c r="U115"/>
      <c r="V115" s="38" t="s">
        <v>1133</v>
      </c>
      <c r="W115" s="422" t="e">
        <f>(calc_TCO!D19)*(Resultaten_tabellen!$B$3)</f>
        <v>#N/A</v>
      </c>
      <c r="X115" s="422" t="e">
        <f>(calc_TCO!E19)*(Resultaten_tabellen!$B$3)</f>
        <v>#N/A</v>
      </c>
      <c r="Y115" s="391"/>
      <c r="Z115" s="391"/>
      <c r="AA115" s="391"/>
      <c r="AB115" s="391"/>
      <c r="AC115" s="391"/>
      <c r="AD115" s="391"/>
      <c r="AE115" s="391"/>
      <c r="AF115" s="391"/>
      <c r="AG115" s="391"/>
      <c r="AH115" s="391"/>
      <c r="AI115" s="391"/>
      <c r="AJ115" s="391"/>
      <c r="AK115" s="391"/>
      <c r="AL115" s="391"/>
      <c r="AM115" s="391"/>
      <c r="AN115" s="391"/>
      <c r="AO115" s="391"/>
      <c r="AP115" s="391"/>
      <c r="AQ115" s="391"/>
      <c r="AR115" s="391"/>
      <c r="AS115" s="391"/>
      <c r="AT115" s="391"/>
      <c r="AU115" s="391"/>
      <c r="AV115" s="391"/>
      <c r="AW115"/>
      <c r="AX115"/>
    </row>
    <row r="116" spans="2:50" x14ac:dyDescent="0.3">
      <c r="D116" s="377"/>
      <c r="L116" s="277"/>
      <c r="T116"/>
      <c r="U116"/>
      <c r="V116" s="38" t="s">
        <v>1134</v>
      </c>
      <c r="W116" s="422" t="e">
        <f>(calc_TCO!D20)*(Resultaten_tabellen!$B$3)</f>
        <v>#N/A</v>
      </c>
      <c r="X116" s="422" t="e">
        <f>(calc_TCO!E20)*(Resultaten_tabellen!$B$3)</f>
        <v>#N/A</v>
      </c>
      <c r="Y116" s="391"/>
      <c r="Z116" s="391"/>
      <c r="AA116" s="391"/>
      <c r="AB116" s="391"/>
      <c r="AC116" s="391"/>
      <c r="AD116" s="391"/>
      <c r="AE116" s="391"/>
      <c r="AF116" s="391"/>
      <c r="AG116" s="391"/>
      <c r="AH116" s="391"/>
      <c r="AI116" s="391"/>
      <c r="AJ116" s="391"/>
      <c r="AK116" s="391"/>
      <c r="AL116" s="391"/>
      <c r="AM116" s="391"/>
      <c r="AN116" s="391"/>
      <c r="AO116" s="391"/>
      <c r="AP116" s="391"/>
      <c r="AQ116" s="391"/>
      <c r="AR116" s="391"/>
      <c r="AS116" s="391"/>
      <c r="AT116" s="391"/>
      <c r="AU116" s="391"/>
      <c r="AV116" s="391"/>
      <c r="AW116"/>
      <c r="AX116"/>
    </row>
    <row r="117" spans="2:50" x14ac:dyDescent="0.3">
      <c r="T117"/>
      <c r="U117"/>
      <c r="V117" s="38"/>
      <c r="W117" s="422"/>
      <c r="X117" s="422"/>
      <c r="Y117" s="391"/>
      <c r="Z117" s="391"/>
      <c r="AA117" s="391"/>
      <c r="AB117" s="391"/>
      <c r="AC117" s="391"/>
      <c r="AD117" s="391"/>
      <c r="AE117" s="391"/>
      <c r="AF117" s="391"/>
      <c r="AG117" s="391"/>
      <c r="AH117" s="391"/>
      <c r="AI117" s="391"/>
      <c r="AJ117" s="391"/>
      <c r="AK117" s="391"/>
      <c r="AL117" s="391"/>
      <c r="AM117" s="391"/>
      <c r="AN117" s="391"/>
      <c r="AO117" s="391"/>
      <c r="AP117" s="391"/>
      <c r="AQ117" s="391"/>
      <c r="AR117" s="391"/>
      <c r="AS117" s="391"/>
      <c r="AT117" s="391"/>
      <c r="AU117" s="391"/>
      <c r="AV117" s="391"/>
      <c r="AW117"/>
      <c r="AX117"/>
    </row>
    <row r="118" spans="2:50" x14ac:dyDescent="0.3">
      <c r="T118"/>
      <c r="U118"/>
      <c r="V118"/>
      <c r="W118"/>
      <c r="X118"/>
      <c r="Y118"/>
      <c r="Z118"/>
      <c r="AA118"/>
      <c r="AB118"/>
      <c r="AC118"/>
      <c r="AD118"/>
      <c r="AE118"/>
      <c r="AF118"/>
      <c r="AG118"/>
      <c r="AH118"/>
      <c r="AI118"/>
      <c r="AJ118"/>
      <c r="AK118"/>
      <c r="AL118"/>
      <c r="AM118"/>
      <c r="AN118"/>
      <c r="AO118"/>
      <c r="AP118"/>
      <c r="AQ118"/>
      <c r="AR118"/>
      <c r="AS118"/>
      <c r="AT118"/>
      <c r="AU118"/>
      <c r="AV118"/>
      <c r="AW118"/>
      <c r="AX118"/>
    </row>
  </sheetData>
  <mergeCells count="2">
    <mergeCell ref="B4:H6"/>
    <mergeCell ref="B7:H7"/>
  </mergeCells>
  <dataValidations xWindow="489" yWindow="274" count="25">
    <dataValidation type="list" allowBlank="1" showInputMessage="1" showErrorMessage="1" sqref="D69" xr:uid="{00000000-0002-0000-0100-000000000000}">
      <formula1>list_olieprijs</formula1>
    </dataValidation>
    <dataValidation allowBlank="1" showInputMessage="1" sqref="D75" xr:uid="{00000000-0002-0000-0100-000001000000}"/>
    <dataValidation type="list" allowBlank="1" showInputMessage="1" showErrorMessage="1" sqref="D15" xr:uid="{00000000-0002-0000-0100-000002000000}">
      <formula1>list_segment</formula1>
    </dataValidation>
    <dataValidation type="list" allowBlank="1" showInputMessage="1" promptTitle="Rentevoet" prompt="Met deze rentevoet worden de kosten netto contant gemaakt:_x000a_Laag: 2,5%_x000a_Middel: 5,5%_x000a_Hoog: 8%" sqref="D19" xr:uid="{00000000-0002-0000-0100-000004000000}">
      <formula1>list_rentevoet</formula1>
    </dataValidation>
    <dataValidation type="list" allowBlank="1" showInputMessage="1" sqref="D56" xr:uid="{00000000-0002-0000-0100-000006000000}">
      <formula1>list_afname_voertuigkosten</formula1>
    </dataValidation>
    <dataValidation allowBlank="1" showInputMessage="1" promptTitle="Verzekering" prompt="Voer hier het jaarlijkse bedrag voor de autoverzekering in, uitgedrukt in een percentage van de aanschafkosten (excl belastingen)" sqref="D112" xr:uid="{00000000-0002-0000-0100-000007000000}"/>
    <dataValidation type="list" allowBlank="1" showInputMessage="1" sqref="D73" xr:uid="{00000000-0002-0000-0100-000008000000}">
      <formula1>list_BPM</formula1>
    </dataValidation>
    <dataValidation type="list" allowBlank="1" showInputMessage="1" sqref="D58" xr:uid="{00000000-0002-0000-0100-000009000000}">
      <formula1>list_efficiencyverbetering_EV</formula1>
    </dataValidation>
    <dataValidation type="list" allowBlank="1" showInputMessage="1" sqref="D17" xr:uid="{00000000-0002-0000-0100-00000A000000}">
      <formula1>list_eenheid</formula1>
    </dataValidation>
    <dataValidation type="list" allowBlank="1" showInputMessage="1" sqref="D77" xr:uid="{00000000-0002-0000-0100-00000B000000}">
      <formula1>"ja,nee"</formula1>
    </dataValidation>
    <dataValidation type="list" allowBlank="1" showInputMessage="1" sqref="D60" xr:uid="{00000000-0002-0000-0100-00000C000000}">
      <formula1>list_efficiencyverbetering_ICEV</formula1>
    </dataValidation>
    <dataValidation type="list" allowBlank="1" showInputMessage="1" showErrorMessage="1" sqref="D54" xr:uid="{00000000-0002-0000-0100-00000D000000}">
      <formula1>"0,91"</formula1>
    </dataValidation>
    <dataValidation type="list" allowBlank="1" showInputMessage="1" sqref="D64" xr:uid="{00000000-0002-0000-0100-00000E000000}">
      <formula1>"1,1.6"</formula1>
    </dataValidation>
    <dataValidation type="decimal" allowBlank="1" showInputMessage="1" showErrorMessage="1" error="Voer een RPE in tussen 1 en 2" promptTitle="RPE (retail price equivalent)" prompt="De RPE waarde vertegenwoordigt de retail prijs ten opzichte van de directe productiekosten. Dit bedrag geeft de indirecte kosten van de fabrikant en dealer weer." sqref="D62" xr:uid="{00000000-0002-0000-0100-00000F000000}">
      <formula1>1</formula1>
      <formula2>2</formula2>
    </dataValidation>
    <dataValidation type="list" allowBlank="1" showInputMessage="1" sqref="D113" xr:uid="{00000000-0002-0000-0100-000010000000}">
      <formula1>list_onderhoud</formula1>
    </dataValidation>
    <dataValidation type="list" allowBlank="1" showInputMessage="1" sqref="D47" xr:uid="{00000000-0002-0000-0100-000011000000}">
      <formula1>list_batterij_levensduur</formula1>
    </dataValidation>
    <dataValidation type="list" allowBlank="1" showInputMessage="1" sqref="D41" xr:uid="{00000000-0002-0000-0100-000012000000}">
      <formula1>list_laadverlies</formula1>
    </dataValidation>
    <dataValidation type="decimal" allowBlank="1" showInputMessage="1" showErrorMessage="1" error="Voer een percentage in tussen 0% en 100%" sqref="D29 D37:D39 D52 D31:D32" xr:uid="{00000000-0002-0000-0100-000014000000}">
      <formula1>0</formula1>
      <formula2>1</formula2>
    </dataValidation>
    <dataValidation type="list" allowBlank="1" showInputMessage="1" showErrorMessage="1" promptTitle="MRB elektrisch" prompt="Op dit moment is de elektrische auto vrijgesteld van MRB. Dit is vastgelegd tot 2021. Geef hier aan wat het beleid zal zijn vanaf 2021." sqref="D71" xr:uid="{00000000-0002-0000-0100-000015000000}">
      <formula1>list_MRB_EV</formula1>
    </dataValidation>
    <dataValidation type="list" allowBlank="1" showInputMessage="1" sqref="D45" xr:uid="{00000000-0002-0000-0100-000017000000}">
      <formula1>list_batterijkosten</formula1>
    </dataValidation>
    <dataValidation type="whole" operator="greaterThanOrEqual" allowBlank="1" showInputMessage="1" showErrorMessage="1" sqref="F11" xr:uid="{507A11B2-8C25-4446-873F-C5065F2EDE88}">
      <formula1>input_basisjaar</formula1>
    </dataValidation>
    <dataValidation type="whole" allowBlank="1" showInputMessage="1" showErrorMessage="1" sqref="D11" xr:uid="{E76F06C9-AEE3-4857-A912-0B13FB8890AC}">
      <formula1>2022</formula1>
      <formula2>2040</formula2>
    </dataValidation>
    <dataValidation type="whole" allowBlank="1" showInputMessage="1" showErrorMessage="1" sqref="F47" xr:uid="{65842EA1-C04C-416A-9075-8B7824603C18}">
      <formula1>1</formula1>
      <formula2>25</formula2>
    </dataValidation>
    <dataValidation type="decimal" allowBlank="1" showInputMessage="1" showErrorMessage="1" error="Voer een percentage in tussen 0% en 100%" sqref="D34" xr:uid="{5D26E5B0-328E-4569-A53B-101ACAF3E4F6}">
      <formula1>-1</formula1>
      <formula2>1</formula2>
    </dataValidation>
    <dataValidation type="whole" allowBlank="1" showInputMessage="1" showErrorMessage="1" sqref="F13" xr:uid="{596DDCB2-7D70-4E75-A41A-D583AF51354C}">
      <formula1>F11+1</formula1>
      <formula2>2040</formula2>
    </dataValidation>
  </dataValidations>
  <pageMargins left="0.25" right="0.25" top="0.75" bottom="0.75" header="0.3" footer="0.3"/>
  <pageSetup paperSize="9" scale="17"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tabColor theme="1"/>
  </sheetPr>
  <dimension ref="A1:R67"/>
  <sheetViews>
    <sheetView workbookViewId="0">
      <selection activeCell="E33" sqref="E33"/>
    </sheetView>
  </sheetViews>
  <sheetFormatPr defaultRowHeight="15" x14ac:dyDescent="0.3"/>
  <cols>
    <col min="3" max="4" width="32.140625" customWidth="1"/>
    <col min="5" max="5" width="17" customWidth="1"/>
    <col min="6" max="19" width="17.140625" customWidth="1"/>
  </cols>
  <sheetData>
    <row r="1" spans="1:18" x14ac:dyDescent="0.3">
      <c r="A1" s="215" t="s">
        <v>790</v>
      </c>
      <c r="B1" s="215"/>
      <c r="C1" s="215"/>
      <c r="D1" s="215"/>
      <c r="E1" s="215"/>
      <c r="F1" s="215"/>
      <c r="G1" s="215"/>
      <c r="H1" s="215"/>
      <c r="I1" s="215"/>
      <c r="J1" s="215"/>
      <c r="K1" s="215"/>
      <c r="L1" s="215"/>
      <c r="M1" s="215"/>
      <c r="N1" s="215"/>
      <c r="O1" s="215"/>
      <c r="P1" s="215"/>
      <c r="Q1" s="215"/>
      <c r="R1" s="215"/>
    </row>
    <row r="2" spans="1:18" x14ac:dyDescent="0.3">
      <c r="A2" s="215" t="s">
        <v>4</v>
      </c>
      <c r="B2" s="215"/>
      <c r="C2" s="215"/>
      <c r="D2" s="215"/>
      <c r="E2" s="215"/>
      <c r="F2" s="215"/>
      <c r="G2" s="215"/>
      <c r="H2" s="215"/>
      <c r="I2" s="215"/>
      <c r="J2" s="215"/>
      <c r="K2" s="215"/>
      <c r="L2" s="215"/>
      <c r="M2" s="215"/>
      <c r="N2" s="215"/>
      <c r="O2" s="215"/>
      <c r="P2" s="215"/>
      <c r="Q2" s="215"/>
      <c r="R2" s="215"/>
    </row>
    <row r="3" spans="1:18" ht="18" x14ac:dyDescent="0.35">
      <c r="A3" s="215">
        <v>2015</v>
      </c>
      <c r="B3" s="215"/>
      <c r="C3" s="215"/>
      <c r="D3" s="215"/>
      <c r="E3" s="423"/>
      <c r="F3" s="215"/>
      <c r="G3" s="215"/>
      <c r="H3" s="215"/>
      <c r="I3" s="215"/>
      <c r="J3" s="215"/>
      <c r="K3" s="215"/>
      <c r="L3" s="215"/>
      <c r="M3" s="215"/>
      <c r="N3" s="215"/>
      <c r="O3" s="215"/>
      <c r="P3" s="215"/>
      <c r="Q3" s="215"/>
      <c r="R3" s="215"/>
    </row>
    <row r="4" spans="1:18" x14ac:dyDescent="0.3">
      <c r="A4" s="215" t="s">
        <v>268</v>
      </c>
      <c r="B4" s="215"/>
      <c r="C4" s="215"/>
      <c r="D4" s="215"/>
      <c r="E4" s="215"/>
      <c r="F4" s="215"/>
      <c r="G4" s="215"/>
      <c r="H4" s="215"/>
      <c r="I4" s="215"/>
      <c r="J4" s="215"/>
      <c r="K4" s="215"/>
      <c r="L4" s="215"/>
      <c r="M4" s="215"/>
      <c r="N4" s="215"/>
      <c r="O4" s="215"/>
      <c r="P4" s="215"/>
      <c r="Q4" s="215"/>
      <c r="R4" s="215"/>
    </row>
    <row r="5" spans="1:18" x14ac:dyDescent="0.3">
      <c r="A5" s="215">
        <v>3.5000000000000003E-2</v>
      </c>
      <c r="B5" s="215"/>
      <c r="C5" s="215"/>
      <c r="D5" s="215"/>
      <c r="F5" s="215"/>
      <c r="G5" s="215"/>
      <c r="H5" s="215"/>
      <c r="I5" s="215"/>
      <c r="J5" s="215"/>
      <c r="K5" s="215"/>
      <c r="L5" s="215"/>
      <c r="M5" s="215"/>
      <c r="N5" s="215"/>
      <c r="O5" s="215"/>
      <c r="P5" s="215"/>
      <c r="Q5" s="215"/>
      <c r="R5" s="215"/>
    </row>
    <row r="6" spans="1:18" x14ac:dyDescent="0.3">
      <c r="A6" s="215" t="s">
        <v>19</v>
      </c>
      <c r="B6" s="215"/>
      <c r="C6" s="215"/>
      <c r="D6" s="215"/>
      <c r="E6" s="215"/>
      <c r="F6" s="215"/>
      <c r="G6" s="215"/>
      <c r="H6" s="215"/>
      <c r="I6" s="215"/>
      <c r="J6" s="215"/>
      <c r="K6" s="215"/>
      <c r="L6" s="215"/>
      <c r="M6" s="215"/>
      <c r="N6" s="215"/>
      <c r="O6" s="215"/>
      <c r="P6" s="215"/>
      <c r="Q6" s="215"/>
      <c r="R6" s="215"/>
    </row>
    <row r="7" spans="1:18" ht="18.75" thickBot="1" x14ac:dyDescent="0.4">
      <c r="A7" s="34">
        <v>6</v>
      </c>
      <c r="B7" s="34"/>
      <c r="C7" s="34"/>
      <c r="D7" s="226" t="s">
        <v>790</v>
      </c>
      <c r="E7" s="424" t="s">
        <v>1268</v>
      </c>
      <c r="F7" s="226" t="s">
        <v>790</v>
      </c>
      <c r="G7" s="226" t="s">
        <v>791</v>
      </c>
      <c r="H7" s="226" t="s">
        <v>792</v>
      </c>
      <c r="I7" s="226" t="s">
        <v>793</v>
      </c>
      <c r="J7" s="226" t="s">
        <v>794</v>
      </c>
      <c r="K7" s="226" t="s">
        <v>796</v>
      </c>
      <c r="L7" s="226"/>
      <c r="M7" s="214"/>
      <c r="N7" s="214"/>
      <c r="O7" s="214"/>
      <c r="P7" s="214"/>
      <c r="Q7" s="214"/>
      <c r="R7" s="214"/>
    </row>
    <row r="8" spans="1:18" x14ac:dyDescent="0.3">
      <c r="A8" s="215">
        <v>0.4</v>
      </c>
      <c r="B8" s="215"/>
      <c r="C8" s="218" t="s">
        <v>766</v>
      </c>
      <c r="D8" s="235" t="s">
        <v>4</v>
      </c>
      <c r="E8" s="235" t="s">
        <v>4</v>
      </c>
      <c r="F8" s="235" t="s">
        <v>4</v>
      </c>
      <c r="G8" s="227" t="s">
        <v>11</v>
      </c>
      <c r="H8" s="227" t="s">
        <v>11</v>
      </c>
      <c r="I8" s="227" t="s">
        <v>12</v>
      </c>
      <c r="J8" s="227" t="s">
        <v>12</v>
      </c>
      <c r="K8" s="227" t="s">
        <v>4</v>
      </c>
      <c r="L8" s="227"/>
      <c r="M8" s="215"/>
      <c r="N8" s="215"/>
      <c r="O8" s="215"/>
      <c r="P8" s="215"/>
      <c r="Q8" s="215"/>
      <c r="R8" s="215"/>
    </row>
    <row r="9" spans="1:18" x14ac:dyDescent="0.3">
      <c r="A9" s="215" t="s">
        <v>6</v>
      </c>
      <c r="B9" s="215"/>
      <c r="C9" s="114" t="s">
        <v>767</v>
      </c>
      <c r="D9" s="216">
        <v>2015</v>
      </c>
      <c r="E9" s="216">
        <v>2015</v>
      </c>
      <c r="F9" s="216">
        <v>2015</v>
      </c>
      <c r="G9" s="20">
        <v>2015</v>
      </c>
      <c r="H9" s="20">
        <v>2015</v>
      </c>
      <c r="I9" s="20">
        <v>2015</v>
      </c>
      <c r="J9" s="20">
        <v>2015</v>
      </c>
      <c r="K9" s="20">
        <v>2015</v>
      </c>
      <c r="L9" s="20"/>
      <c r="M9" s="215"/>
      <c r="N9" s="215"/>
      <c r="O9" s="215"/>
      <c r="P9" s="215"/>
      <c r="Q9" s="215"/>
      <c r="R9" s="215"/>
    </row>
    <row r="10" spans="1:18" x14ac:dyDescent="0.3">
      <c r="A10" s="215">
        <v>0.6</v>
      </c>
      <c r="B10" s="215"/>
      <c r="C10" s="114" t="s">
        <v>768</v>
      </c>
      <c r="D10" s="216" t="s">
        <v>268</v>
      </c>
      <c r="E10" s="216" t="s">
        <v>268</v>
      </c>
      <c r="F10" s="216" t="s">
        <v>268</v>
      </c>
      <c r="G10" s="216" t="s">
        <v>268</v>
      </c>
      <c r="H10" s="216" t="s">
        <v>268</v>
      </c>
      <c r="I10" s="216" t="s">
        <v>268</v>
      </c>
      <c r="J10" s="216" t="s">
        <v>268</v>
      </c>
      <c r="K10" s="216" t="s">
        <v>268</v>
      </c>
      <c r="L10" s="216"/>
      <c r="M10" s="215"/>
      <c r="N10" s="215"/>
      <c r="O10" s="215"/>
      <c r="P10" s="215"/>
      <c r="Q10" s="215"/>
      <c r="R10" s="215"/>
    </row>
    <row r="11" spans="1:18" ht="15.75" thickBot="1" x14ac:dyDescent="0.35">
      <c r="A11" s="215">
        <v>0.3</v>
      </c>
      <c r="B11" s="215"/>
      <c r="C11" s="115" t="s">
        <v>769</v>
      </c>
      <c r="D11" s="236">
        <v>3.5000000000000003E-2</v>
      </c>
      <c r="E11" s="236">
        <v>3.5000000000000003E-2</v>
      </c>
      <c r="F11" s="236">
        <v>3.5000000000000003E-2</v>
      </c>
      <c r="G11" s="228">
        <v>3.5000000000000003E-2</v>
      </c>
      <c r="H11" s="228">
        <v>3.5000000000000003E-2</v>
      </c>
      <c r="I11" s="228">
        <v>3.5000000000000003E-2</v>
      </c>
      <c r="J11" s="228">
        <v>3.5000000000000003E-2</v>
      </c>
      <c r="K11" s="228">
        <v>3.5000000000000003E-2</v>
      </c>
      <c r="L11" s="228"/>
      <c r="M11" s="215"/>
      <c r="N11" s="215"/>
      <c r="O11" s="215"/>
      <c r="P11" s="215"/>
      <c r="Q11" s="215"/>
      <c r="R11" s="215"/>
    </row>
    <row r="12" spans="1:18" x14ac:dyDescent="0.3">
      <c r="A12" s="215">
        <v>0.6</v>
      </c>
      <c r="B12" s="215"/>
      <c r="C12" s="56" t="s">
        <v>770</v>
      </c>
      <c r="D12" s="237" t="s">
        <v>19</v>
      </c>
      <c r="E12" s="237" t="s">
        <v>19</v>
      </c>
      <c r="F12" s="237" t="s">
        <v>19</v>
      </c>
      <c r="G12" s="230" t="s">
        <v>6</v>
      </c>
      <c r="H12" s="230" t="s">
        <v>19</v>
      </c>
      <c r="I12" s="230" t="s">
        <v>6</v>
      </c>
      <c r="J12" s="230" t="s">
        <v>19</v>
      </c>
      <c r="K12" s="230" t="s">
        <v>19</v>
      </c>
      <c r="L12" s="230"/>
      <c r="M12" s="215"/>
      <c r="N12" s="215"/>
      <c r="O12" s="215"/>
      <c r="P12" s="215"/>
      <c r="Q12" s="215"/>
      <c r="R12" s="215"/>
    </row>
    <row r="13" spans="1:18" x14ac:dyDescent="0.3">
      <c r="A13" s="215" t="s">
        <v>6</v>
      </c>
      <c r="B13" s="215"/>
      <c r="C13" s="57" t="s">
        <v>771</v>
      </c>
      <c r="D13" s="219">
        <v>6</v>
      </c>
      <c r="E13" s="219">
        <v>6</v>
      </c>
      <c r="F13" s="219">
        <v>6</v>
      </c>
      <c r="G13" s="28">
        <v>6</v>
      </c>
      <c r="H13" s="28">
        <v>6</v>
      </c>
      <c r="I13" s="28">
        <v>6</v>
      </c>
      <c r="J13" s="28">
        <v>6</v>
      </c>
      <c r="K13" s="28">
        <v>6</v>
      </c>
      <c r="L13" s="28"/>
      <c r="M13" s="215"/>
      <c r="N13" s="215"/>
      <c r="O13" s="215"/>
      <c r="P13" s="215"/>
      <c r="Q13" s="215"/>
      <c r="R13" s="215"/>
    </row>
    <row r="14" spans="1:18" x14ac:dyDescent="0.3">
      <c r="A14" s="215">
        <v>3.5000000000000003E-2</v>
      </c>
      <c r="B14" s="215"/>
      <c r="C14" s="57" t="s">
        <v>1389</v>
      </c>
      <c r="D14" s="220">
        <v>0.4</v>
      </c>
      <c r="E14" s="220">
        <v>0.4</v>
      </c>
      <c r="F14" s="220">
        <v>0.4</v>
      </c>
      <c r="G14" s="70">
        <v>0.4</v>
      </c>
      <c r="H14" s="70">
        <v>0.4</v>
      </c>
      <c r="I14" s="70">
        <v>0.4</v>
      </c>
      <c r="J14" s="70">
        <v>0.4</v>
      </c>
      <c r="K14" s="70">
        <v>0.75</v>
      </c>
      <c r="L14" s="70"/>
      <c r="M14" s="215"/>
      <c r="N14" s="215"/>
      <c r="O14" s="215"/>
      <c r="P14" s="215"/>
      <c r="Q14" s="215"/>
      <c r="R14" s="215"/>
    </row>
    <row r="15" spans="1:18" x14ac:dyDescent="0.3">
      <c r="A15" s="215" t="s">
        <v>6</v>
      </c>
      <c r="B15" s="215"/>
      <c r="C15" s="57" t="s">
        <v>772</v>
      </c>
      <c r="D15" s="221" t="s">
        <v>6</v>
      </c>
      <c r="E15" s="221" t="s">
        <v>6</v>
      </c>
      <c r="F15" s="221" t="s">
        <v>6</v>
      </c>
      <c r="G15" s="29" t="s">
        <v>6</v>
      </c>
      <c r="H15" s="29" t="s">
        <v>6</v>
      </c>
      <c r="I15" s="29" t="s">
        <v>6</v>
      </c>
      <c r="J15" s="29" t="s">
        <v>6</v>
      </c>
      <c r="K15" s="29" t="s">
        <v>6</v>
      </c>
      <c r="L15" s="29"/>
      <c r="M15" s="215"/>
      <c r="N15" s="215"/>
      <c r="O15" s="215"/>
      <c r="P15" s="215"/>
      <c r="Q15" s="215"/>
      <c r="R15" s="215"/>
    </row>
    <row r="16" spans="1:18" x14ac:dyDescent="0.3">
      <c r="A16" s="215" t="s">
        <v>268</v>
      </c>
      <c r="B16" s="215"/>
      <c r="C16" s="57" t="s">
        <v>773</v>
      </c>
      <c r="D16" s="220">
        <v>0.6</v>
      </c>
      <c r="E16" s="220">
        <v>0.6</v>
      </c>
      <c r="F16" s="220">
        <v>0.6</v>
      </c>
      <c r="G16" s="70">
        <v>0.6</v>
      </c>
      <c r="H16" s="70">
        <v>0.6</v>
      </c>
      <c r="I16" s="70">
        <v>0.6</v>
      </c>
      <c r="J16" s="70">
        <v>0.6</v>
      </c>
      <c r="K16" s="70">
        <v>0.6</v>
      </c>
      <c r="L16" s="70"/>
      <c r="M16" s="215"/>
      <c r="N16" s="215"/>
      <c r="O16" s="215"/>
      <c r="P16" s="215"/>
      <c r="Q16" s="215"/>
      <c r="R16" s="215"/>
    </row>
    <row r="17" spans="1:18" x14ac:dyDescent="0.3">
      <c r="A17" s="215">
        <v>300</v>
      </c>
      <c r="B17" s="215"/>
      <c r="C17" s="57" t="s">
        <v>797</v>
      </c>
      <c r="D17" s="220">
        <v>0.3</v>
      </c>
      <c r="E17" s="220">
        <v>0.3</v>
      </c>
      <c r="F17" s="220">
        <v>0.3</v>
      </c>
      <c r="G17" s="70">
        <v>0.3</v>
      </c>
      <c r="H17" s="70">
        <v>0.3</v>
      </c>
      <c r="I17" s="70">
        <v>0.3</v>
      </c>
      <c r="J17" s="70">
        <v>0.3</v>
      </c>
      <c r="K17" s="70">
        <v>0.3</v>
      </c>
      <c r="L17" s="70"/>
      <c r="M17" s="215"/>
      <c r="N17" s="215"/>
      <c r="O17" s="215"/>
      <c r="P17" s="215"/>
      <c r="Q17" s="215"/>
      <c r="R17" s="215"/>
    </row>
    <row r="18" spans="1:18" x14ac:dyDescent="0.3">
      <c r="A18" s="215">
        <v>0.5</v>
      </c>
      <c r="B18" s="215"/>
      <c r="C18" s="57" t="s">
        <v>774</v>
      </c>
      <c r="D18" s="220">
        <v>0.6</v>
      </c>
      <c r="E18" s="220">
        <v>0.6</v>
      </c>
      <c r="F18" s="220">
        <v>0.6</v>
      </c>
      <c r="G18" s="70">
        <v>0.8</v>
      </c>
      <c r="H18" s="70">
        <v>0.8</v>
      </c>
      <c r="I18" s="70">
        <v>0.8</v>
      </c>
      <c r="J18" s="70">
        <v>0.8</v>
      </c>
      <c r="K18" s="70">
        <v>0.8</v>
      </c>
      <c r="L18" s="70"/>
      <c r="M18" s="215"/>
      <c r="N18" s="215"/>
      <c r="O18" s="215"/>
      <c r="P18" s="215"/>
      <c r="Q18" s="215"/>
      <c r="R18" s="215"/>
    </row>
    <row r="19" spans="1:18" x14ac:dyDescent="0.3">
      <c r="A19" s="436">
        <v>91</v>
      </c>
      <c r="B19" s="215"/>
      <c r="C19" s="57" t="s">
        <v>775</v>
      </c>
      <c r="D19" s="221" t="s">
        <v>6</v>
      </c>
      <c r="E19" s="221" t="s">
        <v>6</v>
      </c>
      <c r="F19" s="221" t="s">
        <v>6</v>
      </c>
      <c r="G19" s="29" t="s">
        <v>6</v>
      </c>
      <c r="H19" s="29" t="s">
        <v>6</v>
      </c>
      <c r="I19" s="29" t="s">
        <v>6</v>
      </c>
      <c r="J19" s="29" t="s">
        <v>6</v>
      </c>
      <c r="K19" s="32">
        <v>0.125</v>
      </c>
      <c r="L19" s="32"/>
      <c r="M19" s="215"/>
      <c r="N19" s="215"/>
      <c r="O19" s="215"/>
      <c r="P19" s="215"/>
      <c r="Q19" s="215"/>
      <c r="R19" s="215"/>
    </row>
    <row r="20" spans="1:18" ht="15.75" thickBot="1" x14ac:dyDescent="0.35">
      <c r="A20" s="215" t="s">
        <v>6</v>
      </c>
      <c r="B20" s="215"/>
      <c r="C20" s="58" t="s">
        <v>776</v>
      </c>
      <c r="D20" s="236">
        <v>3.5000000000000003E-2</v>
      </c>
      <c r="E20" s="236">
        <v>3.5000000000000003E-2</v>
      </c>
      <c r="F20" s="236">
        <v>3.5000000000000003E-2</v>
      </c>
      <c r="G20" s="228">
        <v>3.5000000000000003E-2</v>
      </c>
      <c r="H20" s="228">
        <v>3.5000000000000003E-2</v>
      </c>
      <c r="I20" s="228">
        <v>3.5000000000000003E-2</v>
      </c>
      <c r="J20" s="228">
        <v>3.5000000000000003E-2</v>
      </c>
      <c r="K20" s="228">
        <v>3.5000000000000003E-2</v>
      </c>
      <c r="L20" s="228"/>
      <c r="M20" s="215"/>
      <c r="N20" s="215"/>
      <c r="O20" s="215"/>
      <c r="P20" s="215"/>
      <c r="Q20" s="215"/>
      <c r="R20" s="215"/>
    </row>
    <row r="21" spans="1:18" x14ac:dyDescent="0.3">
      <c r="A21" s="215" t="s">
        <v>6</v>
      </c>
      <c r="B21" s="215"/>
      <c r="C21" s="218" t="s">
        <v>777</v>
      </c>
      <c r="D21" s="238" t="s">
        <v>6</v>
      </c>
      <c r="E21" s="238" t="s">
        <v>6</v>
      </c>
      <c r="F21" s="238" t="s">
        <v>6</v>
      </c>
      <c r="G21" s="229" t="s">
        <v>6</v>
      </c>
      <c r="H21" s="229" t="s">
        <v>6</v>
      </c>
      <c r="I21" s="229" t="s">
        <v>6</v>
      </c>
      <c r="J21" s="229" t="s">
        <v>6</v>
      </c>
      <c r="K21" s="229" t="s">
        <v>6</v>
      </c>
      <c r="L21" s="229"/>
      <c r="M21" s="215"/>
      <c r="N21" s="215"/>
      <c r="O21" s="215"/>
      <c r="P21" s="215"/>
      <c r="Q21" s="215"/>
      <c r="R21" s="215"/>
    </row>
    <row r="22" spans="1:18" x14ac:dyDescent="0.3">
      <c r="A22" s="215" t="s">
        <v>6</v>
      </c>
      <c r="B22" s="215"/>
      <c r="C22" s="114" t="s">
        <v>778</v>
      </c>
      <c r="D22" s="216" t="s">
        <v>268</v>
      </c>
      <c r="E22" s="216" t="s">
        <v>268</v>
      </c>
      <c r="F22" s="216" t="s">
        <v>268</v>
      </c>
      <c r="G22" s="20" t="s">
        <v>268</v>
      </c>
      <c r="H22" s="20" t="s">
        <v>268</v>
      </c>
      <c r="I22" s="20" t="s">
        <v>268</v>
      </c>
      <c r="J22" s="20" t="s">
        <v>268</v>
      </c>
      <c r="K22" s="20" t="s">
        <v>268</v>
      </c>
      <c r="L22" s="20"/>
      <c r="M22" s="215"/>
      <c r="N22" s="215"/>
      <c r="O22" s="215"/>
      <c r="P22" s="215"/>
      <c r="Q22" s="215"/>
      <c r="R22" s="215"/>
    </row>
    <row r="23" spans="1:18" x14ac:dyDescent="0.3">
      <c r="A23" s="215">
        <v>1.6</v>
      </c>
      <c r="B23" s="215"/>
      <c r="C23" s="114" t="s">
        <v>779</v>
      </c>
      <c r="D23" s="216">
        <v>300</v>
      </c>
      <c r="E23" s="216">
        <v>300</v>
      </c>
      <c r="F23" s="216">
        <v>300</v>
      </c>
      <c r="G23" s="20">
        <v>300</v>
      </c>
      <c r="H23" s="20">
        <v>300</v>
      </c>
      <c r="I23" s="20">
        <v>300</v>
      </c>
      <c r="J23" s="20">
        <v>300</v>
      </c>
      <c r="K23" s="20">
        <v>300</v>
      </c>
      <c r="L23" s="20"/>
      <c r="M23" s="215"/>
      <c r="N23" s="215"/>
      <c r="O23" s="215"/>
      <c r="P23" s="215"/>
      <c r="Q23" s="215"/>
      <c r="R23" s="215"/>
    </row>
    <row r="24" spans="1:18" ht="15.75" thickBot="1" x14ac:dyDescent="0.35">
      <c r="A24" s="215">
        <v>1</v>
      </c>
      <c r="B24" s="215"/>
      <c r="C24" s="115" t="s">
        <v>780</v>
      </c>
      <c r="D24" s="239">
        <v>0.5</v>
      </c>
      <c r="E24" s="239">
        <v>0.5</v>
      </c>
      <c r="F24" s="239">
        <v>0.5</v>
      </c>
      <c r="G24" s="231">
        <v>0.5</v>
      </c>
      <c r="H24" s="231">
        <v>0.5</v>
      </c>
      <c r="I24" s="231">
        <v>0.5</v>
      </c>
      <c r="J24" s="231">
        <v>0.5</v>
      </c>
      <c r="K24" s="231">
        <v>0.5</v>
      </c>
      <c r="L24" s="231"/>
      <c r="M24" s="215"/>
      <c r="N24" s="215"/>
      <c r="O24" s="215"/>
      <c r="P24" s="215"/>
      <c r="Q24" s="215"/>
      <c r="R24" s="215"/>
    </row>
    <row r="25" spans="1:18" x14ac:dyDescent="0.3">
      <c r="A25" s="215" t="s">
        <v>6</v>
      </c>
      <c r="B25" s="215"/>
      <c r="C25" s="56" t="s">
        <v>781</v>
      </c>
      <c r="D25" s="240">
        <v>91</v>
      </c>
      <c r="E25" s="240">
        <v>91</v>
      </c>
      <c r="F25" s="240">
        <v>91</v>
      </c>
      <c r="G25" s="232">
        <v>91</v>
      </c>
      <c r="H25" s="232">
        <v>91</v>
      </c>
      <c r="I25" s="232">
        <v>91</v>
      </c>
      <c r="J25" s="232">
        <v>91</v>
      </c>
      <c r="K25" s="232">
        <v>91</v>
      </c>
      <c r="L25" s="232"/>
      <c r="M25" s="215"/>
      <c r="N25" s="215"/>
      <c r="O25" s="215"/>
      <c r="P25" s="215"/>
      <c r="Q25" s="215"/>
      <c r="R25" s="215"/>
    </row>
    <row r="26" spans="1:18" x14ac:dyDescent="0.3">
      <c r="A26" s="215" t="s">
        <v>221</v>
      </c>
      <c r="B26" s="215"/>
      <c r="C26" s="57" t="s">
        <v>782</v>
      </c>
      <c r="D26" s="216" t="s">
        <v>6</v>
      </c>
      <c r="E26" s="216" t="s">
        <v>6</v>
      </c>
      <c r="F26" s="216" t="s">
        <v>6</v>
      </c>
      <c r="G26" s="20" t="s">
        <v>6</v>
      </c>
      <c r="H26" s="20" t="s">
        <v>6</v>
      </c>
      <c r="I26" s="20" t="s">
        <v>6</v>
      </c>
      <c r="J26" s="20" t="s">
        <v>6</v>
      </c>
      <c r="K26" s="20" t="s">
        <v>6</v>
      </c>
      <c r="L26" s="20"/>
      <c r="M26" s="215"/>
      <c r="N26" s="215"/>
      <c r="O26" s="215"/>
      <c r="P26" s="215"/>
      <c r="Q26" s="215"/>
      <c r="R26" s="215"/>
    </row>
    <row r="27" spans="1:18" x14ac:dyDescent="0.3">
      <c r="A27" s="215">
        <v>0.21</v>
      </c>
      <c r="B27" s="215"/>
      <c r="C27" s="57" t="s">
        <v>783</v>
      </c>
      <c r="D27" s="222" t="s">
        <v>6</v>
      </c>
      <c r="E27" s="222" t="s">
        <v>6</v>
      </c>
      <c r="F27" s="222" t="s">
        <v>6</v>
      </c>
      <c r="G27" s="179" t="s">
        <v>6</v>
      </c>
      <c r="H27" s="179" t="s">
        <v>6</v>
      </c>
      <c r="I27" s="179" t="s">
        <v>6</v>
      </c>
      <c r="J27" s="179" t="s">
        <v>6</v>
      </c>
      <c r="K27" s="179" t="s">
        <v>6</v>
      </c>
      <c r="L27" s="179"/>
      <c r="M27" s="215"/>
      <c r="N27" s="215"/>
      <c r="O27" s="215"/>
      <c r="P27" s="215"/>
      <c r="Q27" s="215"/>
      <c r="R27" s="215"/>
    </row>
    <row r="28" spans="1:18" x14ac:dyDescent="0.3">
      <c r="A28" s="215" t="s">
        <v>393</v>
      </c>
      <c r="B28" s="215"/>
      <c r="C28" s="57" t="s">
        <v>784</v>
      </c>
      <c r="D28" s="222" t="s">
        <v>6</v>
      </c>
      <c r="E28" s="222" t="s">
        <v>6</v>
      </c>
      <c r="F28" s="222" t="s">
        <v>6</v>
      </c>
      <c r="G28" s="179" t="s">
        <v>6</v>
      </c>
      <c r="H28" s="179" t="s">
        <v>6</v>
      </c>
      <c r="I28" s="179" t="s">
        <v>6</v>
      </c>
      <c r="J28" s="179" t="s">
        <v>6</v>
      </c>
      <c r="K28" s="179" t="s">
        <v>6</v>
      </c>
      <c r="L28" s="179"/>
      <c r="M28" s="215"/>
      <c r="N28" s="215"/>
      <c r="O28" s="215"/>
      <c r="P28" s="215"/>
      <c r="Q28" s="215"/>
      <c r="R28" s="215"/>
    </row>
    <row r="29" spans="1:18" x14ac:dyDescent="0.3">
      <c r="A29" s="215" t="e">
        <v>#N/A</v>
      </c>
      <c r="B29" s="215"/>
      <c r="C29" s="57" t="s">
        <v>785</v>
      </c>
      <c r="D29" s="216">
        <v>1.6</v>
      </c>
      <c r="E29" s="216">
        <v>1.6</v>
      </c>
      <c r="F29" s="216">
        <v>1.6</v>
      </c>
      <c r="G29" s="20">
        <v>1.6</v>
      </c>
      <c r="H29" s="20">
        <v>1.6</v>
      </c>
      <c r="I29" s="20">
        <v>1.6</v>
      </c>
      <c r="J29" s="20">
        <v>1.6</v>
      </c>
      <c r="K29" s="20">
        <v>1.6</v>
      </c>
      <c r="L29" s="20"/>
      <c r="M29" s="215"/>
      <c r="N29" s="215"/>
      <c r="O29" s="215"/>
      <c r="P29" s="215"/>
      <c r="Q29" s="215"/>
      <c r="R29" s="215"/>
    </row>
    <row r="30" spans="1:18" ht="15.75" thickBot="1" x14ac:dyDescent="0.35">
      <c r="A30" s="215" t="e">
        <v>#N/A</v>
      </c>
      <c r="B30" s="215"/>
      <c r="C30" s="58" t="s">
        <v>786</v>
      </c>
      <c r="D30" s="241">
        <v>1</v>
      </c>
      <c r="E30" s="241">
        <v>1</v>
      </c>
      <c r="F30" s="241">
        <v>1</v>
      </c>
      <c r="G30" s="233">
        <v>1</v>
      </c>
      <c r="H30" s="233">
        <v>1</v>
      </c>
      <c r="I30" s="233">
        <v>1</v>
      </c>
      <c r="J30" s="233">
        <v>1</v>
      </c>
      <c r="K30" s="233">
        <v>1</v>
      </c>
      <c r="L30" s="233"/>
      <c r="M30" s="215"/>
      <c r="N30" s="215"/>
      <c r="O30" s="215"/>
      <c r="P30" s="215"/>
      <c r="Q30" s="215"/>
      <c r="R30" s="215"/>
    </row>
    <row r="31" spans="1:18" x14ac:dyDescent="0.3">
      <c r="A31" s="215" t="e">
        <v>#N/A</v>
      </c>
      <c r="B31" s="215"/>
      <c r="C31" s="218" t="s">
        <v>787</v>
      </c>
      <c r="D31" s="237" t="s">
        <v>6</v>
      </c>
      <c r="E31" s="237" t="s">
        <v>6</v>
      </c>
      <c r="F31" s="237" t="s">
        <v>6</v>
      </c>
      <c r="G31" s="230" t="s">
        <v>6</v>
      </c>
      <c r="H31" s="230" t="s">
        <v>6</v>
      </c>
      <c r="I31" s="230" t="s">
        <v>6</v>
      </c>
      <c r="J31" s="230" t="s">
        <v>6</v>
      </c>
      <c r="K31" s="230" t="s">
        <v>6</v>
      </c>
      <c r="L31" s="230"/>
      <c r="M31" s="215"/>
      <c r="N31" s="215"/>
      <c r="O31" s="215"/>
      <c r="P31" s="215"/>
      <c r="Q31" s="215"/>
      <c r="R31" s="215"/>
    </row>
    <row r="32" spans="1:18" x14ac:dyDescent="0.3">
      <c r="A32" s="215"/>
      <c r="B32" s="215"/>
      <c r="C32" s="114" t="s">
        <v>1465</v>
      </c>
      <c r="D32" s="216" t="s">
        <v>221</v>
      </c>
      <c r="E32" s="216" t="s">
        <v>221</v>
      </c>
      <c r="F32" s="216" t="s">
        <v>221</v>
      </c>
      <c r="G32" s="20" t="s">
        <v>221</v>
      </c>
      <c r="H32" s="20" t="s">
        <v>221</v>
      </c>
      <c r="I32" s="20" t="s">
        <v>221</v>
      </c>
      <c r="J32" s="20" t="s">
        <v>221</v>
      </c>
      <c r="K32" s="20" t="s">
        <v>221</v>
      </c>
      <c r="L32" s="20"/>
      <c r="M32" s="215"/>
      <c r="N32" s="215"/>
      <c r="O32" s="215"/>
      <c r="P32" s="215"/>
      <c r="Q32" s="215"/>
      <c r="R32" s="215"/>
    </row>
    <row r="33" spans="1:18" x14ac:dyDescent="0.3">
      <c r="A33" s="215"/>
      <c r="B33" s="215"/>
      <c r="C33" s="114" t="s">
        <v>788</v>
      </c>
      <c r="D33" s="217">
        <v>0.21</v>
      </c>
      <c r="E33" s="217">
        <v>0.21</v>
      </c>
      <c r="F33" s="217">
        <v>0.21</v>
      </c>
      <c r="G33" s="32">
        <v>0.21</v>
      </c>
      <c r="H33" s="32">
        <v>0.21</v>
      </c>
      <c r="I33" s="32">
        <v>0.21</v>
      </c>
      <c r="J33" s="32">
        <v>0.21</v>
      </c>
      <c r="K33" s="32">
        <v>0.21</v>
      </c>
      <c r="L33" s="32"/>
      <c r="M33" s="215"/>
      <c r="N33" s="215"/>
      <c r="O33" s="215"/>
      <c r="P33" s="215"/>
      <c r="Q33" s="215"/>
      <c r="R33" s="215"/>
    </row>
    <row r="34" spans="1:18" ht="15.75" thickBot="1" x14ac:dyDescent="0.35">
      <c r="A34" s="215"/>
      <c r="B34" s="215"/>
      <c r="C34" s="115" t="s">
        <v>789</v>
      </c>
      <c r="D34" s="242" t="s">
        <v>393</v>
      </c>
      <c r="E34" s="242" t="s">
        <v>393</v>
      </c>
      <c r="F34" s="242" t="s">
        <v>393</v>
      </c>
      <c r="G34" s="234" t="s">
        <v>393</v>
      </c>
      <c r="H34" s="234" t="s">
        <v>393</v>
      </c>
      <c r="I34" s="234" t="s">
        <v>393</v>
      </c>
      <c r="J34" s="234" t="s">
        <v>393</v>
      </c>
      <c r="K34" s="234" t="s">
        <v>393</v>
      </c>
      <c r="L34" s="234"/>
      <c r="M34" s="215"/>
      <c r="N34" s="215"/>
      <c r="O34" s="215"/>
      <c r="P34" s="215"/>
      <c r="Q34" s="215"/>
      <c r="R34" s="215"/>
    </row>
    <row r="35" spans="1:18" x14ac:dyDescent="0.3">
      <c r="A35" s="215"/>
      <c r="B35" s="215"/>
      <c r="C35" s="215"/>
      <c r="D35" s="215"/>
      <c r="E35" s="215"/>
      <c r="F35" s="215"/>
      <c r="G35" s="215"/>
      <c r="H35" s="215"/>
      <c r="I35" s="215"/>
      <c r="J35" s="215"/>
      <c r="K35" s="215"/>
      <c r="L35" s="215"/>
      <c r="M35" s="215"/>
      <c r="N35" s="215"/>
      <c r="O35" s="215"/>
      <c r="P35" s="215"/>
      <c r="Q35" s="215"/>
      <c r="R35" s="215"/>
    </row>
    <row r="36" spans="1:18" x14ac:dyDescent="0.3">
      <c r="A36" s="215"/>
      <c r="B36" s="215"/>
      <c r="C36" s="215">
        <v>1</v>
      </c>
      <c r="D36" s="215"/>
      <c r="E36" s="215"/>
      <c r="F36" s="215"/>
      <c r="G36" s="215"/>
      <c r="H36" s="215"/>
      <c r="I36" s="215"/>
      <c r="J36" s="215"/>
      <c r="K36" s="215"/>
      <c r="L36" s="215"/>
      <c r="M36" s="215"/>
      <c r="N36" s="215"/>
      <c r="O36" s="215"/>
      <c r="P36" s="215"/>
      <c r="Q36" s="215"/>
      <c r="R36" s="215"/>
    </row>
    <row r="37" spans="1:18" x14ac:dyDescent="0.3">
      <c r="A37" s="215"/>
      <c r="B37" s="215"/>
      <c r="C37" s="215">
        <f>COUNTA(D7:AL7)-1</f>
        <v>7</v>
      </c>
      <c r="D37" s="215"/>
      <c r="E37" s="215"/>
      <c r="F37" s="215"/>
      <c r="G37" s="215"/>
      <c r="H37" s="215"/>
      <c r="I37" s="215"/>
      <c r="J37" s="215"/>
      <c r="K37" s="215"/>
      <c r="L37" s="215"/>
      <c r="M37" s="215"/>
      <c r="N37" s="215"/>
      <c r="O37" s="215"/>
      <c r="P37" s="215"/>
      <c r="Q37" s="215"/>
      <c r="R37" s="215"/>
    </row>
    <row r="38" spans="1:18" x14ac:dyDescent="0.3">
      <c r="A38" s="215"/>
      <c r="B38" s="215"/>
      <c r="C38" s="223" t="str">
        <f t="array" ref="C38:C57">TRANSPOSE(F7:Y7)</f>
        <v>Referentie</v>
      </c>
      <c r="D38" s="223"/>
      <c r="E38" s="215"/>
      <c r="F38" s="215"/>
      <c r="G38" s="215"/>
      <c r="H38" s="215"/>
      <c r="I38" s="215"/>
      <c r="J38" s="215"/>
      <c r="K38" s="215"/>
      <c r="L38" s="215"/>
      <c r="M38" s="215"/>
      <c r="N38" s="215"/>
      <c r="O38" s="215"/>
      <c r="P38" s="215"/>
      <c r="Q38" s="215"/>
      <c r="R38" s="215"/>
    </row>
    <row r="39" spans="1:18" x14ac:dyDescent="0.3">
      <c r="A39" s="215"/>
      <c r="B39" s="215"/>
      <c r="C39" s="223" t="str">
        <v>A-hoog</v>
      </c>
      <c r="D39" s="223"/>
      <c r="E39" s="215"/>
      <c r="F39" s="215"/>
      <c r="N39" s="3"/>
    </row>
    <row r="40" spans="1:18" ht="18.75" thickBot="1" x14ac:dyDescent="0.4">
      <c r="C40" s="224" t="str">
        <v>A-laag</v>
      </c>
      <c r="D40" s="224"/>
      <c r="N40" s="226" t="str">
        <f>naam_scenario</f>
        <v>Referentie</v>
      </c>
    </row>
    <row r="41" spans="1:18" x14ac:dyDescent="0.3">
      <c r="C41" s="224" t="str">
        <v>B-hoog</v>
      </c>
      <c r="D41" s="224"/>
      <c r="M41" s="218" t="s">
        <v>766</v>
      </c>
      <c r="N41" s="243">
        <f>input_segment</f>
        <v>0</v>
      </c>
    </row>
    <row r="42" spans="1:18" x14ac:dyDescent="0.3">
      <c r="C42" s="224" t="str">
        <v>B-laag</v>
      </c>
      <c r="D42" s="224"/>
      <c r="M42" s="114" t="s">
        <v>767</v>
      </c>
      <c r="N42" s="244">
        <f>input_zichtjaar</f>
        <v>0</v>
      </c>
    </row>
    <row r="43" spans="1:18" x14ac:dyDescent="0.3">
      <c r="C43" s="224" t="str">
        <v>MotieGroot</v>
      </c>
      <c r="D43" s="224"/>
      <c r="M43" s="114" t="s">
        <v>768</v>
      </c>
      <c r="N43" s="244" t="str">
        <f>input_eenheid</f>
        <v>gebruiksduur</v>
      </c>
    </row>
    <row r="44" spans="1:18" ht="15.75" thickBot="1" x14ac:dyDescent="0.35">
      <c r="C44" s="224">
        <v>0</v>
      </c>
      <c r="D44" s="224"/>
      <c r="M44" s="115" t="s">
        <v>769</v>
      </c>
      <c r="N44" s="245" t="str">
        <f>input_rentevoet</f>
        <v>anders, namelijk</v>
      </c>
    </row>
    <row r="45" spans="1:18" x14ac:dyDescent="0.3">
      <c r="C45" s="224">
        <v>0</v>
      </c>
      <c r="D45" s="224"/>
      <c r="M45" s="56" t="s">
        <v>770</v>
      </c>
      <c r="N45" s="246">
        <f>input_jaarkilometrage</f>
        <v>0</v>
      </c>
    </row>
    <row r="46" spans="1:18" x14ac:dyDescent="0.3">
      <c r="C46" s="224">
        <v>0</v>
      </c>
      <c r="D46" s="224"/>
      <c r="M46" s="57" t="s">
        <v>771</v>
      </c>
      <c r="N46" s="247">
        <f>input_gebruiksduur</f>
        <v>0</v>
      </c>
    </row>
    <row r="47" spans="1:18" x14ac:dyDescent="0.3">
      <c r="C47" s="224">
        <v>0</v>
      </c>
      <c r="D47" s="224"/>
      <c r="M47" s="57" t="s">
        <v>1389</v>
      </c>
      <c r="N47" s="248">
        <f>input_PHEV_perc_elektrisch</f>
        <v>0.4</v>
      </c>
    </row>
    <row r="48" spans="1:18" x14ac:dyDescent="0.3">
      <c r="C48" s="224">
        <v>0</v>
      </c>
      <c r="D48" s="224"/>
      <c r="M48" s="57" t="s">
        <v>772</v>
      </c>
      <c r="N48" s="249" t="str">
        <f>input_onderhoudkosten</f>
        <v>middel</v>
      </c>
    </row>
    <row r="49" spans="3:14" x14ac:dyDescent="0.3">
      <c r="C49" s="224">
        <v>0</v>
      </c>
      <c r="D49" s="224"/>
      <c r="M49" s="57" t="s">
        <v>773</v>
      </c>
      <c r="N49" s="248">
        <f>input_onderhoud_EV</f>
        <v>0.6</v>
      </c>
    </row>
    <row r="50" spans="3:14" x14ac:dyDescent="0.3">
      <c r="C50" s="224">
        <v>0</v>
      </c>
      <c r="D50" s="224"/>
      <c r="M50" s="57" t="s">
        <v>797</v>
      </c>
      <c r="N50" s="248">
        <f>input_onderhoud_PHEV</f>
        <v>0</v>
      </c>
    </row>
    <row r="51" spans="3:14" x14ac:dyDescent="0.3">
      <c r="C51" s="224">
        <v>0</v>
      </c>
      <c r="D51" s="224"/>
      <c r="M51" s="57" t="s">
        <v>774</v>
      </c>
      <c r="N51" s="248">
        <f>input_thuisladen</f>
        <v>0</v>
      </c>
    </row>
    <row r="52" spans="3:14" x14ac:dyDescent="0.3">
      <c r="C52" s="224">
        <v>0</v>
      </c>
      <c r="D52" s="224"/>
      <c r="M52" s="57" t="s">
        <v>775</v>
      </c>
      <c r="N52" s="249" t="str">
        <f>input_laadverlies</f>
        <v>middel</v>
      </c>
    </row>
    <row r="53" spans="3:14" ht="15.75" thickBot="1" x14ac:dyDescent="0.35">
      <c r="C53" s="224">
        <v>0</v>
      </c>
      <c r="D53" s="224"/>
      <c r="M53" s="58" t="s">
        <v>776</v>
      </c>
      <c r="N53" s="245">
        <f>input_verzekering</f>
        <v>3.5000000000000003E-2</v>
      </c>
    </row>
    <row r="54" spans="3:14" x14ac:dyDescent="0.3">
      <c r="C54" s="224">
        <v>0</v>
      </c>
      <c r="D54" s="224"/>
      <c r="M54" s="218" t="s">
        <v>777</v>
      </c>
      <c r="N54" s="250" t="str">
        <f>input_batterijkosten</f>
        <v>laag</v>
      </c>
    </row>
    <row r="55" spans="3:14" x14ac:dyDescent="0.3">
      <c r="C55" s="224">
        <v>0</v>
      </c>
      <c r="D55" s="224"/>
      <c r="M55" s="114" t="s">
        <v>778</v>
      </c>
      <c r="N55" s="244" t="str">
        <f>input_levensduur_batterij</f>
        <v>middel</v>
      </c>
    </row>
    <row r="56" spans="3:14" x14ac:dyDescent="0.3">
      <c r="C56" s="224">
        <v>0</v>
      </c>
      <c r="D56" s="224"/>
      <c r="M56" s="114" t="s">
        <v>779</v>
      </c>
      <c r="N56" s="244">
        <f>input_range_doelbereik</f>
        <v>0</v>
      </c>
    </row>
    <row r="57" spans="3:14" ht="15.75" thickBot="1" x14ac:dyDescent="0.35">
      <c r="C57" s="224">
        <v>0</v>
      </c>
      <c r="D57" s="224"/>
      <c r="M57" s="115" t="s">
        <v>780</v>
      </c>
      <c r="N57" s="251">
        <f>input_range_ratiokostenreductie</f>
        <v>0</v>
      </c>
    </row>
    <row r="58" spans="3:14" x14ac:dyDescent="0.3">
      <c r="M58" s="56" t="s">
        <v>781</v>
      </c>
      <c r="N58" s="252">
        <v>91</v>
      </c>
    </row>
    <row r="59" spans="3:14" x14ac:dyDescent="0.3">
      <c r="M59" s="57" t="s">
        <v>782</v>
      </c>
      <c r="N59" s="244" t="str">
        <f>input_afname_voertuigkosten</f>
        <v>middel</v>
      </c>
    </row>
    <row r="60" spans="3:14" x14ac:dyDescent="0.3">
      <c r="M60" s="57" t="s">
        <v>783</v>
      </c>
      <c r="N60" s="253" t="str">
        <f>input_efficiencyverbetering_EV</f>
        <v>middel</v>
      </c>
    </row>
    <row r="61" spans="3:14" x14ac:dyDescent="0.3">
      <c r="M61" s="57" t="s">
        <v>784</v>
      </c>
      <c r="N61" s="253" t="str">
        <f>input_efficiencyverbetering_ICEV</f>
        <v>middel</v>
      </c>
    </row>
    <row r="62" spans="3:14" x14ac:dyDescent="0.3">
      <c r="M62" s="57" t="s">
        <v>785</v>
      </c>
      <c r="N62" s="244">
        <f>input_RPE_ICEV</f>
        <v>1.6</v>
      </c>
    </row>
    <row r="63" spans="3:14" ht="15.75" thickBot="1" x14ac:dyDescent="0.35">
      <c r="M63" s="58" t="s">
        <v>786</v>
      </c>
      <c r="N63" s="254">
        <f>input_RPE_EV_over_15_jaar</f>
        <v>1.6</v>
      </c>
    </row>
    <row r="64" spans="3:14" x14ac:dyDescent="0.3">
      <c r="M64" s="218" t="s">
        <v>787</v>
      </c>
      <c r="N64" s="246" t="str">
        <f>input_olieprijs</f>
        <v>middel</v>
      </c>
    </row>
    <row r="65" spans="13:14" x14ac:dyDescent="0.3">
      <c r="M65" s="114" t="s">
        <v>1465</v>
      </c>
      <c r="N65" s="244" t="str">
        <f>input_BPM</f>
        <v>berekend</v>
      </c>
    </row>
    <row r="66" spans="13:14" x14ac:dyDescent="0.3">
      <c r="M66" s="114" t="s">
        <v>788</v>
      </c>
      <c r="N66" s="255">
        <f>input_btw</f>
        <v>0</v>
      </c>
    </row>
    <row r="67" spans="13:14" ht="15.75" thickBot="1" x14ac:dyDescent="0.35">
      <c r="M67" s="115" t="s">
        <v>789</v>
      </c>
      <c r="N67" s="256" t="str">
        <f>input_CO2_norm</f>
        <v>nee</v>
      </c>
    </row>
  </sheetData>
  <dataValidations count="22">
    <dataValidation type="list" allowBlank="1" showInputMessage="1" showErrorMessage="1" sqref="N41 D8:L8" xr:uid="{00000000-0002-0000-0600-000000000000}">
      <formula1>list_segment</formula1>
    </dataValidation>
    <dataValidation type="decimal" allowBlank="1" showInputMessage="1" showErrorMessage="1" error="Voer een percentage in tussen 0% en 100%" sqref="N49:N51 N57 N47 D24:L24 D14:L14 D16:L18" xr:uid="{00000000-0002-0000-0600-000001000000}">
      <formula1>0</formula1>
      <formula2>1</formula2>
    </dataValidation>
    <dataValidation type="whole" allowBlank="1" showInputMessage="1" showErrorMessage="1" promptTitle="Zichtjaar" prompt="Laat TCO resultaten in de figuur voor het zichjaar zien (tussen 2015-2030)" sqref="N42 D9:L9" xr:uid="{00000000-0002-0000-0600-000002000000}">
      <formula1>2015</formula1>
      <formula2>2030</formula2>
    </dataValidation>
    <dataValidation type="list" allowBlank="1" showInputMessage="1" sqref="N52 D19:L19" xr:uid="{00000000-0002-0000-0600-000003000000}">
      <formula1>list_laadverlies</formula1>
    </dataValidation>
    <dataValidation type="list" allowBlank="1" showInputMessage="1" sqref="N55 D22:L22" xr:uid="{00000000-0002-0000-0600-000004000000}">
      <formula1>list_batterij_levensduur</formula1>
    </dataValidation>
    <dataValidation type="list" allowBlank="1" showInputMessage="1" sqref="N48 D15:L15" xr:uid="{00000000-0002-0000-0600-000005000000}">
      <formula1>list_onderhoud</formula1>
    </dataValidation>
    <dataValidation type="decimal" allowBlank="1" showInputMessage="1" showErrorMessage="1" error="Voer een RPE in tussen 1 en 2" promptTitle="RPE (retail price equivalent)" prompt="De RPE waarde vertegenwoordigt de retail prijs ten opzichte van de directe productiekosten. Dit bedrag geeft de indirecte kosten van de fabrikant en dealer weer." sqref="N62 D29:L29" xr:uid="{00000000-0002-0000-0600-000006000000}">
      <formula1>1</formula1>
      <formula2>2</formula2>
    </dataValidation>
    <dataValidation type="list" allowBlank="1" showInputMessage="1" sqref="N63 D30:L30" xr:uid="{00000000-0002-0000-0600-000007000000}">
      <formula1>"1,gelijk aan ICEV"</formula1>
    </dataValidation>
    <dataValidation type="list" allowBlank="1" showInputMessage="1" showErrorMessage="1" sqref="N58 D25:L25" xr:uid="{00000000-0002-0000-0600-000008000000}">
      <formula1>"0,91"</formula1>
    </dataValidation>
    <dataValidation type="list" allowBlank="1" showInputMessage="1" sqref="N61 D28:L28" xr:uid="{00000000-0002-0000-0600-000009000000}">
      <formula1>list_efficiencyverbetering_ICEV</formula1>
    </dataValidation>
    <dataValidation type="list" allowBlank="1" showInputMessage="1" sqref="N67 D34:L34" xr:uid="{00000000-0002-0000-0600-00000A000000}">
      <formula1>"ja,nee"</formula1>
    </dataValidation>
    <dataValidation type="list" allowBlank="1" showInputMessage="1" sqref="N43 D10:L10" xr:uid="{00000000-0002-0000-0600-00000B000000}">
      <formula1>list_eenheid</formula1>
    </dataValidation>
    <dataValidation type="list" allowBlank="1" showInputMessage="1" sqref="N60 D27:L27" xr:uid="{00000000-0002-0000-0600-00000C000000}">
      <formula1>list_efficiencyverbetering_EV</formula1>
    </dataValidation>
    <dataValidation type="list" allowBlank="1" showInputMessage="1" sqref="N65 D32:L32" xr:uid="{00000000-0002-0000-0600-00000D000000}">
      <formula1>list_BPM</formula1>
    </dataValidation>
    <dataValidation allowBlank="1" showInputMessage="1" promptTitle="Verzekering" prompt="Voer hier het jaarlijkse bedrag voor de autoverzekering in, uitgedrukt in een percentage van de aanschafkosten (excl belastingen)" sqref="N53 D20:L20" xr:uid="{00000000-0002-0000-0600-00000E000000}"/>
    <dataValidation type="list" allowBlank="1" showInputMessage="1" sqref="N59 D26:L26" xr:uid="{00000000-0002-0000-0600-00000F000000}">
      <formula1>list_afname_voertuigkosten</formula1>
    </dataValidation>
    <dataValidation type="list" allowBlank="1" showInputMessage="1" sqref="N54 D21:L21" xr:uid="{00000000-0002-0000-0600-000010000000}">
      <formula1>list_batterijkosten</formula1>
    </dataValidation>
    <dataValidation type="whole" allowBlank="1" showInputMessage="1" showErrorMessage="1" sqref="N46 D13:L13" xr:uid="{00000000-0002-0000-0600-000011000000}">
      <formula1>1</formula1>
      <formula2>15</formula2>
    </dataValidation>
    <dataValidation type="list" allowBlank="1" showInputMessage="1" promptTitle="Rentevoet" prompt="Met deze rentevoet worden de kosten netto contant gemaakt:_x000a_Laag: 2,5%_x000a_Middel: 5,5%_x000a_Hoog: 8%" sqref="N44 D11:L11" xr:uid="{00000000-0002-0000-0600-000012000000}">
      <formula1>list_rentevoet</formula1>
    </dataValidation>
    <dataValidation type="list" allowBlank="1" showInputMessage="1" sqref="N45 D12:L12" xr:uid="{00000000-0002-0000-0600-000013000000}">
      <formula1>list_jaarkm</formula1>
    </dataValidation>
    <dataValidation allowBlank="1" showInputMessage="1" sqref="N66 D33:L33" xr:uid="{00000000-0002-0000-0600-000014000000}"/>
    <dataValidation type="list" allowBlank="1" showInputMessage="1" showErrorMessage="1" sqref="N64 D31:L31" xr:uid="{00000000-0002-0000-0600-000015000000}">
      <formula1>list_olieprijs</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9">
    <tabColor theme="7"/>
  </sheetPr>
  <dimension ref="A1:AG70"/>
  <sheetViews>
    <sheetView workbookViewId="0">
      <selection activeCell="E33" sqref="E33"/>
    </sheetView>
  </sheetViews>
  <sheetFormatPr defaultColWidth="9.140625" defaultRowHeight="13.5" x14ac:dyDescent="0.3"/>
  <cols>
    <col min="1" max="1" width="9.140625" style="272"/>
    <col min="2" max="2" width="15" style="272" customWidth="1"/>
    <col min="3" max="3" width="25.5703125" style="272" customWidth="1"/>
    <col min="4" max="4" width="35.7109375" style="272" customWidth="1"/>
    <col min="5" max="5" width="21.140625" style="272" customWidth="1"/>
    <col min="6" max="9" width="9.7109375" style="272" customWidth="1"/>
    <col min="10" max="10" width="16.42578125" style="272" bestFit="1" customWidth="1"/>
    <col min="11" max="11" width="20" style="272" customWidth="1"/>
    <col min="12" max="12" width="10.140625" style="272" customWidth="1"/>
    <col min="13" max="13" width="13.28515625" style="272" customWidth="1"/>
    <col min="14" max="14" width="17.5703125" style="272" customWidth="1"/>
    <col min="15" max="15" width="11.7109375" style="272" customWidth="1"/>
    <col min="16" max="16" width="10.42578125" style="272" customWidth="1"/>
    <col min="17" max="17" width="17.42578125" style="272" customWidth="1"/>
    <col min="18" max="18" width="10.42578125" style="272" customWidth="1"/>
    <col min="19" max="19" width="14.28515625" style="272" customWidth="1"/>
    <col min="20" max="20" width="8.7109375" style="272" customWidth="1"/>
    <col min="21" max="16384" width="9.140625" style="272"/>
  </cols>
  <sheetData>
    <row r="1" spans="1:33" customFormat="1" ht="15.75" thickBot="1" x14ac:dyDescent="0.35">
      <c r="A1" s="421" t="s">
        <v>1202</v>
      </c>
      <c r="C1" s="421" t="s">
        <v>1266</v>
      </c>
    </row>
    <row r="2" spans="1:33" ht="15" x14ac:dyDescent="0.3">
      <c r="B2" s="286" t="s">
        <v>168</v>
      </c>
      <c r="C2" s="286" t="s">
        <v>960</v>
      </c>
      <c r="D2" s="286" t="s">
        <v>1000</v>
      </c>
      <c r="E2" s="286" t="str">
        <f>input_data!$E$1</f>
        <v>Voertuigtype</v>
      </c>
      <c r="F2" s="286" t="s">
        <v>60</v>
      </c>
      <c r="G2" s="286" t="str">
        <f>input_data!$C$1</f>
        <v>Brandstoftype</v>
      </c>
      <c r="H2" s="286" t="s">
        <v>999</v>
      </c>
      <c r="I2" s="286" t="s">
        <v>1470</v>
      </c>
      <c r="J2" s="286" t="s">
        <v>61</v>
      </c>
      <c r="K2" s="286" t="s">
        <v>1283</v>
      </c>
      <c r="L2" s="286" t="s">
        <v>1164</v>
      </c>
      <c r="M2" s="286" t="s">
        <v>543</v>
      </c>
      <c r="N2" s="286" t="s">
        <v>1385</v>
      </c>
      <c r="O2" s="286" t="s">
        <v>1159</v>
      </c>
      <c r="P2" s="286" t="s">
        <v>1145</v>
      </c>
      <c r="Q2" s="286" t="s">
        <v>1130</v>
      </c>
      <c r="AA2"/>
      <c r="AB2"/>
      <c r="AC2"/>
      <c r="AD2"/>
      <c r="AE2"/>
      <c r="AF2"/>
    </row>
    <row r="3" spans="1:33" ht="15" x14ac:dyDescent="0.3">
      <c r="B3" s="329"/>
      <c r="C3" s="329"/>
      <c r="D3" s="329"/>
      <c r="E3" s="331" t="s">
        <v>1169</v>
      </c>
      <c r="F3" s="329"/>
      <c r="G3" s="329"/>
      <c r="H3" s="329"/>
      <c r="I3" s="329"/>
      <c r="J3" s="331" t="s">
        <v>1143</v>
      </c>
      <c r="K3" s="331" t="s">
        <v>1143</v>
      </c>
      <c r="L3" s="331" t="s">
        <v>1146</v>
      </c>
      <c r="M3" s="331" t="s">
        <v>1147</v>
      </c>
      <c r="N3" s="331" t="s">
        <v>1137</v>
      </c>
      <c r="O3" s="331" t="s">
        <v>1160</v>
      </c>
      <c r="P3" s="331" t="s">
        <v>1160</v>
      </c>
      <c r="Q3" s="331" t="s">
        <v>1161</v>
      </c>
      <c r="AA3"/>
      <c r="AB3"/>
      <c r="AC3"/>
      <c r="AD3"/>
      <c r="AE3"/>
      <c r="AF3"/>
    </row>
    <row r="4" spans="1:33" ht="14.25" customHeight="1" x14ac:dyDescent="0.3">
      <c r="B4" s="329"/>
      <c r="C4" s="329"/>
      <c r="D4" s="329"/>
      <c r="E4" s="329"/>
      <c r="F4" s="329"/>
      <c r="G4" s="329"/>
      <c r="H4" s="329"/>
      <c r="I4" s="329"/>
      <c r="J4" s="331" t="s">
        <v>25</v>
      </c>
      <c r="K4" s="331" t="s">
        <v>25</v>
      </c>
      <c r="L4" s="331" t="s">
        <v>25</v>
      </c>
      <c r="M4" s="331" t="s">
        <v>25</v>
      </c>
      <c r="N4" s="331" t="s">
        <v>25</v>
      </c>
      <c r="O4" s="331" t="s">
        <v>25</v>
      </c>
      <c r="P4" s="331" t="s">
        <v>25</v>
      </c>
      <c r="Q4" s="331" t="s">
        <v>25</v>
      </c>
      <c r="R4" s="272" t="s">
        <v>1170</v>
      </c>
      <c r="S4" s="272" t="s">
        <v>158</v>
      </c>
      <c r="T4" s="272" t="s">
        <v>209</v>
      </c>
      <c r="U4" s="361" t="s">
        <v>245</v>
      </c>
      <c r="AA4"/>
      <c r="AB4"/>
      <c r="AC4"/>
      <c r="AD4"/>
      <c r="AE4"/>
      <c r="AF4"/>
    </row>
    <row r="5" spans="1:33" ht="15.75" thickBot="1" x14ac:dyDescent="0.35">
      <c r="I5" s="361" t="s">
        <v>1347</v>
      </c>
      <c r="K5" s="444" t="s">
        <v>1282</v>
      </c>
      <c r="L5" s="67" t="s">
        <v>1284</v>
      </c>
      <c r="M5" s="361" t="s">
        <v>1281</v>
      </c>
      <c r="Q5" s="361" t="s">
        <v>1285</v>
      </c>
      <c r="R5" s="361" t="s">
        <v>1285</v>
      </c>
      <c r="S5" s="361" t="s">
        <v>1285</v>
      </c>
      <c r="T5" s="361"/>
      <c r="AA5"/>
      <c r="AB5"/>
      <c r="AC5"/>
      <c r="AD5"/>
      <c r="AE5"/>
      <c r="AF5"/>
    </row>
    <row r="6" spans="1:33" ht="15.75" thickBot="1" x14ac:dyDescent="0.35">
      <c r="B6" s="286" t="s">
        <v>168</v>
      </c>
      <c r="C6" s="286" t="s">
        <v>960</v>
      </c>
      <c r="D6" s="286" t="s">
        <v>1000</v>
      </c>
      <c r="E6" s="286" t="s">
        <v>189</v>
      </c>
      <c r="F6" s="286" t="s">
        <v>60</v>
      </c>
      <c r="G6" s="286" t="s">
        <v>62</v>
      </c>
      <c r="H6" s="286" t="s">
        <v>999</v>
      </c>
      <c r="I6" s="286" t="s">
        <v>1470</v>
      </c>
      <c r="J6" s="286" t="s">
        <v>61</v>
      </c>
      <c r="K6" s="286" t="s">
        <v>1344</v>
      </c>
      <c r="L6" s="286" t="s">
        <v>1164</v>
      </c>
      <c r="M6" s="286" t="s">
        <v>543</v>
      </c>
      <c r="N6" s="286" t="s">
        <v>1385</v>
      </c>
      <c r="O6" s="286" t="s">
        <v>1159</v>
      </c>
      <c r="P6" s="286" t="s">
        <v>1145</v>
      </c>
      <c r="Q6" s="286" t="s">
        <v>1130</v>
      </c>
      <c r="R6" s="286" t="s">
        <v>1170</v>
      </c>
      <c r="S6" s="286" t="s">
        <v>158</v>
      </c>
      <c r="T6" s="286" t="s">
        <v>209</v>
      </c>
      <c r="U6" s="286" t="s">
        <v>245</v>
      </c>
      <c r="V6" s="330" t="s">
        <v>208</v>
      </c>
      <c r="W6" s="330" t="s">
        <v>207</v>
      </c>
      <c r="AA6" s="286" t="s">
        <v>1470</v>
      </c>
      <c r="AB6" t="s">
        <v>1464</v>
      </c>
      <c r="AC6"/>
      <c r="AD6"/>
      <c r="AE6"/>
      <c r="AF6"/>
      <c r="AG6"/>
    </row>
    <row r="7" spans="1:33" ht="15.75" thickBot="1" x14ac:dyDescent="0.35">
      <c r="B7" s="365" t="s">
        <v>994</v>
      </c>
      <c r="C7" s="443" t="s">
        <v>1280</v>
      </c>
      <c r="D7" s="358" t="s">
        <v>1390</v>
      </c>
      <c r="E7" s="358" t="str">
        <f>"gemiddeld "&amp;input_voertuigen!$D7</f>
        <v>gemiddeld Elektrisch - A</v>
      </c>
      <c r="F7" s="358" t="s">
        <v>11</v>
      </c>
      <c r="G7" s="334" t="s">
        <v>141</v>
      </c>
      <c r="H7" s="333">
        <v>2023</v>
      </c>
      <c r="I7" s="445">
        <v>29141</v>
      </c>
      <c r="J7" s="366">
        <v>0</v>
      </c>
      <c r="K7" s="366">
        <v>0</v>
      </c>
      <c r="L7" s="367">
        <f>'control panel'!$F$34</f>
        <v>0.57139324479411258</v>
      </c>
      <c r="M7" s="375">
        <v>1200</v>
      </c>
      <c r="N7" s="369">
        <v>13.9</v>
      </c>
      <c r="O7" s="367" t="s">
        <v>1012</v>
      </c>
      <c r="P7" s="367" t="s">
        <v>1012</v>
      </c>
      <c r="Q7" s="367" t="s">
        <v>1012</v>
      </c>
      <c r="R7" s="366"/>
      <c r="S7" s="366"/>
      <c r="T7" s="390"/>
      <c r="U7" s="366">
        <v>26.8</v>
      </c>
      <c r="V7" s="412"/>
      <c r="W7" s="412"/>
      <c r="AA7" s="445">
        <v>27508</v>
      </c>
      <c r="AB7"/>
      <c r="AC7"/>
      <c r="AD7"/>
      <c r="AE7"/>
      <c r="AF7"/>
      <c r="AG7"/>
    </row>
    <row r="8" spans="1:33" ht="15.75" thickBot="1" x14ac:dyDescent="0.35">
      <c r="B8" s="365" t="s">
        <v>994</v>
      </c>
      <c r="C8" s="443" t="s">
        <v>1280</v>
      </c>
      <c r="D8" s="358" t="s">
        <v>1391</v>
      </c>
      <c r="E8" s="358" t="str">
        <f>"gemiddeld "&amp;input_voertuigen!$D8</f>
        <v>gemiddeld Elektrisch - B</v>
      </c>
      <c r="F8" s="358" t="s">
        <v>12</v>
      </c>
      <c r="G8" s="334" t="s">
        <v>141</v>
      </c>
      <c r="H8" s="333">
        <v>2023</v>
      </c>
      <c r="I8" s="445">
        <v>38573</v>
      </c>
      <c r="J8" s="366">
        <v>0</v>
      </c>
      <c r="K8" s="366">
        <v>0</v>
      </c>
      <c r="L8" s="367">
        <f>'control panel'!$F$34</f>
        <v>0.57139324479411258</v>
      </c>
      <c r="M8" s="375">
        <v>1550</v>
      </c>
      <c r="N8" s="369">
        <v>16.899999999999999</v>
      </c>
      <c r="O8" s="367" t="s">
        <v>1012</v>
      </c>
      <c r="P8" s="367" t="s">
        <v>1012</v>
      </c>
      <c r="Q8" s="367" t="s">
        <v>1012</v>
      </c>
      <c r="R8" s="366"/>
      <c r="S8" s="366"/>
      <c r="T8" s="390"/>
      <c r="U8" s="366">
        <v>67.5</v>
      </c>
      <c r="V8" s="405"/>
      <c r="W8" s="405"/>
      <c r="AA8" s="445">
        <v>36715</v>
      </c>
      <c r="AB8"/>
      <c r="AC8"/>
      <c r="AD8"/>
      <c r="AE8"/>
      <c r="AF8"/>
      <c r="AG8"/>
    </row>
    <row r="9" spans="1:33" ht="15.75" thickBot="1" x14ac:dyDescent="0.35">
      <c r="B9" s="365" t="s">
        <v>994</v>
      </c>
      <c r="C9" s="443" t="s">
        <v>1280</v>
      </c>
      <c r="D9" s="358" t="s">
        <v>1392</v>
      </c>
      <c r="E9" s="358" t="str">
        <f>"gemiddeld "&amp;input_voertuigen!$D9</f>
        <v>gemiddeld Elektrisch - C</v>
      </c>
      <c r="F9" s="358" t="s">
        <v>4</v>
      </c>
      <c r="G9" s="334" t="s">
        <v>141</v>
      </c>
      <c r="H9" s="333">
        <v>2023</v>
      </c>
      <c r="I9" s="445">
        <v>51567</v>
      </c>
      <c r="J9" s="366">
        <v>0</v>
      </c>
      <c r="K9" s="366">
        <v>0</v>
      </c>
      <c r="L9" s="367">
        <f>'control panel'!$F$34</f>
        <v>0.57139324479411258</v>
      </c>
      <c r="M9" s="375">
        <v>1700</v>
      </c>
      <c r="N9" s="369">
        <v>15.98</v>
      </c>
      <c r="O9" s="367" t="s">
        <v>1012</v>
      </c>
      <c r="P9" s="367" t="s">
        <v>1012</v>
      </c>
      <c r="Q9" s="367" t="s">
        <v>1012</v>
      </c>
      <c r="R9" s="366"/>
      <c r="S9" s="366"/>
      <c r="T9" s="390"/>
      <c r="U9" s="366">
        <v>68</v>
      </c>
      <c r="V9" s="405"/>
      <c r="W9" s="405"/>
      <c r="AA9" s="445">
        <v>48896</v>
      </c>
      <c r="AB9"/>
      <c r="AC9"/>
      <c r="AD9"/>
      <c r="AE9"/>
      <c r="AF9"/>
      <c r="AG9"/>
    </row>
    <row r="10" spans="1:33" ht="15.75" thickBot="1" x14ac:dyDescent="0.35">
      <c r="B10" s="365" t="s">
        <v>994</v>
      </c>
      <c r="C10" s="443" t="s">
        <v>1280</v>
      </c>
      <c r="D10" s="358" t="s">
        <v>1393</v>
      </c>
      <c r="E10" s="358" t="str">
        <f>"gemiddeld "&amp;input_voertuigen!$D10</f>
        <v>gemiddeld Elektrisch - D</v>
      </c>
      <c r="F10" s="358" t="s">
        <v>13</v>
      </c>
      <c r="G10" s="334" t="s">
        <v>141</v>
      </c>
      <c r="H10" s="333">
        <v>2023</v>
      </c>
      <c r="I10" s="445">
        <v>58574</v>
      </c>
      <c r="J10" s="366">
        <v>0</v>
      </c>
      <c r="K10" s="366">
        <v>0</v>
      </c>
      <c r="L10" s="367">
        <f>'control panel'!$F$34</f>
        <v>0.57139324479411258</v>
      </c>
      <c r="M10" s="375">
        <v>1800</v>
      </c>
      <c r="N10" s="369">
        <v>16.100000000000001</v>
      </c>
      <c r="O10" s="367" t="s">
        <v>1012</v>
      </c>
      <c r="P10" s="367" t="s">
        <v>1012</v>
      </c>
      <c r="Q10" s="367" t="s">
        <v>1012</v>
      </c>
      <c r="R10" s="366"/>
      <c r="S10" s="366"/>
      <c r="T10" s="390"/>
      <c r="U10" s="366">
        <v>60</v>
      </c>
      <c r="V10" s="405"/>
      <c r="W10" s="405"/>
      <c r="AA10" s="445">
        <v>63414</v>
      </c>
      <c r="AB10"/>
      <c r="AC10"/>
      <c r="AD10"/>
      <c r="AE10"/>
      <c r="AF10"/>
      <c r="AG10"/>
    </row>
    <row r="11" spans="1:33" ht="15.75" thickBot="1" x14ac:dyDescent="0.35">
      <c r="B11" s="365" t="s">
        <v>994</v>
      </c>
      <c r="C11" s="443" t="s">
        <v>1280</v>
      </c>
      <c r="D11" s="358" t="s">
        <v>1394</v>
      </c>
      <c r="E11" s="358" t="str">
        <f>"gemiddeld "&amp;input_voertuigen!$D11</f>
        <v>gemiddeld Elektrisch - E</v>
      </c>
      <c r="F11" s="358" t="s">
        <v>14</v>
      </c>
      <c r="G11" s="334" t="s">
        <v>141</v>
      </c>
      <c r="H11" s="333">
        <v>2023</v>
      </c>
      <c r="I11" s="445">
        <v>118247</v>
      </c>
      <c r="J11" s="366">
        <v>0</v>
      </c>
      <c r="K11" s="366">
        <v>0</v>
      </c>
      <c r="L11" s="367">
        <f>'control panel'!$F$34</f>
        <v>0.57139324479411258</v>
      </c>
      <c r="M11" s="375">
        <v>2350</v>
      </c>
      <c r="N11" s="369">
        <v>18.7</v>
      </c>
      <c r="O11" s="367" t="s">
        <v>1012</v>
      </c>
      <c r="P11" s="367" t="s">
        <v>1012</v>
      </c>
      <c r="Q11" s="367" t="s">
        <v>1012</v>
      </c>
      <c r="R11" s="366"/>
      <c r="S11" s="366"/>
      <c r="T11" s="390"/>
      <c r="U11" s="366">
        <v>100</v>
      </c>
      <c r="V11" s="405"/>
      <c r="W11" s="405"/>
      <c r="AA11" s="445">
        <v>126191</v>
      </c>
      <c r="AB11"/>
      <c r="AC11"/>
      <c r="AD11"/>
      <c r="AE11"/>
      <c r="AF11"/>
      <c r="AG11"/>
    </row>
    <row r="12" spans="1:33" ht="15.75" thickBot="1" x14ac:dyDescent="0.35">
      <c r="B12" s="365" t="s">
        <v>994</v>
      </c>
      <c r="C12" s="443" t="s">
        <v>1280</v>
      </c>
      <c r="D12" s="358" t="s">
        <v>1250</v>
      </c>
      <c r="E12" s="358" t="str">
        <f>"gemiddeld "&amp;input_voertuigen!$D12</f>
        <v>gemiddeld benzine - A</v>
      </c>
      <c r="F12" s="358" t="s">
        <v>11</v>
      </c>
      <c r="G12" s="334" t="s">
        <v>2</v>
      </c>
      <c r="H12" s="333">
        <v>2023</v>
      </c>
      <c r="I12" s="445">
        <v>18971</v>
      </c>
      <c r="J12" s="366">
        <f>AVERAGE(J38:J39)</f>
        <v>110</v>
      </c>
      <c r="K12" s="366">
        <v>151</v>
      </c>
      <c r="L12" s="367" t="s">
        <v>1012</v>
      </c>
      <c r="M12" s="375">
        <v>850</v>
      </c>
      <c r="N12" s="369">
        <v>0</v>
      </c>
      <c r="O12" s="367" t="s">
        <v>1012</v>
      </c>
      <c r="P12" s="367" t="s">
        <v>1012</v>
      </c>
      <c r="Q12" s="367" t="s">
        <v>1012</v>
      </c>
      <c r="R12" s="366"/>
      <c r="S12" s="366"/>
      <c r="T12" s="366">
        <v>35</v>
      </c>
      <c r="U12" s="390"/>
      <c r="V12" s="405"/>
      <c r="W12" s="405"/>
      <c r="AA12" s="445">
        <v>15988</v>
      </c>
      <c r="AB12"/>
      <c r="AC12"/>
      <c r="AD12"/>
      <c r="AE12"/>
      <c r="AF12"/>
      <c r="AG12"/>
    </row>
    <row r="13" spans="1:33" ht="15.75" thickBot="1" x14ac:dyDescent="0.35">
      <c r="B13" s="365" t="s">
        <v>994</v>
      </c>
      <c r="C13" s="443" t="s">
        <v>1280</v>
      </c>
      <c r="D13" s="358" t="s">
        <v>1251</v>
      </c>
      <c r="E13" s="358" t="str">
        <f>"gemiddeld "&amp;input_voertuigen!$D13</f>
        <v>gemiddeld benzine - B</v>
      </c>
      <c r="F13" s="358" t="s">
        <v>12</v>
      </c>
      <c r="G13" s="334" t="s">
        <v>2</v>
      </c>
      <c r="H13" s="333">
        <v>2023</v>
      </c>
      <c r="I13" s="445">
        <v>29203</v>
      </c>
      <c r="J13" s="366">
        <f>AVERAGE(J40:J41)</f>
        <v>113.5</v>
      </c>
      <c r="K13" s="366">
        <v>151</v>
      </c>
      <c r="L13" s="367" t="s">
        <v>1012</v>
      </c>
      <c r="M13" s="375">
        <v>1100</v>
      </c>
      <c r="N13" s="369">
        <v>0</v>
      </c>
      <c r="O13" s="367" t="s">
        <v>1012</v>
      </c>
      <c r="P13" s="367" t="s">
        <v>1012</v>
      </c>
      <c r="Q13" s="367" t="s">
        <v>1012</v>
      </c>
      <c r="R13" s="366"/>
      <c r="S13" s="366"/>
      <c r="T13" s="366">
        <v>47</v>
      </c>
      <c r="U13" s="390"/>
      <c r="V13" s="405"/>
      <c r="W13" s="405"/>
      <c r="AA13" s="445">
        <v>26918</v>
      </c>
      <c r="AB13"/>
      <c r="AC13"/>
      <c r="AD13"/>
      <c r="AE13"/>
      <c r="AF13"/>
      <c r="AG13"/>
    </row>
    <row r="14" spans="1:33" ht="15.75" thickBot="1" x14ac:dyDescent="0.35">
      <c r="B14" s="365" t="s">
        <v>994</v>
      </c>
      <c r="C14" s="443" t="s">
        <v>1280</v>
      </c>
      <c r="D14" s="358" t="s">
        <v>1252</v>
      </c>
      <c r="E14" s="358" t="str">
        <f>"gemiddeld "&amp;input_voertuigen!$D14</f>
        <v>gemiddeld benzine - C</v>
      </c>
      <c r="F14" s="358" t="s">
        <v>4</v>
      </c>
      <c r="G14" s="334" t="s">
        <v>2</v>
      </c>
      <c r="H14" s="333">
        <v>2023</v>
      </c>
      <c r="I14" s="445">
        <v>42201</v>
      </c>
      <c r="J14" s="366">
        <f>AVERAGE(J42:J43)</f>
        <v>129.5</v>
      </c>
      <c r="K14" s="366">
        <v>169</v>
      </c>
      <c r="L14" s="367" t="s">
        <v>1012</v>
      </c>
      <c r="M14" s="375">
        <v>1300</v>
      </c>
      <c r="N14" s="369">
        <v>0</v>
      </c>
      <c r="O14" s="367" t="s">
        <v>1012</v>
      </c>
      <c r="P14" s="367" t="s">
        <v>1012</v>
      </c>
      <c r="Q14" s="367" t="s">
        <v>1012</v>
      </c>
      <c r="R14" s="366"/>
      <c r="S14" s="366"/>
      <c r="T14" s="366">
        <v>59</v>
      </c>
      <c r="U14" s="390"/>
      <c r="V14" s="405"/>
      <c r="W14" s="405"/>
      <c r="AA14" s="445">
        <v>39186</v>
      </c>
      <c r="AB14"/>
      <c r="AC14"/>
      <c r="AD14"/>
      <c r="AE14"/>
      <c r="AF14"/>
      <c r="AG14"/>
    </row>
    <row r="15" spans="1:33" ht="15.75" thickBot="1" x14ac:dyDescent="0.35">
      <c r="B15" s="365" t="s">
        <v>994</v>
      </c>
      <c r="C15" s="443" t="s">
        <v>1280</v>
      </c>
      <c r="D15" s="358" t="str">
        <f>G15&amp;" - "&amp;F15</f>
        <v>benzine - D</v>
      </c>
      <c r="E15" s="358" t="str">
        <f>"gemiddeld "&amp;input_voertuigen!$D15</f>
        <v>gemiddeld benzine - D</v>
      </c>
      <c r="F15" s="358" t="s">
        <v>13</v>
      </c>
      <c r="G15" s="334" t="s">
        <v>2</v>
      </c>
      <c r="H15" s="333">
        <v>2023</v>
      </c>
      <c r="I15" s="445">
        <v>53353</v>
      </c>
      <c r="J15" s="366">
        <f>AVERAGE(J44:J45)</f>
        <v>144</v>
      </c>
      <c r="K15" s="366">
        <v>169</v>
      </c>
      <c r="L15" s="367" t="s">
        <v>1012</v>
      </c>
      <c r="M15" s="375">
        <v>1500</v>
      </c>
      <c r="N15" s="369"/>
      <c r="O15" s="367" t="s">
        <v>1012</v>
      </c>
      <c r="P15" s="367" t="s">
        <v>1012</v>
      </c>
      <c r="Q15" s="367" t="s">
        <v>1012</v>
      </c>
      <c r="R15" s="366"/>
      <c r="S15" s="366"/>
      <c r="T15" s="366">
        <v>66</v>
      </c>
      <c r="U15" s="390"/>
      <c r="V15" s="405"/>
      <c r="W15" s="405"/>
      <c r="AA15" s="445">
        <v>53287</v>
      </c>
      <c r="AB15"/>
      <c r="AC15"/>
      <c r="AD15"/>
      <c r="AE15"/>
      <c r="AF15"/>
      <c r="AG15"/>
    </row>
    <row r="16" spans="1:33" ht="15.75" thickBot="1" x14ac:dyDescent="0.35">
      <c r="B16" s="365" t="s">
        <v>994</v>
      </c>
      <c r="C16" s="443" t="s">
        <v>1280</v>
      </c>
      <c r="D16" s="358" t="s">
        <v>1253</v>
      </c>
      <c r="E16" s="358" t="str">
        <f>"gemiddeld "&amp;input_voertuigen!$D16</f>
        <v>gemiddeld benzine - E</v>
      </c>
      <c r="F16" s="358" t="s">
        <v>14</v>
      </c>
      <c r="G16" s="334" t="s">
        <v>2</v>
      </c>
      <c r="H16" s="333">
        <v>2023</v>
      </c>
      <c r="I16" s="445">
        <v>177840</v>
      </c>
      <c r="J16" s="366">
        <f>AVERAGE(J46:J47)</f>
        <v>166</v>
      </c>
      <c r="K16" s="366">
        <v>198</v>
      </c>
      <c r="L16" s="367" t="s">
        <v>1012</v>
      </c>
      <c r="M16" s="375">
        <v>1750</v>
      </c>
      <c r="N16" s="369">
        <v>0</v>
      </c>
      <c r="O16" s="367" t="s">
        <v>1012</v>
      </c>
      <c r="P16" s="367" t="s">
        <v>1012</v>
      </c>
      <c r="Q16" s="367" t="s">
        <v>1012</v>
      </c>
      <c r="R16" s="366"/>
      <c r="S16" s="366"/>
      <c r="T16" s="366">
        <v>66</v>
      </c>
      <c r="U16" s="366"/>
      <c r="V16" s="405"/>
      <c r="W16" s="405"/>
      <c r="Y16" s="348"/>
      <c r="AA16" s="445">
        <v>173747</v>
      </c>
      <c r="AB16"/>
      <c r="AC16"/>
      <c r="AD16"/>
      <c r="AE16"/>
      <c r="AF16"/>
      <c r="AG16"/>
    </row>
    <row r="17" spans="1:33" ht="15.75" thickBot="1" x14ac:dyDescent="0.35">
      <c r="B17" s="365" t="s">
        <v>994</v>
      </c>
      <c r="C17" s="443" t="s">
        <v>1280</v>
      </c>
      <c r="D17" s="358" t="s">
        <v>1254</v>
      </c>
      <c r="E17" s="358" t="str">
        <f>"gemiddeld "&amp;input_voertuigen!$D17</f>
        <v>gemiddeld diesel - B</v>
      </c>
      <c r="F17" s="358" t="s">
        <v>12</v>
      </c>
      <c r="G17" s="334" t="s">
        <v>15</v>
      </c>
      <c r="H17" s="333">
        <v>2023</v>
      </c>
      <c r="I17" s="445">
        <v>35567</v>
      </c>
      <c r="J17" s="366">
        <f>AVERAGE(J50:J51)</f>
        <v>106</v>
      </c>
      <c r="K17" s="366">
        <v>130</v>
      </c>
      <c r="L17" s="367" t="s">
        <v>1012</v>
      </c>
      <c r="M17" s="375">
        <v>1100</v>
      </c>
      <c r="N17" s="369">
        <v>0</v>
      </c>
      <c r="O17" s="367" t="s">
        <v>1012</v>
      </c>
      <c r="P17" s="367" t="s">
        <v>1012</v>
      </c>
      <c r="Q17" s="367" t="s">
        <v>1012</v>
      </c>
      <c r="R17" s="366"/>
      <c r="S17" s="367"/>
      <c r="T17" s="368">
        <v>41</v>
      </c>
      <c r="U17" s="369"/>
      <c r="V17" s="405"/>
      <c r="W17" s="405"/>
      <c r="X17" s="348"/>
      <c r="Z17" s="348"/>
      <c r="AA17" s="445">
        <v>30063</v>
      </c>
      <c r="AB17"/>
      <c r="AC17"/>
      <c r="AD17"/>
      <c r="AE17"/>
      <c r="AF17"/>
      <c r="AG17"/>
    </row>
    <row r="18" spans="1:33" ht="15.75" thickBot="1" x14ac:dyDescent="0.35">
      <c r="B18" s="365" t="s">
        <v>994</v>
      </c>
      <c r="C18" s="443" t="s">
        <v>1280</v>
      </c>
      <c r="D18" s="358" t="s">
        <v>1255</v>
      </c>
      <c r="E18" s="358" t="str">
        <f>"gemiddeld "&amp;input_voertuigen!$D18</f>
        <v>gemiddeld diesel - C</v>
      </c>
      <c r="F18" s="358" t="s">
        <v>4</v>
      </c>
      <c r="G18" s="334" t="s">
        <v>15</v>
      </c>
      <c r="H18" s="333">
        <v>2023</v>
      </c>
      <c r="I18" s="445">
        <v>52111</v>
      </c>
      <c r="J18" s="366">
        <f>AVERAGE(J52:J53)</f>
        <v>120</v>
      </c>
      <c r="K18" s="366">
        <v>146</v>
      </c>
      <c r="L18" s="367" t="s">
        <v>1012</v>
      </c>
      <c r="M18" s="375">
        <v>1300</v>
      </c>
      <c r="N18" s="369">
        <v>0</v>
      </c>
      <c r="O18" s="367" t="s">
        <v>1012</v>
      </c>
      <c r="P18" s="367" t="s">
        <v>1012</v>
      </c>
      <c r="Q18" s="367" t="s">
        <v>1012</v>
      </c>
      <c r="R18" s="366"/>
      <c r="S18" s="367"/>
      <c r="T18" s="368">
        <v>47</v>
      </c>
      <c r="U18" s="369"/>
      <c r="V18" s="405"/>
      <c r="W18" s="405"/>
      <c r="X18" s="348"/>
      <c r="AA18" s="445">
        <v>42825</v>
      </c>
      <c r="AB18"/>
      <c r="AC18"/>
      <c r="AD18"/>
      <c r="AE18"/>
      <c r="AF18"/>
      <c r="AG18"/>
    </row>
    <row r="19" spans="1:33" ht="15.75" thickBot="1" x14ac:dyDescent="0.35">
      <c r="B19" s="365" t="s">
        <v>994</v>
      </c>
      <c r="C19" s="443" t="s">
        <v>1280</v>
      </c>
      <c r="D19" s="358" t="s">
        <v>1256</v>
      </c>
      <c r="E19" s="358" t="str">
        <f>"gemiddeld "&amp;input_voertuigen!$D19</f>
        <v>gemiddeld diesel - D</v>
      </c>
      <c r="F19" s="358" t="s">
        <v>13</v>
      </c>
      <c r="G19" s="334" t="s">
        <v>15</v>
      </c>
      <c r="H19" s="333">
        <v>2023</v>
      </c>
      <c r="I19" s="445">
        <v>77170</v>
      </c>
      <c r="J19" s="366">
        <f>AVERAGE(J54:J55)</f>
        <v>130.5</v>
      </c>
      <c r="K19" s="366">
        <v>146</v>
      </c>
      <c r="L19" s="367" t="s">
        <v>1012</v>
      </c>
      <c r="M19" s="375">
        <v>1500</v>
      </c>
      <c r="N19" s="369">
        <v>0</v>
      </c>
      <c r="O19" s="367" t="s">
        <v>1012</v>
      </c>
      <c r="P19" s="367" t="s">
        <v>1012</v>
      </c>
      <c r="Q19" s="367" t="s">
        <v>1012</v>
      </c>
      <c r="R19" s="366"/>
      <c r="S19" s="367"/>
      <c r="T19" s="368">
        <v>55</v>
      </c>
      <c r="U19" s="369"/>
      <c r="V19" s="405"/>
      <c r="W19" s="405"/>
      <c r="X19" s="348"/>
      <c r="AA19" s="445">
        <v>55841</v>
      </c>
      <c r="AB19"/>
      <c r="AC19"/>
      <c r="AD19"/>
      <c r="AE19"/>
      <c r="AF19"/>
      <c r="AG19"/>
    </row>
    <row r="20" spans="1:33" ht="15.75" thickBot="1" x14ac:dyDescent="0.35">
      <c r="B20" s="365" t="s">
        <v>994</v>
      </c>
      <c r="C20" s="443" t="s">
        <v>1280</v>
      </c>
      <c r="D20" s="358" t="s">
        <v>1257</v>
      </c>
      <c r="E20" s="358" t="str">
        <f>"gemiddeld "&amp;input_voertuigen!$D20</f>
        <v>gemiddeld diesel - E</v>
      </c>
      <c r="F20" s="358" t="s">
        <v>14</v>
      </c>
      <c r="G20" s="334" t="s">
        <v>15</v>
      </c>
      <c r="H20" s="333">
        <v>2023</v>
      </c>
      <c r="I20" s="445">
        <v>151851</v>
      </c>
      <c r="J20" s="366">
        <f>AVERAGE(J56:J57)</f>
        <v>168.5</v>
      </c>
      <c r="K20" s="366">
        <v>173</v>
      </c>
      <c r="L20" s="367" t="s">
        <v>1012</v>
      </c>
      <c r="M20" s="375">
        <v>1750</v>
      </c>
      <c r="N20" s="369">
        <v>0</v>
      </c>
      <c r="O20" s="367" t="s">
        <v>1012</v>
      </c>
      <c r="P20" s="367" t="s">
        <v>1012</v>
      </c>
      <c r="Q20" s="367" t="s">
        <v>1012</v>
      </c>
      <c r="R20" s="366"/>
      <c r="S20" s="367"/>
      <c r="T20" s="368">
        <v>66</v>
      </c>
      <c r="U20" s="369"/>
      <c r="V20" s="405"/>
      <c r="W20" s="405"/>
      <c r="Z20" s="277"/>
      <c r="AA20" s="445">
        <v>102784</v>
      </c>
      <c r="AB20"/>
      <c r="AC20"/>
      <c r="AD20"/>
      <c r="AE20"/>
      <c r="AF20"/>
      <c r="AG20"/>
    </row>
    <row r="21" spans="1:33" ht="15.75" thickBot="1" x14ac:dyDescent="0.35">
      <c r="B21" s="365" t="s">
        <v>994</v>
      </c>
      <c r="C21" s="443" t="s">
        <v>1280</v>
      </c>
      <c r="D21" s="358" t="s">
        <v>1258</v>
      </c>
      <c r="E21" s="358" t="str">
        <f>"gemiddeld "&amp;input_voertuigen!$D21</f>
        <v>gemiddeld plug-in - B</v>
      </c>
      <c r="F21" s="358" t="s">
        <v>12</v>
      </c>
      <c r="G21" s="334" t="s">
        <v>16</v>
      </c>
      <c r="H21" s="333">
        <v>2023</v>
      </c>
      <c r="I21" s="445">
        <v>40337</v>
      </c>
      <c r="J21" s="366">
        <f>AVERAGE(J60)</f>
        <v>30</v>
      </c>
      <c r="K21" s="366">
        <v>108</v>
      </c>
      <c r="L21" s="367" t="s">
        <v>1012</v>
      </c>
      <c r="M21" s="368">
        <f>AVERAGE(M8,M13)</f>
        <v>1325</v>
      </c>
      <c r="N21" s="369">
        <v>17.100000000000001</v>
      </c>
      <c r="O21" s="367" t="s">
        <v>1012</v>
      </c>
      <c r="P21" s="367" t="s">
        <v>1012</v>
      </c>
      <c r="Q21" s="367" t="s">
        <v>1012</v>
      </c>
      <c r="R21" s="366"/>
      <c r="S21" s="367"/>
      <c r="T21" s="368">
        <v>39</v>
      </c>
      <c r="U21" s="405">
        <v>9.8000000000000007</v>
      </c>
      <c r="V21" s="405"/>
      <c r="W21" s="405"/>
      <c r="X21" s="348"/>
      <c r="AA21" s="445">
        <v>27563</v>
      </c>
    </row>
    <row r="22" spans="1:33" ht="15.75" thickBot="1" x14ac:dyDescent="0.35">
      <c r="B22" s="365" t="s">
        <v>994</v>
      </c>
      <c r="C22" s="443" t="s">
        <v>1280</v>
      </c>
      <c r="D22" s="358" t="s">
        <v>1259</v>
      </c>
      <c r="E22" s="358" t="str">
        <f>"gemiddeld "&amp;input_voertuigen!$D22</f>
        <v>gemiddeld plug-in - C</v>
      </c>
      <c r="F22" s="358" t="s">
        <v>4</v>
      </c>
      <c r="G22" s="334" t="s">
        <v>16</v>
      </c>
      <c r="H22" s="333">
        <v>2023</v>
      </c>
      <c r="I22" s="445">
        <v>48781</v>
      </c>
      <c r="J22" s="366">
        <f>AVERAGE(J62:J63)</f>
        <v>23</v>
      </c>
      <c r="K22" s="366">
        <v>122</v>
      </c>
      <c r="L22" s="367" t="s">
        <v>1012</v>
      </c>
      <c r="M22" s="368">
        <f t="shared" ref="M22:M24" si="0">AVERAGE(M9,M14)</f>
        <v>1500</v>
      </c>
      <c r="N22" s="369">
        <v>16.399999999999999</v>
      </c>
      <c r="O22" s="367" t="s">
        <v>1012</v>
      </c>
      <c r="P22" s="367" t="s">
        <v>1012</v>
      </c>
      <c r="Q22" s="367" t="s">
        <v>1012</v>
      </c>
      <c r="R22" s="366"/>
      <c r="S22" s="367"/>
      <c r="T22" s="368">
        <v>37</v>
      </c>
      <c r="U22" s="405">
        <v>11.1</v>
      </c>
      <c r="V22" s="405"/>
      <c r="W22" s="405"/>
      <c r="Z22" s="277"/>
      <c r="AA22" s="445">
        <v>40060</v>
      </c>
    </row>
    <row r="23" spans="1:33" ht="15.75" thickBot="1" x14ac:dyDescent="0.35">
      <c r="B23" s="365" t="s">
        <v>994</v>
      </c>
      <c r="C23" s="443" t="s">
        <v>1280</v>
      </c>
      <c r="D23" s="358" t="s">
        <v>1260</v>
      </c>
      <c r="E23" s="358" t="str">
        <f>"gemiddeld "&amp;input_voertuigen!$D23</f>
        <v>gemiddeld plug-in - D</v>
      </c>
      <c r="F23" s="358" t="s">
        <v>13</v>
      </c>
      <c r="G23" s="334" t="s">
        <v>16</v>
      </c>
      <c r="H23" s="333">
        <v>2023</v>
      </c>
      <c r="I23" s="445">
        <v>71744</v>
      </c>
      <c r="J23" s="366">
        <f>AVERAGE(J64:J65)</f>
        <v>32.5</v>
      </c>
      <c r="K23" s="366">
        <v>122</v>
      </c>
      <c r="L23" s="367" t="s">
        <v>1012</v>
      </c>
      <c r="M23" s="368">
        <f t="shared" si="0"/>
        <v>1650</v>
      </c>
      <c r="N23" s="369">
        <v>15.4</v>
      </c>
      <c r="O23" s="367" t="s">
        <v>1012</v>
      </c>
      <c r="P23" s="367" t="s">
        <v>1012</v>
      </c>
      <c r="Q23" s="367" t="s">
        <v>1012</v>
      </c>
      <c r="R23" s="366"/>
      <c r="S23" s="367"/>
      <c r="T23" s="368">
        <v>43</v>
      </c>
      <c r="U23" s="405">
        <v>11.5</v>
      </c>
      <c r="V23" s="405"/>
      <c r="W23" s="405"/>
      <c r="X23" s="348"/>
      <c r="AA23" s="445">
        <v>61884</v>
      </c>
    </row>
    <row r="24" spans="1:33" ht="15" customHeight="1" thickBot="1" x14ac:dyDescent="0.35">
      <c r="A24" s="361"/>
      <c r="B24" s="365" t="s">
        <v>994</v>
      </c>
      <c r="C24" s="443" t="s">
        <v>1280</v>
      </c>
      <c r="D24" s="358" t="s">
        <v>1261</v>
      </c>
      <c r="E24" s="358" t="str">
        <f>"gemiddeld "&amp;input_voertuigen!$D24</f>
        <v>gemiddeld plug-in - E</v>
      </c>
      <c r="F24" s="358" t="s">
        <v>14</v>
      </c>
      <c r="G24" s="334" t="s">
        <v>16</v>
      </c>
      <c r="H24" s="333">
        <v>2023</v>
      </c>
      <c r="I24" s="445">
        <v>106888</v>
      </c>
      <c r="J24" s="366">
        <f>AVERAGE(J66:J67)</f>
        <v>36</v>
      </c>
      <c r="K24" s="366">
        <v>142</v>
      </c>
      <c r="L24" s="367" t="s">
        <v>1012</v>
      </c>
      <c r="M24" s="368">
        <f t="shared" si="0"/>
        <v>2050</v>
      </c>
      <c r="N24" s="369">
        <v>17.899999999999999</v>
      </c>
      <c r="O24" s="367" t="s">
        <v>1012</v>
      </c>
      <c r="P24" s="367" t="s">
        <v>1012</v>
      </c>
      <c r="Q24" s="367" t="s">
        <v>1012</v>
      </c>
      <c r="R24" s="366"/>
      <c r="S24" s="367"/>
      <c r="T24" s="368">
        <v>50</v>
      </c>
      <c r="U24" s="405">
        <v>13.5</v>
      </c>
      <c r="V24" s="413"/>
      <c r="W24" s="413"/>
      <c r="AA24" s="445">
        <v>95334</v>
      </c>
    </row>
    <row r="25" spans="1:33" customFormat="1" ht="15" x14ac:dyDescent="0.3">
      <c r="A25" s="421" t="s">
        <v>1202</v>
      </c>
      <c r="C25" s="421" t="s">
        <v>1267</v>
      </c>
    </row>
    <row r="26" spans="1:33" x14ac:dyDescent="0.3">
      <c r="A26" s="361"/>
      <c r="B26" s="361"/>
      <c r="C26" s="361"/>
      <c r="D26" s="361"/>
      <c r="E26" s="361"/>
      <c r="F26" s="361"/>
      <c r="G26" s="361"/>
      <c r="H26" s="361"/>
      <c r="I26" s="361"/>
      <c r="J26" s="361" t="s">
        <v>1233</v>
      </c>
      <c r="K26" s="361"/>
      <c r="L26" s="361" t="s">
        <v>1203</v>
      </c>
      <c r="M26" s="361" t="s">
        <v>1204</v>
      </c>
      <c r="N26" s="361"/>
      <c r="O26" s="361"/>
      <c r="P26" s="361"/>
      <c r="Q26" s="361"/>
      <c r="R26" s="361"/>
      <c r="S26" s="361" t="s">
        <v>1205</v>
      </c>
      <c r="T26" s="361" t="s">
        <v>1198</v>
      </c>
    </row>
    <row r="27" spans="1:33" ht="14.25" thickBot="1" x14ac:dyDescent="0.35">
      <c r="A27" s="361"/>
      <c r="B27" s="370" t="s">
        <v>168</v>
      </c>
      <c r="C27" s="371" t="s">
        <v>960</v>
      </c>
      <c r="D27" s="371" t="s">
        <v>1000</v>
      </c>
      <c r="E27" s="371" t="s">
        <v>189</v>
      </c>
      <c r="F27" s="371" t="s">
        <v>60</v>
      </c>
      <c r="G27" s="371" t="s">
        <v>62</v>
      </c>
      <c r="H27" s="371" t="s">
        <v>999</v>
      </c>
      <c r="I27" s="371" t="s">
        <v>1470</v>
      </c>
      <c r="J27" s="371" t="s">
        <v>61</v>
      </c>
      <c r="K27" s="371" t="s">
        <v>1164</v>
      </c>
      <c r="L27" s="371" t="s">
        <v>543</v>
      </c>
      <c r="M27" s="371" t="s">
        <v>1385</v>
      </c>
      <c r="N27" s="371" t="s">
        <v>1159</v>
      </c>
      <c r="O27" s="371" t="s">
        <v>1145</v>
      </c>
      <c r="P27" s="371" t="s">
        <v>1130</v>
      </c>
      <c r="Q27" s="371" t="s">
        <v>1170</v>
      </c>
      <c r="R27" s="371" t="s">
        <v>158</v>
      </c>
      <c r="S27" s="371" t="s">
        <v>209</v>
      </c>
      <c r="T27" s="372" t="s">
        <v>95</v>
      </c>
    </row>
    <row r="28" spans="1:33" ht="15.75" thickBot="1" x14ac:dyDescent="0.35">
      <c r="A28" s="361"/>
      <c r="B28" s="365" t="s">
        <v>994</v>
      </c>
      <c r="C28" s="373" t="s">
        <v>1206</v>
      </c>
      <c r="D28" s="358" t="str">
        <f t="shared" ref="D28:D36" si="1">G28&amp;" - "&amp;F28</f>
        <v>Elektrisch - A</v>
      </c>
      <c r="E28" s="358" t="s">
        <v>1207</v>
      </c>
      <c r="F28" s="358" t="s">
        <v>11</v>
      </c>
      <c r="G28" s="334" t="s">
        <v>141</v>
      </c>
      <c r="H28" s="333">
        <v>2022</v>
      </c>
      <c r="I28" s="374">
        <v>20036.08597285068</v>
      </c>
      <c r="J28" s="366"/>
      <c r="K28" s="367" t="s">
        <v>1012</v>
      </c>
      <c r="L28" s="375">
        <v>1012</v>
      </c>
      <c r="M28" s="369">
        <v>13.9</v>
      </c>
      <c r="N28" s="367" t="s">
        <v>1012</v>
      </c>
      <c r="O28" s="367" t="s">
        <v>1012</v>
      </c>
      <c r="P28" s="367" t="s">
        <v>1012</v>
      </c>
      <c r="Q28" s="366"/>
      <c r="R28" s="366"/>
      <c r="S28" s="390"/>
      <c r="T28" s="366">
        <v>26.8</v>
      </c>
    </row>
    <row r="29" spans="1:33" ht="15.75" thickBot="1" x14ac:dyDescent="0.35">
      <c r="A29" s="361"/>
      <c r="B29" s="365" t="s">
        <v>994</v>
      </c>
      <c r="C29" s="373" t="s">
        <v>1208</v>
      </c>
      <c r="D29" s="358" t="str">
        <f t="shared" si="1"/>
        <v>Elektrisch - A</v>
      </c>
      <c r="E29" s="358" t="s">
        <v>1208</v>
      </c>
      <c r="F29" s="358" t="s">
        <v>11</v>
      </c>
      <c r="G29" s="334" t="s">
        <v>141</v>
      </c>
      <c r="H29" s="333">
        <v>2022</v>
      </c>
      <c r="I29" s="374">
        <v>24777.696850393702</v>
      </c>
      <c r="J29" s="366"/>
      <c r="K29" s="367" t="s">
        <v>1012</v>
      </c>
      <c r="L29" s="375">
        <v>1208</v>
      </c>
      <c r="M29" s="369">
        <v>16.3</v>
      </c>
      <c r="N29" s="367" t="s">
        <v>1012</v>
      </c>
      <c r="O29" s="367" t="s">
        <v>1012</v>
      </c>
      <c r="P29" s="367" t="s">
        <v>1012</v>
      </c>
      <c r="Q29" s="366"/>
      <c r="R29" s="366"/>
      <c r="S29" s="390"/>
      <c r="T29" s="366">
        <v>23</v>
      </c>
    </row>
    <row r="30" spans="1:33" ht="15.75" thickBot="1" x14ac:dyDescent="0.35">
      <c r="A30" s="361"/>
      <c r="B30" s="365" t="s">
        <v>994</v>
      </c>
      <c r="C30" s="373" t="s">
        <v>1209</v>
      </c>
      <c r="D30" s="358" t="str">
        <f t="shared" si="1"/>
        <v>Elektrisch - B</v>
      </c>
      <c r="E30" s="358" t="s">
        <v>1210</v>
      </c>
      <c r="F30" s="358" t="s">
        <v>12</v>
      </c>
      <c r="G30" s="334" t="s">
        <v>141</v>
      </c>
      <c r="H30" s="333">
        <v>2022</v>
      </c>
      <c r="I30" s="374">
        <v>37741.355003652301</v>
      </c>
      <c r="J30" s="366"/>
      <c r="K30" s="367" t="s">
        <v>1012</v>
      </c>
      <c r="L30" s="375">
        <v>1615</v>
      </c>
      <c r="M30" s="369">
        <v>14.7</v>
      </c>
      <c r="N30" s="367" t="s">
        <v>1012</v>
      </c>
      <c r="O30" s="367" t="s">
        <v>1012</v>
      </c>
      <c r="P30" s="367" t="s">
        <v>1012</v>
      </c>
      <c r="Q30" s="366"/>
      <c r="R30" s="366"/>
      <c r="S30" s="390"/>
      <c r="T30" s="366">
        <v>67.5</v>
      </c>
    </row>
    <row r="31" spans="1:33" ht="15.75" thickBot="1" x14ac:dyDescent="0.35">
      <c r="A31" s="361"/>
      <c r="B31" s="365" t="s">
        <v>994</v>
      </c>
      <c r="C31" s="373" t="s">
        <v>1211</v>
      </c>
      <c r="D31" s="358" t="str">
        <f t="shared" si="1"/>
        <v>Elektrisch - B</v>
      </c>
      <c r="E31" s="358" t="s">
        <v>1212</v>
      </c>
      <c r="F31" s="358" t="s">
        <v>12</v>
      </c>
      <c r="G31" s="334" t="s">
        <v>141</v>
      </c>
      <c r="H31" s="333">
        <v>2022</v>
      </c>
      <c r="I31" s="374">
        <v>35472.836004932185</v>
      </c>
      <c r="J31" s="366"/>
      <c r="K31" s="367" t="s">
        <v>1012</v>
      </c>
      <c r="L31" s="375">
        <v>1577</v>
      </c>
      <c r="M31" s="369">
        <v>17.7</v>
      </c>
      <c r="N31" s="367" t="s">
        <v>1012</v>
      </c>
      <c r="O31" s="367" t="s">
        <v>1012</v>
      </c>
      <c r="P31" s="367" t="s">
        <v>1012</v>
      </c>
      <c r="Q31" s="366"/>
      <c r="R31" s="366"/>
      <c r="S31" s="390"/>
      <c r="T31" s="366">
        <v>54.7</v>
      </c>
    </row>
    <row r="32" spans="1:33" ht="15.75" thickBot="1" x14ac:dyDescent="0.35">
      <c r="A32" s="361"/>
      <c r="B32" s="365" t="s">
        <v>994</v>
      </c>
      <c r="C32" s="373" t="s">
        <v>1213</v>
      </c>
      <c r="D32" s="358" t="str">
        <f t="shared" si="1"/>
        <v>Elektrisch - C</v>
      </c>
      <c r="E32" s="358" t="s">
        <v>1214</v>
      </c>
      <c r="F32" s="358" t="s">
        <v>4</v>
      </c>
      <c r="G32" s="334" t="s">
        <v>141</v>
      </c>
      <c r="H32" s="333">
        <v>2022</v>
      </c>
      <c r="I32" s="374">
        <v>44036.021375464683</v>
      </c>
      <c r="J32" s="366"/>
      <c r="K32" s="367" t="s">
        <v>1012</v>
      </c>
      <c r="L32" s="375">
        <v>1757</v>
      </c>
      <c r="M32" s="369">
        <v>16.399999999999999</v>
      </c>
      <c r="N32" s="367" t="s">
        <v>1012</v>
      </c>
      <c r="O32" s="367" t="s">
        <v>1012</v>
      </c>
      <c r="P32" s="367" t="s">
        <v>1012</v>
      </c>
      <c r="Q32" s="366"/>
      <c r="R32" s="366"/>
      <c r="S32" s="390"/>
      <c r="T32" s="366">
        <v>68</v>
      </c>
    </row>
    <row r="33" spans="1:20" ht="15.75" thickBot="1" x14ac:dyDescent="0.35">
      <c r="A33" s="361"/>
      <c r="B33" s="365" t="s">
        <v>994</v>
      </c>
      <c r="C33" s="373" t="s">
        <v>1215</v>
      </c>
      <c r="D33" s="358" t="str">
        <f t="shared" si="1"/>
        <v>Elektrisch - C</v>
      </c>
      <c r="E33" s="358" t="s">
        <v>1216</v>
      </c>
      <c r="F33" s="358" t="s">
        <v>4</v>
      </c>
      <c r="G33" s="334" t="s">
        <v>141</v>
      </c>
      <c r="H33" s="333">
        <v>2022</v>
      </c>
      <c r="I33" s="374">
        <v>40590.897711015736</v>
      </c>
      <c r="J33" s="366"/>
      <c r="K33" s="367" t="s">
        <v>1012</v>
      </c>
      <c r="L33" s="375">
        <v>1828</v>
      </c>
      <c r="M33" s="369">
        <v>15.1</v>
      </c>
      <c r="N33" s="367" t="s">
        <v>1012</v>
      </c>
      <c r="O33" s="367" t="s">
        <v>1012</v>
      </c>
      <c r="P33" s="367" t="s">
        <v>1012</v>
      </c>
      <c r="Q33" s="366"/>
      <c r="R33" s="366"/>
      <c r="S33" s="390"/>
      <c r="T33" s="366">
        <v>55</v>
      </c>
    </row>
    <row r="34" spans="1:20" ht="15.75" thickBot="1" x14ac:dyDescent="0.35">
      <c r="A34" s="361"/>
      <c r="B34" s="365" t="s">
        <v>994</v>
      </c>
      <c r="C34" s="373" t="s">
        <v>1217</v>
      </c>
      <c r="D34" s="358" t="str">
        <f t="shared" si="1"/>
        <v>Elektrisch - D</v>
      </c>
      <c r="E34" s="358" t="s">
        <v>1218</v>
      </c>
      <c r="F34" s="358" t="s">
        <v>13</v>
      </c>
      <c r="G34" s="334" t="s">
        <v>141</v>
      </c>
      <c r="H34" s="333">
        <v>2022</v>
      </c>
      <c r="I34" s="374">
        <v>59274.583333333336</v>
      </c>
      <c r="J34" s="366"/>
      <c r="K34" s="367" t="s">
        <v>1012</v>
      </c>
      <c r="L34" s="375">
        <v>1891</v>
      </c>
      <c r="M34" s="369">
        <v>14.4</v>
      </c>
      <c r="N34" s="367" t="s">
        <v>1012</v>
      </c>
      <c r="O34" s="367" t="s">
        <v>1012</v>
      </c>
      <c r="P34" s="367" t="s">
        <v>1012</v>
      </c>
      <c r="Q34" s="366"/>
      <c r="R34" s="366"/>
      <c r="S34" s="390"/>
      <c r="T34" s="366">
        <v>60</v>
      </c>
    </row>
    <row r="35" spans="1:20" ht="15.75" thickBot="1" x14ac:dyDescent="0.35">
      <c r="A35" s="361"/>
      <c r="B35" s="365" t="s">
        <v>994</v>
      </c>
      <c r="C35" s="373" t="s">
        <v>1219</v>
      </c>
      <c r="D35" s="358" t="str">
        <f t="shared" si="1"/>
        <v>Elektrisch - D</v>
      </c>
      <c r="E35" s="358" t="s">
        <v>1220</v>
      </c>
      <c r="F35" s="358" t="s">
        <v>13</v>
      </c>
      <c r="G35" s="334" t="s">
        <v>141</v>
      </c>
      <c r="H35" s="333">
        <v>2022</v>
      </c>
      <c r="I35" s="374">
        <v>54210.295994993743</v>
      </c>
      <c r="J35" s="366"/>
      <c r="K35" s="367" t="s">
        <v>1012</v>
      </c>
      <c r="L35" s="375">
        <v>2077</v>
      </c>
      <c r="M35" s="369">
        <v>18.3</v>
      </c>
      <c r="N35" s="367" t="s">
        <v>1012</v>
      </c>
      <c r="O35" s="367" t="s">
        <v>1012</v>
      </c>
      <c r="P35" s="367" t="s">
        <v>1012</v>
      </c>
      <c r="Q35" s="366"/>
      <c r="R35" s="366"/>
      <c r="S35" s="390"/>
      <c r="T35" s="366">
        <v>78</v>
      </c>
    </row>
    <row r="36" spans="1:20" ht="15.75" thickBot="1" x14ac:dyDescent="0.35">
      <c r="A36" s="361"/>
      <c r="B36" s="365" t="s">
        <v>994</v>
      </c>
      <c r="C36" s="373" t="s">
        <v>1221</v>
      </c>
      <c r="D36" s="358" t="str">
        <f t="shared" si="1"/>
        <v>Elektrisch - E</v>
      </c>
      <c r="E36" s="358" t="s">
        <v>1222</v>
      </c>
      <c r="F36" s="358" t="s">
        <v>14</v>
      </c>
      <c r="G36" s="334" t="s">
        <v>141</v>
      </c>
      <c r="H36" s="333">
        <v>2022</v>
      </c>
      <c r="I36" s="374">
        <v>93120</v>
      </c>
      <c r="J36" s="366"/>
      <c r="K36" s="367" t="s">
        <v>1012</v>
      </c>
      <c r="L36" s="375">
        <v>2198</v>
      </c>
      <c r="M36" s="369">
        <v>18.7</v>
      </c>
      <c r="N36" s="367" t="s">
        <v>1012</v>
      </c>
      <c r="O36" s="367" t="s">
        <v>1012</v>
      </c>
      <c r="P36" s="367" t="s">
        <v>1012</v>
      </c>
      <c r="Q36" s="366"/>
      <c r="R36" s="366"/>
      <c r="S36" s="390"/>
      <c r="T36" s="366">
        <v>100</v>
      </c>
    </row>
    <row r="37" spans="1:20" ht="15.75" thickBot="1" x14ac:dyDescent="0.35">
      <c r="A37" s="361"/>
      <c r="B37" s="365" t="s">
        <v>994</v>
      </c>
      <c r="C37" s="373" t="s">
        <v>1223</v>
      </c>
      <c r="D37" s="358" t="str">
        <f>G37&amp;" - "&amp;F37</f>
        <v>Elektrisch - E</v>
      </c>
      <c r="E37" s="358" t="s">
        <v>1223</v>
      </c>
      <c r="F37" s="358" t="s">
        <v>14</v>
      </c>
      <c r="G37" s="334" t="s">
        <v>141</v>
      </c>
      <c r="H37" s="333">
        <v>2022</v>
      </c>
      <c r="I37" s="374">
        <v>137178.32167832169</v>
      </c>
      <c r="J37" s="366"/>
      <c r="K37" s="367" t="s">
        <v>1012</v>
      </c>
      <c r="L37" s="375">
        <v>2368</v>
      </c>
      <c r="M37" s="369">
        <v>22.5</v>
      </c>
      <c r="N37" s="367" t="s">
        <v>1012</v>
      </c>
      <c r="O37" s="367" t="s">
        <v>1012</v>
      </c>
      <c r="P37" s="367" t="s">
        <v>1012</v>
      </c>
      <c r="Q37" s="366"/>
      <c r="R37" s="366"/>
      <c r="S37" s="390"/>
      <c r="T37" s="366">
        <v>93.4</v>
      </c>
    </row>
    <row r="38" spans="1:20" ht="15.75" thickBot="1" x14ac:dyDescent="0.35">
      <c r="A38" s="361"/>
      <c r="B38" s="365" t="s">
        <v>994</v>
      </c>
      <c r="C38" s="358" t="s">
        <v>1224</v>
      </c>
      <c r="D38" s="358" t="str">
        <f t="shared" ref="D38:D56" si="2">G38&amp;" - "&amp;F38</f>
        <v>benzine - A</v>
      </c>
      <c r="E38" s="358" t="s">
        <v>1224</v>
      </c>
      <c r="F38" s="358" t="s">
        <v>11</v>
      </c>
      <c r="G38" s="334" t="s">
        <v>2</v>
      </c>
      <c r="H38" s="333">
        <v>2022</v>
      </c>
      <c r="I38" s="374">
        <v>17104.593106674984</v>
      </c>
      <c r="J38" s="366">
        <v>110</v>
      </c>
      <c r="K38" s="367" t="s">
        <v>1012</v>
      </c>
      <c r="L38" s="375">
        <v>978</v>
      </c>
      <c r="M38" s="369"/>
      <c r="N38" s="367" t="s">
        <v>1012</v>
      </c>
      <c r="O38" s="367" t="s">
        <v>1012</v>
      </c>
      <c r="P38" s="367" t="s">
        <v>1012</v>
      </c>
      <c r="Q38" s="366"/>
      <c r="R38" s="366"/>
      <c r="S38" s="366">
        <v>35</v>
      </c>
      <c r="T38" s="390"/>
    </row>
    <row r="39" spans="1:20" ht="15.75" thickBot="1" x14ac:dyDescent="0.35">
      <c r="A39" s="361"/>
      <c r="B39" s="365" t="s">
        <v>994</v>
      </c>
      <c r="C39" s="358" t="s">
        <v>83</v>
      </c>
      <c r="D39" s="358" t="str">
        <f t="shared" si="2"/>
        <v>benzine - A</v>
      </c>
      <c r="E39" s="358" t="s">
        <v>83</v>
      </c>
      <c r="F39" s="358" t="s">
        <v>11</v>
      </c>
      <c r="G39" s="334" t="s">
        <v>2</v>
      </c>
      <c r="H39" s="333">
        <v>2022</v>
      </c>
      <c r="I39" s="374">
        <v>19078.83106617647</v>
      </c>
      <c r="J39" s="366">
        <v>110</v>
      </c>
      <c r="K39" s="367" t="s">
        <v>1012</v>
      </c>
      <c r="L39" s="375">
        <v>1006</v>
      </c>
      <c r="M39" s="369"/>
      <c r="N39" s="367" t="s">
        <v>1012</v>
      </c>
      <c r="O39" s="367" t="s">
        <v>1012</v>
      </c>
      <c r="P39" s="367" t="s">
        <v>1012</v>
      </c>
      <c r="Q39" s="366"/>
      <c r="R39" s="366"/>
      <c r="S39" s="366">
        <v>40</v>
      </c>
      <c r="T39" s="390"/>
    </row>
    <row r="40" spans="1:20" ht="15.75" thickBot="1" x14ac:dyDescent="0.35">
      <c r="A40" s="361"/>
      <c r="B40" s="365" t="s">
        <v>994</v>
      </c>
      <c r="C40" s="358" t="s">
        <v>301</v>
      </c>
      <c r="D40" s="358" t="str">
        <f t="shared" si="2"/>
        <v>benzine - B</v>
      </c>
      <c r="E40" s="358" t="s">
        <v>301</v>
      </c>
      <c r="F40" s="358" t="s">
        <v>12</v>
      </c>
      <c r="G40" s="334" t="s">
        <v>2</v>
      </c>
      <c r="H40" s="333">
        <v>2022</v>
      </c>
      <c r="I40" s="374">
        <v>23259.239672131149</v>
      </c>
      <c r="J40" s="366">
        <v>110</v>
      </c>
      <c r="K40" s="367" t="s">
        <v>1012</v>
      </c>
      <c r="L40" s="375">
        <v>1055</v>
      </c>
      <c r="M40" s="369"/>
      <c r="N40" s="367" t="s">
        <v>1012</v>
      </c>
      <c r="O40" s="367" t="s">
        <v>1012</v>
      </c>
      <c r="P40" s="367" t="s">
        <v>1012</v>
      </c>
      <c r="Q40" s="366"/>
      <c r="R40" s="366"/>
      <c r="S40" s="366">
        <v>47</v>
      </c>
      <c r="T40" s="390"/>
    </row>
    <row r="41" spans="1:20" ht="15.75" thickBot="1" x14ac:dyDescent="0.35">
      <c r="A41" s="361"/>
      <c r="B41" s="365" t="s">
        <v>994</v>
      </c>
      <c r="C41" s="358" t="s">
        <v>402</v>
      </c>
      <c r="D41" s="358" t="str">
        <f t="shared" si="2"/>
        <v>benzine - B</v>
      </c>
      <c r="E41" s="358" t="s">
        <v>402</v>
      </c>
      <c r="F41" s="358" t="s">
        <v>12</v>
      </c>
      <c r="G41" s="334" t="s">
        <v>2</v>
      </c>
      <c r="H41" s="333">
        <v>2022</v>
      </c>
      <c r="I41" s="374">
        <v>26245.068342016548</v>
      </c>
      <c r="J41" s="366">
        <v>117</v>
      </c>
      <c r="K41" s="367" t="s">
        <v>1012</v>
      </c>
      <c r="L41" s="375">
        <v>1208</v>
      </c>
      <c r="M41" s="369"/>
      <c r="N41" s="367" t="s">
        <v>1012</v>
      </c>
      <c r="O41" s="367" t="s">
        <v>1012</v>
      </c>
      <c r="P41" s="367" t="s">
        <v>1012</v>
      </c>
      <c r="Q41" s="366"/>
      <c r="R41" s="366"/>
      <c r="S41" s="366">
        <v>52</v>
      </c>
      <c r="T41" s="390"/>
    </row>
    <row r="42" spans="1:20" ht="15.75" thickBot="1" x14ac:dyDescent="0.35">
      <c r="A42" s="361"/>
      <c r="B42" s="365" t="s">
        <v>994</v>
      </c>
      <c r="C42" s="358" t="s">
        <v>1225</v>
      </c>
      <c r="D42" s="358" t="str">
        <f t="shared" si="2"/>
        <v>benzine - C</v>
      </c>
      <c r="E42" s="358" t="s">
        <v>1225</v>
      </c>
      <c r="F42" s="358" t="s">
        <v>4</v>
      </c>
      <c r="G42" s="334" t="s">
        <v>2</v>
      </c>
      <c r="H42" s="333">
        <v>2022</v>
      </c>
      <c r="I42" s="374">
        <v>33076.844574780058</v>
      </c>
      <c r="J42" s="366">
        <v>134</v>
      </c>
      <c r="K42" s="367" t="s">
        <v>1012</v>
      </c>
      <c r="L42" s="375">
        <v>1375</v>
      </c>
      <c r="M42" s="369"/>
      <c r="N42" s="367" t="s">
        <v>1012</v>
      </c>
      <c r="O42" s="367" t="s">
        <v>1012</v>
      </c>
      <c r="P42" s="367" t="s">
        <v>1012</v>
      </c>
      <c r="Q42" s="366"/>
      <c r="R42" s="366"/>
      <c r="S42" s="366">
        <v>59</v>
      </c>
      <c r="T42" s="390"/>
    </row>
    <row r="43" spans="1:20" ht="15.75" thickBot="1" x14ac:dyDescent="0.35">
      <c r="A43" s="361"/>
      <c r="B43" s="365" t="s">
        <v>994</v>
      </c>
      <c r="C43" s="358" t="s">
        <v>337</v>
      </c>
      <c r="D43" s="358" t="str">
        <f t="shared" si="2"/>
        <v>benzine - C</v>
      </c>
      <c r="E43" s="358" t="s">
        <v>337</v>
      </c>
      <c r="F43" s="358" t="s">
        <v>4</v>
      </c>
      <c r="G43" s="334" t="s">
        <v>2</v>
      </c>
      <c r="H43" s="333">
        <v>2022</v>
      </c>
      <c r="I43" s="374">
        <v>34513.70385126162</v>
      </c>
      <c r="J43" s="366">
        <v>125</v>
      </c>
      <c r="K43" s="367" t="s">
        <v>1012</v>
      </c>
      <c r="L43" s="375">
        <v>1418</v>
      </c>
      <c r="M43" s="369"/>
      <c r="N43" s="367" t="s">
        <v>1012</v>
      </c>
      <c r="O43" s="367" t="s">
        <v>1012</v>
      </c>
      <c r="P43" s="367" t="s">
        <v>1012</v>
      </c>
      <c r="Q43" s="366"/>
      <c r="R43" s="366"/>
      <c r="S43" s="366">
        <v>62</v>
      </c>
      <c r="T43" s="390"/>
    </row>
    <row r="44" spans="1:20" ht="15.75" thickBot="1" x14ac:dyDescent="0.35">
      <c r="A44" s="361"/>
      <c r="B44" s="365" t="s">
        <v>994</v>
      </c>
      <c r="C44" s="358" t="s">
        <v>1226</v>
      </c>
      <c r="D44" s="358" t="str">
        <f t="shared" si="2"/>
        <v>benzine - D</v>
      </c>
      <c r="E44" s="358" t="s">
        <v>1226</v>
      </c>
      <c r="F44" s="358" t="s">
        <v>13</v>
      </c>
      <c r="G44" s="334" t="s">
        <v>2</v>
      </c>
      <c r="H44" s="333">
        <v>2022</v>
      </c>
      <c r="I44" s="374">
        <v>59935.303664921463</v>
      </c>
      <c r="J44" s="366">
        <v>151</v>
      </c>
      <c r="K44" s="367" t="s">
        <v>1012</v>
      </c>
      <c r="L44" s="375">
        <v>1631</v>
      </c>
      <c r="M44" s="369"/>
      <c r="N44" s="367" t="s">
        <v>1012</v>
      </c>
      <c r="O44" s="367" t="s">
        <v>1012</v>
      </c>
      <c r="P44" s="367" t="s">
        <v>1012</v>
      </c>
      <c r="Q44" s="366"/>
      <c r="R44" s="366"/>
      <c r="S44" s="366">
        <v>63</v>
      </c>
      <c r="T44" s="390"/>
    </row>
    <row r="45" spans="1:20" ht="15.75" thickBot="1" x14ac:dyDescent="0.35">
      <c r="A45" s="361"/>
      <c r="B45" s="365" t="s">
        <v>994</v>
      </c>
      <c r="C45" s="358" t="s">
        <v>1227</v>
      </c>
      <c r="D45" s="358" t="str">
        <f t="shared" si="2"/>
        <v>benzine - D</v>
      </c>
      <c r="E45" s="358" t="s">
        <v>1227</v>
      </c>
      <c r="F45" s="358" t="s">
        <v>13</v>
      </c>
      <c r="G45" s="334" t="s">
        <v>2</v>
      </c>
      <c r="H45" s="333">
        <v>2022</v>
      </c>
      <c r="I45" s="374">
        <v>40435.810810810814</v>
      </c>
      <c r="J45" s="366">
        <v>137</v>
      </c>
      <c r="K45" s="367" t="s">
        <v>1012</v>
      </c>
      <c r="L45" s="375">
        <v>1482</v>
      </c>
      <c r="M45" s="369"/>
      <c r="N45" s="367" t="s">
        <v>1012</v>
      </c>
      <c r="O45" s="367" t="s">
        <v>1012</v>
      </c>
      <c r="P45" s="367" t="s">
        <v>1012</v>
      </c>
      <c r="Q45" s="366"/>
      <c r="R45" s="366"/>
      <c r="S45" s="366">
        <v>66</v>
      </c>
      <c r="T45" s="390"/>
    </row>
    <row r="46" spans="1:20" ht="14.25" thickBot="1" x14ac:dyDescent="0.35">
      <c r="A46" s="361"/>
      <c r="B46" s="365" t="s">
        <v>994</v>
      </c>
      <c r="C46" s="358" t="s">
        <v>1228</v>
      </c>
      <c r="D46" s="358" t="str">
        <f t="shared" si="2"/>
        <v>benzine - E</v>
      </c>
      <c r="E46" s="358" t="s">
        <v>1228</v>
      </c>
      <c r="F46" s="358" t="s">
        <v>14</v>
      </c>
      <c r="G46" s="334" t="s">
        <v>2</v>
      </c>
      <c r="H46" s="333">
        <v>2022</v>
      </c>
      <c r="I46" s="374">
        <v>85799.736486486479</v>
      </c>
      <c r="J46" s="366">
        <v>170</v>
      </c>
      <c r="K46" s="367" t="s">
        <v>1012</v>
      </c>
      <c r="L46" s="375">
        <v>1893</v>
      </c>
      <c r="M46" s="369"/>
      <c r="N46" s="367" t="s">
        <v>1012</v>
      </c>
      <c r="O46" s="367" t="s">
        <v>1012</v>
      </c>
      <c r="P46" s="367" t="s">
        <v>1012</v>
      </c>
      <c r="Q46" s="366"/>
      <c r="R46" s="366"/>
      <c r="S46" s="366">
        <v>73</v>
      </c>
      <c r="T46" s="366"/>
    </row>
    <row r="47" spans="1:20" ht="14.25" thickBot="1" x14ac:dyDescent="0.35">
      <c r="A47" s="361"/>
      <c r="B47" s="365" t="s">
        <v>994</v>
      </c>
      <c r="C47" s="358" t="s">
        <v>447</v>
      </c>
      <c r="D47" s="358" t="str">
        <f t="shared" si="2"/>
        <v>benzine - E</v>
      </c>
      <c r="E47" s="358" t="s">
        <v>447</v>
      </c>
      <c r="F47" s="358" t="s">
        <v>14</v>
      </c>
      <c r="G47" s="334" t="s">
        <v>2</v>
      </c>
      <c r="H47" s="333">
        <v>2022</v>
      </c>
      <c r="I47" s="374">
        <v>73339.526315789481</v>
      </c>
      <c r="J47" s="366">
        <v>162</v>
      </c>
      <c r="K47" s="367" t="s">
        <v>1012</v>
      </c>
      <c r="L47" s="375">
        <v>1741</v>
      </c>
      <c r="M47" s="369"/>
      <c r="N47" s="367" t="s">
        <v>1012</v>
      </c>
      <c r="O47" s="367" t="s">
        <v>1012</v>
      </c>
      <c r="P47" s="367" t="s">
        <v>1012</v>
      </c>
      <c r="Q47" s="366"/>
      <c r="R47" s="366"/>
      <c r="S47" s="366">
        <v>66</v>
      </c>
      <c r="T47" s="366"/>
    </row>
    <row r="48" spans="1:20" ht="14.25" thickBot="1" x14ac:dyDescent="0.35">
      <c r="A48" s="361"/>
      <c r="B48" s="365" t="s">
        <v>994</v>
      </c>
      <c r="C48" s="358"/>
      <c r="D48" s="358" t="str">
        <f t="shared" si="2"/>
        <v>diesel - A</v>
      </c>
      <c r="E48" s="358"/>
      <c r="F48" s="358" t="s">
        <v>11</v>
      </c>
      <c r="G48" s="334" t="s">
        <v>15</v>
      </c>
      <c r="H48" s="333">
        <v>2022</v>
      </c>
      <c r="I48" s="319"/>
      <c r="J48" s="366"/>
      <c r="K48" s="367" t="s">
        <v>1012</v>
      </c>
      <c r="L48" s="368"/>
      <c r="M48" s="369"/>
      <c r="N48" s="367" t="s">
        <v>1012</v>
      </c>
      <c r="O48" s="367" t="s">
        <v>1012</v>
      </c>
      <c r="P48" s="367" t="s">
        <v>1012</v>
      </c>
      <c r="Q48" s="366"/>
      <c r="R48" s="367"/>
      <c r="S48" s="368"/>
      <c r="T48" s="369"/>
    </row>
    <row r="49" spans="1:20" ht="14.25" thickBot="1" x14ac:dyDescent="0.35">
      <c r="A49" s="361"/>
      <c r="B49" s="365" t="s">
        <v>994</v>
      </c>
      <c r="C49" s="358"/>
      <c r="D49" s="358" t="str">
        <f t="shared" si="2"/>
        <v>diesel - A</v>
      </c>
      <c r="E49" s="358"/>
      <c r="F49" s="358" t="s">
        <v>11</v>
      </c>
      <c r="G49" s="334" t="s">
        <v>15</v>
      </c>
      <c r="H49" s="333">
        <v>2022</v>
      </c>
      <c r="I49" s="319"/>
      <c r="J49" s="366"/>
      <c r="K49" s="367" t="s">
        <v>1012</v>
      </c>
      <c r="L49" s="368"/>
      <c r="M49" s="369"/>
      <c r="N49" s="367" t="s">
        <v>1012</v>
      </c>
      <c r="O49" s="367" t="s">
        <v>1012</v>
      </c>
      <c r="P49" s="367" t="s">
        <v>1012</v>
      </c>
      <c r="Q49" s="366"/>
      <c r="R49" s="367"/>
      <c r="S49" s="368"/>
      <c r="T49" s="369"/>
    </row>
    <row r="50" spans="1:20" ht="14.25" thickBot="1" x14ac:dyDescent="0.35">
      <c r="A50" s="361"/>
      <c r="B50" s="365" t="s">
        <v>994</v>
      </c>
      <c r="C50" s="388" t="s">
        <v>301</v>
      </c>
      <c r="D50" s="358" t="str">
        <f t="shared" si="2"/>
        <v>diesel - B</v>
      </c>
      <c r="E50" s="388" t="s">
        <v>301</v>
      </c>
      <c r="F50" s="358" t="s">
        <v>12</v>
      </c>
      <c r="G50" s="334" t="s">
        <v>15</v>
      </c>
      <c r="H50" s="333">
        <v>2022</v>
      </c>
      <c r="I50" s="319">
        <v>28370</v>
      </c>
      <c r="J50" s="366">
        <v>106</v>
      </c>
      <c r="K50" s="367" t="s">
        <v>1012</v>
      </c>
      <c r="L50" s="368">
        <v>1065</v>
      </c>
      <c r="M50" s="369"/>
      <c r="N50" s="367" t="s">
        <v>1012</v>
      </c>
      <c r="O50" s="367" t="s">
        <v>1012</v>
      </c>
      <c r="P50" s="367" t="s">
        <v>1012</v>
      </c>
      <c r="Q50" s="366"/>
      <c r="R50" s="367"/>
      <c r="S50" s="368">
        <v>41</v>
      </c>
      <c r="T50" s="369"/>
    </row>
    <row r="51" spans="1:20" ht="14.25" thickBot="1" x14ac:dyDescent="0.35">
      <c r="A51" s="361"/>
      <c r="B51" s="365" t="s">
        <v>994</v>
      </c>
      <c r="C51" s="389" t="s">
        <v>402</v>
      </c>
      <c r="D51" s="358" t="str">
        <f t="shared" si="2"/>
        <v>diesel - B</v>
      </c>
      <c r="E51" s="389" t="s">
        <v>402</v>
      </c>
      <c r="F51" s="358" t="s">
        <v>12</v>
      </c>
      <c r="G51" s="334" t="s">
        <v>15</v>
      </c>
      <c r="H51" s="333">
        <v>2022</v>
      </c>
      <c r="I51" s="319">
        <v>30399</v>
      </c>
      <c r="J51" s="366">
        <v>106</v>
      </c>
      <c r="K51" s="367" t="s">
        <v>1012</v>
      </c>
      <c r="L51" s="368">
        <v>1065</v>
      </c>
      <c r="M51" s="369"/>
      <c r="N51" s="367" t="s">
        <v>1012</v>
      </c>
      <c r="O51" s="367" t="s">
        <v>1012</v>
      </c>
      <c r="P51" s="367" t="s">
        <v>1012</v>
      </c>
      <c r="Q51" s="366"/>
      <c r="R51" s="367"/>
      <c r="S51" s="368">
        <v>41</v>
      </c>
      <c r="T51" s="369"/>
    </row>
    <row r="52" spans="1:20" ht="14.25" thickBot="1" x14ac:dyDescent="0.35">
      <c r="A52" s="361"/>
      <c r="B52" s="365" t="s">
        <v>994</v>
      </c>
      <c r="C52" s="389" t="s">
        <v>337</v>
      </c>
      <c r="D52" s="358" t="str">
        <f t="shared" si="2"/>
        <v>diesel - C</v>
      </c>
      <c r="E52" s="389" t="s">
        <v>337</v>
      </c>
      <c r="F52" s="358" t="s">
        <v>4</v>
      </c>
      <c r="G52" s="334" t="s">
        <v>15</v>
      </c>
      <c r="H52" s="333">
        <v>2022</v>
      </c>
      <c r="I52" s="319">
        <v>36550</v>
      </c>
      <c r="J52" s="366">
        <v>123</v>
      </c>
      <c r="K52" s="367" t="s">
        <v>1012</v>
      </c>
      <c r="L52" s="368">
        <v>1315</v>
      </c>
      <c r="M52" s="369"/>
      <c r="N52" s="367" t="s">
        <v>1012</v>
      </c>
      <c r="O52" s="367" t="s">
        <v>1012</v>
      </c>
      <c r="P52" s="367" t="s">
        <v>1012</v>
      </c>
      <c r="Q52" s="366"/>
      <c r="R52" s="367"/>
      <c r="S52" s="368">
        <v>47</v>
      </c>
      <c r="T52" s="369"/>
    </row>
    <row r="53" spans="1:20" ht="14.25" thickBot="1" x14ac:dyDescent="0.35">
      <c r="A53" s="361"/>
      <c r="B53" s="365" t="s">
        <v>994</v>
      </c>
      <c r="C53" s="389" t="s">
        <v>363</v>
      </c>
      <c r="D53" s="358" t="str">
        <f t="shared" si="2"/>
        <v>diesel - C</v>
      </c>
      <c r="E53" s="389" t="s">
        <v>363</v>
      </c>
      <c r="F53" s="358" t="s">
        <v>4</v>
      </c>
      <c r="G53" s="334" t="s">
        <v>15</v>
      </c>
      <c r="H53" s="333">
        <v>2022</v>
      </c>
      <c r="I53" s="319">
        <v>39649</v>
      </c>
      <c r="J53" s="366">
        <v>117</v>
      </c>
      <c r="K53" s="367" t="s">
        <v>1012</v>
      </c>
      <c r="L53" s="368">
        <v>1338</v>
      </c>
      <c r="M53" s="369"/>
      <c r="N53" s="367" t="s">
        <v>1012</v>
      </c>
      <c r="O53" s="367" t="s">
        <v>1012</v>
      </c>
      <c r="P53" s="367" t="s">
        <v>1012</v>
      </c>
      <c r="Q53" s="366"/>
      <c r="R53" s="367"/>
      <c r="S53" s="368">
        <v>52</v>
      </c>
      <c r="T53" s="369"/>
    </row>
    <row r="54" spans="1:20" ht="14.25" thickBot="1" x14ac:dyDescent="0.35">
      <c r="A54" s="361"/>
      <c r="B54" s="365" t="s">
        <v>994</v>
      </c>
      <c r="C54" s="389" t="s">
        <v>865</v>
      </c>
      <c r="D54" s="358" t="str">
        <f t="shared" si="2"/>
        <v>diesel - D</v>
      </c>
      <c r="E54" s="389" t="s">
        <v>865</v>
      </c>
      <c r="F54" s="358" t="s">
        <v>13</v>
      </c>
      <c r="G54" s="334" t="s">
        <v>15</v>
      </c>
      <c r="H54" s="333">
        <v>2022</v>
      </c>
      <c r="I54" s="319">
        <v>45000</v>
      </c>
      <c r="J54" s="366">
        <v>121</v>
      </c>
      <c r="K54" s="367" t="s">
        <v>1012</v>
      </c>
      <c r="L54" s="368">
        <v>1474</v>
      </c>
      <c r="M54" s="369"/>
      <c r="N54" s="367" t="s">
        <v>1012</v>
      </c>
      <c r="O54" s="367" t="s">
        <v>1012</v>
      </c>
      <c r="P54" s="367" t="s">
        <v>1012</v>
      </c>
      <c r="Q54" s="366"/>
      <c r="R54" s="367"/>
      <c r="S54" s="368">
        <v>55</v>
      </c>
      <c r="T54" s="369"/>
    </row>
    <row r="55" spans="1:20" ht="14.25" thickBot="1" x14ac:dyDescent="0.35">
      <c r="A55" s="361"/>
      <c r="B55" s="365" t="s">
        <v>994</v>
      </c>
      <c r="C55" s="389" t="s">
        <v>1236</v>
      </c>
      <c r="D55" s="358" t="str">
        <f t="shared" si="2"/>
        <v>diesel - D</v>
      </c>
      <c r="E55" s="389" t="s">
        <v>1236</v>
      </c>
      <c r="F55" s="358" t="s">
        <v>13</v>
      </c>
      <c r="G55" s="334" t="s">
        <v>15</v>
      </c>
      <c r="H55" s="333">
        <v>2022</v>
      </c>
      <c r="I55" s="319">
        <v>71257</v>
      </c>
      <c r="J55" s="366">
        <v>140</v>
      </c>
      <c r="K55" s="367" t="s">
        <v>1012</v>
      </c>
      <c r="L55" s="368">
        <v>1745</v>
      </c>
      <c r="M55" s="369"/>
      <c r="N55" s="367" t="s">
        <v>1012</v>
      </c>
      <c r="O55" s="367" t="s">
        <v>1012</v>
      </c>
      <c r="P55" s="367" t="s">
        <v>1012</v>
      </c>
      <c r="Q55" s="366"/>
      <c r="R55" s="367"/>
      <c r="S55" s="368">
        <v>59</v>
      </c>
      <c r="T55" s="369"/>
    </row>
    <row r="56" spans="1:20" ht="14.25" thickBot="1" x14ac:dyDescent="0.35">
      <c r="A56" s="361"/>
      <c r="B56" s="365" t="s">
        <v>994</v>
      </c>
      <c r="C56" s="389" t="s">
        <v>447</v>
      </c>
      <c r="D56" s="358" t="str">
        <f t="shared" si="2"/>
        <v>diesel - E</v>
      </c>
      <c r="E56" s="389" t="s">
        <v>447</v>
      </c>
      <c r="F56" s="358" t="s">
        <v>14</v>
      </c>
      <c r="G56" s="334" t="s">
        <v>15</v>
      </c>
      <c r="H56" s="333">
        <v>2022</v>
      </c>
      <c r="I56" s="319">
        <v>98455</v>
      </c>
      <c r="J56" s="366">
        <v>174</v>
      </c>
      <c r="K56" s="367" t="s">
        <v>1012</v>
      </c>
      <c r="L56" s="368">
        <v>1906</v>
      </c>
      <c r="M56" s="369"/>
      <c r="N56" s="367" t="s">
        <v>1012</v>
      </c>
      <c r="O56" s="367" t="s">
        <v>1012</v>
      </c>
      <c r="P56" s="367" t="s">
        <v>1012</v>
      </c>
      <c r="Q56" s="366"/>
      <c r="R56" s="367"/>
      <c r="S56" s="368">
        <v>73</v>
      </c>
      <c r="T56" s="369"/>
    </row>
    <row r="57" spans="1:20" ht="14.25" thickBot="1" x14ac:dyDescent="0.35">
      <c r="A57" s="361"/>
      <c r="B57" s="365" t="s">
        <v>994</v>
      </c>
      <c r="C57" s="389" t="s">
        <v>1237</v>
      </c>
      <c r="D57" s="358" t="str">
        <f>G57&amp;" - "&amp;F57</f>
        <v>diesel - E</v>
      </c>
      <c r="E57" s="389" t="s">
        <v>1237</v>
      </c>
      <c r="F57" s="358" t="s">
        <v>14</v>
      </c>
      <c r="G57" s="334" t="s">
        <v>15</v>
      </c>
      <c r="H57" s="333">
        <v>2022</v>
      </c>
      <c r="I57" s="319">
        <v>105118</v>
      </c>
      <c r="J57" s="366">
        <v>163</v>
      </c>
      <c r="K57" s="367" t="s">
        <v>1012</v>
      </c>
      <c r="L57" s="368">
        <v>1985</v>
      </c>
      <c r="M57" s="369"/>
      <c r="N57" s="367" t="s">
        <v>1012</v>
      </c>
      <c r="O57" s="367" t="s">
        <v>1012</v>
      </c>
      <c r="P57" s="367" t="s">
        <v>1012</v>
      </c>
      <c r="Q57" s="366"/>
      <c r="R57" s="367"/>
      <c r="S57" s="368">
        <v>70</v>
      </c>
      <c r="T57" s="369"/>
    </row>
    <row r="58" spans="1:20" ht="14.25" thickBot="1" x14ac:dyDescent="0.35">
      <c r="A58" s="361"/>
      <c r="B58" s="365" t="s">
        <v>994</v>
      </c>
      <c r="C58" s="389"/>
      <c r="D58" s="358" t="str">
        <f t="shared" ref="D58:D66" si="3">G58&amp;" - "&amp;F58</f>
        <v>plug-in - A</v>
      </c>
      <c r="E58" s="389"/>
      <c r="F58" s="358" t="s">
        <v>11</v>
      </c>
      <c r="G58" s="334" t="s">
        <v>16</v>
      </c>
      <c r="H58" s="333">
        <v>2022</v>
      </c>
      <c r="I58" s="319"/>
      <c r="J58" s="366"/>
      <c r="K58" s="367" t="s">
        <v>1012</v>
      </c>
      <c r="L58" s="368"/>
      <c r="M58" s="369"/>
      <c r="N58" s="367" t="s">
        <v>1012</v>
      </c>
      <c r="O58" s="367" t="s">
        <v>1012</v>
      </c>
      <c r="P58" s="367" t="s">
        <v>1012</v>
      </c>
      <c r="Q58" s="366"/>
      <c r="R58" s="367"/>
      <c r="S58" s="368"/>
      <c r="T58" s="369"/>
    </row>
    <row r="59" spans="1:20" ht="14.25" thickBot="1" x14ac:dyDescent="0.35">
      <c r="A59" s="361"/>
      <c r="B59" s="365" t="s">
        <v>994</v>
      </c>
      <c r="C59" s="389"/>
      <c r="D59" s="358" t="str">
        <f t="shared" si="3"/>
        <v>plug-in - A</v>
      </c>
      <c r="E59" s="389"/>
      <c r="F59" s="358" t="s">
        <v>11</v>
      </c>
      <c r="G59" s="334" t="s">
        <v>16</v>
      </c>
      <c r="H59" s="333">
        <v>2022</v>
      </c>
      <c r="I59" s="319"/>
      <c r="J59" s="366"/>
      <c r="K59" s="367" t="s">
        <v>1012</v>
      </c>
      <c r="L59" s="368"/>
      <c r="M59" s="369"/>
      <c r="N59" s="367" t="s">
        <v>1012</v>
      </c>
      <c r="O59" s="367" t="s">
        <v>1012</v>
      </c>
      <c r="P59" s="367" t="s">
        <v>1012</v>
      </c>
      <c r="Q59" s="366"/>
      <c r="R59" s="367"/>
      <c r="S59" s="368"/>
      <c r="T59" s="369"/>
    </row>
    <row r="60" spans="1:20" ht="14.25" thickBot="1" x14ac:dyDescent="0.35">
      <c r="A60" s="361"/>
      <c r="B60" s="365" t="s">
        <v>994</v>
      </c>
      <c r="C60" s="389" t="s">
        <v>1234</v>
      </c>
      <c r="D60" s="358" t="str">
        <f t="shared" si="3"/>
        <v>plug-in - B</v>
      </c>
      <c r="E60" s="389" t="s">
        <v>1234</v>
      </c>
      <c r="F60" s="358" t="s">
        <v>12</v>
      </c>
      <c r="G60" s="334" t="s">
        <v>16</v>
      </c>
      <c r="H60" s="333">
        <v>2022</v>
      </c>
      <c r="I60" s="319">
        <v>39270</v>
      </c>
      <c r="J60" s="366">
        <v>30</v>
      </c>
      <c r="K60" s="367" t="s">
        <v>1012</v>
      </c>
      <c r="L60" s="368">
        <v>1578</v>
      </c>
      <c r="M60" s="369">
        <v>17.100000000000001</v>
      </c>
      <c r="N60" s="367" t="s">
        <v>1012</v>
      </c>
      <c r="O60" s="367" t="s">
        <v>1012</v>
      </c>
      <c r="P60" s="367" t="s">
        <v>1012</v>
      </c>
      <c r="Q60" s="366"/>
      <c r="R60" s="367"/>
      <c r="S60" s="368">
        <v>39</v>
      </c>
      <c r="T60" s="369">
        <v>9.8000000000000007</v>
      </c>
    </row>
    <row r="61" spans="1:20" ht="14.25" thickBot="1" x14ac:dyDescent="0.35">
      <c r="A61" s="361"/>
      <c r="B61" s="365" t="s">
        <v>994</v>
      </c>
      <c r="C61" s="389"/>
      <c r="D61" s="358" t="str">
        <f t="shared" si="3"/>
        <v>plug-in - B</v>
      </c>
      <c r="E61" s="389"/>
      <c r="F61" s="358" t="s">
        <v>12</v>
      </c>
      <c r="G61" s="334" t="s">
        <v>16</v>
      </c>
      <c r="H61" s="333">
        <v>2022</v>
      </c>
      <c r="I61" s="319"/>
      <c r="J61" s="366"/>
      <c r="K61" s="367" t="s">
        <v>1012</v>
      </c>
      <c r="L61" s="368"/>
      <c r="M61" s="369"/>
      <c r="N61" s="367" t="s">
        <v>1012</v>
      </c>
      <c r="O61" s="367" t="s">
        <v>1012</v>
      </c>
      <c r="P61" s="367" t="s">
        <v>1012</v>
      </c>
      <c r="Q61" s="366"/>
      <c r="R61" s="367"/>
      <c r="S61" s="368"/>
      <c r="T61" s="369"/>
    </row>
    <row r="62" spans="1:20" ht="14.25" thickBot="1" x14ac:dyDescent="0.35">
      <c r="B62" s="365" t="s">
        <v>994</v>
      </c>
      <c r="C62" s="389" t="s">
        <v>1232</v>
      </c>
      <c r="D62" s="358" t="str">
        <f t="shared" si="3"/>
        <v>plug-in - C</v>
      </c>
      <c r="E62" s="389" t="s">
        <v>1232</v>
      </c>
      <c r="F62" s="358" t="s">
        <v>4</v>
      </c>
      <c r="G62" s="334" t="s">
        <v>16</v>
      </c>
      <c r="H62" s="333">
        <v>2022</v>
      </c>
      <c r="I62" s="319">
        <v>42195</v>
      </c>
      <c r="J62" s="366">
        <v>25</v>
      </c>
      <c r="K62" s="367" t="s">
        <v>1012</v>
      </c>
      <c r="L62" s="368">
        <v>1487</v>
      </c>
      <c r="M62" s="369">
        <v>16.399999999999999</v>
      </c>
      <c r="N62" s="367" t="s">
        <v>1012</v>
      </c>
      <c r="O62" s="367" t="s">
        <v>1012</v>
      </c>
      <c r="P62" s="367" t="s">
        <v>1012</v>
      </c>
      <c r="Q62" s="366"/>
      <c r="R62" s="367"/>
      <c r="S62" s="368">
        <v>37</v>
      </c>
      <c r="T62" s="369">
        <v>11.1</v>
      </c>
    </row>
    <row r="63" spans="1:20" ht="14.25" thickBot="1" x14ac:dyDescent="0.35">
      <c r="B63" s="365" t="s">
        <v>994</v>
      </c>
      <c r="C63" s="389" t="s">
        <v>346</v>
      </c>
      <c r="D63" s="358" t="str">
        <f t="shared" si="3"/>
        <v>plug-in - C</v>
      </c>
      <c r="E63" s="389" t="s">
        <v>346</v>
      </c>
      <c r="F63" s="358" t="s">
        <v>4</v>
      </c>
      <c r="G63" s="334" t="s">
        <v>16</v>
      </c>
      <c r="H63" s="333">
        <v>2022</v>
      </c>
      <c r="I63" s="319">
        <v>43790</v>
      </c>
      <c r="J63" s="366">
        <v>21</v>
      </c>
      <c r="K63" s="367" t="s">
        <v>1012</v>
      </c>
      <c r="L63" s="368">
        <v>1590</v>
      </c>
      <c r="M63" s="369">
        <v>13.8</v>
      </c>
      <c r="N63" s="367" t="s">
        <v>1012</v>
      </c>
      <c r="O63" s="367" t="s">
        <v>1012</v>
      </c>
      <c r="P63" s="367" t="s">
        <v>1012</v>
      </c>
      <c r="Q63" s="366"/>
      <c r="R63" s="367"/>
      <c r="S63" s="368">
        <v>40</v>
      </c>
      <c r="T63" s="369">
        <v>13</v>
      </c>
    </row>
    <row r="64" spans="1:20" ht="14.25" thickBot="1" x14ac:dyDescent="0.35">
      <c r="B64" s="365" t="s">
        <v>994</v>
      </c>
      <c r="C64" s="389" t="s">
        <v>865</v>
      </c>
      <c r="D64" s="358" t="str">
        <f t="shared" si="3"/>
        <v>plug-in - D</v>
      </c>
      <c r="E64" s="389" t="s">
        <v>865</v>
      </c>
      <c r="F64" s="358" t="s">
        <v>13</v>
      </c>
      <c r="G64" s="334" t="s">
        <v>16</v>
      </c>
      <c r="H64" s="333">
        <v>2022</v>
      </c>
      <c r="I64" s="319">
        <v>50930</v>
      </c>
      <c r="J64" s="366">
        <v>34</v>
      </c>
      <c r="K64" s="367" t="s">
        <v>1012</v>
      </c>
      <c r="L64" s="368">
        <v>1817</v>
      </c>
      <c r="M64" s="369">
        <v>15.4</v>
      </c>
      <c r="N64" s="367" t="s">
        <v>1012</v>
      </c>
      <c r="O64" s="367" t="s">
        <v>1012</v>
      </c>
      <c r="P64" s="367" t="s">
        <v>1012</v>
      </c>
      <c r="Q64" s="366"/>
      <c r="R64" s="367"/>
      <c r="S64" s="368">
        <v>43</v>
      </c>
      <c r="T64" s="369">
        <v>11.5</v>
      </c>
    </row>
    <row r="65" spans="1:20" ht="16.5" customHeight="1" thickBot="1" x14ac:dyDescent="0.35">
      <c r="A65" s="361"/>
      <c r="B65" s="365" t="s">
        <v>994</v>
      </c>
      <c r="C65" s="389" t="s">
        <v>870</v>
      </c>
      <c r="D65" s="358" t="str">
        <f t="shared" si="3"/>
        <v>plug-in - D</v>
      </c>
      <c r="E65" s="389" t="s">
        <v>870</v>
      </c>
      <c r="F65" s="358" t="s">
        <v>13</v>
      </c>
      <c r="G65" s="334" t="s">
        <v>16</v>
      </c>
      <c r="H65" s="333">
        <v>2022</v>
      </c>
      <c r="I65" s="319">
        <v>54995</v>
      </c>
      <c r="J65" s="366">
        <v>31</v>
      </c>
      <c r="K65" s="367" t="s">
        <v>1012</v>
      </c>
      <c r="L65" s="368">
        <v>1759</v>
      </c>
      <c r="M65" s="369">
        <v>15.1</v>
      </c>
      <c r="N65" s="367" t="s">
        <v>1012</v>
      </c>
      <c r="O65" s="367" t="s">
        <v>1012</v>
      </c>
      <c r="P65" s="367" t="s">
        <v>1012</v>
      </c>
      <c r="Q65" s="366"/>
      <c r="R65" s="367"/>
      <c r="S65" s="368">
        <v>50</v>
      </c>
      <c r="T65" s="369">
        <v>13</v>
      </c>
    </row>
    <row r="66" spans="1:20" ht="14.25" thickBot="1" x14ac:dyDescent="0.35">
      <c r="A66" s="361"/>
      <c r="B66" s="365" t="s">
        <v>994</v>
      </c>
      <c r="C66" s="389" t="s">
        <v>447</v>
      </c>
      <c r="D66" s="358" t="str">
        <f t="shared" si="3"/>
        <v>plug-in - E</v>
      </c>
      <c r="E66" s="389" t="s">
        <v>447</v>
      </c>
      <c r="F66" s="358" t="s">
        <v>14</v>
      </c>
      <c r="G66" s="334" t="s">
        <v>16</v>
      </c>
      <c r="H66" s="333">
        <v>2022</v>
      </c>
      <c r="I66" s="319">
        <v>73362</v>
      </c>
      <c r="J66" s="366">
        <v>38</v>
      </c>
      <c r="K66" s="367" t="s">
        <v>1012</v>
      </c>
      <c r="L66" s="368">
        <v>2042</v>
      </c>
      <c r="M66" s="369">
        <v>17.899999999999999</v>
      </c>
      <c r="N66" s="367" t="s">
        <v>1012</v>
      </c>
      <c r="O66" s="367" t="s">
        <v>1012</v>
      </c>
      <c r="P66" s="367" t="s">
        <v>1012</v>
      </c>
      <c r="Q66" s="366"/>
      <c r="R66" s="367"/>
      <c r="S66" s="368">
        <v>50</v>
      </c>
      <c r="T66" s="369">
        <v>13.5</v>
      </c>
    </row>
    <row r="67" spans="1:20" ht="15" customHeight="1" thickBot="1" x14ac:dyDescent="0.35">
      <c r="A67" s="361"/>
      <c r="B67" s="365" t="s">
        <v>994</v>
      </c>
      <c r="C67" s="389" t="s">
        <v>1235</v>
      </c>
      <c r="D67" s="358" t="str">
        <f>G67&amp;" - "&amp;F67</f>
        <v>plug-in - E</v>
      </c>
      <c r="E67" s="389" t="s">
        <v>1235</v>
      </c>
      <c r="F67" s="358" t="s">
        <v>14</v>
      </c>
      <c r="G67" s="334" t="s">
        <v>16</v>
      </c>
      <c r="H67" s="333">
        <v>2022</v>
      </c>
      <c r="I67" s="319">
        <v>104074</v>
      </c>
      <c r="J67" s="366">
        <v>34</v>
      </c>
      <c r="K67" s="367" t="s">
        <v>1012</v>
      </c>
      <c r="L67" s="368">
        <v>2040</v>
      </c>
      <c r="M67" s="369">
        <v>17.3</v>
      </c>
      <c r="N67" s="367" t="s">
        <v>1012</v>
      </c>
      <c r="O67" s="367" t="s">
        <v>1012</v>
      </c>
      <c r="P67" s="367" t="s">
        <v>1012</v>
      </c>
      <c r="Q67" s="366"/>
      <c r="R67" s="367"/>
      <c r="S67" s="368">
        <v>52</v>
      </c>
      <c r="T67" s="369">
        <v>17.899999999999999</v>
      </c>
    </row>
    <row r="69" spans="1:20" ht="14.25" thickBot="1" x14ac:dyDescent="0.35"/>
    <row r="70" spans="1:20" ht="15.75" thickBot="1" x14ac:dyDescent="0.35">
      <c r="A70" s="361"/>
      <c r="B70" s="365" t="s">
        <v>994</v>
      </c>
      <c r="C70" s="373" t="s">
        <v>1273</v>
      </c>
      <c r="D70" s="358" t="str">
        <f>G70&amp;" - "&amp;F70</f>
        <v>Elektrisch - E</v>
      </c>
      <c r="E70" s="358" t="s">
        <v>1274</v>
      </c>
      <c r="F70" s="358" t="s">
        <v>14</v>
      </c>
      <c r="G70" s="334" t="s">
        <v>141</v>
      </c>
      <c r="H70" s="333">
        <v>2022</v>
      </c>
      <c r="I70" s="374" t="s">
        <v>1275</v>
      </c>
      <c r="J70" s="366"/>
      <c r="K70" s="367" t="s">
        <v>1012</v>
      </c>
      <c r="L70" s="375">
        <v>2584</v>
      </c>
      <c r="M70" s="369">
        <v>21.8</v>
      </c>
      <c r="N70" s="367" t="s">
        <v>1012</v>
      </c>
      <c r="O70" s="367" t="s">
        <v>1012</v>
      </c>
      <c r="P70" s="367" t="s">
        <v>1012</v>
      </c>
      <c r="Q70" s="366"/>
      <c r="R70" s="366"/>
      <c r="S70" s="390"/>
      <c r="T70" s="366">
        <v>107</v>
      </c>
    </row>
  </sheetData>
  <phoneticPr fontId="57" type="noConversion"/>
  <dataValidations count="4">
    <dataValidation type="list" allowBlank="1" showInputMessage="1" sqref="AE10:AE16 J65:J67 M28:T67 J28:K63 K64:K67 K24 L23:L24 N7:W24 K7:L22 M70:T70 J70:K70" xr:uid="{4D359630-969D-4433-9FCA-7CC9C5FBD010}">
      <formula1>"default,#N/B"</formula1>
    </dataValidation>
    <dataValidation type="list" allowBlank="1" showInputMessage="1" showErrorMessage="1" sqref="AE7 G28:G67 G7:G24 G70" xr:uid="{D533098C-17FE-44DD-91B1-7C71240A96EF}">
      <formula1>list_brandstoftype</formula1>
    </dataValidation>
    <dataValidation allowBlank="1" showInputMessage="1" sqref="L28:L67 L70 M7:M24" xr:uid="{FDC3D07B-FF3F-4D0B-8A5A-116522691149}"/>
    <dataValidation type="list" allowBlank="1" showInputMessage="1" showErrorMessage="1" sqref="AD4" xr:uid="{A7FC3A0B-F5B6-417D-AB73-2C0F65F48948}">
      <formula1>#REF!</formula1>
    </dataValidation>
  </dataValidations>
  <hyperlinks>
    <hyperlink ref="C35" r:id="rId1" display="https://ev-database.nl/auto/1487/Polestar-2-Long-Range-Single-Motor" xr:uid="{6ABE2C8C-DBAC-4089-B457-7BBDF7772E2B}"/>
    <hyperlink ref="C34" r:id="rId2" display="https://ev-database.nl/auto/1555/Tesla-Model-3" xr:uid="{6E99172F-3210-4436-9732-E7A7E07EA5FD}"/>
    <hyperlink ref="C37" r:id="rId3" display="https://ev-database.nl/auto/1153/Audi-e-tron-GT-RS" xr:uid="{F03599A5-3C36-4C66-9E53-C498A579666E}"/>
    <hyperlink ref="C36" r:id="rId4" display="https://ev-database.nl/auto/1405/Tesla-Model-S-Plaid" xr:uid="{9AE10C81-50A3-4FAF-92EA-73F9CBC45805}"/>
    <hyperlink ref="C33" r:id="rId5" display="https://ev-database.nl/auto/1530/Volkswagen-ID3-Pure-Performance" xr:uid="{FF13891E-9989-4F22-8B6C-EF6ABFA8F04E}"/>
    <hyperlink ref="C32" r:id="rId6" display="https://ev-database.nl/auto/1666/Kia-Niro-EV" xr:uid="{4B1C9668-C79F-4026-8172-676E19465763}"/>
    <hyperlink ref="C31" r:id="rId7" display="https://ev-database.nl/auto/1205/Renault-Zoe-ZE50-R135" xr:uid="{D879E5A8-F7EF-47CF-843D-DFE2452FBB47}"/>
    <hyperlink ref="C30" r:id="rId8" display="https://ev-database.nl/auto/1423/Hyundai-Kona-Electric-64-kWh" xr:uid="{03867666-1B5F-4836-B235-09590CA8A6D4}"/>
    <hyperlink ref="C29" r:id="rId9" display="https://ev-database.nl/auto/1270/Renault-Twingo-Electric" xr:uid="{C9A7F82C-9531-4E4F-B0C6-D2FDF8EA5E54}"/>
    <hyperlink ref="C28" r:id="rId10" display="https://ev-database.nl/auto/1705/Dacia-Spring-Electric" xr:uid="{94A7E52F-118D-4E2D-84AD-8919B7B904D1}"/>
    <hyperlink ref="C70" r:id="rId11" display="https://ev-database.nl/auto/1153/Audi-e-tron-GT-RS" xr:uid="{AD73CCD9-E79B-4EDA-BF73-DF77802F9078}"/>
    <hyperlink ref="K5" r:id="rId12" display="https://www.co2emissiefactoren.nl/wp-content/uploads/2020/01/20200121-Notitie-methodiek-CO2-emissiefactoren-personenautos.pdf" xr:uid="{1A77A4BF-5507-41B0-B95E-848A30B040BC}"/>
    <hyperlink ref="L5" r:id="rId13" display="https://www.rvo.nl/sites/default/files/2021/10/TrendrapportNederlandse-markt-personenautos-2021.pdf" xr:uid="{57B8D117-84B3-48CF-94E8-94E0C07E3CFA}"/>
  </hyperlinks>
  <pageMargins left="0.7" right="0.7" top="0.75" bottom="0.75" header="0.3" footer="0.3"/>
  <pageSetup paperSize="9" orientation="portrait" r:id="rId14"/>
  <tableParts count="1">
    <tablePart r:id="rId1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3">
    <tabColor theme="7"/>
  </sheetPr>
  <dimension ref="A1:J19"/>
  <sheetViews>
    <sheetView workbookViewId="0">
      <selection activeCell="E33" sqref="E33"/>
    </sheetView>
  </sheetViews>
  <sheetFormatPr defaultRowHeight="15" x14ac:dyDescent="0.3"/>
  <cols>
    <col min="1" max="1" width="36.5703125" customWidth="1"/>
    <col min="2" max="9" width="17.140625" customWidth="1"/>
    <col min="11" max="11" width="10" bestFit="1" customWidth="1"/>
  </cols>
  <sheetData>
    <row r="1" spans="1:10" ht="16.5" x14ac:dyDescent="0.3">
      <c r="A1" s="33" t="s">
        <v>10</v>
      </c>
      <c r="B1" s="34"/>
      <c r="C1" s="34"/>
      <c r="D1" s="34"/>
      <c r="E1" s="34"/>
      <c r="F1" s="34"/>
      <c r="G1" s="34"/>
      <c r="H1" s="34"/>
      <c r="I1" s="35"/>
    </row>
    <row r="2" spans="1:10" ht="16.5" x14ac:dyDescent="0.3">
      <c r="A2" s="36" t="s">
        <v>3</v>
      </c>
      <c r="B2" s="37" t="s">
        <v>11</v>
      </c>
      <c r="C2" s="37" t="s">
        <v>12</v>
      </c>
      <c r="D2" s="37" t="s">
        <v>4</v>
      </c>
      <c r="E2" s="37" t="s">
        <v>13</v>
      </c>
      <c r="F2" s="37" t="s">
        <v>14</v>
      </c>
      <c r="G2" s="38"/>
      <c r="H2" s="38"/>
      <c r="I2" s="38"/>
      <c r="J2">
        <f t="shared" ref="J2:J15" si="0">COUNTA(B2:I2)</f>
        <v>5</v>
      </c>
    </row>
    <row r="3" spans="1:10" ht="16.5" x14ac:dyDescent="0.3">
      <c r="A3" s="36" t="s">
        <v>1</v>
      </c>
      <c r="B3" s="37" t="s">
        <v>2</v>
      </c>
      <c r="C3" s="37" t="s">
        <v>15</v>
      </c>
      <c r="D3" s="37" t="s">
        <v>141</v>
      </c>
      <c r="E3" s="37" t="s">
        <v>16</v>
      </c>
      <c r="F3" s="37" t="s">
        <v>17</v>
      </c>
      <c r="G3" s="38"/>
      <c r="H3" s="38"/>
      <c r="I3" s="38"/>
      <c r="J3">
        <f t="shared" si="0"/>
        <v>5</v>
      </c>
    </row>
    <row r="4" spans="1:10" ht="16.5" x14ac:dyDescent="0.3">
      <c r="A4" s="36" t="s">
        <v>49</v>
      </c>
      <c r="B4" s="37" t="s">
        <v>18</v>
      </c>
      <c r="C4" s="37" t="s">
        <v>6</v>
      </c>
      <c r="D4" s="37" t="s">
        <v>19</v>
      </c>
      <c r="E4" s="37"/>
      <c r="F4" s="38"/>
      <c r="G4" s="38"/>
      <c r="H4" s="38"/>
      <c r="I4" s="38"/>
      <c r="J4">
        <f t="shared" si="0"/>
        <v>3</v>
      </c>
    </row>
    <row r="5" spans="1:10" ht="16.5" x14ac:dyDescent="0.3">
      <c r="A5" s="36" t="s">
        <v>52</v>
      </c>
      <c r="B5" s="37" t="s">
        <v>18</v>
      </c>
      <c r="C5" s="37" t="s">
        <v>6</v>
      </c>
      <c r="D5" s="37" t="s">
        <v>19</v>
      </c>
      <c r="E5" s="37" t="s">
        <v>53</v>
      </c>
      <c r="F5" s="38"/>
      <c r="G5" s="38"/>
      <c r="H5" s="38"/>
      <c r="I5" s="38"/>
      <c r="J5">
        <f t="shared" si="0"/>
        <v>4</v>
      </c>
    </row>
    <row r="6" spans="1:10" ht="16.5" x14ac:dyDescent="0.3">
      <c r="A6" s="36" t="s">
        <v>268</v>
      </c>
      <c r="B6" s="37" t="s">
        <v>18</v>
      </c>
      <c r="C6" s="37" t="s">
        <v>6</v>
      </c>
      <c r="D6" s="37" t="s">
        <v>19</v>
      </c>
      <c r="E6" s="37" t="s">
        <v>53</v>
      </c>
      <c r="F6" s="38"/>
      <c r="G6" s="38"/>
      <c r="H6" s="38"/>
      <c r="I6" s="38"/>
    </row>
    <row r="7" spans="1:10" ht="16.5" x14ac:dyDescent="0.3">
      <c r="A7" s="36" t="s">
        <v>9</v>
      </c>
      <c r="B7" s="37" t="s">
        <v>18</v>
      </c>
      <c r="C7" s="37" t="s">
        <v>6</v>
      </c>
      <c r="D7" s="37" t="s">
        <v>19</v>
      </c>
      <c r="E7" s="37" t="s">
        <v>53</v>
      </c>
      <c r="F7" s="38"/>
      <c r="G7" s="38"/>
      <c r="H7" s="38"/>
      <c r="I7" s="38"/>
      <c r="J7">
        <f t="shared" si="0"/>
        <v>4</v>
      </c>
    </row>
    <row r="8" spans="1:10" ht="16.5" x14ac:dyDescent="0.3">
      <c r="A8" s="36" t="s">
        <v>58</v>
      </c>
      <c r="B8" s="37" t="s">
        <v>19</v>
      </c>
      <c r="C8" s="37" t="s">
        <v>18</v>
      </c>
      <c r="D8" s="37" t="s">
        <v>6</v>
      </c>
      <c r="E8" s="38"/>
      <c r="F8" s="38"/>
      <c r="G8" s="38"/>
      <c r="H8" s="38"/>
      <c r="I8" s="38"/>
      <c r="J8">
        <f t="shared" si="0"/>
        <v>3</v>
      </c>
    </row>
    <row r="9" spans="1:10" ht="16.5" x14ac:dyDescent="0.3">
      <c r="A9" s="36" t="s">
        <v>59</v>
      </c>
      <c r="B9" s="37" t="s">
        <v>18</v>
      </c>
      <c r="C9" s="37" t="s">
        <v>6</v>
      </c>
      <c r="D9" s="37" t="s">
        <v>19</v>
      </c>
      <c r="E9" s="38"/>
      <c r="F9" s="38"/>
      <c r="G9" s="38"/>
      <c r="H9" s="38"/>
      <c r="I9" s="38"/>
      <c r="J9">
        <f t="shared" si="0"/>
        <v>3</v>
      </c>
    </row>
    <row r="10" spans="1:10" x14ac:dyDescent="0.3">
      <c r="A10" s="112" t="s">
        <v>188</v>
      </c>
      <c r="B10" s="37" t="s">
        <v>18</v>
      </c>
      <c r="C10" s="37" t="s">
        <v>6</v>
      </c>
      <c r="D10" s="37" t="s">
        <v>19</v>
      </c>
      <c r="E10" s="38"/>
      <c r="F10" s="38"/>
      <c r="G10" s="38"/>
      <c r="H10" s="38"/>
      <c r="I10" s="38"/>
      <c r="J10">
        <f t="shared" si="0"/>
        <v>3</v>
      </c>
    </row>
    <row r="11" spans="1:10" x14ac:dyDescent="0.3">
      <c r="A11" s="112" t="s">
        <v>1464</v>
      </c>
      <c r="B11" s="37" t="s">
        <v>1293</v>
      </c>
      <c r="C11" s="37" t="s">
        <v>221</v>
      </c>
      <c r="D11" s="38"/>
      <c r="E11" s="38"/>
      <c r="F11" s="38"/>
      <c r="G11" s="38"/>
      <c r="H11" s="38"/>
      <c r="I11" s="38"/>
      <c r="J11">
        <f t="shared" si="0"/>
        <v>2</v>
      </c>
    </row>
    <row r="12" spans="1:10" x14ac:dyDescent="0.3">
      <c r="A12" s="112" t="s">
        <v>231</v>
      </c>
      <c r="B12" s="37" t="s">
        <v>18</v>
      </c>
      <c r="C12" s="37" t="s">
        <v>6</v>
      </c>
      <c r="D12" s="37" t="s">
        <v>19</v>
      </c>
      <c r="E12" s="37" t="s">
        <v>53</v>
      </c>
      <c r="F12" s="38"/>
      <c r="G12" s="38"/>
      <c r="H12" s="38"/>
      <c r="I12" s="38"/>
      <c r="J12">
        <f t="shared" si="0"/>
        <v>4</v>
      </c>
    </row>
    <row r="13" spans="1:10" x14ac:dyDescent="0.3">
      <c r="A13" s="112" t="s">
        <v>272</v>
      </c>
      <c r="B13" s="37" t="s">
        <v>270</v>
      </c>
      <c r="C13" s="37" t="s">
        <v>6</v>
      </c>
      <c r="D13" s="37" t="s">
        <v>271</v>
      </c>
      <c r="E13" s="38"/>
      <c r="F13" s="38"/>
      <c r="G13" s="38"/>
      <c r="H13" s="38"/>
      <c r="I13" s="38"/>
      <c r="J13">
        <f t="shared" si="0"/>
        <v>3</v>
      </c>
    </row>
    <row r="14" spans="1:10" x14ac:dyDescent="0.3">
      <c r="A14" s="112" t="s">
        <v>264</v>
      </c>
      <c r="B14" s="37" t="s">
        <v>265</v>
      </c>
      <c r="C14" s="37" t="s">
        <v>266</v>
      </c>
      <c r="D14" s="37" t="s">
        <v>267</v>
      </c>
      <c r="E14" s="37" t="s">
        <v>268</v>
      </c>
      <c r="F14" s="37" t="s">
        <v>269</v>
      </c>
      <c r="G14" s="38"/>
      <c r="H14" s="38"/>
      <c r="I14" s="38"/>
      <c r="J14">
        <f t="shared" si="0"/>
        <v>5</v>
      </c>
    </row>
    <row r="15" spans="1:10" x14ac:dyDescent="0.3">
      <c r="A15" s="112" t="s">
        <v>391</v>
      </c>
      <c r="B15" s="37" t="s">
        <v>18</v>
      </c>
      <c r="C15" s="37" t="s">
        <v>6</v>
      </c>
      <c r="D15" s="37" t="s">
        <v>19</v>
      </c>
      <c r="E15" s="37" t="s">
        <v>53</v>
      </c>
      <c r="F15" s="38"/>
      <c r="G15" s="38"/>
      <c r="H15" s="38"/>
      <c r="I15" s="38"/>
      <c r="J15">
        <f t="shared" si="0"/>
        <v>4</v>
      </c>
    </row>
    <row r="16" spans="1:10" x14ac:dyDescent="0.3">
      <c r="A16" s="112" t="s">
        <v>394</v>
      </c>
      <c r="B16" s="37" t="s">
        <v>18</v>
      </c>
      <c r="C16" s="37" t="s">
        <v>6</v>
      </c>
      <c r="D16" s="37" t="s">
        <v>19</v>
      </c>
      <c r="E16" s="37" t="s">
        <v>53</v>
      </c>
      <c r="F16" s="38"/>
      <c r="G16" s="38"/>
      <c r="H16" s="38"/>
      <c r="I16" s="38"/>
    </row>
    <row r="17" spans="1:9" x14ac:dyDescent="0.3">
      <c r="A17" s="112" t="s">
        <v>523</v>
      </c>
      <c r="B17" s="37" t="s">
        <v>18</v>
      </c>
      <c r="C17" s="37" t="s">
        <v>6</v>
      </c>
      <c r="D17" s="37" t="s">
        <v>19</v>
      </c>
      <c r="E17" s="37" t="s">
        <v>53</v>
      </c>
      <c r="F17" s="38"/>
      <c r="G17" s="38"/>
      <c r="H17" s="38"/>
      <c r="I17" s="38"/>
    </row>
    <row r="18" spans="1:9" x14ac:dyDescent="0.3">
      <c r="A18" s="112" t="s">
        <v>1179</v>
      </c>
      <c r="B18" s="37" t="s">
        <v>1180</v>
      </c>
      <c r="C18" s="37" t="s">
        <v>1181</v>
      </c>
      <c r="D18" s="37" t="s">
        <v>1182</v>
      </c>
      <c r="E18" s="38"/>
      <c r="F18" s="38"/>
      <c r="G18" s="38"/>
      <c r="H18" s="38"/>
      <c r="I18" s="38"/>
    </row>
    <row r="19" spans="1:9" x14ac:dyDescent="0.3">
      <c r="A19" s="112"/>
      <c r="B19" s="38"/>
      <c r="C19" s="38"/>
      <c r="D19" s="38"/>
      <c r="E19" s="38"/>
      <c r="F19" s="38"/>
      <c r="G19" s="38"/>
      <c r="H19" s="38"/>
      <c r="I19" s="3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FF679-B764-4D22-B2FC-D63B16D8AE39}">
  <sheetPr codeName="Blad27">
    <tabColor rgb="FF92D050"/>
  </sheetPr>
  <dimension ref="A1:D14"/>
  <sheetViews>
    <sheetView showGridLines="0" topLeftCell="A26" zoomScale="115" zoomScaleNormal="115" workbookViewId="0">
      <selection activeCell="Q39" sqref="Q39"/>
    </sheetView>
  </sheetViews>
  <sheetFormatPr defaultColWidth="8.85546875" defaultRowHeight="15" x14ac:dyDescent="0.3"/>
  <cols>
    <col min="1" max="1" width="3.28515625" style="431" customWidth="1"/>
    <col min="2" max="2" width="8.85546875" style="430" customWidth="1"/>
    <col min="3" max="16384" width="8.85546875" style="430"/>
  </cols>
  <sheetData>
    <row r="1" spans="1:4" x14ac:dyDescent="0.3">
      <c r="A1" s="541"/>
    </row>
    <row r="2" spans="1:4" s="480" customFormat="1" ht="33.75" x14ac:dyDescent="0.5">
      <c r="A2" s="479"/>
      <c r="B2" s="479"/>
      <c r="C2" s="479"/>
      <c r="D2" s="480" t="s">
        <v>1480</v>
      </c>
    </row>
    <row r="3" spans="1:4" s="376" customFormat="1" ht="16.5" x14ac:dyDescent="0.3"/>
    <row r="4" spans="1:4" s="482" customFormat="1" ht="18" x14ac:dyDescent="0.35">
      <c r="A4" s="481"/>
      <c r="B4" s="482" t="s">
        <v>1494</v>
      </c>
    </row>
    <row r="7" spans="1:4" x14ac:dyDescent="0.3">
      <c r="B7" s="635"/>
    </row>
    <row r="8" spans="1:4" x14ac:dyDescent="0.3">
      <c r="B8" s="635"/>
    </row>
    <row r="9" spans="1:4" x14ac:dyDescent="0.3">
      <c r="B9" s="635"/>
    </row>
    <row r="14" spans="1:4" x14ac:dyDescent="0.3">
      <c r="B14" s="430" t="s">
        <v>1489</v>
      </c>
    </row>
  </sheetData>
  <sheetProtection algorithmName="SHA-512" hashValue="kIC4h1EstZ74h/OzjgtavxQ8S97LSDk1vNDXcsOQGQDLx38cmcHjw95KyslA9ri6EHDPVY8dPc8Led6sgDR+PQ==" saltValue="7SoQsfhbGGcr7ailpdTlzw==" spinCount="100000"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5">
    <tabColor theme="7" tint="0.59999389629810485"/>
    <pageSetUpPr autoPageBreaks="0"/>
  </sheetPr>
  <dimension ref="B2:AJ463"/>
  <sheetViews>
    <sheetView workbookViewId="0">
      <selection activeCell="E33" sqref="E33"/>
    </sheetView>
  </sheetViews>
  <sheetFormatPr defaultRowHeight="15" x14ac:dyDescent="0.3"/>
  <cols>
    <col min="2" max="2" width="48.85546875" bestFit="1" customWidth="1"/>
    <col min="3" max="3" width="22.28515625" customWidth="1"/>
    <col min="4" max="4" width="15.5703125" customWidth="1"/>
    <col min="5" max="9" width="11.42578125" customWidth="1"/>
    <col min="10" max="10" width="9.42578125" customWidth="1"/>
    <col min="11" max="11" width="13.42578125" customWidth="1"/>
    <col min="12" max="15" width="13" customWidth="1"/>
    <col min="16" max="16" width="23.140625" customWidth="1"/>
    <col min="17" max="18" width="11.42578125" customWidth="1"/>
    <col min="19" max="20" width="11.140625" customWidth="1"/>
    <col min="21" max="21" width="11.42578125" customWidth="1"/>
    <col min="23" max="23" width="9.42578125" bestFit="1" customWidth="1"/>
    <col min="26" max="36" width="11" bestFit="1" customWidth="1"/>
  </cols>
  <sheetData>
    <row r="2" spans="2:34" ht="28.5" thickBot="1" x14ac:dyDescent="0.5">
      <c r="B2" s="87" t="s">
        <v>214</v>
      </c>
      <c r="C2" s="86"/>
      <c r="D2" s="86"/>
      <c r="E2" s="86"/>
      <c r="F2" s="86"/>
      <c r="G2" s="86"/>
      <c r="H2" s="86"/>
      <c r="I2" s="86"/>
      <c r="J2" s="86"/>
      <c r="K2" s="86"/>
      <c r="L2" s="86"/>
      <c r="M2" s="86"/>
      <c r="N2" s="86"/>
      <c r="O2" s="86"/>
      <c r="P2" s="86"/>
      <c r="Q2" s="86"/>
      <c r="R2" s="86"/>
      <c r="S2" s="86"/>
      <c r="T2" s="86"/>
      <c r="U2" s="86"/>
      <c r="V2" s="86"/>
      <c r="W2" s="86"/>
      <c r="X2" s="86"/>
      <c r="Y2" s="86"/>
      <c r="Z2" s="86"/>
      <c r="AA2" s="86"/>
      <c r="AB2" s="86"/>
      <c r="AC2" s="86"/>
    </row>
    <row r="3" spans="2:34" ht="15.75" thickTop="1" x14ac:dyDescent="0.3"/>
    <row r="4" spans="2:34" x14ac:dyDescent="0.3">
      <c r="B4" s="49" t="s">
        <v>215</v>
      </c>
    </row>
    <row r="5" spans="2:34" x14ac:dyDescent="0.3">
      <c r="C5" s="208" t="str" cm="1">
        <f t="array" ref="C5">INDEX(input_voertuigen!$E$7:$E$24,MATCH(1,(C$7=input_voertuigen!$F$7:$F$24)*(input_voertuigen!$G$7:$G$24=C$6),0))</f>
        <v>gemiddeld benzine - A</v>
      </c>
      <c r="D5" s="208" t="str" cm="1">
        <f t="array" ref="D5">INDEX(input_voertuigen!$E$7:$E$24,MATCH(1,(D$7=input_voertuigen!$F$7:$F$24)*(input_voertuigen!$G$7:$G$24=D$6),0))</f>
        <v>gemiddeld benzine - B</v>
      </c>
      <c r="E5" s="208" t="str" cm="1">
        <f t="array" ref="E5">INDEX(input_voertuigen!$E$7:$E$24,MATCH(1,(E$7=input_voertuigen!$F$7:$F$24)*(input_voertuigen!$G$7:$G$24=E$6),0))</f>
        <v>gemiddeld benzine - C</v>
      </c>
      <c r="F5" s="208" t="str" cm="1">
        <f t="array" ref="F5">INDEX(input_voertuigen!$E$7:$E$24,MATCH(1,(F$7=input_voertuigen!$F$7:$F$24)*(input_voertuigen!$G$7:$G$24=F$6),0))</f>
        <v>gemiddeld benzine - D</v>
      </c>
      <c r="G5" s="208" t="str" cm="1">
        <f t="array" ref="G5">INDEX(input_voertuigen!$E$7:$E$24,MATCH(1,(G$7=input_voertuigen!$F$7:$F$24)*(input_voertuigen!$G$7:$G$24=G$6),0))</f>
        <v>gemiddeld benzine - E</v>
      </c>
      <c r="H5" s="208" t="str" cm="1">
        <f t="array" ref="H5">INDEX(input_voertuigen!$E$7:$E$24,MATCH(1,(H$7=input_voertuigen!$F$7:$F$24)*(input_voertuigen!$G$7:$G$24=H$6),0))</f>
        <v>gemiddeld Elektrisch - A</v>
      </c>
      <c r="I5" s="208" t="str" cm="1">
        <f t="array" ref="I5">INDEX(input_voertuigen!$E$7:$E$24,MATCH(1,(I$7=input_voertuigen!$F$7:$F$24)*(input_voertuigen!$G$7:$G$24=I$6),0))</f>
        <v>gemiddeld Elektrisch - B</v>
      </c>
      <c r="J5" s="208" t="str" cm="1">
        <f t="array" ref="J5">INDEX(input_voertuigen!$E$7:$E$24,MATCH(1,(J$7=input_voertuigen!$F$7:$F$24)*(input_voertuigen!$G$7:$G$24=J$6),0))</f>
        <v>gemiddeld Elektrisch - C</v>
      </c>
      <c r="K5" s="208" t="str" cm="1">
        <f t="array" ref="K5">INDEX(input_voertuigen!$E$7:$E$24,MATCH(1,(K$7=input_voertuigen!$F$7:$F$24)*(input_voertuigen!$G$7:$G$24=K$6),0))</f>
        <v>gemiddeld Elektrisch - D</v>
      </c>
      <c r="L5" s="208" t="str" cm="1">
        <f t="array" ref="L5">INDEX(input_voertuigen!$E$7:$E$24,MATCH(1,(L$7=input_voertuigen!$F$7:$F$24)*(input_voertuigen!$G$7:$G$24=L$6),0))</f>
        <v>gemiddeld Elektrisch - E</v>
      </c>
      <c r="M5" s="208" t="str" cm="1">
        <f t="array" ref="M5">INDEX(input_voertuigen!$E$7:$E$24,MATCH(1,(M$7=input_voertuigen!$F$7:$F$24)*(input_voertuigen!$G$7:$G$24=M$6),0))</f>
        <v>gemiddeld diesel - B</v>
      </c>
      <c r="N5" s="208" t="str" cm="1">
        <f t="array" ref="N5">INDEX(input_voertuigen!$E$7:$E$24,MATCH(1,(N$7=input_voertuigen!$F$7:$F$24)*(input_voertuigen!$G$7:$G$24=N$6),0))</f>
        <v>gemiddeld diesel - C</v>
      </c>
      <c r="O5" s="208" t="str" cm="1">
        <f t="array" ref="O5">INDEX(input_voertuigen!$E$7:$E$24,MATCH(1,(O$7=input_voertuigen!$F$7:$F$24)*(input_voertuigen!$G$7:$G$24=O$6),0))</f>
        <v>gemiddeld diesel - D</v>
      </c>
      <c r="P5" s="208" t="str" cm="1">
        <f t="array" ref="P5">INDEX(input_voertuigen!$E$7:$E$24,MATCH(1,(P$7=input_voertuigen!$F$7:$F$24)*(input_voertuigen!$G$7:$G$24=P$6),0))</f>
        <v>gemiddeld diesel - E</v>
      </c>
      <c r="Q5" s="208" t="e" cm="1">
        <f t="array" ref="Q5">INDEX(input_voertuigen!$E$7:$E$24,MATCH(1,(Q$7=input_voertuigen!$F$7:$F$24)*(input_voertuigen!$G$7:$G$24=Q$6),0))</f>
        <v>#N/A</v>
      </c>
      <c r="R5" s="208" t="str" cm="1">
        <f t="array" ref="R5">INDEX(input_voertuigen!$E$7:$E$24,MATCH(1,(R$7=input_voertuigen!$F$7:$F$24)*(input_voertuigen!$G$7:$G$24=R$6),0))</f>
        <v>gemiddeld plug-in - B</v>
      </c>
      <c r="S5" s="208" t="str" cm="1">
        <f t="array" ref="S5">INDEX(input_voertuigen!$E$7:$E$24,MATCH(1,(S$7=input_voertuigen!$F$7:$F$24)*(input_voertuigen!$G$7:$G$24=S$6),0))</f>
        <v>gemiddeld plug-in - C</v>
      </c>
      <c r="T5" s="208" t="str" cm="1">
        <f t="array" ref="T5">INDEX(input_voertuigen!$E$7:$E$24,MATCH(1,(T$7=input_voertuigen!$F$7:$F$24)*(input_voertuigen!$G$7:$G$24=T$6),0))</f>
        <v>gemiddeld plug-in - D</v>
      </c>
      <c r="U5" s="208" t="str" cm="1">
        <f t="array" ref="U5">INDEX(input_voertuigen!$E$7:$E$24,MATCH(1,(U$7=input_voertuigen!$F$7:$F$24)*(input_voertuigen!$G$7:$G$24=U$6),0))</f>
        <v>gemiddeld plug-in - E</v>
      </c>
      <c r="AE5" t="s">
        <v>165</v>
      </c>
      <c r="AF5" t="s">
        <v>45</v>
      </c>
      <c r="AG5" t="s">
        <v>46</v>
      </c>
      <c r="AH5" t="s">
        <v>175</v>
      </c>
    </row>
    <row r="6" spans="2:34" x14ac:dyDescent="0.3">
      <c r="B6" s="112" t="s">
        <v>62</v>
      </c>
      <c r="C6" s="410" t="str">
        <f>input_names!$B$3</f>
        <v>benzine</v>
      </c>
      <c r="D6" s="410" t="str">
        <f>input_names!$B$3</f>
        <v>benzine</v>
      </c>
      <c r="E6" s="410" t="str">
        <f>input_names!$B$3</f>
        <v>benzine</v>
      </c>
      <c r="F6" s="410" t="str">
        <f>input_names!$B$3</f>
        <v>benzine</v>
      </c>
      <c r="G6" s="410" t="str">
        <f>input_names!$B$3</f>
        <v>benzine</v>
      </c>
      <c r="H6" s="410" t="str">
        <f>input_names!$D$3</f>
        <v>Elektrisch</v>
      </c>
      <c r="I6" s="410" t="str">
        <f>input_names!$D$3</f>
        <v>Elektrisch</v>
      </c>
      <c r="J6" s="410" t="str">
        <f>input_names!$D$3</f>
        <v>Elektrisch</v>
      </c>
      <c r="K6" s="410" t="str">
        <f>input_names!$D$3</f>
        <v>Elektrisch</v>
      </c>
      <c r="L6" s="410" t="str">
        <f>input_names!$D$3</f>
        <v>Elektrisch</v>
      </c>
      <c r="M6" s="410" t="str">
        <f>input_names!$C$3</f>
        <v>diesel</v>
      </c>
      <c r="N6" s="410" t="str">
        <f>input_names!$C$3</f>
        <v>diesel</v>
      </c>
      <c r="O6" s="410" t="str">
        <f>input_names!$C$3</f>
        <v>diesel</v>
      </c>
      <c r="P6" s="410" t="str">
        <f>input_names!$C$3</f>
        <v>diesel</v>
      </c>
      <c r="Q6" s="410" t="s">
        <v>16</v>
      </c>
      <c r="R6" s="410" t="s">
        <v>16</v>
      </c>
      <c r="S6" s="410" t="s">
        <v>16</v>
      </c>
      <c r="T6" s="410" t="s">
        <v>16</v>
      </c>
      <c r="U6" s="410" t="s">
        <v>16</v>
      </c>
      <c r="W6" t="s">
        <v>64</v>
      </c>
      <c r="AD6" t="s">
        <v>11</v>
      </c>
      <c r="AE6">
        <v>1</v>
      </c>
      <c r="AF6">
        <v>1</v>
      </c>
    </row>
    <row r="7" spans="2:34" x14ac:dyDescent="0.3">
      <c r="B7" s="38" t="s">
        <v>60</v>
      </c>
      <c r="C7" s="410" t="str">
        <f>input_names!$B$2</f>
        <v>A</v>
      </c>
      <c r="D7" s="410" t="str">
        <f>input_names!$C$2</f>
        <v>B</v>
      </c>
      <c r="E7" s="410" t="str">
        <f>input_names!$D$2</f>
        <v>C</v>
      </c>
      <c r="F7" s="410" t="str">
        <f>input_names!$E$2</f>
        <v>D</v>
      </c>
      <c r="G7" s="410" t="str">
        <f>input_names!$F$2</f>
        <v>E</v>
      </c>
      <c r="H7" s="410" t="str">
        <f>input_names!$B$2</f>
        <v>A</v>
      </c>
      <c r="I7" s="410" t="str">
        <f>input_names!$C$2</f>
        <v>B</v>
      </c>
      <c r="J7" s="410" t="str">
        <f>input_names!$D$2</f>
        <v>C</v>
      </c>
      <c r="K7" s="410" t="s">
        <v>13</v>
      </c>
      <c r="L7" s="410" t="str">
        <f>input_names!$F$2</f>
        <v>E</v>
      </c>
      <c r="M7" s="410" t="s">
        <v>12</v>
      </c>
      <c r="N7" s="410" t="s">
        <v>4</v>
      </c>
      <c r="O7" s="410" t="s">
        <v>13</v>
      </c>
      <c r="P7" s="410" t="str">
        <f>input_names!$F$2</f>
        <v>E</v>
      </c>
      <c r="Q7" s="410" t="s">
        <v>11</v>
      </c>
      <c r="R7" s="410" t="s">
        <v>12</v>
      </c>
      <c r="S7" s="410" t="s">
        <v>4</v>
      </c>
      <c r="T7" s="410" t="s">
        <v>13</v>
      </c>
      <c r="U7" s="410" t="s">
        <v>14</v>
      </c>
      <c r="W7" t="s">
        <v>210</v>
      </c>
      <c r="AD7" t="s">
        <v>12</v>
      </c>
      <c r="AE7">
        <v>1</v>
      </c>
      <c r="AF7">
        <v>1</v>
      </c>
      <c r="AG7">
        <v>1</v>
      </c>
    </row>
    <row r="8" spans="2:34" x14ac:dyDescent="0.3">
      <c r="B8" s="38" t="s">
        <v>1471</v>
      </c>
      <c r="C8" s="407" cm="1">
        <f t="array" ref="C8">INDEX(input_voertuigen!$I$7:$I$24,MATCH(1,(C$7=input_voertuigen!$F$7:$F$24)*(input_voertuigen!$G$7:$G$24=C$6),0))</f>
        <v>18971</v>
      </c>
      <c r="D8" s="407" cm="1">
        <f t="array" ref="D8">INDEX(input_voertuigen!$I$7:$I$24,MATCH(1,(D$7=input_voertuigen!$F$7:$F$24)*(input_voertuigen!$G$7:$G$24=D$6),0))</f>
        <v>29203</v>
      </c>
      <c r="E8" s="407" cm="1">
        <f t="array" ref="E8">INDEX(input_voertuigen!$I$7:$I$24,MATCH(1,(E$7=input_voertuigen!$F$7:$F$24)*(input_voertuigen!$G$7:$G$24=E$6),0))</f>
        <v>42201</v>
      </c>
      <c r="F8" s="407" cm="1">
        <f t="array" ref="F8">INDEX(input_voertuigen!$I$7:$I$24,MATCH(1,(F$7=input_voertuigen!$F$7:$F$24)*(input_voertuigen!$G$7:$G$24=F$6),0))</f>
        <v>53353</v>
      </c>
      <c r="G8" s="407" cm="1">
        <f t="array" ref="G8">INDEX(input_voertuigen!$I$7:$I$24,MATCH(1,(G$7=input_voertuigen!$F$7:$F$24)*(input_voertuigen!$G$7:$G$24=G$6),0))</f>
        <v>177840</v>
      </c>
      <c r="H8" s="407" cm="1">
        <f t="array" ref="H8">INDEX(input_voertuigen!$I$7:$I$24,MATCH(1,(H$7=input_voertuigen!$F$7:$F$24)*(input_voertuigen!$G$7:$G$24=H$6),0))</f>
        <v>29141</v>
      </c>
      <c r="I8" s="407" cm="1">
        <f t="array" ref="I8">INDEX(input_voertuigen!$I$7:$I$24,MATCH(1,(I$7=input_voertuigen!$F$7:$F$24)*(input_voertuigen!$G$7:$G$24=I$6),0))</f>
        <v>38573</v>
      </c>
      <c r="J8" s="407" cm="1">
        <f t="array" ref="J8">INDEX(input_voertuigen!$I$7:$I$24,MATCH(1,(J$7=input_voertuigen!$F$7:$F$24)*(input_voertuigen!$G$7:$G$24=J$6),0))</f>
        <v>51567</v>
      </c>
      <c r="K8" s="407" cm="1">
        <f t="array" ref="K8">INDEX(input_voertuigen!$I$7:$I$24,MATCH(1,(K$7=input_voertuigen!$F$7:$F$24)*(input_voertuigen!$G$7:$G$24=K$6),0))</f>
        <v>58574</v>
      </c>
      <c r="L8" s="407" cm="1">
        <f t="array" ref="L8">INDEX(input_voertuigen!$I$7:$I$24,MATCH(1,(L$7=input_voertuigen!$F$7:$F$24)*(input_voertuigen!$G$7:$G$24=L$6),0))</f>
        <v>118247</v>
      </c>
      <c r="M8" s="407" cm="1">
        <f t="array" ref="M8">INDEX(input_voertuigen!$I$7:$I$24,MATCH(1,(M$7=input_voertuigen!$F$7:$F$24)*(input_voertuigen!$G$7:$G$24=M$6),0))</f>
        <v>35567</v>
      </c>
      <c r="N8" s="407" cm="1">
        <f t="array" ref="N8">INDEX(input_voertuigen!$I$7:$I$24,MATCH(1,(N$7=input_voertuigen!$F$7:$F$24)*(input_voertuigen!$G$7:$G$24=N$6),0))</f>
        <v>52111</v>
      </c>
      <c r="O8" s="407" cm="1">
        <f t="array" ref="O8">INDEX(input_voertuigen!$I$7:$I$24,MATCH(1,(O$7=input_voertuigen!$F$7:$F$24)*(input_voertuigen!$G$7:$G$24=O$6),0))</f>
        <v>77170</v>
      </c>
      <c r="P8" s="407" cm="1">
        <f t="array" ref="P8">INDEX(input_voertuigen!$I$7:$I$24,MATCH(1,(P$7=input_voertuigen!$F$7:$F$24)*(input_voertuigen!$G$7:$G$24=P$6),0))</f>
        <v>151851</v>
      </c>
      <c r="Q8" s="407" t="e" cm="1">
        <f t="array" ref="Q8">INDEX(input_voertuigen!$I$7:$I$24,MATCH(1,(Q$7=input_voertuigen!$F$7:$F$24)*(input_voertuigen!$G$7:$G$24=Q$6),0))</f>
        <v>#N/A</v>
      </c>
      <c r="R8" s="407" cm="1">
        <f t="array" ref="R8">INDEX(input_voertuigen!$I$7:$I$24,MATCH(1,(R$7=input_voertuigen!$F$7:$F$24)*(input_voertuigen!$G$7:$G$24=R$6),0))</f>
        <v>40337</v>
      </c>
      <c r="S8" s="407" cm="1">
        <f t="array" ref="S8">INDEX(input_voertuigen!$I$7:$I$24,MATCH(1,(S$7=input_voertuigen!$F$7:$F$24)*(input_voertuigen!$G$7:$G$24=S$6),0))</f>
        <v>48781</v>
      </c>
      <c r="T8" s="407" cm="1">
        <f t="array" ref="T8">INDEX(input_voertuigen!$I$7:$I$24,MATCH(1,(T$7=input_voertuigen!$F$7:$F$24)*(input_voertuigen!$G$7:$G$24=T$6),0))</f>
        <v>71744</v>
      </c>
      <c r="U8" s="407" cm="1">
        <f t="array" ref="U8">INDEX(input_voertuigen!$I$7:$I$24,MATCH(1,(U$7=input_voertuigen!$F$7:$F$24)*(input_voertuigen!$G$7:$G$24=U$6),0))</f>
        <v>106888</v>
      </c>
      <c r="W8" t="s">
        <v>211</v>
      </c>
      <c r="AD8" t="s">
        <v>4</v>
      </c>
      <c r="AE8">
        <v>1</v>
      </c>
      <c r="AF8">
        <v>1</v>
      </c>
      <c r="AG8">
        <v>1</v>
      </c>
      <c r="AH8">
        <v>1</v>
      </c>
    </row>
    <row r="9" spans="2:34" x14ac:dyDescent="0.3">
      <c r="B9" s="38" t="s">
        <v>63</v>
      </c>
      <c r="C9" s="407">
        <f t="shared" ref="C9:U9" si="0">+C8/(1+input_btw)</f>
        <v>18971</v>
      </c>
      <c r="D9" s="407">
        <f t="shared" si="0"/>
        <v>29203</v>
      </c>
      <c r="E9" s="407">
        <f t="shared" si="0"/>
        <v>42201</v>
      </c>
      <c r="F9" s="407">
        <f t="shared" si="0"/>
        <v>53353</v>
      </c>
      <c r="G9" s="407">
        <f>+G8/(1+input_btw)</f>
        <v>177840</v>
      </c>
      <c r="H9" s="407">
        <f t="shared" si="0"/>
        <v>29141</v>
      </c>
      <c r="I9" s="407">
        <f t="shared" si="0"/>
        <v>38573</v>
      </c>
      <c r="J9" s="407">
        <f t="shared" si="0"/>
        <v>51567</v>
      </c>
      <c r="K9" s="407">
        <f>+K8/(1+input_btw)</f>
        <v>58574</v>
      </c>
      <c r="L9" s="407">
        <f t="shared" si="0"/>
        <v>118247</v>
      </c>
      <c r="M9" s="407">
        <f t="shared" ref="M9:T9" si="1">+M8/(1+input_btw)</f>
        <v>35567</v>
      </c>
      <c r="N9" s="407">
        <f t="shared" si="1"/>
        <v>52111</v>
      </c>
      <c r="O9" s="407">
        <f t="shared" si="1"/>
        <v>77170</v>
      </c>
      <c r="P9" s="407">
        <f t="shared" si="1"/>
        <v>151851</v>
      </c>
      <c r="Q9" s="407" t="e">
        <f t="shared" si="1"/>
        <v>#N/A</v>
      </c>
      <c r="R9" s="407">
        <f t="shared" si="1"/>
        <v>40337</v>
      </c>
      <c r="S9" s="407">
        <f t="shared" si="1"/>
        <v>48781</v>
      </c>
      <c r="T9" s="407">
        <f t="shared" si="1"/>
        <v>71744</v>
      </c>
      <c r="U9" s="407">
        <f t="shared" si="0"/>
        <v>106888</v>
      </c>
      <c r="W9" t="s">
        <v>212</v>
      </c>
      <c r="AD9" t="s">
        <v>14</v>
      </c>
      <c r="AE9">
        <v>1</v>
      </c>
      <c r="AF9">
        <v>1</v>
      </c>
      <c r="AG9">
        <v>1</v>
      </c>
    </row>
    <row r="10" spans="2:34" x14ac:dyDescent="0.3">
      <c r="B10" s="38" t="s">
        <v>61</v>
      </c>
      <c r="C10" s="408" cm="1">
        <f t="array" ref="C10">INDEX(input_voertuigen!$J$7:$J$24,MATCH(1,(C$7=input_voertuigen!$F$7:$F$24)*(input_voertuigen!$G$7:$G$24=C$6),0))</f>
        <v>110</v>
      </c>
      <c r="D10" s="408" cm="1">
        <f t="array" ref="D10">INDEX(input_voertuigen!$J$7:$J$24,MATCH(1,(D$7=input_voertuigen!$F$7:$F$24)*(input_voertuigen!$G$7:$G$24=D$6),0))</f>
        <v>113.5</v>
      </c>
      <c r="E10" s="408" cm="1">
        <f t="array" ref="E10">INDEX(input_voertuigen!$J$7:$J$24,MATCH(1,(E$7=input_voertuigen!$F$7:$F$24)*(input_voertuigen!$G$7:$G$24=E$6),0))</f>
        <v>129.5</v>
      </c>
      <c r="F10" s="408" cm="1">
        <f t="array" ref="F10">INDEX(input_voertuigen!$J$7:$J$24,MATCH(1,(F$7=input_voertuigen!$F$7:$F$24)*(input_voertuigen!$G$7:$G$24=F$6),0))</f>
        <v>144</v>
      </c>
      <c r="G10" s="408" cm="1">
        <f t="array" ref="G10">INDEX(input_voertuigen!$J$7:$J$24,MATCH(1,(G$7=input_voertuigen!$F$7:$F$24)*(input_voertuigen!$G$7:$G$24=G$6),0))</f>
        <v>166</v>
      </c>
      <c r="H10" s="408" cm="1">
        <f t="array" ref="H10">INDEX(input_voertuigen!$J$7:$J$24,MATCH(1,(H$7=input_voertuigen!$F$7:$F$24)*(input_voertuigen!$G$7:$G$24=H$6),0))</f>
        <v>0</v>
      </c>
      <c r="I10" s="408" cm="1">
        <f t="array" ref="I10">INDEX(input_voertuigen!$J$7:$J$24,MATCH(1,(I$7=input_voertuigen!$F$7:$F$24)*(input_voertuigen!$G$7:$G$24=I$6),0))</f>
        <v>0</v>
      </c>
      <c r="J10" s="408" cm="1">
        <f t="array" ref="J10">INDEX(input_voertuigen!$J$7:$J$24,MATCH(1,(J$7=input_voertuigen!$F$7:$F$24)*(input_voertuigen!$G$7:$G$24=J$6),0))</f>
        <v>0</v>
      </c>
      <c r="K10" s="408" cm="1">
        <f t="array" ref="K10">INDEX(input_voertuigen!$J$7:$J$24,MATCH(1,(K$7=input_voertuigen!$F$7:$F$24)*(input_voertuigen!$G$7:$G$24=K$6),0))</f>
        <v>0</v>
      </c>
      <c r="L10" s="408" cm="1">
        <f t="array" ref="L10">INDEX(input_voertuigen!$J$7:$J$24,MATCH(1,(L$7=input_voertuigen!$F$7:$F$24)*(input_voertuigen!$G$7:$G$24=L$6),0))</f>
        <v>0</v>
      </c>
      <c r="M10" s="408" cm="1">
        <f t="array" ref="M10">INDEX(input_voertuigen!$J$7:$J$24,MATCH(1,(M$7=input_voertuigen!$F$7:$F$24)*(input_voertuigen!$G$7:$G$24=M$6),0))</f>
        <v>106</v>
      </c>
      <c r="N10" s="408" cm="1">
        <f t="array" ref="N10">INDEX(input_voertuigen!$J$7:$J$24,MATCH(1,(N$7=input_voertuigen!$F$7:$F$24)*(input_voertuigen!$G$7:$G$24=N$6),0))</f>
        <v>120</v>
      </c>
      <c r="O10" s="408" cm="1">
        <f t="array" ref="O10">INDEX(input_voertuigen!$J$7:$J$24,MATCH(1,(O$7=input_voertuigen!$F$7:$F$24)*(input_voertuigen!$G$7:$G$24=O$6),0))</f>
        <v>130.5</v>
      </c>
      <c r="P10" s="408" cm="1">
        <f t="array" ref="P10">INDEX(input_voertuigen!$J$7:$J$24,MATCH(1,(P$7=input_voertuigen!$F$7:$F$24)*(input_voertuigen!$G$7:$G$24=P$6),0))</f>
        <v>168.5</v>
      </c>
      <c r="Q10" s="408" t="e" cm="1">
        <f t="array" ref="Q10">INDEX(input_voertuigen!$J$7:$J$24,MATCH(1,(Q$7=input_voertuigen!$F$7:$F$24)*(input_voertuigen!$G$7:$G$24=Q$6),0))</f>
        <v>#N/A</v>
      </c>
      <c r="R10" s="408" cm="1">
        <f t="array" ref="R10">INDEX(input_voertuigen!$J$7:$J$24,MATCH(1,(R$7=input_voertuigen!$F$7:$F$24)*(input_voertuigen!$G$7:$G$24=R$6),0))</f>
        <v>30</v>
      </c>
      <c r="S10" s="408" cm="1">
        <f t="array" ref="S10">INDEX(input_voertuigen!$J$7:$J$24,MATCH(1,(S$7=input_voertuigen!$F$7:$F$24)*(input_voertuigen!$G$7:$G$24=S$6),0))</f>
        <v>23</v>
      </c>
      <c r="T10" s="408" cm="1">
        <f t="array" ref="T10">INDEX(input_voertuigen!$J$7:$J$24,MATCH(1,(T$7=input_voertuigen!$F$7:$F$24)*(input_voertuigen!$G$7:$G$24=T$6),0))</f>
        <v>32.5</v>
      </c>
      <c r="U10" s="408" cm="1">
        <f t="array" ref="U10">INDEX(input_voertuigen!$J$7:$J$24,MATCH(1,(U$7=input_voertuigen!$F$7:$F$24)*(input_voertuigen!$G$7:$G$24=U$6),0))</f>
        <v>36</v>
      </c>
    </row>
    <row r="11" spans="2:34" x14ac:dyDescent="0.3">
      <c r="B11" s="38" t="s">
        <v>1345</v>
      </c>
      <c r="C11" s="408" cm="1">
        <f t="array" ref="C11">INDEX(input_voertuigen!$K$7:$K$24,MATCH(1,(C$7=input_voertuigen!$F$7:$F$24)*(input_voertuigen!$G$7:$G$24=C$6),0))</f>
        <v>151</v>
      </c>
      <c r="D11" s="408" cm="1">
        <f t="array" ref="D11">INDEX(input_voertuigen!$K$7:$K$24,MATCH(1,(D$7=input_voertuigen!$F$7:$F$24)*(input_voertuigen!$G$7:$G$24=D$6),0))</f>
        <v>151</v>
      </c>
      <c r="E11" s="408" cm="1">
        <f t="array" ref="E11">INDEX(input_voertuigen!$K$7:$K$24,MATCH(1,(E$7=input_voertuigen!$F$7:$F$24)*(input_voertuigen!$G$7:$G$24=E$6),0))</f>
        <v>169</v>
      </c>
      <c r="F11" s="408" cm="1">
        <f t="array" ref="F11">INDEX(input_voertuigen!$K$7:$K$24,MATCH(1,(F$7=input_voertuigen!$F$7:$F$24)*(input_voertuigen!$G$7:$G$24=F$6),0))</f>
        <v>169</v>
      </c>
      <c r="G11" s="408" cm="1">
        <f t="array" ref="G11">INDEX(input_voertuigen!$K$7:$K$24,MATCH(1,(G$7=input_voertuigen!$F$7:$F$24)*(input_voertuigen!$G$7:$G$24=G$6),0))</f>
        <v>198</v>
      </c>
      <c r="H11" s="408" cm="1">
        <f t="array" ref="H11">INDEX(input_voertuigen!$K$7:$K$24,MATCH(1,(H$7=input_voertuigen!$F$7:$F$24)*(input_voertuigen!$G$7:$G$24=H$6),0))</f>
        <v>0</v>
      </c>
      <c r="I11" s="408" cm="1">
        <f t="array" ref="I11">INDEX(input_voertuigen!$K$7:$K$24,MATCH(1,(I$7=input_voertuigen!$F$7:$F$24)*(input_voertuigen!$G$7:$G$24=I$6),0))</f>
        <v>0</v>
      </c>
      <c r="J11" s="408" cm="1">
        <f t="array" ref="J11">INDEX(input_voertuigen!$K$7:$K$24,MATCH(1,(J$7=input_voertuigen!$F$7:$F$24)*(input_voertuigen!$G$7:$G$24=J$6),0))</f>
        <v>0</v>
      </c>
      <c r="K11" s="408" cm="1">
        <f t="array" ref="K11">INDEX(input_voertuigen!$K$7:$K$24,MATCH(1,(K$7=input_voertuigen!$F$7:$F$24)*(input_voertuigen!$G$7:$G$24=K$6),0))</f>
        <v>0</v>
      </c>
      <c r="L11" s="408" cm="1">
        <f t="array" ref="L11">INDEX(input_voertuigen!$K$7:$K$24,MATCH(1,(L$7=input_voertuigen!$F$7:$F$24)*(input_voertuigen!$G$7:$G$24=L$6),0))</f>
        <v>0</v>
      </c>
      <c r="M11" s="408" cm="1">
        <f t="array" ref="M11">INDEX(input_voertuigen!$K$7:$K$24,MATCH(1,(M$7=input_voertuigen!$F$7:$F$24)*(input_voertuigen!$G$7:$G$24=M$6),0))</f>
        <v>130</v>
      </c>
      <c r="N11" s="408" cm="1">
        <f t="array" ref="N11">INDEX(input_voertuigen!$K$7:$K$24,MATCH(1,(N$7=input_voertuigen!$F$7:$F$24)*(input_voertuigen!$G$7:$G$24=N$6),0))</f>
        <v>146</v>
      </c>
      <c r="O11" s="408" cm="1">
        <f t="array" ref="O11">INDEX(input_voertuigen!$K$7:$K$24,MATCH(1,(O$7=input_voertuigen!$F$7:$F$24)*(input_voertuigen!$G$7:$G$24=O$6),0))</f>
        <v>146</v>
      </c>
      <c r="P11" s="408" cm="1">
        <f t="array" ref="P11">INDEX(input_voertuigen!$K$7:$K$24,MATCH(1,(P$7=input_voertuigen!$F$7:$F$24)*(input_voertuigen!$G$7:$G$24=P$6),0))</f>
        <v>173</v>
      </c>
      <c r="Q11" s="408" t="e" cm="1">
        <f t="array" ref="Q11">INDEX(input_voertuigen!$K$7:$K$24,MATCH(1,(Q$7=input_voertuigen!$F$7:$F$24)*(input_voertuigen!$G$7:$G$24=Q$6),0))</f>
        <v>#N/A</v>
      </c>
      <c r="R11" s="408" cm="1">
        <f t="array" ref="R11">INDEX(input_voertuigen!$K$7:$K$24,MATCH(1,(R$7=input_voertuigen!$F$7:$F$24)*(input_voertuigen!$G$7:$G$24=R$6),0))</f>
        <v>108</v>
      </c>
      <c r="S11" s="408" cm="1">
        <f t="array" ref="S11">INDEX(input_voertuigen!$K$7:$K$24,MATCH(1,(S$7=input_voertuigen!$F$7:$F$24)*(input_voertuigen!$G$7:$G$24=S$6),0))</f>
        <v>122</v>
      </c>
      <c r="T11" s="408" cm="1">
        <f t="array" ref="T11">INDEX(input_voertuigen!$K$7:$K$24,MATCH(1,(T$7=input_voertuigen!$F$7:$F$24)*(input_voertuigen!$G$7:$G$24=T$6),0))</f>
        <v>122</v>
      </c>
      <c r="U11" s="408" cm="1">
        <f t="array" ref="U11">INDEX(input_voertuigen!$K$7:$K$24,MATCH(1,(U$7=input_voertuigen!$F$7:$F$24)*(input_voertuigen!$G$7:$G$24=U$6),0))</f>
        <v>142</v>
      </c>
      <c r="W11" t="s">
        <v>213</v>
      </c>
    </row>
    <row r="12" spans="2:34" x14ac:dyDescent="0.3">
      <c r="B12" s="38" t="s">
        <v>209</v>
      </c>
      <c r="C12" s="408" cm="1">
        <f t="array" ref="C12">INDEX(input_voertuigen!$T$7:$T$24,MATCH(1,(C$7=input_voertuigen!$F$7:$F$24)*(input_voertuigen!$G$7:$G$24=C$6),0))</f>
        <v>35</v>
      </c>
      <c r="D12" s="408" cm="1">
        <f t="array" ref="D12">INDEX(input_voertuigen!$T$7:$T$24,MATCH(1,(D$7=input_voertuigen!$F$7:$F$24)*(input_voertuigen!$G$7:$G$24=D$6),0))</f>
        <v>47</v>
      </c>
      <c r="E12" s="408" cm="1">
        <f t="array" ref="E12">INDEX(input_voertuigen!$T$7:$T$24,MATCH(1,(E$7=input_voertuigen!$F$7:$F$24)*(input_voertuigen!$G$7:$G$24=E$6),0))</f>
        <v>59</v>
      </c>
      <c r="F12" s="408" cm="1">
        <f t="array" ref="F12">INDEX(input_voertuigen!$T$7:$T$24,MATCH(1,(F$7=input_voertuigen!$F$7:$F$24)*(input_voertuigen!$G$7:$G$24=F$6),0))</f>
        <v>66</v>
      </c>
      <c r="G12" s="408" cm="1">
        <f t="array" ref="G12">INDEX(input_voertuigen!$T$7:$T$24,MATCH(1,(G$7=input_voertuigen!$F$7:$F$24)*(input_voertuigen!$G$7:$G$24=G$6),0))</f>
        <v>66</v>
      </c>
      <c r="H12" s="408" cm="1">
        <f t="array" ref="H12">INDEX(input_voertuigen!$T$7:$T$24,MATCH(1,(H$7=input_voertuigen!$F$7:$F$24)*(input_voertuigen!$G$7:$G$24=H$6),0))</f>
        <v>0</v>
      </c>
      <c r="I12" s="408" cm="1">
        <f t="array" ref="I12">INDEX(input_voertuigen!$T$7:$T$24,MATCH(1,(I$7=input_voertuigen!$F$7:$F$24)*(input_voertuigen!$G$7:$G$24=I$6),0))</f>
        <v>0</v>
      </c>
      <c r="J12" s="408" cm="1">
        <f t="array" ref="J12">INDEX(input_voertuigen!$T$7:$T$24,MATCH(1,(J$7=input_voertuigen!$F$7:$F$24)*(input_voertuigen!$G$7:$G$24=J$6),0))</f>
        <v>0</v>
      </c>
      <c r="K12" s="408" cm="1">
        <f t="array" ref="K12">INDEX(input_voertuigen!$T$7:$T$24,MATCH(1,(K$7=input_voertuigen!$F$7:$F$24)*(input_voertuigen!$G$7:$G$24=K$6),0))</f>
        <v>0</v>
      </c>
      <c r="L12" s="408" cm="1">
        <f t="array" ref="L12">INDEX(input_voertuigen!$T$7:$T$24,MATCH(1,(L$7=input_voertuigen!$F$7:$F$24)*(input_voertuigen!$G$7:$G$24=L$6),0))</f>
        <v>0</v>
      </c>
      <c r="M12" s="408" cm="1">
        <f t="array" ref="M12">INDEX(input_voertuigen!$T$7:$T$24,MATCH(1,(M$7=input_voertuigen!$F$7:$F$24)*(input_voertuigen!$G$7:$G$24=M$6),0))</f>
        <v>41</v>
      </c>
      <c r="N12" s="408" cm="1">
        <f t="array" ref="N12">INDEX(input_voertuigen!$T$7:$T$24,MATCH(1,(N$7=input_voertuigen!$F$7:$F$24)*(input_voertuigen!$G$7:$G$24=N$6),0))</f>
        <v>47</v>
      </c>
      <c r="O12" s="408" cm="1">
        <f t="array" ref="O12">INDEX(input_voertuigen!$T$7:$T$24,MATCH(1,(O$7=input_voertuigen!$F$7:$F$24)*(input_voertuigen!$G$7:$G$24=O$6),0))</f>
        <v>55</v>
      </c>
      <c r="P12" s="408" cm="1">
        <f t="array" ref="P12">INDEX(input_voertuigen!$T$7:$T$24,MATCH(1,(P$7=input_voertuigen!$F$7:$F$24)*(input_voertuigen!$G$7:$G$24=P$6),0))</f>
        <v>66</v>
      </c>
      <c r="Q12" s="408" t="e" cm="1">
        <f t="array" ref="Q12">INDEX(input_voertuigen!$T$7:$T$24,MATCH(1,(Q$7=input_voertuigen!$F$7:$F$24)*(input_voertuigen!$G$7:$G$24=Q$6),0))</f>
        <v>#N/A</v>
      </c>
      <c r="R12" s="408" cm="1">
        <f t="array" ref="R12">INDEX(input_voertuigen!$T$7:$T$24,MATCH(1,(R$7=input_voertuigen!$F$7:$F$24)*(input_voertuigen!$G$7:$G$24=R$6),0))</f>
        <v>39</v>
      </c>
      <c r="S12" s="408" cm="1">
        <f t="array" ref="S12">INDEX(input_voertuigen!$T$7:$T$24,MATCH(1,(S$7=input_voertuigen!$F$7:$F$24)*(input_voertuigen!$G$7:$G$24=S$6),0))</f>
        <v>37</v>
      </c>
      <c r="T12" s="408" cm="1">
        <f t="array" ref="T12">INDEX(input_voertuigen!$T$7:$T$24,MATCH(1,(T$7=input_voertuigen!$F$7:$F$24)*(input_voertuigen!$G$7:$G$24=T$6),0))</f>
        <v>43</v>
      </c>
      <c r="U12" s="408" cm="1">
        <f t="array" ref="U12">INDEX(input_voertuigen!$T$7:$T$24,MATCH(1,(U$7=input_voertuigen!$F$7:$F$24)*(input_voertuigen!$G$7:$G$24=U$6),0))</f>
        <v>50</v>
      </c>
    </row>
    <row r="13" spans="2:34" x14ac:dyDescent="0.3">
      <c r="B13" s="38" t="s">
        <v>208</v>
      </c>
      <c r="C13" s="38"/>
      <c r="D13" s="38"/>
      <c r="E13" s="85"/>
      <c r="F13" s="38"/>
      <c r="G13" s="38"/>
      <c r="H13" s="38"/>
      <c r="I13" s="38"/>
      <c r="J13" s="38"/>
      <c r="K13" s="38"/>
      <c r="L13" s="38"/>
      <c r="M13" s="38"/>
      <c r="N13" s="38"/>
      <c r="O13" s="85"/>
      <c r="P13" s="38"/>
      <c r="Q13" s="38"/>
      <c r="R13" s="85"/>
      <c r="S13" s="38"/>
      <c r="T13" s="38"/>
      <c r="U13" s="38"/>
    </row>
    <row r="14" spans="2:34" x14ac:dyDescent="0.3">
      <c r="B14" s="38" t="s">
        <v>207</v>
      </c>
      <c r="C14" s="38"/>
      <c r="D14" s="38"/>
      <c r="E14" s="38"/>
      <c r="F14" s="38"/>
      <c r="G14" s="38"/>
      <c r="H14" s="38"/>
      <c r="I14" s="38"/>
      <c r="J14" s="38"/>
      <c r="K14" s="38"/>
      <c r="L14" s="38"/>
      <c r="M14" s="38"/>
      <c r="N14" s="38"/>
      <c r="O14" s="38"/>
      <c r="P14" s="38"/>
      <c r="Q14" s="38"/>
      <c r="R14" s="38"/>
      <c r="S14" s="38"/>
      <c r="T14" s="38"/>
      <c r="U14" s="38"/>
    </row>
    <row r="15" spans="2:34" x14ac:dyDescent="0.3">
      <c r="B15" s="38" t="s">
        <v>95</v>
      </c>
      <c r="C15" s="38" cm="1">
        <f t="array" ref="C15">INDEX(input_voertuigen!$U$7:$U$24,MATCH(1,(C$7=input_voertuigen!$F$7:$F$24)*(input_voertuigen!$G$7:$G$24=C$6),0))</f>
        <v>0</v>
      </c>
      <c r="D15" s="38" cm="1">
        <f t="array" ref="D15">INDEX(input_voertuigen!$U$7:$U$24,MATCH(1,(D$7=input_voertuigen!$F$7:$F$24)*(input_voertuigen!$G$7:$G$24=D$6),0))</f>
        <v>0</v>
      </c>
      <c r="E15" s="38" cm="1">
        <f t="array" ref="E15">INDEX(input_voertuigen!$U$7:$U$24,MATCH(1,(E$7=input_voertuigen!$F$7:$F$24)*(input_voertuigen!$G$7:$G$24=E$6),0))</f>
        <v>0</v>
      </c>
      <c r="F15" s="38" cm="1">
        <f t="array" ref="F15">INDEX(input_voertuigen!$U$7:$U$24,MATCH(1,(F$7=input_voertuigen!$F$7:$F$24)*(input_voertuigen!$G$7:$G$24=F$6),0))</f>
        <v>0</v>
      </c>
      <c r="G15" s="38" cm="1">
        <f t="array" ref="G15">INDEX(input_voertuigen!$U$7:$U$24,MATCH(1,(G$7=input_voertuigen!$F$7:$F$24)*(input_voertuigen!$G$7:$G$24=G$6),0))</f>
        <v>0</v>
      </c>
      <c r="H15" s="38" cm="1">
        <f t="array" ref="H15">INDEX(input_voertuigen!$U$7:$U$24,MATCH(1,(H$7=input_voertuigen!$F$7:$F$24)*(input_voertuigen!$G$7:$G$24=H$6),0))</f>
        <v>26.8</v>
      </c>
      <c r="I15" s="38" cm="1">
        <f t="array" ref="I15">INDEX(input_voertuigen!$U$7:$U$24,MATCH(1,(I$7=input_voertuigen!$F$7:$F$24)*(input_voertuigen!$G$7:$G$24=I$6),0))</f>
        <v>67.5</v>
      </c>
      <c r="J15" s="38" cm="1">
        <f t="array" ref="J15">INDEX(input_voertuigen!$U$7:$U$24,MATCH(1,(J$7=input_voertuigen!$F$7:$F$24)*(input_voertuigen!$G$7:$G$24=J$6),0))</f>
        <v>68</v>
      </c>
      <c r="K15" s="38" cm="1">
        <f t="array" ref="K15">INDEX(input_voertuigen!$U$7:$U$24,MATCH(1,(K$7=input_voertuigen!$F$7:$F$24)*(input_voertuigen!$G$7:$G$24=K$6),0))</f>
        <v>60</v>
      </c>
      <c r="L15" s="38" cm="1">
        <f t="array" ref="L15">INDEX(input_voertuigen!$U$7:$U$24,MATCH(1,(L$7=input_voertuigen!$F$7:$F$24)*(input_voertuigen!$G$7:$G$24=L$6),0))</f>
        <v>100</v>
      </c>
      <c r="M15" s="38" cm="1">
        <f t="array" ref="M15">INDEX(input_voertuigen!$U$7:$U$24,MATCH(1,(M$7=input_voertuigen!$F$7:$F$24)*(input_voertuigen!$G$7:$G$24=M$6),0))</f>
        <v>0</v>
      </c>
      <c r="N15" s="38" cm="1">
        <f t="array" ref="N15">INDEX(input_voertuigen!$U$7:$U$24,MATCH(1,(N$7=input_voertuigen!$F$7:$F$24)*(input_voertuigen!$G$7:$G$24=N$6),0))</f>
        <v>0</v>
      </c>
      <c r="O15" s="38" cm="1">
        <f t="array" ref="O15">INDEX(input_voertuigen!$U$7:$U$24,MATCH(1,(O$7=input_voertuigen!$F$7:$F$24)*(input_voertuigen!$G$7:$G$24=O$6),0))</f>
        <v>0</v>
      </c>
      <c r="P15" s="38" cm="1">
        <f t="array" ref="P15">INDEX(input_voertuigen!$U$7:$U$24,MATCH(1,(P$7=input_voertuigen!$F$7:$F$24)*(input_voertuigen!$G$7:$G$24=P$6),0))</f>
        <v>0</v>
      </c>
      <c r="Q15" s="38" t="e" cm="1">
        <f t="array" ref="Q15">INDEX(input_voertuigen!$U$7:$U$24,MATCH(1,(Q$7=input_voertuigen!$F$7:$F$24)*(input_voertuigen!$G$7:$G$24=Q$6),0))</f>
        <v>#N/A</v>
      </c>
      <c r="R15" s="38" cm="1">
        <f t="array" ref="R15">INDEX(input_voertuigen!$U$7:$U$24,MATCH(1,(R$7=input_voertuigen!$F$7:$F$24)*(input_voertuigen!$G$7:$G$24=R$6),0))</f>
        <v>9.8000000000000007</v>
      </c>
      <c r="S15" s="38" cm="1">
        <f t="array" ref="S15">INDEX(input_voertuigen!$U$7:$U$24,MATCH(1,(S$7=input_voertuigen!$F$7:$F$24)*(input_voertuigen!$G$7:$G$24=S$6),0))</f>
        <v>11.1</v>
      </c>
      <c r="T15" s="38" cm="1">
        <f t="array" ref="T15">INDEX(input_voertuigen!$U$7:$U$24,MATCH(1,(T$7=input_voertuigen!$F$7:$F$24)*(input_voertuigen!$G$7:$G$24=T$6),0))</f>
        <v>11.5</v>
      </c>
      <c r="U15" s="38" cm="1">
        <f t="array" ref="U15">INDEX(input_voertuigen!$U$7:$U$24,MATCH(1,(U$7=input_voertuigen!$F$7:$F$24)*(input_voertuigen!$G$7:$G$24=U$6),0))</f>
        <v>13.5</v>
      </c>
    </row>
    <row r="16" spans="2:34" x14ac:dyDescent="0.3">
      <c r="B16" s="38" t="s">
        <v>1395</v>
      </c>
      <c r="C16" s="408" cm="1">
        <f t="array" ref="C16">INDEX(input_voertuigen!$N$7:$N$24,MATCH(1,(C$7=input_voertuigen!$F$7:$F$24)*(input_voertuigen!$G$7:$G$24=C$6),0))</f>
        <v>0</v>
      </c>
      <c r="D16" s="408" cm="1">
        <f t="array" ref="D16">INDEX(input_voertuigen!$N$7:$N$24,MATCH(1,(D$7=input_voertuigen!$F$7:$F$24)*(input_voertuigen!$G$7:$G$24=D$6),0))</f>
        <v>0</v>
      </c>
      <c r="E16" s="408" cm="1">
        <f t="array" ref="E16">INDEX(input_voertuigen!$N$7:$N$24,MATCH(1,(E$7=input_voertuigen!$F$7:$F$24)*(input_voertuigen!$G$7:$G$24=E$6),0))</f>
        <v>0</v>
      </c>
      <c r="F16" s="408" cm="1">
        <f t="array" ref="F16">INDEX(input_voertuigen!$N$7:$N$24,MATCH(1,(F$7=input_voertuigen!$F$7:$F$24)*(input_voertuigen!$G$7:$G$24=F$6),0))</f>
        <v>0</v>
      </c>
      <c r="G16" s="408" cm="1">
        <f t="array" ref="G16">INDEX(input_voertuigen!$N$7:$N$24,MATCH(1,(G$7=input_voertuigen!$F$7:$F$24)*(input_voertuigen!$G$7:$G$24=G$6),0))</f>
        <v>0</v>
      </c>
      <c r="H16" s="408" cm="1">
        <f t="array" ref="H16">INDEX(input_voertuigen!$N$7:$N$24,MATCH(1,(H$7=input_voertuigen!$F$7:$F$24)*(input_voertuigen!$G$7:$G$24=H$6),0))</f>
        <v>13.9</v>
      </c>
      <c r="I16" s="408" cm="1">
        <f t="array" ref="I16">INDEX(input_voertuigen!$N$7:$N$24,MATCH(1,(I$7=input_voertuigen!$F$7:$F$24)*(input_voertuigen!$G$7:$G$24=I$6),0))</f>
        <v>16.899999999999999</v>
      </c>
      <c r="J16" s="408" cm="1">
        <f t="array" ref="J16">INDEX(input_voertuigen!$N$7:$N$24,MATCH(1,(J$7=input_voertuigen!$F$7:$F$24)*(input_voertuigen!$G$7:$G$24=J$6),0))</f>
        <v>15.98</v>
      </c>
      <c r="K16" s="408" cm="1">
        <f t="array" ref="K16">INDEX(input_voertuigen!$N$7:$N$24,MATCH(1,(K$7=input_voertuigen!$F$7:$F$24)*(input_voertuigen!$G$7:$G$24=K$6),0))</f>
        <v>16.100000000000001</v>
      </c>
      <c r="L16" s="408" cm="1">
        <f t="array" ref="L16">INDEX(input_voertuigen!$N$7:$N$24,MATCH(1,(L$7=input_voertuigen!$F$7:$F$24)*(input_voertuigen!$G$7:$G$24=L$6),0))</f>
        <v>18.7</v>
      </c>
      <c r="M16" s="408" cm="1">
        <f t="array" ref="M16">INDEX(input_voertuigen!$N$7:$N$24,MATCH(1,(M$7=input_voertuigen!$F$7:$F$24)*(input_voertuigen!$G$7:$G$24=M$6),0))</f>
        <v>0</v>
      </c>
      <c r="N16" s="408" cm="1">
        <f t="array" ref="N16">INDEX(input_voertuigen!$N$7:$N$24,MATCH(1,(N$7=input_voertuigen!$F$7:$F$24)*(input_voertuigen!$G$7:$G$24=N$6),0))</f>
        <v>0</v>
      </c>
      <c r="O16" s="408" cm="1">
        <f t="array" ref="O16">INDEX(input_voertuigen!$N$7:$N$24,MATCH(1,(O$7=input_voertuigen!$F$7:$F$24)*(input_voertuigen!$G$7:$G$24=O$6),0))</f>
        <v>0</v>
      </c>
      <c r="P16" s="408" cm="1">
        <f t="array" ref="P16">INDEX(input_voertuigen!$N$7:$N$24,MATCH(1,(P$7=input_voertuigen!$F$7:$F$24)*(input_voertuigen!$G$7:$G$24=P$6),0))</f>
        <v>0</v>
      </c>
      <c r="Q16" s="408" t="e" cm="1">
        <f t="array" ref="Q16">INDEX(input_voertuigen!$N$7:$N$24,MATCH(1,(Q$7=input_voertuigen!$F$7:$F$24)*(input_voertuigen!$G$7:$G$24=Q$6),0))</f>
        <v>#N/A</v>
      </c>
      <c r="R16" s="408" cm="1">
        <f t="array" ref="R16">INDEX(input_voertuigen!$N$7:$N$24,MATCH(1,(R$7=input_voertuigen!$F$7:$F$24)*(input_voertuigen!$G$7:$G$24=R$6),0))</f>
        <v>17.100000000000001</v>
      </c>
      <c r="S16" s="408" cm="1">
        <f t="array" ref="S16">INDEX(input_voertuigen!$N$7:$N$24,MATCH(1,(S$7=input_voertuigen!$F$7:$F$24)*(input_voertuigen!$G$7:$G$24=S$6),0))</f>
        <v>16.399999999999999</v>
      </c>
      <c r="T16" s="408" cm="1">
        <f t="array" ref="T16">INDEX(input_voertuigen!$N$7:$N$24,MATCH(1,(T$7=input_voertuigen!$F$7:$F$24)*(input_voertuigen!$G$7:$G$24=T$6),0))</f>
        <v>15.4</v>
      </c>
      <c r="U16" s="408" cm="1">
        <f t="array" ref="U16">INDEX(input_voertuigen!$N$7:$N$24,MATCH(1,(U$7=input_voertuigen!$F$7:$F$24)*(input_voertuigen!$G$7:$G$24=U$6),0))</f>
        <v>17.899999999999999</v>
      </c>
    </row>
    <row r="17" spans="2:36" x14ac:dyDescent="0.3">
      <c r="B17" s="38" t="s">
        <v>1384</v>
      </c>
      <c r="C17" s="408">
        <f t="shared" ref="C17:G17" si="2">C16*1.19</f>
        <v>0</v>
      </c>
      <c r="D17" s="408">
        <f t="shared" si="2"/>
        <v>0</v>
      </c>
      <c r="E17" s="408">
        <f t="shared" si="2"/>
        <v>0</v>
      </c>
      <c r="F17" s="408">
        <f t="shared" si="2"/>
        <v>0</v>
      </c>
      <c r="G17" s="408">
        <f t="shared" si="2"/>
        <v>0</v>
      </c>
      <c r="H17" s="408">
        <f>H16*WLTP_EV</f>
        <v>16.541</v>
      </c>
      <c r="I17" s="408">
        <f>I16*WLTP_EV</f>
        <v>20.110999999999997</v>
      </c>
      <c r="J17" s="408">
        <f>J16*WLTP_EV</f>
        <v>19.016200000000001</v>
      </c>
      <c r="K17" s="408">
        <f>K16*WLTP_EV</f>
        <v>19.159000000000002</v>
      </c>
      <c r="L17" s="408">
        <f>L16*WLTP_EV</f>
        <v>22.252999999999997</v>
      </c>
      <c r="M17" s="408">
        <f t="shared" ref="M17" si="3">M16*1.19</f>
        <v>0</v>
      </c>
      <c r="N17" s="408">
        <f t="shared" ref="N17:Q17" si="4">N16*1.19</f>
        <v>0</v>
      </c>
      <c r="O17" s="408">
        <f t="shared" si="4"/>
        <v>0</v>
      </c>
      <c r="P17" s="408">
        <f t="shared" si="4"/>
        <v>0</v>
      </c>
      <c r="Q17" s="408" t="e">
        <f t="shared" si="4"/>
        <v>#N/A</v>
      </c>
      <c r="R17" s="408">
        <f>R16*WLTP_EV</f>
        <v>20.349</v>
      </c>
      <c r="S17" s="408">
        <f>S16*WLTP_EV</f>
        <v>19.515999999999998</v>
      </c>
      <c r="T17" s="408">
        <f>T16*WLTP_EV</f>
        <v>18.326000000000001</v>
      </c>
      <c r="U17" s="408">
        <f>U16*WLTP_EV</f>
        <v>21.300999999999998</v>
      </c>
      <c r="AJ17" s="44"/>
    </row>
    <row r="18" spans="2:36" x14ac:dyDescent="0.3">
      <c r="B18" s="38" t="s">
        <v>206</v>
      </c>
      <c r="C18" s="411" t="e">
        <f>+C12/C14*100</f>
        <v>#DIV/0!</v>
      </c>
      <c r="D18" s="411" t="e">
        <f>+D12/D14*100</f>
        <v>#DIV/0!</v>
      </c>
      <c r="E18" s="411" t="e">
        <f>+E12/E14*100</f>
        <v>#DIV/0!</v>
      </c>
      <c r="F18" s="411" t="e">
        <f>+F12/F14*100</f>
        <v>#DIV/0!</v>
      </c>
      <c r="G18" s="411" t="e">
        <f>+G12/G14*100</f>
        <v>#DIV/0!</v>
      </c>
      <c r="H18" s="411">
        <f>+H15/H17*100</f>
        <v>162.02164318964995</v>
      </c>
      <c r="I18" s="411">
        <f>+I15/I17*100</f>
        <v>335.63721346526785</v>
      </c>
      <c r="J18" s="411">
        <f>+J15/J17*100</f>
        <v>357.58984444841764</v>
      </c>
      <c r="K18" s="411">
        <f>+K15/K17*100</f>
        <v>313.16874575917319</v>
      </c>
      <c r="L18" s="411">
        <f>+L15/L17*100</f>
        <v>449.37761200736992</v>
      </c>
      <c r="M18" s="411" t="e">
        <f t="shared" ref="M18:T18" si="5">+M12/M14*100</f>
        <v>#DIV/0!</v>
      </c>
      <c r="N18" s="411" t="e">
        <f t="shared" si="5"/>
        <v>#DIV/0!</v>
      </c>
      <c r="O18" s="411" t="e">
        <f t="shared" si="5"/>
        <v>#DIV/0!</v>
      </c>
      <c r="P18" s="411" t="e">
        <f t="shared" si="5"/>
        <v>#DIV/0!</v>
      </c>
      <c r="Q18" s="411" t="e">
        <f t="shared" si="5"/>
        <v>#N/A</v>
      </c>
      <c r="R18" s="411" t="e">
        <f t="shared" si="5"/>
        <v>#DIV/0!</v>
      </c>
      <c r="S18" s="411" t="e">
        <f t="shared" si="5"/>
        <v>#DIV/0!</v>
      </c>
      <c r="T18" s="411" t="e">
        <f t="shared" si="5"/>
        <v>#DIV/0!</v>
      </c>
      <c r="U18" s="411" t="e">
        <f>+U15/U17*100+U12/U14*100</f>
        <v>#DIV/0!</v>
      </c>
      <c r="AJ18" s="44"/>
    </row>
    <row r="19" spans="2:36" x14ac:dyDescent="0.3">
      <c r="B19" s="38" t="s">
        <v>543</v>
      </c>
      <c r="C19" s="408" cm="1">
        <f t="array" ref="C19">INDEX(input_voertuigen!$M$7:$M$24,MATCH(1,(C$7=input_voertuigen!$F$7:$F$24)*(input_voertuigen!$G$7:$G$24=C$6),0))</f>
        <v>850</v>
      </c>
      <c r="D19" s="408" cm="1">
        <f t="array" ref="D19">INDEX(input_voertuigen!$M$7:$M$24,MATCH(1,(D$7=input_voertuigen!$F$7:$F$24)*(input_voertuigen!$G$7:$G$24=D$6),0))</f>
        <v>1100</v>
      </c>
      <c r="E19" s="408" cm="1">
        <f t="array" ref="E19">INDEX(input_voertuigen!$M$7:$M$24,MATCH(1,(E$7=input_voertuigen!$F$7:$F$24)*(input_voertuigen!$G$7:$G$24=E$6),0))</f>
        <v>1300</v>
      </c>
      <c r="F19" s="408" cm="1">
        <f t="array" ref="F19">INDEX(input_voertuigen!$M$7:$M$24,MATCH(1,(F$7=input_voertuigen!$F$7:$F$24)*(input_voertuigen!$G$7:$G$24=F$6),0))</f>
        <v>1500</v>
      </c>
      <c r="G19" s="408" cm="1">
        <f t="array" ref="G19">INDEX(input_voertuigen!$M$7:$M$24,MATCH(1,(G$7=input_voertuigen!$F$7:$F$24)*(input_voertuigen!$G$7:$G$24=G$6),0))</f>
        <v>1750</v>
      </c>
      <c r="H19" s="408" cm="1">
        <f t="array" ref="H19">INDEX(input_voertuigen!$M$7:$M$24,MATCH(1,(H$7=input_voertuigen!$F$7:$F$24)*(input_voertuigen!$G$7:$G$24=H$6),0))</f>
        <v>1200</v>
      </c>
      <c r="I19" s="408" cm="1">
        <f t="array" ref="I19">INDEX(input_voertuigen!$M$7:$M$24,MATCH(1,(I$7=input_voertuigen!$F$7:$F$24)*(input_voertuigen!$G$7:$G$24=I$6),0))</f>
        <v>1550</v>
      </c>
      <c r="J19" s="408" cm="1">
        <f t="array" ref="J19">INDEX(input_voertuigen!$M$7:$M$24,MATCH(1,(J$7=input_voertuigen!$F$7:$F$24)*(input_voertuigen!$G$7:$G$24=J$6),0))</f>
        <v>1700</v>
      </c>
      <c r="K19" s="408" cm="1">
        <f t="array" ref="K19">INDEX(input_voertuigen!$M$7:$M$24,MATCH(1,(K$7=input_voertuigen!$F$7:$F$24)*(input_voertuigen!$G$7:$G$24=K$6),0))</f>
        <v>1800</v>
      </c>
      <c r="L19" s="408" cm="1">
        <f t="array" ref="L19">INDEX(input_voertuigen!$M$7:$M$24,MATCH(1,(L$7=input_voertuigen!$F$7:$F$24)*(input_voertuigen!$G$7:$G$24=L$6),0))</f>
        <v>2350</v>
      </c>
      <c r="M19" s="408" cm="1">
        <f t="array" ref="M19">INDEX(input_voertuigen!$M$7:$M$24,MATCH(1,(M$7=input_voertuigen!$F$7:$F$24)*(input_voertuigen!$G$7:$G$24=M$6),0))</f>
        <v>1100</v>
      </c>
      <c r="N19" s="408" cm="1">
        <f t="array" ref="N19">INDEX(input_voertuigen!$M$7:$M$24,MATCH(1,(N$7=input_voertuigen!$F$7:$F$24)*(input_voertuigen!$G$7:$G$24=N$6),0))</f>
        <v>1300</v>
      </c>
      <c r="O19" s="408" cm="1">
        <f t="array" ref="O19">INDEX(input_voertuigen!$M$7:$M$24,MATCH(1,(O$7=input_voertuigen!$F$7:$F$24)*(input_voertuigen!$G$7:$G$24=O$6),0))</f>
        <v>1500</v>
      </c>
      <c r="P19" s="408" cm="1">
        <f t="array" ref="P19">INDEX(input_voertuigen!$M$7:$M$24,MATCH(1,(P$7=input_voertuigen!$F$7:$F$24)*(input_voertuigen!$G$7:$G$24=P$6),0))</f>
        <v>1750</v>
      </c>
      <c r="Q19" s="408" t="e" cm="1">
        <f t="array" ref="Q19">INDEX(input_voertuigen!$M$7:$M$24,MATCH(1,(Q$7=input_voertuigen!$F$7:$F$24)*(input_voertuigen!$G$7:$G$24=Q$6),0))</f>
        <v>#N/A</v>
      </c>
      <c r="R19" s="408" cm="1">
        <f t="array" ref="R19">INDEX(input_voertuigen!$M$7:$M$24,MATCH(1,(R$7=input_voertuigen!$F$7:$F$24)*(input_voertuigen!$G$7:$G$24=R$6),0))</f>
        <v>1325</v>
      </c>
      <c r="S19" s="408" cm="1">
        <f t="array" ref="S19">INDEX(input_voertuigen!$M$7:$M$24,MATCH(1,(S$7=input_voertuigen!$F$7:$F$24)*(input_voertuigen!$G$7:$G$24=S$6),0))</f>
        <v>1500</v>
      </c>
      <c r="T19" s="408" cm="1">
        <f t="array" ref="T19">INDEX(input_voertuigen!$M$7:$M$24,MATCH(1,(T$7=input_voertuigen!$F$7:$F$24)*(input_voertuigen!$G$7:$G$24=T$6),0))</f>
        <v>1650</v>
      </c>
      <c r="U19" s="408" cm="1">
        <f t="array" ref="U19">INDEX(input_voertuigen!$M$7:$M$24,MATCH(1,(U$7=input_voertuigen!$F$7:$F$24)*(input_voertuigen!$G$7:$G$24=U$6),0))</f>
        <v>2050</v>
      </c>
    </row>
    <row r="22" spans="2:36" x14ac:dyDescent="0.3">
      <c r="C22">
        <f t="array" ref="C22">MATCH(C23&amp;C24,$C$6:$U$6&amp;$C7:$U7,0)</f>
        <v>8</v>
      </c>
      <c r="D22">
        <f t="array" ref="D22">MATCH(D23&amp;D24,$C$6:$U$6&amp;$C7:$U7,0)</f>
        <v>3</v>
      </c>
      <c r="E22">
        <f t="array" ref="E22">MATCH(E23&amp;E24,$C$6:$U$6&amp;$C7:$U7,0)</f>
        <v>12</v>
      </c>
      <c r="F22">
        <f t="array" ref="F22">MATCH(F23&amp;F24,$C$6:$U$6&amp;$C7:$U7,0)</f>
        <v>17</v>
      </c>
    </row>
    <row r="23" spans="2:36" x14ac:dyDescent="0.3">
      <c r="B23" s="49" t="s">
        <v>218</v>
      </c>
      <c r="C23" t="s">
        <v>141</v>
      </c>
      <c r="D23" t="s">
        <v>45</v>
      </c>
      <c r="E23" t="s">
        <v>46</v>
      </c>
      <c r="F23" t="s">
        <v>16</v>
      </c>
      <c r="U23" t="s">
        <v>68</v>
      </c>
    </row>
    <row r="24" spans="2:36" x14ac:dyDescent="0.3">
      <c r="B24" s="38" t="s">
        <v>60</v>
      </c>
      <c r="C24" s="38" t="s">
        <v>4</v>
      </c>
      <c r="D24" s="38" t="s">
        <v>4</v>
      </c>
      <c r="E24" s="38" t="s">
        <v>4</v>
      </c>
      <c r="F24" s="38" t="s">
        <v>4</v>
      </c>
    </row>
    <row r="25" spans="2:36" x14ac:dyDescent="0.3">
      <c r="B25" s="38" t="s">
        <v>450</v>
      </c>
      <c r="C25" s="127" t="str">
        <f>INDEX($C5:$U5,,C$22)</f>
        <v>gemiddeld Elektrisch - C</v>
      </c>
      <c r="D25" s="127" t="str">
        <f>INDEX($C5:$U5,,D$22)</f>
        <v>gemiddeld benzine - C</v>
      </c>
      <c r="E25" s="127" t="str">
        <f>INDEX($C5:$U5,,E$22)</f>
        <v>gemiddeld diesel - C</v>
      </c>
      <c r="F25" s="127" t="str">
        <f>INDEX($C5:$U5,,F$22)</f>
        <v>gemiddeld plug-in - C</v>
      </c>
    </row>
    <row r="26" spans="2:36" x14ac:dyDescent="0.3">
      <c r="B26" s="38" t="s">
        <v>1471</v>
      </c>
      <c r="C26" s="127">
        <f t="shared" ref="C26:F37" si="6">INDEX($C8:$U8,,C$22)</f>
        <v>51567</v>
      </c>
      <c r="D26" s="127">
        <f t="shared" si="6"/>
        <v>42201</v>
      </c>
      <c r="E26" s="127">
        <f t="shared" si="6"/>
        <v>52111</v>
      </c>
      <c r="F26" s="127">
        <f t="shared" si="6"/>
        <v>48781</v>
      </c>
      <c r="G26" s="39"/>
    </row>
    <row r="27" spans="2:36" x14ac:dyDescent="0.3">
      <c r="B27" s="38" t="s">
        <v>63</v>
      </c>
      <c r="C27" s="127">
        <f t="shared" si="6"/>
        <v>51567</v>
      </c>
      <c r="D27" s="127">
        <f t="shared" si="6"/>
        <v>42201</v>
      </c>
      <c r="E27" s="127">
        <f t="shared" si="6"/>
        <v>52111</v>
      </c>
      <c r="F27" s="127">
        <f t="shared" si="6"/>
        <v>48781</v>
      </c>
      <c r="G27" s="39"/>
    </row>
    <row r="28" spans="2:36" x14ac:dyDescent="0.3">
      <c r="B28" s="38" t="s">
        <v>61</v>
      </c>
      <c r="C28" s="128">
        <f t="shared" si="6"/>
        <v>0</v>
      </c>
      <c r="D28" s="128">
        <f t="shared" si="6"/>
        <v>129.5</v>
      </c>
      <c r="E28" s="128">
        <f t="shared" si="6"/>
        <v>120</v>
      </c>
      <c r="F28" s="128">
        <f t="shared" si="6"/>
        <v>23</v>
      </c>
      <c r="G28" s="39"/>
    </row>
    <row r="29" spans="2:36" ht="15.75" thickBot="1" x14ac:dyDescent="0.35">
      <c r="B29" s="38" t="s">
        <v>1345</v>
      </c>
      <c r="C29" s="128">
        <f t="shared" si="6"/>
        <v>0</v>
      </c>
      <c r="D29" s="128">
        <f t="shared" si="6"/>
        <v>169</v>
      </c>
      <c r="E29" s="128">
        <f t="shared" si="6"/>
        <v>146</v>
      </c>
      <c r="F29" s="128">
        <f t="shared" si="6"/>
        <v>122</v>
      </c>
    </row>
    <row r="30" spans="2:36" x14ac:dyDescent="0.3">
      <c r="B30" s="38" t="s">
        <v>209</v>
      </c>
      <c r="C30" s="130">
        <f t="shared" si="6"/>
        <v>0</v>
      </c>
      <c r="D30" s="130">
        <f t="shared" si="6"/>
        <v>59</v>
      </c>
      <c r="E30" s="130">
        <f t="shared" si="6"/>
        <v>47</v>
      </c>
      <c r="F30" s="130">
        <f t="shared" si="6"/>
        <v>37</v>
      </c>
    </row>
    <row r="31" spans="2:36" x14ac:dyDescent="0.3">
      <c r="B31" s="38" t="s">
        <v>208</v>
      </c>
      <c r="C31" s="85">
        <f t="shared" si="6"/>
        <v>0</v>
      </c>
      <c r="D31" s="85">
        <f t="shared" si="6"/>
        <v>0</v>
      </c>
      <c r="E31" s="85">
        <f t="shared" si="6"/>
        <v>0</v>
      </c>
      <c r="F31" s="85">
        <f t="shared" si="6"/>
        <v>0</v>
      </c>
      <c r="G31" s="175"/>
    </row>
    <row r="32" spans="2:36" ht="15.75" thickBot="1" x14ac:dyDescent="0.35">
      <c r="B32" s="38" t="s">
        <v>207</v>
      </c>
      <c r="C32" s="132">
        <f t="shared" si="6"/>
        <v>0</v>
      </c>
      <c r="D32" s="131">
        <f t="shared" si="6"/>
        <v>0</v>
      </c>
      <c r="E32" s="131">
        <f t="shared" si="6"/>
        <v>0</v>
      </c>
      <c r="F32" s="131">
        <f t="shared" si="6"/>
        <v>0</v>
      </c>
      <c r="X32" t="s">
        <v>68</v>
      </c>
    </row>
    <row r="33" spans="2:7" x14ac:dyDescent="0.3">
      <c r="B33" s="38" t="s">
        <v>95</v>
      </c>
      <c r="C33" s="130">
        <f t="shared" si="6"/>
        <v>68</v>
      </c>
      <c r="D33" s="130">
        <f t="shared" si="6"/>
        <v>0</v>
      </c>
      <c r="E33" s="130">
        <f t="shared" si="6"/>
        <v>0</v>
      </c>
      <c r="F33" s="130">
        <f t="shared" si="6"/>
        <v>11.1</v>
      </c>
    </row>
    <row r="34" spans="2:7" x14ac:dyDescent="0.3">
      <c r="B34" s="38" t="s">
        <v>1395</v>
      </c>
      <c r="C34" s="38">
        <f t="shared" si="6"/>
        <v>15.98</v>
      </c>
      <c r="D34" s="38">
        <f t="shared" si="6"/>
        <v>0</v>
      </c>
      <c r="E34" s="38">
        <f t="shared" si="6"/>
        <v>0</v>
      </c>
      <c r="F34" s="38">
        <f t="shared" si="6"/>
        <v>16.399999999999999</v>
      </c>
    </row>
    <row r="35" spans="2:7" ht="15.75" thickBot="1" x14ac:dyDescent="0.35">
      <c r="B35" s="38" t="s">
        <v>1384</v>
      </c>
      <c r="C35" s="131">
        <f t="shared" si="6"/>
        <v>19.016200000000001</v>
      </c>
      <c r="D35" s="131">
        <f t="shared" si="6"/>
        <v>0</v>
      </c>
      <c r="E35" s="131">
        <f t="shared" si="6"/>
        <v>0</v>
      </c>
      <c r="F35" s="131">
        <f t="shared" si="6"/>
        <v>19.515999999999998</v>
      </c>
    </row>
    <row r="36" spans="2:7" x14ac:dyDescent="0.3">
      <c r="B36" s="38" t="s">
        <v>206</v>
      </c>
      <c r="C36" s="129">
        <f t="shared" si="6"/>
        <v>357.58984444841764</v>
      </c>
      <c r="D36" s="129" t="e">
        <f t="shared" si="6"/>
        <v>#DIV/0!</v>
      </c>
      <c r="E36" s="129" t="e">
        <f t="shared" si="6"/>
        <v>#DIV/0!</v>
      </c>
      <c r="F36" s="129" t="e">
        <f t="shared" si="6"/>
        <v>#DIV/0!</v>
      </c>
      <c r="G36" s="40"/>
    </row>
    <row r="37" spans="2:7" x14ac:dyDescent="0.3">
      <c r="B37" s="38" t="s">
        <v>543</v>
      </c>
      <c r="C37" s="38">
        <f t="shared" si="6"/>
        <v>1700</v>
      </c>
      <c r="D37" s="38">
        <f t="shared" si="6"/>
        <v>1300</v>
      </c>
      <c r="E37" s="38">
        <f t="shared" si="6"/>
        <v>1300</v>
      </c>
      <c r="F37" s="38">
        <f t="shared" si="6"/>
        <v>1500</v>
      </c>
    </row>
    <row r="74" spans="33:36" x14ac:dyDescent="0.3">
      <c r="AG74" s="40"/>
      <c r="AH74" s="175"/>
    </row>
    <row r="75" spans="33:36" x14ac:dyDescent="0.3">
      <c r="AG75" s="40"/>
      <c r="AH75" s="175"/>
      <c r="AI75" s="44"/>
      <c r="AJ75" s="175"/>
    </row>
    <row r="76" spans="33:36" x14ac:dyDescent="0.3">
      <c r="AG76" s="40"/>
      <c r="AH76" s="175"/>
      <c r="AJ76" s="175"/>
    </row>
    <row r="77" spans="33:36" x14ac:dyDescent="0.3">
      <c r="AG77" s="40"/>
      <c r="AH77" s="175"/>
      <c r="AJ77" s="175"/>
    </row>
    <row r="78" spans="33:36" x14ac:dyDescent="0.3">
      <c r="AG78" s="40"/>
      <c r="AH78" s="175"/>
      <c r="AJ78" s="175"/>
    </row>
    <row r="79" spans="33:36" x14ac:dyDescent="0.3">
      <c r="AG79" s="40"/>
      <c r="AH79" s="175"/>
      <c r="AJ79" s="175"/>
    </row>
    <row r="80" spans="33:36" x14ac:dyDescent="0.3">
      <c r="AG80" s="40"/>
      <c r="AH80" s="175"/>
      <c r="AJ80" s="175"/>
    </row>
    <row r="81" spans="33:36" x14ac:dyDescent="0.3">
      <c r="AG81" s="40"/>
      <c r="AH81" s="175"/>
      <c r="AJ81" s="175"/>
    </row>
    <row r="82" spans="33:36" x14ac:dyDescent="0.3">
      <c r="AG82" s="40"/>
      <c r="AH82" s="175"/>
      <c r="AJ82" s="175"/>
    </row>
    <row r="83" spans="33:36" x14ac:dyDescent="0.3">
      <c r="AG83" s="40"/>
      <c r="AH83" s="175"/>
      <c r="AJ83" s="175"/>
    </row>
    <row r="84" spans="33:36" x14ac:dyDescent="0.3">
      <c r="AG84" s="40"/>
      <c r="AH84" s="175"/>
      <c r="AJ84" s="175"/>
    </row>
    <row r="85" spans="33:36" x14ac:dyDescent="0.3">
      <c r="AG85" s="40"/>
      <c r="AH85" s="175"/>
      <c r="AJ85" s="175"/>
    </row>
    <row r="306" spans="2:36" x14ac:dyDescent="0.3">
      <c r="B306" t="s">
        <v>838</v>
      </c>
      <c r="C306" t="s">
        <v>831</v>
      </c>
      <c r="D306" t="s">
        <v>831</v>
      </c>
      <c r="E306" t="s">
        <v>831</v>
      </c>
      <c r="F306" t="s">
        <v>831</v>
      </c>
      <c r="H306" t="s">
        <v>831</v>
      </c>
      <c r="I306" t="s">
        <v>831</v>
      </c>
      <c r="J306" t="s">
        <v>832</v>
      </c>
      <c r="L306" t="s">
        <v>832</v>
      </c>
      <c r="Q306" t="s">
        <v>832</v>
      </c>
      <c r="R306" t="s">
        <v>832</v>
      </c>
      <c r="S306" t="s">
        <v>832</v>
      </c>
      <c r="U306" t="s">
        <v>832</v>
      </c>
      <c r="V306" t="s">
        <v>831</v>
      </c>
      <c r="W306" t="s">
        <v>831</v>
      </c>
      <c r="X306" t="s">
        <v>831</v>
      </c>
      <c r="Y306" t="s">
        <v>831</v>
      </c>
      <c r="Z306" t="s">
        <v>831</v>
      </c>
      <c r="AA306" t="s">
        <v>831</v>
      </c>
      <c r="AB306" t="s">
        <v>832</v>
      </c>
      <c r="AC306" t="s">
        <v>832</v>
      </c>
      <c r="AD306" t="s">
        <v>832</v>
      </c>
      <c r="AE306" t="s">
        <v>832</v>
      </c>
      <c r="AF306" t="s">
        <v>832</v>
      </c>
      <c r="AG306" t="s">
        <v>832</v>
      </c>
    </row>
    <row r="307" spans="2:36" x14ac:dyDescent="0.3">
      <c r="B307" t="s">
        <v>839</v>
      </c>
      <c r="C307" t="s">
        <v>806</v>
      </c>
      <c r="D307" t="s">
        <v>45</v>
      </c>
      <c r="E307" t="s">
        <v>806</v>
      </c>
      <c r="F307" t="s">
        <v>45</v>
      </c>
      <c r="H307" t="s">
        <v>806</v>
      </c>
      <c r="I307" t="s">
        <v>45</v>
      </c>
      <c r="J307" t="s">
        <v>806</v>
      </c>
      <c r="L307" t="s">
        <v>45</v>
      </c>
      <c r="Q307" t="s">
        <v>806</v>
      </c>
      <c r="R307" t="s">
        <v>45</v>
      </c>
      <c r="S307" t="s">
        <v>806</v>
      </c>
      <c r="U307" t="s">
        <v>45</v>
      </c>
      <c r="V307" t="s">
        <v>813</v>
      </c>
      <c r="W307" t="s">
        <v>45</v>
      </c>
      <c r="X307" t="s">
        <v>813</v>
      </c>
      <c r="Y307" t="s">
        <v>45</v>
      </c>
      <c r="Z307" t="s">
        <v>813</v>
      </c>
      <c r="AA307" t="s">
        <v>45</v>
      </c>
      <c r="AB307" t="s">
        <v>813</v>
      </c>
      <c r="AC307" t="s">
        <v>45</v>
      </c>
      <c r="AD307" t="s">
        <v>813</v>
      </c>
      <c r="AE307" t="s">
        <v>45</v>
      </c>
      <c r="AF307" t="s">
        <v>813</v>
      </c>
      <c r="AG307" t="s">
        <v>45</v>
      </c>
    </row>
    <row r="308" spans="2:36" x14ac:dyDescent="0.3">
      <c r="B308" t="s">
        <v>807</v>
      </c>
      <c r="C308" s="80" t="s">
        <v>381</v>
      </c>
      <c r="D308" t="s">
        <v>814</v>
      </c>
      <c r="E308" t="s">
        <v>815</v>
      </c>
      <c r="F308" t="s">
        <v>816</v>
      </c>
      <c r="H308" t="s">
        <v>817</v>
      </c>
      <c r="I308" s="81" t="s">
        <v>818</v>
      </c>
      <c r="J308" s="80" t="s">
        <v>381</v>
      </c>
      <c r="L308" t="s">
        <v>814</v>
      </c>
      <c r="Q308" t="s">
        <v>815</v>
      </c>
      <c r="R308" t="s">
        <v>816</v>
      </c>
      <c r="S308" t="s">
        <v>817</v>
      </c>
      <c r="U308" s="81" t="s">
        <v>818</v>
      </c>
      <c r="V308" s="80" t="s">
        <v>825</v>
      </c>
      <c r="W308" t="s">
        <v>826</v>
      </c>
      <c r="X308" t="s">
        <v>827</v>
      </c>
      <c r="Y308" t="s">
        <v>830</v>
      </c>
      <c r="Z308" t="s">
        <v>828</v>
      </c>
      <c r="AA308" s="81" t="s">
        <v>829</v>
      </c>
      <c r="AB308" s="80" t="s">
        <v>825</v>
      </c>
      <c r="AC308" t="s">
        <v>826</v>
      </c>
      <c r="AD308" t="s">
        <v>827</v>
      </c>
      <c r="AE308" t="s">
        <v>830</v>
      </c>
      <c r="AF308" t="s">
        <v>828</v>
      </c>
      <c r="AG308" s="81" t="s">
        <v>829</v>
      </c>
    </row>
    <row r="309" spans="2:36" x14ac:dyDescent="0.3">
      <c r="B309" t="s">
        <v>60</v>
      </c>
      <c r="C309" s="80" t="s">
        <v>4</v>
      </c>
      <c r="D309" t="s">
        <v>4</v>
      </c>
      <c r="E309" t="s">
        <v>4</v>
      </c>
      <c r="F309" t="s">
        <v>4</v>
      </c>
      <c r="H309" t="s">
        <v>13</v>
      </c>
      <c r="I309" s="81" t="s">
        <v>13</v>
      </c>
      <c r="J309" s="80" t="s">
        <v>4</v>
      </c>
      <c r="L309" t="s">
        <v>4</v>
      </c>
      <c r="Q309" t="s">
        <v>4</v>
      </c>
      <c r="R309" t="s">
        <v>4</v>
      </c>
      <c r="S309" t="s">
        <v>13</v>
      </c>
      <c r="U309" s="81" t="s">
        <v>13</v>
      </c>
      <c r="V309" s="80" t="s">
        <v>11</v>
      </c>
      <c r="W309" t="s">
        <v>11</v>
      </c>
      <c r="X309" t="s">
        <v>12</v>
      </c>
      <c r="Y309" t="s">
        <v>12</v>
      </c>
      <c r="Z309" t="s">
        <v>4</v>
      </c>
      <c r="AA309" s="81" t="s">
        <v>4</v>
      </c>
      <c r="AB309" s="80" t="s">
        <v>11</v>
      </c>
      <c r="AC309" t="s">
        <v>11</v>
      </c>
      <c r="AD309" t="s">
        <v>12</v>
      </c>
      <c r="AE309" t="s">
        <v>12</v>
      </c>
      <c r="AF309" t="s">
        <v>4</v>
      </c>
      <c r="AG309" s="81" t="s">
        <v>4</v>
      </c>
    </row>
    <row r="310" spans="2:36" x14ac:dyDescent="0.3">
      <c r="B310" t="s">
        <v>808</v>
      </c>
      <c r="C310" s="80">
        <v>34900</v>
      </c>
      <c r="D310">
        <v>25395</v>
      </c>
      <c r="E310">
        <v>34450</v>
      </c>
      <c r="F310">
        <v>29550</v>
      </c>
      <c r="H310">
        <v>41990</v>
      </c>
      <c r="I310" s="81">
        <v>32490</v>
      </c>
      <c r="J310" s="80">
        <v>39900</v>
      </c>
      <c r="L310">
        <v>25595</v>
      </c>
      <c r="Q310">
        <v>39645</v>
      </c>
      <c r="R310">
        <v>30850</v>
      </c>
      <c r="S310">
        <v>48990</v>
      </c>
      <c r="U310" s="81">
        <v>38690</v>
      </c>
      <c r="V310" s="80">
        <v>28990</v>
      </c>
      <c r="W310">
        <v>12210</v>
      </c>
      <c r="X310">
        <v>20990</v>
      </c>
      <c r="Y310">
        <v>18490</v>
      </c>
      <c r="Z310">
        <v>35225</v>
      </c>
      <c r="AA310" s="81">
        <v>26890</v>
      </c>
      <c r="AB310" s="80">
        <v>29990</v>
      </c>
      <c r="AC310">
        <v>11350</v>
      </c>
      <c r="AD310">
        <v>20990</v>
      </c>
      <c r="AE310">
        <v>18290</v>
      </c>
      <c r="AF310">
        <v>32590</v>
      </c>
      <c r="AG310" s="81">
        <v>22636</v>
      </c>
    </row>
    <row r="311" spans="2:36" x14ac:dyDescent="0.3">
      <c r="B311" t="s">
        <v>1472</v>
      </c>
      <c r="C311" s="80">
        <v>5999</v>
      </c>
      <c r="D311">
        <v>3735</v>
      </c>
      <c r="E311">
        <v>5898</v>
      </c>
      <c r="F311">
        <v>4893</v>
      </c>
      <c r="H311">
        <v>7213</v>
      </c>
      <c r="I311" s="81">
        <v>4493</v>
      </c>
      <c r="V311" s="80">
        <v>5031</v>
      </c>
      <c r="W311">
        <v>1899</v>
      </c>
      <c r="X311">
        <v>3643</v>
      </c>
      <c r="Y311">
        <v>2797</v>
      </c>
      <c r="Z311">
        <v>6113</v>
      </c>
      <c r="AA311" s="81">
        <v>3951</v>
      </c>
      <c r="AB311" s="80">
        <v>10500</v>
      </c>
      <c r="AC311">
        <v>6200</v>
      </c>
      <c r="AD311">
        <v>9000</v>
      </c>
      <c r="AE311">
        <v>11000</v>
      </c>
      <c r="AF311">
        <v>15400</v>
      </c>
      <c r="AG311" s="81">
        <v>12400</v>
      </c>
    </row>
    <row r="312" spans="2:36" x14ac:dyDescent="0.3">
      <c r="B312" t="s">
        <v>179</v>
      </c>
      <c r="C312" s="80">
        <v>34900</v>
      </c>
      <c r="D312">
        <v>25395</v>
      </c>
      <c r="E312">
        <v>34450</v>
      </c>
      <c r="F312">
        <v>29550</v>
      </c>
      <c r="H312">
        <v>41990</v>
      </c>
      <c r="I312" s="81">
        <v>32490</v>
      </c>
      <c r="J312" s="80">
        <v>12700</v>
      </c>
      <c r="L312">
        <v>12300</v>
      </c>
      <c r="Q312">
        <v>15200</v>
      </c>
      <c r="R312">
        <v>13400</v>
      </c>
      <c r="S312">
        <v>17000</v>
      </c>
      <c r="U312" s="81">
        <v>16000</v>
      </c>
      <c r="V312" s="80">
        <v>28990</v>
      </c>
      <c r="W312">
        <v>12210</v>
      </c>
      <c r="X312">
        <v>20990</v>
      </c>
      <c r="Y312">
        <v>18490</v>
      </c>
      <c r="Z312">
        <v>35225</v>
      </c>
      <c r="AA312" s="81">
        <v>26890</v>
      </c>
      <c r="AB312" s="80">
        <v>10500</v>
      </c>
      <c r="AC312">
        <v>6200</v>
      </c>
      <c r="AD312">
        <v>9000</v>
      </c>
      <c r="AE312">
        <v>11000</v>
      </c>
      <c r="AF312">
        <v>15400</v>
      </c>
      <c r="AG312" s="81">
        <v>12400</v>
      </c>
    </row>
    <row r="313" spans="2:36" x14ac:dyDescent="0.3">
      <c r="B313" t="s">
        <v>159</v>
      </c>
      <c r="C313" s="80">
        <v>13350</v>
      </c>
      <c r="D313">
        <v>13750</v>
      </c>
      <c r="E313">
        <v>13350</v>
      </c>
      <c r="F313">
        <v>11950</v>
      </c>
      <c r="H313">
        <v>20300</v>
      </c>
      <c r="I313" s="81">
        <v>15100</v>
      </c>
      <c r="J313" s="80">
        <v>1950</v>
      </c>
      <c r="L313">
        <v>4000</v>
      </c>
      <c r="Q313">
        <v>3750</v>
      </c>
      <c r="R313">
        <v>3150</v>
      </c>
      <c r="S313">
        <v>6900</v>
      </c>
      <c r="U313" s="81">
        <v>5650</v>
      </c>
      <c r="V313" s="80">
        <v>10100</v>
      </c>
      <c r="W313">
        <v>5700</v>
      </c>
      <c r="X313">
        <v>8600</v>
      </c>
      <c r="Y313">
        <v>9700</v>
      </c>
      <c r="Z313">
        <v>13350</v>
      </c>
      <c r="AA313" s="81">
        <v>12350</v>
      </c>
      <c r="AB313" s="80">
        <v>1150</v>
      </c>
      <c r="AC313">
        <v>1800</v>
      </c>
      <c r="AD313">
        <v>1600</v>
      </c>
      <c r="AE313">
        <v>4050</v>
      </c>
      <c r="AF313">
        <v>2200</v>
      </c>
      <c r="AG313" s="81">
        <v>5350</v>
      </c>
    </row>
    <row r="314" spans="2:36" x14ac:dyDescent="0.3">
      <c r="B314" t="s">
        <v>154</v>
      </c>
      <c r="C314" s="80">
        <v>5925</v>
      </c>
      <c r="D314">
        <v>3315</v>
      </c>
      <c r="E314">
        <v>5745</v>
      </c>
      <c r="F314">
        <v>4815</v>
      </c>
      <c r="H314">
        <v>6060</v>
      </c>
      <c r="I314" s="81">
        <v>4815</v>
      </c>
      <c r="J314" s="80">
        <v>2790</v>
      </c>
      <c r="L314">
        <v>2190</v>
      </c>
      <c r="Q314">
        <v>3000</v>
      </c>
      <c r="R314">
        <v>2685</v>
      </c>
      <c r="S314">
        <v>2700</v>
      </c>
      <c r="U314" s="81">
        <v>2745</v>
      </c>
      <c r="V314" s="80">
        <v>5124</v>
      </c>
      <c r="W314">
        <v>1788</v>
      </c>
      <c r="X314">
        <v>3396</v>
      </c>
      <c r="Y314">
        <v>2496</v>
      </c>
      <c r="Z314">
        <v>5976</v>
      </c>
      <c r="AA314" s="81">
        <v>4008</v>
      </c>
      <c r="AB314" s="80">
        <v>2424</v>
      </c>
      <c r="AC314">
        <v>1164</v>
      </c>
      <c r="AD314">
        <v>1932.0000000000002</v>
      </c>
      <c r="AE314">
        <v>1848</v>
      </c>
      <c r="AF314">
        <v>3432</v>
      </c>
      <c r="AG314" s="81">
        <v>1896</v>
      </c>
    </row>
    <row r="315" spans="2:36" x14ac:dyDescent="0.3">
      <c r="B315" t="s">
        <v>244</v>
      </c>
      <c r="C315" s="80">
        <v>1065</v>
      </c>
      <c r="D315">
        <v>915</v>
      </c>
      <c r="E315">
        <v>1005</v>
      </c>
      <c r="F315">
        <v>975</v>
      </c>
      <c r="H315">
        <v>1335</v>
      </c>
      <c r="I315" s="81">
        <v>975</v>
      </c>
      <c r="J315" s="80">
        <v>1125</v>
      </c>
      <c r="L315">
        <v>915</v>
      </c>
      <c r="Q315">
        <v>990</v>
      </c>
      <c r="R315">
        <v>975</v>
      </c>
      <c r="S315">
        <v>1350</v>
      </c>
      <c r="U315" s="81">
        <v>1020</v>
      </c>
      <c r="V315" s="80">
        <v>900</v>
      </c>
      <c r="W315">
        <v>672</v>
      </c>
      <c r="X315">
        <v>900</v>
      </c>
      <c r="Y315">
        <v>756</v>
      </c>
      <c r="Z315">
        <v>1020</v>
      </c>
      <c r="AA315" s="81">
        <v>900</v>
      </c>
      <c r="AB315" s="80">
        <v>900</v>
      </c>
      <c r="AC315">
        <v>648</v>
      </c>
      <c r="AD315">
        <v>900</v>
      </c>
      <c r="AE315">
        <v>756</v>
      </c>
      <c r="AF315">
        <v>1044</v>
      </c>
      <c r="AG315" s="81">
        <v>828</v>
      </c>
    </row>
    <row r="316" spans="2:36" x14ac:dyDescent="0.3">
      <c r="B316" t="s">
        <v>809</v>
      </c>
      <c r="C316" s="80">
        <v>0</v>
      </c>
      <c r="D316">
        <v>0</v>
      </c>
      <c r="E316">
        <v>0</v>
      </c>
      <c r="F316">
        <v>0</v>
      </c>
      <c r="H316">
        <v>0</v>
      </c>
      <c r="I316" s="81">
        <v>0</v>
      </c>
      <c r="J316" s="80">
        <v>0</v>
      </c>
      <c r="L316">
        <v>0</v>
      </c>
      <c r="Q316">
        <v>0</v>
      </c>
      <c r="R316">
        <v>0</v>
      </c>
      <c r="S316">
        <v>0</v>
      </c>
      <c r="U316" s="81">
        <v>0</v>
      </c>
      <c r="V316" s="80">
        <v>0</v>
      </c>
      <c r="W316">
        <v>0</v>
      </c>
      <c r="X316">
        <v>948</v>
      </c>
      <c r="Y316">
        <v>0</v>
      </c>
      <c r="Z316">
        <v>0</v>
      </c>
      <c r="AA316" s="81">
        <v>0</v>
      </c>
      <c r="AB316" s="80">
        <v>0</v>
      </c>
      <c r="AC316">
        <v>0</v>
      </c>
      <c r="AD316">
        <v>948</v>
      </c>
      <c r="AE316">
        <v>0</v>
      </c>
      <c r="AF316">
        <v>0</v>
      </c>
      <c r="AG316" s="81">
        <v>0</v>
      </c>
      <c r="AI316">
        <f t="shared" ref="AI316:AJ322" si="7">120*V314/150</f>
        <v>4099.2</v>
      </c>
      <c r="AJ316">
        <f t="shared" si="7"/>
        <v>1430.4</v>
      </c>
    </row>
    <row r="317" spans="2:36" x14ac:dyDescent="0.3">
      <c r="B317" t="s">
        <v>20</v>
      </c>
      <c r="C317" s="80">
        <v>630</v>
      </c>
      <c r="D317">
        <v>630</v>
      </c>
      <c r="E317">
        <v>480</v>
      </c>
      <c r="F317">
        <v>720</v>
      </c>
      <c r="H317">
        <v>765</v>
      </c>
      <c r="I317" s="81">
        <v>825</v>
      </c>
      <c r="J317" s="80">
        <v>630</v>
      </c>
      <c r="L317">
        <v>720</v>
      </c>
      <c r="Q317">
        <v>480</v>
      </c>
      <c r="R317">
        <v>720</v>
      </c>
      <c r="S317">
        <v>765</v>
      </c>
      <c r="U317" s="81">
        <v>825</v>
      </c>
      <c r="V317" s="80">
        <v>0</v>
      </c>
      <c r="W317">
        <v>252</v>
      </c>
      <c r="X317">
        <v>0</v>
      </c>
      <c r="Y317">
        <v>420</v>
      </c>
      <c r="Z317">
        <v>0</v>
      </c>
      <c r="AA317" s="81">
        <v>624</v>
      </c>
      <c r="AB317" s="80">
        <v>0</v>
      </c>
      <c r="AC317">
        <v>252</v>
      </c>
      <c r="AD317">
        <v>0</v>
      </c>
      <c r="AE317">
        <v>420</v>
      </c>
      <c r="AF317">
        <v>0</v>
      </c>
      <c r="AG317" s="81">
        <v>528</v>
      </c>
      <c r="AI317">
        <f t="shared" si="7"/>
        <v>720</v>
      </c>
      <c r="AJ317">
        <f t="shared" si="7"/>
        <v>537.6</v>
      </c>
    </row>
    <row r="318" spans="2:36" x14ac:dyDescent="0.3">
      <c r="B318" t="s">
        <v>810</v>
      </c>
      <c r="C318" s="80">
        <v>525</v>
      </c>
      <c r="D318">
        <v>630</v>
      </c>
      <c r="E318">
        <v>540</v>
      </c>
      <c r="F318">
        <v>690</v>
      </c>
      <c r="H318">
        <v>570</v>
      </c>
      <c r="I318" s="81">
        <v>720</v>
      </c>
      <c r="J318" s="80">
        <v>795</v>
      </c>
      <c r="L318">
        <v>1035</v>
      </c>
      <c r="Q318">
        <v>1185</v>
      </c>
      <c r="R318">
        <v>1140</v>
      </c>
      <c r="S318">
        <v>945</v>
      </c>
      <c r="U318" s="81">
        <v>1245</v>
      </c>
      <c r="V318" s="80">
        <v>396</v>
      </c>
      <c r="W318">
        <v>491.99999999999994</v>
      </c>
      <c r="X318">
        <v>384</v>
      </c>
      <c r="Y318">
        <v>552</v>
      </c>
      <c r="Z318">
        <v>396</v>
      </c>
      <c r="AA318" s="81">
        <v>564</v>
      </c>
      <c r="AB318" s="80">
        <v>528</v>
      </c>
      <c r="AC318">
        <v>852</v>
      </c>
      <c r="AD318">
        <v>564</v>
      </c>
      <c r="AE318">
        <v>972</v>
      </c>
      <c r="AF318">
        <v>636</v>
      </c>
      <c r="AG318" s="81">
        <v>1008</v>
      </c>
      <c r="AI318">
        <f t="shared" si="7"/>
        <v>0</v>
      </c>
      <c r="AJ318">
        <f t="shared" si="7"/>
        <v>0</v>
      </c>
    </row>
    <row r="319" spans="2:36" x14ac:dyDescent="0.3">
      <c r="B319" t="s">
        <v>811</v>
      </c>
      <c r="C319" s="80">
        <v>345</v>
      </c>
      <c r="D319">
        <v>255</v>
      </c>
      <c r="E319">
        <v>345</v>
      </c>
      <c r="F319">
        <v>255</v>
      </c>
      <c r="H319">
        <v>345</v>
      </c>
      <c r="I319" s="81">
        <v>255</v>
      </c>
      <c r="J319" s="80">
        <v>345</v>
      </c>
      <c r="L319">
        <v>255</v>
      </c>
      <c r="Q319">
        <v>345</v>
      </c>
      <c r="R319">
        <v>255</v>
      </c>
      <c r="S319">
        <v>345</v>
      </c>
      <c r="U319" s="81">
        <v>255</v>
      </c>
      <c r="V319" s="80">
        <v>312</v>
      </c>
      <c r="W319">
        <v>252</v>
      </c>
      <c r="X319">
        <v>312</v>
      </c>
      <c r="Y319">
        <v>252</v>
      </c>
      <c r="Z319">
        <v>312</v>
      </c>
      <c r="AA319" s="81">
        <v>252</v>
      </c>
      <c r="AB319" s="80">
        <v>312</v>
      </c>
      <c r="AC319">
        <v>252</v>
      </c>
      <c r="AD319">
        <v>312</v>
      </c>
      <c r="AE319">
        <v>252</v>
      </c>
      <c r="AF319">
        <v>312</v>
      </c>
      <c r="AG319" s="81">
        <v>252</v>
      </c>
      <c r="AI319">
        <f t="shared" si="7"/>
        <v>0</v>
      </c>
      <c r="AJ319">
        <f t="shared" si="7"/>
        <v>201.6</v>
      </c>
    </row>
    <row r="320" spans="2:36" x14ac:dyDescent="0.3">
      <c r="B320" t="s">
        <v>1396</v>
      </c>
      <c r="C320" s="80">
        <v>1020</v>
      </c>
      <c r="D320">
        <v>1560</v>
      </c>
      <c r="E320">
        <v>1155</v>
      </c>
      <c r="F320">
        <v>1290</v>
      </c>
      <c r="H320">
        <v>1395</v>
      </c>
      <c r="I320" s="81">
        <v>1785</v>
      </c>
      <c r="J320" s="80">
        <v>1020</v>
      </c>
      <c r="L320">
        <v>1725</v>
      </c>
      <c r="Q320">
        <v>1155</v>
      </c>
      <c r="R320">
        <v>1305</v>
      </c>
      <c r="S320">
        <v>1395</v>
      </c>
      <c r="U320" s="81">
        <v>1860</v>
      </c>
      <c r="V320" s="80">
        <v>528</v>
      </c>
      <c r="W320">
        <v>1044</v>
      </c>
      <c r="X320">
        <v>528</v>
      </c>
      <c r="Y320">
        <v>1116</v>
      </c>
      <c r="Z320">
        <v>587.99999999999852</v>
      </c>
      <c r="AA320" s="81">
        <v>1104</v>
      </c>
      <c r="AB320" s="80">
        <v>528</v>
      </c>
      <c r="AC320">
        <v>1116</v>
      </c>
      <c r="AD320">
        <v>528</v>
      </c>
      <c r="AE320">
        <v>1116</v>
      </c>
      <c r="AF320">
        <v>588</v>
      </c>
      <c r="AG320" s="81">
        <v>1236</v>
      </c>
      <c r="AI320">
        <f t="shared" si="7"/>
        <v>316.8</v>
      </c>
      <c r="AJ320">
        <f t="shared" si="7"/>
        <v>393.59999999999997</v>
      </c>
    </row>
    <row r="321" spans="2:36" x14ac:dyDescent="0.3">
      <c r="B321" t="s">
        <v>840</v>
      </c>
      <c r="C321">
        <f t="shared" ref="C321:I321" si="8">15000*4</f>
        <v>60000</v>
      </c>
      <c r="D321">
        <f t="shared" si="8"/>
        <v>60000</v>
      </c>
      <c r="E321">
        <f t="shared" si="8"/>
        <v>60000</v>
      </c>
      <c r="F321">
        <f t="shared" si="8"/>
        <v>60000</v>
      </c>
      <c r="H321">
        <f t="shared" si="8"/>
        <v>60000</v>
      </c>
      <c r="I321">
        <f t="shared" si="8"/>
        <v>60000</v>
      </c>
      <c r="J321">
        <f t="shared" ref="J321:U321" si="9">140000+60000</f>
        <v>200000</v>
      </c>
      <c r="L321">
        <f t="shared" si="9"/>
        <v>200000</v>
      </c>
      <c r="Q321">
        <f t="shared" si="9"/>
        <v>200000</v>
      </c>
      <c r="R321">
        <f t="shared" si="9"/>
        <v>200000</v>
      </c>
      <c r="S321">
        <f t="shared" si="9"/>
        <v>200000</v>
      </c>
      <c r="U321">
        <f t="shared" si="9"/>
        <v>200000</v>
      </c>
      <c r="V321">
        <f t="shared" ref="V321:AA321" si="10">4*12000</f>
        <v>48000</v>
      </c>
      <c r="W321">
        <f t="shared" si="10"/>
        <v>48000</v>
      </c>
      <c r="X321">
        <f t="shared" si="10"/>
        <v>48000</v>
      </c>
      <c r="Y321">
        <f t="shared" si="10"/>
        <v>48000</v>
      </c>
      <c r="Z321">
        <f t="shared" si="10"/>
        <v>48000</v>
      </c>
      <c r="AA321">
        <f t="shared" si="10"/>
        <v>48000</v>
      </c>
      <c r="AB321">
        <f t="shared" ref="AB321:AG321" si="11">80000+48000</f>
        <v>128000</v>
      </c>
      <c r="AC321">
        <f t="shared" si="11"/>
        <v>128000</v>
      </c>
      <c r="AD321">
        <f t="shared" si="11"/>
        <v>128000</v>
      </c>
      <c r="AE321">
        <f t="shared" si="11"/>
        <v>128000</v>
      </c>
      <c r="AF321">
        <f t="shared" si="11"/>
        <v>128000</v>
      </c>
      <c r="AG321">
        <f t="shared" si="11"/>
        <v>128000</v>
      </c>
      <c r="AI321">
        <f t="shared" si="7"/>
        <v>249.6</v>
      </c>
      <c r="AJ321">
        <f t="shared" si="7"/>
        <v>201.6</v>
      </c>
    </row>
    <row r="322" spans="2:36" x14ac:dyDescent="0.3">
      <c r="B322" t="s">
        <v>161</v>
      </c>
      <c r="C322">
        <v>4</v>
      </c>
      <c r="D322">
        <v>4</v>
      </c>
      <c r="E322">
        <v>4</v>
      </c>
      <c r="F322">
        <v>4</v>
      </c>
      <c r="H322">
        <v>4</v>
      </c>
      <c r="I322">
        <v>4</v>
      </c>
      <c r="J322">
        <v>8</v>
      </c>
      <c r="L322">
        <v>8</v>
      </c>
      <c r="Q322">
        <v>8</v>
      </c>
      <c r="R322">
        <v>8</v>
      </c>
      <c r="S322">
        <v>8</v>
      </c>
      <c r="U322">
        <v>8</v>
      </c>
      <c r="V322">
        <v>4</v>
      </c>
      <c r="W322">
        <v>4</v>
      </c>
      <c r="X322">
        <v>4</v>
      </c>
      <c r="Y322">
        <v>4</v>
      </c>
      <c r="Z322">
        <v>4</v>
      </c>
      <c r="AA322">
        <v>4</v>
      </c>
      <c r="AB322">
        <v>8</v>
      </c>
      <c r="AC322">
        <v>8</v>
      </c>
      <c r="AD322">
        <v>8</v>
      </c>
      <c r="AE322">
        <v>8</v>
      </c>
      <c r="AF322">
        <v>8</v>
      </c>
      <c r="AG322">
        <v>8</v>
      </c>
      <c r="AI322">
        <f t="shared" si="7"/>
        <v>422.4</v>
      </c>
      <c r="AJ322">
        <f t="shared" si="7"/>
        <v>835.2</v>
      </c>
    </row>
    <row r="326" spans="2:36" x14ac:dyDescent="0.3">
      <c r="B326" t="s">
        <v>821</v>
      </c>
      <c r="C326" s="80">
        <v>63.4</v>
      </c>
      <c r="D326">
        <v>48.7</v>
      </c>
      <c r="E326">
        <v>61.8</v>
      </c>
      <c r="F326">
        <v>58.3</v>
      </c>
      <c r="H326">
        <v>69.8</v>
      </c>
      <c r="I326" s="81">
        <v>62.5</v>
      </c>
      <c r="J326" s="80">
        <v>44.7</v>
      </c>
      <c r="L326">
        <v>45.6</v>
      </c>
      <c r="Q326">
        <v>47.7</v>
      </c>
      <c r="R326">
        <v>47.2</v>
      </c>
      <c r="S326">
        <v>50</v>
      </c>
      <c r="U326" s="81">
        <v>53</v>
      </c>
      <c r="V326" s="80">
        <v>60.5</v>
      </c>
      <c r="W326">
        <v>37.5</v>
      </c>
      <c r="X326">
        <v>53.9</v>
      </c>
      <c r="Y326">
        <v>46.6</v>
      </c>
      <c r="Z326">
        <v>69.099999999999994</v>
      </c>
      <c r="AA326" s="81">
        <v>62.1</v>
      </c>
      <c r="AB326" s="80">
        <v>39.1</v>
      </c>
      <c r="AC326">
        <v>35.700000000000003</v>
      </c>
      <c r="AD326">
        <v>43.2</v>
      </c>
      <c r="AE326">
        <v>44.7</v>
      </c>
      <c r="AF326">
        <v>50.1</v>
      </c>
      <c r="AG326" s="81">
        <v>47.9</v>
      </c>
    </row>
    <row r="327" spans="2:36" x14ac:dyDescent="0.3">
      <c r="B327" t="s">
        <v>822</v>
      </c>
      <c r="C327" s="80">
        <v>793</v>
      </c>
      <c r="D327">
        <v>609</v>
      </c>
      <c r="E327">
        <v>772</v>
      </c>
      <c r="F327">
        <v>728</v>
      </c>
      <c r="H327">
        <v>873</v>
      </c>
      <c r="I327" s="81">
        <v>782</v>
      </c>
      <c r="J327" s="80">
        <v>559</v>
      </c>
      <c r="L327">
        <v>570</v>
      </c>
      <c r="Q327">
        <v>596</v>
      </c>
      <c r="R327">
        <v>590</v>
      </c>
      <c r="S327">
        <v>625</v>
      </c>
      <c r="U327" s="81">
        <v>662</v>
      </c>
      <c r="V327" s="80">
        <v>605</v>
      </c>
      <c r="W327">
        <v>375</v>
      </c>
      <c r="X327">
        <v>539</v>
      </c>
      <c r="Y327">
        <v>466</v>
      </c>
      <c r="Z327">
        <v>691</v>
      </c>
      <c r="AA327" s="81">
        <v>621</v>
      </c>
      <c r="AB327" s="80">
        <v>391</v>
      </c>
      <c r="AC327">
        <v>357</v>
      </c>
      <c r="AD327">
        <v>432</v>
      </c>
      <c r="AE327">
        <v>447</v>
      </c>
      <c r="AF327">
        <v>501</v>
      </c>
      <c r="AG327" s="81">
        <v>479</v>
      </c>
    </row>
    <row r="328" spans="2:36" x14ac:dyDescent="0.3">
      <c r="B328" t="s">
        <v>823</v>
      </c>
      <c r="C328" s="80">
        <v>9511</v>
      </c>
      <c r="D328">
        <v>7306</v>
      </c>
      <c r="E328">
        <v>9264</v>
      </c>
      <c r="F328">
        <v>8740</v>
      </c>
      <c r="H328">
        <v>10472</v>
      </c>
      <c r="I328" s="81">
        <v>9380</v>
      </c>
      <c r="J328" s="80">
        <v>6706</v>
      </c>
      <c r="L328">
        <v>6836</v>
      </c>
      <c r="Q328">
        <v>7155</v>
      </c>
      <c r="R328">
        <v>7083</v>
      </c>
      <c r="S328">
        <v>7502</v>
      </c>
      <c r="U328" s="81">
        <v>7949</v>
      </c>
      <c r="V328" s="80">
        <v>7264</v>
      </c>
      <c r="W328">
        <v>4503</v>
      </c>
      <c r="X328">
        <v>6472</v>
      </c>
      <c r="Y328">
        <v>5596</v>
      </c>
      <c r="Z328">
        <v>8291</v>
      </c>
      <c r="AA328" s="81">
        <v>7450</v>
      </c>
      <c r="AB328" s="80">
        <v>4696</v>
      </c>
      <c r="AC328">
        <v>4288</v>
      </c>
      <c r="AD328">
        <v>5188</v>
      </c>
      <c r="AE328">
        <v>5368</v>
      </c>
      <c r="AF328">
        <v>6011</v>
      </c>
      <c r="AG328" s="81">
        <v>5742</v>
      </c>
    </row>
    <row r="329" spans="2:36" x14ac:dyDescent="0.3">
      <c r="B329" t="s">
        <v>824</v>
      </c>
      <c r="C329" s="82">
        <v>38044</v>
      </c>
      <c r="D329" s="83">
        <v>29222</v>
      </c>
      <c r="E329" s="83">
        <v>37057</v>
      </c>
      <c r="F329" s="83">
        <v>34961</v>
      </c>
      <c r="G329" s="83"/>
      <c r="H329" s="83">
        <v>41889</v>
      </c>
      <c r="I329" s="84">
        <v>37520</v>
      </c>
      <c r="J329" s="82">
        <v>26824</v>
      </c>
      <c r="K329" s="83"/>
      <c r="L329" s="83">
        <v>27345</v>
      </c>
      <c r="M329" s="83"/>
      <c r="N329" s="83"/>
      <c r="O329" s="83"/>
      <c r="P329" s="83"/>
      <c r="Q329" s="83">
        <v>28620</v>
      </c>
      <c r="R329" s="83">
        <v>28333</v>
      </c>
      <c r="S329" s="83">
        <v>30009</v>
      </c>
      <c r="T329" s="83"/>
      <c r="U329" s="84">
        <v>31796</v>
      </c>
      <c r="V329" s="82">
        <v>29058</v>
      </c>
      <c r="W329" s="83">
        <v>18010</v>
      </c>
      <c r="X329" s="83">
        <v>25890</v>
      </c>
      <c r="Y329" s="83">
        <v>22384</v>
      </c>
      <c r="Z329" s="83">
        <v>33165</v>
      </c>
      <c r="AA329" s="84">
        <v>29798</v>
      </c>
      <c r="AB329" s="82">
        <v>18786</v>
      </c>
      <c r="AC329" s="83">
        <v>17152</v>
      </c>
      <c r="AD329" s="83">
        <v>20754</v>
      </c>
      <c r="AE329" s="83">
        <v>21472</v>
      </c>
      <c r="AF329" s="83">
        <v>24045</v>
      </c>
      <c r="AG329" s="84">
        <v>22968</v>
      </c>
    </row>
    <row r="330" spans="2:36" x14ac:dyDescent="0.3">
      <c r="C330" t="s">
        <v>834</v>
      </c>
      <c r="J330" t="s">
        <v>833</v>
      </c>
      <c r="V330" t="s">
        <v>836</v>
      </c>
      <c r="AB330" t="s">
        <v>835</v>
      </c>
    </row>
    <row r="331" spans="2:36" x14ac:dyDescent="0.3">
      <c r="C331" t="s">
        <v>4</v>
      </c>
      <c r="E331" t="s">
        <v>4</v>
      </c>
      <c r="H331" t="s">
        <v>13</v>
      </c>
      <c r="J331" t="s">
        <v>4</v>
      </c>
      <c r="Q331" t="s">
        <v>4</v>
      </c>
      <c r="S331" t="s">
        <v>13</v>
      </c>
      <c r="V331" t="s">
        <v>11</v>
      </c>
      <c r="X331" t="s">
        <v>12</v>
      </c>
      <c r="Z331" t="s">
        <v>4</v>
      </c>
      <c r="AB331" t="s">
        <v>11</v>
      </c>
      <c r="AD331" t="s">
        <v>12</v>
      </c>
      <c r="AF331" t="s">
        <v>4</v>
      </c>
    </row>
    <row r="332" spans="2:36" x14ac:dyDescent="0.3">
      <c r="C332">
        <v>1</v>
      </c>
      <c r="D332">
        <v>2</v>
      </c>
      <c r="E332">
        <v>1</v>
      </c>
      <c r="F332">
        <v>2</v>
      </c>
      <c r="H332">
        <v>1</v>
      </c>
      <c r="I332">
        <v>2</v>
      </c>
      <c r="J332">
        <v>1</v>
      </c>
      <c r="L332">
        <v>2</v>
      </c>
      <c r="Q332">
        <v>1</v>
      </c>
      <c r="R332">
        <v>2</v>
      </c>
      <c r="S332">
        <v>1</v>
      </c>
      <c r="U332">
        <v>2</v>
      </c>
      <c r="V332">
        <v>1</v>
      </c>
      <c r="W332">
        <v>2</v>
      </c>
      <c r="X332">
        <v>1</v>
      </c>
      <c r="Y332">
        <v>2</v>
      </c>
      <c r="Z332">
        <v>1</v>
      </c>
      <c r="AA332">
        <v>2</v>
      </c>
      <c r="AB332">
        <v>1</v>
      </c>
      <c r="AC332">
        <v>2</v>
      </c>
      <c r="AD332">
        <v>1</v>
      </c>
      <c r="AE332">
        <v>2</v>
      </c>
      <c r="AF332">
        <v>1</v>
      </c>
      <c r="AG332">
        <v>2</v>
      </c>
    </row>
    <row r="334" spans="2:36" x14ac:dyDescent="0.3">
      <c r="B334" t="s">
        <v>803</v>
      </c>
      <c r="C334" s="75">
        <f t="shared" ref="C334:I334" si="12">RATE($C$335,-C314,C310,-C313)</f>
        <v>1.9943070234385348E-2</v>
      </c>
      <c r="D334" s="75">
        <f t="shared" si="12"/>
        <v>1.9137698457731507E-2</v>
      </c>
      <c r="E334" s="75">
        <f t="shared" si="12"/>
        <v>1.763420138092878E-2</v>
      </c>
      <c r="F334" s="75">
        <f t="shared" si="12"/>
        <v>1.8005789813566767E-2</v>
      </c>
      <c r="G334" s="75"/>
      <c r="H334" s="75">
        <f t="shared" si="12"/>
        <v>1.8759812473995097E-2</v>
      </c>
      <c r="I334" s="75">
        <f t="shared" si="12"/>
        <v>1.7935690738838959E-2</v>
      </c>
      <c r="J334" s="75">
        <f t="shared" ref="J334:U334" si="13">RATE($C$335,-J314,J312,-J313)</f>
        <v>1.1770704684324384E-2</v>
      </c>
      <c r="K334" s="75"/>
      <c r="L334" s="75">
        <f t="shared" si="13"/>
        <v>1.2473356831192581E-2</v>
      </c>
      <c r="M334" s="75"/>
      <c r="N334" s="75"/>
      <c r="O334" s="75"/>
      <c r="P334" s="75"/>
      <c r="Q334" s="75">
        <f t="shared" si="13"/>
        <v>1.2556050855520268E-2</v>
      </c>
      <c r="R334" s="75">
        <f t="shared" si="13"/>
        <v>1.2764570585663606E-2</v>
      </c>
      <c r="S334" s="75">
        <f t="shared" si="13"/>
        <v>1.3203661495316502E-2</v>
      </c>
      <c r="T334" s="75"/>
      <c r="U334" s="75">
        <f t="shared" si="13"/>
        <v>1.2951908100560811E-2</v>
      </c>
      <c r="V334" s="75">
        <f t="shared" ref="V334:AA334" si="14">RATE($C$335,-V314,V310,-V313)</f>
        <v>1.8239273058778451E-2</v>
      </c>
      <c r="W334" s="75">
        <f t="shared" si="14"/>
        <v>1.6374560603306124E-2</v>
      </c>
      <c r="X334" s="75">
        <f t="shared" si="14"/>
        <v>1.818622062543257E-2</v>
      </c>
      <c r="Y334" s="75">
        <f t="shared" si="14"/>
        <v>1.9577619314908576E-2</v>
      </c>
      <c r="Z334" s="75">
        <f t="shared" si="14"/>
        <v>1.868433609372757E-2</v>
      </c>
      <c r="AA334" s="75">
        <f t="shared" si="14"/>
        <v>1.7336266310845561E-2</v>
      </c>
      <c r="AB334" s="75">
        <f t="shared" ref="AB334:AG334" si="15">RATE($C$335,-AB314,AB311,-AB313)</f>
        <v>1.2305313482563644E-2</v>
      </c>
      <c r="AC334" s="75">
        <f t="shared" si="15"/>
        <v>1.4007058195820713E-2</v>
      </c>
      <c r="AD334" s="75">
        <f t="shared" si="15"/>
        <v>1.3109267706960403E-2</v>
      </c>
      <c r="AE334" s="75">
        <f t="shared" si="15"/>
        <v>1.3120307061058815E-2</v>
      </c>
      <c r="AF334" s="75">
        <f t="shared" si="15"/>
        <v>1.25696039686998E-2</v>
      </c>
      <c r="AG334" s="75">
        <f t="shared" si="15"/>
        <v>1.3641798227472272E-2</v>
      </c>
    </row>
    <row r="335" spans="2:36" x14ac:dyDescent="0.3">
      <c r="B335" t="s">
        <v>837</v>
      </c>
      <c r="C335">
        <v>4</v>
      </c>
    </row>
    <row r="336" spans="2:36" x14ac:dyDescent="0.3">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row>
    <row r="337" spans="2:36" x14ac:dyDescent="0.3">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row>
    <row r="338" spans="2:36" x14ac:dyDescent="0.3">
      <c r="J338" s="40"/>
      <c r="K338" s="40"/>
      <c r="L338" s="40"/>
      <c r="M338" s="40"/>
      <c r="N338" s="40"/>
      <c r="O338" s="40"/>
      <c r="P338" s="40"/>
      <c r="Q338" s="40"/>
      <c r="R338" s="40"/>
      <c r="S338" s="40"/>
      <c r="T338" s="40"/>
      <c r="U338" s="40"/>
    </row>
    <row r="339" spans="2:36" x14ac:dyDescent="0.3">
      <c r="C339" s="40"/>
      <c r="J339" s="44"/>
      <c r="K339" s="44"/>
      <c r="L339" s="44"/>
      <c r="M339" s="44"/>
      <c r="N339" s="44"/>
      <c r="O339" s="44"/>
      <c r="P339" s="44"/>
      <c r="Q339" s="44"/>
      <c r="R339" s="44"/>
      <c r="S339" s="44"/>
      <c r="T339" s="44"/>
      <c r="U339" s="44"/>
    </row>
    <row r="340" spans="2:36" x14ac:dyDescent="0.3">
      <c r="B340" s="128" t="s">
        <v>154</v>
      </c>
      <c r="C340" s="258">
        <v>39.5</v>
      </c>
      <c r="D340" s="259">
        <v>22.1</v>
      </c>
      <c r="E340" s="259">
        <v>38.299999999999997</v>
      </c>
      <c r="F340" s="259">
        <v>32.1</v>
      </c>
      <c r="G340" s="406"/>
      <c r="H340" s="259">
        <v>40.4</v>
      </c>
      <c r="I340" s="260">
        <v>32.1</v>
      </c>
      <c r="J340" s="258">
        <v>18.600000000000001</v>
      </c>
      <c r="K340" s="406"/>
      <c r="L340" s="259">
        <v>14.6</v>
      </c>
      <c r="M340" s="406"/>
      <c r="N340" s="406"/>
      <c r="O340" s="406"/>
      <c r="P340" s="406"/>
      <c r="Q340" s="259">
        <v>20</v>
      </c>
      <c r="R340" s="259">
        <v>17.899999999999999</v>
      </c>
      <c r="S340" s="259">
        <v>18</v>
      </c>
      <c r="T340" s="406"/>
      <c r="U340" s="260">
        <v>18.3</v>
      </c>
      <c r="V340" s="258">
        <v>42.7</v>
      </c>
      <c r="W340" s="259">
        <v>14.9</v>
      </c>
      <c r="X340" s="259">
        <v>28.3</v>
      </c>
      <c r="Y340" s="259">
        <v>20.8</v>
      </c>
      <c r="Z340" s="259">
        <v>49.8</v>
      </c>
      <c r="AA340" s="260">
        <v>33.4</v>
      </c>
      <c r="AB340" s="258">
        <v>20.2</v>
      </c>
      <c r="AC340" s="259">
        <v>9.6999999999999993</v>
      </c>
      <c r="AD340" s="259">
        <v>16.100000000000001</v>
      </c>
      <c r="AE340" s="259">
        <v>15.4</v>
      </c>
      <c r="AF340" s="259">
        <v>28.6</v>
      </c>
      <c r="AG340" s="260">
        <v>15.8</v>
      </c>
    </row>
    <row r="341" spans="2:36" x14ac:dyDescent="0.3">
      <c r="B341" s="196" t="s">
        <v>244</v>
      </c>
      <c r="C341" s="261">
        <v>7.1</v>
      </c>
      <c r="D341" s="44">
        <v>6.1</v>
      </c>
      <c r="E341" s="44">
        <v>6.7</v>
      </c>
      <c r="F341" s="44">
        <v>6.5</v>
      </c>
      <c r="G341" s="44"/>
      <c r="H341" s="44">
        <v>8.9</v>
      </c>
      <c r="I341" s="262">
        <v>6.5</v>
      </c>
      <c r="J341" s="261">
        <v>7.5</v>
      </c>
      <c r="K341" s="44"/>
      <c r="L341" s="44">
        <v>6.1</v>
      </c>
      <c r="M341" s="44"/>
      <c r="N341" s="44"/>
      <c r="O341" s="44"/>
      <c r="P341" s="44"/>
      <c r="Q341" s="44">
        <v>6.6</v>
      </c>
      <c r="R341" s="44">
        <v>6.5</v>
      </c>
      <c r="S341" s="44">
        <v>9</v>
      </c>
      <c r="T341" s="44"/>
      <c r="U341" s="262">
        <v>6.8</v>
      </c>
      <c r="V341" s="261">
        <v>7.5</v>
      </c>
      <c r="W341" s="44">
        <v>5.6</v>
      </c>
      <c r="X341" s="44">
        <v>7.5</v>
      </c>
      <c r="Y341" s="44">
        <v>6.3</v>
      </c>
      <c r="Z341" s="44">
        <v>8.5</v>
      </c>
      <c r="AA341" s="262">
        <v>7.5</v>
      </c>
      <c r="AB341" s="261">
        <v>7.5</v>
      </c>
      <c r="AC341" s="44">
        <v>5.4</v>
      </c>
      <c r="AD341" s="44">
        <v>7.5</v>
      </c>
      <c r="AE341" s="44">
        <v>6.3</v>
      </c>
      <c r="AF341" s="44">
        <v>8.6999999999999993</v>
      </c>
      <c r="AG341" s="262">
        <v>6.9</v>
      </c>
    </row>
    <row r="342" spans="2:36" x14ac:dyDescent="0.3">
      <c r="B342" s="196" t="s">
        <v>809</v>
      </c>
      <c r="C342" s="261">
        <v>0</v>
      </c>
      <c r="D342" s="44">
        <v>0</v>
      </c>
      <c r="E342" s="44">
        <v>0</v>
      </c>
      <c r="F342" s="44">
        <v>0</v>
      </c>
      <c r="G342" s="44"/>
      <c r="H342" s="44">
        <v>0</v>
      </c>
      <c r="I342" s="262">
        <v>0</v>
      </c>
      <c r="J342" s="261">
        <v>0</v>
      </c>
      <c r="K342" s="44"/>
      <c r="L342" s="44">
        <v>0</v>
      </c>
      <c r="M342" s="44"/>
      <c r="N342" s="44"/>
      <c r="O342" s="44"/>
      <c r="P342" s="44"/>
      <c r="Q342" s="44">
        <v>0</v>
      </c>
      <c r="R342" s="44">
        <v>0</v>
      </c>
      <c r="S342" s="44">
        <v>0</v>
      </c>
      <c r="T342" s="44"/>
      <c r="U342" s="262">
        <v>0</v>
      </c>
      <c r="V342" s="261">
        <v>0</v>
      </c>
      <c r="W342" s="44">
        <v>0</v>
      </c>
      <c r="X342" s="44">
        <v>7.9</v>
      </c>
      <c r="Y342" s="44">
        <v>0</v>
      </c>
      <c r="Z342" s="44">
        <v>0</v>
      </c>
      <c r="AA342" s="262">
        <v>0</v>
      </c>
      <c r="AB342" s="261">
        <v>0</v>
      </c>
      <c r="AC342" s="44">
        <v>0</v>
      </c>
      <c r="AD342" s="44">
        <v>7.9</v>
      </c>
      <c r="AE342" s="44">
        <v>0</v>
      </c>
      <c r="AF342" s="44">
        <v>0</v>
      </c>
      <c r="AG342" s="262">
        <v>0</v>
      </c>
    </row>
    <row r="343" spans="2:36" x14ac:dyDescent="0.3">
      <c r="B343" s="196" t="s">
        <v>20</v>
      </c>
      <c r="C343" s="261">
        <v>4.2</v>
      </c>
      <c r="D343" s="44">
        <v>4.2</v>
      </c>
      <c r="E343" s="44">
        <v>3.2</v>
      </c>
      <c r="F343" s="44">
        <v>4.8</v>
      </c>
      <c r="G343" s="44"/>
      <c r="H343" s="44">
        <v>5.0999999999999996</v>
      </c>
      <c r="I343" s="262">
        <v>5.5</v>
      </c>
      <c r="J343" s="261">
        <v>4.2</v>
      </c>
      <c r="K343" s="44"/>
      <c r="L343" s="44">
        <v>4.8</v>
      </c>
      <c r="M343" s="44"/>
      <c r="N343" s="44"/>
      <c r="O343" s="44"/>
      <c r="P343" s="44"/>
      <c r="Q343" s="44">
        <v>3.2</v>
      </c>
      <c r="R343" s="44">
        <v>4.8</v>
      </c>
      <c r="S343" s="44">
        <v>5.0999999999999996</v>
      </c>
      <c r="T343" s="44"/>
      <c r="U343" s="262">
        <v>5.5</v>
      </c>
      <c r="V343" s="261">
        <v>0</v>
      </c>
      <c r="W343" s="44">
        <v>2.1</v>
      </c>
      <c r="X343" s="44">
        <v>0</v>
      </c>
      <c r="Y343" s="44">
        <v>3.5</v>
      </c>
      <c r="Z343" s="44">
        <v>0</v>
      </c>
      <c r="AA343" s="262">
        <v>5.2</v>
      </c>
      <c r="AB343" s="261">
        <v>0</v>
      </c>
      <c r="AC343" s="44">
        <v>2.1</v>
      </c>
      <c r="AD343" s="44">
        <v>0</v>
      </c>
      <c r="AE343" s="44">
        <v>3.5</v>
      </c>
      <c r="AF343" s="44">
        <v>0</v>
      </c>
      <c r="AG343" s="262">
        <v>4.4000000000000004</v>
      </c>
    </row>
    <row r="344" spans="2:36" x14ac:dyDescent="0.3">
      <c r="B344" s="196" t="s">
        <v>810</v>
      </c>
      <c r="C344" s="261">
        <v>3.5</v>
      </c>
      <c r="D344" s="44">
        <v>4.2</v>
      </c>
      <c r="E344" s="44">
        <v>3.6</v>
      </c>
      <c r="F344" s="44">
        <v>4.5999999999999996</v>
      </c>
      <c r="G344" s="44"/>
      <c r="H344" s="44">
        <v>3.8</v>
      </c>
      <c r="I344" s="262">
        <v>4.8</v>
      </c>
      <c r="J344" s="261">
        <v>5.3</v>
      </c>
      <c r="K344" s="44"/>
      <c r="L344" s="44">
        <v>6.9</v>
      </c>
      <c r="M344" s="44"/>
      <c r="N344" s="44"/>
      <c r="O344" s="44"/>
      <c r="P344" s="44"/>
      <c r="Q344" s="44">
        <v>7.9</v>
      </c>
      <c r="R344" s="44">
        <v>7.6</v>
      </c>
      <c r="S344" s="44">
        <v>6.3</v>
      </c>
      <c r="T344" s="44"/>
      <c r="U344" s="262">
        <v>8.3000000000000007</v>
      </c>
      <c r="V344" s="261">
        <v>3.3</v>
      </c>
      <c r="W344" s="44">
        <v>4.0999999999999996</v>
      </c>
      <c r="X344" s="44">
        <v>3.2</v>
      </c>
      <c r="Y344" s="44">
        <v>4.5999999999999996</v>
      </c>
      <c r="Z344" s="44">
        <v>3.3</v>
      </c>
      <c r="AA344" s="262">
        <v>4.7</v>
      </c>
      <c r="AB344" s="261">
        <v>4.4000000000000004</v>
      </c>
      <c r="AC344" s="44">
        <v>7.1</v>
      </c>
      <c r="AD344" s="44">
        <v>4.7</v>
      </c>
      <c r="AE344" s="44">
        <v>8.1</v>
      </c>
      <c r="AF344" s="44">
        <v>5.3</v>
      </c>
      <c r="AG344" s="262">
        <v>8.4</v>
      </c>
    </row>
    <row r="345" spans="2:36" x14ac:dyDescent="0.3">
      <c r="B345" s="196" t="s">
        <v>811</v>
      </c>
      <c r="C345" s="261">
        <v>2.2999999999999998</v>
      </c>
      <c r="D345" s="44">
        <v>1.7</v>
      </c>
      <c r="E345" s="44">
        <v>2.2999999999999998</v>
      </c>
      <c r="F345" s="44">
        <v>1.7</v>
      </c>
      <c r="G345" s="44"/>
      <c r="H345" s="44">
        <v>2.2999999999999998</v>
      </c>
      <c r="I345" s="262">
        <v>1.7</v>
      </c>
      <c r="J345" s="261">
        <v>2.2999999999999998</v>
      </c>
      <c r="K345" s="44"/>
      <c r="L345" s="44">
        <v>1.7</v>
      </c>
      <c r="M345" s="44"/>
      <c r="N345" s="44"/>
      <c r="O345" s="44"/>
      <c r="P345" s="44"/>
      <c r="Q345" s="44">
        <v>2.2999999999999998</v>
      </c>
      <c r="R345" s="44">
        <v>1.7</v>
      </c>
      <c r="S345" s="44">
        <v>2.2999999999999998</v>
      </c>
      <c r="T345" s="44"/>
      <c r="U345" s="262">
        <v>1.7</v>
      </c>
      <c r="V345" s="261">
        <v>2.6</v>
      </c>
      <c r="W345" s="44">
        <v>2.1</v>
      </c>
      <c r="X345" s="44">
        <v>2.6</v>
      </c>
      <c r="Y345" s="44">
        <v>2.1</v>
      </c>
      <c r="Z345" s="44">
        <v>2.6</v>
      </c>
      <c r="AA345" s="262">
        <v>2.1</v>
      </c>
      <c r="AB345" s="261">
        <v>2.6</v>
      </c>
      <c r="AC345" s="44">
        <v>2.1</v>
      </c>
      <c r="AD345" s="44">
        <v>2.6</v>
      </c>
      <c r="AE345" s="44">
        <v>2.1</v>
      </c>
      <c r="AF345" s="44">
        <v>2.6</v>
      </c>
      <c r="AG345" s="262">
        <v>2.1</v>
      </c>
    </row>
    <row r="346" spans="2:36" x14ac:dyDescent="0.3">
      <c r="B346" s="197" t="s">
        <v>1396</v>
      </c>
      <c r="C346" s="263">
        <v>6.8</v>
      </c>
      <c r="D346" s="264">
        <v>10.4</v>
      </c>
      <c r="E346" s="264">
        <v>7.7</v>
      </c>
      <c r="F346" s="264">
        <v>8.6</v>
      </c>
      <c r="G346" s="264"/>
      <c r="H346" s="264">
        <v>9.3000000000000007</v>
      </c>
      <c r="I346" s="265">
        <v>11.9</v>
      </c>
      <c r="J346" s="263">
        <v>6.8</v>
      </c>
      <c r="K346" s="264"/>
      <c r="L346" s="264">
        <v>11.5</v>
      </c>
      <c r="M346" s="264"/>
      <c r="N346" s="264"/>
      <c r="O346" s="264"/>
      <c r="P346" s="264"/>
      <c r="Q346" s="264">
        <v>7.7</v>
      </c>
      <c r="R346" s="264">
        <v>8.6999999999999993</v>
      </c>
      <c r="S346" s="264">
        <v>9.3000000000000007</v>
      </c>
      <c r="T346" s="264"/>
      <c r="U346" s="265">
        <v>12.4</v>
      </c>
      <c r="V346" s="263">
        <v>4.4000000000000004</v>
      </c>
      <c r="W346" s="264">
        <v>8.6999999999999993</v>
      </c>
      <c r="X346" s="264">
        <v>4.4000000000000004</v>
      </c>
      <c r="Y346" s="264">
        <v>9.3000000000000007</v>
      </c>
      <c r="Z346" s="264">
        <v>4.8999999999999879</v>
      </c>
      <c r="AA346" s="265">
        <v>9.1999999999999993</v>
      </c>
      <c r="AB346" s="263">
        <v>4.4000000000000004</v>
      </c>
      <c r="AC346" s="264">
        <v>9.3000000000000007</v>
      </c>
      <c r="AD346" s="264">
        <v>4.4000000000000004</v>
      </c>
      <c r="AE346" s="264">
        <v>9.3000000000000007</v>
      </c>
      <c r="AF346" s="264">
        <v>4.9000000000000004</v>
      </c>
      <c r="AG346" s="265">
        <v>10.3</v>
      </c>
    </row>
    <row r="347" spans="2:36" x14ac:dyDescent="0.3">
      <c r="B347" s="77" t="s">
        <v>819</v>
      </c>
      <c r="C347" s="77">
        <v>6.8</v>
      </c>
      <c r="D347" s="78" t="s">
        <v>812</v>
      </c>
      <c r="E347" s="78">
        <v>7.7</v>
      </c>
      <c r="F347" s="78" t="s">
        <v>812</v>
      </c>
      <c r="G347" s="312"/>
      <c r="H347" s="78">
        <v>9.3000000000000007</v>
      </c>
      <c r="I347" s="79" t="s">
        <v>812</v>
      </c>
      <c r="J347" s="77">
        <v>6.8</v>
      </c>
      <c r="K347" s="312"/>
      <c r="L347" s="78" t="s">
        <v>812</v>
      </c>
      <c r="M347" s="312"/>
      <c r="N347" s="312"/>
      <c r="O347" s="312"/>
      <c r="P347" s="312"/>
      <c r="Q347" s="78">
        <v>7.7</v>
      </c>
      <c r="R347" s="78" t="s">
        <v>812</v>
      </c>
      <c r="S347" s="78">
        <v>9.3000000000000007</v>
      </c>
      <c r="T347" s="312"/>
      <c r="U347" s="79" t="s">
        <v>812</v>
      </c>
      <c r="V347" s="77"/>
      <c r="W347" s="78"/>
      <c r="X347" s="78"/>
      <c r="Y347" s="78"/>
      <c r="Z347" s="78"/>
      <c r="AA347" s="79"/>
      <c r="AB347" s="77"/>
      <c r="AC347" s="78"/>
      <c r="AD347" s="78"/>
      <c r="AE347" s="78"/>
      <c r="AF347" s="78"/>
      <c r="AG347" s="79"/>
    </row>
    <row r="348" spans="2:36" x14ac:dyDescent="0.3">
      <c r="B348" s="80" t="s">
        <v>1397</v>
      </c>
      <c r="C348" s="80">
        <v>6.5</v>
      </c>
      <c r="D348" t="s">
        <v>812</v>
      </c>
      <c r="E348">
        <v>7.3</v>
      </c>
      <c r="F348" t="s">
        <v>812</v>
      </c>
      <c r="H348">
        <v>7.8</v>
      </c>
      <c r="I348" s="81" t="s">
        <v>812</v>
      </c>
      <c r="J348" s="80">
        <v>6.5</v>
      </c>
      <c r="L348" t="s">
        <v>812</v>
      </c>
      <c r="Q348">
        <v>7.3</v>
      </c>
      <c r="R348" t="s">
        <v>812</v>
      </c>
      <c r="S348">
        <v>7.8</v>
      </c>
      <c r="U348" s="81" t="s">
        <v>812</v>
      </c>
      <c r="V348" s="80">
        <v>4.4000000000000004</v>
      </c>
      <c r="W348" t="s">
        <v>812</v>
      </c>
      <c r="X348">
        <v>4.4000000000000004</v>
      </c>
      <c r="Y348" t="s">
        <v>812</v>
      </c>
      <c r="Z348">
        <v>4.9000000000000004</v>
      </c>
      <c r="AA348" s="81" t="s">
        <v>812</v>
      </c>
      <c r="AB348" s="80">
        <v>4.4000000000000004</v>
      </c>
      <c r="AC348" t="s">
        <v>812</v>
      </c>
      <c r="AD348">
        <v>4.4000000000000004</v>
      </c>
      <c r="AE348" t="s">
        <v>812</v>
      </c>
      <c r="AF348">
        <v>4.9000000000000004</v>
      </c>
      <c r="AG348" s="81" t="s">
        <v>812</v>
      </c>
    </row>
    <row r="349" spans="2:36" x14ac:dyDescent="0.3">
      <c r="B349" s="82" t="s">
        <v>820</v>
      </c>
      <c r="C349" s="82">
        <v>7.7</v>
      </c>
      <c r="D349" s="83">
        <v>10.4</v>
      </c>
      <c r="E349" s="83">
        <v>8.6999999999999993</v>
      </c>
      <c r="F349" s="83">
        <v>8.6</v>
      </c>
      <c r="G349" s="83"/>
      <c r="H349" s="83">
        <v>13.8</v>
      </c>
      <c r="I349" s="84">
        <v>11.9</v>
      </c>
      <c r="J349" s="82">
        <v>7.7</v>
      </c>
      <c r="K349" s="83"/>
      <c r="L349" s="83">
        <v>11.5</v>
      </c>
      <c r="M349" s="83"/>
      <c r="N349" s="83"/>
      <c r="O349" s="83"/>
      <c r="P349" s="83"/>
      <c r="Q349" s="83">
        <v>8.9</v>
      </c>
      <c r="R349" s="83">
        <v>8.6999999999999993</v>
      </c>
      <c r="S349" s="83">
        <v>13.8</v>
      </c>
      <c r="T349" s="83"/>
      <c r="U349" s="84">
        <v>12.4</v>
      </c>
      <c r="V349" s="82" t="s">
        <v>812</v>
      </c>
      <c r="W349" s="83">
        <v>9.3000000000000007</v>
      </c>
      <c r="X349" s="83" t="s">
        <v>812</v>
      </c>
      <c r="Y349" s="83">
        <v>9.3000000000000007</v>
      </c>
      <c r="Z349" s="83" t="s">
        <v>812</v>
      </c>
      <c r="AA349" s="84">
        <v>10.3</v>
      </c>
      <c r="AB349" s="82" t="s">
        <v>812</v>
      </c>
      <c r="AC349" s="83">
        <v>8.6999999999999993</v>
      </c>
      <c r="AD349" s="83" t="s">
        <v>812</v>
      </c>
      <c r="AE349" s="83">
        <v>9.3000000000000007</v>
      </c>
      <c r="AF349" s="83" t="s">
        <v>812</v>
      </c>
      <c r="AG349" s="84">
        <v>9.1999999999999993</v>
      </c>
    </row>
    <row r="352" spans="2:36" x14ac:dyDescent="0.3">
      <c r="D352" s="40"/>
    </row>
    <row r="363" spans="22:23" x14ac:dyDescent="0.3">
      <c r="V363" s="47"/>
    </row>
    <row r="364" spans="22:23" x14ac:dyDescent="0.3">
      <c r="V364" s="47"/>
    </row>
    <row r="365" spans="22:23" x14ac:dyDescent="0.3">
      <c r="V365" s="47"/>
    </row>
    <row r="366" spans="22:23" x14ac:dyDescent="0.3">
      <c r="V366" s="47"/>
    </row>
    <row r="367" spans="22:23" x14ac:dyDescent="0.3">
      <c r="W367" s="47"/>
    </row>
    <row r="368" spans="22:23" x14ac:dyDescent="0.3">
      <c r="W368" s="47"/>
    </row>
    <row r="369" spans="19:23" x14ac:dyDescent="0.3">
      <c r="V369" s="47"/>
    </row>
    <row r="370" spans="19:23" x14ac:dyDescent="0.3">
      <c r="V370" s="47"/>
    </row>
    <row r="371" spans="19:23" x14ac:dyDescent="0.3">
      <c r="V371" s="47"/>
    </row>
    <row r="372" spans="19:23" x14ac:dyDescent="0.3">
      <c r="V372" s="47"/>
    </row>
    <row r="373" spans="19:23" x14ac:dyDescent="0.3">
      <c r="W373" s="47"/>
    </row>
    <row r="374" spans="19:23" x14ac:dyDescent="0.3">
      <c r="W374" s="47"/>
    </row>
    <row r="375" spans="19:23" x14ac:dyDescent="0.3">
      <c r="V375" s="47"/>
    </row>
    <row r="376" spans="19:23" x14ac:dyDescent="0.3">
      <c r="V376" s="47"/>
    </row>
    <row r="377" spans="19:23" x14ac:dyDescent="0.3">
      <c r="V377" s="47"/>
    </row>
    <row r="378" spans="19:23" x14ac:dyDescent="0.3">
      <c r="V378" s="47"/>
    </row>
    <row r="379" spans="19:23" x14ac:dyDescent="0.3">
      <c r="W379" s="47"/>
    </row>
    <row r="380" spans="19:23" x14ac:dyDescent="0.3">
      <c r="W380" s="47"/>
    </row>
    <row r="381" spans="19:23" x14ac:dyDescent="0.3">
      <c r="S381" s="47"/>
      <c r="T381" s="47"/>
    </row>
    <row r="382" spans="19:23" x14ac:dyDescent="0.3">
      <c r="S382" s="47"/>
      <c r="T382" s="47"/>
    </row>
    <row r="383" spans="19:23" x14ac:dyDescent="0.3">
      <c r="U383" s="47"/>
    </row>
    <row r="384" spans="19:23" x14ac:dyDescent="0.3">
      <c r="U384" s="47"/>
    </row>
    <row r="385" spans="19:22" x14ac:dyDescent="0.3">
      <c r="V385" s="47"/>
    </row>
    <row r="386" spans="19:22" x14ac:dyDescent="0.3">
      <c r="V386" s="47"/>
    </row>
    <row r="387" spans="19:22" x14ac:dyDescent="0.3">
      <c r="S387" s="47"/>
      <c r="T387" s="47"/>
    </row>
    <row r="388" spans="19:22" x14ac:dyDescent="0.3">
      <c r="S388" s="47"/>
      <c r="T388" s="47"/>
    </row>
    <row r="389" spans="19:22" x14ac:dyDescent="0.3">
      <c r="U389" s="47"/>
    </row>
    <row r="390" spans="19:22" x14ac:dyDescent="0.3">
      <c r="U390" s="47"/>
    </row>
    <row r="391" spans="19:22" x14ac:dyDescent="0.3">
      <c r="V391" s="47"/>
    </row>
    <row r="392" spans="19:22" x14ac:dyDescent="0.3">
      <c r="V392" s="47"/>
    </row>
    <row r="393" spans="19:22" x14ac:dyDescent="0.3">
      <c r="S393" s="47"/>
      <c r="T393" s="47"/>
    </row>
    <row r="394" spans="19:22" x14ac:dyDescent="0.3">
      <c r="S394" s="47"/>
      <c r="T394" s="47"/>
    </row>
    <row r="395" spans="19:22" x14ac:dyDescent="0.3">
      <c r="U395" s="47"/>
    </row>
    <row r="396" spans="19:22" x14ac:dyDescent="0.3">
      <c r="U396" s="47"/>
    </row>
    <row r="397" spans="19:22" x14ac:dyDescent="0.3">
      <c r="V397" s="47"/>
    </row>
    <row r="398" spans="19:22" x14ac:dyDescent="0.3">
      <c r="V398" s="47"/>
    </row>
    <row r="415" spans="3:33" x14ac:dyDescent="0.3">
      <c r="C415" t="s">
        <v>831</v>
      </c>
      <c r="J415" t="s">
        <v>832</v>
      </c>
      <c r="V415" t="s">
        <v>831</v>
      </c>
      <c r="AB415" t="s">
        <v>832</v>
      </c>
    </row>
    <row r="416" spans="3:33" x14ac:dyDescent="0.3">
      <c r="C416" t="s">
        <v>806</v>
      </c>
      <c r="D416" t="s">
        <v>45</v>
      </c>
      <c r="E416" t="s">
        <v>806</v>
      </c>
      <c r="F416" t="s">
        <v>45</v>
      </c>
      <c r="H416" t="s">
        <v>806</v>
      </c>
      <c r="I416" t="s">
        <v>45</v>
      </c>
      <c r="J416" t="s">
        <v>806</v>
      </c>
      <c r="L416" t="s">
        <v>45</v>
      </c>
      <c r="Q416" t="s">
        <v>806</v>
      </c>
      <c r="R416" t="s">
        <v>45</v>
      </c>
      <c r="S416" t="s">
        <v>806</v>
      </c>
      <c r="U416" t="s">
        <v>45</v>
      </c>
      <c r="V416" t="s">
        <v>813</v>
      </c>
      <c r="W416" t="s">
        <v>45</v>
      </c>
      <c r="X416" t="s">
        <v>813</v>
      </c>
      <c r="Y416" t="s">
        <v>45</v>
      </c>
      <c r="Z416" t="s">
        <v>813</v>
      </c>
      <c r="AA416" t="s">
        <v>45</v>
      </c>
      <c r="AB416" t="s">
        <v>813</v>
      </c>
      <c r="AC416" t="s">
        <v>45</v>
      </c>
      <c r="AD416" t="s">
        <v>813</v>
      </c>
      <c r="AE416" t="s">
        <v>45</v>
      </c>
      <c r="AF416" t="s">
        <v>813</v>
      </c>
      <c r="AG416" t="s">
        <v>45</v>
      </c>
    </row>
    <row r="417" spans="2:33" x14ac:dyDescent="0.3">
      <c r="C417" t="s">
        <v>381</v>
      </c>
      <c r="D417" t="s">
        <v>814</v>
      </c>
      <c r="E417" t="s">
        <v>815</v>
      </c>
      <c r="F417" t="s">
        <v>816</v>
      </c>
      <c r="H417" t="s">
        <v>817</v>
      </c>
      <c r="I417" t="s">
        <v>818</v>
      </c>
      <c r="J417" t="s">
        <v>381</v>
      </c>
      <c r="L417" t="s">
        <v>814</v>
      </c>
      <c r="Q417" t="s">
        <v>815</v>
      </c>
      <c r="R417" t="s">
        <v>816</v>
      </c>
      <c r="S417" t="s">
        <v>817</v>
      </c>
      <c r="U417" t="s">
        <v>818</v>
      </c>
      <c r="V417" t="s">
        <v>825</v>
      </c>
      <c r="W417" t="s">
        <v>826</v>
      </c>
      <c r="X417" t="s">
        <v>827</v>
      </c>
      <c r="Y417" t="s">
        <v>830</v>
      </c>
      <c r="Z417" t="s">
        <v>828</v>
      </c>
      <c r="AA417" t="s">
        <v>829</v>
      </c>
      <c r="AB417" t="s">
        <v>825</v>
      </c>
      <c r="AC417" t="s">
        <v>826</v>
      </c>
      <c r="AD417" t="s">
        <v>827</v>
      </c>
      <c r="AE417" t="s">
        <v>830</v>
      </c>
      <c r="AF417" t="s">
        <v>828</v>
      </c>
      <c r="AG417" t="s">
        <v>829</v>
      </c>
    </row>
    <row r="418" spans="2:33" x14ac:dyDescent="0.3">
      <c r="C418" t="s">
        <v>4</v>
      </c>
      <c r="D418" t="s">
        <v>4</v>
      </c>
      <c r="E418" t="s">
        <v>4</v>
      </c>
      <c r="F418" t="s">
        <v>4</v>
      </c>
      <c r="H418" t="s">
        <v>13</v>
      </c>
      <c r="I418" t="s">
        <v>13</v>
      </c>
      <c r="J418" t="s">
        <v>4</v>
      </c>
      <c r="L418" t="s">
        <v>4</v>
      </c>
      <c r="Q418" t="s">
        <v>4</v>
      </c>
      <c r="R418" t="s">
        <v>4</v>
      </c>
      <c r="S418" t="s">
        <v>13</v>
      </c>
      <c r="U418" t="s">
        <v>13</v>
      </c>
      <c r="V418" t="s">
        <v>11</v>
      </c>
      <c r="W418" t="s">
        <v>11</v>
      </c>
      <c r="X418" t="s">
        <v>12</v>
      </c>
      <c r="Y418" t="s">
        <v>12</v>
      </c>
      <c r="Z418" t="s">
        <v>4</v>
      </c>
      <c r="AA418" t="s">
        <v>4</v>
      </c>
      <c r="AB418" t="s">
        <v>11</v>
      </c>
      <c r="AC418" t="s">
        <v>11</v>
      </c>
      <c r="AD418" t="s">
        <v>12</v>
      </c>
      <c r="AE418" t="s">
        <v>12</v>
      </c>
      <c r="AF418" t="s">
        <v>4</v>
      </c>
      <c r="AG418" t="s">
        <v>4</v>
      </c>
    </row>
    <row r="419" spans="2:33" x14ac:dyDescent="0.3">
      <c r="B419" t="s">
        <v>55</v>
      </c>
      <c r="C419">
        <v>5925</v>
      </c>
      <c r="D419">
        <v>3315</v>
      </c>
      <c r="E419">
        <v>5745</v>
      </c>
      <c r="F419">
        <v>4815</v>
      </c>
      <c r="H419">
        <v>6060</v>
      </c>
      <c r="I419">
        <v>4815</v>
      </c>
      <c r="J419">
        <v>2790</v>
      </c>
      <c r="L419">
        <v>2190</v>
      </c>
      <c r="Q419">
        <v>3000</v>
      </c>
      <c r="R419">
        <v>2685</v>
      </c>
      <c r="S419">
        <v>2700</v>
      </c>
      <c r="U419">
        <v>2745</v>
      </c>
      <c r="V419">
        <v>5124</v>
      </c>
      <c r="W419">
        <v>1788</v>
      </c>
      <c r="X419">
        <v>3396</v>
      </c>
      <c r="Y419">
        <v>2496</v>
      </c>
      <c r="Z419">
        <v>5976</v>
      </c>
      <c r="AA419">
        <v>4008</v>
      </c>
      <c r="AB419">
        <v>2424</v>
      </c>
      <c r="AC419">
        <v>1164</v>
      </c>
      <c r="AD419">
        <v>1932.0000000000002</v>
      </c>
      <c r="AE419">
        <v>1848</v>
      </c>
      <c r="AF419">
        <v>3432</v>
      </c>
      <c r="AG419">
        <v>1896</v>
      </c>
    </row>
    <row r="420" spans="2:33" x14ac:dyDescent="0.3">
      <c r="B420" t="s">
        <v>804</v>
      </c>
    </row>
    <row r="421" spans="2:33" x14ac:dyDescent="0.3">
      <c r="B421" t="s">
        <v>805</v>
      </c>
    </row>
    <row r="423" spans="2:33" x14ac:dyDescent="0.3">
      <c r="Y423" s="267" t="s">
        <v>807</v>
      </c>
      <c r="Z423" t="s">
        <v>848</v>
      </c>
    </row>
    <row r="425" spans="2:33" x14ac:dyDescent="0.3">
      <c r="B425" t="s">
        <v>838</v>
      </c>
      <c r="C425" t="s">
        <v>847</v>
      </c>
      <c r="D425" t="s">
        <v>839</v>
      </c>
      <c r="E425" t="s">
        <v>807</v>
      </c>
      <c r="F425" t="s">
        <v>60</v>
      </c>
      <c r="H425" t="s">
        <v>808</v>
      </c>
      <c r="I425" t="s">
        <v>1472</v>
      </c>
      <c r="J425" t="s">
        <v>179</v>
      </c>
      <c r="L425" t="s">
        <v>159</v>
      </c>
      <c r="Q425" t="s">
        <v>154</v>
      </c>
      <c r="R425" t="s">
        <v>840</v>
      </c>
      <c r="S425" t="s">
        <v>161</v>
      </c>
      <c r="U425" t="s">
        <v>842</v>
      </c>
      <c r="V425" t="s">
        <v>841</v>
      </c>
      <c r="W425" t="s">
        <v>159</v>
      </c>
      <c r="X425" t="s">
        <v>844</v>
      </c>
      <c r="Y425" s="267" t="s">
        <v>845</v>
      </c>
      <c r="Z425" s="267" t="s">
        <v>60</v>
      </c>
    </row>
    <row r="426" spans="2:33" x14ac:dyDescent="0.3">
      <c r="B426" t="s">
        <v>831</v>
      </c>
      <c r="C426">
        <v>1</v>
      </c>
      <c r="D426" t="s">
        <v>806</v>
      </c>
      <c r="E426" s="80" t="s">
        <v>381</v>
      </c>
      <c r="F426" s="80" t="s">
        <v>4</v>
      </c>
      <c r="G426" s="80"/>
      <c r="H426" s="80">
        <v>34900</v>
      </c>
      <c r="I426" s="80">
        <v>5999</v>
      </c>
      <c r="J426" s="80">
        <v>34900</v>
      </c>
      <c r="K426" s="80"/>
      <c r="L426" s="80">
        <v>13350</v>
      </c>
      <c r="M426" s="80"/>
      <c r="N426" s="80"/>
      <c r="O426" s="80"/>
      <c r="P426" s="80"/>
      <c r="Q426" s="80">
        <v>5925</v>
      </c>
      <c r="R426">
        <f t="shared" ref="R426:R431" si="16">15000*4</f>
        <v>60000</v>
      </c>
      <c r="S426">
        <v>4</v>
      </c>
      <c r="U426" s="80">
        <v>34900</v>
      </c>
      <c r="V426" s="80">
        <v>15000</v>
      </c>
      <c r="W426" s="80">
        <v>13350</v>
      </c>
      <c r="X426" s="257">
        <f>W426/U426</f>
        <v>0.38252148997134672</v>
      </c>
      <c r="Y426" s="267" t="s">
        <v>847</v>
      </c>
      <c r="Z426" t="s">
        <v>11</v>
      </c>
      <c r="AA426" t="s">
        <v>12</v>
      </c>
      <c r="AB426" t="s">
        <v>4</v>
      </c>
      <c r="AC426" t="s">
        <v>13</v>
      </c>
      <c r="AD426" t="s">
        <v>846</v>
      </c>
    </row>
    <row r="427" spans="2:33" x14ac:dyDescent="0.3">
      <c r="B427" t="s">
        <v>831</v>
      </c>
      <c r="C427">
        <v>2</v>
      </c>
      <c r="D427" t="s">
        <v>45</v>
      </c>
      <c r="E427" t="s">
        <v>814</v>
      </c>
      <c r="F427" t="s">
        <v>4</v>
      </c>
      <c r="H427">
        <v>25395</v>
      </c>
      <c r="I427">
        <v>3735</v>
      </c>
      <c r="J427">
        <v>25395</v>
      </c>
      <c r="L427">
        <v>13750</v>
      </c>
      <c r="Q427">
        <v>3315</v>
      </c>
      <c r="R427">
        <f t="shared" si="16"/>
        <v>60000</v>
      </c>
      <c r="S427">
        <v>4</v>
      </c>
      <c r="U427">
        <v>25395</v>
      </c>
      <c r="V427">
        <v>15000</v>
      </c>
      <c r="W427">
        <v>13750</v>
      </c>
      <c r="X427" s="257">
        <f t="shared" ref="X427:X461" si="17">W427/U427</f>
        <v>0.54144516637133289</v>
      </c>
      <c r="Y427">
        <v>1</v>
      </c>
      <c r="AB427">
        <v>0.38252148997134672</v>
      </c>
      <c r="AD427">
        <v>0.38252148997134672</v>
      </c>
    </row>
    <row r="428" spans="2:33" x14ac:dyDescent="0.3">
      <c r="B428" t="s">
        <v>831</v>
      </c>
      <c r="C428">
        <v>3</v>
      </c>
      <c r="D428" t="s">
        <v>806</v>
      </c>
      <c r="E428" t="s">
        <v>815</v>
      </c>
      <c r="F428" t="s">
        <v>4</v>
      </c>
      <c r="H428">
        <v>34450</v>
      </c>
      <c r="I428">
        <v>5898</v>
      </c>
      <c r="J428">
        <v>34450</v>
      </c>
      <c r="L428">
        <v>13350</v>
      </c>
      <c r="Q428">
        <v>5745</v>
      </c>
      <c r="R428">
        <f t="shared" si="16"/>
        <v>60000</v>
      </c>
      <c r="S428">
        <v>4</v>
      </c>
      <c r="U428">
        <v>34450</v>
      </c>
      <c r="V428">
        <v>15000</v>
      </c>
      <c r="W428">
        <v>13350</v>
      </c>
      <c r="X428" s="257">
        <f t="shared" si="17"/>
        <v>0.38751814223512338</v>
      </c>
      <c r="Y428">
        <v>2</v>
      </c>
      <c r="AB428">
        <v>0.54144516637133289</v>
      </c>
      <c r="AD428">
        <v>0.54144516637133289</v>
      </c>
    </row>
    <row r="429" spans="2:33" x14ac:dyDescent="0.3">
      <c r="B429" t="s">
        <v>831</v>
      </c>
      <c r="C429">
        <v>4</v>
      </c>
      <c r="D429" t="s">
        <v>45</v>
      </c>
      <c r="E429" t="s">
        <v>816</v>
      </c>
      <c r="F429" t="s">
        <v>4</v>
      </c>
      <c r="H429">
        <v>29550</v>
      </c>
      <c r="I429">
        <v>4893</v>
      </c>
      <c r="J429">
        <v>29550</v>
      </c>
      <c r="L429">
        <v>11950</v>
      </c>
      <c r="Q429">
        <v>4815</v>
      </c>
      <c r="R429">
        <f t="shared" si="16"/>
        <v>60000</v>
      </c>
      <c r="S429">
        <v>4</v>
      </c>
      <c r="U429">
        <v>29550</v>
      </c>
      <c r="V429">
        <v>15000</v>
      </c>
      <c r="W429">
        <v>11950</v>
      </c>
      <c r="X429" s="257">
        <f t="shared" si="17"/>
        <v>0.40439932318104904</v>
      </c>
      <c r="Y429">
        <v>3</v>
      </c>
      <c r="AB429">
        <v>0.38751814223512338</v>
      </c>
      <c r="AD429">
        <v>0.38751814223512338</v>
      </c>
    </row>
    <row r="430" spans="2:33" x14ac:dyDescent="0.3">
      <c r="B430" t="s">
        <v>831</v>
      </c>
      <c r="C430">
        <v>5</v>
      </c>
      <c r="D430" t="s">
        <v>806</v>
      </c>
      <c r="E430" t="s">
        <v>817</v>
      </c>
      <c r="F430" t="s">
        <v>13</v>
      </c>
      <c r="H430">
        <v>41990</v>
      </c>
      <c r="I430">
        <v>7213</v>
      </c>
      <c r="J430">
        <v>41990</v>
      </c>
      <c r="L430">
        <v>20300</v>
      </c>
      <c r="Q430">
        <v>6060</v>
      </c>
      <c r="R430">
        <f t="shared" si="16"/>
        <v>60000</v>
      </c>
      <c r="S430">
        <v>4</v>
      </c>
      <c r="U430">
        <v>41990</v>
      </c>
      <c r="V430">
        <v>15000</v>
      </c>
      <c r="W430">
        <v>20300</v>
      </c>
      <c r="X430" s="257">
        <f t="shared" si="17"/>
        <v>0.48344844010478688</v>
      </c>
      <c r="Y430">
        <v>4</v>
      </c>
      <c r="AB430">
        <v>0.40439932318104904</v>
      </c>
      <c r="AD430">
        <v>0.40439932318104904</v>
      </c>
    </row>
    <row r="431" spans="2:33" x14ac:dyDescent="0.3">
      <c r="B431" t="s">
        <v>831</v>
      </c>
      <c r="C431">
        <v>6</v>
      </c>
      <c r="D431" t="s">
        <v>45</v>
      </c>
      <c r="E431" s="81" t="s">
        <v>818</v>
      </c>
      <c r="F431" s="81" t="s">
        <v>13</v>
      </c>
      <c r="G431" s="81"/>
      <c r="H431" s="81">
        <v>32490</v>
      </c>
      <c r="I431" s="81">
        <v>4493</v>
      </c>
      <c r="J431" s="81">
        <v>32490</v>
      </c>
      <c r="K431" s="81"/>
      <c r="L431" s="81">
        <v>15100</v>
      </c>
      <c r="M431" s="81"/>
      <c r="N431" s="81"/>
      <c r="O431" s="81"/>
      <c r="P431" s="81"/>
      <c r="Q431" s="81">
        <v>4815</v>
      </c>
      <c r="R431">
        <f t="shared" si="16"/>
        <v>60000</v>
      </c>
      <c r="S431">
        <v>4</v>
      </c>
      <c r="U431" s="81">
        <v>32490</v>
      </c>
      <c r="V431" s="81">
        <v>15000</v>
      </c>
      <c r="W431" s="81">
        <v>15100</v>
      </c>
      <c r="X431" s="257">
        <f t="shared" si="17"/>
        <v>0.46475838719606033</v>
      </c>
      <c r="Y431">
        <v>5</v>
      </c>
      <c r="AC431">
        <v>0.48344844010478688</v>
      </c>
      <c r="AD431">
        <v>0.48344844010478688</v>
      </c>
    </row>
    <row r="432" spans="2:33" x14ac:dyDescent="0.3">
      <c r="B432" t="s">
        <v>831</v>
      </c>
      <c r="C432">
        <v>7</v>
      </c>
      <c r="D432" t="s">
        <v>813</v>
      </c>
      <c r="E432" s="80" t="s">
        <v>825</v>
      </c>
      <c r="F432" s="80" t="s">
        <v>11</v>
      </c>
      <c r="G432" s="80"/>
      <c r="H432" s="80">
        <v>28990</v>
      </c>
      <c r="I432">
        <v>5031</v>
      </c>
      <c r="J432" s="80">
        <v>28990</v>
      </c>
      <c r="K432" s="80"/>
      <c r="L432" s="80">
        <v>10100</v>
      </c>
      <c r="M432" s="80"/>
      <c r="N432" s="80"/>
      <c r="O432" s="80"/>
      <c r="P432" s="80"/>
      <c r="Q432" s="80">
        <v>5124</v>
      </c>
      <c r="R432">
        <f t="shared" ref="R432:R437" si="18">4*12000</f>
        <v>48000</v>
      </c>
      <c r="S432">
        <v>4</v>
      </c>
      <c r="U432" s="80">
        <v>28990</v>
      </c>
      <c r="V432" s="80">
        <v>12000</v>
      </c>
      <c r="W432" s="80">
        <v>10100</v>
      </c>
      <c r="X432" s="257">
        <f t="shared" si="17"/>
        <v>0.34839599862021386</v>
      </c>
      <c r="Y432">
        <v>6</v>
      </c>
      <c r="AC432">
        <v>0.46475838719606033</v>
      </c>
      <c r="AD432">
        <v>0.46475838719606033</v>
      </c>
    </row>
    <row r="433" spans="2:30" x14ac:dyDescent="0.3">
      <c r="B433" t="s">
        <v>831</v>
      </c>
      <c r="C433">
        <v>8</v>
      </c>
      <c r="D433" t="s">
        <v>45</v>
      </c>
      <c r="E433" t="s">
        <v>826</v>
      </c>
      <c r="F433" t="s">
        <v>11</v>
      </c>
      <c r="H433">
        <v>12210</v>
      </c>
      <c r="I433">
        <v>1899</v>
      </c>
      <c r="J433">
        <v>12210</v>
      </c>
      <c r="L433">
        <v>5700</v>
      </c>
      <c r="Q433">
        <v>1788</v>
      </c>
      <c r="R433">
        <f t="shared" si="18"/>
        <v>48000</v>
      </c>
      <c r="S433">
        <v>4</v>
      </c>
      <c r="U433">
        <v>12210</v>
      </c>
      <c r="V433">
        <v>12000</v>
      </c>
      <c r="W433">
        <v>5700</v>
      </c>
      <c r="X433" s="257">
        <f t="shared" si="17"/>
        <v>0.46683046683046681</v>
      </c>
      <c r="Y433">
        <v>7</v>
      </c>
      <c r="Z433">
        <v>0.34839599862021386</v>
      </c>
      <c r="AD433">
        <v>0.34839599862021386</v>
      </c>
    </row>
    <row r="434" spans="2:30" x14ac:dyDescent="0.3">
      <c r="B434" t="s">
        <v>831</v>
      </c>
      <c r="C434">
        <v>9</v>
      </c>
      <c r="D434" t="s">
        <v>813</v>
      </c>
      <c r="E434" t="s">
        <v>827</v>
      </c>
      <c r="F434" t="s">
        <v>12</v>
      </c>
      <c r="H434">
        <v>20990</v>
      </c>
      <c r="I434">
        <v>3643</v>
      </c>
      <c r="J434">
        <v>20990</v>
      </c>
      <c r="L434">
        <v>8600</v>
      </c>
      <c r="Q434">
        <v>3396</v>
      </c>
      <c r="R434">
        <f t="shared" si="18"/>
        <v>48000</v>
      </c>
      <c r="S434">
        <v>4</v>
      </c>
      <c r="U434">
        <v>20990</v>
      </c>
      <c r="V434">
        <v>12000</v>
      </c>
      <c r="W434">
        <v>8600</v>
      </c>
      <c r="X434" s="257">
        <f t="shared" si="17"/>
        <v>0.40971891376846115</v>
      </c>
      <c r="Y434">
        <v>8</v>
      </c>
      <c r="Z434">
        <v>0.46683046683046681</v>
      </c>
      <c r="AD434">
        <v>0.46683046683046681</v>
      </c>
    </row>
    <row r="435" spans="2:30" x14ac:dyDescent="0.3">
      <c r="B435" t="s">
        <v>831</v>
      </c>
      <c r="C435">
        <v>10</v>
      </c>
      <c r="D435" t="s">
        <v>45</v>
      </c>
      <c r="E435" t="s">
        <v>830</v>
      </c>
      <c r="F435" t="s">
        <v>12</v>
      </c>
      <c r="H435">
        <v>18490</v>
      </c>
      <c r="I435">
        <v>2797</v>
      </c>
      <c r="J435">
        <v>18490</v>
      </c>
      <c r="L435">
        <v>9700</v>
      </c>
      <c r="Q435">
        <v>2496</v>
      </c>
      <c r="R435">
        <f t="shared" si="18"/>
        <v>48000</v>
      </c>
      <c r="S435">
        <v>4</v>
      </c>
      <c r="U435">
        <v>18490</v>
      </c>
      <c r="V435">
        <v>12000</v>
      </c>
      <c r="W435">
        <v>9700</v>
      </c>
      <c r="X435" s="257">
        <f t="shared" si="17"/>
        <v>0.52460789616008652</v>
      </c>
      <c r="Y435">
        <v>9</v>
      </c>
      <c r="AA435">
        <v>0.40971891376846115</v>
      </c>
      <c r="AD435">
        <v>0.40971891376846115</v>
      </c>
    </row>
    <row r="436" spans="2:30" x14ac:dyDescent="0.3">
      <c r="B436" t="s">
        <v>831</v>
      </c>
      <c r="C436">
        <v>11</v>
      </c>
      <c r="D436" t="s">
        <v>813</v>
      </c>
      <c r="E436" t="s">
        <v>828</v>
      </c>
      <c r="F436" t="s">
        <v>4</v>
      </c>
      <c r="H436">
        <v>35225</v>
      </c>
      <c r="I436">
        <v>6113</v>
      </c>
      <c r="J436">
        <v>35225</v>
      </c>
      <c r="L436">
        <v>13350</v>
      </c>
      <c r="Q436">
        <v>5976</v>
      </c>
      <c r="R436">
        <f t="shared" si="18"/>
        <v>48000</v>
      </c>
      <c r="S436">
        <v>4</v>
      </c>
      <c r="U436">
        <v>35225</v>
      </c>
      <c r="V436">
        <v>12000</v>
      </c>
      <c r="W436">
        <v>13350</v>
      </c>
      <c r="X436" s="257">
        <f t="shared" si="17"/>
        <v>0.37899219304471254</v>
      </c>
      <c r="Y436">
        <v>10</v>
      </c>
      <c r="AA436">
        <v>0.52460789616008652</v>
      </c>
      <c r="AD436">
        <v>0.52460789616008652</v>
      </c>
    </row>
    <row r="437" spans="2:30" x14ac:dyDescent="0.3">
      <c r="B437" t="s">
        <v>831</v>
      </c>
      <c r="C437">
        <v>12</v>
      </c>
      <c r="D437" t="s">
        <v>45</v>
      </c>
      <c r="E437" s="81" t="s">
        <v>829</v>
      </c>
      <c r="F437" s="81" t="s">
        <v>4</v>
      </c>
      <c r="G437" s="81"/>
      <c r="H437" s="81">
        <v>26890</v>
      </c>
      <c r="I437">
        <v>3951</v>
      </c>
      <c r="J437" s="81">
        <v>26890</v>
      </c>
      <c r="K437" s="81"/>
      <c r="L437" s="81">
        <v>12350</v>
      </c>
      <c r="M437" s="81"/>
      <c r="N437" s="81"/>
      <c r="O437" s="81"/>
      <c r="P437" s="81"/>
      <c r="Q437" s="81">
        <v>4008</v>
      </c>
      <c r="R437">
        <f t="shared" si="18"/>
        <v>48000</v>
      </c>
      <c r="S437">
        <v>4</v>
      </c>
      <c r="U437" s="81">
        <v>26890</v>
      </c>
      <c r="V437" s="81">
        <v>12000</v>
      </c>
      <c r="W437" s="81">
        <v>12350</v>
      </c>
      <c r="X437" s="257">
        <f t="shared" si="17"/>
        <v>0.45927854220899961</v>
      </c>
      <c r="Y437">
        <v>11</v>
      </c>
      <c r="AB437">
        <v>0.37899219304471254</v>
      </c>
      <c r="AD437">
        <v>0.37899219304471254</v>
      </c>
    </row>
    <row r="438" spans="2:30" x14ac:dyDescent="0.3">
      <c r="B438" t="s">
        <v>832</v>
      </c>
      <c r="C438">
        <v>13</v>
      </c>
      <c r="D438" t="s">
        <v>806</v>
      </c>
      <c r="E438" s="80" t="s">
        <v>381</v>
      </c>
      <c r="F438" s="80" t="s">
        <v>4</v>
      </c>
      <c r="G438" s="80"/>
      <c r="H438" s="80">
        <v>39900</v>
      </c>
      <c r="I438" s="80"/>
      <c r="J438" s="80">
        <v>12700</v>
      </c>
      <c r="K438" s="80"/>
      <c r="L438" s="80">
        <v>1950</v>
      </c>
      <c r="M438" s="80"/>
      <c r="N438" s="80"/>
      <c r="O438" s="80"/>
      <c r="P438" s="80"/>
      <c r="Q438" s="80">
        <v>2790</v>
      </c>
      <c r="R438">
        <f t="shared" ref="R438:R443" si="19">140000+60000</f>
        <v>200000</v>
      </c>
      <c r="S438">
        <v>8</v>
      </c>
      <c r="U438" s="80">
        <v>12700</v>
      </c>
      <c r="V438" s="80"/>
      <c r="W438" s="80">
        <v>1950</v>
      </c>
      <c r="X438" s="257">
        <f t="shared" si="17"/>
        <v>0.15354330708661418</v>
      </c>
      <c r="Y438">
        <v>12</v>
      </c>
      <c r="AB438">
        <v>0.45927854220899961</v>
      </c>
      <c r="AD438">
        <v>0.45927854220899961</v>
      </c>
    </row>
    <row r="439" spans="2:30" x14ac:dyDescent="0.3">
      <c r="B439" t="s">
        <v>832</v>
      </c>
      <c r="C439">
        <v>14</v>
      </c>
      <c r="D439" t="s">
        <v>45</v>
      </c>
      <c r="E439" t="s">
        <v>814</v>
      </c>
      <c r="F439" t="s">
        <v>4</v>
      </c>
      <c r="H439">
        <v>25595</v>
      </c>
      <c r="J439">
        <v>12300</v>
      </c>
      <c r="L439">
        <v>4000</v>
      </c>
      <c r="Q439">
        <v>2190</v>
      </c>
      <c r="R439">
        <f t="shared" si="19"/>
        <v>200000</v>
      </c>
      <c r="S439">
        <v>8</v>
      </c>
      <c r="U439">
        <v>12300</v>
      </c>
      <c r="W439">
        <v>4000</v>
      </c>
      <c r="X439" s="257">
        <f t="shared" si="17"/>
        <v>0.32520325203252032</v>
      </c>
      <c r="Y439">
        <v>13</v>
      </c>
      <c r="AB439">
        <v>0.15354330708661418</v>
      </c>
      <c r="AD439">
        <v>0.15354330708661418</v>
      </c>
    </row>
    <row r="440" spans="2:30" x14ac:dyDescent="0.3">
      <c r="B440" t="s">
        <v>832</v>
      </c>
      <c r="C440">
        <v>15</v>
      </c>
      <c r="D440" t="s">
        <v>806</v>
      </c>
      <c r="E440" t="s">
        <v>815</v>
      </c>
      <c r="F440" t="s">
        <v>4</v>
      </c>
      <c r="H440">
        <v>39645</v>
      </c>
      <c r="J440">
        <v>15200</v>
      </c>
      <c r="L440">
        <v>3750</v>
      </c>
      <c r="Q440">
        <v>3000</v>
      </c>
      <c r="R440">
        <f t="shared" si="19"/>
        <v>200000</v>
      </c>
      <c r="S440">
        <v>8</v>
      </c>
      <c r="U440">
        <v>15200</v>
      </c>
      <c r="W440">
        <v>3750</v>
      </c>
      <c r="X440" s="257">
        <f t="shared" si="17"/>
        <v>0.24671052631578946</v>
      </c>
      <c r="Y440">
        <v>14</v>
      </c>
      <c r="AB440">
        <v>0.32520325203252032</v>
      </c>
      <c r="AD440">
        <v>0.32520325203252032</v>
      </c>
    </row>
    <row r="441" spans="2:30" x14ac:dyDescent="0.3">
      <c r="B441" t="s">
        <v>832</v>
      </c>
      <c r="C441">
        <v>16</v>
      </c>
      <c r="D441" t="s">
        <v>45</v>
      </c>
      <c r="E441" t="s">
        <v>816</v>
      </c>
      <c r="F441" t="s">
        <v>4</v>
      </c>
      <c r="H441">
        <v>30850</v>
      </c>
      <c r="J441">
        <v>13400</v>
      </c>
      <c r="L441">
        <v>3150</v>
      </c>
      <c r="Q441">
        <v>2685</v>
      </c>
      <c r="R441">
        <f t="shared" si="19"/>
        <v>200000</v>
      </c>
      <c r="S441">
        <v>8</v>
      </c>
      <c r="U441">
        <v>13400</v>
      </c>
      <c r="W441">
        <v>3150</v>
      </c>
      <c r="X441" s="257">
        <f t="shared" si="17"/>
        <v>0.23507462686567165</v>
      </c>
      <c r="Y441">
        <v>15</v>
      </c>
      <c r="AB441">
        <v>0.24671052631578946</v>
      </c>
      <c r="AD441">
        <v>0.24671052631578946</v>
      </c>
    </row>
    <row r="442" spans="2:30" x14ac:dyDescent="0.3">
      <c r="B442" t="s">
        <v>832</v>
      </c>
      <c r="C442">
        <v>17</v>
      </c>
      <c r="D442" t="s">
        <v>806</v>
      </c>
      <c r="E442" t="s">
        <v>817</v>
      </c>
      <c r="F442" t="s">
        <v>13</v>
      </c>
      <c r="H442">
        <v>48990</v>
      </c>
      <c r="J442">
        <v>17000</v>
      </c>
      <c r="L442">
        <v>6900</v>
      </c>
      <c r="Q442">
        <v>2700</v>
      </c>
      <c r="R442">
        <f t="shared" si="19"/>
        <v>200000</v>
      </c>
      <c r="S442">
        <v>8</v>
      </c>
      <c r="U442">
        <v>17000</v>
      </c>
      <c r="W442">
        <v>6900</v>
      </c>
      <c r="X442" s="257">
        <f t="shared" si="17"/>
        <v>0.40588235294117647</v>
      </c>
      <c r="Y442">
        <v>16</v>
      </c>
      <c r="AB442">
        <v>0.23507462686567165</v>
      </c>
      <c r="AD442">
        <v>0.23507462686567165</v>
      </c>
    </row>
    <row r="443" spans="2:30" x14ac:dyDescent="0.3">
      <c r="B443" t="s">
        <v>832</v>
      </c>
      <c r="C443">
        <v>18</v>
      </c>
      <c r="D443" t="s">
        <v>45</v>
      </c>
      <c r="E443" s="81" t="s">
        <v>818</v>
      </c>
      <c r="F443" s="81" t="s">
        <v>13</v>
      </c>
      <c r="G443" s="81"/>
      <c r="H443" s="81">
        <v>38690</v>
      </c>
      <c r="I443" s="81"/>
      <c r="J443" s="81">
        <v>16000</v>
      </c>
      <c r="K443" s="81"/>
      <c r="L443" s="81">
        <v>5650</v>
      </c>
      <c r="M443" s="81"/>
      <c r="N443" s="81"/>
      <c r="O443" s="81"/>
      <c r="P443" s="81"/>
      <c r="Q443" s="81">
        <v>2745</v>
      </c>
      <c r="R443">
        <f t="shared" si="19"/>
        <v>200000</v>
      </c>
      <c r="S443">
        <v>8</v>
      </c>
      <c r="U443" s="81">
        <v>16000</v>
      </c>
      <c r="V443" s="81"/>
      <c r="W443" s="81">
        <v>5650</v>
      </c>
      <c r="X443" s="257">
        <f t="shared" si="17"/>
        <v>0.35312500000000002</v>
      </c>
      <c r="Y443">
        <v>17</v>
      </c>
      <c r="AC443">
        <v>0.40588235294117647</v>
      </c>
      <c r="AD443">
        <v>0.40588235294117647</v>
      </c>
    </row>
    <row r="444" spans="2:30" x14ac:dyDescent="0.3">
      <c r="B444" t="s">
        <v>832</v>
      </c>
      <c r="C444">
        <v>19</v>
      </c>
      <c r="D444" t="s">
        <v>813</v>
      </c>
      <c r="E444" s="80" t="s">
        <v>825</v>
      </c>
      <c r="F444" s="80" t="s">
        <v>11</v>
      </c>
      <c r="G444" s="80"/>
      <c r="H444" s="80">
        <v>29990</v>
      </c>
      <c r="I444" s="80">
        <v>10500</v>
      </c>
      <c r="J444" s="80">
        <v>10500</v>
      </c>
      <c r="K444" s="80"/>
      <c r="L444" s="80">
        <v>1150</v>
      </c>
      <c r="M444" s="80"/>
      <c r="N444" s="80"/>
      <c r="O444" s="80"/>
      <c r="P444" s="80"/>
      <c r="Q444" s="80">
        <v>2424</v>
      </c>
      <c r="R444">
        <f t="shared" ref="R444:R449" si="20">80000+48000</f>
        <v>128000</v>
      </c>
      <c r="S444">
        <v>8</v>
      </c>
      <c r="U444" s="80">
        <v>10500</v>
      </c>
      <c r="V444" s="80"/>
      <c r="W444" s="80">
        <v>1150</v>
      </c>
      <c r="X444" s="257">
        <f t="shared" si="17"/>
        <v>0.10952380952380952</v>
      </c>
      <c r="Y444">
        <v>18</v>
      </c>
      <c r="AC444">
        <v>0.35312500000000002</v>
      </c>
      <c r="AD444">
        <v>0.35312500000000002</v>
      </c>
    </row>
    <row r="445" spans="2:30" x14ac:dyDescent="0.3">
      <c r="B445" t="s">
        <v>832</v>
      </c>
      <c r="C445">
        <v>20</v>
      </c>
      <c r="D445" t="s">
        <v>45</v>
      </c>
      <c r="E445" t="s">
        <v>826</v>
      </c>
      <c r="F445" t="s">
        <v>11</v>
      </c>
      <c r="H445">
        <v>11350</v>
      </c>
      <c r="I445">
        <v>6200</v>
      </c>
      <c r="J445">
        <v>6200</v>
      </c>
      <c r="L445">
        <v>1800</v>
      </c>
      <c r="Q445">
        <v>1164</v>
      </c>
      <c r="R445">
        <f t="shared" si="20"/>
        <v>128000</v>
      </c>
      <c r="S445">
        <v>8</v>
      </c>
      <c r="U445">
        <v>6200</v>
      </c>
      <c r="W445">
        <v>1800</v>
      </c>
      <c r="X445" s="257">
        <f t="shared" si="17"/>
        <v>0.29032258064516131</v>
      </c>
      <c r="Y445">
        <v>19</v>
      </c>
      <c r="Z445">
        <v>0.10952380952380952</v>
      </c>
      <c r="AD445">
        <v>0.10952380952380952</v>
      </c>
    </row>
    <row r="446" spans="2:30" x14ac:dyDescent="0.3">
      <c r="B446" t="s">
        <v>832</v>
      </c>
      <c r="C446">
        <v>21</v>
      </c>
      <c r="D446" t="s">
        <v>813</v>
      </c>
      <c r="E446" t="s">
        <v>827</v>
      </c>
      <c r="F446" t="s">
        <v>12</v>
      </c>
      <c r="H446">
        <v>20990</v>
      </c>
      <c r="I446">
        <v>9000</v>
      </c>
      <c r="J446">
        <v>9000</v>
      </c>
      <c r="L446">
        <v>1600</v>
      </c>
      <c r="Q446">
        <v>1932.0000000000002</v>
      </c>
      <c r="R446">
        <f t="shared" si="20"/>
        <v>128000</v>
      </c>
      <c r="S446">
        <v>8</v>
      </c>
      <c r="U446">
        <v>9000</v>
      </c>
      <c r="W446">
        <v>1600</v>
      </c>
      <c r="X446" s="257">
        <f t="shared" si="17"/>
        <v>0.17777777777777778</v>
      </c>
      <c r="Y446">
        <v>20</v>
      </c>
      <c r="Z446">
        <v>0.29032258064516131</v>
      </c>
      <c r="AD446">
        <v>0.29032258064516131</v>
      </c>
    </row>
    <row r="447" spans="2:30" x14ac:dyDescent="0.3">
      <c r="B447" t="s">
        <v>832</v>
      </c>
      <c r="C447">
        <v>22</v>
      </c>
      <c r="D447" t="s">
        <v>45</v>
      </c>
      <c r="E447" t="s">
        <v>830</v>
      </c>
      <c r="F447" t="s">
        <v>12</v>
      </c>
      <c r="H447">
        <v>18290</v>
      </c>
      <c r="I447">
        <v>11000</v>
      </c>
      <c r="J447">
        <v>11000</v>
      </c>
      <c r="L447">
        <v>4050</v>
      </c>
      <c r="Q447">
        <v>1848</v>
      </c>
      <c r="R447">
        <f t="shared" si="20"/>
        <v>128000</v>
      </c>
      <c r="S447">
        <v>8</v>
      </c>
      <c r="U447">
        <v>11000</v>
      </c>
      <c r="W447">
        <v>4050</v>
      </c>
      <c r="X447" s="257">
        <f t="shared" si="17"/>
        <v>0.36818181818181817</v>
      </c>
      <c r="Y447">
        <v>21</v>
      </c>
      <c r="AA447">
        <v>0.17777777777777778</v>
      </c>
      <c r="AD447">
        <v>0.17777777777777778</v>
      </c>
    </row>
    <row r="448" spans="2:30" x14ac:dyDescent="0.3">
      <c r="B448" t="s">
        <v>832</v>
      </c>
      <c r="C448">
        <v>23</v>
      </c>
      <c r="D448" t="s">
        <v>813</v>
      </c>
      <c r="E448" t="s">
        <v>828</v>
      </c>
      <c r="F448" t="s">
        <v>4</v>
      </c>
      <c r="H448">
        <v>32590</v>
      </c>
      <c r="I448">
        <v>15400</v>
      </c>
      <c r="J448">
        <v>15400</v>
      </c>
      <c r="L448">
        <v>2200</v>
      </c>
      <c r="Q448">
        <v>3432</v>
      </c>
      <c r="R448">
        <f t="shared" si="20"/>
        <v>128000</v>
      </c>
      <c r="S448">
        <v>8</v>
      </c>
      <c r="U448">
        <v>15400</v>
      </c>
      <c r="W448">
        <v>2200</v>
      </c>
      <c r="X448" s="257">
        <f t="shared" si="17"/>
        <v>0.14285714285714285</v>
      </c>
      <c r="Y448">
        <v>22</v>
      </c>
      <c r="AA448">
        <v>0.36818181818181817</v>
      </c>
      <c r="AD448">
        <v>0.36818181818181817</v>
      </c>
    </row>
    <row r="449" spans="2:30" x14ac:dyDescent="0.3">
      <c r="B449" t="s">
        <v>832</v>
      </c>
      <c r="C449">
        <v>24</v>
      </c>
      <c r="D449" t="s">
        <v>45</v>
      </c>
      <c r="E449" s="81" t="s">
        <v>829</v>
      </c>
      <c r="F449" s="81" t="s">
        <v>4</v>
      </c>
      <c r="G449" s="81"/>
      <c r="H449" s="81">
        <v>22636</v>
      </c>
      <c r="I449" s="81">
        <v>12400</v>
      </c>
      <c r="J449" s="81">
        <v>12400</v>
      </c>
      <c r="K449" s="81"/>
      <c r="L449" s="81">
        <v>5350</v>
      </c>
      <c r="M449" s="81"/>
      <c r="N449" s="81"/>
      <c r="O449" s="81"/>
      <c r="P449" s="81"/>
      <c r="Q449" s="81">
        <v>1896</v>
      </c>
      <c r="R449">
        <f t="shared" si="20"/>
        <v>128000</v>
      </c>
      <c r="S449">
        <v>8</v>
      </c>
      <c r="U449" s="81">
        <v>12400</v>
      </c>
      <c r="V449" s="81"/>
      <c r="W449" s="81">
        <v>5350</v>
      </c>
      <c r="X449" s="257">
        <f t="shared" si="17"/>
        <v>0.43145161290322581</v>
      </c>
      <c r="Y449">
        <v>23</v>
      </c>
      <c r="AB449">
        <v>0.14285714285714285</v>
      </c>
      <c r="AD449">
        <v>0.14285714285714285</v>
      </c>
    </row>
    <row r="450" spans="2:30" x14ac:dyDescent="0.3">
      <c r="B450" t="s">
        <v>843</v>
      </c>
      <c r="C450">
        <v>25</v>
      </c>
      <c r="D450" t="s">
        <v>806</v>
      </c>
      <c r="E450" s="80" t="s">
        <v>381</v>
      </c>
      <c r="F450" s="80" t="s">
        <v>4</v>
      </c>
      <c r="S450">
        <v>4</v>
      </c>
      <c r="U450" s="80">
        <v>39900</v>
      </c>
      <c r="V450">
        <f t="shared" ref="V450:V455" si="21">140000/4</f>
        <v>35000</v>
      </c>
      <c r="W450" s="80">
        <v>12700</v>
      </c>
      <c r="X450" s="257">
        <f t="shared" si="17"/>
        <v>0.31829573934837091</v>
      </c>
      <c r="Y450">
        <v>24</v>
      </c>
      <c r="AB450">
        <v>0.43145161290322581</v>
      </c>
      <c r="AD450">
        <v>0.43145161290322581</v>
      </c>
    </row>
    <row r="451" spans="2:30" x14ac:dyDescent="0.3">
      <c r="B451" t="s">
        <v>843</v>
      </c>
      <c r="C451">
        <v>26</v>
      </c>
      <c r="D451" t="s">
        <v>45</v>
      </c>
      <c r="E451" t="s">
        <v>814</v>
      </c>
      <c r="F451" t="s">
        <v>4</v>
      </c>
      <c r="S451">
        <v>4</v>
      </c>
      <c r="U451">
        <v>25595</v>
      </c>
      <c r="V451">
        <f t="shared" si="21"/>
        <v>35000</v>
      </c>
      <c r="W451">
        <v>12300</v>
      </c>
      <c r="X451" s="257">
        <f t="shared" si="17"/>
        <v>0.48056260988474314</v>
      </c>
      <c r="Y451">
        <v>25</v>
      </c>
      <c r="AB451">
        <v>0.31829573934837091</v>
      </c>
      <c r="AD451">
        <v>0.31829573934837091</v>
      </c>
    </row>
    <row r="452" spans="2:30" x14ac:dyDescent="0.3">
      <c r="B452" t="s">
        <v>843</v>
      </c>
      <c r="C452">
        <v>27</v>
      </c>
      <c r="D452" t="s">
        <v>806</v>
      </c>
      <c r="E452" t="s">
        <v>815</v>
      </c>
      <c r="F452" t="s">
        <v>4</v>
      </c>
      <c r="S452">
        <v>4</v>
      </c>
      <c r="U452">
        <v>39645</v>
      </c>
      <c r="V452">
        <f t="shared" si="21"/>
        <v>35000</v>
      </c>
      <c r="W452">
        <v>15200</v>
      </c>
      <c r="X452" s="257">
        <f t="shared" si="17"/>
        <v>0.38340269895320972</v>
      </c>
      <c r="Y452">
        <v>26</v>
      </c>
      <c r="AB452">
        <v>0.48056260988474314</v>
      </c>
      <c r="AD452">
        <v>0.48056260988474314</v>
      </c>
    </row>
    <row r="453" spans="2:30" x14ac:dyDescent="0.3">
      <c r="B453" t="s">
        <v>843</v>
      </c>
      <c r="C453">
        <v>28</v>
      </c>
      <c r="D453" t="s">
        <v>45</v>
      </c>
      <c r="E453" t="s">
        <v>816</v>
      </c>
      <c r="F453" t="s">
        <v>4</v>
      </c>
      <c r="S453">
        <v>4</v>
      </c>
      <c r="U453">
        <v>30850</v>
      </c>
      <c r="V453">
        <f t="shared" si="21"/>
        <v>35000</v>
      </c>
      <c r="W453">
        <v>13400</v>
      </c>
      <c r="X453" s="257">
        <f t="shared" si="17"/>
        <v>0.43435980551053482</v>
      </c>
      <c r="Y453">
        <v>27</v>
      </c>
      <c r="AB453">
        <v>0.38340269895320972</v>
      </c>
      <c r="AD453">
        <v>0.38340269895320972</v>
      </c>
    </row>
    <row r="454" spans="2:30" x14ac:dyDescent="0.3">
      <c r="B454" t="s">
        <v>843</v>
      </c>
      <c r="C454">
        <v>29</v>
      </c>
      <c r="D454" t="s">
        <v>806</v>
      </c>
      <c r="E454" t="s">
        <v>817</v>
      </c>
      <c r="F454" t="s">
        <v>13</v>
      </c>
      <c r="S454">
        <v>4</v>
      </c>
      <c r="U454">
        <v>48990</v>
      </c>
      <c r="V454">
        <f t="shared" si="21"/>
        <v>35000</v>
      </c>
      <c r="W454">
        <v>17000</v>
      </c>
      <c r="X454" s="257">
        <f t="shared" si="17"/>
        <v>0.34700959379465196</v>
      </c>
      <c r="Y454">
        <v>28</v>
      </c>
      <c r="AB454">
        <v>0.43435980551053482</v>
      </c>
      <c r="AD454">
        <v>0.43435980551053482</v>
      </c>
    </row>
    <row r="455" spans="2:30" x14ac:dyDescent="0.3">
      <c r="B455" t="s">
        <v>843</v>
      </c>
      <c r="C455">
        <v>30</v>
      </c>
      <c r="D455" t="s">
        <v>45</v>
      </c>
      <c r="E455" s="81" t="s">
        <v>818</v>
      </c>
      <c r="F455" s="81" t="s">
        <v>13</v>
      </c>
      <c r="S455">
        <v>4</v>
      </c>
      <c r="U455" s="81">
        <v>38690</v>
      </c>
      <c r="V455">
        <f t="shared" si="21"/>
        <v>35000</v>
      </c>
      <c r="W455" s="81">
        <v>16000</v>
      </c>
      <c r="X455" s="257">
        <f t="shared" si="17"/>
        <v>0.41354355130524684</v>
      </c>
      <c r="Y455">
        <v>29</v>
      </c>
      <c r="AC455">
        <v>0.34700959379465196</v>
      </c>
      <c r="AD455">
        <v>0.34700959379465196</v>
      </c>
    </row>
    <row r="456" spans="2:30" x14ac:dyDescent="0.3">
      <c r="B456" t="s">
        <v>843</v>
      </c>
      <c r="C456">
        <v>31</v>
      </c>
      <c r="D456" t="s">
        <v>813</v>
      </c>
      <c r="E456" s="80" t="s">
        <v>825</v>
      </c>
      <c r="F456" s="80" t="s">
        <v>11</v>
      </c>
      <c r="S456">
        <v>4</v>
      </c>
      <c r="U456" s="80">
        <v>29990</v>
      </c>
      <c r="V456">
        <f t="shared" ref="V456:V461" si="22">80000/4</f>
        <v>20000</v>
      </c>
      <c r="W456" s="80">
        <v>10500</v>
      </c>
      <c r="X456" s="257">
        <f t="shared" si="17"/>
        <v>0.35011670556852287</v>
      </c>
      <c r="Y456">
        <v>30</v>
      </c>
      <c r="AC456">
        <v>0.41354355130524684</v>
      </c>
      <c r="AD456">
        <v>0.41354355130524684</v>
      </c>
    </row>
    <row r="457" spans="2:30" x14ac:dyDescent="0.3">
      <c r="B457" t="s">
        <v>843</v>
      </c>
      <c r="C457">
        <v>32</v>
      </c>
      <c r="D457" t="s">
        <v>45</v>
      </c>
      <c r="E457" t="s">
        <v>826</v>
      </c>
      <c r="F457" t="s">
        <v>11</v>
      </c>
      <c r="S457">
        <v>4</v>
      </c>
      <c r="U457">
        <v>11350</v>
      </c>
      <c r="V457">
        <f t="shared" si="22"/>
        <v>20000</v>
      </c>
      <c r="W457">
        <v>6200</v>
      </c>
      <c r="X457" s="257">
        <f t="shared" si="17"/>
        <v>0.54625550660792954</v>
      </c>
      <c r="Y457">
        <v>31</v>
      </c>
      <c r="Z457">
        <v>0.35011670556852287</v>
      </c>
      <c r="AD457">
        <v>0.35011670556852287</v>
      </c>
    </row>
    <row r="458" spans="2:30" x14ac:dyDescent="0.3">
      <c r="B458" t="s">
        <v>843</v>
      </c>
      <c r="C458">
        <v>33</v>
      </c>
      <c r="D458" t="s">
        <v>813</v>
      </c>
      <c r="E458" t="s">
        <v>827</v>
      </c>
      <c r="F458" t="s">
        <v>12</v>
      </c>
      <c r="S458">
        <v>4</v>
      </c>
      <c r="U458">
        <v>20990</v>
      </c>
      <c r="V458">
        <f t="shared" si="22"/>
        <v>20000</v>
      </c>
      <c r="W458">
        <v>9000</v>
      </c>
      <c r="X458" s="257">
        <f t="shared" si="17"/>
        <v>0.42877560743211052</v>
      </c>
      <c r="Y458">
        <v>32</v>
      </c>
      <c r="Z458">
        <v>0.54625550660792954</v>
      </c>
      <c r="AD458">
        <v>0.54625550660792954</v>
      </c>
    </row>
    <row r="459" spans="2:30" x14ac:dyDescent="0.3">
      <c r="B459" t="s">
        <v>843</v>
      </c>
      <c r="C459">
        <v>34</v>
      </c>
      <c r="D459" t="s">
        <v>45</v>
      </c>
      <c r="E459" t="s">
        <v>830</v>
      </c>
      <c r="F459" t="s">
        <v>12</v>
      </c>
      <c r="S459">
        <v>4</v>
      </c>
      <c r="U459">
        <v>18290</v>
      </c>
      <c r="V459">
        <f t="shared" si="22"/>
        <v>20000</v>
      </c>
      <c r="W459">
        <v>11000</v>
      </c>
      <c r="X459" s="257">
        <f t="shared" si="17"/>
        <v>0.6014215418261345</v>
      </c>
      <c r="Y459">
        <v>33</v>
      </c>
      <c r="AA459">
        <v>0.42877560743211052</v>
      </c>
      <c r="AD459">
        <v>0.42877560743211052</v>
      </c>
    </row>
    <row r="460" spans="2:30" x14ac:dyDescent="0.3">
      <c r="B460" t="s">
        <v>843</v>
      </c>
      <c r="C460">
        <v>35</v>
      </c>
      <c r="D460" t="s">
        <v>813</v>
      </c>
      <c r="E460" t="s">
        <v>828</v>
      </c>
      <c r="F460" t="s">
        <v>4</v>
      </c>
      <c r="S460">
        <v>4</v>
      </c>
      <c r="U460">
        <v>32590</v>
      </c>
      <c r="V460">
        <f t="shared" si="22"/>
        <v>20000</v>
      </c>
      <c r="W460">
        <v>15400</v>
      </c>
      <c r="X460" s="257">
        <f t="shared" si="17"/>
        <v>0.47253758821724456</v>
      </c>
      <c r="Y460">
        <v>34</v>
      </c>
      <c r="AA460">
        <v>0.6014215418261345</v>
      </c>
      <c r="AD460">
        <v>0.6014215418261345</v>
      </c>
    </row>
    <row r="461" spans="2:30" x14ac:dyDescent="0.3">
      <c r="B461" t="s">
        <v>843</v>
      </c>
      <c r="C461">
        <v>36</v>
      </c>
      <c r="D461" t="s">
        <v>45</v>
      </c>
      <c r="E461" s="81" t="s">
        <v>829</v>
      </c>
      <c r="F461" s="81" t="s">
        <v>4</v>
      </c>
      <c r="S461">
        <v>4</v>
      </c>
      <c r="U461" s="81">
        <v>22636</v>
      </c>
      <c r="V461">
        <f t="shared" si="22"/>
        <v>20000</v>
      </c>
      <c r="W461" s="81">
        <v>12400</v>
      </c>
      <c r="X461" s="257">
        <f t="shared" si="17"/>
        <v>0.5477999646580668</v>
      </c>
      <c r="Y461">
        <v>35</v>
      </c>
      <c r="AB461">
        <v>0.47253758821724456</v>
      </c>
      <c r="AD461">
        <v>0.47253758821724456</v>
      </c>
    </row>
    <row r="462" spans="2:30" x14ac:dyDescent="0.3">
      <c r="Y462">
        <v>36</v>
      </c>
      <c r="AB462">
        <v>0.5477999646580668</v>
      </c>
      <c r="AD462">
        <v>0.5477999646580668</v>
      </c>
    </row>
    <row r="463" spans="2:30" x14ac:dyDescent="0.3">
      <c r="Y463" t="s">
        <v>846</v>
      </c>
      <c r="Z463">
        <v>2.1114450677961036</v>
      </c>
      <c r="AA463">
        <v>2.5104835551463887</v>
      </c>
      <c r="AB463">
        <v>6.7259537316456983</v>
      </c>
      <c r="AC463">
        <v>2.4677673253419226</v>
      </c>
      <c r="AD463">
        <v>13.815649679930113</v>
      </c>
    </row>
  </sheetData>
  <sortState xmlns:xlrd2="http://schemas.microsoft.com/office/spreadsheetml/2017/richdata2" columnSort="1" ref="EV46:FJ52">
    <sortCondition ref="DN47:EB47"/>
  </sortState>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B2:CB210"/>
  <sheetViews>
    <sheetView workbookViewId="0">
      <selection activeCell="I13" sqref="I13"/>
    </sheetView>
  </sheetViews>
  <sheetFormatPr defaultRowHeight="15" x14ac:dyDescent="0.3"/>
  <cols>
    <col min="2" max="2" width="11.42578125" customWidth="1"/>
    <col min="3" max="3" width="34" bestFit="1" customWidth="1"/>
    <col min="4" max="4" width="11.42578125" customWidth="1"/>
    <col min="5" max="5" width="38.85546875" bestFit="1" customWidth="1"/>
    <col min="6" max="16" width="11.42578125" customWidth="1"/>
    <col min="33" max="33" width="26.85546875" bestFit="1" customWidth="1"/>
    <col min="59" max="59" width="10" bestFit="1" customWidth="1"/>
    <col min="65" max="65" width="11" bestFit="1" customWidth="1"/>
  </cols>
  <sheetData>
    <row r="2" spans="2:50" x14ac:dyDescent="0.3">
      <c r="B2" s="49" t="s">
        <v>962</v>
      </c>
      <c r="AG2" s="49" t="s">
        <v>992</v>
      </c>
    </row>
    <row r="4" spans="2:50" x14ac:dyDescent="0.3">
      <c r="B4" t="s">
        <v>60</v>
      </c>
      <c r="C4" t="s">
        <v>960</v>
      </c>
      <c r="D4" t="s">
        <v>39</v>
      </c>
      <c r="E4" t="s">
        <v>450</v>
      </c>
      <c r="F4" t="s">
        <v>451</v>
      </c>
      <c r="G4" t="s">
        <v>953</v>
      </c>
      <c r="H4" t="s">
        <v>954</v>
      </c>
      <c r="I4" t="s">
        <v>89</v>
      </c>
      <c r="J4" t="s">
        <v>955</v>
      </c>
      <c r="K4" t="s">
        <v>956</v>
      </c>
      <c r="L4" t="s">
        <v>245</v>
      </c>
      <c r="M4" t="s">
        <v>957</v>
      </c>
      <c r="N4" t="s">
        <v>958</v>
      </c>
      <c r="O4" t="s">
        <v>959</v>
      </c>
      <c r="P4" t="s">
        <v>206</v>
      </c>
      <c r="AG4" t="s">
        <v>964</v>
      </c>
      <c r="AH4" t="s">
        <v>965</v>
      </c>
      <c r="AI4" t="s">
        <v>966</v>
      </c>
      <c r="AJ4" t="s">
        <v>967</v>
      </c>
      <c r="AK4" t="s">
        <v>968</v>
      </c>
      <c r="AL4" t="s">
        <v>969</v>
      </c>
      <c r="AM4" t="s">
        <v>970</v>
      </c>
      <c r="AN4" t="s">
        <v>971</v>
      </c>
      <c r="AO4" t="s">
        <v>972</v>
      </c>
      <c r="AP4" t="s">
        <v>973</v>
      </c>
      <c r="AQ4" t="s">
        <v>983</v>
      </c>
      <c r="AR4" t="s">
        <v>166</v>
      </c>
      <c r="AS4" t="s">
        <v>988</v>
      </c>
      <c r="AT4" t="s">
        <v>1176</v>
      </c>
    </row>
    <row r="5" spans="2:50" x14ac:dyDescent="0.3">
      <c r="B5" t="s">
        <v>11</v>
      </c>
      <c r="C5" t="s">
        <v>961</v>
      </c>
      <c r="D5" t="s">
        <v>45</v>
      </c>
      <c r="E5" t="s">
        <v>69</v>
      </c>
      <c r="F5" t="s">
        <v>70</v>
      </c>
      <c r="G5" s="39">
        <v>11942.14876033058</v>
      </c>
      <c r="H5">
        <v>50</v>
      </c>
      <c r="I5">
        <v>14.6</v>
      </c>
      <c r="J5">
        <v>196</v>
      </c>
      <c r="K5">
        <v>998</v>
      </c>
      <c r="M5">
        <v>35</v>
      </c>
      <c r="N5">
        <v>5.5</v>
      </c>
      <c r="P5" s="40">
        <f t="shared" ref="P5:P36" si="0">IFERROR(M5/N5*100,0)+IFERROR(L5/O5*100,0)</f>
        <v>636.36363636363637</v>
      </c>
      <c r="AG5" t="s">
        <v>963</v>
      </c>
      <c r="AH5">
        <v>929</v>
      </c>
      <c r="AI5">
        <v>91</v>
      </c>
      <c r="AJ5">
        <v>8845</v>
      </c>
      <c r="AK5">
        <v>1274</v>
      </c>
      <c r="AL5">
        <v>322</v>
      </c>
      <c r="AM5">
        <v>321</v>
      </c>
      <c r="AN5">
        <v>3.9</v>
      </c>
      <c r="AO5">
        <v>3374</v>
      </c>
      <c r="AP5">
        <v>0.06</v>
      </c>
      <c r="AT5" s="47">
        <f>1-AO5/AJ5</f>
        <v>0.61854154889768231</v>
      </c>
      <c r="AW5" s="175">
        <f>+AI5/input_data!$H$347*100</f>
        <v>4.2771516125624913</v>
      </c>
      <c r="AX5" s="47">
        <f>+AW5/AN5-1</f>
        <v>9.6705541682690077E-2</v>
      </c>
    </row>
    <row r="6" spans="2:50" x14ac:dyDescent="0.3">
      <c r="B6" t="s">
        <v>11</v>
      </c>
      <c r="C6" t="s">
        <v>961</v>
      </c>
      <c r="D6" t="s">
        <v>45</v>
      </c>
      <c r="E6" t="s">
        <v>71</v>
      </c>
      <c r="F6" t="s">
        <v>72</v>
      </c>
      <c r="G6" s="39">
        <v>11479.338842975207</v>
      </c>
      <c r="H6">
        <v>51</v>
      </c>
      <c r="I6">
        <v>12.9</v>
      </c>
      <c r="J6">
        <v>185</v>
      </c>
      <c r="K6">
        <v>1242</v>
      </c>
      <c r="M6">
        <v>35</v>
      </c>
      <c r="N6">
        <v>5.5</v>
      </c>
      <c r="P6" s="40">
        <f t="shared" si="0"/>
        <v>636.36363636363637</v>
      </c>
      <c r="AG6" t="s">
        <v>974</v>
      </c>
      <c r="AH6">
        <v>1008</v>
      </c>
      <c r="AI6">
        <v>102</v>
      </c>
      <c r="AJ6">
        <v>11504</v>
      </c>
      <c r="AK6">
        <v>2073</v>
      </c>
      <c r="AL6">
        <v>418</v>
      </c>
      <c r="AM6">
        <v>406</v>
      </c>
      <c r="AN6">
        <v>4.5</v>
      </c>
      <c r="AO6">
        <v>4388</v>
      </c>
      <c r="AP6">
        <v>0.06</v>
      </c>
      <c r="AT6" s="47">
        <f t="shared" ref="AT6:AT21" si="1">1-AO6/AJ6</f>
        <v>0.61856745479833108</v>
      </c>
      <c r="AW6" s="175">
        <f>+AI6/input_data!$H$347*100</f>
        <v>4.7941699393557595</v>
      </c>
      <c r="AX6" s="47">
        <f>+AW6/AN6-1</f>
        <v>6.5371097634613129E-2</v>
      </c>
    </row>
    <row r="7" spans="2:50" x14ac:dyDescent="0.3">
      <c r="B7" t="s">
        <v>11</v>
      </c>
      <c r="C7" t="s">
        <v>961</v>
      </c>
      <c r="D7" t="s">
        <v>45</v>
      </c>
      <c r="E7" t="s">
        <v>73</v>
      </c>
      <c r="F7" t="s">
        <v>74</v>
      </c>
      <c r="G7" s="39">
        <v>10371.07438016529</v>
      </c>
      <c r="H7">
        <v>49</v>
      </c>
      <c r="I7">
        <v>15.1</v>
      </c>
      <c r="J7">
        <v>252</v>
      </c>
      <c r="K7">
        <v>998</v>
      </c>
      <c r="M7">
        <v>40</v>
      </c>
      <c r="N7">
        <v>5.6</v>
      </c>
      <c r="P7" s="40">
        <f t="shared" si="0"/>
        <v>714.28571428571433</v>
      </c>
      <c r="AG7" t="s">
        <v>975</v>
      </c>
      <c r="AH7">
        <v>1226</v>
      </c>
      <c r="AI7">
        <v>117</v>
      </c>
      <c r="AJ7">
        <v>15606</v>
      </c>
      <c r="AK7">
        <v>3334</v>
      </c>
      <c r="AL7">
        <v>558</v>
      </c>
      <c r="AM7">
        <v>595</v>
      </c>
      <c r="AN7">
        <v>5</v>
      </c>
      <c r="AO7">
        <v>5952</v>
      </c>
      <c r="AP7">
        <v>7.0000000000000007E-2</v>
      </c>
      <c r="AT7" s="47">
        <f t="shared" si="1"/>
        <v>0.61860822760476741</v>
      </c>
      <c r="AW7" s="175">
        <f>+AI7/input_data!$H$347*100</f>
        <v>5.4991949304374881</v>
      </c>
      <c r="AX7" s="47">
        <f>+AW7/AN7-1</f>
        <v>9.9838986087497528E-2</v>
      </c>
    </row>
    <row r="8" spans="2:50" x14ac:dyDescent="0.3">
      <c r="B8" t="s">
        <v>11</v>
      </c>
      <c r="C8" t="s">
        <v>961</v>
      </c>
      <c r="D8" t="s">
        <v>45</v>
      </c>
      <c r="E8" t="s">
        <v>75</v>
      </c>
      <c r="F8" t="s">
        <v>76</v>
      </c>
      <c r="G8" s="39">
        <v>9380.1652892561979</v>
      </c>
      <c r="H8">
        <v>55</v>
      </c>
      <c r="I8">
        <v>13.9</v>
      </c>
      <c r="J8">
        <v>195</v>
      </c>
      <c r="K8">
        <v>999</v>
      </c>
      <c r="M8">
        <v>32</v>
      </c>
      <c r="N8">
        <v>5.3</v>
      </c>
      <c r="P8" s="40">
        <f t="shared" si="0"/>
        <v>603.77358490566041</v>
      </c>
      <c r="AG8" t="s">
        <v>976</v>
      </c>
      <c r="AH8">
        <v>1436</v>
      </c>
      <c r="AI8">
        <v>123</v>
      </c>
      <c r="AJ8">
        <v>23517</v>
      </c>
      <c r="AK8">
        <v>4033</v>
      </c>
      <c r="AL8">
        <v>761</v>
      </c>
      <c r="AM8">
        <v>779</v>
      </c>
      <c r="AN8">
        <v>5.3</v>
      </c>
      <c r="AO8">
        <v>8970</v>
      </c>
      <c r="AP8">
        <v>7.0000000000000007E-2</v>
      </c>
      <c r="AT8" s="47">
        <f t="shared" si="1"/>
        <v>0.61857379767827525</v>
      </c>
      <c r="AW8" s="175">
        <f>+AI8/input_data!$H$347*100</f>
        <v>5.7812049268701804</v>
      </c>
      <c r="AX8" s="47">
        <f>+AW8/AN8-1</f>
        <v>9.0793382428336011E-2</v>
      </c>
    </row>
    <row r="9" spans="2:50" x14ac:dyDescent="0.3">
      <c r="B9" t="s">
        <v>11</v>
      </c>
      <c r="C9" t="s">
        <v>961</v>
      </c>
      <c r="D9" t="s">
        <v>45</v>
      </c>
      <c r="E9" t="s">
        <v>77</v>
      </c>
      <c r="F9" t="s">
        <v>78</v>
      </c>
      <c r="G9" s="39">
        <v>10161.157024793389</v>
      </c>
      <c r="H9">
        <v>51</v>
      </c>
      <c r="I9">
        <v>13</v>
      </c>
      <c r="J9">
        <v>196</v>
      </c>
      <c r="K9">
        <v>998</v>
      </c>
      <c r="M9">
        <v>35</v>
      </c>
      <c r="N9">
        <v>4.9000000000000004</v>
      </c>
      <c r="P9" s="40">
        <f t="shared" si="0"/>
        <v>714.28571428571422</v>
      </c>
      <c r="AG9" t="s">
        <v>977</v>
      </c>
      <c r="AH9">
        <v>1554</v>
      </c>
      <c r="AI9">
        <v>142</v>
      </c>
      <c r="AJ9">
        <v>34466</v>
      </c>
      <c r="AK9">
        <v>6127</v>
      </c>
      <c r="AL9">
        <v>1050</v>
      </c>
      <c r="AM9">
        <v>876</v>
      </c>
      <c r="AN9">
        <v>6.1</v>
      </c>
      <c r="AO9">
        <v>13146</v>
      </c>
      <c r="AP9">
        <v>0.09</v>
      </c>
      <c r="AT9" s="47">
        <f t="shared" si="1"/>
        <v>0.61858063018627052</v>
      </c>
      <c r="AW9" s="175">
        <f>+AI9/input_data!$H$347*100</f>
        <v>6.6742365822403711</v>
      </c>
      <c r="AX9" s="47">
        <f>+AW9/AN9-1</f>
        <v>9.4137144629569125E-2</v>
      </c>
    </row>
    <row r="10" spans="2:50" x14ac:dyDescent="0.3">
      <c r="B10" t="s">
        <v>11</v>
      </c>
      <c r="C10" t="s">
        <v>961</v>
      </c>
      <c r="D10" t="s">
        <v>45</v>
      </c>
      <c r="E10" t="s">
        <v>79</v>
      </c>
      <c r="F10" t="s">
        <v>80</v>
      </c>
      <c r="G10" s="39">
        <v>8553.7190082644629</v>
      </c>
      <c r="H10">
        <v>52</v>
      </c>
      <c r="I10">
        <v>14.5</v>
      </c>
      <c r="J10">
        <v>219</v>
      </c>
      <c r="K10">
        <v>999</v>
      </c>
      <c r="M10">
        <v>35</v>
      </c>
      <c r="N10">
        <v>5.5</v>
      </c>
      <c r="P10" s="40">
        <f t="shared" si="0"/>
        <v>636.36363636363637</v>
      </c>
      <c r="AG10" t="s">
        <v>978</v>
      </c>
      <c r="AH10">
        <v>1101</v>
      </c>
      <c r="AJ10">
        <v>21436</v>
      </c>
      <c r="AL10">
        <v>610</v>
      </c>
      <c r="AO10">
        <v>6633</v>
      </c>
      <c r="AP10">
        <v>0.05</v>
      </c>
      <c r="AQ10">
        <v>142</v>
      </c>
      <c r="AR10" s="269">
        <f>+AQ10*AS10/100</f>
        <v>18.317999999999998</v>
      </c>
      <c r="AS10">
        <v>12.9</v>
      </c>
      <c r="AT10" s="47">
        <f t="shared" si="1"/>
        <v>0.69056727001306206</v>
      </c>
      <c r="AV10" s="175"/>
    </row>
    <row r="11" spans="2:50" x14ac:dyDescent="0.3">
      <c r="B11" t="s">
        <v>11</v>
      </c>
      <c r="C11" t="s">
        <v>961</v>
      </c>
      <c r="D11" t="s">
        <v>45</v>
      </c>
      <c r="E11" t="s">
        <v>81</v>
      </c>
      <c r="F11" t="s">
        <v>82</v>
      </c>
      <c r="G11" s="39">
        <v>11400</v>
      </c>
      <c r="H11">
        <v>62</v>
      </c>
      <c r="I11">
        <v>10.7</v>
      </c>
      <c r="J11">
        <v>220</v>
      </c>
      <c r="K11">
        <v>999</v>
      </c>
      <c r="M11">
        <v>33</v>
      </c>
      <c r="N11">
        <v>6.4</v>
      </c>
      <c r="P11" s="40">
        <f t="shared" si="0"/>
        <v>515.625</v>
      </c>
      <c r="AG11" t="s">
        <v>979</v>
      </c>
      <c r="AH11">
        <v>1332</v>
      </c>
      <c r="AJ11">
        <v>23343</v>
      </c>
      <c r="AL11">
        <v>690</v>
      </c>
      <c r="AO11">
        <v>7223</v>
      </c>
      <c r="AP11">
        <v>0.05</v>
      </c>
      <c r="AQ11">
        <v>200</v>
      </c>
      <c r="AR11" s="269">
        <f>+AQ11*AS11/100</f>
        <v>27.6</v>
      </c>
      <c r="AS11">
        <v>13.8</v>
      </c>
      <c r="AT11" s="47">
        <f t="shared" si="1"/>
        <v>0.69057104913678624</v>
      </c>
    </row>
    <row r="12" spans="2:50" x14ac:dyDescent="0.3">
      <c r="B12" t="s">
        <v>11</v>
      </c>
      <c r="C12" t="s">
        <v>961</v>
      </c>
      <c r="D12" t="s">
        <v>45</v>
      </c>
      <c r="E12" t="s">
        <v>83</v>
      </c>
      <c r="F12" t="s">
        <v>84</v>
      </c>
      <c r="G12" s="39">
        <v>9909.0909090909099</v>
      </c>
      <c r="H12">
        <v>51</v>
      </c>
      <c r="I12">
        <v>14.2</v>
      </c>
      <c r="J12">
        <v>168</v>
      </c>
      <c r="K12">
        <v>998</v>
      </c>
      <c r="M12">
        <v>35</v>
      </c>
      <c r="N12">
        <v>5.3</v>
      </c>
      <c r="P12" s="40">
        <f t="shared" si="0"/>
        <v>660.37735849056605</v>
      </c>
      <c r="AG12" t="s">
        <v>980</v>
      </c>
      <c r="AH12">
        <v>1438</v>
      </c>
      <c r="AJ12">
        <v>27067</v>
      </c>
      <c r="AL12">
        <v>798</v>
      </c>
      <c r="AO12">
        <v>8375</v>
      </c>
      <c r="AP12">
        <v>0.06</v>
      </c>
      <c r="AQ12">
        <v>176</v>
      </c>
      <c r="AR12" s="269">
        <f>+AQ12*AS12/100</f>
        <v>24.464000000000002</v>
      </c>
      <c r="AS12">
        <v>13.9</v>
      </c>
      <c r="AT12" s="47">
        <f t="shared" si="1"/>
        <v>0.69058262829275496</v>
      </c>
    </row>
    <row r="13" spans="2:50" x14ac:dyDescent="0.3">
      <c r="B13" t="s">
        <v>11</v>
      </c>
      <c r="C13" t="s">
        <v>961</v>
      </c>
      <c r="D13" t="s">
        <v>45</v>
      </c>
      <c r="E13" t="s">
        <v>85</v>
      </c>
      <c r="F13" t="s">
        <v>86</v>
      </c>
      <c r="G13" s="39">
        <v>11281.818181818182</v>
      </c>
      <c r="H13">
        <v>55</v>
      </c>
      <c r="I13">
        <v>13.2</v>
      </c>
      <c r="J13">
        <v>251</v>
      </c>
      <c r="K13">
        <v>999</v>
      </c>
      <c r="M13">
        <v>35</v>
      </c>
      <c r="N13">
        <v>6.1</v>
      </c>
      <c r="P13" s="40">
        <f t="shared" si="0"/>
        <v>573.77049180327879</v>
      </c>
      <c r="AG13" t="s">
        <v>981</v>
      </c>
      <c r="AH13">
        <v>1725</v>
      </c>
      <c r="AJ13">
        <v>32640</v>
      </c>
      <c r="AL13">
        <v>936</v>
      </c>
      <c r="AO13">
        <v>10099</v>
      </c>
      <c r="AP13">
        <v>0.06</v>
      </c>
      <c r="AQ13">
        <v>140</v>
      </c>
      <c r="AR13" s="269">
        <f>+AQ13*AS13/100</f>
        <v>23.24</v>
      </c>
      <c r="AS13">
        <v>16.600000000000001</v>
      </c>
      <c r="AT13" s="47">
        <f t="shared" si="1"/>
        <v>0.69059436274509811</v>
      </c>
    </row>
    <row r="14" spans="2:50" x14ac:dyDescent="0.3">
      <c r="B14" t="s">
        <v>12</v>
      </c>
      <c r="C14" t="s">
        <v>961</v>
      </c>
      <c r="D14" t="s">
        <v>45</v>
      </c>
      <c r="E14" t="s">
        <v>275</v>
      </c>
      <c r="F14" t="s">
        <v>277</v>
      </c>
      <c r="G14" s="39">
        <v>15082.644628099173</v>
      </c>
      <c r="H14">
        <v>70</v>
      </c>
      <c r="I14">
        <v>10.9</v>
      </c>
      <c r="J14">
        <v>270</v>
      </c>
      <c r="K14">
        <v>999</v>
      </c>
      <c r="M14">
        <v>45</v>
      </c>
      <c r="N14">
        <v>5.5</v>
      </c>
      <c r="P14" s="40">
        <f t="shared" si="0"/>
        <v>818.18181818181813</v>
      </c>
      <c r="AG14" t="s">
        <v>982</v>
      </c>
      <c r="AH14">
        <v>2050</v>
      </c>
      <c r="AJ14">
        <v>60992</v>
      </c>
      <c r="AL14">
        <v>1578</v>
      </c>
      <c r="AO14">
        <v>18872</v>
      </c>
      <c r="AP14">
        <v>0.08</v>
      </c>
      <c r="AQ14">
        <v>390</v>
      </c>
      <c r="AR14" s="269">
        <f>+AQ14*AS14/100</f>
        <v>70.2</v>
      </c>
      <c r="AS14">
        <v>18</v>
      </c>
      <c r="AT14" s="47">
        <f t="shared" si="1"/>
        <v>0.69058237145855195</v>
      </c>
    </row>
    <row r="15" spans="2:50" x14ac:dyDescent="0.3">
      <c r="B15" t="s">
        <v>12</v>
      </c>
      <c r="C15" t="s">
        <v>961</v>
      </c>
      <c r="D15" t="s">
        <v>45</v>
      </c>
      <c r="E15" t="s">
        <v>292</v>
      </c>
      <c r="F15" t="s">
        <v>293</v>
      </c>
      <c r="G15" s="39">
        <v>13549.586776859505</v>
      </c>
      <c r="H15">
        <v>60</v>
      </c>
      <c r="I15">
        <v>14.4</v>
      </c>
      <c r="J15">
        <v>300</v>
      </c>
      <c r="K15">
        <v>1199</v>
      </c>
      <c r="M15">
        <v>50</v>
      </c>
      <c r="N15">
        <v>5.5</v>
      </c>
      <c r="P15" s="40">
        <f t="shared" si="0"/>
        <v>909.09090909090912</v>
      </c>
      <c r="AG15" t="s">
        <v>984</v>
      </c>
      <c r="AH15">
        <v>1109</v>
      </c>
      <c r="AI15">
        <v>86</v>
      </c>
      <c r="AJ15">
        <v>14164</v>
      </c>
      <c r="AK15">
        <v>2350</v>
      </c>
      <c r="AL15">
        <v>482</v>
      </c>
      <c r="AM15">
        <v>976</v>
      </c>
      <c r="AN15">
        <v>3.3</v>
      </c>
      <c r="AO15">
        <v>5402</v>
      </c>
      <c r="AP15">
        <v>0.06</v>
      </c>
      <c r="AT15" s="47">
        <f t="shared" si="1"/>
        <v>0.61861056198813902</v>
      </c>
    </row>
    <row r="16" spans="2:50" x14ac:dyDescent="0.3">
      <c r="B16" t="s">
        <v>12</v>
      </c>
      <c r="C16" t="s">
        <v>961</v>
      </c>
      <c r="D16" t="s">
        <v>45</v>
      </c>
      <c r="E16" t="s">
        <v>295</v>
      </c>
      <c r="F16" t="s">
        <v>296</v>
      </c>
      <c r="G16" s="39">
        <v>7190.0826446280989</v>
      </c>
      <c r="H16">
        <v>54</v>
      </c>
      <c r="I16">
        <v>14.5</v>
      </c>
      <c r="J16">
        <v>320</v>
      </c>
      <c r="K16">
        <v>1149</v>
      </c>
      <c r="M16">
        <v>50</v>
      </c>
      <c r="N16">
        <v>7.5</v>
      </c>
      <c r="P16" s="40">
        <f t="shared" si="0"/>
        <v>666.66666666666674</v>
      </c>
      <c r="AG16" t="s">
        <v>985</v>
      </c>
      <c r="AH16">
        <v>1272</v>
      </c>
      <c r="AI16">
        <v>87</v>
      </c>
      <c r="AJ16">
        <v>19168</v>
      </c>
      <c r="AK16">
        <v>2526</v>
      </c>
      <c r="AL16">
        <v>614</v>
      </c>
      <c r="AM16">
        <v>1284</v>
      </c>
      <c r="AN16">
        <v>3.3</v>
      </c>
      <c r="AO16">
        <v>7311</v>
      </c>
      <c r="AP16">
        <v>7.0000000000000007E-2</v>
      </c>
      <c r="AT16" s="47">
        <f t="shared" si="1"/>
        <v>0.61858305509181966</v>
      </c>
    </row>
    <row r="17" spans="2:55" x14ac:dyDescent="0.3">
      <c r="B17" t="s">
        <v>12</v>
      </c>
      <c r="C17" t="s">
        <v>961</v>
      </c>
      <c r="D17" t="s">
        <v>45</v>
      </c>
      <c r="E17" t="s">
        <v>298</v>
      </c>
      <c r="F17" t="s">
        <v>299</v>
      </c>
      <c r="G17" s="39">
        <v>15041.322314049587</v>
      </c>
      <c r="H17">
        <v>74</v>
      </c>
      <c r="I17">
        <v>10.8</v>
      </c>
      <c r="J17">
        <v>290</v>
      </c>
      <c r="K17">
        <v>999</v>
      </c>
      <c r="M17">
        <v>42</v>
      </c>
      <c r="N17">
        <v>6.4</v>
      </c>
      <c r="P17" s="40">
        <f t="shared" si="0"/>
        <v>656.25</v>
      </c>
      <c r="AG17" t="s">
        <v>986</v>
      </c>
      <c r="AH17">
        <v>1466</v>
      </c>
      <c r="AI17">
        <v>101</v>
      </c>
      <c r="AJ17">
        <v>26123</v>
      </c>
      <c r="AK17">
        <v>4582</v>
      </c>
      <c r="AL17">
        <v>814</v>
      </c>
      <c r="AM17">
        <v>1530</v>
      </c>
      <c r="AN17">
        <v>3.8</v>
      </c>
      <c r="AO17">
        <v>9964</v>
      </c>
      <c r="AP17">
        <v>7.0000000000000007E-2</v>
      </c>
      <c r="AT17" s="47">
        <f t="shared" si="1"/>
        <v>0.61857367071163338</v>
      </c>
    </row>
    <row r="18" spans="2:55" x14ac:dyDescent="0.3">
      <c r="B18" t="s">
        <v>12</v>
      </c>
      <c r="C18" t="s">
        <v>961</v>
      </c>
      <c r="D18" t="s">
        <v>45</v>
      </c>
      <c r="E18" t="s">
        <v>301</v>
      </c>
      <c r="F18" t="s">
        <v>302</v>
      </c>
      <c r="G18" s="39">
        <v>14549.586776859505</v>
      </c>
      <c r="H18">
        <v>60</v>
      </c>
      <c r="I18">
        <v>14.5</v>
      </c>
      <c r="J18">
        <v>311</v>
      </c>
      <c r="K18">
        <v>1199</v>
      </c>
      <c r="M18">
        <v>50</v>
      </c>
      <c r="N18">
        <v>5.5</v>
      </c>
      <c r="P18" s="40">
        <f t="shared" si="0"/>
        <v>909.09090909090912</v>
      </c>
      <c r="AG18" t="s">
        <v>987</v>
      </c>
      <c r="AH18">
        <v>1675</v>
      </c>
      <c r="AI18">
        <v>110</v>
      </c>
      <c r="AJ18">
        <v>35176</v>
      </c>
      <c r="AK18">
        <v>6120</v>
      </c>
      <c r="AL18">
        <v>1058</v>
      </c>
      <c r="AM18">
        <v>1806</v>
      </c>
      <c r="AN18">
        <v>4.2</v>
      </c>
      <c r="AO18">
        <v>13416</v>
      </c>
      <c r="AP18">
        <v>0.09</v>
      </c>
      <c r="AT18" s="47">
        <f t="shared" si="1"/>
        <v>0.61860359335910853</v>
      </c>
    </row>
    <row r="19" spans="2:55" x14ac:dyDescent="0.3">
      <c r="B19" t="s">
        <v>12</v>
      </c>
      <c r="C19" t="s">
        <v>961</v>
      </c>
      <c r="D19" t="s">
        <v>45</v>
      </c>
      <c r="E19" t="s">
        <v>304</v>
      </c>
      <c r="F19" t="s">
        <v>305</v>
      </c>
      <c r="G19" s="39">
        <v>15454.545454545456</v>
      </c>
      <c r="H19">
        <v>87</v>
      </c>
      <c r="I19">
        <v>9.1999999999999993</v>
      </c>
      <c r="J19">
        <v>300</v>
      </c>
      <c r="K19">
        <v>1197</v>
      </c>
      <c r="M19">
        <v>45</v>
      </c>
      <c r="N19">
        <v>7</v>
      </c>
      <c r="P19" s="40">
        <f t="shared" si="0"/>
        <v>642.85714285714289</v>
      </c>
      <c r="AG19" t="s">
        <v>989</v>
      </c>
      <c r="AH19">
        <v>1576</v>
      </c>
      <c r="AI19">
        <v>38</v>
      </c>
      <c r="AJ19">
        <v>30729</v>
      </c>
      <c r="AK19">
        <v>403</v>
      </c>
      <c r="AL19">
        <v>870</v>
      </c>
      <c r="AN19">
        <v>2.2000000000000002</v>
      </c>
      <c r="AO19">
        <v>9508</v>
      </c>
      <c r="AP19">
        <v>7.0000000000000007E-2</v>
      </c>
      <c r="AQ19">
        <v>43</v>
      </c>
      <c r="AR19" s="269">
        <f>+AQ19*AS19/100</f>
        <v>7.4390000000000001</v>
      </c>
      <c r="AS19">
        <v>17.3</v>
      </c>
      <c r="AT19" s="47">
        <f t="shared" si="1"/>
        <v>0.69058544046340598</v>
      </c>
    </row>
    <row r="20" spans="2:55" x14ac:dyDescent="0.3">
      <c r="B20" t="s">
        <v>12</v>
      </c>
      <c r="C20" t="s">
        <v>961</v>
      </c>
      <c r="D20" t="s">
        <v>45</v>
      </c>
      <c r="E20" t="s">
        <v>307</v>
      </c>
      <c r="F20" t="s">
        <v>308</v>
      </c>
      <c r="G20" s="39">
        <v>15995.867768595042</v>
      </c>
      <c r="H20">
        <v>54</v>
      </c>
      <c r="I20">
        <v>11.8</v>
      </c>
      <c r="J20">
        <v>286</v>
      </c>
      <c r="K20">
        <v>1497</v>
      </c>
      <c r="M20">
        <v>36</v>
      </c>
      <c r="N20">
        <v>4.3</v>
      </c>
      <c r="P20" s="40">
        <f t="shared" si="0"/>
        <v>837.20930232558146</v>
      </c>
      <c r="AG20" t="s">
        <v>990</v>
      </c>
      <c r="AH20">
        <v>1810</v>
      </c>
      <c r="AI20">
        <v>44</v>
      </c>
      <c r="AJ20">
        <v>33050</v>
      </c>
      <c r="AK20">
        <v>439</v>
      </c>
      <c r="AL20">
        <v>972</v>
      </c>
      <c r="AN20">
        <v>1.9</v>
      </c>
      <c r="AO20">
        <v>10226</v>
      </c>
      <c r="AP20">
        <v>7.0000000000000007E-2</v>
      </c>
      <c r="AQ20">
        <v>40</v>
      </c>
      <c r="AR20" s="269">
        <f>+AQ20*AS20/100</f>
        <v>12</v>
      </c>
      <c r="AS20">
        <v>30</v>
      </c>
      <c r="AT20" s="47">
        <f t="shared" si="1"/>
        <v>0.69059001512859308</v>
      </c>
    </row>
    <row r="21" spans="2:55" x14ac:dyDescent="0.3">
      <c r="B21" t="s">
        <v>4</v>
      </c>
      <c r="C21" t="s">
        <v>961</v>
      </c>
      <c r="D21" t="s">
        <v>45</v>
      </c>
      <c r="E21" t="s">
        <v>334</v>
      </c>
      <c r="F21" t="s">
        <v>335</v>
      </c>
      <c r="G21" s="39">
        <v>21033.057851239671</v>
      </c>
      <c r="H21">
        <v>100</v>
      </c>
      <c r="I21">
        <v>8.5</v>
      </c>
      <c r="J21">
        <v>360</v>
      </c>
      <c r="K21">
        <v>1499</v>
      </c>
      <c r="M21">
        <v>52</v>
      </c>
      <c r="N21">
        <v>6.9</v>
      </c>
      <c r="P21" s="40">
        <f t="shared" si="0"/>
        <v>753.62318840579712</v>
      </c>
      <c r="AG21" t="s">
        <v>991</v>
      </c>
      <c r="AH21">
        <v>1961</v>
      </c>
      <c r="AI21">
        <v>48</v>
      </c>
      <c r="AJ21">
        <v>49583</v>
      </c>
      <c r="AK21">
        <v>463</v>
      </c>
      <c r="AL21">
        <v>1308</v>
      </c>
      <c r="AN21">
        <v>1.8</v>
      </c>
      <c r="AO21">
        <v>15341</v>
      </c>
      <c r="AP21">
        <v>7.0000000000000007E-2</v>
      </c>
      <c r="AQ21">
        <v>50</v>
      </c>
      <c r="AR21" s="269">
        <f>+AQ21*AS21/100</f>
        <v>10.85</v>
      </c>
      <c r="AS21">
        <v>21.7</v>
      </c>
      <c r="AT21" s="47">
        <f t="shared" si="1"/>
        <v>0.69059960066958426</v>
      </c>
      <c r="BC21" s="75"/>
    </row>
    <row r="22" spans="2:55" x14ac:dyDescent="0.3">
      <c r="B22" t="s">
        <v>4</v>
      </c>
      <c r="C22" t="s">
        <v>961</v>
      </c>
      <c r="D22" t="s">
        <v>45</v>
      </c>
      <c r="E22" t="s">
        <v>337</v>
      </c>
      <c r="F22" t="s">
        <v>338</v>
      </c>
      <c r="G22" s="39">
        <v>16446.280991735537</v>
      </c>
      <c r="H22">
        <v>74</v>
      </c>
      <c r="I22">
        <v>12.5</v>
      </c>
      <c r="J22">
        <v>363</v>
      </c>
      <c r="K22">
        <v>998</v>
      </c>
      <c r="M22">
        <v>55</v>
      </c>
      <c r="N22">
        <v>6</v>
      </c>
      <c r="P22" s="40">
        <f t="shared" si="0"/>
        <v>916.66666666666663</v>
      </c>
    </row>
    <row r="23" spans="2:55" ht="15.75" thickBot="1" x14ac:dyDescent="0.35">
      <c r="B23" t="s">
        <v>4</v>
      </c>
      <c r="C23" t="s">
        <v>961</v>
      </c>
      <c r="D23" t="s">
        <v>45</v>
      </c>
      <c r="E23" t="s">
        <v>340</v>
      </c>
      <c r="F23" t="s">
        <v>341</v>
      </c>
      <c r="G23" s="39">
        <v>22350.413223140498</v>
      </c>
      <c r="H23">
        <v>90</v>
      </c>
      <c r="I23">
        <v>9.9</v>
      </c>
      <c r="J23">
        <v>341</v>
      </c>
      <c r="K23">
        <v>1595</v>
      </c>
      <c r="M23">
        <v>40</v>
      </c>
      <c r="N23">
        <v>6.8</v>
      </c>
      <c r="P23" s="40">
        <f t="shared" si="0"/>
        <v>588.23529411764707</v>
      </c>
    </row>
    <row r="24" spans="2:55" x14ac:dyDescent="0.3">
      <c r="B24" t="s">
        <v>4</v>
      </c>
      <c r="C24" t="s">
        <v>961</v>
      </c>
      <c r="D24" t="s">
        <v>45</v>
      </c>
      <c r="E24" t="s">
        <v>343</v>
      </c>
      <c r="F24" t="s">
        <v>344</v>
      </c>
      <c r="G24" s="39">
        <v>20479.338842975209</v>
      </c>
      <c r="H24">
        <v>100</v>
      </c>
      <c r="I24">
        <v>10.9</v>
      </c>
      <c r="J24">
        <v>360</v>
      </c>
      <c r="K24">
        <v>1798</v>
      </c>
      <c r="M24">
        <v>45</v>
      </c>
      <c r="N24">
        <v>4.7</v>
      </c>
      <c r="P24" s="40">
        <f t="shared" si="0"/>
        <v>957.44680851063822</v>
      </c>
      <c r="AG24" s="286" t="s">
        <v>168</v>
      </c>
      <c r="AH24" s="286" t="s">
        <v>960</v>
      </c>
      <c r="AI24" s="286" t="s">
        <v>1000</v>
      </c>
      <c r="AJ24" s="286" t="str">
        <f>input_data!$E$1</f>
        <v>Voertuigtype</v>
      </c>
      <c r="AK24" s="286" t="s">
        <v>60</v>
      </c>
      <c r="AL24" s="286" t="str">
        <f>input_data!$C$1</f>
        <v>Brandstoftype</v>
      </c>
      <c r="AM24" s="286" t="s">
        <v>999</v>
      </c>
      <c r="AN24" s="286" t="s">
        <v>1470</v>
      </c>
      <c r="AO24" s="286" t="s">
        <v>61</v>
      </c>
      <c r="AP24" s="286" t="s">
        <v>1164</v>
      </c>
      <c r="AQ24" s="286" t="s">
        <v>543</v>
      </c>
      <c r="AR24" s="286" t="s">
        <v>1385</v>
      </c>
      <c r="AS24" s="286" t="s">
        <v>1159</v>
      </c>
      <c r="AT24" s="286" t="s">
        <v>1145</v>
      </c>
      <c r="AU24" s="286" t="s">
        <v>1130</v>
      </c>
    </row>
    <row r="25" spans="2:55" x14ac:dyDescent="0.3">
      <c r="B25" t="s">
        <v>4</v>
      </c>
      <c r="C25" t="s">
        <v>961</v>
      </c>
      <c r="D25" t="s">
        <v>45</v>
      </c>
      <c r="E25" t="s">
        <v>346</v>
      </c>
      <c r="F25" t="s">
        <v>347</v>
      </c>
      <c r="G25" s="39">
        <v>19723.14049586777</v>
      </c>
      <c r="H25">
        <v>92</v>
      </c>
      <c r="I25">
        <v>9.1</v>
      </c>
      <c r="J25">
        <v>380</v>
      </c>
      <c r="K25">
        <v>1395</v>
      </c>
      <c r="M25">
        <v>50</v>
      </c>
      <c r="N25">
        <v>6.5</v>
      </c>
      <c r="P25" s="40">
        <f t="shared" si="0"/>
        <v>769.23076923076928</v>
      </c>
      <c r="AG25" s="329"/>
      <c r="AH25" s="329"/>
      <c r="AI25" s="329"/>
      <c r="AJ25" s="331" t="s">
        <v>1169</v>
      </c>
      <c r="AK25" s="329"/>
      <c r="AL25" s="329"/>
      <c r="AM25" s="329"/>
      <c r="AN25" s="329"/>
      <c r="AO25" s="331" t="s">
        <v>1143</v>
      </c>
      <c r="AP25" s="331" t="s">
        <v>1146</v>
      </c>
      <c r="AQ25" s="331" t="s">
        <v>1147</v>
      </c>
      <c r="AR25" s="331" t="s">
        <v>1137</v>
      </c>
      <c r="AS25" s="331" t="s">
        <v>1160</v>
      </c>
      <c r="AT25" s="331" t="s">
        <v>1160</v>
      </c>
      <c r="AU25" s="331" t="s">
        <v>1161</v>
      </c>
    </row>
    <row r="26" spans="2:55" ht="15.75" thickBot="1" x14ac:dyDescent="0.35">
      <c r="B26" t="s">
        <v>4</v>
      </c>
      <c r="C26" t="s">
        <v>961</v>
      </c>
      <c r="D26" t="s">
        <v>45</v>
      </c>
      <c r="E26" t="s">
        <v>349</v>
      </c>
      <c r="F26" t="s">
        <v>350</v>
      </c>
      <c r="G26" s="39">
        <v>21776.859504132233</v>
      </c>
      <c r="H26">
        <v>90</v>
      </c>
      <c r="I26">
        <v>9.8000000000000007</v>
      </c>
      <c r="J26">
        <v>335</v>
      </c>
      <c r="K26">
        <v>1498</v>
      </c>
      <c r="M26">
        <v>62</v>
      </c>
      <c r="N26">
        <v>7</v>
      </c>
      <c r="P26" s="40">
        <f t="shared" si="0"/>
        <v>885.71428571428578</v>
      </c>
      <c r="AG26" s="329"/>
      <c r="AH26" s="329"/>
      <c r="AI26" s="329"/>
      <c r="AJ26" s="329"/>
      <c r="AK26" s="329"/>
      <c r="AL26" s="330"/>
      <c r="AM26" s="330"/>
      <c r="AN26" s="330"/>
      <c r="AO26" s="332" t="s">
        <v>25</v>
      </c>
      <c r="AP26" s="332" t="s">
        <v>25</v>
      </c>
      <c r="AQ26" s="332" t="s">
        <v>25</v>
      </c>
      <c r="AR26" s="332" t="s">
        <v>25</v>
      </c>
      <c r="AS26" s="332" t="s">
        <v>25</v>
      </c>
      <c r="AT26" s="332" t="s">
        <v>25</v>
      </c>
      <c r="AU26" s="332" t="s">
        <v>25</v>
      </c>
    </row>
    <row r="27" spans="2:55" ht="15.75" thickBot="1" x14ac:dyDescent="0.35">
      <c r="B27" t="s">
        <v>13</v>
      </c>
      <c r="C27" t="s">
        <v>961</v>
      </c>
      <c r="D27" t="s">
        <v>45</v>
      </c>
      <c r="E27" t="s">
        <v>863</v>
      </c>
      <c r="F27" t="s">
        <v>433</v>
      </c>
      <c r="G27" s="39">
        <v>30570.247933884297</v>
      </c>
      <c r="H27">
        <v>164</v>
      </c>
      <c r="I27">
        <v>8.3000000000000007</v>
      </c>
      <c r="J27">
        <v>450</v>
      </c>
      <c r="K27">
        <v>2494</v>
      </c>
      <c r="M27">
        <v>66</v>
      </c>
      <c r="N27">
        <v>5.6</v>
      </c>
      <c r="P27" s="40">
        <f t="shared" si="0"/>
        <v>1178.5714285714287</v>
      </c>
      <c r="AG27" s="283" t="str">
        <f>input_data!$E$2</f>
        <v>Personenauto</v>
      </c>
      <c r="AH27" s="283" t="s">
        <v>1168</v>
      </c>
      <c r="AI27" s="283" t="s">
        <v>67</v>
      </c>
      <c r="AJ27" s="283" t="s">
        <v>1171</v>
      </c>
      <c r="AK27" s="283" t="s">
        <v>11</v>
      </c>
      <c r="AL27" s="334" t="s">
        <v>141</v>
      </c>
      <c r="AM27" s="333">
        <v>2017</v>
      </c>
      <c r="AN27" s="319">
        <v>25925</v>
      </c>
      <c r="AO27" s="335">
        <v>0</v>
      </c>
      <c r="AP27" s="287">
        <v>0.71</v>
      </c>
      <c r="AQ27" s="288">
        <v>1114</v>
      </c>
      <c r="AR27" s="317">
        <v>10.1</v>
      </c>
      <c r="AS27" s="317">
        <v>4.2</v>
      </c>
      <c r="AT27" s="317">
        <v>1</v>
      </c>
      <c r="AU27" s="318" t="s">
        <v>1012</v>
      </c>
    </row>
    <row r="28" spans="2:55" x14ac:dyDescent="0.3">
      <c r="B28" t="s">
        <v>13</v>
      </c>
      <c r="C28" t="s">
        <v>961</v>
      </c>
      <c r="D28" t="s">
        <v>45</v>
      </c>
      <c r="E28" t="s">
        <v>865</v>
      </c>
      <c r="F28" t="s">
        <v>866</v>
      </c>
      <c r="G28" s="39">
        <v>27917.355371900827</v>
      </c>
      <c r="H28">
        <v>121</v>
      </c>
      <c r="I28">
        <v>9.6999999999999993</v>
      </c>
      <c r="J28">
        <v>515</v>
      </c>
      <c r="K28">
        <v>1598</v>
      </c>
      <c r="M28">
        <v>72</v>
      </c>
      <c r="N28">
        <v>7.5</v>
      </c>
      <c r="P28" s="40">
        <f t="shared" si="0"/>
        <v>960</v>
      </c>
    </row>
    <row r="29" spans="2:55" x14ac:dyDescent="0.3">
      <c r="B29" t="s">
        <v>13</v>
      </c>
      <c r="C29" t="s">
        <v>961</v>
      </c>
      <c r="D29" t="s">
        <v>45</v>
      </c>
      <c r="E29" t="s">
        <v>816</v>
      </c>
      <c r="F29" t="s">
        <v>868</v>
      </c>
      <c r="G29" s="39">
        <v>26000</v>
      </c>
      <c r="H29">
        <v>90</v>
      </c>
      <c r="I29">
        <v>10.6</v>
      </c>
      <c r="J29">
        <v>502</v>
      </c>
      <c r="K29">
        <v>1797</v>
      </c>
      <c r="M29">
        <v>45</v>
      </c>
      <c r="N29">
        <v>3.9</v>
      </c>
      <c r="P29" s="40">
        <f t="shared" si="0"/>
        <v>1153.8461538461538</v>
      </c>
      <c r="AH29" t="s">
        <v>992</v>
      </c>
      <c r="AI29" t="s">
        <v>963</v>
      </c>
      <c r="AO29">
        <v>91</v>
      </c>
      <c r="AP29" s="47">
        <v>0.61854154889768231</v>
      </c>
      <c r="AQ29">
        <v>929</v>
      </c>
      <c r="AU29">
        <v>322</v>
      </c>
    </row>
    <row r="30" spans="2:55" x14ac:dyDescent="0.3">
      <c r="B30" t="s">
        <v>13</v>
      </c>
      <c r="C30" t="s">
        <v>961</v>
      </c>
      <c r="D30" t="s">
        <v>45</v>
      </c>
      <c r="E30" t="s">
        <v>870</v>
      </c>
      <c r="F30" t="s">
        <v>871</v>
      </c>
      <c r="G30" s="39">
        <v>28851.239669421488</v>
      </c>
      <c r="H30">
        <v>110</v>
      </c>
      <c r="I30">
        <v>8.4</v>
      </c>
      <c r="J30">
        <v>586</v>
      </c>
      <c r="K30">
        <v>1395</v>
      </c>
      <c r="M30">
        <v>66</v>
      </c>
      <c r="N30">
        <v>6.6</v>
      </c>
      <c r="P30" s="40">
        <f t="shared" si="0"/>
        <v>1000</v>
      </c>
      <c r="AH30" t="s">
        <v>992</v>
      </c>
      <c r="AI30" t="s">
        <v>974</v>
      </c>
      <c r="AO30">
        <v>102</v>
      </c>
      <c r="AP30" s="47">
        <v>0.61856745479833108</v>
      </c>
      <c r="AQ30">
        <v>1008</v>
      </c>
      <c r="AU30">
        <v>418</v>
      </c>
    </row>
    <row r="31" spans="2:55" x14ac:dyDescent="0.3">
      <c r="B31" t="s">
        <v>13</v>
      </c>
      <c r="C31" t="s">
        <v>961</v>
      </c>
      <c r="D31" t="s">
        <v>45</v>
      </c>
      <c r="E31" t="s">
        <v>873</v>
      </c>
      <c r="F31" t="s">
        <v>874</v>
      </c>
      <c r="G31" s="39">
        <v>30694.21487603306</v>
      </c>
      <c r="H31">
        <v>112</v>
      </c>
      <c r="I31">
        <v>8.6999999999999993</v>
      </c>
      <c r="J31">
        <v>430</v>
      </c>
      <c r="K31">
        <v>1498</v>
      </c>
      <c r="M31">
        <v>68</v>
      </c>
      <c r="N31">
        <v>7.7</v>
      </c>
      <c r="P31" s="40">
        <f t="shared" si="0"/>
        <v>883.11688311688317</v>
      </c>
      <c r="AH31" t="s">
        <v>992</v>
      </c>
      <c r="AI31" t="s">
        <v>975</v>
      </c>
      <c r="AO31">
        <v>117</v>
      </c>
      <c r="AP31" s="47">
        <v>0.61860822760476741</v>
      </c>
      <c r="AQ31">
        <v>1226</v>
      </c>
      <c r="AU31">
        <v>558</v>
      </c>
    </row>
    <row r="32" spans="2:55" x14ac:dyDescent="0.3">
      <c r="B32" t="s">
        <v>14</v>
      </c>
      <c r="C32" t="s">
        <v>961</v>
      </c>
      <c r="D32" t="s">
        <v>45</v>
      </c>
      <c r="E32" t="s">
        <v>429</v>
      </c>
      <c r="F32" t="s">
        <v>430</v>
      </c>
      <c r="G32" s="39">
        <v>71198.347107438021</v>
      </c>
      <c r="H32">
        <v>235</v>
      </c>
      <c r="I32">
        <v>5.3</v>
      </c>
      <c r="J32">
        <v>460</v>
      </c>
      <c r="K32">
        <v>2979</v>
      </c>
      <c r="M32">
        <v>70</v>
      </c>
      <c r="N32">
        <v>9.6</v>
      </c>
      <c r="P32" s="40">
        <f t="shared" si="0"/>
        <v>729.16666666666674</v>
      </c>
      <c r="AH32" t="s">
        <v>992</v>
      </c>
      <c r="AI32" t="s">
        <v>976</v>
      </c>
      <c r="AO32">
        <v>123</v>
      </c>
      <c r="AP32" s="47">
        <v>0.61857379767827525</v>
      </c>
      <c r="AQ32">
        <v>1436</v>
      </c>
      <c r="AU32">
        <v>761</v>
      </c>
    </row>
    <row r="33" spans="2:47" x14ac:dyDescent="0.3">
      <c r="B33" t="s">
        <v>14</v>
      </c>
      <c r="C33" t="s">
        <v>961</v>
      </c>
      <c r="D33" t="s">
        <v>45</v>
      </c>
      <c r="E33" t="s">
        <v>432</v>
      </c>
      <c r="F33" t="s">
        <v>433</v>
      </c>
      <c r="G33" s="39">
        <v>37388.42975206612</v>
      </c>
      <c r="H33">
        <v>164</v>
      </c>
      <c r="I33">
        <v>9.1999999999999993</v>
      </c>
      <c r="J33">
        <v>482</v>
      </c>
      <c r="K33">
        <v>2494</v>
      </c>
      <c r="M33">
        <v>66</v>
      </c>
      <c r="N33">
        <v>6.1</v>
      </c>
      <c r="P33" s="40">
        <f t="shared" si="0"/>
        <v>1081.967213114754</v>
      </c>
      <c r="AH33" t="s">
        <v>992</v>
      </c>
      <c r="AI33" t="s">
        <v>977</v>
      </c>
      <c r="AO33">
        <v>142</v>
      </c>
      <c r="AP33" s="47">
        <v>0.61858063018627052</v>
      </c>
      <c r="AQ33">
        <v>1554</v>
      </c>
      <c r="AU33">
        <v>1050</v>
      </c>
    </row>
    <row r="34" spans="2:47" x14ac:dyDescent="0.3">
      <c r="B34" t="s">
        <v>14</v>
      </c>
      <c r="C34" t="s">
        <v>961</v>
      </c>
      <c r="D34" t="s">
        <v>45</v>
      </c>
      <c r="E34" t="s">
        <v>435</v>
      </c>
      <c r="F34" t="s">
        <v>436</v>
      </c>
      <c r="G34" s="39">
        <v>41462.809917355371</v>
      </c>
      <c r="H34">
        <v>180</v>
      </c>
      <c r="I34">
        <v>6.5</v>
      </c>
      <c r="J34">
        <v>480</v>
      </c>
      <c r="K34">
        <v>1969</v>
      </c>
      <c r="M34">
        <v>70</v>
      </c>
      <c r="N34">
        <v>8.3000000000000007</v>
      </c>
      <c r="P34" s="40">
        <f t="shared" si="0"/>
        <v>843.37349397590367</v>
      </c>
      <c r="AH34" t="s">
        <v>992</v>
      </c>
      <c r="AI34" t="s">
        <v>978</v>
      </c>
      <c r="AP34" s="47">
        <v>0.69056727001306206</v>
      </c>
      <c r="AQ34">
        <v>1101</v>
      </c>
      <c r="AU34">
        <v>610</v>
      </c>
    </row>
    <row r="35" spans="2:47" x14ac:dyDescent="0.3">
      <c r="B35" t="s">
        <v>11</v>
      </c>
      <c r="C35" t="s">
        <v>961</v>
      </c>
      <c r="D35" t="s">
        <v>165</v>
      </c>
      <c r="E35" t="s">
        <v>65</v>
      </c>
      <c r="F35" t="s">
        <v>139</v>
      </c>
      <c r="G35" s="39">
        <v>19900</v>
      </c>
      <c r="H35">
        <v>60</v>
      </c>
      <c r="I35" s="268">
        <v>12.4</v>
      </c>
      <c r="J35">
        <v>350</v>
      </c>
      <c r="L35">
        <v>17.600000000000001</v>
      </c>
      <c r="O35">
        <v>21.2</v>
      </c>
      <c r="P35" s="40">
        <f t="shared" si="0"/>
        <v>83.018867924528323</v>
      </c>
      <c r="AH35" t="s">
        <v>992</v>
      </c>
      <c r="AI35" t="s">
        <v>979</v>
      </c>
      <c r="AP35" s="47">
        <v>0.69057104913678624</v>
      </c>
      <c r="AQ35">
        <v>1332</v>
      </c>
      <c r="AU35">
        <v>690</v>
      </c>
    </row>
    <row r="36" spans="2:47" x14ac:dyDescent="0.3">
      <c r="B36" t="s">
        <v>11</v>
      </c>
      <c r="C36" t="s">
        <v>961</v>
      </c>
      <c r="D36" t="s">
        <v>165</v>
      </c>
      <c r="E36" t="s">
        <v>66</v>
      </c>
      <c r="F36" t="s">
        <v>139</v>
      </c>
      <c r="G36" s="39">
        <v>15900</v>
      </c>
      <c r="H36">
        <v>60</v>
      </c>
      <c r="I36" s="268">
        <v>12.4</v>
      </c>
      <c r="J36">
        <v>350</v>
      </c>
      <c r="L36">
        <v>17.600000000000001</v>
      </c>
      <c r="O36">
        <v>21.2</v>
      </c>
      <c r="P36" s="40">
        <f t="shared" si="0"/>
        <v>83.018867924528323</v>
      </c>
      <c r="AH36" t="s">
        <v>992</v>
      </c>
      <c r="AI36" t="s">
        <v>980</v>
      </c>
      <c r="AP36" s="47">
        <v>0.69058262829275496</v>
      </c>
      <c r="AQ36">
        <v>1438</v>
      </c>
      <c r="AU36">
        <v>798</v>
      </c>
    </row>
    <row r="37" spans="2:47" x14ac:dyDescent="0.3">
      <c r="B37" t="s">
        <v>11</v>
      </c>
      <c r="C37" t="s">
        <v>961</v>
      </c>
      <c r="D37" t="s">
        <v>165</v>
      </c>
      <c r="E37" t="s">
        <v>67</v>
      </c>
      <c r="F37" t="s">
        <v>140</v>
      </c>
      <c r="G37" s="39">
        <v>21719.008264462809</v>
      </c>
      <c r="H37">
        <v>60</v>
      </c>
      <c r="I37">
        <v>12.4</v>
      </c>
      <c r="J37">
        <v>250</v>
      </c>
      <c r="L37">
        <v>18.7</v>
      </c>
      <c r="O37">
        <v>15.2</v>
      </c>
      <c r="P37" s="40">
        <f t="shared" ref="P37:P68" si="2">IFERROR(M37/N37*100,0)+IFERROR(L37/O37*100,0)</f>
        <v>123.0263157894737</v>
      </c>
      <c r="AH37" t="s">
        <v>992</v>
      </c>
      <c r="AI37" t="s">
        <v>981</v>
      </c>
      <c r="AP37" s="47">
        <v>0.69059436274509811</v>
      </c>
      <c r="AQ37">
        <v>1725</v>
      </c>
      <c r="AU37">
        <v>936</v>
      </c>
    </row>
    <row r="38" spans="2:47" x14ac:dyDescent="0.3">
      <c r="B38" t="s">
        <v>12</v>
      </c>
      <c r="C38" t="s">
        <v>961</v>
      </c>
      <c r="D38" t="s">
        <v>165</v>
      </c>
      <c r="E38" t="s">
        <v>274</v>
      </c>
      <c r="F38" t="s">
        <v>276</v>
      </c>
      <c r="G38" s="39">
        <v>24780.991735537191</v>
      </c>
      <c r="H38">
        <v>49</v>
      </c>
      <c r="I38">
        <v>15.9</v>
      </c>
      <c r="J38">
        <v>166</v>
      </c>
      <c r="L38">
        <v>16</v>
      </c>
      <c r="O38">
        <v>17.600000000000001</v>
      </c>
      <c r="P38" s="40">
        <f t="shared" si="2"/>
        <v>90.909090909090907</v>
      </c>
      <c r="AH38" t="s">
        <v>992</v>
      </c>
      <c r="AI38" t="s">
        <v>982</v>
      </c>
      <c r="AP38" s="47">
        <v>0.69058237145855195</v>
      </c>
      <c r="AQ38">
        <v>2050</v>
      </c>
      <c r="AU38">
        <v>1578</v>
      </c>
    </row>
    <row r="39" spans="2:47" x14ac:dyDescent="0.3">
      <c r="B39" t="s">
        <v>12</v>
      </c>
      <c r="C39" t="s">
        <v>961</v>
      </c>
      <c r="D39" t="s">
        <v>165</v>
      </c>
      <c r="E39" t="s">
        <v>279</v>
      </c>
      <c r="F39" t="s">
        <v>280</v>
      </c>
      <c r="G39" s="39">
        <v>29165.289256198346</v>
      </c>
      <c r="H39">
        <v>81</v>
      </c>
      <c r="I39">
        <v>11.2</v>
      </c>
      <c r="J39">
        <v>281</v>
      </c>
      <c r="L39">
        <v>27</v>
      </c>
      <c r="O39">
        <v>19.100000000000001</v>
      </c>
      <c r="P39" s="40">
        <f t="shared" si="2"/>
        <v>141.3612565445026</v>
      </c>
      <c r="AH39" t="s">
        <v>992</v>
      </c>
      <c r="AI39" t="s">
        <v>984</v>
      </c>
      <c r="AO39">
        <v>86</v>
      </c>
      <c r="AP39" s="47">
        <v>0.61861056198813902</v>
      </c>
      <c r="AQ39">
        <v>1109</v>
      </c>
      <c r="AU39">
        <v>482</v>
      </c>
    </row>
    <row r="40" spans="2:47" x14ac:dyDescent="0.3">
      <c r="B40" t="s">
        <v>12</v>
      </c>
      <c r="C40" t="s">
        <v>961</v>
      </c>
      <c r="D40" t="s">
        <v>165</v>
      </c>
      <c r="E40" t="s">
        <v>282</v>
      </c>
      <c r="F40" t="s">
        <v>283</v>
      </c>
      <c r="G40" s="39">
        <v>23876.03305785124</v>
      </c>
      <c r="H40">
        <v>49</v>
      </c>
      <c r="I40">
        <v>15.9</v>
      </c>
      <c r="J40">
        <v>235</v>
      </c>
      <c r="L40">
        <v>16</v>
      </c>
      <c r="O40">
        <v>17.600000000000001</v>
      </c>
      <c r="P40" s="40">
        <f t="shared" si="2"/>
        <v>90.909090909090907</v>
      </c>
      <c r="AH40" t="s">
        <v>992</v>
      </c>
      <c r="AI40" t="s">
        <v>985</v>
      </c>
      <c r="AO40">
        <v>87</v>
      </c>
      <c r="AP40" s="47">
        <v>0.61858305509181966</v>
      </c>
      <c r="AQ40">
        <v>1272</v>
      </c>
      <c r="AU40">
        <v>614</v>
      </c>
    </row>
    <row r="41" spans="2:47" x14ac:dyDescent="0.3">
      <c r="B41" t="s">
        <v>12</v>
      </c>
      <c r="C41" t="s">
        <v>961</v>
      </c>
      <c r="D41" t="s">
        <v>165</v>
      </c>
      <c r="E41" t="s">
        <v>285</v>
      </c>
      <c r="F41" t="s">
        <v>286</v>
      </c>
      <c r="G41" s="39">
        <v>24892.561983471074</v>
      </c>
      <c r="H41">
        <v>49</v>
      </c>
      <c r="I41">
        <v>15.9</v>
      </c>
      <c r="J41">
        <v>166</v>
      </c>
      <c r="L41">
        <v>16</v>
      </c>
      <c r="O41">
        <v>17.600000000000001</v>
      </c>
      <c r="P41" s="40">
        <f t="shared" si="2"/>
        <v>90.909090909090907</v>
      </c>
      <c r="AH41" t="s">
        <v>992</v>
      </c>
      <c r="AI41" t="s">
        <v>986</v>
      </c>
      <c r="AO41">
        <v>101</v>
      </c>
      <c r="AP41" s="47">
        <v>0.61857367071163338</v>
      </c>
      <c r="AQ41">
        <v>1466</v>
      </c>
      <c r="AU41">
        <v>814</v>
      </c>
    </row>
    <row r="42" spans="2:47" x14ac:dyDescent="0.3">
      <c r="B42" t="s">
        <v>12</v>
      </c>
      <c r="C42" t="s">
        <v>961</v>
      </c>
      <c r="D42" t="s">
        <v>165</v>
      </c>
      <c r="E42" t="s">
        <v>288</v>
      </c>
      <c r="F42" t="s">
        <v>289</v>
      </c>
      <c r="G42" s="39">
        <v>18223.14049586777</v>
      </c>
      <c r="H42">
        <v>65</v>
      </c>
      <c r="I42">
        <v>13.5</v>
      </c>
      <c r="J42">
        <v>338</v>
      </c>
      <c r="L42">
        <v>22</v>
      </c>
      <c r="O42">
        <v>20.2</v>
      </c>
      <c r="P42" s="40">
        <f t="shared" si="2"/>
        <v>108.91089108910892</v>
      </c>
      <c r="AH42" t="s">
        <v>992</v>
      </c>
      <c r="AI42" t="s">
        <v>987</v>
      </c>
      <c r="AO42">
        <v>110</v>
      </c>
      <c r="AP42" s="47">
        <v>0.61860359335910853</v>
      </c>
      <c r="AQ42">
        <v>1675</v>
      </c>
      <c r="AU42">
        <v>1058</v>
      </c>
    </row>
    <row r="43" spans="2:47" x14ac:dyDescent="0.3">
      <c r="B43" t="s">
        <v>4</v>
      </c>
      <c r="C43" t="s">
        <v>961</v>
      </c>
      <c r="D43" t="s">
        <v>165</v>
      </c>
      <c r="E43" t="s">
        <v>310</v>
      </c>
      <c r="F43" t="s">
        <v>311</v>
      </c>
      <c r="G43" s="39">
        <v>32190.082644628099</v>
      </c>
      <c r="H43">
        <v>125</v>
      </c>
      <c r="I43">
        <v>7.2</v>
      </c>
      <c r="J43">
        <v>260</v>
      </c>
      <c r="L43">
        <v>19</v>
      </c>
      <c r="O43">
        <v>16.8</v>
      </c>
      <c r="P43" s="40">
        <f t="shared" si="2"/>
        <v>113.09523809523809</v>
      </c>
      <c r="AH43" t="s">
        <v>992</v>
      </c>
      <c r="AI43" t="s">
        <v>989</v>
      </c>
      <c r="AO43">
        <v>38</v>
      </c>
      <c r="AP43" s="47">
        <v>0.69058544046340598</v>
      </c>
      <c r="AQ43">
        <v>1576</v>
      </c>
      <c r="AU43">
        <v>870</v>
      </c>
    </row>
    <row r="44" spans="2:47" x14ac:dyDescent="0.3">
      <c r="B44" t="s">
        <v>4</v>
      </c>
      <c r="C44" t="s">
        <v>961</v>
      </c>
      <c r="D44" t="s">
        <v>165</v>
      </c>
      <c r="E44" t="s">
        <v>313</v>
      </c>
      <c r="F44" t="s">
        <v>314</v>
      </c>
      <c r="G44" s="39">
        <v>33049.586776859505</v>
      </c>
      <c r="H44">
        <v>107</v>
      </c>
      <c r="I44">
        <v>11.4</v>
      </c>
      <c r="J44">
        <v>316</v>
      </c>
      <c r="L44">
        <v>25</v>
      </c>
      <c r="O44">
        <v>20</v>
      </c>
      <c r="P44" s="40">
        <f t="shared" si="2"/>
        <v>125</v>
      </c>
      <c r="AH44" t="s">
        <v>992</v>
      </c>
      <c r="AI44" t="s">
        <v>990</v>
      </c>
      <c r="AO44">
        <v>44</v>
      </c>
      <c r="AP44" s="47">
        <v>0.69059001512859308</v>
      </c>
      <c r="AQ44">
        <v>1810</v>
      </c>
      <c r="AU44">
        <v>972</v>
      </c>
    </row>
    <row r="45" spans="2:47" x14ac:dyDescent="0.3">
      <c r="B45" t="s">
        <v>4</v>
      </c>
      <c r="C45" t="s">
        <v>961</v>
      </c>
      <c r="D45" t="s">
        <v>165</v>
      </c>
      <c r="E45" t="s">
        <v>316</v>
      </c>
      <c r="F45" t="s">
        <v>317</v>
      </c>
      <c r="G45" s="39">
        <v>33000</v>
      </c>
      <c r="H45">
        <v>132</v>
      </c>
      <c r="I45">
        <v>7.9</v>
      </c>
      <c r="J45">
        <v>501</v>
      </c>
      <c r="L45">
        <v>36</v>
      </c>
      <c r="O45">
        <v>21.6</v>
      </c>
      <c r="P45" s="40">
        <f t="shared" si="2"/>
        <v>166.66666666666666</v>
      </c>
      <c r="AH45" t="s">
        <v>992</v>
      </c>
      <c r="AI45" t="s">
        <v>991</v>
      </c>
      <c r="AO45">
        <v>48</v>
      </c>
      <c r="AP45" s="47">
        <v>0.69059960066958426</v>
      </c>
      <c r="AQ45">
        <v>1961</v>
      </c>
      <c r="AU45">
        <v>1308</v>
      </c>
    </row>
    <row r="46" spans="2:47" x14ac:dyDescent="0.3">
      <c r="B46" t="s">
        <v>4</v>
      </c>
      <c r="C46" t="s">
        <v>961</v>
      </c>
      <c r="D46" t="s">
        <v>165</v>
      </c>
      <c r="E46" t="s">
        <v>319</v>
      </c>
      <c r="F46" t="s">
        <v>320</v>
      </c>
      <c r="G46" s="39">
        <v>27376.03305785124</v>
      </c>
      <c r="H46">
        <v>80</v>
      </c>
      <c r="I46">
        <v>11.5</v>
      </c>
      <c r="J46">
        <v>370</v>
      </c>
      <c r="L46">
        <v>24</v>
      </c>
      <c r="O46">
        <v>19.5</v>
      </c>
      <c r="P46" s="40">
        <f t="shared" si="2"/>
        <v>123.07692307692308</v>
      </c>
    </row>
    <row r="47" spans="2:47" x14ac:dyDescent="0.3">
      <c r="B47" t="s">
        <v>4</v>
      </c>
      <c r="C47" t="s">
        <v>961</v>
      </c>
      <c r="D47" t="s">
        <v>165</v>
      </c>
      <c r="E47" t="s">
        <v>322</v>
      </c>
      <c r="F47" t="s">
        <v>323</v>
      </c>
      <c r="G47" s="39">
        <v>22500</v>
      </c>
      <c r="H47" t="e">
        <v>#VALUE!</v>
      </c>
      <c r="I47" t="e">
        <v>#VALUE!</v>
      </c>
      <c r="J47">
        <v>370</v>
      </c>
      <c r="L47">
        <v>24</v>
      </c>
      <c r="O47">
        <v>19.5</v>
      </c>
      <c r="P47" s="40">
        <f t="shared" si="2"/>
        <v>123.07692307692308</v>
      </c>
    </row>
    <row r="48" spans="2:47" x14ac:dyDescent="0.3">
      <c r="B48" t="s">
        <v>4</v>
      </c>
      <c r="C48" t="s">
        <v>961</v>
      </c>
      <c r="D48" t="s">
        <v>165</v>
      </c>
      <c r="E48" t="s">
        <v>325</v>
      </c>
      <c r="F48" t="s">
        <v>326</v>
      </c>
      <c r="G48" s="39">
        <v>29028.92561983471</v>
      </c>
      <c r="H48">
        <v>80</v>
      </c>
      <c r="I48">
        <v>11.5</v>
      </c>
      <c r="J48">
        <v>370</v>
      </c>
      <c r="L48">
        <v>30</v>
      </c>
      <c r="O48">
        <v>19.5</v>
      </c>
      <c r="P48" s="40">
        <f t="shared" si="2"/>
        <v>153.84615384615387</v>
      </c>
    </row>
    <row r="49" spans="2:47" x14ac:dyDescent="0.3">
      <c r="B49" t="s">
        <v>4</v>
      </c>
      <c r="C49" t="s">
        <v>961</v>
      </c>
      <c r="D49" t="s">
        <v>165</v>
      </c>
      <c r="E49" t="s">
        <v>328</v>
      </c>
      <c r="F49" t="s">
        <v>329</v>
      </c>
      <c r="G49" s="39">
        <v>24152.892561983474</v>
      </c>
      <c r="H49" t="e">
        <v>#VALUE!</v>
      </c>
      <c r="I49" t="e">
        <v>#VALUE!</v>
      </c>
      <c r="J49">
        <v>370</v>
      </c>
      <c r="L49">
        <v>30</v>
      </c>
      <c r="O49">
        <v>19.5</v>
      </c>
      <c r="P49" s="40">
        <f t="shared" si="2"/>
        <v>153.84615384615387</v>
      </c>
    </row>
    <row r="50" spans="2:47" x14ac:dyDescent="0.3">
      <c r="B50" t="s">
        <v>4</v>
      </c>
      <c r="C50" t="s">
        <v>961</v>
      </c>
      <c r="D50" t="s">
        <v>165</v>
      </c>
      <c r="E50" t="s">
        <v>331</v>
      </c>
      <c r="F50" t="s">
        <v>332</v>
      </c>
      <c r="G50" s="39">
        <v>30669.421487603307</v>
      </c>
      <c r="H50">
        <v>85</v>
      </c>
      <c r="I50">
        <v>10.4</v>
      </c>
      <c r="J50">
        <v>341</v>
      </c>
      <c r="L50">
        <v>24.2</v>
      </c>
      <c r="O50">
        <v>16.5</v>
      </c>
      <c r="P50" s="40">
        <f t="shared" si="2"/>
        <v>146.66666666666666</v>
      </c>
    </row>
    <row r="51" spans="2:47" x14ac:dyDescent="0.3">
      <c r="B51" t="s">
        <v>14</v>
      </c>
      <c r="C51" t="s">
        <v>961</v>
      </c>
      <c r="D51" t="s">
        <v>165</v>
      </c>
      <c r="E51" t="s">
        <v>423</v>
      </c>
      <c r="F51" t="s">
        <v>424</v>
      </c>
      <c r="G51" s="39">
        <v>74876.033057851237</v>
      </c>
      <c r="H51">
        <v>245</v>
      </c>
      <c r="I51">
        <v>5.6</v>
      </c>
      <c r="J51">
        <v>745</v>
      </c>
      <c r="L51">
        <v>85</v>
      </c>
      <c r="O51">
        <v>20.9</v>
      </c>
      <c r="P51" s="40">
        <f t="shared" si="2"/>
        <v>406.69856459330146</v>
      </c>
    </row>
    <row r="52" spans="2:47" x14ac:dyDescent="0.3">
      <c r="B52" t="s">
        <v>14</v>
      </c>
      <c r="C52" t="s">
        <v>961</v>
      </c>
      <c r="D52" t="s">
        <v>165</v>
      </c>
      <c r="E52" t="s">
        <v>426</v>
      </c>
      <c r="F52" t="s">
        <v>427</v>
      </c>
      <c r="G52" s="39">
        <v>7851.2396694214876</v>
      </c>
      <c r="H52">
        <v>515</v>
      </c>
      <c r="I52">
        <v>3.3</v>
      </c>
      <c r="J52">
        <v>745</v>
      </c>
      <c r="L52">
        <v>85</v>
      </c>
      <c r="O52">
        <v>22.5</v>
      </c>
      <c r="P52" s="40">
        <f t="shared" si="2"/>
        <v>377.77777777777777</v>
      </c>
    </row>
    <row r="53" spans="2:47" x14ac:dyDescent="0.3">
      <c r="B53" t="s">
        <v>12</v>
      </c>
      <c r="C53" t="s">
        <v>961</v>
      </c>
      <c r="D53" t="s">
        <v>46</v>
      </c>
      <c r="E53" t="s">
        <v>396</v>
      </c>
      <c r="F53" t="s">
        <v>397</v>
      </c>
      <c r="G53" s="39">
        <v>13924.793388429753</v>
      </c>
      <c r="H53">
        <v>55</v>
      </c>
      <c r="I53">
        <v>16</v>
      </c>
      <c r="J53">
        <v>326</v>
      </c>
      <c r="K53">
        <v>1120</v>
      </c>
      <c r="M53">
        <v>50</v>
      </c>
      <c r="N53">
        <v>4.7</v>
      </c>
      <c r="P53" s="40">
        <f t="shared" si="2"/>
        <v>1063.8297872340424</v>
      </c>
    </row>
    <row r="54" spans="2:47" x14ac:dyDescent="0.3">
      <c r="B54" t="s">
        <v>12</v>
      </c>
      <c r="C54" t="s">
        <v>961</v>
      </c>
      <c r="D54" t="s">
        <v>46</v>
      </c>
      <c r="E54" t="s">
        <v>399</v>
      </c>
      <c r="F54" t="s">
        <v>400</v>
      </c>
      <c r="G54" s="39">
        <v>16578.512396694216</v>
      </c>
      <c r="H54">
        <v>70</v>
      </c>
      <c r="I54">
        <v>11.4</v>
      </c>
      <c r="J54">
        <v>278</v>
      </c>
      <c r="K54">
        <v>1496</v>
      </c>
      <c r="M54">
        <v>44</v>
      </c>
      <c r="N54">
        <v>4.5999999999999996</v>
      </c>
      <c r="P54" s="40">
        <f t="shared" si="2"/>
        <v>956.52173913043498</v>
      </c>
    </row>
    <row r="55" spans="2:47" x14ac:dyDescent="0.3">
      <c r="B55" t="s">
        <v>12</v>
      </c>
      <c r="C55" t="s">
        <v>961</v>
      </c>
      <c r="D55" t="s">
        <v>46</v>
      </c>
      <c r="E55" t="s">
        <v>402</v>
      </c>
      <c r="F55" t="s">
        <v>403</v>
      </c>
      <c r="G55" s="39">
        <v>15289.256198347108</v>
      </c>
      <c r="H55">
        <v>55</v>
      </c>
      <c r="I55">
        <v>13.5</v>
      </c>
      <c r="J55">
        <v>285</v>
      </c>
      <c r="K55">
        <v>1248</v>
      </c>
      <c r="M55">
        <v>45</v>
      </c>
      <c r="N55">
        <v>4.9000000000000004</v>
      </c>
      <c r="P55" s="40">
        <f t="shared" si="2"/>
        <v>918.36734693877543</v>
      </c>
    </row>
    <row r="56" spans="2:47" x14ac:dyDescent="0.3">
      <c r="B56" t="s">
        <v>12</v>
      </c>
      <c r="C56" t="s">
        <v>961</v>
      </c>
      <c r="D56" t="s">
        <v>46</v>
      </c>
      <c r="E56" t="s">
        <v>405</v>
      </c>
      <c r="F56" t="s">
        <v>406</v>
      </c>
      <c r="G56" s="39">
        <v>16000</v>
      </c>
      <c r="H56">
        <v>66</v>
      </c>
      <c r="I56">
        <v>11.1</v>
      </c>
      <c r="J56">
        <v>330</v>
      </c>
      <c r="K56">
        <v>1422</v>
      </c>
      <c r="M56">
        <v>45</v>
      </c>
      <c r="N56">
        <v>4.9000000000000004</v>
      </c>
      <c r="P56" s="40">
        <f t="shared" si="2"/>
        <v>918.36734693877543</v>
      </c>
    </row>
    <row r="57" spans="2:47" x14ac:dyDescent="0.3">
      <c r="B57" t="s">
        <v>12</v>
      </c>
      <c r="C57" t="s">
        <v>961</v>
      </c>
      <c r="D57" t="s">
        <v>46</v>
      </c>
      <c r="E57" t="s">
        <v>408</v>
      </c>
      <c r="F57" t="s">
        <v>409</v>
      </c>
      <c r="G57" s="39">
        <v>17507.438016528926</v>
      </c>
      <c r="H57">
        <v>66</v>
      </c>
      <c r="I57">
        <v>10.9</v>
      </c>
      <c r="J57">
        <v>280</v>
      </c>
      <c r="K57">
        <v>1422</v>
      </c>
      <c r="M57">
        <v>45</v>
      </c>
      <c r="N57">
        <v>4.5999999999999996</v>
      </c>
      <c r="P57" s="40">
        <f t="shared" si="2"/>
        <v>978.26086956521738</v>
      </c>
    </row>
    <row r="58" spans="2:47" x14ac:dyDescent="0.3">
      <c r="B58" t="s">
        <v>4</v>
      </c>
      <c r="C58" t="s">
        <v>961</v>
      </c>
      <c r="D58" t="s">
        <v>46</v>
      </c>
      <c r="E58" t="s">
        <v>352</v>
      </c>
      <c r="F58" t="s">
        <v>353</v>
      </c>
      <c r="G58" s="39">
        <v>22190.082644628099</v>
      </c>
      <c r="H58">
        <v>81</v>
      </c>
      <c r="I58">
        <v>10.7</v>
      </c>
      <c r="J58">
        <v>380</v>
      </c>
      <c r="K58">
        <v>1598</v>
      </c>
      <c r="M58">
        <v>50</v>
      </c>
      <c r="N58">
        <v>4.9000000000000004</v>
      </c>
      <c r="P58" s="40">
        <f t="shared" si="2"/>
        <v>1020.4081632653061</v>
      </c>
    </row>
    <row r="59" spans="2:47" x14ac:dyDescent="0.3">
      <c r="B59" t="s">
        <v>4</v>
      </c>
      <c r="C59" t="s">
        <v>961</v>
      </c>
      <c r="D59" t="s">
        <v>46</v>
      </c>
      <c r="E59" t="s">
        <v>355</v>
      </c>
      <c r="F59" t="s">
        <v>356</v>
      </c>
      <c r="G59" s="39">
        <v>15900</v>
      </c>
      <c r="H59">
        <v>84</v>
      </c>
      <c r="I59">
        <v>11.2</v>
      </c>
      <c r="J59">
        <v>380</v>
      </c>
      <c r="K59">
        <v>1590</v>
      </c>
      <c r="M59">
        <v>60</v>
      </c>
      <c r="N59">
        <v>4.9000000000000004</v>
      </c>
      <c r="P59" s="40">
        <f t="shared" si="2"/>
        <v>1224.4897959183672</v>
      </c>
    </row>
    <row r="60" spans="2:47" x14ac:dyDescent="0.3">
      <c r="B60" t="s">
        <v>4</v>
      </c>
      <c r="C60" t="s">
        <v>961</v>
      </c>
      <c r="D60" t="s">
        <v>46</v>
      </c>
      <c r="E60" t="s">
        <v>358</v>
      </c>
      <c r="F60" t="s">
        <v>359</v>
      </c>
      <c r="G60" s="39">
        <v>20198.347107438018</v>
      </c>
      <c r="H60">
        <v>81</v>
      </c>
      <c r="I60">
        <v>10.6</v>
      </c>
      <c r="J60">
        <v>380</v>
      </c>
      <c r="K60">
        <v>1582</v>
      </c>
      <c r="M60">
        <v>53</v>
      </c>
      <c r="N60">
        <v>4.9000000000000004</v>
      </c>
      <c r="P60" s="40">
        <f t="shared" si="2"/>
        <v>1081.6326530612243</v>
      </c>
    </row>
    <row r="61" spans="2:47" x14ac:dyDescent="0.3">
      <c r="B61" t="s">
        <v>4</v>
      </c>
      <c r="C61" t="s">
        <v>961</v>
      </c>
      <c r="D61" t="s">
        <v>46</v>
      </c>
      <c r="E61" t="s">
        <v>316</v>
      </c>
      <c r="F61" t="s">
        <v>361</v>
      </c>
      <c r="G61" s="39">
        <v>24980.165289256198</v>
      </c>
      <c r="H61">
        <v>80</v>
      </c>
      <c r="I61">
        <v>11.6</v>
      </c>
      <c r="J61">
        <v>488</v>
      </c>
      <c r="K61">
        <v>1461</v>
      </c>
      <c r="M61">
        <v>40</v>
      </c>
      <c r="N61">
        <v>4.7</v>
      </c>
      <c r="P61" s="40">
        <f t="shared" si="2"/>
        <v>851.063829787234</v>
      </c>
    </row>
    <row r="62" spans="2:47" x14ac:dyDescent="0.3">
      <c r="B62" t="s">
        <v>4</v>
      </c>
      <c r="C62" t="s">
        <v>961</v>
      </c>
      <c r="D62" t="s">
        <v>46</v>
      </c>
      <c r="E62" t="s">
        <v>363</v>
      </c>
      <c r="F62" t="s">
        <v>364</v>
      </c>
      <c r="G62" s="39">
        <v>18367.768595041322</v>
      </c>
      <c r="H62">
        <v>81</v>
      </c>
      <c r="I62">
        <v>10.9</v>
      </c>
      <c r="J62">
        <v>370</v>
      </c>
      <c r="K62">
        <v>1598</v>
      </c>
      <c r="M62">
        <v>48</v>
      </c>
      <c r="N62">
        <v>4.3</v>
      </c>
      <c r="P62" s="40">
        <f t="shared" si="2"/>
        <v>1116.2790697674418</v>
      </c>
    </row>
    <row r="63" spans="2:47" ht="15.75" thickBot="1" x14ac:dyDescent="0.35">
      <c r="B63" t="s">
        <v>4</v>
      </c>
      <c r="C63" t="s">
        <v>961</v>
      </c>
      <c r="D63" t="s">
        <v>46</v>
      </c>
      <c r="E63" t="s">
        <v>366</v>
      </c>
      <c r="F63" t="s">
        <v>367</v>
      </c>
      <c r="G63" s="39">
        <v>20619.834710743802</v>
      </c>
      <c r="H63">
        <v>85</v>
      </c>
      <c r="I63">
        <v>9.9</v>
      </c>
      <c r="J63">
        <v>470</v>
      </c>
      <c r="K63">
        <v>1560</v>
      </c>
      <c r="M63">
        <v>53</v>
      </c>
      <c r="N63">
        <v>4.5999999999999996</v>
      </c>
      <c r="P63" s="40">
        <f t="shared" si="2"/>
        <v>1152.1739130434783</v>
      </c>
      <c r="AP63" t="s">
        <v>1177</v>
      </c>
    </row>
    <row r="64" spans="2:47" x14ac:dyDescent="0.3">
      <c r="B64" t="s">
        <v>4</v>
      </c>
      <c r="C64" t="s">
        <v>961</v>
      </c>
      <c r="D64" t="s">
        <v>46</v>
      </c>
      <c r="E64" t="s">
        <v>369</v>
      </c>
      <c r="F64" t="s">
        <v>370</v>
      </c>
      <c r="G64" s="39">
        <v>22314.049586776859</v>
      </c>
      <c r="H64">
        <v>81</v>
      </c>
      <c r="I64">
        <v>12</v>
      </c>
      <c r="J64">
        <v>524</v>
      </c>
      <c r="K64">
        <v>1461</v>
      </c>
      <c r="M64">
        <v>47</v>
      </c>
      <c r="N64">
        <v>4.8</v>
      </c>
      <c r="P64" s="40">
        <f t="shared" si="2"/>
        <v>979.16666666666674</v>
      </c>
      <c r="AG64" s="286" t="s">
        <v>168</v>
      </c>
      <c r="AH64" s="286" t="s">
        <v>960</v>
      </c>
      <c r="AI64" s="286" t="s">
        <v>1000</v>
      </c>
      <c r="AJ64" s="286" t="str">
        <f>input_data!$E$1</f>
        <v>Voertuigtype</v>
      </c>
      <c r="AK64" s="286" t="s">
        <v>60</v>
      </c>
      <c r="AL64" s="286" t="str">
        <f>input_data!$C$1</f>
        <v>Brandstoftype</v>
      </c>
      <c r="AM64" s="286" t="s">
        <v>999</v>
      </c>
      <c r="AN64" s="286" t="s">
        <v>1470</v>
      </c>
      <c r="AO64" s="286" t="s">
        <v>61</v>
      </c>
      <c r="AP64" s="286" t="s">
        <v>1164</v>
      </c>
      <c r="AQ64" s="286" t="s">
        <v>543</v>
      </c>
      <c r="AR64" s="286" t="s">
        <v>1385</v>
      </c>
      <c r="AS64" s="286" t="s">
        <v>1159</v>
      </c>
      <c r="AT64" s="286" t="s">
        <v>1145</v>
      </c>
      <c r="AU64" s="286" t="s">
        <v>1130</v>
      </c>
    </row>
    <row r="65" spans="2:53" x14ac:dyDescent="0.3">
      <c r="B65" t="s">
        <v>13</v>
      </c>
      <c r="C65" t="s">
        <v>961</v>
      </c>
      <c r="D65" t="s">
        <v>46</v>
      </c>
      <c r="E65" t="s">
        <v>876</v>
      </c>
      <c r="F65" t="s">
        <v>877</v>
      </c>
      <c r="G65" s="39">
        <v>30958.677685950413</v>
      </c>
      <c r="H65">
        <v>100</v>
      </c>
      <c r="I65">
        <v>9.1</v>
      </c>
      <c r="J65">
        <v>480</v>
      </c>
      <c r="K65">
        <v>1968</v>
      </c>
      <c r="M65">
        <v>40</v>
      </c>
      <c r="N65">
        <v>5.3</v>
      </c>
      <c r="P65" s="40">
        <f t="shared" si="2"/>
        <v>754.71698113207549</v>
      </c>
      <c r="AG65" s="329"/>
      <c r="AH65" s="329"/>
      <c r="AI65" s="329"/>
      <c r="AJ65" s="331" t="s">
        <v>1169</v>
      </c>
      <c r="AK65" s="329"/>
      <c r="AL65" s="329"/>
      <c r="AM65" s="329"/>
      <c r="AN65" s="329"/>
      <c r="AO65" s="331" t="s">
        <v>1143</v>
      </c>
      <c r="AP65" s="331" t="s">
        <v>1146</v>
      </c>
      <c r="AQ65" s="331" t="s">
        <v>1147</v>
      </c>
      <c r="AR65" s="331" t="s">
        <v>1137</v>
      </c>
      <c r="AS65" s="331" t="s">
        <v>1160</v>
      </c>
      <c r="AT65" s="331" t="s">
        <v>1160</v>
      </c>
      <c r="AU65" s="331" t="s">
        <v>1161</v>
      </c>
    </row>
    <row r="66" spans="2:53" ht="15.75" thickBot="1" x14ac:dyDescent="0.35">
      <c r="B66" t="s">
        <v>13</v>
      </c>
      <c r="C66" t="s">
        <v>961</v>
      </c>
      <c r="D66" t="s">
        <v>46</v>
      </c>
      <c r="E66" t="s">
        <v>879</v>
      </c>
      <c r="F66" t="s">
        <v>880</v>
      </c>
      <c r="G66" s="39">
        <v>31487.603305785124</v>
      </c>
      <c r="H66">
        <v>120</v>
      </c>
      <c r="I66">
        <v>8.1999999999999993</v>
      </c>
      <c r="J66">
        <v>495</v>
      </c>
      <c r="K66">
        <v>1995</v>
      </c>
      <c r="M66">
        <v>57</v>
      </c>
      <c r="N66">
        <v>5.3</v>
      </c>
      <c r="P66" s="40">
        <f t="shared" si="2"/>
        <v>1075.4716981132076</v>
      </c>
      <c r="AG66" s="329"/>
      <c r="AH66" s="329"/>
      <c r="AI66" s="329"/>
      <c r="AJ66" s="329"/>
      <c r="AK66" s="329"/>
      <c r="AL66" s="330"/>
      <c r="AM66" s="330"/>
      <c r="AN66" s="330"/>
      <c r="AO66" s="332" t="s">
        <v>25</v>
      </c>
      <c r="AP66" s="332" t="s">
        <v>25</v>
      </c>
      <c r="AQ66" s="332" t="s">
        <v>25</v>
      </c>
      <c r="AR66" s="332" t="s">
        <v>25</v>
      </c>
      <c r="AS66" s="332" t="s">
        <v>25</v>
      </c>
      <c r="AT66" s="332" t="s">
        <v>25</v>
      </c>
      <c r="AU66" s="332" t="s">
        <v>25</v>
      </c>
      <c r="AW66" s="328" t="s">
        <v>523</v>
      </c>
      <c r="AX66" s="328" t="s">
        <v>1398</v>
      </c>
      <c r="AY66" s="328" t="s">
        <v>1178</v>
      </c>
      <c r="AZ66" t="s">
        <v>1185</v>
      </c>
      <c r="BA66" t="s">
        <v>1186</v>
      </c>
    </row>
    <row r="67" spans="2:53" ht="15.75" thickBot="1" x14ac:dyDescent="0.35">
      <c r="B67" t="s">
        <v>13</v>
      </c>
      <c r="C67" t="s">
        <v>961</v>
      </c>
      <c r="D67" t="s">
        <v>46</v>
      </c>
      <c r="E67" t="s">
        <v>882</v>
      </c>
      <c r="F67" t="s">
        <v>883</v>
      </c>
      <c r="G67" s="39">
        <v>19500</v>
      </c>
      <c r="H67">
        <v>84</v>
      </c>
      <c r="I67">
        <v>14.3</v>
      </c>
      <c r="J67">
        <v>439</v>
      </c>
      <c r="K67">
        <v>1560</v>
      </c>
      <c r="M67">
        <v>71</v>
      </c>
      <c r="N67">
        <v>5.6</v>
      </c>
      <c r="P67" s="40">
        <f t="shared" si="2"/>
        <v>1267.8571428571429</v>
      </c>
      <c r="AG67" s="283" t="str">
        <f>input_data!$E$3</f>
        <v>Bestelauto</v>
      </c>
      <c r="AH67" s="283" t="s">
        <v>992</v>
      </c>
      <c r="AI67" s="283" t="s">
        <v>1172</v>
      </c>
      <c r="AJ67" s="283" t="s">
        <v>270</v>
      </c>
      <c r="AK67" s="283" t="s">
        <v>1173</v>
      </c>
      <c r="AL67" s="334" t="s">
        <v>15</v>
      </c>
      <c r="AM67" s="333">
        <v>2015</v>
      </c>
      <c r="AN67" s="319">
        <v>21272.25</v>
      </c>
      <c r="AO67" s="335">
        <v>127</v>
      </c>
      <c r="AP67" s="287">
        <v>0.72656865164709894</v>
      </c>
      <c r="AQ67" s="288">
        <v>1535</v>
      </c>
      <c r="AR67" s="317"/>
      <c r="AS67" s="317">
        <v>9</v>
      </c>
      <c r="AT67" s="317">
        <v>0</v>
      </c>
      <c r="AU67" s="318">
        <v>914.75</v>
      </c>
      <c r="AZ67">
        <v>15250</v>
      </c>
      <c r="BA67">
        <v>6022.25</v>
      </c>
    </row>
    <row r="68" spans="2:53" ht="15.75" thickBot="1" x14ac:dyDescent="0.35">
      <c r="B68" t="s">
        <v>13</v>
      </c>
      <c r="C68" t="s">
        <v>961</v>
      </c>
      <c r="D68" t="s">
        <v>46</v>
      </c>
      <c r="E68" t="s">
        <v>885</v>
      </c>
      <c r="F68" t="s">
        <v>886</v>
      </c>
      <c r="G68" s="39">
        <v>27768.595041322315</v>
      </c>
      <c r="H68">
        <v>100</v>
      </c>
      <c r="I68">
        <v>10.9</v>
      </c>
      <c r="J68">
        <v>530</v>
      </c>
      <c r="K68">
        <v>1598</v>
      </c>
      <c r="M68">
        <v>70</v>
      </c>
      <c r="N68">
        <v>6.1</v>
      </c>
      <c r="P68" s="40">
        <f t="shared" si="2"/>
        <v>1147.5409836065576</v>
      </c>
      <c r="AG68" s="283" t="str">
        <f>input_data!$E$3</f>
        <v>Bestelauto</v>
      </c>
      <c r="AH68" s="283" t="s">
        <v>992</v>
      </c>
      <c r="AI68" s="283" t="s">
        <v>1175</v>
      </c>
      <c r="AJ68" s="283" t="s">
        <v>270</v>
      </c>
      <c r="AK68" s="283" t="s">
        <v>1173</v>
      </c>
      <c r="AL68" s="334" t="s">
        <v>141</v>
      </c>
      <c r="AM68" s="333">
        <v>2015</v>
      </c>
      <c r="AN68" s="319">
        <v>25706.67</v>
      </c>
      <c r="AO68" s="335"/>
      <c r="AP68" s="287">
        <v>0.69059002974714345</v>
      </c>
      <c r="AQ68" s="288">
        <v>1565</v>
      </c>
      <c r="AR68" s="317">
        <v>19.5</v>
      </c>
      <c r="AS68" s="317">
        <v>8</v>
      </c>
      <c r="AT68" s="317">
        <v>0</v>
      </c>
      <c r="AU68" s="318">
        <v>868.95</v>
      </c>
      <c r="AW68" s="47">
        <v>0.15</v>
      </c>
      <c r="AX68">
        <v>1.46</v>
      </c>
      <c r="AY68">
        <v>33.15</v>
      </c>
      <c r="AZ68">
        <v>25706.67</v>
      </c>
    </row>
    <row r="69" spans="2:53" x14ac:dyDescent="0.3">
      <c r="B69" t="s">
        <v>13</v>
      </c>
      <c r="C69" t="s">
        <v>961</v>
      </c>
      <c r="D69" t="s">
        <v>46</v>
      </c>
      <c r="E69" t="s">
        <v>888</v>
      </c>
      <c r="F69" t="s">
        <v>889</v>
      </c>
      <c r="G69" s="39">
        <v>23842.975206611573</v>
      </c>
      <c r="H69">
        <v>110</v>
      </c>
      <c r="I69">
        <v>8.5</v>
      </c>
      <c r="J69">
        <v>590</v>
      </c>
      <c r="K69">
        <v>1968</v>
      </c>
      <c r="M69">
        <v>50</v>
      </c>
      <c r="N69">
        <v>5.7</v>
      </c>
      <c r="P69" s="40">
        <f t="shared" ref="P69:P83" si="3">IFERROR(M69/N69*100,0)+IFERROR(L69/O69*100,0)</f>
        <v>877.19298245614027</v>
      </c>
    </row>
    <row r="70" spans="2:53" x14ac:dyDescent="0.3">
      <c r="B70" t="s">
        <v>14</v>
      </c>
      <c r="C70" t="s">
        <v>961</v>
      </c>
      <c r="D70" t="s">
        <v>46</v>
      </c>
      <c r="E70" t="s">
        <v>438</v>
      </c>
      <c r="F70" t="s">
        <v>439</v>
      </c>
      <c r="G70" s="39">
        <v>34933.884297520664</v>
      </c>
      <c r="H70">
        <v>140</v>
      </c>
      <c r="I70">
        <v>8.4</v>
      </c>
      <c r="J70">
        <v>530</v>
      </c>
      <c r="K70">
        <v>1968</v>
      </c>
      <c r="M70">
        <v>73</v>
      </c>
      <c r="N70">
        <v>5.7</v>
      </c>
      <c r="P70" s="40">
        <f t="shared" si="3"/>
        <v>1280.7017543859649</v>
      </c>
    </row>
    <row r="71" spans="2:53" x14ac:dyDescent="0.3">
      <c r="B71" t="s">
        <v>14</v>
      </c>
      <c r="C71" t="s">
        <v>961</v>
      </c>
      <c r="D71" t="s">
        <v>46</v>
      </c>
      <c r="E71" t="s">
        <v>441</v>
      </c>
      <c r="F71" t="s">
        <v>442</v>
      </c>
      <c r="G71" s="39">
        <v>40206.611570247936</v>
      </c>
      <c r="H71">
        <v>140</v>
      </c>
      <c r="I71">
        <v>7.9</v>
      </c>
      <c r="J71">
        <v>520</v>
      </c>
      <c r="K71">
        <v>1995</v>
      </c>
      <c r="M71">
        <v>70</v>
      </c>
      <c r="N71">
        <v>6.1</v>
      </c>
      <c r="P71" s="40">
        <f t="shared" si="3"/>
        <v>1147.5409836065576</v>
      </c>
    </row>
    <row r="72" spans="2:53" x14ac:dyDescent="0.3">
      <c r="B72" t="s">
        <v>14</v>
      </c>
      <c r="C72" t="s">
        <v>961</v>
      </c>
      <c r="D72" t="s">
        <v>46</v>
      </c>
      <c r="E72" t="s">
        <v>444</v>
      </c>
      <c r="F72" t="s">
        <v>445</v>
      </c>
      <c r="G72" s="39">
        <v>39545.454545454544</v>
      </c>
      <c r="H72">
        <v>132</v>
      </c>
      <c r="I72">
        <v>8.1</v>
      </c>
      <c r="J72">
        <v>540</v>
      </c>
      <c r="K72">
        <v>1999</v>
      </c>
      <c r="M72">
        <v>66</v>
      </c>
      <c r="N72">
        <v>5.6</v>
      </c>
      <c r="P72" s="40">
        <f t="shared" si="3"/>
        <v>1178.5714285714287</v>
      </c>
    </row>
    <row r="73" spans="2:53" x14ac:dyDescent="0.3">
      <c r="B73" t="s">
        <v>14</v>
      </c>
      <c r="C73" t="s">
        <v>961</v>
      </c>
      <c r="D73" t="s">
        <v>46</v>
      </c>
      <c r="E73" t="s">
        <v>447</v>
      </c>
      <c r="F73" t="s">
        <v>448</v>
      </c>
      <c r="G73" s="39">
        <v>46519.834710743802</v>
      </c>
      <c r="H73">
        <v>170</v>
      </c>
      <c r="I73">
        <v>7.1</v>
      </c>
      <c r="J73">
        <v>505</v>
      </c>
      <c r="K73">
        <v>2143</v>
      </c>
      <c r="M73">
        <v>80</v>
      </c>
      <c r="N73">
        <v>4.9000000000000004</v>
      </c>
      <c r="P73" s="40">
        <f t="shared" si="3"/>
        <v>1632.6530612244899</v>
      </c>
    </row>
    <row r="74" spans="2:53" x14ac:dyDescent="0.3">
      <c r="B74" t="s">
        <v>4</v>
      </c>
      <c r="C74" t="s">
        <v>961</v>
      </c>
      <c r="D74" t="s">
        <v>175</v>
      </c>
      <c r="E74" t="s">
        <v>372</v>
      </c>
      <c r="F74" t="s">
        <v>373</v>
      </c>
      <c r="G74" s="39">
        <v>31380.165289256198</v>
      </c>
      <c r="H74">
        <v>150</v>
      </c>
      <c r="I74">
        <v>7.4</v>
      </c>
      <c r="J74">
        <v>280</v>
      </c>
      <c r="K74">
        <v>1395</v>
      </c>
      <c r="L74">
        <v>8.8000000000000007</v>
      </c>
      <c r="M74">
        <v>40</v>
      </c>
      <c r="N74">
        <v>2.9</v>
      </c>
      <c r="O74">
        <v>7.4</v>
      </c>
      <c r="P74" s="40">
        <f t="shared" si="3"/>
        <v>1498.2292637465052</v>
      </c>
    </row>
    <row r="75" spans="2:53" x14ac:dyDescent="0.3">
      <c r="B75" t="s">
        <v>4</v>
      </c>
      <c r="C75" t="s">
        <v>961</v>
      </c>
      <c r="D75" t="s">
        <v>175</v>
      </c>
      <c r="E75" t="s">
        <v>375</v>
      </c>
      <c r="F75" t="s">
        <v>376</v>
      </c>
      <c r="G75" s="39">
        <v>31280.991735537191</v>
      </c>
      <c r="H75">
        <v>165</v>
      </c>
      <c r="I75">
        <v>6.7</v>
      </c>
      <c r="J75">
        <v>468</v>
      </c>
      <c r="K75">
        <v>1496</v>
      </c>
      <c r="L75">
        <v>7.7</v>
      </c>
      <c r="M75">
        <v>36</v>
      </c>
      <c r="N75">
        <v>3.4</v>
      </c>
      <c r="O75">
        <v>12</v>
      </c>
      <c r="P75" s="40">
        <f t="shared" si="3"/>
        <v>1122.9901960784314</v>
      </c>
    </row>
    <row r="76" spans="2:53" x14ac:dyDescent="0.3">
      <c r="B76" t="s">
        <v>4</v>
      </c>
      <c r="C76" t="s">
        <v>961</v>
      </c>
      <c r="D76" t="s">
        <v>175</v>
      </c>
      <c r="E76" t="s">
        <v>378</v>
      </c>
      <c r="F76" t="s">
        <v>379</v>
      </c>
      <c r="G76" s="39">
        <v>35909.090909090912</v>
      </c>
      <c r="H76">
        <v>125</v>
      </c>
      <c r="I76">
        <v>7.9</v>
      </c>
      <c r="J76">
        <v>260</v>
      </c>
      <c r="K76" s="268">
        <v>1496</v>
      </c>
      <c r="L76">
        <v>19</v>
      </c>
      <c r="M76">
        <v>9</v>
      </c>
      <c r="N76">
        <v>3.1</v>
      </c>
      <c r="O76">
        <v>7.4</v>
      </c>
      <c r="P76" s="40">
        <f t="shared" si="3"/>
        <v>547.07933740191811</v>
      </c>
    </row>
    <row r="77" spans="2:53" x14ac:dyDescent="0.3">
      <c r="B77" t="s">
        <v>4</v>
      </c>
      <c r="C77" t="s">
        <v>961</v>
      </c>
      <c r="D77" t="s">
        <v>175</v>
      </c>
      <c r="E77" t="s">
        <v>381</v>
      </c>
      <c r="F77" t="s">
        <v>382</v>
      </c>
      <c r="G77" s="39">
        <v>32975.206611570247</v>
      </c>
      <c r="H77">
        <v>11</v>
      </c>
      <c r="I77">
        <v>9</v>
      </c>
      <c r="J77">
        <v>310</v>
      </c>
      <c r="K77">
        <v>1398</v>
      </c>
      <c r="L77">
        <v>16</v>
      </c>
      <c r="M77">
        <v>35</v>
      </c>
      <c r="N77">
        <v>3.4</v>
      </c>
      <c r="O77">
        <v>8.5</v>
      </c>
      <c r="P77" s="40">
        <f t="shared" si="3"/>
        <v>1217.6470588235295</v>
      </c>
    </row>
    <row r="78" spans="2:53" x14ac:dyDescent="0.3">
      <c r="B78" t="s">
        <v>4</v>
      </c>
      <c r="C78" t="s">
        <v>961</v>
      </c>
      <c r="D78" t="s">
        <v>175</v>
      </c>
      <c r="E78" t="s">
        <v>384</v>
      </c>
      <c r="F78" t="s">
        <v>385</v>
      </c>
      <c r="G78" s="39">
        <v>32165.289256198346</v>
      </c>
      <c r="H78">
        <v>150</v>
      </c>
      <c r="I78">
        <v>7.6</v>
      </c>
      <c r="J78">
        <v>272</v>
      </c>
      <c r="K78">
        <v>1395</v>
      </c>
      <c r="L78">
        <v>8.8000000000000007</v>
      </c>
      <c r="M78">
        <v>40</v>
      </c>
      <c r="N78">
        <v>2.9</v>
      </c>
      <c r="O78">
        <v>7.4</v>
      </c>
      <c r="P78" s="40">
        <f t="shared" si="3"/>
        <v>1498.2292637465052</v>
      </c>
    </row>
    <row r="79" spans="2:53" x14ac:dyDescent="0.3">
      <c r="B79" t="s">
        <v>13</v>
      </c>
      <c r="C79" t="s">
        <v>961</v>
      </c>
      <c r="D79" t="s">
        <v>175</v>
      </c>
      <c r="E79" t="s">
        <v>849</v>
      </c>
      <c r="F79" t="s">
        <v>850</v>
      </c>
      <c r="G79" s="39">
        <v>35743.801652892565</v>
      </c>
      <c r="H79">
        <v>185</v>
      </c>
      <c r="I79">
        <v>6.1</v>
      </c>
      <c r="J79">
        <v>480</v>
      </c>
      <c r="K79">
        <v>1998</v>
      </c>
      <c r="L79">
        <v>7.6</v>
      </c>
      <c r="M79">
        <v>41</v>
      </c>
      <c r="N79">
        <v>3.2</v>
      </c>
      <c r="O79">
        <v>12.4</v>
      </c>
      <c r="P79" s="40">
        <f t="shared" si="3"/>
        <v>1342.5403225806451</v>
      </c>
    </row>
    <row r="80" spans="2:53" x14ac:dyDescent="0.3">
      <c r="B80" t="s">
        <v>13</v>
      </c>
      <c r="C80" t="s">
        <v>961</v>
      </c>
      <c r="D80" t="s">
        <v>175</v>
      </c>
      <c r="E80" t="s">
        <v>852</v>
      </c>
      <c r="F80" t="s">
        <v>853</v>
      </c>
      <c r="G80" s="39">
        <v>43650.413223140495</v>
      </c>
      <c r="H80">
        <v>205</v>
      </c>
      <c r="I80">
        <v>5.9</v>
      </c>
      <c r="J80">
        <v>335</v>
      </c>
      <c r="K80">
        <v>1991</v>
      </c>
      <c r="L80">
        <v>6.2</v>
      </c>
      <c r="M80">
        <v>50</v>
      </c>
      <c r="N80">
        <v>3.1</v>
      </c>
      <c r="O80">
        <v>7.2</v>
      </c>
      <c r="P80" s="40">
        <f t="shared" si="3"/>
        <v>1699.0143369175628</v>
      </c>
    </row>
    <row r="81" spans="2:29" x14ac:dyDescent="0.3">
      <c r="B81" t="s">
        <v>13</v>
      </c>
      <c r="C81" t="s">
        <v>961</v>
      </c>
      <c r="D81" t="s">
        <v>175</v>
      </c>
      <c r="E81" t="s">
        <v>815</v>
      </c>
      <c r="F81" t="s">
        <v>855</v>
      </c>
      <c r="G81" s="39">
        <v>30537.190082644629</v>
      </c>
      <c r="H81">
        <v>100</v>
      </c>
      <c r="I81">
        <v>10.7</v>
      </c>
      <c r="J81">
        <v>443</v>
      </c>
      <c r="K81">
        <v>1798</v>
      </c>
      <c r="L81">
        <v>4.4000000000000004</v>
      </c>
      <c r="M81">
        <v>45</v>
      </c>
      <c r="N81">
        <v>2.6</v>
      </c>
      <c r="O81">
        <v>3.4</v>
      </c>
      <c r="P81" s="40">
        <f t="shared" si="3"/>
        <v>1860.1809954751131</v>
      </c>
    </row>
    <row r="82" spans="2:29" x14ac:dyDescent="0.3">
      <c r="B82" t="s">
        <v>13</v>
      </c>
      <c r="C82" t="s">
        <v>961</v>
      </c>
      <c r="D82" t="s">
        <v>175</v>
      </c>
      <c r="E82" t="s">
        <v>857</v>
      </c>
      <c r="F82" t="s">
        <v>858</v>
      </c>
      <c r="G82" s="39">
        <v>37479.338842975209</v>
      </c>
      <c r="H82">
        <v>160</v>
      </c>
      <c r="I82">
        <v>7.4</v>
      </c>
      <c r="J82">
        <v>402</v>
      </c>
      <c r="K82">
        <v>1395</v>
      </c>
      <c r="L82">
        <v>9.9</v>
      </c>
      <c r="M82">
        <v>50</v>
      </c>
      <c r="N82">
        <v>3.1</v>
      </c>
      <c r="O82">
        <v>12.9</v>
      </c>
      <c r="P82" s="40">
        <f t="shared" si="3"/>
        <v>1689.6474118529634</v>
      </c>
    </row>
    <row r="83" spans="2:29" x14ac:dyDescent="0.3">
      <c r="B83" t="s">
        <v>13</v>
      </c>
      <c r="C83" t="s">
        <v>961</v>
      </c>
      <c r="D83" t="s">
        <v>175</v>
      </c>
      <c r="E83" t="s">
        <v>860</v>
      </c>
      <c r="F83" t="s">
        <v>861</v>
      </c>
      <c r="G83" s="39">
        <v>48495.867768595046</v>
      </c>
      <c r="H83">
        <v>212</v>
      </c>
      <c r="I83">
        <v>6</v>
      </c>
      <c r="J83">
        <v>310</v>
      </c>
      <c r="K83">
        <v>2400</v>
      </c>
      <c r="L83">
        <v>11.2</v>
      </c>
      <c r="M83">
        <v>46</v>
      </c>
      <c r="N83">
        <v>1.2</v>
      </c>
      <c r="O83">
        <v>8.6</v>
      </c>
      <c r="P83" s="40">
        <f t="shared" si="3"/>
        <v>3963.5658914728683</v>
      </c>
    </row>
    <row r="96" spans="2:29" x14ac:dyDescent="0.3">
      <c r="B96" t="s">
        <v>60</v>
      </c>
      <c r="C96" t="s">
        <v>39</v>
      </c>
      <c r="D96" t="s">
        <v>450</v>
      </c>
      <c r="E96" t="s">
        <v>451</v>
      </c>
      <c r="F96" t="s">
        <v>452</v>
      </c>
      <c r="G96" t="s">
        <v>454</v>
      </c>
      <c r="H96" t="s">
        <v>453</v>
      </c>
      <c r="I96" t="s">
        <v>953</v>
      </c>
      <c r="L96" t="s">
        <v>87</v>
      </c>
      <c r="N96" t="s">
        <v>89</v>
      </c>
      <c r="P96" t="s">
        <v>91</v>
      </c>
      <c r="R96" t="s">
        <v>93</v>
      </c>
      <c r="T96" t="s">
        <v>95</v>
      </c>
      <c r="V96" t="s">
        <v>97</v>
      </c>
      <c r="X96" t="s">
        <v>99</v>
      </c>
      <c r="Z96" t="s">
        <v>99</v>
      </c>
      <c r="AA96" t="s">
        <v>101</v>
      </c>
      <c r="AB96" t="s">
        <v>101</v>
      </c>
      <c r="AC96" t="s">
        <v>101</v>
      </c>
    </row>
    <row r="97" spans="2:27" x14ac:dyDescent="0.3">
      <c r="B97" t="s">
        <v>11</v>
      </c>
      <c r="C97" t="s">
        <v>45</v>
      </c>
      <c r="D97" t="s">
        <v>69</v>
      </c>
      <c r="E97" t="s">
        <v>70</v>
      </c>
      <c r="F97" t="s">
        <v>414</v>
      </c>
      <c r="G97" t="s">
        <v>702</v>
      </c>
      <c r="H97">
        <v>14450</v>
      </c>
      <c r="I97" s="266">
        <f t="shared" ref="I97:I128" si="4">H97/(1+input_btw)</f>
        <v>14450</v>
      </c>
      <c r="L97" s="76" t="s">
        <v>88</v>
      </c>
      <c r="M97" s="76">
        <f t="shared" ref="M97:M125" si="5">VALUE(LEFT(L97,2))</f>
        <v>50</v>
      </c>
      <c r="N97" s="76" t="s">
        <v>90</v>
      </c>
      <c r="O97" s="210">
        <f t="shared" ref="O97:O128" si="6">VALUE(LEFT(N97,4))</f>
        <v>14.6</v>
      </c>
      <c r="P97" s="76" t="s">
        <v>92</v>
      </c>
      <c r="Q97" s="211">
        <f t="shared" ref="Q97:Q128" si="7">VALUE(LEFT(P97,4))</f>
        <v>196</v>
      </c>
      <c r="R97" s="76" t="s">
        <v>94</v>
      </c>
      <c r="S97" s="211">
        <f t="shared" ref="S97:S128" si="8">VALUE(LEFT(R97,4))</f>
        <v>998</v>
      </c>
      <c r="T97" s="76" t="s">
        <v>96</v>
      </c>
      <c r="U97" s="210" t="e">
        <f t="shared" ref="U97:U128" si="9">VALUE(LEFT(T97,4))</f>
        <v>#VALUE!</v>
      </c>
      <c r="V97" s="76" t="s">
        <v>98</v>
      </c>
      <c r="W97" s="210">
        <f t="shared" ref="W97:W128" si="10">VALUE(LEFT(V97,3))</f>
        <v>35</v>
      </c>
      <c r="X97" s="76" t="s">
        <v>100</v>
      </c>
      <c r="Y97" s="210">
        <f t="shared" ref="Y97:Y105" si="11">VALUE(LEFT(X97,3))</f>
        <v>5.5</v>
      </c>
      <c r="AA97" s="76" t="s">
        <v>102</v>
      </c>
    </row>
    <row r="98" spans="2:27" x14ac:dyDescent="0.3">
      <c r="B98" t="s">
        <v>11</v>
      </c>
      <c r="C98" t="s">
        <v>45</v>
      </c>
      <c r="D98" t="s">
        <v>71</v>
      </c>
      <c r="E98" t="s">
        <v>72</v>
      </c>
      <c r="F98" t="s">
        <v>415</v>
      </c>
      <c r="G98" t="s">
        <v>703</v>
      </c>
      <c r="H98">
        <v>13890</v>
      </c>
      <c r="I98" s="266">
        <f t="shared" si="4"/>
        <v>13890</v>
      </c>
      <c r="L98" s="76" t="s">
        <v>103</v>
      </c>
      <c r="M98" s="76">
        <f t="shared" si="5"/>
        <v>51</v>
      </c>
      <c r="N98" s="76" t="s">
        <v>104</v>
      </c>
      <c r="O98" s="210">
        <f t="shared" si="6"/>
        <v>12.9</v>
      </c>
      <c r="P98" s="76" t="s">
        <v>105</v>
      </c>
      <c r="Q98" s="211">
        <f t="shared" si="7"/>
        <v>185</v>
      </c>
      <c r="R98" s="76" t="s">
        <v>106</v>
      </c>
      <c r="S98" s="211">
        <f t="shared" si="8"/>
        <v>1242</v>
      </c>
      <c r="T98" s="76" t="s">
        <v>96</v>
      </c>
      <c r="U98" s="210" t="e">
        <f t="shared" si="9"/>
        <v>#VALUE!</v>
      </c>
      <c r="V98" s="76" t="s">
        <v>98</v>
      </c>
      <c r="W98" s="210">
        <f t="shared" si="10"/>
        <v>35</v>
      </c>
      <c r="X98" s="76" t="s">
        <v>100</v>
      </c>
      <c r="Y98" s="210">
        <f t="shared" si="11"/>
        <v>5.5</v>
      </c>
      <c r="AA98" s="76" t="s">
        <v>102</v>
      </c>
    </row>
    <row r="99" spans="2:27" x14ac:dyDescent="0.3">
      <c r="B99" t="s">
        <v>11</v>
      </c>
      <c r="C99" t="s">
        <v>45</v>
      </c>
      <c r="D99" t="s">
        <v>73</v>
      </c>
      <c r="E99" t="s">
        <v>74</v>
      </c>
      <c r="F99" t="s">
        <v>416</v>
      </c>
      <c r="G99" t="s">
        <v>704</v>
      </c>
      <c r="H99">
        <v>12549</v>
      </c>
      <c r="I99" s="266">
        <f t="shared" si="4"/>
        <v>12549</v>
      </c>
      <c r="L99" s="76" t="s">
        <v>107</v>
      </c>
      <c r="M99" s="76">
        <f t="shared" si="5"/>
        <v>49</v>
      </c>
      <c r="N99" s="76" t="s">
        <v>108</v>
      </c>
      <c r="O99" s="210">
        <f t="shared" si="6"/>
        <v>15.1</v>
      </c>
      <c r="P99" s="76" t="s">
        <v>109</v>
      </c>
      <c r="Q99" s="211">
        <f t="shared" si="7"/>
        <v>252</v>
      </c>
      <c r="R99" s="76" t="s">
        <v>94</v>
      </c>
      <c r="S99" s="211">
        <f t="shared" si="8"/>
        <v>998</v>
      </c>
      <c r="T99" s="76" t="s">
        <v>96</v>
      </c>
      <c r="U99" s="210" t="e">
        <f t="shared" si="9"/>
        <v>#VALUE!</v>
      </c>
      <c r="V99" s="76" t="s">
        <v>110</v>
      </c>
      <c r="W99" s="210">
        <f t="shared" si="10"/>
        <v>40</v>
      </c>
      <c r="X99" s="76" t="s">
        <v>111</v>
      </c>
      <c r="Y99" s="210">
        <f t="shared" si="11"/>
        <v>5.6</v>
      </c>
      <c r="AA99" s="76" t="s">
        <v>112</v>
      </c>
    </row>
    <row r="100" spans="2:27" x14ac:dyDescent="0.3">
      <c r="B100" t="s">
        <v>11</v>
      </c>
      <c r="C100" t="s">
        <v>45</v>
      </c>
      <c r="D100" t="s">
        <v>75</v>
      </c>
      <c r="E100" t="s">
        <v>76</v>
      </c>
      <c r="F100" t="s">
        <v>417</v>
      </c>
      <c r="G100" t="s">
        <v>705</v>
      </c>
      <c r="H100">
        <v>11350</v>
      </c>
      <c r="I100" s="266">
        <f t="shared" si="4"/>
        <v>11350</v>
      </c>
      <c r="L100" s="76" t="s">
        <v>123</v>
      </c>
      <c r="M100" s="76">
        <f t="shared" si="5"/>
        <v>55</v>
      </c>
      <c r="N100" s="76" t="s">
        <v>124</v>
      </c>
      <c r="O100" s="210">
        <f t="shared" si="6"/>
        <v>13.9</v>
      </c>
      <c r="P100" s="76" t="s">
        <v>125</v>
      </c>
      <c r="Q100" s="211">
        <f t="shared" si="7"/>
        <v>195</v>
      </c>
      <c r="R100" s="76" t="s">
        <v>119</v>
      </c>
      <c r="S100" s="211">
        <f t="shared" si="8"/>
        <v>999</v>
      </c>
      <c r="T100" s="76" t="s">
        <v>96</v>
      </c>
      <c r="U100" s="210" t="e">
        <f t="shared" si="9"/>
        <v>#VALUE!</v>
      </c>
      <c r="V100" s="76" t="s">
        <v>126</v>
      </c>
      <c r="W100" s="210">
        <f t="shared" si="10"/>
        <v>32</v>
      </c>
      <c r="X100" s="76" t="s">
        <v>127</v>
      </c>
      <c r="Y100" s="210">
        <f t="shared" si="11"/>
        <v>5.3</v>
      </c>
      <c r="AA100" s="76" t="s">
        <v>128</v>
      </c>
    </row>
    <row r="101" spans="2:27" x14ac:dyDescent="0.3">
      <c r="B101" t="s">
        <v>11</v>
      </c>
      <c r="C101" t="s">
        <v>45</v>
      </c>
      <c r="D101" t="s">
        <v>77</v>
      </c>
      <c r="E101" t="s">
        <v>78</v>
      </c>
      <c r="F101" t="s">
        <v>418</v>
      </c>
      <c r="G101" t="s">
        <v>706</v>
      </c>
      <c r="H101">
        <v>12295</v>
      </c>
      <c r="I101" s="266">
        <f t="shared" si="4"/>
        <v>12295</v>
      </c>
      <c r="L101" s="76" t="s">
        <v>103</v>
      </c>
      <c r="M101" s="76">
        <f t="shared" si="5"/>
        <v>51</v>
      </c>
      <c r="N101" s="76" t="s">
        <v>113</v>
      </c>
      <c r="O101" s="210">
        <f t="shared" si="6"/>
        <v>13</v>
      </c>
      <c r="P101" s="76" t="s">
        <v>92</v>
      </c>
      <c r="Q101" s="211">
        <f t="shared" si="7"/>
        <v>196</v>
      </c>
      <c r="R101" s="76" t="s">
        <v>94</v>
      </c>
      <c r="S101" s="211">
        <f t="shared" si="8"/>
        <v>998</v>
      </c>
      <c r="T101" s="76" t="s">
        <v>96</v>
      </c>
      <c r="U101" s="210" t="e">
        <f t="shared" si="9"/>
        <v>#VALUE!</v>
      </c>
      <c r="V101" s="76" t="s">
        <v>98</v>
      </c>
      <c r="W101" s="210">
        <f t="shared" si="10"/>
        <v>35</v>
      </c>
      <c r="X101" s="76" t="s">
        <v>114</v>
      </c>
      <c r="Y101" s="210">
        <f t="shared" si="11"/>
        <v>4.9000000000000004</v>
      </c>
      <c r="AA101" s="76" t="s">
        <v>115</v>
      </c>
    </row>
    <row r="102" spans="2:27" x14ac:dyDescent="0.3">
      <c r="B102" t="s">
        <v>11</v>
      </c>
      <c r="C102" t="s">
        <v>45</v>
      </c>
      <c r="D102" t="s">
        <v>79</v>
      </c>
      <c r="E102" t="s">
        <v>80</v>
      </c>
      <c r="F102" t="s">
        <v>419</v>
      </c>
      <c r="G102" t="s">
        <v>707</v>
      </c>
      <c r="H102">
        <v>10350</v>
      </c>
      <c r="I102" s="266">
        <f t="shared" si="4"/>
        <v>10350</v>
      </c>
      <c r="L102" s="76" t="s">
        <v>132</v>
      </c>
      <c r="M102" s="76">
        <f t="shared" si="5"/>
        <v>52</v>
      </c>
      <c r="N102" s="76" t="s">
        <v>133</v>
      </c>
      <c r="O102" s="210">
        <f t="shared" si="6"/>
        <v>14.5</v>
      </c>
      <c r="P102" s="76" t="s">
        <v>134</v>
      </c>
      <c r="Q102" s="211">
        <f t="shared" si="7"/>
        <v>219</v>
      </c>
      <c r="R102" s="76" t="s">
        <v>119</v>
      </c>
      <c r="S102" s="211">
        <f t="shared" si="8"/>
        <v>999</v>
      </c>
      <c r="T102" s="76" t="s">
        <v>96</v>
      </c>
      <c r="U102" s="210" t="e">
        <f t="shared" si="9"/>
        <v>#VALUE!</v>
      </c>
      <c r="V102" s="76" t="s">
        <v>98</v>
      </c>
      <c r="W102" s="210">
        <f t="shared" si="10"/>
        <v>35</v>
      </c>
      <c r="X102" s="76" t="s">
        <v>100</v>
      </c>
      <c r="Y102" s="210">
        <f t="shared" si="11"/>
        <v>5.5</v>
      </c>
      <c r="AA102" s="76" t="s">
        <v>102</v>
      </c>
    </row>
    <row r="103" spans="2:27" x14ac:dyDescent="0.3">
      <c r="B103" t="s">
        <v>11</v>
      </c>
      <c r="C103" t="s">
        <v>45</v>
      </c>
      <c r="D103" t="s">
        <v>81</v>
      </c>
      <c r="E103" t="s">
        <v>82</v>
      </c>
      <c r="F103" t="s">
        <v>420</v>
      </c>
      <c r="G103" t="s">
        <v>708</v>
      </c>
      <c r="H103">
        <v>13794</v>
      </c>
      <c r="I103" s="266">
        <f t="shared" si="4"/>
        <v>13794</v>
      </c>
      <c r="L103" s="76" t="s">
        <v>116</v>
      </c>
      <c r="M103" s="76">
        <f t="shared" si="5"/>
        <v>62</v>
      </c>
      <c r="N103" s="76" t="s">
        <v>117</v>
      </c>
      <c r="O103" s="210">
        <f t="shared" si="6"/>
        <v>10.7</v>
      </c>
      <c r="P103" s="76" t="s">
        <v>118</v>
      </c>
      <c r="Q103" s="211">
        <f t="shared" si="7"/>
        <v>220</v>
      </c>
      <c r="R103" s="76" t="s">
        <v>119</v>
      </c>
      <c r="S103" s="211">
        <f t="shared" si="8"/>
        <v>999</v>
      </c>
      <c r="T103" s="76" t="s">
        <v>96</v>
      </c>
      <c r="U103" s="210" t="e">
        <f t="shared" si="9"/>
        <v>#VALUE!</v>
      </c>
      <c r="V103" s="76" t="s">
        <v>120</v>
      </c>
      <c r="W103" s="210">
        <f t="shared" si="10"/>
        <v>33</v>
      </c>
      <c r="X103" s="76" t="s">
        <v>121</v>
      </c>
      <c r="Y103" s="210">
        <f t="shared" si="11"/>
        <v>6.4</v>
      </c>
      <c r="AA103" s="76" t="s">
        <v>122</v>
      </c>
    </row>
    <row r="104" spans="2:27" x14ac:dyDescent="0.3">
      <c r="B104" t="s">
        <v>11</v>
      </c>
      <c r="C104" t="s">
        <v>45</v>
      </c>
      <c r="D104" t="s">
        <v>83</v>
      </c>
      <c r="E104" t="s">
        <v>84</v>
      </c>
      <c r="F104" t="s">
        <v>421</v>
      </c>
      <c r="G104" t="s">
        <v>709</v>
      </c>
      <c r="H104">
        <v>11990</v>
      </c>
      <c r="I104" s="266">
        <f t="shared" si="4"/>
        <v>11990</v>
      </c>
      <c r="L104" s="76" t="s">
        <v>103</v>
      </c>
      <c r="M104" s="76">
        <f t="shared" si="5"/>
        <v>51</v>
      </c>
      <c r="N104" s="76" t="s">
        <v>129</v>
      </c>
      <c r="O104" s="210">
        <f t="shared" si="6"/>
        <v>14.2</v>
      </c>
      <c r="P104" s="76" t="s">
        <v>130</v>
      </c>
      <c r="Q104" s="211">
        <f t="shared" si="7"/>
        <v>168</v>
      </c>
      <c r="R104" s="76" t="s">
        <v>94</v>
      </c>
      <c r="S104" s="211">
        <f t="shared" si="8"/>
        <v>998</v>
      </c>
      <c r="T104" s="76" t="s">
        <v>96</v>
      </c>
      <c r="U104" s="210" t="e">
        <f t="shared" si="9"/>
        <v>#VALUE!</v>
      </c>
      <c r="V104" s="76" t="s">
        <v>98</v>
      </c>
      <c r="W104" s="210">
        <f t="shared" si="10"/>
        <v>35</v>
      </c>
      <c r="X104" s="76" t="s">
        <v>127</v>
      </c>
      <c r="Y104" s="210">
        <f t="shared" si="11"/>
        <v>5.3</v>
      </c>
      <c r="AA104" s="76" t="s">
        <v>131</v>
      </c>
    </row>
    <row r="105" spans="2:27" x14ac:dyDescent="0.3">
      <c r="B105" t="s">
        <v>11</v>
      </c>
      <c r="C105" t="s">
        <v>45</v>
      </c>
      <c r="D105" t="s">
        <v>85</v>
      </c>
      <c r="E105" t="s">
        <v>86</v>
      </c>
      <c r="F105" t="s">
        <v>422</v>
      </c>
      <c r="G105" t="s">
        <v>710</v>
      </c>
      <c r="H105">
        <v>13651</v>
      </c>
      <c r="I105" s="266">
        <f t="shared" si="4"/>
        <v>13651</v>
      </c>
      <c r="L105" s="76" t="s">
        <v>123</v>
      </c>
      <c r="M105" s="76">
        <f t="shared" si="5"/>
        <v>55</v>
      </c>
      <c r="N105" s="76" t="s">
        <v>135</v>
      </c>
      <c r="O105" s="210">
        <f t="shared" si="6"/>
        <v>13.2</v>
      </c>
      <c r="P105" s="76" t="s">
        <v>136</v>
      </c>
      <c r="Q105" s="211">
        <f t="shared" si="7"/>
        <v>251</v>
      </c>
      <c r="R105" s="76" t="s">
        <v>119</v>
      </c>
      <c r="S105" s="211">
        <f t="shared" si="8"/>
        <v>999</v>
      </c>
      <c r="T105" s="76" t="s">
        <v>96</v>
      </c>
      <c r="U105" s="210" t="e">
        <f t="shared" si="9"/>
        <v>#VALUE!</v>
      </c>
      <c r="V105" s="76" t="s">
        <v>98</v>
      </c>
      <c r="W105" s="210">
        <f t="shared" si="10"/>
        <v>35</v>
      </c>
      <c r="X105" s="76" t="s">
        <v>137</v>
      </c>
      <c r="Y105" s="210">
        <f t="shared" si="11"/>
        <v>6.1</v>
      </c>
      <c r="AA105" s="76" t="s">
        <v>138</v>
      </c>
    </row>
    <row r="106" spans="2:27" x14ac:dyDescent="0.3">
      <c r="B106" t="s">
        <v>11</v>
      </c>
      <c r="C106" t="s">
        <v>165</v>
      </c>
      <c r="D106" t="s">
        <v>65</v>
      </c>
      <c r="E106" t="s">
        <v>139</v>
      </c>
      <c r="F106" t="s">
        <v>411</v>
      </c>
      <c r="G106" t="s">
        <v>711</v>
      </c>
      <c r="H106">
        <v>24079</v>
      </c>
      <c r="I106" s="266">
        <f t="shared" si="4"/>
        <v>24079</v>
      </c>
      <c r="L106" s="76" t="s">
        <v>142</v>
      </c>
      <c r="M106" s="76">
        <f t="shared" si="5"/>
        <v>60</v>
      </c>
      <c r="N106" s="76" t="s">
        <v>143</v>
      </c>
      <c r="O106" s="210" t="e">
        <f t="shared" si="6"/>
        <v>#VALUE!</v>
      </c>
      <c r="P106" s="76" t="s">
        <v>144</v>
      </c>
      <c r="Q106" s="211">
        <f t="shared" si="7"/>
        <v>350</v>
      </c>
      <c r="R106" s="76" t="s">
        <v>96</v>
      </c>
      <c r="S106" s="211" t="e">
        <f t="shared" si="8"/>
        <v>#VALUE!</v>
      </c>
      <c r="T106" s="76" t="s">
        <v>145</v>
      </c>
      <c r="U106" s="210">
        <f t="shared" si="9"/>
        <v>17.600000000000001</v>
      </c>
      <c r="V106" s="76" t="s">
        <v>96</v>
      </c>
      <c r="W106" s="210" t="e">
        <f t="shared" si="10"/>
        <v>#VALUE!</v>
      </c>
      <c r="X106" s="76" t="s">
        <v>146</v>
      </c>
      <c r="Z106" s="210">
        <f>VALUE(LEFT(X106,4))</f>
        <v>21.2</v>
      </c>
      <c r="AA106" s="76" t="s">
        <v>147</v>
      </c>
    </row>
    <row r="107" spans="2:27" x14ac:dyDescent="0.3">
      <c r="B107" t="s">
        <v>11</v>
      </c>
      <c r="C107" t="s">
        <v>165</v>
      </c>
      <c r="D107" t="s">
        <v>66</v>
      </c>
      <c r="E107" t="s">
        <v>139</v>
      </c>
      <c r="F107" t="s">
        <v>412</v>
      </c>
      <c r="G107" t="s">
        <v>712</v>
      </c>
      <c r="H107">
        <v>19239</v>
      </c>
      <c r="I107" s="266">
        <f t="shared" si="4"/>
        <v>19239</v>
      </c>
      <c r="L107" s="76" t="s">
        <v>142</v>
      </c>
      <c r="M107" s="76">
        <f t="shared" si="5"/>
        <v>60</v>
      </c>
      <c r="N107" s="76" t="s">
        <v>143</v>
      </c>
      <c r="O107" s="210" t="e">
        <f t="shared" si="6"/>
        <v>#VALUE!</v>
      </c>
      <c r="P107" s="76" t="s">
        <v>144</v>
      </c>
      <c r="Q107" s="211">
        <f t="shared" si="7"/>
        <v>350</v>
      </c>
      <c r="R107" s="76" t="s">
        <v>96</v>
      </c>
      <c r="S107" s="211" t="e">
        <f t="shared" si="8"/>
        <v>#VALUE!</v>
      </c>
      <c r="T107" s="76" t="s">
        <v>145</v>
      </c>
      <c r="U107" s="210">
        <f t="shared" si="9"/>
        <v>17.600000000000001</v>
      </c>
      <c r="V107" s="76" t="s">
        <v>96</v>
      </c>
      <c r="W107" s="210" t="e">
        <f t="shared" si="10"/>
        <v>#VALUE!</v>
      </c>
      <c r="X107" s="76" t="s">
        <v>146</v>
      </c>
      <c r="Z107" s="210">
        <f>VALUE(LEFT(X107,4))</f>
        <v>21.2</v>
      </c>
      <c r="AA107" s="76" t="s">
        <v>147</v>
      </c>
    </row>
    <row r="108" spans="2:27" x14ac:dyDescent="0.3">
      <c r="B108" t="s">
        <v>11</v>
      </c>
      <c r="C108" t="s">
        <v>165</v>
      </c>
      <c r="D108" t="s">
        <v>67</v>
      </c>
      <c r="E108" t="s">
        <v>140</v>
      </c>
      <c r="F108" t="s">
        <v>413</v>
      </c>
      <c r="G108" t="s">
        <v>713</v>
      </c>
      <c r="H108">
        <v>26280</v>
      </c>
      <c r="I108" s="266">
        <f t="shared" si="4"/>
        <v>26280</v>
      </c>
      <c r="L108" s="76" t="s">
        <v>142</v>
      </c>
      <c r="M108" s="76">
        <f t="shared" si="5"/>
        <v>60</v>
      </c>
      <c r="N108" s="76" t="s">
        <v>148</v>
      </c>
      <c r="O108" s="210">
        <f t="shared" si="6"/>
        <v>12.4</v>
      </c>
      <c r="P108" s="76" t="s">
        <v>149</v>
      </c>
      <c r="Q108" s="211">
        <f t="shared" si="7"/>
        <v>250</v>
      </c>
      <c r="R108" s="76" t="s">
        <v>96</v>
      </c>
      <c r="S108" s="211" t="e">
        <f t="shared" si="8"/>
        <v>#VALUE!</v>
      </c>
      <c r="T108" s="76" t="s">
        <v>150</v>
      </c>
      <c r="U108" s="210">
        <f t="shared" si="9"/>
        <v>18.7</v>
      </c>
      <c r="V108" s="76" t="s">
        <v>96</v>
      </c>
      <c r="W108" s="210" t="e">
        <f t="shared" si="10"/>
        <v>#VALUE!</v>
      </c>
      <c r="X108" s="76" t="s">
        <v>151</v>
      </c>
      <c r="Z108" s="210">
        <f>VALUE(LEFT(X108,4))</f>
        <v>15.2</v>
      </c>
      <c r="AA108" s="76" t="s">
        <v>152</v>
      </c>
    </row>
    <row r="109" spans="2:27" x14ac:dyDescent="0.3">
      <c r="B109" t="s">
        <v>12</v>
      </c>
      <c r="C109" t="s">
        <v>45</v>
      </c>
      <c r="D109" t="s">
        <v>275</v>
      </c>
      <c r="E109" t="s">
        <v>277</v>
      </c>
      <c r="F109" t="s">
        <v>291</v>
      </c>
      <c r="G109" t="s">
        <v>714</v>
      </c>
      <c r="H109">
        <v>18250</v>
      </c>
      <c r="I109" s="266">
        <f t="shared" si="4"/>
        <v>18250</v>
      </c>
      <c r="L109" t="s">
        <v>455</v>
      </c>
      <c r="M109" s="76">
        <f t="shared" si="5"/>
        <v>70</v>
      </c>
      <c r="N109" t="s">
        <v>456</v>
      </c>
      <c r="O109" s="210">
        <f t="shared" si="6"/>
        <v>10.9</v>
      </c>
      <c r="P109" t="s">
        <v>457</v>
      </c>
      <c r="Q109" s="211">
        <f t="shared" si="7"/>
        <v>270</v>
      </c>
      <c r="R109" t="s">
        <v>119</v>
      </c>
      <c r="S109" s="211">
        <f t="shared" si="8"/>
        <v>999</v>
      </c>
      <c r="T109" t="s">
        <v>96</v>
      </c>
      <c r="U109" s="210" t="e">
        <f t="shared" si="9"/>
        <v>#VALUE!</v>
      </c>
      <c r="V109" t="s">
        <v>458</v>
      </c>
      <c r="W109" s="210">
        <f t="shared" si="10"/>
        <v>45</v>
      </c>
      <c r="X109" t="s">
        <v>100</v>
      </c>
      <c r="Y109" s="210">
        <f t="shared" ref="Y109:Y115" si="12">VALUE(LEFT(X109,3))</f>
        <v>5.5</v>
      </c>
      <c r="AA109" t="s">
        <v>459</v>
      </c>
    </row>
    <row r="110" spans="2:27" x14ac:dyDescent="0.3">
      <c r="B110" t="s">
        <v>12</v>
      </c>
      <c r="C110" t="s">
        <v>45</v>
      </c>
      <c r="D110" t="s">
        <v>292</v>
      </c>
      <c r="E110" t="s">
        <v>293</v>
      </c>
      <c r="F110" t="s">
        <v>294</v>
      </c>
      <c r="G110" t="s">
        <v>715</v>
      </c>
      <c r="H110">
        <v>16395</v>
      </c>
      <c r="I110" s="266">
        <f t="shared" si="4"/>
        <v>16395</v>
      </c>
      <c r="L110" t="s">
        <v>142</v>
      </c>
      <c r="M110" s="76">
        <f t="shared" si="5"/>
        <v>60</v>
      </c>
      <c r="N110" t="s">
        <v>460</v>
      </c>
      <c r="O110" s="210">
        <f t="shared" si="6"/>
        <v>14.4</v>
      </c>
      <c r="P110" t="s">
        <v>461</v>
      </c>
      <c r="Q110" s="211">
        <f t="shared" si="7"/>
        <v>300</v>
      </c>
      <c r="R110" t="s">
        <v>462</v>
      </c>
      <c r="S110" s="211">
        <f t="shared" si="8"/>
        <v>1199</v>
      </c>
      <c r="T110" t="s">
        <v>96</v>
      </c>
      <c r="U110" s="210" t="e">
        <f t="shared" si="9"/>
        <v>#VALUE!</v>
      </c>
      <c r="V110" t="s">
        <v>463</v>
      </c>
      <c r="W110" s="210">
        <f t="shared" si="10"/>
        <v>50</v>
      </c>
      <c r="X110" t="s">
        <v>100</v>
      </c>
      <c r="Y110" s="210">
        <f t="shared" si="12"/>
        <v>5.5</v>
      </c>
      <c r="AA110" t="s">
        <v>464</v>
      </c>
    </row>
    <row r="111" spans="2:27" x14ac:dyDescent="0.3">
      <c r="B111" t="s">
        <v>12</v>
      </c>
      <c r="C111" t="s">
        <v>45</v>
      </c>
      <c r="D111" t="s">
        <v>295</v>
      </c>
      <c r="E111" t="s">
        <v>296</v>
      </c>
      <c r="F111" t="s">
        <v>297</v>
      </c>
      <c r="G111" t="s">
        <v>716</v>
      </c>
      <c r="H111">
        <v>8700</v>
      </c>
      <c r="I111" s="266">
        <f t="shared" si="4"/>
        <v>8700</v>
      </c>
      <c r="L111" t="s">
        <v>465</v>
      </c>
      <c r="M111" s="76">
        <f t="shared" si="5"/>
        <v>54</v>
      </c>
      <c r="N111" t="s">
        <v>133</v>
      </c>
      <c r="O111" s="210">
        <f t="shared" si="6"/>
        <v>14.5</v>
      </c>
      <c r="P111" t="s">
        <v>466</v>
      </c>
      <c r="Q111" s="211">
        <f t="shared" si="7"/>
        <v>320</v>
      </c>
      <c r="R111" t="s">
        <v>467</v>
      </c>
      <c r="S111" s="211">
        <f t="shared" si="8"/>
        <v>1149</v>
      </c>
      <c r="T111" t="s">
        <v>96</v>
      </c>
      <c r="U111" s="210" t="e">
        <f t="shared" si="9"/>
        <v>#VALUE!</v>
      </c>
      <c r="V111" t="s">
        <v>463</v>
      </c>
      <c r="W111" s="210">
        <f t="shared" si="10"/>
        <v>50</v>
      </c>
      <c r="X111" t="s">
        <v>468</v>
      </c>
      <c r="Y111" s="210">
        <f t="shared" si="12"/>
        <v>7.5</v>
      </c>
      <c r="AA111" t="s">
        <v>469</v>
      </c>
    </row>
    <row r="112" spans="2:27" x14ac:dyDescent="0.3">
      <c r="B112" t="s">
        <v>12</v>
      </c>
      <c r="C112" t="s">
        <v>45</v>
      </c>
      <c r="D112" t="s">
        <v>298</v>
      </c>
      <c r="E112" t="s">
        <v>299</v>
      </c>
      <c r="F112" t="s">
        <v>300</v>
      </c>
      <c r="G112" t="s">
        <v>717</v>
      </c>
      <c r="H112">
        <v>18200</v>
      </c>
      <c r="I112" s="266">
        <f t="shared" si="4"/>
        <v>18200</v>
      </c>
      <c r="L112" t="s">
        <v>470</v>
      </c>
      <c r="M112" s="76">
        <f t="shared" si="5"/>
        <v>74</v>
      </c>
      <c r="N112" t="s">
        <v>471</v>
      </c>
      <c r="O112" s="210">
        <f t="shared" si="6"/>
        <v>10.8</v>
      </c>
      <c r="P112" t="s">
        <v>472</v>
      </c>
      <c r="Q112" s="211">
        <f t="shared" si="7"/>
        <v>290</v>
      </c>
      <c r="R112" t="s">
        <v>119</v>
      </c>
      <c r="S112" s="211">
        <f t="shared" si="8"/>
        <v>999</v>
      </c>
      <c r="T112" t="s">
        <v>96</v>
      </c>
      <c r="U112" s="210" t="e">
        <f t="shared" si="9"/>
        <v>#VALUE!</v>
      </c>
      <c r="V112" t="s">
        <v>473</v>
      </c>
      <c r="W112" s="210">
        <f t="shared" si="10"/>
        <v>42</v>
      </c>
      <c r="X112" t="s">
        <v>121</v>
      </c>
      <c r="Y112" s="210">
        <f t="shared" si="12"/>
        <v>6.4</v>
      </c>
      <c r="AA112" t="s">
        <v>474</v>
      </c>
    </row>
    <row r="113" spans="2:27" x14ac:dyDescent="0.3">
      <c r="B113" t="s">
        <v>12</v>
      </c>
      <c r="C113" t="s">
        <v>45</v>
      </c>
      <c r="D113" t="s">
        <v>301</v>
      </c>
      <c r="E113" t="s">
        <v>302</v>
      </c>
      <c r="F113" t="s">
        <v>303</v>
      </c>
      <c r="G113" t="s">
        <v>718</v>
      </c>
      <c r="H113">
        <v>17605</v>
      </c>
      <c r="I113" s="266">
        <f t="shared" si="4"/>
        <v>17605</v>
      </c>
      <c r="L113" t="s">
        <v>142</v>
      </c>
      <c r="M113" s="76">
        <f t="shared" si="5"/>
        <v>60</v>
      </c>
      <c r="N113" t="s">
        <v>133</v>
      </c>
      <c r="O113" s="210">
        <f t="shared" si="6"/>
        <v>14.5</v>
      </c>
      <c r="P113" t="s">
        <v>475</v>
      </c>
      <c r="Q113" s="211">
        <f t="shared" si="7"/>
        <v>311</v>
      </c>
      <c r="R113" t="s">
        <v>462</v>
      </c>
      <c r="S113" s="211">
        <f t="shared" si="8"/>
        <v>1199</v>
      </c>
      <c r="T113" t="s">
        <v>96</v>
      </c>
      <c r="U113" s="210" t="e">
        <f t="shared" si="9"/>
        <v>#VALUE!</v>
      </c>
      <c r="V113" t="s">
        <v>463</v>
      </c>
      <c r="W113" s="210">
        <f t="shared" si="10"/>
        <v>50</v>
      </c>
      <c r="X113" t="s">
        <v>100</v>
      </c>
      <c r="Y113" s="210">
        <f t="shared" si="12"/>
        <v>5.5</v>
      </c>
      <c r="AA113" t="s">
        <v>464</v>
      </c>
    </row>
    <row r="114" spans="2:27" x14ac:dyDescent="0.3">
      <c r="B114" t="s">
        <v>12</v>
      </c>
      <c r="C114" t="s">
        <v>45</v>
      </c>
      <c r="D114" t="s">
        <v>304</v>
      </c>
      <c r="E114" t="s">
        <v>305</v>
      </c>
      <c r="F114" t="s">
        <v>306</v>
      </c>
      <c r="G114" t="s">
        <v>719</v>
      </c>
      <c r="H114">
        <v>18700</v>
      </c>
      <c r="I114" s="266">
        <f t="shared" si="4"/>
        <v>18700</v>
      </c>
      <c r="L114" t="s">
        <v>476</v>
      </c>
      <c r="M114" s="76">
        <f t="shared" si="5"/>
        <v>87</v>
      </c>
      <c r="N114" t="s">
        <v>477</v>
      </c>
      <c r="O114" s="210">
        <f t="shared" si="6"/>
        <v>9.1999999999999993</v>
      </c>
      <c r="P114" t="s">
        <v>461</v>
      </c>
      <c r="Q114" s="211">
        <f t="shared" si="7"/>
        <v>300</v>
      </c>
      <c r="R114" t="s">
        <v>478</v>
      </c>
      <c r="S114" s="211">
        <f t="shared" si="8"/>
        <v>1197</v>
      </c>
      <c r="T114" t="s">
        <v>96</v>
      </c>
      <c r="U114" s="210" t="e">
        <f t="shared" si="9"/>
        <v>#VALUE!</v>
      </c>
      <c r="V114" t="s">
        <v>458</v>
      </c>
      <c r="W114" s="210">
        <f t="shared" si="10"/>
        <v>45</v>
      </c>
      <c r="X114" t="s">
        <v>479</v>
      </c>
      <c r="Y114" s="210">
        <f t="shared" si="12"/>
        <v>7</v>
      </c>
      <c r="AA114" t="s">
        <v>102</v>
      </c>
    </row>
    <row r="115" spans="2:27" x14ac:dyDescent="0.3">
      <c r="B115" t="s">
        <v>12</v>
      </c>
      <c r="C115" t="s">
        <v>45</v>
      </c>
      <c r="D115" t="s">
        <v>307</v>
      </c>
      <c r="E115" t="s">
        <v>308</v>
      </c>
      <c r="F115" t="s">
        <v>309</v>
      </c>
      <c r="G115" t="s">
        <v>720</v>
      </c>
      <c r="H115">
        <v>19355</v>
      </c>
      <c r="I115" s="266">
        <f t="shared" si="4"/>
        <v>19355</v>
      </c>
      <c r="L115" t="s">
        <v>465</v>
      </c>
      <c r="M115" s="76">
        <f t="shared" si="5"/>
        <v>54</v>
      </c>
      <c r="N115" t="s">
        <v>480</v>
      </c>
      <c r="O115" s="210">
        <f t="shared" si="6"/>
        <v>11.8</v>
      </c>
      <c r="P115" t="s">
        <v>481</v>
      </c>
      <c r="Q115" s="211">
        <f t="shared" si="7"/>
        <v>286</v>
      </c>
      <c r="R115" t="s">
        <v>482</v>
      </c>
      <c r="S115" s="211">
        <f t="shared" si="8"/>
        <v>1497</v>
      </c>
      <c r="T115" t="s">
        <v>96</v>
      </c>
      <c r="U115" s="210" t="e">
        <f t="shared" si="9"/>
        <v>#VALUE!</v>
      </c>
      <c r="V115" t="s">
        <v>483</v>
      </c>
      <c r="W115" s="210">
        <f t="shared" si="10"/>
        <v>36</v>
      </c>
      <c r="X115" t="s">
        <v>484</v>
      </c>
      <c r="Y115" s="210">
        <f t="shared" si="12"/>
        <v>4.3</v>
      </c>
      <c r="AA115" t="s">
        <v>485</v>
      </c>
    </row>
    <row r="116" spans="2:27" x14ac:dyDescent="0.3">
      <c r="B116" t="s">
        <v>12</v>
      </c>
      <c r="C116" t="s">
        <v>165</v>
      </c>
      <c r="D116" t="s">
        <v>274</v>
      </c>
      <c r="E116" t="s">
        <v>276</v>
      </c>
      <c r="F116" t="s">
        <v>278</v>
      </c>
      <c r="G116" t="s">
        <v>721</v>
      </c>
      <c r="H116">
        <v>29985</v>
      </c>
      <c r="I116" s="266">
        <f t="shared" si="4"/>
        <v>29985</v>
      </c>
      <c r="L116" t="s">
        <v>107</v>
      </c>
      <c r="M116" s="76">
        <f t="shared" si="5"/>
        <v>49</v>
      </c>
      <c r="N116" t="s">
        <v>486</v>
      </c>
      <c r="O116" s="210">
        <f t="shared" si="6"/>
        <v>15.9</v>
      </c>
      <c r="P116" t="s">
        <v>487</v>
      </c>
      <c r="Q116" s="211">
        <f t="shared" si="7"/>
        <v>166</v>
      </c>
      <c r="R116" t="s">
        <v>96</v>
      </c>
      <c r="S116" s="211" t="e">
        <f t="shared" si="8"/>
        <v>#VALUE!</v>
      </c>
      <c r="T116" t="s">
        <v>488</v>
      </c>
      <c r="U116" s="210">
        <f t="shared" si="9"/>
        <v>16</v>
      </c>
      <c r="V116" t="s">
        <v>96</v>
      </c>
      <c r="W116" s="210" t="e">
        <f t="shared" si="10"/>
        <v>#VALUE!</v>
      </c>
      <c r="X116" t="s">
        <v>145</v>
      </c>
      <c r="Z116" s="210">
        <f>VALUE(LEFT(X116,4))</f>
        <v>17.600000000000001</v>
      </c>
      <c r="AA116" t="s">
        <v>489</v>
      </c>
    </row>
    <row r="117" spans="2:27" x14ac:dyDescent="0.3">
      <c r="B117" t="s">
        <v>12</v>
      </c>
      <c r="C117" t="s">
        <v>165</v>
      </c>
      <c r="D117" t="s">
        <v>279</v>
      </c>
      <c r="E117" t="s">
        <v>280</v>
      </c>
      <c r="F117" t="s">
        <v>281</v>
      </c>
      <c r="G117" t="s">
        <v>722</v>
      </c>
      <c r="H117">
        <v>35290</v>
      </c>
      <c r="I117" s="266">
        <f t="shared" si="4"/>
        <v>35290</v>
      </c>
      <c r="L117" t="s">
        <v>490</v>
      </c>
      <c r="M117" s="76">
        <f t="shared" si="5"/>
        <v>81</v>
      </c>
      <c r="N117" t="s">
        <v>491</v>
      </c>
      <c r="O117" s="210">
        <f t="shared" si="6"/>
        <v>11.2</v>
      </c>
      <c r="P117" t="s">
        <v>492</v>
      </c>
      <c r="Q117" s="211">
        <f t="shared" si="7"/>
        <v>281</v>
      </c>
      <c r="R117" t="s">
        <v>96</v>
      </c>
      <c r="S117" s="211" t="e">
        <f t="shared" si="8"/>
        <v>#VALUE!</v>
      </c>
      <c r="T117" t="s">
        <v>493</v>
      </c>
      <c r="U117" s="210">
        <f t="shared" si="9"/>
        <v>27</v>
      </c>
      <c r="V117" t="s">
        <v>96</v>
      </c>
      <c r="W117" s="210" t="e">
        <f t="shared" si="10"/>
        <v>#VALUE!</v>
      </c>
      <c r="X117" t="s">
        <v>494</v>
      </c>
      <c r="Z117" s="210">
        <f>VALUE(LEFT(X117,4))</f>
        <v>19.100000000000001</v>
      </c>
      <c r="AA117" t="s">
        <v>495</v>
      </c>
    </row>
    <row r="118" spans="2:27" x14ac:dyDescent="0.3">
      <c r="B118" t="s">
        <v>12</v>
      </c>
      <c r="C118" t="s">
        <v>165</v>
      </c>
      <c r="D118" t="s">
        <v>282</v>
      </c>
      <c r="E118" t="s">
        <v>283</v>
      </c>
      <c r="F118" t="s">
        <v>284</v>
      </c>
      <c r="G118" t="s">
        <v>723</v>
      </c>
      <c r="H118">
        <v>28890</v>
      </c>
      <c r="I118" s="266">
        <f t="shared" si="4"/>
        <v>28890</v>
      </c>
      <c r="L118" t="s">
        <v>107</v>
      </c>
      <c r="M118" s="76">
        <f t="shared" si="5"/>
        <v>49</v>
      </c>
      <c r="N118" t="s">
        <v>486</v>
      </c>
      <c r="O118" s="210">
        <f t="shared" si="6"/>
        <v>15.9</v>
      </c>
      <c r="P118" t="s">
        <v>496</v>
      </c>
      <c r="Q118" s="211">
        <f t="shared" si="7"/>
        <v>235</v>
      </c>
      <c r="R118" t="s">
        <v>96</v>
      </c>
      <c r="S118" s="211" t="e">
        <f t="shared" si="8"/>
        <v>#VALUE!</v>
      </c>
      <c r="T118" t="s">
        <v>488</v>
      </c>
      <c r="U118" s="210">
        <f t="shared" si="9"/>
        <v>16</v>
      </c>
      <c r="V118" t="s">
        <v>96</v>
      </c>
      <c r="W118" s="210" t="e">
        <f t="shared" si="10"/>
        <v>#VALUE!</v>
      </c>
      <c r="X118" t="s">
        <v>145</v>
      </c>
      <c r="Z118" s="210">
        <f>VALUE(LEFT(X118,4))</f>
        <v>17.600000000000001</v>
      </c>
      <c r="AA118" t="s">
        <v>489</v>
      </c>
    </row>
    <row r="119" spans="2:27" x14ac:dyDescent="0.3">
      <c r="B119" t="s">
        <v>12</v>
      </c>
      <c r="C119" t="s">
        <v>165</v>
      </c>
      <c r="D119" t="s">
        <v>285</v>
      </c>
      <c r="E119" t="s">
        <v>286</v>
      </c>
      <c r="F119" t="s">
        <v>287</v>
      </c>
      <c r="G119" t="s">
        <v>724</v>
      </c>
      <c r="H119">
        <v>30120</v>
      </c>
      <c r="I119" s="266">
        <f t="shared" si="4"/>
        <v>30120</v>
      </c>
      <c r="L119" t="s">
        <v>107</v>
      </c>
      <c r="M119" s="76">
        <f t="shared" si="5"/>
        <v>49</v>
      </c>
      <c r="N119" t="s">
        <v>486</v>
      </c>
      <c r="O119" s="210">
        <f t="shared" si="6"/>
        <v>15.9</v>
      </c>
      <c r="P119" t="s">
        <v>487</v>
      </c>
      <c r="Q119" s="211">
        <f t="shared" si="7"/>
        <v>166</v>
      </c>
      <c r="R119" t="s">
        <v>96</v>
      </c>
      <c r="S119" s="211" t="e">
        <f t="shared" si="8"/>
        <v>#VALUE!</v>
      </c>
      <c r="T119" t="s">
        <v>488</v>
      </c>
      <c r="U119" s="210">
        <f t="shared" si="9"/>
        <v>16</v>
      </c>
      <c r="V119" t="s">
        <v>96</v>
      </c>
      <c r="W119" s="210" t="e">
        <f t="shared" si="10"/>
        <v>#VALUE!</v>
      </c>
      <c r="X119" t="s">
        <v>145</v>
      </c>
      <c r="Z119" s="210">
        <f>VALUE(LEFT(X119,4))</f>
        <v>17.600000000000001</v>
      </c>
      <c r="AA119" t="s">
        <v>489</v>
      </c>
    </row>
    <row r="120" spans="2:27" x14ac:dyDescent="0.3">
      <c r="B120" t="s">
        <v>12</v>
      </c>
      <c r="C120" t="s">
        <v>165</v>
      </c>
      <c r="D120" t="s">
        <v>288</v>
      </c>
      <c r="E120" t="s">
        <v>289</v>
      </c>
      <c r="F120" t="s">
        <v>290</v>
      </c>
      <c r="G120" t="s">
        <v>725</v>
      </c>
      <c r="H120">
        <v>22050</v>
      </c>
      <c r="I120" s="266">
        <f t="shared" si="4"/>
        <v>22050</v>
      </c>
      <c r="L120" t="s">
        <v>497</v>
      </c>
      <c r="M120" s="76">
        <f t="shared" si="5"/>
        <v>65</v>
      </c>
      <c r="N120" t="s">
        <v>498</v>
      </c>
      <c r="O120" s="210">
        <f t="shared" si="6"/>
        <v>13.5</v>
      </c>
      <c r="P120" t="s">
        <v>499</v>
      </c>
      <c r="Q120" s="211">
        <f t="shared" si="7"/>
        <v>338</v>
      </c>
      <c r="R120" t="s">
        <v>96</v>
      </c>
      <c r="S120" s="211" t="e">
        <f t="shared" si="8"/>
        <v>#VALUE!</v>
      </c>
      <c r="T120" t="s">
        <v>500</v>
      </c>
      <c r="U120" s="210">
        <f t="shared" si="9"/>
        <v>22</v>
      </c>
      <c r="V120" t="s">
        <v>96</v>
      </c>
      <c r="W120" s="210" t="e">
        <f t="shared" si="10"/>
        <v>#VALUE!</v>
      </c>
      <c r="X120" t="s">
        <v>501</v>
      </c>
      <c r="Z120" s="210">
        <f>VALUE(LEFT(X120,4))</f>
        <v>20.2</v>
      </c>
      <c r="AA120" t="s">
        <v>502</v>
      </c>
    </row>
    <row r="121" spans="2:27" x14ac:dyDescent="0.3">
      <c r="B121" t="s">
        <v>12</v>
      </c>
      <c r="C121" t="s">
        <v>46</v>
      </c>
      <c r="D121" t="s">
        <v>396</v>
      </c>
      <c r="E121" t="s">
        <v>397</v>
      </c>
      <c r="F121" t="s">
        <v>398</v>
      </c>
      <c r="G121" t="s">
        <v>726</v>
      </c>
      <c r="H121">
        <v>16849</v>
      </c>
      <c r="I121" s="266">
        <f t="shared" si="4"/>
        <v>16849</v>
      </c>
      <c r="L121" t="s">
        <v>123</v>
      </c>
      <c r="M121" s="76">
        <f t="shared" si="5"/>
        <v>55</v>
      </c>
      <c r="N121" t="s">
        <v>503</v>
      </c>
      <c r="O121" s="210">
        <f t="shared" si="6"/>
        <v>16</v>
      </c>
      <c r="P121" t="s">
        <v>504</v>
      </c>
      <c r="Q121" s="211">
        <f t="shared" si="7"/>
        <v>326</v>
      </c>
      <c r="R121" t="s">
        <v>505</v>
      </c>
      <c r="S121" s="211">
        <f t="shared" si="8"/>
        <v>1120</v>
      </c>
      <c r="T121" t="s">
        <v>96</v>
      </c>
      <c r="U121" s="210" t="e">
        <f t="shared" si="9"/>
        <v>#VALUE!</v>
      </c>
      <c r="V121" t="s">
        <v>463</v>
      </c>
      <c r="W121" s="210">
        <f t="shared" si="10"/>
        <v>50</v>
      </c>
      <c r="X121" t="s">
        <v>506</v>
      </c>
      <c r="Y121" s="210">
        <f t="shared" ref="Y121:Y131" si="13">VALUE(LEFT(X121,3))</f>
        <v>4.7</v>
      </c>
      <c r="AA121" t="s">
        <v>507</v>
      </c>
    </row>
    <row r="122" spans="2:27" x14ac:dyDescent="0.3">
      <c r="B122" t="s">
        <v>12</v>
      </c>
      <c r="C122" t="s">
        <v>46</v>
      </c>
      <c r="D122" t="s">
        <v>399</v>
      </c>
      <c r="E122" t="s">
        <v>400</v>
      </c>
      <c r="F122" t="s">
        <v>401</v>
      </c>
      <c r="G122" t="s">
        <v>727</v>
      </c>
      <c r="H122">
        <v>20060</v>
      </c>
      <c r="I122" s="266">
        <f t="shared" si="4"/>
        <v>20060</v>
      </c>
      <c r="L122" t="s">
        <v>455</v>
      </c>
      <c r="M122" s="76">
        <f t="shared" si="5"/>
        <v>70</v>
      </c>
      <c r="N122" t="s">
        <v>508</v>
      </c>
      <c r="O122" s="210">
        <f t="shared" si="6"/>
        <v>11.4</v>
      </c>
      <c r="P122" t="s">
        <v>509</v>
      </c>
      <c r="Q122" s="211">
        <f t="shared" si="7"/>
        <v>278</v>
      </c>
      <c r="R122" t="s">
        <v>510</v>
      </c>
      <c r="S122" s="211">
        <f t="shared" si="8"/>
        <v>1496</v>
      </c>
      <c r="T122" t="s">
        <v>96</v>
      </c>
      <c r="U122" s="210" t="e">
        <f t="shared" si="9"/>
        <v>#VALUE!</v>
      </c>
      <c r="V122" t="s">
        <v>511</v>
      </c>
      <c r="W122" s="210">
        <f t="shared" si="10"/>
        <v>44</v>
      </c>
      <c r="X122" t="s">
        <v>512</v>
      </c>
      <c r="Y122" s="210">
        <f t="shared" si="13"/>
        <v>4.5999999999999996</v>
      </c>
      <c r="AA122" t="s">
        <v>513</v>
      </c>
    </row>
    <row r="123" spans="2:27" x14ac:dyDescent="0.3">
      <c r="B123" t="s">
        <v>12</v>
      </c>
      <c r="C123" t="s">
        <v>46</v>
      </c>
      <c r="D123" t="s">
        <v>402</v>
      </c>
      <c r="E123" t="s">
        <v>403</v>
      </c>
      <c r="F123" t="s">
        <v>404</v>
      </c>
      <c r="G123" t="s">
        <v>728</v>
      </c>
      <c r="H123">
        <v>18500</v>
      </c>
      <c r="I123" s="266">
        <f t="shared" si="4"/>
        <v>18500</v>
      </c>
      <c r="L123" t="s">
        <v>123</v>
      </c>
      <c r="M123" s="76">
        <f t="shared" si="5"/>
        <v>55</v>
      </c>
      <c r="N123" t="s">
        <v>498</v>
      </c>
      <c r="O123" s="210">
        <f t="shared" si="6"/>
        <v>13.5</v>
      </c>
      <c r="P123" t="s">
        <v>514</v>
      </c>
      <c r="Q123" s="211">
        <f t="shared" si="7"/>
        <v>285</v>
      </c>
      <c r="R123" t="s">
        <v>515</v>
      </c>
      <c r="S123" s="211">
        <f t="shared" si="8"/>
        <v>1248</v>
      </c>
      <c r="T123" t="s">
        <v>96</v>
      </c>
      <c r="U123" s="210" t="e">
        <f t="shared" si="9"/>
        <v>#VALUE!</v>
      </c>
      <c r="V123" t="s">
        <v>458</v>
      </c>
      <c r="W123" s="210">
        <f t="shared" si="10"/>
        <v>45</v>
      </c>
      <c r="X123" t="s">
        <v>114</v>
      </c>
      <c r="Y123" s="210">
        <f t="shared" si="13"/>
        <v>4.9000000000000004</v>
      </c>
      <c r="AA123" t="s">
        <v>516</v>
      </c>
    </row>
    <row r="124" spans="2:27" x14ac:dyDescent="0.3">
      <c r="B124" t="s">
        <v>12</v>
      </c>
      <c r="C124" t="s">
        <v>46</v>
      </c>
      <c r="D124" t="s">
        <v>405</v>
      </c>
      <c r="E124" t="s">
        <v>406</v>
      </c>
      <c r="F124" t="s">
        <v>407</v>
      </c>
      <c r="G124" t="s">
        <v>729</v>
      </c>
      <c r="H124">
        <v>19360</v>
      </c>
      <c r="I124" s="266">
        <f t="shared" si="4"/>
        <v>19360</v>
      </c>
      <c r="L124" t="s">
        <v>517</v>
      </c>
      <c r="M124" s="76">
        <f t="shared" si="5"/>
        <v>66</v>
      </c>
      <c r="N124" t="s">
        <v>518</v>
      </c>
      <c r="O124" s="210">
        <f t="shared" si="6"/>
        <v>11.1</v>
      </c>
      <c r="P124" t="s">
        <v>519</v>
      </c>
      <c r="Q124" s="211">
        <f t="shared" si="7"/>
        <v>330</v>
      </c>
      <c r="R124" t="s">
        <v>520</v>
      </c>
      <c r="S124" s="211">
        <f t="shared" si="8"/>
        <v>1422</v>
      </c>
      <c r="T124" t="s">
        <v>96</v>
      </c>
      <c r="U124" s="210" t="e">
        <f t="shared" si="9"/>
        <v>#VALUE!</v>
      </c>
      <c r="V124" t="s">
        <v>458</v>
      </c>
      <c r="W124" s="210">
        <f t="shared" si="10"/>
        <v>45</v>
      </c>
      <c r="X124" t="s">
        <v>114</v>
      </c>
      <c r="Y124" s="210">
        <f t="shared" si="13"/>
        <v>4.9000000000000004</v>
      </c>
      <c r="AA124" t="s">
        <v>516</v>
      </c>
    </row>
    <row r="125" spans="2:27" x14ac:dyDescent="0.3">
      <c r="B125" t="s">
        <v>12</v>
      </c>
      <c r="C125" t="s">
        <v>46</v>
      </c>
      <c r="D125" t="s">
        <v>408</v>
      </c>
      <c r="E125" t="s">
        <v>409</v>
      </c>
      <c r="F125" t="s">
        <v>410</v>
      </c>
      <c r="G125" t="s">
        <v>730</v>
      </c>
      <c r="H125">
        <v>21184</v>
      </c>
      <c r="I125" s="266">
        <f t="shared" si="4"/>
        <v>21184</v>
      </c>
      <c r="L125" t="s">
        <v>517</v>
      </c>
      <c r="M125" s="76">
        <f t="shared" si="5"/>
        <v>66</v>
      </c>
      <c r="N125" t="s">
        <v>456</v>
      </c>
      <c r="O125" s="210">
        <f t="shared" si="6"/>
        <v>10.9</v>
      </c>
      <c r="P125" t="s">
        <v>521</v>
      </c>
      <c r="Q125" s="211">
        <f t="shared" si="7"/>
        <v>280</v>
      </c>
      <c r="R125" t="s">
        <v>520</v>
      </c>
      <c r="S125" s="211">
        <f t="shared" si="8"/>
        <v>1422</v>
      </c>
      <c r="T125" t="s">
        <v>96</v>
      </c>
      <c r="U125" s="210" t="e">
        <f t="shared" si="9"/>
        <v>#VALUE!</v>
      </c>
      <c r="V125" t="s">
        <v>458</v>
      </c>
      <c r="W125" s="210">
        <f t="shared" si="10"/>
        <v>45</v>
      </c>
      <c r="X125" t="s">
        <v>512</v>
      </c>
      <c r="Y125" s="210">
        <f t="shared" si="13"/>
        <v>4.5999999999999996</v>
      </c>
      <c r="AA125" t="s">
        <v>522</v>
      </c>
    </row>
    <row r="126" spans="2:27" x14ac:dyDescent="0.3">
      <c r="B126" t="s">
        <v>4</v>
      </c>
      <c r="C126" t="s">
        <v>45</v>
      </c>
      <c r="D126" t="s">
        <v>334</v>
      </c>
      <c r="E126" t="s">
        <v>335</v>
      </c>
      <c r="F126" t="s">
        <v>336</v>
      </c>
      <c r="G126" t="s">
        <v>731</v>
      </c>
      <c r="H126">
        <v>25450</v>
      </c>
      <c r="I126" s="266">
        <f t="shared" si="4"/>
        <v>25450</v>
      </c>
      <c r="L126" t="s">
        <v>547</v>
      </c>
      <c r="M126" s="76">
        <f>VALUE(LEFT(L126,3))</f>
        <v>100</v>
      </c>
      <c r="N126" t="s">
        <v>548</v>
      </c>
      <c r="O126" s="210">
        <f t="shared" si="6"/>
        <v>8.5</v>
      </c>
      <c r="P126" t="s">
        <v>549</v>
      </c>
      <c r="Q126" s="211">
        <f t="shared" si="7"/>
        <v>360</v>
      </c>
      <c r="R126" t="s">
        <v>550</v>
      </c>
      <c r="S126" s="211">
        <f t="shared" si="8"/>
        <v>1499</v>
      </c>
      <c r="T126" t="s">
        <v>96</v>
      </c>
      <c r="U126" s="210" t="e">
        <f t="shared" si="9"/>
        <v>#VALUE!</v>
      </c>
      <c r="V126" t="s">
        <v>551</v>
      </c>
      <c r="W126" s="210">
        <f t="shared" si="10"/>
        <v>52</v>
      </c>
      <c r="X126" t="s">
        <v>552</v>
      </c>
      <c r="Y126" s="210">
        <f t="shared" si="13"/>
        <v>6.9</v>
      </c>
      <c r="AA126" t="s">
        <v>553</v>
      </c>
    </row>
    <row r="127" spans="2:27" x14ac:dyDescent="0.3">
      <c r="B127" t="s">
        <v>4</v>
      </c>
      <c r="C127" t="s">
        <v>45</v>
      </c>
      <c r="D127" t="s">
        <v>337</v>
      </c>
      <c r="E127" t="s">
        <v>338</v>
      </c>
      <c r="F127" t="s">
        <v>339</v>
      </c>
      <c r="G127" t="s">
        <v>732</v>
      </c>
      <c r="H127">
        <v>19900</v>
      </c>
      <c r="I127" s="266">
        <f t="shared" si="4"/>
        <v>19900</v>
      </c>
      <c r="L127" t="s">
        <v>470</v>
      </c>
      <c r="M127" s="76">
        <f>VALUE(LEFT(L127,2))</f>
        <v>74</v>
      </c>
      <c r="N127" t="s">
        <v>554</v>
      </c>
      <c r="O127" s="210">
        <f t="shared" si="6"/>
        <v>12.5</v>
      </c>
      <c r="P127" t="s">
        <v>555</v>
      </c>
      <c r="Q127" s="211">
        <f t="shared" si="7"/>
        <v>363</v>
      </c>
      <c r="R127" t="s">
        <v>94</v>
      </c>
      <c r="S127" s="211">
        <f t="shared" si="8"/>
        <v>998</v>
      </c>
      <c r="T127" t="s">
        <v>96</v>
      </c>
      <c r="U127" s="210" t="e">
        <f t="shared" si="9"/>
        <v>#VALUE!</v>
      </c>
      <c r="V127" t="s">
        <v>556</v>
      </c>
      <c r="W127" s="210">
        <f t="shared" si="10"/>
        <v>55</v>
      </c>
      <c r="X127" t="s">
        <v>557</v>
      </c>
      <c r="Y127" s="210">
        <f t="shared" si="13"/>
        <v>6</v>
      </c>
      <c r="AA127" t="s">
        <v>558</v>
      </c>
    </row>
    <row r="128" spans="2:27" x14ac:dyDescent="0.3">
      <c r="B128" t="s">
        <v>4</v>
      </c>
      <c r="C128" t="s">
        <v>45</v>
      </c>
      <c r="D128" t="s">
        <v>340</v>
      </c>
      <c r="E128" t="s">
        <v>341</v>
      </c>
      <c r="F128" t="s">
        <v>342</v>
      </c>
      <c r="G128" t="s">
        <v>733</v>
      </c>
      <c r="H128">
        <v>27044</v>
      </c>
      <c r="I128" s="266">
        <f t="shared" si="4"/>
        <v>27044</v>
      </c>
      <c r="L128" t="s">
        <v>559</v>
      </c>
      <c r="M128" s="76">
        <f>VALUE(LEFT(L128,2))</f>
        <v>90</v>
      </c>
      <c r="N128" t="s">
        <v>560</v>
      </c>
      <c r="O128" s="210">
        <f t="shared" si="6"/>
        <v>9.9</v>
      </c>
      <c r="P128" t="s">
        <v>561</v>
      </c>
      <c r="Q128" s="211">
        <f t="shared" si="7"/>
        <v>341</v>
      </c>
      <c r="R128" t="s">
        <v>562</v>
      </c>
      <c r="S128" s="211">
        <f t="shared" si="8"/>
        <v>1595</v>
      </c>
      <c r="T128" t="s">
        <v>96</v>
      </c>
      <c r="U128" s="210" t="e">
        <f t="shared" si="9"/>
        <v>#VALUE!</v>
      </c>
      <c r="V128" t="s">
        <v>110</v>
      </c>
      <c r="W128" s="210">
        <f t="shared" si="10"/>
        <v>40</v>
      </c>
      <c r="X128" t="s">
        <v>563</v>
      </c>
      <c r="Y128" s="210">
        <f t="shared" si="13"/>
        <v>6.8</v>
      </c>
      <c r="AA128" t="s">
        <v>564</v>
      </c>
    </row>
    <row r="129" spans="2:27" x14ac:dyDescent="0.3">
      <c r="B129" t="s">
        <v>4</v>
      </c>
      <c r="C129" t="s">
        <v>45</v>
      </c>
      <c r="D129" t="s">
        <v>343</v>
      </c>
      <c r="E129" t="s">
        <v>344</v>
      </c>
      <c r="F129" t="s">
        <v>345</v>
      </c>
      <c r="G129" t="s">
        <v>734</v>
      </c>
      <c r="H129">
        <v>24780</v>
      </c>
      <c r="I129" s="266">
        <f t="shared" ref="I129:I160" si="14">H129/(1+input_btw)</f>
        <v>24780</v>
      </c>
      <c r="L129" t="s">
        <v>547</v>
      </c>
      <c r="M129" s="76">
        <f>VALUE(LEFT(L129,3))</f>
        <v>100</v>
      </c>
      <c r="N129" t="s">
        <v>456</v>
      </c>
      <c r="O129" s="210">
        <f t="shared" ref="O129:O160" si="15">VALUE(LEFT(N129,4))</f>
        <v>10.9</v>
      </c>
      <c r="P129" t="s">
        <v>549</v>
      </c>
      <c r="Q129" s="211">
        <f t="shared" ref="Q129:Q160" si="16">VALUE(LEFT(P129,4))</f>
        <v>360</v>
      </c>
      <c r="R129" t="s">
        <v>565</v>
      </c>
      <c r="S129" s="211">
        <f t="shared" ref="S129:S160" si="17">VALUE(LEFT(R129,4))</f>
        <v>1798</v>
      </c>
      <c r="T129" t="s">
        <v>96</v>
      </c>
      <c r="U129" s="210" t="e">
        <f t="shared" ref="U129:U160" si="18">VALUE(LEFT(T129,4))</f>
        <v>#VALUE!</v>
      </c>
      <c r="V129" t="s">
        <v>458</v>
      </c>
      <c r="W129" s="210">
        <f t="shared" ref="W129:W148" si="19">VALUE(LEFT(V129,3))</f>
        <v>45</v>
      </c>
      <c r="X129" t="s">
        <v>506</v>
      </c>
      <c r="Y129" s="210">
        <f t="shared" si="13"/>
        <v>4.7</v>
      </c>
      <c r="AA129" t="s">
        <v>566</v>
      </c>
    </row>
    <row r="130" spans="2:27" x14ac:dyDescent="0.3">
      <c r="B130" t="s">
        <v>4</v>
      </c>
      <c r="C130" t="s">
        <v>45</v>
      </c>
      <c r="D130" t="s">
        <v>346</v>
      </c>
      <c r="E130" t="s">
        <v>347</v>
      </c>
      <c r="F130" t="s">
        <v>348</v>
      </c>
      <c r="G130" t="s">
        <v>735</v>
      </c>
      <c r="H130">
        <v>23865</v>
      </c>
      <c r="I130" s="266">
        <f t="shared" si="14"/>
        <v>23865</v>
      </c>
      <c r="L130" t="s">
        <v>567</v>
      </c>
      <c r="M130" s="76">
        <f>VALUE(LEFT(L130,2))</f>
        <v>92</v>
      </c>
      <c r="N130" t="s">
        <v>568</v>
      </c>
      <c r="O130" s="210">
        <f t="shared" si="15"/>
        <v>9.1</v>
      </c>
      <c r="P130" t="s">
        <v>569</v>
      </c>
      <c r="Q130" s="211">
        <f t="shared" si="16"/>
        <v>380</v>
      </c>
      <c r="R130" t="s">
        <v>570</v>
      </c>
      <c r="S130" s="211">
        <f t="shared" si="17"/>
        <v>1395</v>
      </c>
      <c r="T130" t="s">
        <v>96</v>
      </c>
      <c r="U130" s="210" t="e">
        <f t="shared" si="18"/>
        <v>#VALUE!</v>
      </c>
      <c r="V130" t="s">
        <v>463</v>
      </c>
      <c r="W130" s="210">
        <f t="shared" si="19"/>
        <v>50</v>
      </c>
      <c r="X130" t="s">
        <v>571</v>
      </c>
      <c r="Y130" s="210">
        <f t="shared" si="13"/>
        <v>6.5</v>
      </c>
      <c r="AA130" t="s">
        <v>572</v>
      </c>
    </row>
    <row r="131" spans="2:27" x14ac:dyDescent="0.3">
      <c r="B131" t="s">
        <v>4</v>
      </c>
      <c r="C131" t="s">
        <v>45</v>
      </c>
      <c r="D131" t="s">
        <v>349</v>
      </c>
      <c r="E131" t="s">
        <v>350</v>
      </c>
      <c r="F131" t="s">
        <v>351</v>
      </c>
      <c r="G131" t="s">
        <v>736</v>
      </c>
      <c r="H131">
        <v>26350</v>
      </c>
      <c r="I131" s="266">
        <f t="shared" si="14"/>
        <v>26350</v>
      </c>
      <c r="L131" t="s">
        <v>559</v>
      </c>
      <c r="M131" s="76">
        <f>VALUE(LEFT(L131,2))</f>
        <v>90</v>
      </c>
      <c r="N131" t="s">
        <v>573</v>
      </c>
      <c r="O131" s="210">
        <f t="shared" si="15"/>
        <v>9.8000000000000007</v>
      </c>
      <c r="P131" t="s">
        <v>574</v>
      </c>
      <c r="Q131" s="211">
        <f t="shared" si="16"/>
        <v>335</v>
      </c>
      <c r="R131" t="s">
        <v>575</v>
      </c>
      <c r="S131" s="211">
        <f t="shared" si="17"/>
        <v>1498</v>
      </c>
      <c r="T131" t="s">
        <v>96</v>
      </c>
      <c r="U131" s="210" t="e">
        <f t="shared" si="18"/>
        <v>#VALUE!</v>
      </c>
      <c r="V131" t="s">
        <v>576</v>
      </c>
      <c r="W131" s="210">
        <f t="shared" si="19"/>
        <v>62</v>
      </c>
      <c r="X131" t="s">
        <v>479</v>
      </c>
      <c r="Y131" s="210">
        <f t="shared" si="13"/>
        <v>7</v>
      </c>
      <c r="AA131" t="s">
        <v>577</v>
      </c>
    </row>
    <row r="132" spans="2:27" x14ac:dyDescent="0.3">
      <c r="B132" t="s">
        <v>4</v>
      </c>
      <c r="C132" t="s">
        <v>165</v>
      </c>
      <c r="D132" t="s">
        <v>310</v>
      </c>
      <c r="E132" t="s">
        <v>311</v>
      </c>
      <c r="F132" t="s">
        <v>312</v>
      </c>
      <c r="G132" t="s">
        <v>737</v>
      </c>
      <c r="H132">
        <v>38950</v>
      </c>
      <c r="I132" s="266">
        <f t="shared" si="14"/>
        <v>38950</v>
      </c>
      <c r="L132" t="s">
        <v>589</v>
      </c>
      <c r="M132" s="76">
        <f>VALUE(LEFT(L132,3))</f>
        <v>125</v>
      </c>
      <c r="N132" t="s">
        <v>605</v>
      </c>
      <c r="O132" s="210">
        <f t="shared" si="15"/>
        <v>7.2</v>
      </c>
      <c r="P132" t="s">
        <v>591</v>
      </c>
      <c r="Q132" s="211">
        <f t="shared" si="16"/>
        <v>260</v>
      </c>
      <c r="R132" t="s">
        <v>96</v>
      </c>
      <c r="S132" s="211" t="e">
        <f t="shared" si="17"/>
        <v>#VALUE!</v>
      </c>
      <c r="T132" t="s">
        <v>593</v>
      </c>
      <c r="U132" s="210">
        <f t="shared" si="18"/>
        <v>19</v>
      </c>
      <c r="V132" t="s">
        <v>96</v>
      </c>
      <c r="W132" s="210" t="e">
        <f t="shared" si="19"/>
        <v>#VALUE!</v>
      </c>
      <c r="X132" t="s">
        <v>606</v>
      </c>
      <c r="Z132" s="210">
        <f t="shared" ref="Z132:Z139" si="20">VALUE(LEFT(X132,4))</f>
        <v>16.8</v>
      </c>
      <c r="AA132" t="s">
        <v>607</v>
      </c>
    </row>
    <row r="133" spans="2:27" x14ac:dyDescent="0.3">
      <c r="B133" t="s">
        <v>4</v>
      </c>
      <c r="C133" t="s">
        <v>165</v>
      </c>
      <c r="D133" t="s">
        <v>313</v>
      </c>
      <c r="E133" t="s">
        <v>314</v>
      </c>
      <c r="F133" t="s">
        <v>315</v>
      </c>
      <c r="G133" t="s">
        <v>738</v>
      </c>
      <c r="H133">
        <v>39990</v>
      </c>
      <c r="I133" s="266">
        <f t="shared" si="14"/>
        <v>39990</v>
      </c>
      <c r="L133" t="s">
        <v>608</v>
      </c>
      <c r="M133" s="76">
        <f>VALUE(LEFT(L133,3))</f>
        <v>107</v>
      </c>
      <c r="N133" t="s">
        <v>508</v>
      </c>
      <c r="O133" s="210">
        <f t="shared" si="15"/>
        <v>11.4</v>
      </c>
      <c r="P133" t="s">
        <v>609</v>
      </c>
      <c r="Q133" s="211">
        <f t="shared" si="16"/>
        <v>316</v>
      </c>
      <c r="R133" t="s">
        <v>96</v>
      </c>
      <c r="S133" s="211" t="e">
        <f t="shared" si="17"/>
        <v>#VALUE!</v>
      </c>
      <c r="T133" t="s">
        <v>610</v>
      </c>
      <c r="U133" s="210">
        <f t="shared" si="18"/>
        <v>25</v>
      </c>
      <c r="V133" t="s">
        <v>96</v>
      </c>
      <c r="W133" s="210" t="e">
        <f t="shared" si="19"/>
        <v>#VALUE!</v>
      </c>
      <c r="X133" t="s">
        <v>611</v>
      </c>
      <c r="Z133" s="210">
        <f t="shared" si="20"/>
        <v>20</v>
      </c>
      <c r="AA133" t="s">
        <v>612</v>
      </c>
    </row>
    <row r="134" spans="2:27" x14ac:dyDescent="0.3">
      <c r="B134" t="s">
        <v>4</v>
      </c>
      <c r="C134" t="s">
        <v>165</v>
      </c>
      <c r="D134" t="s">
        <v>316</v>
      </c>
      <c r="E134" t="s">
        <v>317</v>
      </c>
      <c r="F134" t="s">
        <v>318</v>
      </c>
      <c r="G134" t="s">
        <v>739</v>
      </c>
      <c r="H134">
        <v>39930</v>
      </c>
      <c r="I134" s="266">
        <f t="shared" si="14"/>
        <v>39930</v>
      </c>
      <c r="L134" t="s">
        <v>613</v>
      </c>
      <c r="M134" s="76">
        <f>VALUE(LEFT(L134,3))</f>
        <v>132</v>
      </c>
      <c r="N134" t="s">
        <v>590</v>
      </c>
      <c r="O134" s="210">
        <f t="shared" si="15"/>
        <v>7.9</v>
      </c>
      <c r="P134" t="s">
        <v>614</v>
      </c>
      <c r="Q134" s="211">
        <f t="shared" si="16"/>
        <v>501</v>
      </c>
      <c r="R134" t="s">
        <v>96</v>
      </c>
      <c r="S134" s="211" t="e">
        <f t="shared" si="17"/>
        <v>#VALUE!</v>
      </c>
      <c r="T134" t="s">
        <v>615</v>
      </c>
      <c r="U134" s="210">
        <f t="shared" si="18"/>
        <v>36</v>
      </c>
      <c r="V134" t="s">
        <v>96</v>
      </c>
      <c r="W134" s="210" t="e">
        <f t="shared" si="19"/>
        <v>#VALUE!</v>
      </c>
      <c r="X134" t="s">
        <v>616</v>
      </c>
      <c r="Z134" s="210">
        <f t="shared" si="20"/>
        <v>21.6</v>
      </c>
      <c r="AA134" t="s">
        <v>617</v>
      </c>
    </row>
    <row r="135" spans="2:27" x14ac:dyDescent="0.3">
      <c r="B135" t="s">
        <v>4</v>
      </c>
      <c r="C135" t="s">
        <v>165</v>
      </c>
      <c r="D135" t="s">
        <v>319</v>
      </c>
      <c r="E135" t="s">
        <v>320</v>
      </c>
      <c r="F135" t="s">
        <v>321</v>
      </c>
      <c r="G135" t="s">
        <v>740</v>
      </c>
      <c r="H135">
        <v>33125</v>
      </c>
      <c r="I135" s="266">
        <f t="shared" si="14"/>
        <v>33125</v>
      </c>
      <c r="L135" t="s">
        <v>618</v>
      </c>
      <c r="M135" s="76">
        <f t="shared" ref="M135:M146" si="21">VALUE(LEFT(L135,2))</f>
        <v>80</v>
      </c>
      <c r="N135" t="s">
        <v>619</v>
      </c>
      <c r="O135" s="210">
        <f t="shared" si="15"/>
        <v>11.5</v>
      </c>
      <c r="P135" t="s">
        <v>620</v>
      </c>
      <c r="Q135" s="211">
        <f t="shared" si="16"/>
        <v>370</v>
      </c>
      <c r="R135" t="s">
        <v>96</v>
      </c>
      <c r="S135" s="211" t="e">
        <f t="shared" si="17"/>
        <v>#VALUE!</v>
      </c>
      <c r="T135" t="s">
        <v>621</v>
      </c>
      <c r="U135" s="210">
        <f t="shared" si="18"/>
        <v>24</v>
      </c>
      <c r="V135" t="s">
        <v>96</v>
      </c>
      <c r="W135" s="210" t="e">
        <f t="shared" si="19"/>
        <v>#VALUE!</v>
      </c>
      <c r="X135" t="s">
        <v>622</v>
      </c>
      <c r="Z135" s="210">
        <f t="shared" si="20"/>
        <v>19.5</v>
      </c>
      <c r="AA135" t="s">
        <v>152</v>
      </c>
    </row>
    <row r="136" spans="2:27" x14ac:dyDescent="0.3">
      <c r="B136" t="s">
        <v>4</v>
      </c>
      <c r="C136" t="s">
        <v>165</v>
      </c>
      <c r="D136" t="s">
        <v>322</v>
      </c>
      <c r="E136" t="s">
        <v>323</v>
      </c>
      <c r="F136" t="s">
        <v>324</v>
      </c>
      <c r="G136" t="s">
        <v>741</v>
      </c>
      <c r="H136">
        <v>27225</v>
      </c>
      <c r="I136" s="266">
        <f t="shared" si="14"/>
        <v>27225</v>
      </c>
      <c r="L136" t="s">
        <v>143</v>
      </c>
      <c r="M136" s="76" t="e">
        <f t="shared" si="21"/>
        <v>#VALUE!</v>
      </c>
      <c r="N136" t="s">
        <v>143</v>
      </c>
      <c r="O136" s="210" t="e">
        <f t="shared" si="15"/>
        <v>#VALUE!</v>
      </c>
      <c r="P136" t="s">
        <v>620</v>
      </c>
      <c r="Q136" s="211">
        <f t="shared" si="16"/>
        <v>370</v>
      </c>
      <c r="R136" t="s">
        <v>96</v>
      </c>
      <c r="S136" s="211" t="e">
        <f t="shared" si="17"/>
        <v>#VALUE!</v>
      </c>
      <c r="T136" t="s">
        <v>621</v>
      </c>
      <c r="U136" s="210">
        <f t="shared" si="18"/>
        <v>24</v>
      </c>
      <c r="V136" t="s">
        <v>96</v>
      </c>
      <c r="W136" s="210" t="e">
        <f t="shared" si="19"/>
        <v>#VALUE!</v>
      </c>
      <c r="X136" t="s">
        <v>622</v>
      </c>
      <c r="Z136" s="210">
        <f t="shared" si="20"/>
        <v>19.5</v>
      </c>
      <c r="AA136" t="s">
        <v>152</v>
      </c>
    </row>
    <row r="137" spans="2:27" x14ac:dyDescent="0.3">
      <c r="B137" t="s">
        <v>4</v>
      </c>
      <c r="C137" t="s">
        <v>165</v>
      </c>
      <c r="D137" t="s">
        <v>325</v>
      </c>
      <c r="E137" t="s">
        <v>326</v>
      </c>
      <c r="F137" t="s">
        <v>327</v>
      </c>
      <c r="G137" t="s">
        <v>742</v>
      </c>
      <c r="H137">
        <v>35125</v>
      </c>
      <c r="I137" s="266">
        <f t="shared" si="14"/>
        <v>35125</v>
      </c>
      <c r="L137" t="s">
        <v>618</v>
      </c>
      <c r="M137" s="76">
        <f t="shared" si="21"/>
        <v>80</v>
      </c>
      <c r="N137" t="s">
        <v>619</v>
      </c>
      <c r="O137" s="210">
        <f t="shared" si="15"/>
        <v>11.5</v>
      </c>
      <c r="P137" t="s">
        <v>620</v>
      </c>
      <c r="Q137" s="211">
        <f t="shared" si="16"/>
        <v>370</v>
      </c>
      <c r="R137" t="s">
        <v>96</v>
      </c>
      <c r="S137" s="211" t="e">
        <f t="shared" si="17"/>
        <v>#VALUE!</v>
      </c>
      <c r="T137" t="s">
        <v>623</v>
      </c>
      <c r="U137" s="210">
        <f t="shared" si="18"/>
        <v>30</v>
      </c>
      <c r="V137" t="s">
        <v>96</v>
      </c>
      <c r="W137" s="210" t="e">
        <f t="shared" si="19"/>
        <v>#VALUE!</v>
      </c>
      <c r="X137" t="s">
        <v>622</v>
      </c>
      <c r="Z137" s="210">
        <f t="shared" si="20"/>
        <v>19.5</v>
      </c>
      <c r="AA137" t="s">
        <v>624</v>
      </c>
    </row>
    <row r="138" spans="2:27" x14ac:dyDescent="0.3">
      <c r="B138" t="s">
        <v>4</v>
      </c>
      <c r="C138" t="s">
        <v>165</v>
      </c>
      <c r="D138" t="s">
        <v>328</v>
      </c>
      <c r="E138" t="s">
        <v>329</v>
      </c>
      <c r="F138" t="s">
        <v>330</v>
      </c>
      <c r="G138" t="s">
        <v>743</v>
      </c>
      <c r="H138">
        <v>29225</v>
      </c>
      <c r="I138" s="266">
        <f t="shared" si="14"/>
        <v>29225</v>
      </c>
      <c r="L138" t="s">
        <v>143</v>
      </c>
      <c r="M138" s="76" t="e">
        <f t="shared" si="21"/>
        <v>#VALUE!</v>
      </c>
      <c r="N138" t="s">
        <v>143</v>
      </c>
      <c r="O138" s="210" t="e">
        <f t="shared" si="15"/>
        <v>#VALUE!</v>
      </c>
      <c r="P138" t="s">
        <v>620</v>
      </c>
      <c r="Q138" s="211">
        <f t="shared" si="16"/>
        <v>370</v>
      </c>
      <c r="R138" t="s">
        <v>96</v>
      </c>
      <c r="S138" s="211" t="e">
        <f t="shared" si="17"/>
        <v>#VALUE!</v>
      </c>
      <c r="T138" t="s">
        <v>623</v>
      </c>
      <c r="U138" s="210">
        <f t="shared" si="18"/>
        <v>30</v>
      </c>
      <c r="V138" t="s">
        <v>96</v>
      </c>
      <c r="W138" s="210" t="e">
        <f t="shared" si="19"/>
        <v>#VALUE!</v>
      </c>
      <c r="X138" t="s">
        <v>622</v>
      </c>
      <c r="Z138" s="210">
        <f t="shared" si="20"/>
        <v>19.5</v>
      </c>
      <c r="AA138" t="s">
        <v>624</v>
      </c>
    </row>
    <row r="139" spans="2:27" x14ac:dyDescent="0.3">
      <c r="B139" t="s">
        <v>4</v>
      </c>
      <c r="C139" t="s">
        <v>165</v>
      </c>
      <c r="D139" t="s">
        <v>331</v>
      </c>
      <c r="E139" t="s">
        <v>332</v>
      </c>
      <c r="F139" t="s">
        <v>333</v>
      </c>
      <c r="G139" t="s">
        <v>744</v>
      </c>
      <c r="H139">
        <v>37110</v>
      </c>
      <c r="I139" s="266">
        <f t="shared" si="14"/>
        <v>37110</v>
      </c>
      <c r="L139" t="s">
        <v>625</v>
      </c>
      <c r="M139" s="76">
        <f t="shared" si="21"/>
        <v>85</v>
      </c>
      <c r="N139" t="s">
        <v>626</v>
      </c>
      <c r="O139" s="210">
        <f t="shared" si="15"/>
        <v>10.4</v>
      </c>
      <c r="P139" t="s">
        <v>561</v>
      </c>
      <c r="Q139" s="211">
        <f t="shared" si="16"/>
        <v>341</v>
      </c>
      <c r="R139" t="s">
        <v>96</v>
      </c>
      <c r="S139" s="211" t="e">
        <f t="shared" si="17"/>
        <v>#VALUE!</v>
      </c>
      <c r="T139" t="s">
        <v>627</v>
      </c>
      <c r="U139" s="210">
        <f t="shared" si="18"/>
        <v>24.2</v>
      </c>
      <c r="V139" t="s">
        <v>96</v>
      </c>
      <c r="W139" s="210" t="e">
        <f t="shared" si="19"/>
        <v>#VALUE!</v>
      </c>
      <c r="X139" t="s">
        <v>628</v>
      </c>
      <c r="Z139" s="210">
        <f t="shared" si="20"/>
        <v>16.5</v>
      </c>
      <c r="AA139" t="s">
        <v>629</v>
      </c>
    </row>
    <row r="140" spans="2:27" x14ac:dyDescent="0.3">
      <c r="B140" t="s">
        <v>4</v>
      </c>
      <c r="C140" t="s">
        <v>46</v>
      </c>
      <c r="D140" t="s">
        <v>352</v>
      </c>
      <c r="E140" t="s">
        <v>353</v>
      </c>
      <c r="F140" t="s">
        <v>354</v>
      </c>
      <c r="G140" t="s">
        <v>745</v>
      </c>
      <c r="H140">
        <v>26850</v>
      </c>
      <c r="I140" s="266">
        <f t="shared" si="14"/>
        <v>26850</v>
      </c>
      <c r="L140" t="s">
        <v>490</v>
      </c>
      <c r="M140" s="76">
        <f t="shared" si="21"/>
        <v>81</v>
      </c>
      <c r="N140" t="s">
        <v>117</v>
      </c>
      <c r="O140" s="210">
        <f t="shared" si="15"/>
        <v>10.7</v>
      </c>
      <c r="P140" t="s">
        <v>569</v>
      </c>
      <c r="Q140" s="211">
        <f t="shared" si="16"/>
        <v>380</v>
      </c>
      <c r="R140" t="s">
        <v>630</v>
      </c>
      <c r="S140" s="211">
        <f t="shared" si="17"/>
        <v>1598</v>
      </c>
      <c r="T140" t="s">
        <v>96</v>
      </c>
      <c r="U140" s="210" t="e">
        <f t="shared" si="18"/>
        <v>#VALUE!</v>
      </c>
      <c r="V140" t="s">
        <v>463</v>
      </c>
      <c r="W140" s="210">
        <f t="shared" si="19"/>
        <v>50</v>
      </c>
      <c r="X140" t="s">
        <v>114</v>
      </c>
      <c r="Y140" s="210">
        <f t="shared" ref="Y140:Y146" si="22">VALUE(LEFT(X140,3))</f>
        <v>4.9000000000000004</v>
      </c>
      <c r="AA140" t="s">
        <v>631</v>
      </c>
    </row>
    <row r="141" spans="2:27" x14ac:dyDescent="0.3">
      <c r="B141" t="s">
        <v>4</v>
      </c>
      <c r="C141" t="s">
        <v>46</v>
      </c>
      <c r="D141" t="s">
        <v>355</v>
      </c>
      <c r="E141" t="s">
        <v>356</v>
      </c>
      <c r="F141" t="s">
        <v>357</v>
      </c>
      <c r="G141" t="s">
        <v>712</v>
      </c>
      <c r="H141">
        <v>19239</v>
      </c>
      <c r="I141" s="266">
        <f t="shared" si="14"/>
        <v>19239</v>
      </c>
      <c r="L141" t="s">
        <v>632</v>
      </c>
      <c r="M141" s="76">
        <f t="shared" si="21"/>
        <v>84</v>
      </c>
      <c r="N141" t="s">
        <v>491</v>
      </c>
      <c r="O141" s="210">
        <f t="shared" si="15"/>
        <v>11.2</v>
      </c>
      <c r="P141" t="s">
        <v>569</v>
      </c>
      <c r="Q141" s="211">
        <f t="shared" si="16"/>
        <v>380</v>
      </c>
      <c r="R141" t="s">
        <v>633</v>
      </c>
      <c r="S141" s="211">
        <f t="shared" si="17"/>
        <v>1590</v>
      </c>
      <c r="T141" t="s">
        <v>96</v>
      </c>
      <c r="U141" s="210" t="e">
        <f t="shared" si="18"/>
        <v>#VALUE!</v>
      </c>
      <c r="V141" t="s">
        <v>634</v>
      </c>
      <c r="W141" s="210">
        <f t="shared" si="19"/>
        <v>60</v>
      </c>
      <c r="X141" t="s">
        <v>114</v>
      </c>
      <c r="Y141" s="210">
        <f t="shared" si="22"/>
        <v>4.9000000000000004</v>
      </c>
      <c r="AA141" t="s">
        <v>635</v>
      </c>
    </row>
    <row r="142" spans="2:27" x14ac:dyDescent="0.3">
      <c r="B142" t="s">
        <v>4</v>
      </c>
      <c r="C142" t="s">
        <v>46</v>
      </c>
      <c r="D142" t="s">
        <v>358</v>
      </c>
      <c r="E142" t="s">
        <v>359</v>
      </c>
      <c r="F142" t="s">
        <v>360</v>
      </c>
      <c r="G142" t="s">
        <v>746</v>
      </c>
      <c r="H142">
        <v>24440</v>
      </c>
      <c r="I142" s="266">
        <f t="shared" si="14"/>
        <v>24440</v>
      </c>
      <c r="L142" t="s">
        <v>490</v>
      </c>
      <c r="M142" s="76">
        <f t="shared" si="21"/>
        <v>81</v>
      </c>
      <c r="N142" t="s">
        <v>636</v>
      </c>
      <c r="O142" s="210">
        <f t="shared" si="15"/>
        <v>10.6</v>
      </c>
      <c r="P142" t="s">
        <v>569</v>
      </c>
      <c r="Q142" s="211">
        <f t="shared" si="16"/>
        <v>380</v>
      </c>
      <c r="R142" t="s">
        <v>637</v>
      </c>
      <c r="S142" s="211">
        <f t="shared" si="17"/>
        <v>1582</v>
      </c>
      <c r="T142" t="s">
        <v>96</v>
      </c>
      <c r="U142" s="210" t="e">
        <f t="shared" si="18"/>
        <v>#VALUE!</v>
      </c>
      <c r="V142" t="s">
        <v>638</v>
      </c>
      <c r="W142" s="210">
        <f t="shared" si="19"/>
        <v>53</v>
      </c>
      <c r="X142" t="s">
        <v>114</v>
      </c>
      <c r="Y142" s="210">
        <f t="shared" si="22"/>
        <v>4.9000000000000004</v>
      </c>
      <c r="AA142" t="s">
        <v>639</v>
      </c>
    </row>
    <row r="143" spans="2:27" x14ac:dyDescent="0.3">
      <c r="B143" t="s">
        <v>4</v>
      </c>
      <c r="C143" t="s">
        <v>46</v>
      </c>
      <c r="D143" t="s">
        <v>316</v>
      </c>
      <c r="E143" t="s">
        <v>361</v>
      </c>
      <c r="F143" t="s">
        <v>362</v>
      </c>
      <c r="G143" t="s">
        <v>747</v>
      </c>
      <c r="H143">
        <v>30226</v>
      </c>
      <c r="I143" s="266">
        <f t="shared" si="14"/>
        <v>30226</v>
      </c>
      <c r="L143" t="s">
        <v>618</v>
      </c>
      <c r="M143" s="76">
        <f t="shared" si="21"/>
        <v>80</v>
      </c>
      <c r="N143" t="s">
        <v>640</v>
      </c>
      <c r="O143" s="210">
        <f t="shared" si="15"/>
        <v>11.6</v>
      </c>
      <c r="P143" t="s">
        <v>641</v>
      </c>
      <c r="Q143" s="211">
        <f t="shared" si="16"/>
        <v>488</v>
      </c>
      <c r="R143" t="s">
        <v>642</v>
      </c>
      <c r="S143" s="211">
        <f t="shared" si="17"/>
        <v>1461</v>
      </c>
      <c r="T143" t="s">
        <v>96</v>
      </c>
      <c r="U143" s="210" t="e">
        <f t="shared" si="18"/>
        <v>#VALUE!</v>
      </c>
      <c r="V143" t="s">
        <v>110</v>
      </c>
      <c r="W143" s="210">
        <f t="shared" si="19"/>
        <v>40</v>
      </c>
      <c r="X143" t="s">
        <v>506</v>
      </c>
      <c r="Y143" s="210">
        <f t="shared" si="22"/>
        <v>4.7</v>
      </c>
      <c r="AA143" t="s">
        <v>643</v>
      </c>
    </row>
    <row r="144" spans="2:27" x14ac:dyDescent="0.3">
      <c r="B144" t="s">
        <v>4</v>
      </c>
      <c r="C144" t="s">
        <v>46</v>
      </c>
      <c r="D144" t="s">
        <v>363</v>
      </c>
      <c r="E144" t="s">
        <v>364</v>
      </c>
      <c r="F144" t="s">
        <v>365</v>
      </c>
      <c r="G144" t="s">
        <v>748</v>
      </c>
      <c r="H144">
        <v>22225</v>
      </c>
      <c r="I144" s="266">
        <f t="shared" si="14"/>
        <v>22225</v>
      </c>
      <c r="L144" t="s">
        <v>490</v>
      </c>
      <c r="M144" s="76">
        <f t="shared" si="21"/>
        <v>81</v>
      </c>
      <c r="N144" t="s">
        <v>456</v>
      </c>
      <c r="O144" s="210">
        <f t="shared" si="15"/>
        <v>10.9</v>
      </c>
      <c r="P144" t="s">
        <v>620</v>
      </c>
      <c r="Q144" s="211">
        <f t="shared" si="16"/>
        <v>370</v>
      </c>
      <c r="R144" t="s">
        <v>630</v>
      </c>
      <c r="S144" s="211">
        <f t="shared" si="17"/>
        <v>1598</v>
      </c>
      <c r="T144" t="s">
        <v>96</v>
      </c>
      <c r="U144" s="210" t="e">
        <f t="shared" si="18"/>
        <v>#VALUE!</v>
      </c>
      <c r="V144" t="s">
        <v>644</v>
      </c>
      <c r="W144" s="210">
        <f t="shared" si="19"/>
        <v>48</v>
      </c>
      <c r="X144" t="s">
        <v>484</v>
      </c>
      <c r="Y144" s="210">
        <f t="shared" si="22"/>
        <v>4.3</v>
      </c>
      <c r="AA144" t="s">
        <v>645</v>
      </c>
    </row>
    <row r="145" spans="2:27" x14ac:dyDescent="0.3">
      <c r="B145" t="s">
        <v>4</v>
      </c>
      <c r="C145" t="s">
        <v>46</v>
      </c>
      <c r="D145" t="s">
        <v>366</v>
      </c>
      <c r="E145" t="s">
        <v>367</v>
      </c>
      <c r="F145" t="s">
        <v>368</v>
      </c>
      <c r="G145" t="s">
        <v>749</v>
      </c>
      <c r="H145">
        <v>24950</v>
      </c>
      <c r="I145" s="266">
        <f t="shared" si="14"/>
        <v>24950</v>
      </c>
      <c r="L145" t="s">
        <v>625</v>
      </c>
      <c r="M145" s="76">
        <f t="shared" si="21"/>
        <v>85</v>
      </c>
      <c r="N145" t="s">
        <v>560</v>
      </c>
      <c r="O145" s="210">
        <f t="shared" si="15"/>
        <v>9.9</v>
      </c>
      <c r="P145" t="s">
        <v>646</v>
      </c>
      <c r="Q145" s="211">
        <f t="shared" si="16"/>
        <v>470</v>
      </c>
      <c r="R145" t="s">
        <v>647</v>
      </c>
      <c r="S145" s="211">
        <f t="shared" si="17"/>
        <v>1560</v>
      </c>
      <c r="T145" t="s">
        <v>96</v>
      </c>
      <c r="U145" s="210" t="e">
        <f t="shared" si="18"/>
        <v>#VALUE!</v>
      </c>
      <c r="V145" t="s">
        <v>638</v>
      </c>
      <c r="W145" s="210">
        <f t="shared" si="19"/>
        <v>53</v>
      </c>
      <c r="X145" t="s">
        <v>512</v>
      </c>
      <c r="Y145" s="210">
        <f t="shared" si="22"/>
        <v>4.5999999999999996</v>
      </c>
      <c r="AA145" t="s">
        <v>648</v>
      </c>
    </row>
    <row r="146" spans="2:27" x14ac:dyDescent="0.3">
      <c r="B146" t="s">
        <v>4</v>
      </c>
      <c r="C146" t="s">
        <v>46</v>
      </c>
      <c r="D146" t="s">
        <v>369</v>
      </c>
      <c r="E146" t="s">
        <v>370</v>
      </c>
      <c r="F146" t="s">
        <v>371</v>
      </c>
      <c r="G146" t="s">
        <v>750</v>
      </c>
      <c r="H146">
        <v>27000</v>
      </c>
      <c r="I146" s="266">
        <f t="shared" si="14"/>
        <v>27000</v>
      </c>
      <c r="L146" t="s">
        <v>490</v>
      </c>
      <c r="M146" s="76">
        <f t="shared" si="21"/>
        <v>81</v>
      </c>
      <c r="N146" t="s">
        <v>649</v>
      </c>
      <c r="O146" s="210">
        <f t="shared" si="15"/>
        <v>12</v>
      </c>
      <c r="P146" t="s">
        <v>650</v>
      </c>
      <c r="Q146" s="211">
        <f t="shared" si="16"/>
        <v>524</v>
      </c>
      <c r="R146" t="s">
        <v>642</v>
      </c>
      <c r="S146" s="211">
        <f t="shared" si="17"/>
        <v>1461</v>
      </c>
      <c r="T146" t="s">
        <v>96</v>
      </c>
      <c r="U146" s="210" t="e">
        <f t="shared" si="18"/>
        <v>#VALUE!</v>
      </c>
      <c r="V146" t="s">
        <v>651</v>
      </c>
      <c r="W146" s="210">
        <f t="shared" si="19"/>
        <v>47</v>
      </c>
      <c r="X146" t="s">
        <v>652</v>
      </c>
      <c r="Y146" s="210">
        <f t="shared" si="22"/>
        <v>4.8</v>
      </c>
      <c r="AA146" t="s">
        <v>653</v>
      </c>
    </row>
    <row r="147" spans="2:27" x14ac:dyDescent="0.3">
      <c r="B147" t="s">
        <v>4</v>
      </c>
      <c r="C147" t="s">
        <v>175</v>
      </c>
      <c r="D147" t="s">
        <v>372</v>
      </c>
      <c r="E147" t="s">
        <v>373</v>
      </c>
      <c r="F147" t="s">
        <v>374</v>
      </c>
      <c r="G147" t="s">
        <v>751</v>
      </c>
      <c r="H147">
        <v>37970</v>
      </c>
      <c r="I147" s="266">
        <f t="shared" si="14"/>
        <v>37970</v>
      </c>
      <c r="L147" t="s">
        <v>578</v>
      </c>
      <c r="M147" s="76">
        <f>VALUE(LEFT(L147,3))</f>
        <v>150</v>
      </c>
      <c r="N147" t="s">
        <v>579</v>
      </c>
      <c r="O147" s="210">
        <f t="shared" si="15"/>
        <v>7.4</v>
      </c>
      <c r="P147" t="s">
        <v>521</v>
      </c>
      <c r="Q147" s="211">
        <f t="shared" si="16"/>
        <v>280</v>
      </c>
      <c r="R147" t="s">
        <v>570</v>
      </c>
      <c r="S147" s="211">
        <f t="shared" si="17"/>
        <v>1395</v>
      </c>
      <c r="T147" t="s">
        <v>580</v>
      </c>
      <c r="U147" s="210">
        <f t="shared" si="18"/>
        <v>8.8000000000000007</v>
      </c>
      <c r="V147" t="s">
        <v>110</v>
      </c>
      <c r="W147" s="210">
        <f t="shared" si="19"/>
        <v>40</v>
      </c>
      <c r="X147" t="s">
        <v>581</v>
      </c>
      <c r="Y147">
        <v>2.9</v>
      </c>
      <c r="Z147" s="210">
        <f>VALUE(LEFT(X147,3))</f>
        <v>7.4</v>
      </c>
      <c r="AA147" t="s">
        <v>582</v>
      </c>
    </row>
    <row r="148" spans="2:27" x14ac:dyDescent="0.3">
      <c r="B148" t="s">
        <v>4</v>
      </c>
      <c r="C148" t="s">
        <v>175</v>
      </c>
      <c r="D148" t="s">
        <v>375</v>
      </c>
      <c r="E148" t="s">
        <v>376</v>
      </c>
      <c r="F148" t="s">
        <v>377</v>
      </c>
      <c r="G148" t="s">
        <v>752</v>
      </c>
      <c r="H148">
        <v>37850</v>
      </c>
      <c r="I148" s="266">
        <f t="shared" si="14"/>
        <v>37850</v>
      </c>
      <c r="L148" t="s">
        <v>583</v>
      </c>
      <c r="M148" s="76">
        <f>VALUE(LEFT(L148,3))</f>
        <v>165</v>
      </c>
      <c r="N148" t="s">
        <v>584</v>
      </c>
      <c r="O148" s="210">
        <f t="shared" si="15"/>
        <v>6.7</v>
      </c>
      <c r="P148" t="s">
        <v>585</v>
      </c>
      <c r="Q148" s="211">
        <f t="shared" si="16"/>
        <v>468</v>
      </c>
      <c r="R148" t="s">
        <v>510</v>
      </c>
      <c r="S148" s="211">
        <f t="shared" si="17"/>
        <v>1496</v>
      </c>
      <c r="T148" t="s">
        <v>586</v>
      </c>
      <c r="U148" s="210">
        <f t="shared" si="18"/>
        <v>7.7</v>
      </c>
      <c r="V148" t="s">
        <v>483</v>
      </c>
      <c r="W148" s="210">
        <f t="shared" si="19"/>
        <v>36</v>
      </c>
      <c r="X148" t="s">
        <v>587</v>
      </c>
      <c r="Y148">
        <v>3.4</v>
      </c>
      <c r="Z148" s="210">
        <f>VALUE(LEFT(X148,3))</f>
        <v>12</v>
      </c>
      <c r="AA148" t="s">
        <v>588</v>
      </c>
    </row>
    <row r="149" spans="2:27" x14ac:dyDescent="0.3">
      <c r="B149" t="s">
        <v>4</v>
      </c>
      <c r="C149" t="s">
        <v>175</v>
      </c>
      <c r="D149" t="s">
        <v>378</v>
      </c>
      <c r="E149" t="s">
        <v>379</v>
      </c>
      <c r="F149" t="s">
        <v>380</v>
      </c>
      <c r="G149" t="s">
        <v>753</v>
      </c>
      <c r="H149">
        <v>43450</v>
      </c>
      <c r="I149" s="266">
        <f t="shared" si="14"/>
        <v>43450</v>
      </c>
      <c r="L149" t="s">
        <v>589</v>
      </c>
      <c r="M149" s="76">
        <f>VALUE(LEFT(L149,3))</f>
        <v>125</v>
      </c>
      <c r="N149" t="s">
        <v>590</v>
      </c>
      <c r="O149" s="210">
        <f t="shared" si="15"/>
        <v>7.9</v>
      </c>
      <c r="P149" t="s">
        <v>591</v>
      </c>
      <c r="Q149" s="211">
        <f t="shared" si="16"/>
        <v>260</v>
      </c>
      <c r="R149" t="s">
        <v>592</v>
      </c>
      <c r="S149" s="211" t="e">
        <f t="shared" si="17"/>
        <v>#VALUE!</v>
      </c>
      <c r="T149" t="s">
        <v>593</v>
      </c>
      <c r="U149" s="210">
        <f t="shared" si="18"/>
        <v>19</v>
      </c>
      <c r="V149" t="s">
        <v>594</v>
      </c>
      <c r="W149" s="210">
        <f>VALUE(LEFT(V149,2))</f>
        <v>9</v>
      </c>
      <c r="X149" t="s">
        <v>595</v>
      </c>
      <c r="Y149">
        <v>3.1</v>
      </c>
      <c r="Z149" s="210">
        <f>VALUE(LEFT(X149,3))</f>
        <v>7.4</v>
      </c>
      <c r="AA149" t="s">
        <v>596</v>
      </c>
    </row>
    <row r="150" spans="2:27" x14ac:dyDescent="0.3">
      <c r="B150" t="s">
        <v>4</v>
      </c>
      <c r="C150" t="s">
        <v>175</v>
      </c>
      <c r="D150" t="s">
        <v>381</v>
      </c>
      <c r="E150" t="s">
        <v>382</v>
      </c>
      <c r="F150" t="s">
        <v>383</v>
      </c>
      <c r="G150" t="s">
        <v>754</v>
      </c>
      <c r="H150">
        <v>39900</v>
      </c>
      <c r="I150" s="266">
        <f t="shared" si="14"/>
        <v>39900</v>
      </c>
      <c r="L150" t="s">
        <v>597</v>
      </c>
      <c r="M150" s="76">
        <f>VALUE(LEFT(L150,2))</f>
        <v>11</v>
      </c>
      <c r="N150" t="s">
        <v>598</v>
      </c>
      <c r="O150" s="210">
        <f t="shared" si="15"/>
        <v>9</v>
      </c>
      <c r="P150" t="s">
        <v>599</v>
      </c>
      <c r="Q150" s="211">
        <f t="shared" si="16"/>
        <v>310</v>
      </c>
      <c r="R150" t="s">
        <v>600</v>
      </c>
      <c r="S150" s="211">
        <f t="shared" si="17"/>
        <v>1398</v>
      </c>
      <c r="T150" t="s">
        <v>488</v>
      </c>
      <c r="U150" s="210">
        <f t="shared" si="18"/>
        <v>16</v>
      </c>
      <c r="V150" t="s">
        <v>98</v>
      </c>
      <c r="W150" s="210">
        <f t="shared" ref="W150:W175" si="23">VALUE(LEFT(V150,3))</f>
        <v>35</v>
      </c>
      <c r="X150" t="s">
        <v>601</v>
      </c>
      <c r="Y150">
        <v>3.4</v>
      </c>
      <c r="Z150" s="210">
        <f>VALUE(LEFT(X150,3))</f>
        <v>8.5</v>
      </c>
      <c r="AA150" t="s">
        <v>602</v>
      </c>
    </row>
    <row r="151" spans="2:27" x14ac:dyDescent="0.3">
      <c r="B151" t="s">
        <v>4</v>
      </c>
      <c r="C151" t="s">
        <v>175</v>
      </c>
      <c r="D151" t="s">
        <v>384</v>
      </c>
      <c r="E151" t="s">
        <v>385</v>
      </c>
      <c r="F151" t="s">
        <v>386</v>
      </c>
      <c r="G151" t="s">
        <v>755</v>
      </c>
      <c r="H151">
        <v>38920</v>
      </c>
      <c r="I151" s="266">
        <f t="shared" si="14"/>
        <v>38920</v>
      </c>
      <c r="L151" t="s">
        <v>578</v>
      </c>
      <c r="M151" s="76">
        <f t="shared" ref="M151:M175" si="24">VALUE(LEFT(L151,3))</f>
        <v>150</v>
      </c>
      <c r="N151" t="s">
        <v>603</v>
      </c>
      <c r="O151" s="210">
        <f t="shared" si="15"/>
        <v>7.6</v>
      </c>
      <c r="P151" t="s">
        <v>604</v>
      </c>
      <c r="Q151" s="211">
        <f t="shared" si="16"/>
        <v>272</v>
      </c>
      <c r="R151" t="s">
        <v>570</v>
      </c>
      <c r="S151" s="211">
        <f t="shared" si="17"/>
        <v>1395</v>
      </c>
      <c r="T151" t="s">
        <v>580</v>
      </c>
      <c r="U151" s="210">
        <f t="shared" si="18"/>
        <v>8.8000000000000007</v>
      </c>
      <c r="V151" t="s">
        <v>110</v>
      </c>
      <c r="W151" s="210">
        <f t="shared" si="23"/>
        <v>40</v>
      </c>
      <c r="X151" t="s">
        <v>581</v>
      </c>
      <c r="Y151">
        <v>2.9</v>
      </c>
      <c r="Z151" s="210">
        <f>VALUE(LEFT(X151,3))</f>
        <v>7.4</v>
      </c>
      <c r="AA151" t="s">
        <v>582</v>
      </c>
    </row>
    <row r="152" spans="2:27" x14ac:dyDescent="0.3">
      <c r="B152" t="s">
        <v>14</v>
      </c>
      <c r="C152" t="s">
        <v>45</v>
      </c>
      <c r="D152" t="s">
        <v>429</v>
      </c>
      <c r="E152" t="s">
        <v>430</v>
      </c>
      <c r="F152" t="s">
        <v>431</v>
      </c>
      <c r="G152" t="s">
        <v>756</v>
      </c>
      <c r="H152">
        <v>86150</v>
      </c>
      <c r="I152" s="266">
        <f t="shared" si="14"/>
        <v>86150</v>
      </c>
      <c r="L152" t="s">
        <v>686</v>
      </c>
      <c r="M152" s="76">
        <f t="shared" si="24"/>
        <v>235</v>
      </c>
      <c r="N152" t="s">
        <v>687</v>
      </c>
      <c r="O152" s="210">
        <f t="shared" si="15"/>
        <v>5.3</v>
      </c>
      <c r="P152" t="s">
        <v>688</v>
      </c>
      <c r="Q152" s="211">
        <f t="shared" si="16"/>
        <v>460</v>
      </c>
      <c r="R152" t="s">
        <v>689</v>
      </c>
      <c r="S152" s="211">
        <f t="shared" si="17"/>
        <v>2979</v>
      </c>
      <c r="T152" t="s">
        <v>96</v>
      </c>
      <c r="U152" s="210" t="e">
        <f t="shared" si="18"/>
        <v>#VALUE!</v>
      </c>
      <c r="V152" t="s">
        <v>673</v>
      </c>
      <c r="W152" s="210">
        <f t="shared" si="23"/>
        <v>70</v>
      </c>
      <c r="X152" t="s">
        <v>690</v>
      </c>
      <c r="Y152" s="210">
        <f>VALUE(LEFT(X152,3))</f>
        <v>9.6</v>
      </c>
      <c r="AA152" t="s">
        <v>691</v>
      </c>
    </row>
    <row r="153" spans="2:27" x14ac:dyDescent="0.3">
      <c r="B153" t="s">
        <v>14</v>
      </c>
      <c r="C153" t="s">
        <v>45</v>
      </c>
      <c r="D153" t="s">
        <v>432</v>
      </c>
      <c r="E153" t="s">
        <v>433</v>
      </c>
      <c r="F153" t="s">
        <v>434</v>
      </c>
      <c r="G153" t="s">
        <v>757</v>
      </c>
      <c r="H153">
        <v>45240</v>
      </c>
      <c r="I153" s="266">
        <f t="shared" si="14"/>
        <v>45240</v>
      </c>
      <c r="L153" t="s">
        <v>692</v>
      </c>
      <c r="M153" s="76">
        <f t="shared" si="24"/>
        <v>164</v>
      </c>
      <c r="N153" t="s">
        <v>477</v>
      </c>
      <c r="O153" s="210">
        <f t="shared" si="15"/>
        <v>9.1999999999999993</v>
      </c>
      <c r="P153" t="s">
        <v>693</v>
      </c>
      <c r="Q153" s="211">
        <f t="shared" si="16"/>
        <v>482</v>
      </c>
      <c r="R153" t="s">
        <v>694</v>
      </c>
      <c r="S153" s="211">
        <f t="shared" si="17"/>
        <v>2494</v>
      </c>
      <c r="T153" t="s">
        <v>96</v>
      </c>
      <c r="U153" s="210" t="e">
        <f t="shared" si="18"/>
        <v>#VALUE!</v>
      </c>
      <c r="V153" t="s">
        <v>678</v>
      </c>
      <c r="W153" s="210">
        <f t="shared" si="23"/>
        <v>66</v>
      </c>
      <c r="X153" t="s">
        <v>137</v>
      </c>
      <c r="Y153" s="210">
        <f>VALUE(LEFT(X153,3))</f>
        <v>6.1</v>
      </c>
      <c r="AA153" t="s">
        <v>695</v>
      </c>
    </row>
    <row r="154" spans="2:27" x14ac:dyDescent="0.3">
      <c r="B154" t="s">
        <v>14</v>
      </c>
      <c r="C154" t="s">
        <v>45</v>
      </c>
      <c r="D154" t="s">
        <v>435</v>
      </c>
      <c r="E154" t="s">
        <v>436</v>
      </c>
      <c r="F154" t="s">
        <v>437</v>
      </c>
      <c r="G154" t="s">
        <v>758</v>
      </c>
      <c r="H154">
        <v>50170</v>
      </c>
      <c r="I154" s="266">
        <f t="shared" si="14"/>
        <v>50170</v>
      </c>
      <c r="L154" t="s">
        <v>696</v>
      </c>
      <c r="M154" s="76">
        <f t="shared" si="24"/>
        <v>180</v>
      </c>
      <c r="N154" t="s">
        <v>697</v>
      </c>
      <c r="O154" s="210">
        <f t="shared" si="15"/>
        <v>6.5</v>
      </c>
      <c r="P154" t="s">
        <v>698</v>
      </c>
      <c r="Q154" s="211">
        <f t="shared" si="16"/>
        <v>480</v>
      </c>
      <c r="R154" t="s">
        <v>699</v>
      </c>
      <c r="S154" s="211">
        <f t="shared" si="17"/>
        <v>1969</v>
      </c>
      <c r="T154" t="s">
        <v>96</v>
      </c>
      <c r="U154" s="210" t="e">
        <f t="shared" si="18"/>
        <v>#VALUE!</v>
      </c>
      <c r="V154" t="s">
        <v>673</v>
      </c>
      <c r="W154" s="210">
        <f t="shared" si="23"/>
        <v>70</v>
      </c>
      <c r="X154" t="s">
        <v>700</v>
      </c>
      <c r="Y154" s="210">
        <f>VALUE(LEFT(X154,3))</f>
        <v>8.3000000000000007</v>
      </c>
      <c r="AA154" t="s">
        <v>701</v>
      </c>
    </row>
    <row r="155" spans="2:27" x14ac:dyDescent="0.3">
      <c r="B155" t="s">
        <v>14</v>
      </c>
      <c r="C155" t="s">
        <v>165</v>
      </c>
      <c r="D155" t="s">
        <v>423</v>
      </c>
      <c r="E155" t="s">
        <v>424</v>
      </c>
      <c r="F155" t="s">
        <v>425</v>
      </c>
      <c r="G155" t="s">
        <v>759</v>
      </c>
      <c r="H155">
        <v>90600</v>
      </c>
      <c r="I155" s="266">
        <f t="shared" si="14"/>
        <v>90600</v>
      </c>
      <c r="L155" t="s">
        <v>654</v>
      </c>
      <c r="M155" s="76">
        <f t="shared" si="24"/>
        <v>245</v>
      </c>
      <c r="N155" t="s">
        <v>655</v>
      </c>
      <c r="O155" s="210">
        <f t="shared" si="15"/>
        <v>5.6</v>
      </c>
      <c r="P155" t="s">
        <v>656</v>
      </c>
      <c r="Q155" s="211">
        <f t="shared" si="16"/>
        <v>745</v>
      </c>
      <c r="R155" t="s">
        <v>96</v>
      </c>
      <c r="S155" s="211" t="e">
        <f t="shared" si="17"/>
        <v>#VALUE!</v>
      </c>
      <c r="T155" t="s">
        <v>657</v>
      </c>
      <c r="U155" s="210">
        <f t="shared" si="18"/>
        <v>85</v>
      </c>
      <c r="V155" t="s">
        <v>96</v>
      </c>
      <c r="W155" s="210" t="e">
        <f t="shared" si="23"/>
        <v>#VALUE!</v>
      </c>
      <c r="X155" t="s">
        <v>658</v>
      </c>
      <c r="Z155" s="210">
        <f>VALUE(LEFT(X155,4))</f>
        <v>20.9</v>
      </c>
      <c r="AA155" t="s">
        <v>659</v>
      </c>
    </row>
    <row r="156" spans="2:27" x14ac:dyDescent="0.3">
      <c r="B156" t="s">
        <v>14</v>
      </c>
      <c r="C156" t="s">
        <v>165</v>
      </c>
      <c r="D156" t="s">
        <v>426</v>
      </c>
      <c r="E156" t="s">
        <v>427</v>
      </c>
      <c r="F156" t="s">
        <v>428</v>
      </c>
      <c r="G156" t="s">
        <v>760</v>
      </c>
      <c r="H156">
        <v>9500</v>
      </c>
      <c r="I156" s="266">
        <f t="shared" si="14"/>
        <v>9500</v>
      </c>
      <c r="L156" t="s">
        <v>660</v>
      </c>
      <c r="M156" s="76">
        <f t="shared" si="24"/>
        <v>515</v>
      </c>
      <c r="N156" t="s">
        <v>661</v>
      </c>
      <c r="O156" s="210">
        <f t="shared" si="15"/>
        <v>3.3</v>
      </c>
      <c r="P156" t="s">
        <v>656</v>
      </c>
      <c r="Q156" s="211">
        <f t="shared" si="16"/>
        <v>745</v>
      </c>
      <c r="R156" t="s">
        <v>96</v>
      </c>
      <c r="S156" s="211" t="e">
        <f t="shared" si="17"/>
        <v>#VALUE!</v>
      </c>
      <c r="T156" t="s">
        <v>657</v>
      </c>
      <c r="U156" s="210">
        <f t="shared" si="18"/>
        <v>85</v>
      </c>
      <c r="V156" t="s">
        <v>96</v>
      </c>
      <c r="W156" s="210" t="e">
        <f t="shared" si="23"/>
        <v>#VALUE!</v>
      </c>
      <c r="X156" t="s">
        <v>662</v>
      </c>
      <c r="Z156" s="210">
        <f>VALUE(LEFT(X156,4))</f>
        <v>22.5</v>
      </c>
      <c r="AA156" t="s">
        <v>663</v>
      </c>
    </row>
    <row r="157" spans="2:27" x14ac:dyDescent="0.3">
      <c r="B157" t="s">
        <v>14</v>
      </c>
      <c r="C157" t="s">
        <v>46</v>
      </c>
      <c r="D157" t="s">
        <v>438</v>
      </c>
      <c r="E157" t="s">
        <v>439</v>
      </c>
      <c r="F157" t="s">
        <v>440</v>
      </c>
      <c r="G157" t="s">
        <v>761</v>
      </c>
      <c r="H157">
        <v>42270</v>
      </c>
      <c r="I157" s="266">
        <f t="shared" si="14"/>
        <v>42270</v>
      </c>
      <c r="L157" t="s">
        <v>664</v>
      </c>
      <c r="M157" s="76">
        <f t="shared" si="24"/>
        <v>140</v>
      </c>
      <c r="N157" t="s">
        <v>665</v>
      </c>
      <c r="O157" s="210">
        <f t="shared" si="15"/>
        <v>8.4</v>
      </c>
      <c r="P157" t="s">
        <v>666</v>
      </c>
      <c r="Q157" s="211">
        <f t="shared" si="16"/>
        <v>530</v>
      </c>
      <c r="R157" t="s">
        <v>667</v>
      </c>
      <c r="S157" s="211">
        <f t="shared" si="17"/>
        <v>1968</v>
      </c>
      <c r="T157" t="s">
        <v>96</v>
      </c>
      <c r="U157" s="210" t="e">
        <f t="shared" si="18"/>
        <v>#VALUE!</v>
      </c>
      <c r="V157" t="s">
        <v>668</v>
      </c>
      <c r="W157" s="210">
        <f t="shared" si="23"/>
        <v>73</v>
      </c>
      <c r="X157" t="s">
        <v>669</v>
      </c>
      <c r="Y157" s="210">
        <f t="shared" ref="Y157:Y170" si="25">VALUE(LEFT(X157,3))</f>
        <v>5.7</v>
      </c>
      <c r="AA157" t="s">
        <v>670</v>
      </c>
    </row>
    <row r="158" spans="2:27" x14ac:dyDescent="0.3">
      <c r="B158" t="s">
        <v>14</v>
      </c>
      <c r="C158" t="s">
        <v>46</v>
      </c>
      <c r="D158" t="s">
        <v>441</v>
      </c>
      <c r="E158" t="s">
        <v>442</v>
      </c>
      <c r="F158" t="s">
        <v>443</v>
      </c>
      <c r="G158" t="s">
        <v>762</v>
      </c>
      <c r="H158">
        <v>48650</v>
      </c>
      <c r="I158" s="266">
        <f t="shared" si="14"/>
        <v>48650</v>
      </c>
      <c r="L158" t="s">
        <v>664</v>
      </c>
      <c r="M158" s="76">
        <f t="shared" si="24"/>
        <v>140</v>
      </c>
      <c r="N158" t="s">
        <v>590</v>
      </c>
      <c r="O158" s="210">
        <f t="shared" si="15"/>
        <v>7.9</v>
      </c>
      <c r="P158" t="s">
        <v>671</v>
      </c>
      <c r="Q158" s="211">
        <f t="shared" si="16"/>
        <v>520</v>
      </c>
      <c r="R158" t="s">
        <v>672</v>
      </c>
      <c r="S158" s="211">
        <f t="shared" si="17"/>
        <v>1995</v>
      </c>
      <c r="T158" t="s">
        <v>96</v>
      </c>
      <c r="U158" s="210" t="e">
        <f t="shared" si="18"/>
        <v>#VALUE!</v>
      </c>
      <c r="V158" t="s">
        <v>673</v>
      </c>
      <c r="W158" s="210">
        <f t="shared" si="23"/>
        <v>70</v>
      </c>
      <c r="X158" t="s">
        <v>137</v>
      </c>
      <c r="Y158" s="210">
        <f t="shared" si="25"/>
        <v>6.1</v>
      </c>
      <c r="AA158" t="s">
        <v>674</v>
      </c>
    </row>
    <row r="159" spans="2:27" x14ac:dyDescent="0.3">
      <c r="B159" t="s">
        <v>14</v>
      </c>
      <c r="C159" t="s">
        <v>46</v>
      </c>
      <c r="D159" t="s">
        <v>444</v>
      </c>
      <c r="E159" t="s">
        <v>445</v>
      </c>
      <c r="F159" t="s">
        <v>446</v>
      </c>
      <c r="G159" t="s">
        <v>763</v>
      </c>
      <c r="H159">
        <v>47850</v>
      </c>
      <c r="I159" s="266">
        <f t="shared" si="14"/>
        <v>47850</v>
      </c>
      <c r="L159" t="s">
        <v>613</v>
      </c>
      <c r="M159" s="76">
        <f t="shared" si="24"/>
        <v>132</v>
      </c>
      <c r="N159" t="s">
        <v>675</v>
      </c>
      <c r="O159" s="210">
        <f t="shared" si="15"/>
        <v>8.1</v>
      </c>
      <c r="P159" t="s">
        <v>676</v>
      </c>
      <c r="Q159" s="211">
        <f t="shared" si="16"/>
        <v>540</v>
      </c>
      <c r="R159" t="s">
        <v>677</v>
      </c>
      <c r="S159" s="211">
        <f t="shared" si="17"/>
        <v>1999</v>
      </c>
      <c r="T159" t="s">
        <v>96</v>
      </c>
      <c r="U159" s="210" t="e">
        <f t="shared" si="18"/>
        <v>#VALUE!</v>
      </c>
      <c r="V159" t="s">
        <v>678</v>
      </c>
      <c r="W159" s="210">
        <f t="shared" si="23"/>
        <v>66</v>
      </c>
      <c r="X159" t="s">
        <v>111</v>
      </c>
      <c r="Y159" s="210">
        <f t="shared" si="25"/>
        <v>5.6</v>
      </c>
      <c r="AA159" t="s">
        <v>679</v>
      </c>
    </row>
    <row r="160" spans="2:27" x14ac:dyDescent="0.3">
      <c r="B160" t="s">
        <v>14</v>
      </c>
      <c r="C160" t="s">
        <v>46</v>
      </c>
      <c r="D160" t="s">
        <v>447</v>
      </c>
      <c r="E160" t="s">
        <v>448</v>
      </c>
      <c r="F160" t="s">
        <v>449</v>
      </c>
      <c r="G160" t="s">
        <v>764</v>
      </c>
      <c r="H160">
        <v>56289</v>
      </c>
      <c r="I160" s="266">
        <f t="shared" si="14"/>
        <v>56289</v>
      </c>
      <c r="L160" t="s">
        <v>680</v>
      </c>
      <c r="M160" s="76">
        <f t="shared" si="24"/>
        <v>170</v>
      </c>
      <c r="N160" t="s">
        <v>681</v>
      </c>
      <c r="O160" s="210">
        <f t="shared" si="15"/>
        <v>7.1</v>
      </c>
      <c r="P160" t="s">
        <v>682</v>
      </c>
      <c r="Q160" s="211">
        <f t="shared" si="16"/>
        <v>505</v>
      </c>
      <c r="R160" t="s">
        <v>683</v>
      </c>
      <c r="S160" s="211">
        <f t="shared" si="17"/>
        <v>2143</v>
      </c>
      <c r="T160" t="s">
        <v>96</v>
      </c>
      <c r="U160" s="210" t="e">
        <f t="shared" si="18"/>
        <v>#VALUE!</v>
      </c>
      <c r="V160" t="s">
        <v>684</v>
      </c>
      <c r="W160" s="210">
        <f t="shared" si="23"/>
        <v>80</v>
      </c>
      <c r="X160" t="s">
        <v>114</v>
      </c>
      <c r="Y160" s="210">
        <f t="shared" si="25"/>
        <v>4.9000000000000004</v>
      </c>
      <c r="AA160" t="s">
        <v>685</v>
      </c>
    </row>
    <row r="161" spans="2:27" x14ac:dyDescent="0.3">
      <c r="B161" t="s">
        <v>13</v>
      </c>
      <c r="C161" t="s">
        <v>45</v>
      </c>
      <c r="D161" t="s">
        <v>863</v>
      </c>
      <c r="E161" t="s">
        <v>433</v>
      </c>
      <c r="F161" t="s">
        <v>864</v>
      </c>
      <c r="G161" t="str">
        <f t="shared" ref="G161:G175" si="26">LEFT(RIGHT(F161,8),6)</f>
        <v>36.990</v>
      </c>
      <c r="H161" s="39">
        <f t="shared" ref="H161:H175" si="27">VALUE(G161)</f>
        <v>36990</v>
      </c>
      <c r="I161" s="266">
        <f t="shared" ref="I161:I175" si="28">H161/(1+input_btw)</f>
        <v>36990</v>
      </c>
      <c r="L161" t="s">
        <v>692</v>
      </c>
      <c r="M161" s="76">
        <f t="shared" si="24"/>
        <v>164</v>
      </c>
      <c r="N161" t="s">
        <v>891</v>
      </c>
      <c r="O161" s="210">
        <f t="shared" ref="O161:O175" si="29">VALUE(LEFT(N161,4))</f>
        <v>8.3000000000000007</v>
      </c>
      <c r="P161" t="s">
        <v>892</v>
      </c>
      <c r="Q161" s="211">
        <f t="shared" ref="Q161:Q175" si="30">VALUE(LEFT(P161,4))</f>
        <v>450</v>
      </c>
      <c r="R161" t="s">
        <v>694</v>
      </c>
      <c r="S161" s="211">
        <f t="shared" ref="S161:S175" si="31">VALUE(LEFT(R161,4))</f>
        <v>2494</v>
      </c>
      <c r="T161" t="s">
        <v>96</v>
      </c>
      <c r="U161" s="210" t="e">
        <f t="shared" ref="U161:U175" si="32">VALUE(LEFT(T161,4))</f>
        <v>#VALUE!</v>
      </c>
      <c r="V161" t="s">
        <v>678</v>
      </c>
      <c r="W161" s="210">
        <f t="shared" si="23"/>
        <v>66</v>
      </c>
      <c r="X161" t="s">
        <v>111</v>
      </c>
      <c r="Y161" s="210">
        <f t="shared" si="25"/>
        <v>5.6</v>
      </c>
      <c r="AA161" t="s">
        <v>679</v>
      </c>
    </row>
    <row r="162" spans="2:27" x14ac:dyDescent="0.3">
      <c r="B162" t="s">
        <v>13</v>
      </c>
      <c r="C162" t="s">
        <v>45</v>
      </c>
      <c r="D162" t="s">
        <v>865</v>
      </c>
      <c r="E162" t="s">
        <v>866</v>
      </c>
      <c r="F162" t="s">
        <v>867</v>
      </c>
      <c r="G162" t="str">
        <f t="shared" si="26"/>
        <v>33.780</v>
      </c>
      <c r="H162" s="39">
        <f t="shared" si="27"/>
        <v>33780</v>
      </c>
      <c r="I162" s="266">
        <f t="shared" si="28"/>
        <v>33780</v>
      </c>
      <c r="L162" t="s">
        <v>893</v>
      </c>
      <c r="M162" s="76">
        <f t="shared" si="24"/>
        <v>121</v>
      </c>
      <c r="N162" t="s">
        <v>894</v>
      </c>
      <c r="O162" s="210">
        <f t="shared" si="29"/>
        <v>9.6999999999999993</v>
      </c>
      <c r="P162" t="s">
        <v>895</v>
      </c>
      <c r="Q162" s="211">
        <f t="shared" si="30"/>
        <v>515</v>
      </c>
      <c r="R162" t="s">
        <v>630</v>
      </c>
      <c r="S162" s="211">
        <f t="shared" si="31"/>
        <v>1598</v>
      </c>
      <c r="T162" t="s">
        <v>96</v>
      </c>
      <c r="U162" s="210" t="e">
        <f t="shared" si="32"/>
        <v>#VALUE!</v>
      </c>
      <c r="V162" t="s">
        <v>896</v>
      </c>
      <c r="W162" s="210">
        <f t="shared" si="23"/>
        <v>72</v>
      </c>
      <c r="X162" t="s">
        <v>468</v>
      </c>
      <c r="Y162" s="210">
        <f t="shared" si="25"/>
        <v>7.5</v>
      </c>
      <c r="AA162" t="s">
        <v>897</v>
      </c>
    </row>
    <row r="163" spans="2:27" x14ac:dyDescent="0.3">
      <c r="B163" t="s">
        <v>13</v>
      </c>
      <c r="C163" t="s">
        <v>45</v>
      </c>
      <c r="D163" t="s">
        <v>816</v>
      </c>
      <c r="E163" t="s">
        <v>868</v>
      </c>
      <c r="F163" t="s">
        <v>869</v>
      </c>
      <c r="G163" t="str">
        <f t="shared" si="26"/>
        <v>31.460</v>
      </c>
      <c r="H163" s="39">
        <f t="shared" si="27"/>
        <v>31460</v>
      </c>
      <c r="I163" s="266">
        <f t="shared" si="28"/>
        <v>31460</v>
      </c>
      <c r="L163" t="s">
        <v>559</v>
      </c>
      <c r="M163" s="76">
        <f t="shared" si="24"/>
        <v>90</v>
      </c>
      <c r="N163" t="s">
        <v>636</v>
      </c>
      <c r="O163" s="210">
        <f t="shared" si="29"/>
        <v>10.6</v>
      </c>
      <c r="P163" t="s">
        <v>898</v>
      </c>
      <c r="Q163" s="211">
        <f t="shared" si="30"/>
        <v>502</v>
      </c>
      <c r="R163" t="s">
        <v>899</v>
      </c>
      <c r="S163" s="211">
        <f t="shared" si="31"/>
        <v>1797</v>
      </c>
      <c r="T163" t="s">
        <v>96</v>
      </c>
      <c r="U163" s="210" t="e">
        <f t="shared" si="32"/>
        <v>#VALUE!</v>
      </c>
      <c r="V163" t="s">
        <v>458</v>
      </c>
      <c r="W163" s="210">
        <f t="shared" si="23"/>
        <v>45</v>
      </c>
      <c r="X163" t="s">
        <v>900</v>
      </c>
      <c r="Y163" s="210">
        <f t="shared" si="25"/>
        <v>3.9</v>
      </c>
      <c r="AA163" t="s">
        <v>901</v>
      </c>
    </row>
    <row r="164" spans="2:27" x14ac:dyDescent="0.3">
      <c r="B164" t="s">
        <v>13</v>
      </c>
      <c r="C164" t="s">
        <v>45</v>
      </c>
      <c r="D164" t="s">
        <v>870</v>
      </c>
      <c r="E164" t="s">
        <v>871</v>
      </c>
      <c r="F164" t="s">
        <v>872</v>
      </c>
      <c r="G164" t="str">
        <f t="shared" si="26"/>
        <v>34.910</v>
      </c>
      <c r="H164" s="39">
        <f t="shared" si="27"/>
        <v>34910</v>
      </c>
      <c r="I164" s="266">
        <f t="shared" si="28"/>
        <v>34910</v>
      </c>
      <c r="L164" t="s">
        <v>902</v>
      </c>
      <c r="M164" s="76">
        <f t="shared" si="24"/>
        <v>110</v>
      </c>
      <c r="N164" t="s">
        <v>665</v>
      </c>
      <c r="O164" s="210">
        <f t="shared" si="29"/>
        <v>8.4</v>
      </c>
      <c r="P164" t="s">
        <v>903</v>
      </c>
      <c r="Q164" s="211">
        <f t="shared" si="30"/>
        <v>586</v>
      </c>
      <c r="R164" t="s">
        <v>570</v>
      </c>
      <c r="S164" s="211">
        <f t="shared" si="31"/>
        <v>1395</v>
      </c>
      <c r="T164" t="s">
        <v>96</v>
      </c>
      <c r="U164" s="210" t="e">
        <f t="shared" si="32"/>
        <v>#VALUE!</v>
      </c>
      <c r="V164" t="s">
        <v>678</v>
      </c>
      <c r="W164" s="210">
        <f t="shared" si="23"/>
        <v>66</v>
      </c>
      <c r="X164" t="s">
        <v>904</v>
      </c>
      <c r="Y164" s="210">
        <f t="shared" si="25"/>
        <v>6.6</v>
      </c>
      <c r="AA164" t="s">
        <v>905</v>
      </c>
    </row>
    <row r="165" spans="2:27" x14ac:dyDescent="0.3">
      <c r="B165" t="s">
        <v>13</v>
      </c>
      <c r="C165" t="s">
        <v>45</v>
      </c>
      <c r="D165" t="s">
        <v>873</v>
      </c>
      <c r="E165" t="s">
        <v>874</v>
      </c>
      <c r="F165" t="s">
        <v>875</v>
      </c>
      <c r="G165" t="str">
        <f t="shared" si="26"/>
        <v>37.140</v>
      </c>
      <c r="H165" s="39">
        <f t="shared" si="27"/>
        <v>37140</v>
      </c>
      <c r="I165" s="266">
        <f t="shared" si="28"/>
        <v>37140</v>
      </c>
      <c r="L165" t="s">
        <v>906</v>
      </c>
      <c r="M165" s="76">
        <f t="shared" si="24"/>
        <v>112</v>
      </c>
      <c r="N165" t="s">
        <v>907</v>
      </c>
      <c r="O165" s="210">
        <f t="shared" si="29"/>
        <v>8.6999999999999993</v>
      </c>
      <c r="P165" t="s">
        <v>908</v>
      </c>
      <c r="Q165" s="211">
        <f t="shared" si="30"/>
        <v>430</v>
      </c>
      <c r="R165" t="s">
        <v>575</v>
      </c>
      <c r="S165" s="211">
        <f t="shared" si="31"/>
        <v>1498</v>
      </c>
      <c r="T165" t="s">
        <v>96</v>
      </c>
      <c r="U165" s="210" t="e">
        <f t="shared" si="32"/>
        <v>#VALUE!</v>
      </c>
      <c r="V165" t="s">
        <v>909</v>
      </c>
      <c r="W165" s="210">
        <f t="shared" si="23"/>
        <v>68</v>
      </c>
      <c r="X165" t="s">
        <v>910</v>
      </c>
      <c r="Y165" s="210">
        <f t="shared" si="25"/>
        <v>7.7</v>
      </c>
      <c r="AA165" t="s">
        <v>911</v>
      </c>
    </row>
    <row r="166" spans="2:27" x14ac:dyDescent="0.3">
      <c r="B166" t="s">
        <v>13</v>
      </c>
      <c r="C166" t="s">
        <v>46</v>
      </c>
      <c r="D166" t="s">
        <v>876</v>
      </c>
      <c r="E166" t="s">
        <v>877</v>
      </c>
      <c r="F166" t="s">
        <v>878</v>
      </c>
      <c r="G166" t="str">
        <f t="shared" si="26"/>
        <v>37.460</v>
      </c>
      <c r="H166" s="39">
        <f t="shared" si="27"/>
        <v>37460</v>
      </c>
      <c r="I166" s="266">
        <f t="shared" si="28"/>
        <v>37460</v>
      </c>
      <c r="L166" t="s">
        <v>547</v>
      </c>
      <c r="M166" s="76">
        <f t="shared" si="24"/>
        <v>100</v>
      </c>
      <c r="N166" t="s">
        <v>568</v>
      </c>
      <c r="O166" s="210">
        <f t="shared" si="29"/>
        <v>9.1</v>
      </c>
      <c r="P166" t="s">
        <v>698</v>
      </c>
      <c r="Q166" s="211">
        <f t="shared" si="30"/>
        <v>480</v>
      </c>
      <c r="R166" t="s">
        <v>667</v>
      </c>
      <c r="S166" s="211">
        <f t="shared" si="31"/>
        <v>1968</v>
      </c>
      <c r="T166" t="s">
        <v>96</v>
      </c>
      <c r="U166" s="210" t="e">
        <f t="shared" si="32"/>
        <v>#VALUE!</v>
      </c>
      <c r="V166" t="s">
        <v>110</v>
      </c>
      <c r="W166" s="210">
        <f t="shared" si="23"/>
        <v>40</v>
      </c>
      <c r="X166" t="s">
        <v>127</v>
      </c>
      <c r="Y166" s="210">
        <f t="shared" si="25"/>
        <v>5.3</v>
      </c>
      <c r="AA166" t="s">
        <v>941</v>
      </c>
    </row>
    <row r="167" spans="2:27" x14ac:dyDescent="0.3">
      <c r="B167" t="s">
        <v>13</v>
      </c>
      <c r="C167" t="s">
        <v>46</v>
      </c>
      <c r="D167" t="s">
        <v>879</v>
      </c>
      <c r="E167" t="s">
        <v>880</v>
      </c>
      <c r="F167" t="s">
        <v>881</v>
      </c>
      <c r="G167" t="str">
        <f t="shared" si="26"/>
        <v>38.100</v>
      </c>
      <c r="H167" s="39">
        <f t="shared" si="27"/>
        <v>38100</v>
      </c>
      <c r="I167" s="266">
        <f t="shared" si="28"/>
        <v>38100</v>
      </c>
      <c r="L167" t="s">
        <v>942</v>
      </c>
      <c r="M167" s="76">
        <f t="shared" si="24"/>
        <v>120</v>
      </c>
      <c r="N167" t="s">
        <v>943</v>
      </c>
      <c r="O167" s="210">
        <f t="shared" si="29"/>
        <v>8.1999999999999993</v>
      </c>
      <c r="P167" t="s">
        <v>944</v>
      </c>
      <c r="Q167" s="211">
        <f t="shared" si="30"/>
        <v>495</v>
      </c>
      <c r="R167" t="s">
        <v>672</v>
      </c>
      <c r="S167" s="211">
        <f t="shared" si="31"/>
        <v>1995</v>
      </c>
      <c r="T167" t="s">
        <v>96</v>
      </c>
      <c r="U167" s="210" t="e">
        <f t="shared" si="32"/>
        <v>#VALUE!</v>
      </c>
      <c r="V167" t="s">
        <v>945</v>
      </c>
      <c r="W167" s="210">
        <f t="shared" si="23"/>
        <v>57</v>
      </c>
      <c r="X167" t="s">
        <v>127</v>
      </c>
      <c r="Y167" s="210">
        <f t="shared" si="25"/>
        <v>5.3</v>
      </c>
      <c r="AA167" t="s">
        <v>946</v>
      </c>
    </row>
    <row r="168" spans="2:27" x14ac:dyDescent="0.3">
      <c r="B168" t="s">
        <v>13</v>
      </c>
      <c r="C168" t="s">
        <v>46</v>
      </c>
      <c r="D168" t="s">
        <v>882</v>
      </c>
      <c r="E168" t="s">
        <v>883</v>
      </c>
      <c r="F168" t="s">
        <v>884</v>
      </c>
      <c r="G168" t="str">
        <f t="shared" si="26"/>
        <v>23.595</v>
      </c>
      <c r="H168" s="39">
        <f t="shared" si="27"/>
        <v>23595</v>
      </c>
      <c r="I168" s="266">
        <f t="shared" si="28"/>
        <v>23595</v>
      </c>
      <c r="L168" t="s">
        <v>632</v>
      </c>
      <c r="M168" s="76">
        <f t="shared" si="24"/>
        <v>84</v>
      </c>
      <c r="N168" t="s">
        <v>947</v>
      </c>
      <c r="O168" s="210">
        <f t="shared" si="29"/>
        <v>14.3</v>
      </c>
      <c r="P168" t="s">
        <v>948</v>
      </c>
      <c r="Q168" s="211">
        <f t="shared" si="30"/>
        <v>439</v>
      </c>
      <c r="R168" t="s">
        <v>647</v>
      </c>
      <c r="S168" s="211">
        <f t="shared" si="31"/>
        <v>1560</v>
      </c>
      <c r="T168" t="s">
        <v>96</v>
      </c>
      <c r="U168" s="210" t="e">
        <f t="shared" si="32"/>
        <v>#VALUE!</v>
      </c>
      <c r="V168" t="s">
        <v>949</v>
      </c>
      <c r="W168" s="210">
        <f t="shared" si="23"/>
        <v>71</v>
      </c>
      <c r="X168" t="s">
        <v>111</v>
      </c>
      <c r="Y168" s="210">
        <f t="shared" si="25"/>
        <v>5.6</v>
      </c>
      <c r="AA168" t="s">
        <v>950</v>
      </c>
    </row>
    <row r="169" spans="2:27" x14ac:dyDescent="0.3">
      <c r="B169" t="s">
        <v>13</v>
      </c>
      <c r="C169" t="s">
        <v>46</v>
      </c>
      <c r="D169" t="s">
        <v>885</v>
      </c>
      <c r="E169" t="s">
        <v>886</v>
      </c>
      <c r="F169" t="s">
        <v>887</v>
      </c>
      <c r="G169" t="str">
        <f t="shared" si="26"/>
        <v>33.600</v>
      </c>
      <c r="H169" s="39">
        <f t="shared" si="27"/>
        <v>33600</v>
      </c>
      <c r="I169" s="266">
        <f t="shared" si="28"/>
        <v>33600</v>
      </c>
      <c r="L169" t="s">
        <v>547</v>
      </c>
      <c r="M169" s="76">
        <f t="shared" si="24"/>
        <v>100</v>
      </c>
      <c r="N169" t="s">
        <v>456</v>
      </c>
      <c r="O169" s="210">
        <f t="shared" si="29"/>
        <v>10.9</v>
      </c>
      <c r="P169" t="s">
        <v>666</v>
      </c>
      <c r="Q169" s="211">
        <f t="shared" si="30"/>
        <v>530</v>
      </c>
      <c r="R169" t="s">
        <v>630</v>
      </c>
      <c r="S169" s="211">
        <f t="shared" si="31"/>
        <v>1598</v>
      </c>
      <c r="T169" t="s">
        <v>96</v>
      </c>
      <c r="U169" s="210" t="e">
        <f t="shared" si="32"/>
        <v>#VALUE!</v>
      </c>
      <c r="V169" t="s">
        <v>673</v>
      </c>
      <c r="W169" s="210">
        <f t="shared" si="23"/>
        <v>70</v>
      </c>
      <c r="X169" t="s">
        <v>137</v>
      </c>
      <c r="Y169" s="210">
        <f t="shared" si="25"/>
        <v>6.1</v>
      </c>
      <c r="AA169" t="s">
        <v>674</v>
      </c>
    </row>
    <row r="170" spans="2:27" x14ac:dyDescent="0.3">
      <c r="B170" t="s">
        <v>13</v>
      </c>
      <c r="C170" t="s">
        <v>46</v>
      </c>
      <c r="D170" t="s">
        <v>888</v>
      </c>
      <c r="E170" t="s">
        <v>889</v>
      </c>
      <c r="F170" t="s">
        <v>890</v>
      </c>
      <c r="G170" t="str">
        <f t="shared" si="26"/>
        <v>28.850</v>
      </c>
      <c r="H170" s="39">
        <f t="shared" si="27"/>
        <v>28850</v>
      </c>
      <c r="I170" s="266">
        <f t="shared" si="28"/>
        <v>28850</v>
      </c>
      <c r="L170" t="s">
        <v>902</v>
      </c>
      <c r="M170" s="76">
        <f t="shared" si="24"/>
        <v>110</v>
      </c>
      <c r="N170" t="s">
        <v>548</v>
      </c>
      <c r="O170" s="210">
        <f t="shared" si="29"/>
        <v>8.5</v>
      </c>
      <c r="P170" t="s">
        <v>951</v>
      </c>
      <c r="Q170" s="211">
        <f t="shared" si="30"/>
        <v>590</v>
      </c>
      <c r="R170" t="s">
        <v>667</v>
      </c>
      <c r="S170" s="211">
        <f t="shared" si="31"/>
        <v>1968</v>
      </c>
      <c r="T170" t="s">
        <v>96</v>
      </c>
      <c r="U170" s="210" t="e">
        <f t="shared" si="32"/>
        <v>#VALUE!</v>
      </c>
      <c r="V170" t="s">
        <v>463</v>
      </c>
      <c r="W170" s="210">
        <f t="shared" si="23"/>
        <v>50</v>
      </c>
      <c r="X170" t="s">
        <v>669</v>
      </c>
      <c r="Y170" s="210">
        <f t="shared" si="25"/>
        <v>5.7</v>
      </c>
      <c r="AA170" t="s">
        <v>952</v>
      </c>
    </row>
    <row r="171" spans="2:27" x14ac:dyDescent="0.3">
      <c r="B171" t="s">
        <v>13</v>
      </c>
      <c r="C171" t="s">
        <v>175</v>
      </c>
      <c r="D171" t="s">
        <v>849</v>
      </c>
      <c r="E171" t="s">
        <v>850</v>
      </c>
      <c r="F171" t="s">
        <v>851</v>
      </c>
      <c r="G171" t="str">
        <f t="shared" si="26"/>
        <v>43.250</v>
      </c>
      <c r="H171" s="39">
        <f t="shared" si="27"/>
        <v>43250</v>
      </c>
      <c r="I171" s="266">
        <f t="shared" si="28"/>
        <v>43250</v>
      </c>
      <c r="L171" t="s">
        <v>912</v>
      </c>
      <c r="M171" s="76">
        <f t="shared" si="24"/>
        <v>185</v>
      </c>
      <c r="N171" t="s">
        <v>913</v>
      </c>
      <c r="O171" s="210">
        <f t="shared" si="29"/>
        <v>6.1</v>
      </c>
      <c r="P171" t="s">
        <v>698</v>
      </c>
      <c r="Q171" s="211">
        <f t="shared" si="30"/>
        <v>480</v>
      </c>
      <c r="R171" t="s">
        <v>914</v>
      </c>
      <c r="S171" s="211">
        <f t="shared" si="31"/>
        <v>1998</v>
      </c>
      <c r="T171" t="s">
        <v>915</v>
      </c>
      <c r="U171" s="210">
        <f t="shared" si="32"/>
        <v>7.6</v>
      </c>
      <c r="V171" t="s">
        <v>916</v>
      </c>
      <c r="W171" s="210">
        <f t="shared" si="23"/>
        <v>41</v>
      </c>
      <c r="X171" t="s">
        <v>917</v>
      </c>
      <c r="Y171">
        <v>3.2</v>
      </c>
      <c r="Z171" s="210">
        <f>VALUE(LEFT(X171,4))</f>
        <v>12.4</v>
      </c>
      <c r="AA171" t="s">
        <v>918</v>
      </c>
    </row>
    <row r="172" spans="2:27" x14ac:dyDescent="0.3">
      <c r="B172" t="s">
        <v>13</v>
      </c>
      <c r="C172" t="s">
        <v>175</v>
      </c>
      <c r="D172" t="s">
        <v>852</v>
      </c>
      <c r="E172" t="s">
        <v>853</v>
      </c>
      <c r="F172" t="s">
        <v>854</v>
      </c>
      <c r="G172" t="str">
        <f t="shared" si="26"/>
        <v>52.817</v>
      </c>
      <c r="H172" s="39">
        <f t="shared" si="27"/>
        <v>52817</v>
      </c>
      <c r="I172" s="266">
        <f t="shared" si="28"/>
        <v>52817</v>
      </c>
      <c r="L172" t="s">
        <v>919</v>
      </c>
      <c r="M172" s="76">
        <f t="shared" si="24"/>
        <v>205</v>
      </c>
      <c r="N172" t="s">
        <v>920</v>
      </c>
      <c r="O172" s="210">
        <f t="shared" si="29"/>
        <v>5.9</v>
      </c>
      <c r="P172" t="s">
        <v>574</v>
      </c>
      <c r="Q172" s="211">
        <f t="shared" si="30"/>
        <v>335</v>
      </c>
      <c r="R172" t="s">
        <v>921</v>
      </c>
      <c r="S172" s="211">
        <f t="shared" si="31"/>
        <v>1991</v>
      </c>
      <c r="T172" t="s">
        <v>922</v>
      </c>
      <c r="U172" s="210">
        <f t="shared" si="32"/>
        <v>6.2</v>
      </c>
      <c r="V172" t="s">
        <v>463</v>
      </c>
      <c r="W172" s="210">
        <f t="shared" si="23"/>
        <v>50</v>
      </c>
      <c r="X172" t="s">
        <v>923</v>
      </c>
      <c r="Y172">
        <v>3.1</v>
      </c>
      <c r="Z172" s="210">
        <f>VALUE(LEFT(X172,4))</f>
        <v>7.2</v>
      </c>
      <c r="AA172" t="s">
        <v>924</v>
      </c>
    </row>
    <row r="173" spans="2:27" x14ac:dyDescent="0.3">
      <c r="B173" t="s">
        <v>13</v>
      </c>
      <c r="C173" t="s">
        <v>175</v>
      </c>
      <c r="D173" t="s">
        <v>815</v>
      </c>
      <c r="E173" t="s">
        <v>855</v>
      </c>
      <c r="F173" t="s">
        <v>856</v>
      </c>
      <c r="G173" t="str">
        <f t="shared" si="26"/>
        <v>36.950</v>
      </c>
      <c r="H173" s="39">
        <f t="shared" si="27"/>
        <v>36950</v>
      </c>
      <c r="I173" s="266">
        <f t="shared" si="28"/>
        <v>36950</v>
      </c>
      <c r="L173" t="s">
        <v>547</v>
      </c>
      <c r="M173" s="76">
        <f t="shared" si="24"/>
        <v>100</v>
      </c>
      <c r="N173" t="s">
        <v>117</v>
      </c>
      <c r="O173" s="210">
        <f t="shared" si="29"/>
        <v>10.7</v>
      </c>
      <c r="P173" t="s">
        <v>925</v>
      </c>
      <c r="Q173" s="211">
        <f t="shared" si="30"/>
        <v>443</v>
      </c>
      <c r="R173" t="s">
        <v>565</v>
      </c>
      <c r="S173" s="211">
        <f t="shared" si="31"/>
        <v>1798</v>
      </c>
      <c r="T173" t="s">
        <v>926</v>
      </c>
      <c r="U173" s="210">
        <f t="shared" si="32"/>
        <v>4.4000000000000004</v>
      </c>
      <c r="V173" t="s">
        <v>458</v>
      </c>
      <c r="W173" s="210">
        <f t="shared" si="23"/>
        <v>45</v>
      </c>
      <c r="X173" t="s">
        <v>927</v>
      </c>
      <c r="Y173">
        <v>2.6</v>
      </c>
      <c r="Z173" s="210">
        <f>VALUE(LEFT(X173,4))</f>
        <v>3.4</v>
      </c>
      <c r="AA173" t="s">
        <v>928</v>
      </c>
    </row>
    <row r="174" spans="2:27" x14ac:dyDescent="0.3">
      <c r="B174" t="s">
        <v>13</v>
      </c>
      <c r="C174" t="s">
        <v>175</v>
      </c>
      <c r="D174" t="s">
        <v>857</v>
      </c>
      <c r="E174" t="s">
        <v>858</v>
      </c>
      <c r="F174" t="s">
        <v>859</v>
      </c>
      <c r="G174" t="str">
        <f t="shared" si="26"/>
        <v>45.350</v>
      </c>
      <c r="H174" s="39">
        <f t="shared" si="27"/>
        <v>45350</v>
      </c>
      <c r="I174" s="266">
        <f t="shared" si="28"/>
        <v>45350</v>
      </c>
      <c r="L174" t="s">
        <v>929</v>
      </c>
      <c r="M174" s="76">
        <f t="shared" si="24"/>
        <v>160</v>
      </c>
      <c r="N174" t="s">
        <v>579</v>
      </c>
      <c r="O174" s="210">
        <f t="shared" si="29"/>
        <v>7.4</v>
      </c>
      <c r="P174" t="s">
        <v>930</v>
      </c>
      <c r="Q174" s="211">
        <f t="shared" si="30"/>
        <v>402</v>
      </c>
      <c r="R174" t="s">
        <v>570</v>
      </c>
      <c r="S174" s="211">
        <f t="shared" si="31"/>
        <v>1395</v>
      </c>
      <c r="T174" t="s">
        <v>931</v>
      </c>
      <c r="U174" s="210">
        <f t="shared" si="32"/>
        <v>9.9</v>
      </c>
      <c r="V174" t="s">
        <v>463</v>
      </c>
      <c r="W174" s="210">
        <f t="shared" si="23"/>
        <v>50</v>
      </c>
      <c r="X174" t="s">
        <v>932</v>
      </c>
      <c r="Y174">
        <v>3.1</v>
      </c>
      <c r="Z174" s="210">
        <f>VALUE(LEFT(X174,4))</f>
        <v>12.9</v>
      </c>
      <c r="AA174" t="s">
        <v>933</v>
      </c>
    </row>
    <row r="175" spans="2:27" x14ac:dyDescent="0.3">
      <c r="B175" t="s">
        <v>13</v>
      </c>
      <c r="C175" t="s">
        <v>175</v>
      </c>
      <c r="D175" t="s">
        <v>860</v>
      </c>
      <c r="E175" t="s">
        <v>861</v>
      </c>
      <c r="F175" t="s">
        <v>862</v>
      </c>
      <c r="G175" t="str">
        <f t="shared" si="26"/>
        <v>58.680</v>
      </c>
      <c r="H175" s="39">
        <f t="shared" si="27"/>
        <v>58680</v>
      </c>
      <c r="I175" s="266">
        <f t="shared" si="28"/>
        <v>58680</v>
      </c>
      <c r="L175" t="s">
        <v>934</v>
      </c>
      <c r="M175" s="76">
        <f t="shared" si="24"/>
        <v>212</v>
      </c>
      <c r="N175" t="s">
        <v>935</v>
      </c>
      <c r="O175" s="210">
        <f t="shared" si="29"/>
        <v>6</v>
      </c>
      <c r="P175" t="s">
        <v>599</v>
      </c>
      <c r="Q175" s="211">
        <f t="shared" si="30"/>
        <v>310</v>
      </c>
      <c r="R175" t="s">
        <v>936</v>
      </c>
      <c r="S175" s="211">
        <f t="shared" si="31"/>
        <v>2400</v>
      </c>
      <c r="T175" t="s">
        <v>937</v>
      </c>
      <c r="U175" s="210">
        <f t="shared" si="32"/>
        <v>11.2</v>
      </c>
      <c r="V175" t="s">
        <v>938</v>
      </c>
      <c r="W175" s="210">
        <f t="shared" si="23"/>
        <v>46</v>
      </c>
      <c r="X175" t="s">
        <v>939</v>
      </c>
      <c r="Y175">
        <v>1.2</v>
      </c>
      <c r="Z175" s="210">
        <f>VALUE(LEFT(X175,4))</f>
        <v>8.6</v>
      </c>
      <c r="AA175" t="s">
        <v>940</v>
      </c>
    </row>
    <row r="188" spans="2:80" x14ac:dyDescent="0.3">
      <c r="BN188" t="s">
        <v>13</v>
      </c>
      <c r="BO188" t="s">
        <v>13</v>
      </c>
      <c r="BP188" t="s">
        <v>13</v>
      </c>
      <c r="BQ188" t="s">
        <v>13</v>
      </c>
      <c r="BR188" t="s">
        <v>13</v>
      </c>
      <c r="BS188" t="s">
        <v>13</v>
      </c>
      <c r="BT188" t="s">
        <v>13</v>
      </c>
      <c r="BU188" t="s">
        <v>13</v>
      </c>
      <c r="BV188" t="s">
        <v>13</v>
      </c>
      <c r="BW188" t="s">
        <v>13</v>
      </c>
      <c r="BX188" t="s">
        <v>13</v>
      </c>
      <c r="BY188" t="s">
        <v>13</v>
      </c>
      <c r="BZ188" t="s">
        <v>13</v>
      </c>
      <c r="CA188" t="s">
        <v>13</v>
      </c>
      <c r="CB188" t="s">
        <v>13</v>
      </c>
    </row>
    <row r="189" spans="2:80" x14ac:dyDescent="0.3">
      <c r="B189" t="s">
        <v>45</v>
      </c>
      <c r="C189" t="s">
        <v>45</v>
      </c>
      <c r="D189" t="s">
        <v>45</v>
      </c>
      <c r="E189" t="s">
        <v>45</v>
      </c>
      <c r="F189" t="s">
        <v>45</v>
      </c>
      <c r="G189" t="s">
        <v>45</v>
      </c>
      <c r="H189" t="s">
        <v>45</v>
      </c>
      <c r="I189" t="s">
        <v>165</v>
      </c>
      <c r="J189" t="s">
        <v>165</v>
      </c>
      <c r="K189" t="s">
        <v>165</v>
      </c>
      <c r="L189" t="s">
        <v>165</v>
      </c>
      <c r="M189" t="s">
        <v>165</v>
      </c>
      <c r="N189" t="s">
        <v>46</v>
      </c>
      <c r="O189" t="s">
        <v>46</v>
      </c>
      <c r="P189" t="s">
        <v>46</v>
      </c>
      <c r="Q189" t="s">
        <v>46</v>
      </c>
      <c r="R189" t="s">
        <v>46</v>
      </c>
      <c r="S189" s="83" t="s">
        <v>45</v>
      </c>
      <c r="T189" s="83" t="s">
        <v>45</v>
      </c>
      <c r="U189" s="83" t="s">
        <v>45</v>
      </c>
      <c r="V189" s="83" t="s">
        <v>45</v>
      </c>
      <c r="W189" s="83" t="s">
        <v>45</v>
      </c>
      <c r="X189" s="83" t="s">
        <v>45</v>
      </c>
      <c r="Y189" s="83" t="s">
        <v>165</v>
      </c>
      <c r="Z189" s="83" t="s">
        <v>165</v>
      </c>
      <c r="AA189" s="83" t="s">
        <v>165</v>
      </c>
      <c r="AB189" s="83" t="s">
        <v>165</v>
      </c>
      <c r="AC189" s="84" t="s">
        <v>165</v>
      </c>
      <c r="AD189" s="82" t="s">
        <v>165</v>
      </c>
      <c r="AE189" s="83" t="s">
        <v>165</v>
      </c>
      <c r="AF189" s="83" t="s">
        <v>165</v>
      </c>
      <c r="AG189" s="83" t="s">
        <v>46</v>
      </c>
      <c r="AH189" s="83" t="s">
        <v>46</v>
      </c>
      <c r="AI189" s="83" t="s">
        <v>46</v>
      </c>
      <c r="AJ189" s="83" t="s">
        <v>46</v>
      </c>
      <c r="AK189" s="83" t="s">
        <v>46</v>
      </c>
      <c r="AL189" s="83" t="s">
        <v>46</v>
      </c>
      <c r="AM189" s="83" t="s">
        <v>46</v>
      </c>
      <c r="AN189" s="83" t="s">
        <v>175</v>
      </c>
      <c r="AO189" s="84" t="s">
        <v>175</v>
      </c>
      <c r="AP189" s="82" t="s">
        <v>175</v>
      </c>
      <c r="AQ189" s="83" t="s">
        <v>175</v>
      </c>
      <c r="AR189" s="83" t="s">
        <v>175</v>
      </c>
      <c r="AS189" s="83" t="s">
        <v>45</v>
      </c>
      <c r="AT189" s="83" t="s">
        <v>45</v>
      </c>
      <c r="AU189" s="83" t="s">
        <v>45</v>
      </c>
      <c r="AV189" s="83" t="s">
        <v>165</v>
      </c>
      <c r="AW189" s="83" t="s">
        <v>165</v>
      </c>
      <c r="AX189" s="83" t="s">
        <v>46</v>
      </c>
      <c r="AY189" s="83" t="s">
        <v>46</v>
      </c>
      <c r="AZ189" s="83" t="s">
        <v>46</v>
      </c>
      <c r="BA189" s="84" t="s">
        <v>46</v>
      </c>
      <c r="BB189" s="83" t="s">
        <v>45</v>
      </c>
      <c r="BC189" s="83" t="s">
        <v>45</v>
      </c>
      <c r="BD189" s="83" t="s">
        <v>45</v>
      </c>
      <c r="BE189" s="84" t="s">
        <v>45</v>
      </c>
      <c r="BF189" s="82" t="s">
        <v>45</v>
      </c>
      <c r="BG189" s="83" t="s">
        <v>45</v>
      </c>
      <c r="BH189" s="83" t="s">
        <v>45</v>
      </c>
      <c r="BI189" s="83" t="s">
        <v>45</v>
      </c>
      <c r="BJ189" s="83" t="s">
        <v>45</v>
      </c>
      <c r="BK189" s="83" t="s">
        <v>165</v>
      </c>
      <c r="BL189" s="83" t="s">
        <v>165</v>
      </c>
      <c r="BM189" s="83" t="s">
        <v>165</v>
      </c>
      <c r="BN189" t="s">
        <v>45</v>
      </c>
      <c r="BO189" t="s">
        <v>45</v>
      </c>
      <c r="BP189" t="s">
        <v>45</v>
      </c>
      <c r="BQ189" t="s">
        <v>45</v>
      </c>
      <c r="BR189" t="s">
        <v>45</v>
      </c>
      <c r="BS189" t="s">
        <v>46</v>
      </c>
      <c r="BT189" t="s">
        <v>46</v>
      </c>
      <c r="BU189" t="s">
        <v>46</v>
      </c>
      <c r="BV189" t="s">
        <v>46</v>
      </c>
      <c r="BW189" t="s">
        <v>46</v>
      </c>
      <c r="BX189" t="s">
        <v>175</v>
      </c>
      <c r="BY189" t="s">
        <v>175</v>
      </c>
      <c r="BZ189" t="s">
        <v>175</v>
      </c>
      <c r="CA189" t="s">
        <v>175</v>
      </c>
      <c r="CB189" t="s">
        <v>175</v>
      </c>
    </row>
    <row r="190" spans="2:80" x14ac:dyDescent="0.3">
      <c r="B190" t="s">
        <v>275</v>
      </c>
      <c r="C190" t="s">
        <v>292</v>
      </c>
      <c r="D190" t="s">
        <v>295</v>
      </c>
      <c r="E190" t="s">
        <v>298</v>
      </c>
      <c r="F190" t="s">
        <v>301</v>
      </c>
      <c r="G190" t="s">
        <v>304</v>
      </c>
      <c r="H190" t="s">
        <v>307</v>
      </c>
      <c r="I190" t="s">
        <v>274</v>
      </c>
      <c r="J190" t="s">
        <v>279</v>
      </c>
      <c r="K190" t="s">
        <v>282</v>
      </c>
      <c r="L190" t="s">
        <v>285</v>
      </c>
      <c r="M190" t="s">
        <v>288</v>
      </c>
      <c r="N190" t="s">
        <v>396</v>
      </c>
      <c r="O190" t="s">
        <v>399</v>
      </c>
      <c r="P190" t="s">
        <v>402</v>
      </c>
      <c r="Q190" t="s">
        <v>405</v>
      </c>
      <c r="R190" t="s">
        <v>408</v>
      </c>
      <c r="S190" t="s">
        <v>334</v>
      </c>
      <c r="T190" t="s">
        <v>337</v>
      </c>
      <c r="U190" t="s">
        <v>340</v>
      </c>
      <c r="V190" t="s">
        <v>343</v>
      </c>
      <c r="W190" t="s">
        <v>346</v>
      </c>
      <c r="X190" t="s">
        <v>349</v>
      </c>
      <c r="Y190" t="s">
        <v>310</v>
      </c>
      <c r="Z190" t="s">
        <v>313</v>
      </c>
      <c r="AA190" t="s">
        <v>316</v>
      </c>
      <c r="AB190" t="s">
        <v>319</v>
      </c>
      <c r="AC190" t="s">
        <v>322</v>
      </c>
      <c r="AD190" t="s">
        <v>325</v>
      </c>
      <c r="AE190" t="s">
        <v>328</v>
      </c>
      <c r="AF190" t="s">
        <v>331</v>
      </c>
      <c r="AG190" t="s">
        <v>352</v>
      </c>
      <c r="AH190" t="s">
        <v>355</v>
      </c>
      <c r="AI190" t="s">
        <v>358</v>
      </c>
      <c r="AJ190" t="s">
        <v>316</v>
      </c>
      <c r="AK190" t="s">
        <v>363</v>
      </c>
      <c r="AL190" t="s">
        <v>366</v>
      </c>
      <c r="AM190" t="s">
        <v>369</v>
      </c>
      <c r="AN190" t="s">
        <v>372</v>
      </c>
      <c r="AO190" t="s">
        <v>375</v>
      </c>
      <c r="AP190" t="s">
        <v>378</v>
      </c>
      <c r="AQ190" t="s">
        <v>381</v>
      </c>
      <c r="AR190" t="s">
        <v>384</v>
      </c>
      <c r="AS190" t="s">
        <v>429</v>
      </c>
      <c r="AT190" t="s">
        <v>432</v>
      </c>
      <c r="AU190" t="s">
        <v>435</v>
      </c>
      <c r="AV190" t="s">
        <v>423</v>
      </c>
      <c r="AW190" t="s">
        <v>426</v>
      </c>
      <c r="AX190" t="s">
        <v>438</v>
      </c>
      <c r="AY190" t="s">
        <v>441</v>
      </c>
      <c r="AZ190" t="s">
        <v>444</v>
      </c>
      <c r="BA190" t="s">
        <v>447</v>
      </c>
      <c r="BB190" t="s">
        <v>69</v>
      </c>
      <c r="BC190" t="s">
        <v>71</v>
      </c>
      <c r="BD190" t="s">
        <v>73</v>
      </c>
      <c r="BE190" t="s">
        <v>75</v>
      </c>
      <c r="BF190" t="s">
        <v>77</v>
      </c>
      <c r="BG190" t="s">
        <v>79</v>
      </c>
      <c r="BH190" t="s">
        <v>81</v>
      </c>
      <c r="BI190" t="s">
        <v>83</v>
      </c>
      <c r="BJ190" t="s">
        <v>85</v>
      </c>
      <c r="BK190" t="s">
        <v>65</v>
      </c>
      <c r="BL190" t="s">
        <v>66</v>
      </c>
      <c r="BM190" t="s">
        <v>67</v>
      </c>
      <c r="BN190" t="s">
        <v>863</v>
      </c>
      <c r="BO190" t="s">
        <v>865</v>
      </c>
      <c r="BP190" t="s">
        <v>816</v>
      </c>
      <c r="BQ190" t="s">
        <v>870</v>
      </c>
      <c r="BR190" t="s">
        <v>873</v>
      </c>
      <c r="BS190" t="s">
        <v>876</v>
      </c>
      <c r="BT190" t="s">
        <v>879</v>
      </c>
      <c r="BU190" t="s">
        <v>882</v>
      </c>
      <c r="BV190" t="s">
        <v>885</v>
      </c>
      <c r="BW190" t="s">
        <v>888</v>
      </c>
      <c r="BX190" t="s">
        <v>849</v>
      </c>
      <c r="BY190" t="s">
        <v>852</v>
      </c>
      <c r="BZ190" t="s">
        <v>815</v>
      </c>
      <c r="CA190" t="s">
        <v>857</v>
      </c>
      <c r="CB190" t="s">
        <v>860</v>
      </c>
    </row>
    <row r="191" spans="2:80" x14ac:dyDescent="0.3">
      <c r="B191" t="s">
        <v>87</v>
      </c>
      <c r="C191" t="s">
        <v>87</v>
      </c>
      <c r="D191" t="s">
        <v>87</v>
      </c>
      <c r="E191" t="s">
        <v>87</v>
      </c>
      <c r="F191" t="s">
        <v>87</v>
      </c>
      <c r="G191" t="s">
        <v>87</v>
      </c>
      <c r="H191" t="s">
        <v>87</v>
      </c>
      <c r="I191" t="s">
        <v>87</v>
      </c>
      <c r="J191" t="s">
        <v>87</v>
      </c>
      <c r="K191" t="s">
        <v>87</v>
      </c>
      <c r="L191" t="s">
        <v>87</v>
      </c>
      <c r="M191" t="s">
        <v>87</v>
      </c>
      <c r="N191" t="s">
        <v>87</v>
      </c>
      <c r="O191" t="s">
        <v>87</v>
      </c>
      <c r="P191" t="s">
        <v>87</v>
      </c>
      <c r="Q191" t="s">
        <v>87</v>
      </c>
      <c r="R191" t="s">
        <v>87</v>
      </c>
      <c r="S191" t="s">
        <v>87</v>
      </c>
      <c r="T191" t="s">
        <v>87</v>
      </c>
      <c r="U191" t="s">
        <v>87</v>
      </c>
      <c r="V191" t="s">
        <v>87</v>
      </c>
      <c r="W191" t="s">
        <v>87</v>
      </c>
      <c r="X191" t="s">
        <v>87</v>
      </c>
      <c r="Y191" t="s">
        <v>87</v>
      </c>
      <c r="Z191" t="s">
        <v>87</v>
      </c>
      <c r="AA191" t="s">
        <v>87</v>
      </c>
      <c r="AB191" t="s">
        <v>87</v>
      </c>
      <c r="AC191" t="s">
        <v>87</v>
      </c>
      <c r="AD191" t="s">
        <v>87</v>
      </c>
      <c r="AE191" t="s">
        <v>87</v>
      </c>
      <c r="AF191" t="s">
        <v>87</v>
      </c>
      <c r="AG191" t="s">
        <v>87</v>
      </c>
      <c r="AH191" t="s">
        <v>87</v>
      </c>
      <c r="AI191" t="s">
        <v>87</v>
      </c>
      <c r="AJ191" t="s">
        <v>87</v>
      </c>
      <c r="AK191" t="s">
        <v>87</v>
      </c>
      <c r="AL191" t="s">
        <v>87</v>
      </c>
      <c r="AM191" t="s">
        <v>87</v>
      </c>
      <c r="AN191" t="s">
        <v>87</v>
      </c>
      <c r="AO191" t="s">
        <v>87</v>
      </c>
      <c r="AP191" t="s">
        <v>87</v>
      </c>
      <c r="AQ191" t="s">
        <v>87</v>
      </c>
      <c r="AR191" t="s">
        <v>87</v>
      </c>
      <c r="AS191" t="s">
        <v>87</v>
      </c>
      <c r="AT191" t="s">
        <v>87</v>
      </c>
      <c r="AU191" t="s">
        <v>87</v>
      </c>
      <c r="AV191" t="s">
        <v>87</v>
      </c>
      <c r="AW191" t="s">
        <v>87</v>
      </c>
      <c r="AX191" t="s">
        <v>87</v>
      </c>
      <c r="AY191" t="s">
        <v>87</v>
      </c>
      <c r="AZ191" t="s">
        <v>87</v>
      </c>
      <c r="BA191" t="s">
        <v>87</v>
      </c>
      <c r="BN191" t="s">
        <v>87</v>
      </c>
      <c r="BO191" t="s">
        <v>87</v>
      </c>
      <c r="BP191" t="s">
        <v>87</v>
      </c>
      <c r="BQ191" t="s">
        <v>87</v>
      </c>
      <c r="BR191" t="s">
        <v>87</v>
      </c>
      <c r="BS191" t="s">
        <v>87</v>
      </c>
      <c r="BT191" t="s">
        <v>87</v>
      </c>
      <c r="BU191" t="s">
        <v>87</v>
      </c>
      <c r="BV191" t="s">
        <v>87</v>
      </c>
      <c r="BW191" t="s">
        <v>87</v>
      </c>
      <c r="BX191" t="s">
        <v>87</v>
      </c>
      <c r="BY191" t="s">
        <v>87</v>
      </c>
      <c r="BZ191" t="s">
        <v>87</v>
      </c>
      <c r="CA191" t="s">
        <v>87</v>
      </c>
      <c r="CB191" t="s">
        <v>87</v>
      </c>
    </row>
    <row r="192" spans="2:80" x14ac:dyDescent="0.3">
      <c r="B192" t="s">
        <v>455</v>
      </c>
      <c r="C192" t="s">
        <v>142</v>
      </c>
      <c r="D192" t="s">
        <v>465</v>
      </c>
      <c r="E192" t="s">
        <v>470</v>
      </c>
      <c r="F192" t="s">
        <v>142</v>
      </c>
      <c r="G192" t="s">
        <v>476</v>
      </c>
      <c r="H192" t="s">
        <v>465</v>
      </c>
      <c r="I192" t="s">
        <v>107</v>
      </c>
      <c r="J192" t="s">
        <v>490</v>
      </c>
      <c r="K192" t="s">
        <v>107</v>
      </c>
      <c r="L192" t="s">
        <v>107</v>
      </c>
      <c r="M192" t="s">
        <v>497</v>
      </c>
      <c r="N192" t="s">
        <v>123</v>
      </c>
      <c r="O192" t="s">
        <v>455</v>
      </c>
      <c r="P192" t="s">
        <v>123</v>
      </c>
      <c r="Q192" t="s">
        <v>517</v>
      </c>
      <c r="R192" t="s">
        <v>517</v>
      </c>
      <c r="S192" t="s">
        <v>547</v>
      </c>
      <c r="T192" t="s">
        <v>470</v>
      </c>
      <c r="U192" t="s">
        <v>559</v>
      </c>
      <c r="V192" t="s">
        <v>547</v>
      </c>
      <c r="W192" t="s">
        <v>567</v>
      </c>
      <c r="X192" t="s">
        <v>559</v>
      </c>
      <c r="Y192" t="s">
        <v>589</v>
      </c>
      <c r="Z192" t="s">
        <v>608</v>
      </c>
      <c r="AA192" t="s">
        <v>613</v>
      </c>
      <c r="AB192" t="s">
        <v>618</v>
      </c>
      <c r="AC192" t="s">
        <v>143</v>
      </c>
      <c r="AD192" t="s">
        <v>618</v>
      </c>
      <c r="AE192" t="s">
        <v>143</v>
      </c>
      <c r="AF192" t="s">
        <v>625</v>
      </c>
      <c r="AG192" t="s">
        <v>490</v>
      </c>
      <c r="AH192" t="s">
        <v>632</v>
      </c>
      <c r="AI192" t="s">
        <v>490</v>
      </c>
      <c r="AJ192" t="s">
        <v>618</v>
      </c>
      <c r="AK192" t="s">
        <v>490</v>
      </c>
      <c r="AL192" t="s">
        <v>625</v>
      </c>
      <c r="AM192" t="s">
        <v>490</v>
      </c>
      <c r="AN192" t="s">
        <v>578</v>
      </c>
      <c r="AO192" t="s">
        <v>583</v>
      </c>
      <c r="AP192" t="s">
        <v>589</v>
      </c>
      <c r="AQ192" t="s">
        <v>597</v>
      </c>
      <c r="AR192" t="s">
        <v>578</v>
      </c>
      <c r="AS192" t="s">
        <v>686</v>
      </c>
      <c r="AT192" t="s">
        <v>692</v>
      </c>
      <c r="AU192" t="s">
        <v>696</v>
      </c>
      <c r="AV192" t="s">
        <v>654</v>
      </c>
      <c r="AW192" t="s">
        <v>660</v>
      </c>
      <c r="AX192" t="s">
        <v>664</v>
      </c>
      <c r="AY192" t="s">
        <v>664</v>
      </c>
      <c r="AZ192" t="s">
        <v>613</v>
      </c>
      <c r="BA192" t="s">
        <v>680</v>
      </c>
      <c r="BB192" s="76" t="s">
        <v>88</v>
      </c>
      <c r="BC192" s="76" t="s">
        <v>103</v>
      </c>
      <c r="BD192" s="76" t="s">
        <v>107</v>
      </c>
      <c r="BE192" s="76" t="s">
        <v>123</v>
      </c>
      <c r="BF192" s="76" t="s">
        <v>103</v>
      </c>
      <c r="BG192" s="76" t="s">
        <v>132</v>
      </c>
      <c r="BH192" s="76" t="s">
        <v>116</v>
      </c>
      <c r="BI192" s="76" t="s">
        <v>103</v>
      </c>
      <c r="BJ192" s="76" t="s">
        <v>123</v>
      </c>
      <c r="BK192" s="76" t="s">
        <v>142</v>
      </c>
      <c r="BL192" s="76" t="s">
        <v>142</v>
      </c>
      <c r="BM192" s="76" t="s">
        <v>142</v>
      </c>
      <c r="BN192" t="s">
        <v>692</v>
      </c>
      <c r="BO192" t="s">
        <v>893</v>
      </c>
      <c r="BP192" t="s">
        <v>559</v>
      </c>
      <c r="BQ192" t="s">
        <v>902</v>
      </c>
      <c r="BR192" t="s">
        <v>906</v>
      </c>
      <c r="BS192" t="s">
        <v>547</v>
      </c>
      <c r="BT192" t="s">
        <v>942</v>
      </c>
      <c r="BU192" t="s">
        <v>632</v>
      </c>
      <c r="BV192" t="s">
        <v>547</v>
      </c>
      <c r="BW192" t="s">
        <v>902</v>
      </c>
      <c r="BX192" t="s">
        <v>912</v>
      </c>
      <c r="BY192" t="s">
        <v>919</v>
      </c>
      <c r="BZ192" t="s">
        <v>547</v>
      </c>
      <c r="CA192" t="s">
        <v>929</v>
      </c>
      <c r="CB192" t="s">
        <v>934</v>
      </c>
    </row>
    <row r="193" spans="2:80" x14ac:dyDescent="0.3">
      <c r="B193" t="s">
        <v>89</v>
      </c>
      <c r="C193" t="s">
        <v>89</v>
      </c>
      <c r="D193" t="s">
        <v>89</v>
      </c>
      <c r="E193" t="s">
        <v>89</v>
      </c>
      <c r="F193" t="s">
        <v>89</v>
      </c>
      <c r="G193" t="s">
        <v>89</v>
      </c>
      <c r="H193" t="s">
        <v>89</v>
      </c>
      <c r="I193" t="s">
        <v>89</v>
      </c>
      <c r="J193" t="s">
        <v>89</v>
      </c>
      <c r="K193" t="s">
        <v>89</v>
      </c>
      <c r="L193" t="s">
        <v>89</v>
      </c>
      <c r="M193" t="s">
        <v>89</v>
      </c>
      <c r="N193" t="s">
        <v>89</v>
      </c>
      <c r="O193" t="s">
        <v>89</v>
      </c>
      <c r="P193" t="s">
        <v>89</v>
      </c>
      <c r="Q193" t="s">
        <v>89</v>
      </c>
      <c r="R193" t="s">
        <v>89</v>
      </c>
      <c r="S193" t="s">
        <v>89</v>
      </c>
      <c r="T193" t="s">
        <v>89</v>
      </c>
      <c r="U193" t="s">
        <v>89</v>
      </c>
      <c r="V193" t="s">
        <v>89</v>
      </c>
      <c r="W193" t="s">
        <v>89</v>
      </c>
      <c r="X193" t="s">
        <v>89</v>
      </c>
      <c r="Y193" t="s">
        <v>89</v>
      </c>
      <c r="Z193" t="s">
        <v>89</v>
      </c>
      <c r="AA193" t="s">
        <v>89</v>
      </c>
      <c r="AB193" t="s">
        <v>89</v>
      </c>
      <c r="AC193" t="s">
        <v>89</v>
      </c>
      <c r="AD193" t="s">
        <v>89</v>
      </c>
      <c r="AE193" t="s">
        <v>89</v>
      </c>
      <c r="AF193" t="s">
        <v>89</v>
      </c>
      <c r="AG193" t="s">
        <v>89</v>
      </c>
      <c r="AH193" t="s">
        <v>89</v>
      </c>
      <c r="AI193" t="s">
        <v>89</v>
      </c>
      <c r="AJ193" t="s">
        <v>89</v>
      </c>
      <c r="AK193" t="s">
        <v>89</v>
      </c>
      <c r="AL193" t="s">
        <v>89</v>
      </c>
      <c r="AM193" t="s">
        <v>89</v>
      </c>
      <c r="AN193" t="s">
        <v>89</v>
      </c>
      <c r="AO193" t="s">
        <v>89</v>
      </c>
      <c r="AP193" t="s">
        <v>89</v>
      </c>
      <c r="AQ193" t="s">
        <v>89</v>
      </c>
      <c r="AR193" t="s">
        <v>89</v>
      </c>
      <c r="AS193" t="s">
        <v>89</v>
      </c>
      <c r="AT193" t="s">
        <v>89</v>
      </c>
      <c r="AU193" t="s">
        <v>89</v>
      </c>
      <c r="AV193" t="s">
        <v>89</v>
      </c>
      <c r="AW193" t="s">
        <v>89</v>
      </c>
      <c r="AX193" t="s">
        <v>89</v>
      </c>
      <c r="AY193" t="s">
        <v>89</v>
      </c>
      <c r="AZ193" t="s">
        <v>89</v>
      </c>
      <c r="BA193" t="s">
        <v>89</v>
      </c>
      <c r="BB193" s="76"/>
      <c r="BC193" s="76"/>
      <c r="BD193" s="76"/>
      <c r="BE193" s="76"/>
      <c r="BF193" s="76"/>
      <c r="BG193" s="76"/>
      <c r="BH193" s="76"/>
      <c r="BI193" s="76"/>
      <c r="BJ193" s="76"/>
      <c r="BK193" s="76"/>
      <c r="BL193" s="76"/>
      <c r="BM193" s="76"/>
      <c r="BN193" t="s">
        <v>89</v>
      </c>
      <c r="BO193" t="s">
        <v>89</v>
      </c>
      <c r="BP193" t="s">
        <v>89</v>
      </c>
      <c r="BQ193" t="s">
        <v>89</v>
      </c>
      <c r="BR193" t="s">
        <v>89</v>
      </c>
      <c r="BS193" t="s">
        <v>89</v>
      </c>
      <c r="BT193" t="s">
        <v>89</v>
      </c>
      <c r="BU193" t="s">
        <v>89</v>
      </c>
      <c r="BV193" t="s">
        <v>89</v>
      </c>
      <c r="BW193" t="s">
        <v>89</v>
      </c>
      <c r="BX193" t="s">
        <v>89</v>
      </c>
      <c r="BY193" t="s">
        <v>89</v>
      </c>
      <c r="BZ193" t="s">
        <v>89</v>
      </c>
      <c r="CA193" t="s">
        <v>89</v>
      </c>
      <c r="CB193" t="s">
        <v>89</v>
      </c>
    </row>
    <row r="194" spans="2:80" x14ac:dyDescent="0.3">
      <c r="B194" t="s">
        <v>456</v>
      </c>
      <c r="C194" t="s">
        <v>460</v>
      </c>
      <c r="D194" t="s">
        <v>133</v>
      </c>
      <c r="E194" t="s">
        <v>471</v>
      </c>
      <c r="F194" t="s">
        <v>133</v>
      </c>
      <c r="G194" t="s">
        <v>477</v>
      </c>
      <c r="H194" t="s">
        <v>480</v>
      </c>
      <c r="I194" t="s">
        <v>486</v>
      </c>
      <c r="J194" t="s">
        <v>491</v>
      </c>
      <c r="K194" t="s">
        <v>486</v>
      </c>
      <c r="L194" t="s">
        <v>486</v>
      </c>
      <c r="M194" t="s">
        <v>498</v>
      </c>
      <c r="N194" t="s">
        <v>503</v>
      </c>
      <c r="O194" t="s">
        <v>508</v>
      </c>
      <c r="P194" t="s">
        <v>498</v>
      </c>
      <c r="Q194" t="s">
        <v>518</v>
      </c>
      <c r="R194" t="s">
        <v>456</v>
      </c>
      <c r="S194" t="s">
        <v>548</v>
      </c>
      <c r="T194" t="s">
        <v>554</v>
      </c>
      <c r="U194" t="s">
        <v>560</v>
      </c>
      <c r="V194" t="s">
        <v>456</v>
      </c>
      <c r="W194" t="s">
        <v>568</v>
      </c>
      <c r="X194" t="s">
        <v>573</v>
      </c>
      <c r="Y194" t="s">
        <v>605</v>
      </c>
      <c r="Z194" t="s">
        <v>508</v>
      </c>
      <c r="AA194" t="s">
        <v>590</v>
      </c>
      <c r="AB194" t="s">
        <v>619</v>
      </c>
      <c r="AC194" t="s">
        <v>143</v>
      </c>
      <c r="AD194" t="s">
        <v>619</v>
      </c>
      <c r="AE194" t="s">
        <v>143</v>
      </c>
      <c r="AF194" t="s">
        <v>626</v>
      </c>
      <c r="AG194" t="s">
        <v>117</v>
      </c>
      <c r="AH194" t="s">
        <v>491</v>
      </c>
      <c r="AI194" t="s">
        <v>636</v>
      </c>
      <c r="AJ194" t="s">
        <v>640</v>
      </c>
      <c r="AK194" t="s">
        <v>456</v>
      </c>
      <c r="AL194" t="s">
        <v>560</v>
      </c>
      <c r="AM194" t="s">
        <v>649</v>
      </c>
      <c r="AN194" t="s">
        <v>579</v>
      </c>
      <c r="AO194" t="s">
        <v>584</v>
      </c>
      <c r="AP194" t="s">
        <v>590</v>
      </c>
      <c r="AQ194" t="s">
        <v>598</v>
      </c>
      <c r="AR194" t="s">
        <v>603</v>
      </c>
      <c r="AS194" t="s">
        <v>687</v>
      </c>
      <c r="AT194" t="s">
        <v>477</v>
      </c>
      <c r="AU194" t="s">
        <v>697</v>
      </c>
      <c r="AV194" t="s">
        <v>655</v>
      </c>
      <c r="AW194" t="s">
        <v>661</v>
      </c>
      <c r="AX194" t="s">
        <v>665</v>
      </c>
      <c r="AY194" t="s">
        <v>590</v>
      </c>
      <c r="AZ194" t="s">
        <v>675</v>
      </c>
      <c r="BA194" t="s">
        <v>681</v>
      </c>
      <c r="BB194" s="76" t="s">
        <v>90</v>
      </c>
      <c r="BC194" s="76" t="s">
        <v>104</v>
      </c>
      <c r="BD194" s="76" t="s">
        <v>108</v>
      </c>
      <c r="BE194" s="76" t="s">
        <v>124</v>
      </c>
      <c r="BF194" s="76" t="s">
        <v>113</v>
      </c>
      <c r="BG194" s="76" t="s">
        <v>133</v>
      </c>
      <c r="BH194" s="76" t="s">
        <v>117</v>
      </c>
      <c r="BI194" s="76" t="s">
        <v>129</v>
      </c>
      <c r="BJ194" s="76" t="s">
        <v>135</v>
      </c>
      <c r="BK194" s="76" t="s">
        <v>143</v>
      </c>
      <c r="BL194" s="76" t="s">
        <v>143</v>
      </c>
      <c r="BM194" s="76" t="s">
        <v>148</v>
      </c>
      <c r="BN194" t="s">
        <v>891</v>
      </c>
      <c r="BO194" t="s">
        <v>894</v>
      </c>
      <c r="BP194" t="s">
        <v>636</v>
      </c>
      <c r="BQ194" t="s">
        <v>665</v>
      </c>
      <c r="BR194" t="s">
        <v>907</v>
      </c>
      <c r="BS194" t="s">
        <v>568</v>
      </c>
      <c r="BT194" t="s">
        <v>943</v>
      </c>
      <c r="BU194" t="s">
        <v>947</v>
      </c>
      <c r="BV194" t="s">
        <v>456</v>
      </c>
      <c r="BW194" t="s">
        <v>548</v>
      </c>
      <c r="BX194" t="s">
        <v>913</v>
      </c>
      <c r="BY194" t="s">
        <v>920</v>
      </c>
      <c r="BZ194" t="s">
        <v>117</v>
      </c>
      <c r="CA194" t="s">
        <v>579</v>
      </c>
      <c r="CB194" t="s">
        <v>935</v>
      </c>
    </row>
    <row r="195" spans="2:80" x14ac:dyDescent="0.3">
      <c r="B195" t="s">
        <v>91</v>
      </c>
      <c r="C195" t="s">
        <v>91</v>
      </c>
      <c r="D195" t="s">
        <v>91</v>
      </c>
      <c r="E195" t="s">
        <v>91</v>
      </c>
      <c r="F195" t="s">
        <v>91</v>
      </c>
      <c r="G195" t="s">
        <v>91</v>
      </c>
      <c r="H195" t="s">
        <v>91</v>
      </c>
      <c r="I195" t="s">
        <v>91</v>
      </c>
      <c r="J195" t="s">
        <v>91</v>
      </c>
      <c r="K195" t="s">
        <v>91</v>
      </c>
      <c r="L195" t="s">
        <v>91</v>
      </c>
      <c r="M195" t="s">
        <v>91</v>
      </c>
      <c r="N195" t="s">
        <v>91</v>
      </c>
      <c r="O195" t="s">
        <v>91</v>
      </c>
      <c r="P195" t="s">
        <v>91</v>
      </c>
      <c r="Q195" t="s">
        <v>91</v>
      </c>
      <c r="R195" t="s">
        <v>91</v>
      </c>
      <c r="S195" t="s">
        <v>91</v>
      </c>
      <c r="T195" t="s">
        <v>91</v>
      </c>
      <c r="U195" t="s">
        <v>91</v>
      </c>
      <c r="V195" t="s">
        <v>91</v>
      </c>
      <c r="W195" t="s">
        <v>91</v>
      </c>
      <c r="X195" t="s">
        <v>91</v>
      </c>
      <c r="Y195" t="s">
        <v>91</v>
      </c>
      <c r="Z195" t="s">
        <v>91</v>
      </c>
      <c r="AA195" t="s">
        <v>91</v>
      </c>
      <c r="AB195" t="s">
        <v>91</v>
      </c>
      <c r="AC195" t="s">
        <v>91</v>
      </c>
      <c r="AD195" t="s">
        <v>91</v>
      </c>
      <c r="AE195" t="s">
        <v>91</v>
      </c>
      <c r="AF195" t="s">
        <v>91</v>
      </c>
      <c r="AG195" t="s">
        <v>91</v>
      </c>
      <c r="AH195" t="s">
        <v>91</v>
      </c>
      <c r="AI195" t="s">
        <v>91</v>
      </c>
      <c r="AJ195" t="s">
        <v>91</v>
      </c>
      <c r="AK195" t="s">
        <v>91</v>
      </c>
      <c r="AL195" t="s">
        <v>91</v>
      </c>
      <c r="AM195" t="s">
        <v>91</v>
      </c>
      <c r="AN195" t="s">
        <v>91</v>
      </c>
      <c r="AO195" t="s">
        <v>91</v>
      </c>
      <c r="AP195" t="s">
        <v>91</v>
      </c>
      <c r="AQ195" t="s">
        <v>91</v>
      </c>
      <c r="AR195" t="s">
        <v>91</v>
      </c>
      <c r="AS195" t="s">
        <v>91</v>
      </c>
      <c r="AT195" t="s">
        <v>91</v>
      </c>
      <c r="AU195" t="s">
        <v>91</v>
      </c>
      <c r="AV195" t="s">
        <v>91</v>
      </c>
      <c r="AW195" t="s">
        <v>91</v>
      </c>
      <c r="AX195" t="s">
        <v>91</v>
      </c>
      <c r="AY195" t="s">
        <v>91</v>
      </c>
      <c r="AZ195" t="s">
        <v>91</v>
      </c>
      <c r="BA195" t="s">
        <v>91</v>
      </c>
      <c r="BB195" s="76"/>
      <c r="BC195" s="76"/>
      <c r="BD195" s="76"/>
      <c r="BE195" s="76"/>
      <c r="BF195" s="76"/>
      <c r="BG195" s="76"/>
      <c r="BH195" s="76"/>
      <c r="BI195" s="76"/>
      <c r="BJ195" s="76"/>
      <c r="BK195" s="76"/>
      <c r="BL195" s="76"/>
      <c r="BM195" s="76"/>
      <c r="BN195" t="s">
        <v>91</v>
      </c>
      <c r="BO195" t="s">
        <v>91</v>
      </c>
      <c r="BP195" t="s">
        <v>91</v>
      </c>
      <c r="BQ195" t="s">
        <v>91</v>
      </c>
      <c r="BR195" t="s">
        <v>91</v>
      </c>
      <c r="BS195" t="s">
        <v>91</v>
      </c>
      <c r="BT195" t="s">
        <v>91</v>
      </c>
      <c r="BU195" t="s">
        <v>91</v>
      </c>
      <c r="BV195" t="s">
        <v>91</v>
      </c>
      <c r="BW195" t="s">
        <v>91</v>
      </c>
      <c r="BX195" t="s">
        <v>91</v>
      </c>
      <c r="BY195" t="s">
        <v>91</v>
      </c>
      <c r="BZ195" t="s">
        <v>91</v>
      </c>
      <c r="CA195" t="s">
        <v>91</v>
      </c>
      <c r="CB195" t="s">
        <v>91</v>
      </c>
    </row>
    <row r="196" spans="2:80" x14ac:dyDescent="0.3">
      <c r="B196" t="s">
        <v>457</v>
      </c>
      <c r="C196" t="s">
        <v>461</v>
      </c>
      <c r="D196" t="s">
        <v>466</v>
      </c>
      <c r="E196" t="s">
        <v>472</v>
      </c>
      <c r="F196" t="s">
        <v>475</v>
      </c>
      <c r="G196" t="s">
        <v>461</v>
      </c>
      <c r="H196" t="s">
        <v>481</v>
      </c>
      <c r="I196" t="s">
        <v>487</v>
      </c>
      <c r="J196" t="s">
        <v>492</v>
      </c>
      <c r="K196" t="s">
        <v>496</v>
      </c>
      <c r="L196" t="s">
        <v>487</v>
      </c>
      <c r="M196" t="s">
        <v>499</v>
      </c>
      <c r="N196" t="s">
        <v>504</v>
      </c>
      <c r="O196" t="s">
        <v>509</v>
      </c>
      <c r="P196" t="s">
        <v>514</v>
      </c>
      <c r="Q196" t="s">
        <v>519</v>
      </c>
      <c r="R196" t="s">
        <v>521</v>
      </c>
      <c r="S196" t="s">
        <v>549</v>
      </c>
      <c r="T196" t="s">
        <v>555</v>
      </c>
      <c r="U196" t="s">
        <v>561</v>
      </c>
      <c r="V196" t="s">
        <v>549</v>
      </c>
      <c r="W196" t="s">
        <v>569</v>
      </c>
      <c r="X196" t="s">
        <v>574</v>
      </c>
      <c r="Y196" t="s">
        <v>591</v>
      </c>
      <c r="Z196" t="s">
        <v>609</v>
      </c>
      <c r="AA196" t="s">
        <v>614</v>
      </c>
      <c r="AB196" t="s">
        <v>620</v>
      </c>
      <c r="AC196" t="s">
        <v>620</v>
      </c>
      <c r="AD196" t="s">
        <v>620</v>
      </c>
      <c r="AE196" t="s">
        <v>620</v>
      </c>
      <c r="AF196" t="s">
        <v>561</v>
      </c>
      <c r="AG196" t="s">
        <v>569</v>
      </c>
      <c r="AH196" t="s">
        <v>569</v>
      </c>
      <c r="AI196" t="s">
        <v>569</v>
      </c>
      <c r="AJ196" t="s">
        <v>641</v>
      </c>
      <c r="AK196" t="s">
        <v>620</v>
      </c>
      <c r="AL196" t="s">
        <v>646</v>
      </c>
      <c r="AM196" t="s">
        <v>650</v>
      </c>
      <c r="AN196" t="s">
        <v>521</v>
      </c>
      <c r="AO196" t="s">
        <v>585</v>
      </c>
      <c r="AP196" t="s">
        <v>591</v>
      </c>
      <c r="AQ196" t="s">
        <v>599</v>
      </c>
      <c r="AR196" t="s">
        <v>604</v>
      </c>
      <c r="AS196" t="s">
        <v>688</v>
      </c>
      <c r="AT196" t="s">
        <v>693</v>
      </c>
      <c r="AU196" t="s">
        <v>698</v>
      </c>
      <c r="AV196" t="s">
        <v>656</v>
      </c>
      <c r="AW196" t="s">
        <v>656</v>
      </c>
      <c r="AX196" t="s">
        <v>666</v>
      </c>
      <c r="AY196" t="s">
        <v>671</v>
      </c>
      <c r="AZ196" t="s">
        <v>676</v>
      </c>
      <c r="BA196" t="s">
        <v>682</v>
      </c>
      <c r="BB196" s="76" t="s">
        <v>92</v>
      </c>
      <c r="BC196" s="76" t="s">
        <v>105</v>
      </c>
      <c r="BD196" s="76" t="s">
        <v>109</v>
      </c>
      <c r="BE196" s="76" t="s">
        <v>125</v>
      </c>
      <c r="BF196" s="76" t="s">
        <v>92</v>
      </c>
      <c r="BG196" s="76" t="s">
        <v>134</v>
      </c>
      <c r="BH196" s="76" t="s">
        <v>118</v>
      </c>
      <c r="BI196" s="76" t="s">
        <v>130</v>
      </c>
      <c r="BJ196" s="76" t="s">
        <v>136</v>
      </c>
      <c r="BK196" s="76" t="s">
        <v>144</v>
      </c>
      <c r="BL196" s="76" t="s">
        <v>144</v>
      </c>
      <c r="BM196" s="76" t="s">
        <v>149</v>
      </c>
      <c r="BN196" t="s">
        <v>892</v>
      </c>
      <c r="BO196" t="s">
        <v>895</v>
      </c>
      <c r="BP196" t="s">
        <v>898</v>
      </c>
      <c r="BQ196" t="s">
        <v>903</v>
      </c>
      <c r="BR196" t="s">
        <v>908</v>
      </c>
      <c r="BS196" t="s">
        <v>698</v>
      </c>
      <c r="BT196" t="s">
        <v>944</v>
      </c>
      <c r="BU196" t="s">
        <v>948</v>
      </c>
      <c r="BV196" t="s">
        <v>666</v>
      </c>
      <c r="BW196" t="s">
        <v>951</v>
      </c>
      <c r="BX196" t="s">
        <v>698</v>
      </c>
      <c r="BY196" t="s">
        <v>574</v>
      </c>
      <c r="BZ196" t="s">
        <v>925</v>
      </c>
      <c r="CA196" t="s">
        <v>930</v>
      </c>
      <c r="CB196" t="s">
        <v>599</v>
      </c>
    </row>
    <row r="197" spans="2:80" x14ac:dyDescent="0.3">
      <c r="B197" t="s">
        <v>93</v>
      </c>
      <c r="C197" t="s">
        <v>93</v>
      </c>
      <c r="D197" t="s">
        <v>93</v>
      </c>
      <c r="E197" t="s">
        <v>93</v>
      </c>
      <c r="F197" t="s">
        <v>93</v>
      </c>
      <c r="G197" t="s">
        <v>93</v>
      </c>
      <c r="H197" t="s">
        <v>93</v>
      </c>
      <c r="I197" t="s">
        <v>93</v>
      </c>
      <c r="J197" t="s">
        <v>93</v>
      </c>
      <c r="K197" t="s">
        <v>93</v>
      </c>
      <c r="L197" t="s">
        <v>93</v>
      </c>
      <c r="M197" t="s">
        <v>93</v>
      </c>
      <c r="N197" t="s">
        <v>93</v>
      </c>
      <c r="O197" t="s">
        <v>93</v>
      </c>
      <c r="P197" t="s">
        <v>93</v>
      </c>
      <c r="Q197" t="s">
        <v>93</v>
      </c>
      <c r="R197" t="s">
        <v>93</v>
      </c>
      <c r="S197" t="s">
        <v>93</v>
      </c>
      <c r="T197" t="s">
        <v>93</v>
      </c>
      <c r="U197" t="s">
        <v>93</v>
      </c>
      <c r="V197" t="s">
        <v>93</v>
      </c>
      <c r="W197" t="s">
        <v>93</v>
      </c>
      <c r="X197" t="s">
        <v>93</v>
      </c>
      <c r="Y197" t="s">
        <v>93</v>
      </c>
      <c r="Z197" t="s">
        <v>93</v>
      </c>
      <c r="AA197" t="s">
        <v>93</v>
      </c>
      <c r="AB197" t="s">
        <v>93</v>
      </c>
      <c r="AC197" t="s">
        <v>93</v>
      </c>
      <c r="AD197" t="s">
        <v>93</v>
      </c>
      <c r="AE197" t="s">
        <v>93</v>
      </c>
      <c r="AF197" t="s">
        <v>93</v>
      </c>
      <c r="AG197" t="s">
        <v>93</v>
      </c>
      <c r="AH197" t="s">
        <v>93</v>
      </c>
      <c r="AI197" t="s">
        <v>93</v>
      </c>
      <c r="AJ197" t="s">
        <v>93</v>
      </c>
      <c r="AK197" t="s">
        <v>93</v>
      </c>
      <c r="AL197" t="s">
        <v>93</v>
      </c>
      <c r="AM197" t="s">
        <v>93</v>
      </c>
      <c r="AN197" t="s">
        <v>93</v>
      </c>
      <c r="AO197" t="s">
        <v>93</v>
      </c>
      <c r="AP197" t="s">
        <v>93</v>
      </c>
      <c r="AQ197" t="s">
        <v>93</v>
      </c>
      <c r="AR197" t="s">
        <v>93</v>
      </c>
      <c r="AS197" t="s">
        <v>93</v>
      </c>
      <c r="AT197" t="s">
        <v>93</v>
      </c>
      <c r="AU197" t="s">
        <v>93</v>
      </c>
      <c r="AV197" t="s">
        <v>93</v>
      </c>
      <c r="AW197" t="s">
        <v>93</v>
      </c>
      <c r="AX197" t="s">
        <v>93</v>
      </c>
      <c r="AY197" t="s">
        <v>93</v>
      </c>
      <c r="AZ197" t="s">
        <v>93</v>
      </c>
      <c r="BA197" t="s">
        <v>93</v>
      </c>
      <c r="BB197" s="76"/>
      <c r="BC197" s="76"/>
      <c r="BD197" s="76"/>
      <c r="BE197" s="76"/>
      <c r="BF197" s="76"/>
      <c r="BG197" s="76"/>
      <c r="BH197" s="76"/>
      <c r="BI197" s="76"/>
      <c r="BJ197" s="76"/>
      <c r="BK197" s="76"/>
      <c r="BL197" s="76"/>
      <c r="BM197" s="76"/>
      <c r="BN197" t="s">
        <v>93</v>
      </c>
      <c r="BO197" t="s">
        <v>93</v>
      </c>
      <c r="BP197" t="s">
        <v>93</v>
      </c>
      <c r="BQ197" t="s">
        <v>93</v>
      </c>
      <c r="BR197" t="s">
        <v>93</v>
      </c>
      <c r="BS197" t="s">
        <v>93</v>
      </c>
      <c r="BT197" t="s">
        <v>93</v>
      </c>
      <c r="BU197" t="s">
        <v>93</v>
      </c>
      <c r="BV197" t="s">
        <v>93</v>
      </c>
      <c r="BW197" t="s">
        <v>93</v>
      </c>
      <c r="BX197" t="s">
        <v>93</v>
      </c>
      <c r="BY197" t="s">
        <v>93</v>
      </c>
      <c r="BZ197" t="s">
        <v>93</v>
      </c>
      <c r="CA197" t="s">
        <v>93</v>
      </c>
      <c r="CB197" t="s">
        <v>93</v>
      </c>
    </row>
    <row r="198" spans="2:80" x14ac:dyDescent="0.3">
      <c r="B198" t="s">
        <v>119</v>
      </c>
      <c r="C198" t="s">
        <v>462</v>
      </c>
      <c r="D198" t="s">
        <v>467</v>
      </c>
      <c r="E198" t="s">
        <v>119</v>
      </c>
      <c r="F198" t="s">
        <v>462</v>
      </c>
      <c r="G198" t="s">
        <v>478</v>
      </c>
      <c r="H198" t="s">
        <v>482</v>
      </c>
      <c r="I198" t="s">
        <v>96</v>
      </c>
      <c r="J198" t="s">
        <v>96</v>
      </c>
      <c r="K198" t="s">
        <v>96</v>
      </c>
      <c r="L198" t="s">
        <v>96</v>
      </c>
      <c r="M198" t="s">
        <v>96</v>
      </c>
      <c r="N198" t="s">
        <v>505</v>
      </c>
      <c r="O198" t="s">
        <v>510</v>
      </c>
      <c r="P198" t="s">
        <v>515</v>
      </c>
      <c r="Q198" t="s">
        <v>520</v>
      </c>
      <c r="R198" t="s">
        <v>520</v>
      </c>
      <c r="S198" t="s">
        <v>550</v>
      </c>
      <c r="T198" t="s">
        <v>94</v>
      </c>
      <c r="U198" t="s">
        <v>562</v>
      </c>
      <c r="V198" t="s">
        <v>565</v>
      </c>
      <c r="W198" t="s">
        <v>570</v>
      </c>
      <c r="X198" t="s">
        <v>575</v>
      </c>
      <c r="Y198" t="s">
        <v>96</v>
      </c>
      <c r="Z198" t="s">
        <v>96</v>
      </c>
      <c r="AA198" t="s">
        <v>96</v>
      </c>
      <c r="AB198" t="s">
        <v>96</v>
      </c>
      <c r="AC198" t="s">
        <v>96</v>
      </c>
      <c r="AD198" t="s">
        <v>96</v>
      </c>
      <c r="AE198" t="s">
        <v>96</v>
      </c>
      <c r="AF198" t="s">
        <v>96</v>
      </c>
      <c r="AG198" t="s">
        <v>630</v>
      </c>
      <c r="AH198" t="s">
        <v>633</v>
      </c>
      <c r="AI198" t="s">
        <v>637</v>
      </c>
      <c r="AJ198" t="s">
        <v>642</v>
      </c>
      <c r="AK198" t="s">
        <v>630</v>
      </c>
      <c r="AL198" t="s">
        <v>647</v>
      </c>
      <c r="AM198" t="s">
        <v>642</v>
      </c>
      <c r="AN198" t="s">
        <v>570</v>
      </c>
      <c r="AO198" t="s">
        <v>510</v>
      </c>
      <c r="AP198" t="s">
        <v>592</v>
      </c>
      <c r="AQ198" t="s">
        <v>600</v>
      </c>
      <c r="AR198" t="s">
        <v>570</v>
      </c>
      <c r="AS198" t="s">
        <v>689</v>
      </c>
      <c r="AT198" t="s">
        <v>694</v>
      </c>
      <c r="AU198" t="s">
        <v>699</v>
      </c>
      <c r="AV198" t="s">
        <v>96</v>
      </c>
      <c r="AW198" t="s">
        <v>96</v>
      </c>
      <c r="AX198" t="s">
        <v>667</v>
      </c>
      <c r="AY198" t="s">
        <v>672</v>
      </c>
      <c r="AZ198" t="s">
        <v>677</v>
      </c>
      <c r="BA198" t="s">
        <v>683</v>
      </c>
      <c r="BB198" s="76" t="s">
        <v>94</v>
      </c>
      <c r="BC198" s="76" t="s">
        <v>106</v>
      </c>
      <c r="BD198" s="76" t="s">
        <v>94</v>
      </c>
      <c r="BE198" s="76" t="s">
        <v>119</v>
      </c>
      <c r="BF198" s="76" t="s">
        <v>94</v>
      </c>
      <c r="BG198" s="76" t="s">
        <v>119</v>
      </c>
      <c r="BH198" s="76" t="s">
        <v>119</v>
      </c>
      <c r="BI198" s="76" t="s">
        <v>94</v>
      </c>
      <c r="BJ198" s="76" t="s">
        <v>119</v>
      </c>
      <c r="BK198" s="76" t="s">
        <v>96</v>
      </c>
      <c r="BL198" s="76" t="s">
        <v>96</v>
      </c>
      <c r="BM198" s="76" t="s">
        <v>96</v>
      </c>
      <c r="BN198" t="s">
        <v>694</v>
      </c>
      <c r="BO198" t="s">
        <v>630</v>
      </c>
      <c r="BP198" t="s">
        <v>899</v>
      </c>
      <c r="BQ198" t="s">
        <v>570</v>
      </c>
      <c r="BR198" t="s">
        <v>575</v>
      </c>
      <c r="BS198" t="s">
        <v>667</v>
      </c>
      <c r="BT198" t="s">
        <v>672</v>
      </c>
      <c r="BU198" t="s">
        <v>647</v>
      </c>
      <c r="BV198" t="s">
        <v>630</v>
      </c>
      <c r="BW198" t="s">
        <v>667</v>
      </c>
      <c r="BX198" t="s">
        <v>914</v>
      </c>
      <c r="BY198" t="s">
        <v>921</v>
      </c>
      <c r="BZ198" t="s">
        <v>565</v>
      </c>
      <c r="CA198" t="s">
        <v>570</v>
      </c>
      <c r="CB198" t="s">
        <v>936</v>
      </c>
    </row>
    <row r="199" spans="2:80" x14ac:dyDescent="0.3">
      <c r="B199" t="s">
        <v>95</v>
      </c>
      <c r="C199" t="s">
        <v>95</v>
      </c>
      <c r="D199" t="s">
        <v>95</v>
      </c>
      <c r="E199" t="s">
        <v>95</v>
      </c>
      <c r="F199" t="s">
        <v>95</v>
      </c>
      <c r="G199" t="s">
        <v>95</v>
      </c>
      <c r="H199" t="s">
        <v>95</v>
      </c>
      <c r="I199" t="s">
        <v>95</v>
      </c>
      <c r="J199" t="s">
        <v>95</v>
      </c>
      <c r="K199" t="s">
        <v>95</v>
      </c>
      <c r="L199" t="s">
        <v>95</v>
      </c>
      <c r="M199" t="s">
        <v>95</v>
      </c>
      <c r="N199" t="s">
        <v>95</v>
      </c>
      <c r="O199" t="s">
        <v>95</v>
      </c>
      <c r="P199" t="s">
        <v>95</v>
      </c>
      <c r="Q199" t="s">
        <v>95</v>
      </c>
      <c r="R199" t="s">
        <v>95</v>
      </c>
      <c r="S199" t="s">
        <v>95</v>
      </c>
      <c r="T199" t="s">
        <v>95</v>
      </c>
      <c r="U199" t="s">
        <v>95</v>
      </c>
      <c r="V199" t="s">
        <v>95</v>
      </c>
      <c r="W199" t="s">
        <v>95</v>
      </c>
      <c r="X199" t="s">
        <v>95</v>
      </c>
      <c r="Y199" t="s">
        <v>95</v>
      </c>
      <c r="Z199" t="s">
        <v>95</v>
      </c>
      <c r="AA199" t="s">
        <v>95</v>
      </c>
      <c r="AB199" t="s">
        <v>95</v>
      </c>
      <c r="AC199" t="s">
        <v>95</v>
      </c>
      <c r="AD199" t="s">
        <v>95</v>
      </c>
      <c r="AE199" t="s">
        <v>95</v>
      </c>
      <c r="AF199" t="s">
        <v>95</v>
      </c>
      <c r="AG199" t="s">
        <v>95</v>
      </c>
      <c r="AH199" t="s">
        <v>95</v>
      </c>
      <c r="AI199" t="s">
        <v>95</v>
      </c>
      <c r="AJ199" t="s">
        <v>95</v>
      </c>
      <c r="AK199" t="s">
        <v>95</v>
      </c>
      <c r="AL199" t="s">
        <v>95</v>
      </c>
      <c r="AM199" t="s">
        <v>95</v>
      </c>
      <c r="AN199" t="s">
        <v>95</v>
      </c>
      <c r="AO199" t="s">
        <v>95</v>
      </c>
      <c r="AP199" t="s">
        <v>95</v>
      </c>
      <c r="AQ199" t="s">
        <v>95</v>
      </c>
      <c r="AR199" t="s">
        <v>95</v>
      </c>
      <c r="AS199" t="s">
        <v>95</v>
      </c>
      <c r="AT199" t="s">
        <v>95</v>
      </c>
      <c r="AU199" t="s">
        <v>95</v>
      </c>
      <c r="AV199" t="s">
        <v>95</v>
      </c>
      <c r="AW199" t="s">
        <v>95</v>
      </c>
      <c r="AX199" t="s">
        <v>95</v>
      </c>
      <c r="AY199" t="s">
        <v>95</v>
      </c>
      <c r="AZ199" t="s">
        <v>95</v>
      </c>
      <c r="BA199" t="s">
        <v>95</v>
      </c>
      <c r="BB199" s="76"/>
      <c r="BC199" s="76"/>
      <c r="BD199" s="76"/>
      <c r="BE199" s="76"/>
      <c r="BF199" s="76"/>
      <c r="BG199" s="76"/>
      <c r="BH199" s="76"/>
      <c r="BI199" s="76"/>
      <c r="BJ199" s="76"/>
      <c r="BK199" s="76"/>
      <c r="BL199" s="76"/>
      <c r="BM199" s="76"/>
      <c r="BN199" t="s">
        <v>95</v>
      </c>
      <c r="BO199" t="s">
        <v>95</v>
      </c>
      <c r="BP199" t="s">
        <v>95</v>
      </c>
      <c r="BQ199" t="s">
        <v>95</v>
      </c>
      <c r="BR199" t="s">
        <v>95</v>
      </c>
      <c r="BS199" t="s">
        <v>95</v>
      </c>
      <c r="BT199" t="s">
        <v>95</v>
      </c>
      <c r="BU199" t="s">
        <v>95</v>
      </c>
      <c r="BV199" t="s">
        <v>95</v>
      </c>
      <c r="BW199" t="s">
        <v>95</v>
      </c>
      <c r="BX199" t="s">
        <v>95</v>
      </c>
      <c r="BY199" t="s">
        <v>95</v>
      </c>
      <c r="BZ199" t="s">
        <v>95</v>
      </c>
      <c r="CA199" t="s">
        <v>95</v>
      </c>
      <c r="CB199" t="s">
        <v>95</v>
      </c>
    </row>
    <row r="200" spans="2:80" x14ac:dyDescent="0.3">
      <c r="B200" t="s">
        <v>96</v>
      </c>
      <c r="C200" t="s">
        <v>96</v>
      </c>
      <c r="D200" t="s">
        <v>96</v>
      </c>
      <c r="E200" t="s">
        <v>96</v>
      </c>
      <c r="F200" t="s">
        <v>96</v>
      </c>
      <c r="G200" t="s">
        <v>96</v>
      </c>
      <c r="H200" t="s">
        <v>96</v>
      </c>
      <c r="I200" t="s">
        <v>488</v>
      </c>
      <c r="J200" t="s">
        <v>493</v>
      </c>
      <c r="K200" t="s">
        <v>488</v>
      </c>
      <c r="L200" t="s">
        <v>488</v>
      </c>
      <c r="M200" t="s">
        <v>500</v>
      </c>
      <c r="N200" t="s">
        <v>96</v>
      </c>
      <c r="O200" t="s">
        <v>96</v>
      </c>
      <c r="P200" t="s">
        <v>96</v>
      </c>
      <c r="Q200" t="s">
        <v>96</v>
      </c>
      <c r="R200" t="s">
        <v>96</v>
      </c>
      <c r="S200" t="s">
        <v>96</v>
      </c>
      <c r="T200" t="s">
        <v>96</v>
      </c>
      <c r="U200" t="s">
        <v>96</v>
      </c>
      <c r="V200" t="s">
        <v>96</v>
      </c>
      <c r="W200" t="s">
        <v>96</v>
      </c>
      <c r="X200" t="s">
        <v>96</v>
      </c>
      <c r="Y200" t="s">
        <v>593</v>
      </c>
      <c r="Z200" t="s">
        <v>610</v>
      </c>
      <c r="AA200" t="s">
        <v>615</v>
      </c>
      <c r="AB200" t="s">
        <v>621</v>
      </c>
      <c r="AC200" t="s">
        <v>621</v>
      </c>
      <c r="AD200" t="s">
        <v>623</v>
      </c>
      <c r="AE200" t="s">
        <v>623</v>
      </c>
      <c r="AF200" t="s">
        <v>627</v>
      </c>
      <c r="AG200" t="s">
        <v>96</v>
      </c>
      <c r="AH200" t="s">
        <v>96</v>
      </c>
      <c r="AI200" t="s">
        <v>96</v>
      </c>
      <c r="AJ200" t="s">
        <v>96</v>
      </c>
      <c r="AK200" t="s">
        <v>96</v>
      </c>
      <c r="AL200" t="s">
        <v>96</v>
      </c>
      <c r="AM200" t="s">
        <v>96</v>
      </c>
      <c r="AN200" t="s">
        <v>580</v>
      </c>
      <c r="AO200" t="s">
        <v>586</v>
      </c>
      <c r="AP200" t="s">
        <v>593</v>
      </c>
      <c r="AQ200" t="s">
        <v>488</v>
      </c>
      <c r="AR200" t="s">
        <v>580</v>
      </c>
      <c r="AS200" t="s">
        <v>96</v>
      </c>
      <c r="AT200" t="s">
        <v>96</v>
      </c>
      <c r="AU200" t="s">
        <v>96</v>
      </c>
      <c r="AV200" t="s">
        <v>657</v>
      </c>
      <c r="AW200" t="s">
        <v>657</v>
      </c>
      <c r="AX200" t="s">
        <v>96</v>
      </c>
      <c r="AY200" t="s">
        <v>96</v>
      </c>
      <c r="AZ200" t="s">
        <v>96</v>
      </c>
      <c r="BA200" t="s">
        <v>96</v>
      </c>
      <c r="BB200" s="76" t="s">
        <v>96</v>
      </c>
      <c r="BC200" s="76" t="s">
        <v>96</v>
      </c>
      <c r="BD200" s="76" t="s">
        <v>96</v>
      </c>
      <c r="BE200" s="76" t="s">
        <v>96</v>
      </c>
      <c r="BF200" s="76" t="s">
        <v>96</v>
      </c>
      <c r="BG200" s="76" t="s">
        <v>96</v>
      </c>
      <c r="BH200" s="76" t="s">
        <v>96</v>
      </c>
      <c r="BI200" s="76" t="s">
        <v>96</v>
      </c>
      <c r="BJ200" s="76" t="s">
        <v>96</v>
      </c>
      <c r="BK200" s="76" t="s">
        <v>145</v>
      </c>
      <c r="BL200" s="76" t="s">
        <v>145</v>
      </c>
      <c r="BM200" s="76" t="s">
        <v>150</v>
      </c>
      <c r="BN200" t="s">
        <v>96</v>
      </c>
      <c r="BO200" t="s">
        <v>96</v>
      </c>
      <c r="BP200" t="s">
        <v>96</v>
      </c>
      <c r="BQ200" t="s">
        <v>96</v>
      </c>
      <c r="BR200" t="s">
        <v>96</v>
      </c>
      <c r="BS200" t="s">
        <v>96</v>
      </c>
      <c r="BT200" t="s">
        <v>96</v>
      </c>
      <c r="BU200" t="s">
        <v>96</v>
      </c>
      <c r="BV200" t="s">
        <v>96</v>
      </c>
      <c r="BW200" t="s">
        <v>96</v>
      </c>
      <c r="BX200" t="s">
        <v>915</v>
      </c>
      <c r="BY200" t="s">
        <v>922</v>
      </c>
      <c r="BZ200" t="s">
        <v>926</v>
      </c>
      <c r="CA200" t="s">
        <v>931</v>
      </c>
      <c r="CB200" t="s">
        <v>937</v>
      </c>
    </row>
    <row r="201" spans="2:80" x14ac:dyDescent="0.3">
      <c r="B201" t="s">
        <v>97</v>
      </c>
      <c r="C201" t="s">
        <v>97</v>
      </c>
      <c r="D201" t="s">
        <v>97</v>
      </c>
      <c r="E201" t="s">
        <v>97</v>
      </c>
      <c r="F201" t="s">
        <v>97</v>
      </c>
      <c r="G201" t="s">
        <v>97</v>
      </c>
      <c r="H201" t="s">
        <v>97</v>
      </c>
      <c r="I201" t="s">
        <v>97</v>
      </c>
      <c r="J201" t="s">
        <v>97</v>
      </c>
      <c r="K201" t="s">
        <v>97</v>
      </c>
      <c r="L201" t="s">
        <v>97</v>
      </c>
      <c r="M201" t="s">
        <v>97</v>
      </c>
      <c r="N201" t="s">
        <v>97</v>
      </c>
      <c r="O201" t="s">
        <v>97</v>
      </c>
      <c r="P201" t="s">
        <v>97</v>
      </c>
      <c r="Q201" t="s">
        <v>97</v>
      </c>
      <c r="R201" t="s">
        <v>97</v>
      </c>
      <c r="S201" t="s">
        <v>97</v>
      </c>
      <c r="T201" t="s">
        <v>97</v>
      </c>
      <c r="U201" t="s">
        <v>97</v>
      </c>
      <c r="V201" t="s">
        <v>97</v>
      </c>
      <c r="W201" t="s">
        <v>97</v>
      </c>
      <c r="X201" t="s">
        <v>97</v>
      </c>
      <c r="Y201" t="s">
        <v>97</v>
      </c>
      <c r="Z201" t="s">
        <v>97</v>
      </c>
      <c r="AA201" t="s">
        <v>97</v>
      </c>
      <c r="AB201" t="s">
        <v>97</v>
      </c>
      <c r="AC201" t="s">
        <v>97</v>
      </c>
      <c r="AD201" t="s">
        <v>97</v>
      </c>
      <c r="AE201" t="s">
        <v>97</v>
      </c>
      <c r="AF201" t="s">
        <v>97</v>
      </c>
      <c r="AG201" t="s">
        <v>97</v>
      </c>
      <c r="AH201" t="s">
        <v>97</v>
      </c>
      <c r="AI201" t="s">
        <v>97</v>
      </c>
      <c r="AJ201" t="s">
        <v>97</v>
      </c>
      <c r="AK201" t="s">
        <v>97</v>
      </c>
      <c r="AL201" t="s">
        <v>97</v>
      </c>
      <c r="AM201" t="s">
        <v>97</v>
      </c>
      <c r="AN201" t="s">
        <v>97</v>
      </c>
      <c r="AO201" t="s">
        <v>97</v>
      </c>
      <c r="AP201" t="s">
        <v>97</v>
      </c>
      <c r="AQ201" t="s">
        <v>97</v>
      </c>
      <c r="AR201" t="s">
        <v>97</v>
      </c>
      <c r="AS201" t="s">
        <v>97</v>
      </c>
      <c r="AT201" t="s">
        <v>97</v>
      </c>
      <c r="AU201" t="s">
        <v>97</v>
      </c>
      <c r="AV201" t="s">
        <v>97</v>
      </c>
      <c r="AW201" t="s">
        <v>97</v>
      </c>
      <c r="AX201" t="s">
        <v>97</v>
      </c>
      <c r="AY201" t="s">
        <v>97</v>
      </c>
      <c r="AZ201" t="s">
        <v>97</v>
      </c>
      <c r="BA201" t="s">
        <v>97</v>
      </c>
      <c r="BB201" s="76"/>
      <c r="BC201" s="76"/>
      <c r="BD201" s="76"/>
      <c r="BE201" s="76"/>
      <c r="BF201" s="76"/>
      <c r="BG201" s="76"/>
      <c r="BH201" s="76"/>
      <c r="BI201" s="76"/>
      <c r="BJ201" s="76"/>
      <c r="BK201" s="76"/>
      <c r="BL201" s="76"/>
      <c r="BM201" s="76"/>
      <c r="BN201" t="s">
        <v>97</v>
      </c>
      <c r="BO201" t="s">
        <v>97</v>
      </c>
      <c r="BP201" t="s">
        <v>97</v>
      </c>
      <c r="BQ201" t="s">
        <v>97</v>
      </c>
      <c r="BR201" t="s">
        <v>97</v>
      </c>
      <c r="BS201" t="s">
        <v>97</v>
      </c>
      <c r="BT201" t="s">
        <v>97</v>
      </c>
      <c r="BU201" t="s">
        <v>97</v>
      </c>
      <c r="BV201" t="s">
        <v>97</v>
      </c>
      <c r="BW201" t="s">
        <v>97</v>
      </c>
      <c r="BX201" t="s">
        <v>97</v>
      </c>
      <c r="BY201" t="s">
        <v>97</v>
      </c>
      <c r="BZ201" t="s">
        <v>97</v>
      </c>
      <c r="CA201" t="s">
        <v>97</v>
      </c>
      <c r="CB201" t="s">
        <v>97</v>
      </c>
    </row>
    <row r="202" spans="2:80" x14ac:dyDescent="0.3">
      <c r="B202" t="s">
        <v>458</v>
      </c>
      <c r="C202" t="s">
        <v>463</v>
      </c>
      <c r="D202" t="s">
        <v>463</v>
      </c>
      <c r="E202" t="s">
        <v>473</v>
      </c>
      <c r="F202" t="s">
        <v>463</v>
      </c>
      <c r="G202" t="s">
        <v>458</v>
      </c>
      <c r="H202" t="s">
        <v>483</v>
      </c>
      <c r="I202" t="s">
        <v>96</v>
      </c>
      <c r="J202" t="s">
        <v>96</v>
      </c>
      <c r="K202" t="s">
        <v>96</v>
      </c>
      <c r="L202" t="s">
        <v>96</v>
      </c>
      <c r="M202" t="s">
        <v>96</v>
      </c>
      <c r="N202" t="s">
        <v>463</v>
      </c>
      <c r="O202" t="s">
        <v>511</v>
      </c>
      <c r="P202" t="s">
        <v>458</v>
      </c>
      <c r="Q202" t="s">
        <v>458</v>
      </c>
      <c r="R202" t="s">
        <v>458</v>
      </c>
      <c r="S202" t="s">
        <v>551</v>
      </c>
      <c r="T202" t="s">
        <v>556</v>
      </c>
      <c r="U202" t="s">
        <v>110</v>
      </c>
      <c r="V202" t="s">
        <v>458</v>
      </c>
      <c r="W202" t="s">
        <v>463</v>
      </c>
      <c r="X202" t="s">
        <v>576</v>
      </c>
      <c r="Y202" t="s">
        <v>96</v>
      </c>
      <c r="Z202" t="s">
        <v>96</v>
      </c>
      <c r="AA202" t="s">
        <v>96</v>
      </c>
      <c r="AB202" t="s">
        <v>96</v>
      </c>
      <c r="AC202" t="s">
        <v>96</v>
      </c>
      <c r="AD202" t="s">
        <v>96</v>
      </c>
      <c r="AE202" t="s">
        <v>96</v>
      </c>
      <c r="AF202" t="s">
        <v>96</v>
      </c>
      <c r="AG202" t="s">
        <v>463</v>
      </c>
      <c r="AH202" t="s">
        <v>634</v>
      </c>
      <c r="AI202" t="s">
        <v>638</v>
      </c>
      <c r="AJ202" t="s">
        <v>110</v>
      </c>
      <c r="AK202" t="s">
        <v>644</v>
      </c>
      <c r="AL202" t="s">
        <v>638</v>
      </c>
      <c r="AM202" t="s">
        <v>651</v>
      </c>
      <c r="AN202" t="s">
        <v>110</v>
      </c>
      <c r="AO202" t="s">
        <v>483</v>
      </c>
      <c r="AP202" t="s">
        <v>594</v>
      </c>
      <c r="AQ202" t="s">
        <v>98</v>
      </c>
      <c r="AR202" t="s">
        <v>110</v>
      </c>
      <c r="AS202" t="s">
        <v>673</v>
      </c>
      <c r="AT202" t="s">
        <v>678</v>
      </c>
      <c r="AU202" t="s">
        <v>673</v>
      </c>
      <c r="AV202" t="s">
        <v>96</v>
      </c>
      <c r="AW202" t="s">
        <v>96</v>
      </c>
      <c r="AX202" t="s">
        <v>668</v>
      </c>
      <c r="AY202" t="s">
        <v>673</v>
      </c>
      <c r="AZ202" t="s">
        <v>678</v>
      </c>
      <c r="BA202" t="s">
        <v>684</v>
      </c>
      <c r="BB202" s="76" t="s">
        <v>98</v>
      </c>
      <c r="BC202" s="76" t="s">
        <v>98</v>
      </c>
      <c r="BD202" s="76" t="s">
        <v>110</v>
      </c>
      <c r="BE202" s="76" t="s">
        <v>126</v>
      </c>
      <c r="BF202" s="76" t="s">
        <v>98</v>
      </c>
      <c r="BG202" s="76" t="s">
        <v>98</v>
      </c>
      <c r="BH202" s="76" t="s">
        <v>120</v>
      </c>
      <c r="BI202" s="76" t="s">
        <v>98</v>
      </c>
      <c r="BJ202" s="76" t="s">
        <v>98</v>
      </c>
      <c r="BK202" s="76" t="s">
        <v>96</v>
      </c>
      <c r="BL202" s="76" t="s">
        <v>96</v>
      </c>
      <c r="BM202" s="76" t="s">
        <v>96</v>
      </c>
      <c r="BN202" t="s">
        <v>678</v>
      </c>
      <c r="BO202" t="s">
        <v>896</v>
      </c>
      <c r="BP202" t="s">
        <v>458</v>
      </c>
      <c r="BQ202" t="s">
        <v>678</v>
      </c>
      <c r="BR202" t="s">
        <v>909</v>
      </c>
      <c r="BS202" t="s">
        <v>110</v>
      </c>
      <c r="BT202" t="s">
        <v>945</v>
      </c>
      <c r="BU202" t="s">
        <v>949</v>
      </c>
      <c r="BV202" t="s">
        <v>673</v>
      </c>
      <c r="BW202" t="s">
        <v>463</v>
      </c>
      <c r="BX202" t="s">
        <v>916</v>
      </c>
      <c r="BY202" t="s">
        <v>463</v>
      </c>
      <c r="BZ202" t="s">
        <v>458</v>
      </c>
      <c r="CA202" t="s">
        <v>463</v>
      </c>
      <c r="CB202" t="s">
        <v>938</v>
      </c>
    </row>
    <row r="203" spans="2:80" x14ac:dyDescent="0.3">
      <c r="B203" t="s">
        <v>99</v>
      </c>
      <c r="C203" t="s">
        <v>99</v>
      </c>
      <c r="D203" t="s">
        <v>99</v>
      </c>
      <c r="E203" t="s">
        <v>99</v>
      </c>
      <c r="F203" t="s">
        <v>99</v>
      </c>
      <c r="G203" t="s">
        <v>99</v>
      </c>
      <c r="H203" t="s">
        <v>99</v>
      </c>
      <c r="I203" t="s">
        <v>99</v>
      </c>
      <c r="J203" t="s">
        <v>99</v>
      </c>
      <c r="K203" t="s">
        <v>99</v>
      </c>
      <c r="L203" t="s">
        <v>99</v>
      </c>
      <c r="M203" t="s">
        <v>99</v>
      </c>
      <c r="N203" t="s">
        <v>99</v>
      </c>
      <c r="O203" t="s">
        <v>99</v>
      </c>
      <c r="P203" t="s">
        <v>99</v>
      </c>
      <c r="Q203" t="s">
        <v>99</v>
      </c>
      <c r="R203" t="s">
        <v>99</v>
      </c>
      <c r="S203" t="s">
        <v>99</v>
      </c>
      <c r="T203" t="s">
        <v>99</v>
      </c>
      <c r="U203" t="s">
        <v>99</v>
      </c>
      <c r="V203" t="s">
        <v>99</v>
      </c>
      <c r="W203" t="s">
        <v>99</v>
      </c>
      <c r="X203" t="s">
        <v>99</v>
      </c>
      <c r="Y203" t="s">
        <v>99</v>
      </c>
      <c r="Z203" t="s">
        <v>99</v>
      </c>
      <c r="AA203" t="s">
        <v>99</v>
      </c>
      <c r="AB203" t="s">
        <v>99</v>
      </c>
      <c r="AC203" t="s">
        <v>99</v>
      </c>
      <c r="AD203" t="s">
        <v>99</v>
      </c>
      <c r="AE203" t="s">
        <v>99</v>
      </c>
      <c r="AF203" t="s">
        <v>99</v>
      </c>
      <c r="AG203" t="s">
        <v>99</v>
      </c>
      <c r="AH203" t="s">
        <v>99</v>
      </c>
      <c r="AI203" t="s">
        <v>99</v>
      </c>
      <c r="AJ203" t="s">
        <v>99</v>
      </c>
      <c r="AK203" t="s">
        <v>99</v>
      </c>
      <c r="AL203" t="s">
        <v>99</v>
      </c>
      <c r="AM203" t="s">
        <v>99</v>
      </c>
      <c r="AN203" t="s">
        <v>99</v>
      </c>
      <c r="AO203" t="s">
        <v>99</v>
      </c>
      <c r="AP203" t="s">
        <v>99</v>
      </c>
      <c r="AQ203" t="s">
        <v>99</v>
      </c>
      <c r="AR203" t="s">
        <v>99</v>
      </c>
      <c r="AS203" t="s">
        <v>99</v>
      </c>
      <c r="AT203" t="s">
        <v>99</v>
      </c>
      <c r="AU203" t="s">
        <v>99</v>
      </c>
      <c r="AV203" t="s">
        <v>99</v>
      </c>
      <c r="AW203" t="s">
        <v>99</v>
      </c>
      <c r="AX203" t="s">
        <v>99</v>
      </c>
      <c r="AY203" t="s">
        <v>99</v>
      </c>
      <c r="AZ203" t="s">
        <v>99</v>
      </c>
      <c r="BA203" t="s">
        <v>99</v>
      </c>
      <c r="BB203" s="76"/>
      <c r="BC203" s="76"/>
      <c r="BD203" s="76"/>
      <c r="BE203" s="76"/>
      <c r="BF203" s="76"/>
      <c r="BG203" s="76"/>
      <c r="BH203" s="76"/>
      <c r="BI203" s="76"/>
      <c r="BJ203" s="76"/>
      <c r="BK203" s="76"/>
      <c r="BL203" s="76"/>
      <c r="BM203" s="76"/>
      <c r="BN203" t="s">
        <v>99</v>
      </c>
      <c r="BO203" t="s">
        <v>99</v>
      </c>
      <c r="BP203" t="s">
        <v>99</v>
      </c>
      <c r="BQ203" t="s">
        <v>99</v>
      </c>
      <c r="BR203" t="s">
        <v>99</v>
      </c>
      <c r="BS203" t="s">
        <v>99</v>
      </c>
      <c r="BT203" t="s">
        <v>99</v>
      </c>
      <c r="BU203" t="s">
        <v>99</v>
      </c>
      <c r="BV203" t="s">
        <v>99</v>
      </c>
      <c r="BW203" t="s">
        <v>99</v>
      </c>
      <c r="BX203" t="s">
        <v>99</v>
      </c>
      <c r="BY203" t="s">
        <v>99</v>
      </c>
      <c r="BZ203" t="s">
        <v>99</v>
      </c>
      <c r="CA203" t="s">
        <v>99</v>
      </c>
      <c r="CB203" t="s">
        <v>99</v>
      </c>
    </row>
    <row r="204" spans="2:80" x14ac:dyDescent="0.3">
      <c r="B204" t="s">
        <v>100</v>
      </c>
      <c r="C204" t="s">
        <v>100</v>
      </c>
      <c r="D204" t="s">
        <v>468</v>
      </c>
      <c r="E204" t="s">
        <v>121</v>
      </c>
      <c r="F204" t="s">
        <v>100</v>
      </c>
      <c r="G204" t="s">
        <v>479</v>
      </c>
      <c r="H204" t="s">
        <v>484</v>
      </c>
      <c r="I204" t="s">
        <v>145</v>
      </c>
      <c r="J204" t="s">
        <v>494</v>
      </c>
      <c r="K204" t="s">
        <v>145</v>
      </c>
      <c r="L204" t="s">
        <v>145</v>
      </c>
      <c r="M204" t="s">
        <v>501</v>
      </c>
      <c r="N204" t="s">
        <v>506</v>
      </c>
      <c r="O204" t="s">
        <v>512</v>
      </c>
      <c r="P204" t="s">
        <v>114</v>
      </c>
      <c r="Q204" t="s">
        <v>114</v>
      </c>
      <c r="R204" t="s">
        <v>512</v>
      </c>
      <c r="S204" t="s">
        <v>552</v>
      </c>
      <c r="T204" t="s">
        <v>557</v>
      </c>
      <c r="U204" t="s">
        <v>563</v>
      </c>
      <c r="V204" t="s">
        <v>506</v>
      </c>
      <c r="W204" t="s">
        <v>571</v>
      </c>
      <c r="X204" t="s">
        <v>479</v>
      </c>
      <c r="Y204" t="s">
        <v>606</v>
      </c>
      <c r="Z204" t="s">
        <v>611</v>
      </c>
      <c r="AA204" t="s">
        <v>616</v>
      </c>
      <c r="AB204" t="s">
        <v>622</v>
      </c>
      <c r="AC204" t="s">
        <v>622</v>
      </c>
      <c r="AD204" t="s">
        <v>622</v>
      </c>
      <c r="AE204" t="s">
        <v>622</v>
      </c>
      <c r="AF204" t="s">
        <v>628</v>
      </c>
      <c r="AG204" t="s">
        <v>114</v>
      </c>
      <c r="AH204" t="s">
        <v>114</v>
      </c>
      <c r="AI204" t="s">
        <v>114</v>
      </c>
      <c r="AJ204" t="s">
        <v>506</v>
      </c>
      <c r="AK204" t="s">
        <v>484</v>
      </c>
      <c r="AL204" t="s">
        <v>512</v>
      </c>
      <c r="AM204" t="s">
        <v>652</v>
      </c>
      <c r="AN204" t="s">
        <v>581</v>
      </c>
      <c r="AO204" t="s">
        <v>587</v>
      </c>
      <c r="AP204" t="s">
        <v>595</v>
      </c>
      <c r="AQ204" t="s">
        <v>601</v>
      </c>
      <c r="AR204" t="s">
        <v>581</v>
      </c>
      <c r="AS204" t="s">
        <v>690</v>
      </c>
      <c r="AT204" t="s">
        <v>137</v>
      </c>
      <c r="AU204" t="s">
        <v>700</v>
      </c>
      <c r="AV204" t="s">
        <v>658</v>
      </c>
      <c r="AW204" t="s">
        <v>662</v>
      </c>
      <c r="AX204" t="s">
        <v>669</v>
      </c>
      <c r="AY204" t="s">
        <v>137</v>
      </c>
      <c r="AZ204" t="s">
        <v>111</v>
      </c>
      <c r="BA204" t="s">
        <v>114</v>
      </c>
      <c r="BB204" s="76" t="s">
        <v>100</v>
      </c>
      <c r="BC204" s="76" t="s">
        <v>100</v>
      </c>
      <c r="BD204" s="76" t="s">
        <v>111</v>
      </c>
      <c r="BE204" s="76" t="s">
        <v>127</v>
      </c>
      <c r="BF204" s="76" t="s">
        <v>114</v>
      </c>
      <c r="BG204" s="76" t="s">
        <v>100</v>
      </c>
      <c r="BH204" s="76" t="s">
        <v>121</v>
      </c>
      <c r="BI204" s="76" t="s">
        <v>127</v>
      </c>
      <c r="BJ204" s="76" t="s">
        <v>137</v>
      </c>
      <c r="BK204" s="76" t="s">
        <v>146</v>
      </c>
      <c r="BL204" s="76" t="s">
        <v>146</v>
      </c>
      <c r="BM204" s="76" t="s">
        <v>151</v>
      </c>
      <c r="BN204" t="s">
        <v>111</v>
      </c>
      <c r="BO204" t="s">
        <v>468</v>
      </c>
      <c r="BP204" t="s">
        <v>900</v>
      </c>
      <c r="BQ204" t="s">
        <v>904</v>
      </c>
      <c r="BR204" t="s">
        <v>910</v>
      </c>
      <c r="BS204" t="s">
        <v>127</v>
      </c>
      <c r="BT204" t="s">
        <v>127</v>
      </c>
      <c r="BU204" t="s">
        <v>111</v>
      </c>
      <c r="BV204" t="s">
        <v>137</v>
      </c>
      <c r="BW204" t="s">
        <v>669</v>
      </c>
      <c r="BX204" t="s">
        <v>917</v>
      </c>
      <c r="BY204" t="s">
        <v>923</v>
      </c>
      <c r="BZ204" t="s">
        <v>927</v>
      </c>
      <c r="CA204" t="s">
        <v>932</v>
      </c>
      <c r="CB204" t="s">
        <v>939</v>
      </c>
    </row>
    <row r="205" spans="2:80" x14ac:dyDescent="0.3">
      <c r="B205" t="s">
        <v>101</v>
      </c>
      <c r="C205" t="s">
        <v>101</v>
      </c>
      <c r="D205" t="s">
        <v>101</v>
      </c>
      <c r="E205" t="s">
        <v>101</v>
      </c>
      <c r="F205" t="s">
        <v>101</v>
      </c>
      <c r="G205" t="s">
        <v>101</v>
      </c>
      <c r="H205" t="s">
        <v>101</v>
      </c>
      <c r="I205" t="s">
        <v>101</v>
      </c>
      <c r="J205" t="s">
        <v>101</v>
      </c>
      <c r="K205" t="s">
        <v>101</v>
      </c>
      <c r="L205" t="s">
        <v>101</v>
      </c>
      <c r="M205" t="s">
        <v>101</v>
      </c>
      <c r="N205" t="s">
        <v>101</v>
      </c>
      <c r="O205" t="s">
        <v>101</v>
      </c>
      <c r="P205" t="s">
        <v>101</v>
      </c>
      <c r="Q205" t="s">
        <v>101</v>
      </c>
      <c r="R205" t="s">
        <v>101</v>
      </c>
      <c r="S205" t="s">
        <v>101</v>
      </c>
      <c r="T205" t="s">
        <v>101</v>
      </c>
      <c r="U205" t="s">
        <v>101</v>
      </c>
      <c r="V205" t="s">
        <v>101</v>
      </c>
      <c r="W205" t="s">
        <v>101</v>
      </c>
      <c r="X205" t="s">
        <v>101</v>
      </c>
      <c r="Y205" t="s">
        <v>101</v>
      </c>
      <c r="Z205" t="s">
        <v>101</v>
      </c>
      <c r="AA205" t="s">
        <v>101</v>
      </c>
      <c r="AB205" t="s">
        <v>101</v>
      </c>
      <c r="AC205" t="s">
        <v>101</v>
      </c>
      <c r="AD205" t="s">
        <v>101</v>
      </c>
      <c r="AE205" t="s">
        <v>101</v>
      </c>
      <c r="AF205" t="s">
        <v>101</v>
      </c>
      <c r="AG205" t="s">
        <v>101</v>
      </c>
      <c r="AH205" t="s">
        <v>101</v>
      </c>
      <c r="AI205" t="s">
        <v>101</v>
      </c>
      <c r="AJ205" t="s">
        <v>101</v>
      </c>
      <c r="AK205" t="s">
        <v>101</v>
      </c>
      <c r="AL205" t="s">
        <v>101</v>
      </c>
      <c r="AM205" t="s">
        <v>101</v>
      </c>
      <c r="AN205" t="s">
        <v>101</v>
      </c>
      <c r="AO205" t="s">
        <v>101</v>
      </c>
      <c r="AP205" t="s">
        <v>101</v>
      </c>
      <c r="AQ205" t="s">
        <v>101</v>
      </c>
      <c r="AR205" t="s">
        <v>101</v>
      </c>
      <c r="AS205" t="s">
        <v>101</v>
      </c>
      <c r="AT205" t="s">
        <v>101</v>
      </c>
      <c r="AU205" t="s">
        <v>101</v>
      </c>
      <c r="AV205" t="s">
        <v>101</v>
      </c>
      <c r="AW205" t="s">
        <v>101</v>
      </c>
      <c r="AX205" t="s">
        <v>101</v>
      </c>
      <c r="AY205" t="s">
        <v>101</v>
      </c>
      <c r="AZ205" t="s">
        <v>101</v>
      </c>
      <c r="BA205" t="s">
        <v>101</v>
      </c>
      <c r="BB205" s="76"/>
      <c r="BC205" s="76"/>
      <c r="BD205" s="76"/>
      <c r="BE205" s="76"/>
      <c r="BF205" s="76"/>
      <c r="BG205" s="76"/>
      <c r="BH205" s="76"/>
      <c r="BI205" s="76"/>
      <c r="BJ205" s="76"/>
      <c r="BK205" s="76"/>
      <c r="BL205" s="76"/>
      <c r="BM205" s="76"/>
      <c r="BN205" t="s">
        <v>101</v>
      </c>
      <c r="BO205" t="s">
        <v>101</v>
      </c>
      <c r="BP205" t="s">
        <v>101</v>
      </c>
      <c r="BQ205" t="s">
        <v>101</v>
      </c>
      <c r="BR205" t="s">
        <v>101</v>
      </c>
      <c r="BS205" t="s">
        <v>101</v>
      </c>
      <c r="BT205" t="s">
        <v>101</v>
      </c>
      <c r="BU205" t="s">
        <v>101</v>
      </c>
      <c r="BV205" t="s">
        <v>101</v>
      </c>
      <c r="BW205" t="s">
        <v>101</v>
      </c>
      <c r="BX205" t="s">
        <v>101</v>
      </c>
      <c r="BY205" t="s">
        <v>101</v>
      </c>
      <c r="BZ205" t="s">
        <v>101</v>
      </c>
      <c r="CA205" t="s">
        <v>101</v>
      </c>
      <c r="CB205" t="s">
        <v>101</v>
      </c>
    </row>
    <row r="206" spans="2:80" x14ac:dyDescent="0.3">
      <c r="B206" t="s">
        <v>459</v>
      </c>
      <c r="C206" t="s">
        <v>464</v>
      </c>
      <c r="D206" t="s">
        <v>469</v>
      </c>
      <c r="E206" t="s">
        <v>474</v>
      </c>
      <c r="F206" t="s">
        <v>464</v>
      </c>
      <c r="G206" t="s">
        <v>102</v>
      </c>
      <c r="H206" t="s">
        <v>485</v>
      </c>
      <c r="I206" t="s">
        <v>489</v>
      </c>
      <c r="J206" t="s">
        <v>495</v>
      </c>
      <c r="K206" t="s">
        <v>489</v>
      </c>
      <c r="L206" t="s">
        <v>489</v>
      </c>
      <c r="M206" t="s">
        <v>502</v>
      </c>
      <c r="N206" t="s">
        <v>507</v>
      </c>
      <c r="O206" t="s">
        <v>513</v>
      </c>
      <c r="P206" t="s">
        <v>516</v>
      </c>
      <c r="Q206" t="s">
        <v>516</v>
      </c>
      <c r="R206" t="s">
        <v>522</v>
      </c>
      <c r="S206" t="s">
        <v>553</v>
      </c>
      <c r="T206" t="s">
        <v>558</v>
      </c>
      <c r="U206" t="s">
        <v>564</v>
      </c>
      <c r="V206" t="s">
        <v>566</v>
      </c>
      <c r="W206" t="s">
        <v>572</v>
      </c>
      <c r="X206" t="s">
        <v>577</v>
      </c>
      <c r="Y206" t="s">
        <v>607</v>
      </c>
      <c r="Z206" t="s">
        <v>612</v>
      </c>
      <c r="AA206" t="s">
        <v>617</v>
      </c>
      <c r="AB206" t="s">
        <v>152</v>
      </c>
      <c r="AC206" t="s">
        <v>152</v>
      </c>
      <c r="AD206" t="s">
        <v>624</v>
      </c>
      <c r="AE206" t="s">
        <v>624</v>
      </c>
      <c r="AF206" t="s">
        <v>629</v>
      </c>
      <c r="AG206" t="s">
        <v>631</v>
      </c>
      <c r="AH206" t="s">
        <v>635</v>
      </c>
      <c r="AI206" t="s">
        <v>639</v>
      </c>
      <c r="AJ206" t="s">
        <v>643</v>
      </c>
      <c r="AK206" t="s">
        <v>645</v>
      </c>
      <c r="AL206" t="s">
        <v>648</v>
      </c>
      <c r="AM206" t="s">
        <v>653</v>
      </c>
      <c r="AN206" t="s">
        <v>582</v>
      </c>
      <c r="AO206" t="s">
        <v>588</v>
      </c>
      <c r="AP206" t="s">
        <v>596</v>
      </c>
      <c r="AQ206" t="s">
        <v>602</v>
      </c>
      <c r="AR206" t="s">
        <v>582</v>
      </c>
      <c r="AS206" t="s">
        <v>691</v>
      </c>
      <c r="AT206" t="s">
        <v>695</v>
      </c>
      <c r="AU206" t="s">
        <v>701</v>
      </c>
      <c r="AV206" t="s">
        <v>659</v>
      </c>
      <c r="AW206" t="s">
        <v>663</v>
      </c>
      <c r="AX206" t="s">
        <v>670</v>
      </c>
      <c r="AY206" t="s">
        <v>674</v>
      </c>
      <c r="AZ206" t="s">
        <v>679</v>
      </c>
      <c r="BA206" t="s">
        <v>685</v>
      </c>
      <c r="BB206" s="76" t="s">
        <v>102</v>
      </c>
      <c r="BC206" s="76" t="s">
        <v>102</v>
      </c>
      <c r="BD206" s="76" t="s">
        <v>112</v>
      </c>
      <c r="BE206" s="76" t="s">
        <v>128</v>
      </c>
      <c r="BF206" s="76" t="s">
        <v>115</v>
      </c>
      <c r="BG206" s="76" t="s">
        <v>102</v>
      </c>
      <c r="BH206" s="76" t="s">
        <v>122</v>
      </c>
      <c r="BI206" s="76" t="s">
        <v>131</v>
      </c>
      <c r="BJ206" s="76" t="s">
        <v>138</v>
      </c>
      <c r="BK206" s="76" t="s">
        <v>147</v>
      </c>
      <c r="BL206" s="76" t="s">
        <v>147</v>
      </c>
      <c r="BM206" s="76" t="s">
        <v>152</v>
      </c>
      <c r="BN206" t="s">
        <v>679</v>
      </c>
      <c r="BO206" t="s">
        <v>897</v>
      </c>
      <c r="BP206" t="s">
        <v>901</v>
      </c>
      <c r="BQ206" t="s">
        <v>905</v>
      </c>
      <c r="BR206" t="s">
        <v>911</v>
      </c>
      <c r="BS206" t="s">
        <v>941</v>
      </c>
      <c r="BT206" t="s">
        <v>946</v>
      </c>
      <c r="BU206" t="s">
        <v>950</v>
      </c>
      <c r="BV206" t="s">
        <v>674</v>
      </c>
      <c r="BW206" t="s">
        <v>952</v>
      </c>
      <c r="BX206" t="s">
        <v>918</v>
      </c>
      <c r="BY206" t="s">
        <v>924</v>
      </c>
      <c r="BZ206" t="s">
        <v>928</v>
      </c>
      <c r="CA206" t="s">
        <v>933</v>
      </c>
      <c r="CB206" t="s">
        <v>940</v>
      </c>
    </row>
    <row r="207" spans="2:80" x14ac:dyDescent="0.3">
      <c r="BN207" t="s">
        <v>433</v>
      </c>
      <c r="BO207" t="s">
        <v>866</v>
      </c>
      <c r="BP207" t="s">
        <v>868</v>
      </c>
      <c r="BQ207" t="s">
        <v>871</v>
      </c>
      <c r="BR207" t="s">
        <v>874</v>
      </c>
      <c r="BS207" t="s">
        <v>877</v>
      </c>
      <c r="BT207" t="s">
        <v>880</v>
      </c>
      <c r="BU207" t="s">
        <v>883</v>
      </c>
      <c r="BV207" t="s">
        <v>886</v>
      </c>
      <c r="BW207" t="s">
        <v>889</v>
      </c>
      <c r="BX207" t="s">
        <v>850</v>
      </c>
      <c r="BY207" t="s">
        <v>853</v>
      </c>
      <c r="BZ207" t="s">
        <v>855</v>
      </c>
      <c r="CA207" t="s">
        <v>858</v>
      </c>
      <c r="CB207" t="s">
        <v>861</v>
      </c>
    </row>
    <row r="208" spans="2:80" x14ac:dyDescent="0.3">
      <c r="BN208" t="s">
        <v>864</v>
      </c>
      <c r="BO208" t="s">
        <v>867</v>
      </c>
      <c r="BP208" t="s">
        <v>869</v>
      </c>
      <c r="BQ208" t="s">
        <v>872</v>
      </c>
      <c r="BR208" t="s">
        <v>875</v>
      </c>
      <c r="BS208" t="s">
        <v>878</v>
      </c>
      <c r="BT208" t="s">
        <v>881</v>
      </c>
      <c r="BU208" t="s">
        <v>884</v>
      </c>
      <c r="BV208" t="s">
        <v>887</v>
      </c>
      <c r="BW208" t="s">
        <v>890</v>
      </c>
      <c r="BX208" t="s">
        <v>851</v>
      </c>
      <c r="BY208" t="s">
        <v>854</v>
      </c>
      <c r="BZ208" t="s">
        <v>856</v>
      </c>
      <c r="CA208" t="s">
        <v>859</v>
      </c>
      <c r="CB208" t="s">
        <v>862</v>
      </c>
    </row>
    <row r="209" spans="66:80" x14ac:dyDescent="0.3">
      <c r="BN209" t="str">
        <f t="shared" ref="BN209:CB209" si="33">LEFT(RIGHT(BN208,8),6)</f>
        <v>36.990</v>
      </c>
      <c r="BO209" t="str">
        <f t="shared" si="33"/>
        <v>33.780</v>
      </c>
      <c r="BP209" t="str">
        <f t="shared" si="33"/>
        <v>31.460</v>
      </c>
      <c r="BQ209" t="str">
        <f t="shared" si="33"/>
        <v>34.910</v>
      </c>
      <c r="BR209" t="str">
        <f t="shared" si="33"/>
        <v>37.140</v>
      </c>
      <c r="BS209" t="str">
        <f t="shared" si="33"/>
        <v>37.460</v>
      </c>
      <c r="BT209" t="str">
        <f t="shared" si="33"/>
        <v>38.100</v>
      </c>
      <c r="BU209" t="str">
        <f t="shared" si="33"/>
        <v>23.595</v>
      </c>
      <c r="BV209" t="str">
        <f t="shared" si="33"/>
        <v>33.600</v>
      </c>
      <c r="BW209" t="str">
        <f t="shared" si="33"/>
        <v>28.850</v>
      </c>
      <c r="BX209" t="str">
        <f t="shared" si="33"/>
        <v>43.250</v>
      </c>
      <c r="BY209" t="str">
        <f t="shared" si="33"/>
        <v>52.817</v>
      </c>
      <c r="BZ209" t="str">
        <f t="shared" si="33"/>
        <v>36.950</v>
      </c>
      <c r="CA209" t="str">
        <f t="shared" si="33"/>
        <v>45.350</v>
      </c>
      <c r="CB209" t="str">
        <f t="shared" si="33"/>
        <v>58.680</v>
      </c>
    </row>
    <row r="210" spans="66:80" x14ac:dyDescent="0.3">
      <c r="BN210" s="39">
        <f t="shared" ref="BN210:CB210" si="34">VALUE(BN209)</f>
        <v>36990</v>
      </c>
      <c r="BO210" s="39">
        <f t="shared" si="34"/>
        <v>33780</v>
      </c>
      <c r="BP210" s="39">
        <f t="shared" si="34"/>
        <v>31460</v>
      </c>
      <c r="BQ210" s="39">
        <f t="shared" si="34"/>
        <v>34910</v>
      </c>
      <c r="BR210" s="39">
        <f t="shared" si="34"/>
        <v>37140</v>
      </c>
      <c r="BS210" s="39">
        <f t="shared" si="34"/>
        <v>37460</v>
      </c>
      <c r="BT210" s="39">
        <f t="shared" si="34"/>
        <v>38100</v>
      </c>
      <c r="BU210" s="39">
        <f t="shared" si="34"/>
        <v>23595</v>
      </c>
      <c r="BV210" s="39">
        <f t="shared" si="34"/>
        <v>33600</v>
      </c>
      <c r="BW210" s="39">
        <f t="shared" si="34"/>
        <v>28850</v>
      </c>
      <c r="BX210" s="39">
        <f t="shared" si="34"/>
        <v>43250</v>
      </c>
      <c r="BY210" s="39">
        <f t="shared" si="34"/>
        <v>52817</v>
      </c>
      <c r="BZ210" s="39">
        <f t="shared" si="34"/>
        <v>36950</v>
      </c>
      <c r="CA210" s="39">
        <f t="shared" si="34"/>
        <v>45350</v>
      </c>
      <c r="CB210" s="39">
        <f t="shared" si="34"/>
        <v>58680</v>
      </c>
    </row>
  </sheetData>
  <dataValidations count="2">
    <dataValidation type="list" allowBlank="1" showInputMessage="1" showErrorMessage="1" sqref="AL27 AL67:AL68" xr:uid="{00000000-0002-0000-0C00-000000000000}">
      <formula1>list_brandstoftype</formula1>
    </dataValidation>
    <dataValidation type="list" allowBlank="1" showInputMessage="1" sqref="AO27:AU27 AO67:AU68" xr:uid="{00000000-0002-0000-0C00-000001000000}">
      <formula1>"default,#N/B"</formula1>
    </dataValidation>
  </dataValidation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8">
    <tabColor rgb="FFFF0000"/>
    <pageSetUpPr autoPageBreaks="0"/>
  </sheetPr>
  <dimension ref="A2:BH173"/>
  <sheetViews>
    <sheetView topLeftCell="C15" zoomScale="115" zoomScaleNormal="115" workbookViewId="0">
      <selection activeCell="D38" sqref="D38:G42"/>
    </sheetView>
  </sheetViews>
  <sheetFormatPr defaultRowHeight="15" x14ac:dyDescent="0.3"/>
  <cols>
    <col min="1" max="1" width="14.7109375" customWidth="1"/>
    <col min="2" max="2" width="24.85546875" customWidth="1"/>
    <col min="3" max="3" width="26.5703125" customWidth="1"/>
    <col min="4" max="5" width="10" bestFit="1" customWidth="1"/>
    <col min="11" max="16" width="9.42578125" customWidth="1"/>
    <col min="17" max="17" width="11.85546875" customWidth="1"/>
    <col min="18" max="18" width="10.28515625" bestFit="1" customWidth="1"/>
    <col min="27" max="27" width="10" bestFit="1" customWidth="1"/>
  </cols>
  <sheetData>
    <row r="2" spans="1:60" ht="28.5" thickBot="1" x14ac:dyDescent="0.5">
      <c r="B2" s="87" t="s">
        <v>259</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row>
    <row r="3" spans="1:60" ht="15.75" thickTop="1" x14ac:dyDescent="0.3"/>
    <row r="4" spans="1:60" x14ac:dyDescent="0.3">
      <c r="A4" t="s">
        <v>1301</v>
      </c>
      <c r="B4" s="469" t="s">
        <v>1297</v>
      </c>
    </row>
    <row r="5" spans="1:60" ht="31.5" thickBot="1" x14ac:dyDescent="0.5">
      <c r="A5" s="45"/>
      <c r="B5" s="225" t="s">
        <v>258</v>
      </c>
      <c r="C5" s="45"/>
      <c r="D5" s="45">
        <v>2010</v>
      </c>
      <c r="E5" s="45">
        <v>2011</v>
      </c>
      <c r="F5" s="45">
        <v>2012</v>
      </c>
      <c r="G5" s="45">
        <v>2013</v>
      </c>
      <c r="H5" s="45">
        <v>2014</v>
      </c>
      <c r="I5" s="45">
        <v>2015</v>
      </c>
      <c r="J5" s="45">
        <v>2016</v>
      </c>
      <c r="K5" s="45">
        <v>2017</v>
      </c>
      <c r="L5" s="45">
        <v>2018</v>
      </c>
      <c r="M5" s="45">
        <v>2019</v>
      </c>
      <c r="N5" s="45">
        <v>2020</v>
      </c>
      <c r="O5" s="45">
        <v>2021</v>
      </c>
      <c r="P5" s="45">
        <v>2022</v>
      </c>
      <c r="Q5" s="45">
        <v>2023</v>
      </c>
      <c r="R5" s="45">
        <v>2024</v>
      </c>
      <c r="S5" s="45">
        <v>2025</v>
      </c>
      <c r="T5" s="45">
        <v>2026</v>
      </c>
      <c r="U5" s="45">
        <v>2027</v>
      </c>
      <c r="V5" s="45">
        <v>2028</v>
      </c>
      <c r="W5" s="45">
        <v>2029</v>
      </c>
      <c r="X5" s="45">
        <v>2030</v>
      </c>
      <c r="Y5" s="45">
        <v>2031</v>
      </c>
      <c r="Z5" s="45">
        <v>2032</v>
      </c>
      <c r="AA5" s="45">
        <v>2033</v>
      </c>
      <c r="AB5" s="45">
        <v>2034</v>
      </c>
      <c r="AC5" s="45">
        <v>2035</v>
      </c>
      <c r="AD5" s="45">
        <v>2036</v>
      </c>
      <c r="AE5" s="45">
        <v>2037</v>
      </c>
      <c r="AF5" s="45">
        <v>2038</v>
      </c>
      <c r="AG5" s="45">
        <v>2039</v>
      </c>
      <c r="AH5" s="45">
        <v>2040</v>
      </c>
      <c r="AI5" s="45">
        <v>2041</v>
      </c>
      <c r="AJ5" s="45">
        <v>2042</v>
      </c>
      <c r="AK5" s="45">
        <v>2043</v>
      </c>
      <c r="AL5" s="45">
        <v>2044</v>
      </c>
      <c r="AM5" s="45">
        <v>2045</v>
      </c>
      <c r="AN5" s="45">
        <v>2046</v>
      </c>
      <c r="AO5" s="45">
        <v>2047</v>
      </c>
      <c r="AP5" s="45">
        <v>2048</v>
      </c>
      <c r="AQ5" s="45">
        <v>2049</v>
      </c>
      <c r="AR5" s="45">
        <v>2050</v>
      </c>
      <c r="AS5" s="45">
        <v>2051</v>
      </c>
      <c r="AT5" s="45">
        <v>2052</v>
      </c>
      <c r="AU5" s="45">
        <v>2053</v>
      </c>
      <c r="AV5" s="45">
        <v>2054</v>
      </c>
      <c r="AW5" s="45">
        <v>2055</v>
      </c>
      <c r="AX5" s="45">
        <v>2056</v>
      </c>
      <c r="AY5" s="45">
        <v>2057</v>
      </c>
      <c r="AZ5" s="45">
        <v>2058</v>
      </c>
      <c r="BA5" s="45">
        <v>2059</v>
      </c>
      <c r="BB5" s="45">
        <v>2060</v>
      </c>
    </row>
    <row r="6" spans="1:60" ht="16.5" x14ac:dyDescent="0.3">
      <c r="B6" t="s">
        <v>1299</v>
      </c>
      <c r="C6" t="s">
        <v>45</v>
      </c>
      <c r="D6" s="199"/>
      <c r="E6" s="199"/>
      <c r="F6" s="199"/>
      <c r="G6" s="199"/>
      <c r="H6" s="199"/>
      <c r="I6" s="199"/>
      <c r="J6" s="199"/>
      <c r="K6" s="199"/>
      <c r="L6" s="199"/>
      <c r="M6" s="199"/>
      <c r="N6" s="199"/>
      <c r="O6" s="199"/>
      <c r="P6" s="199"/>
      <c r="Q6" s="199"/>
      <c r="R6" s="199">
        <f t="shared" ref="R6:AR6" si="0">INDEX($D$106:$AR$108,MATCH(input_olieprijs,$C$106:$C$108,0),MATCH(R$5,$D$105:$AR$105))</f>
        <v>0.74002333017034028</v>
      </c>
      <c r="S6" s="199">
        <f t="shared" si="0"/>
        <v>0.74015535925500697</v>
      </c>
      <c r="T6" s="199">
        <f t="shared" si="0"/>
        <v>0.74024532126775744</v>
      </c>
      <c r="U6" s="199">
        <f t="shared" si="0"/>
        <v>0.74022918043330255</v>
      </c>
      <c r="V6" s="199">
        <f t="shared" si="0"/>
        <v>0.74032783798665736</v>
      </c>
      <c r="W6" s="199">
        <f t="shared" si="0"/>
        <v>0.74044167953619433</v>
      </c>
      <c r="X6" s="199">
        <f t="shared" si="0"/>
        <v>0.74042142826723167</v>
      </c>
      <c r="Y6" s="199">
        <f t="shared" si="0"/>
        <v>0.7424192078072045</v>
      </c>
      <c r="Z6" s="199">
        <f t="shared" si="0"/>
        <v>0.74552946515928142</v>
      </c>
      <c r="AA6" s="199">
        <f t="shared" si="0"/>
        <v>0.74769760403548546</v>
      </c>
      <c r="AB6" s="199">
        <f t="shared" si="0"/>
        <v>0.75018545245786461</v>
      </c>
      <c r="AC6" s="199">
        <f t="shared" si="0"/>
        <v>0.7500731952377715</v>
      </c>
      <c r="AD6" s="199">
        <f t="shared" si="0"/>
        <v>0.74663402517181232</v>
      </c>
      <c r="AE6" s="199">
        <f t="shared" si="0"/>
        <v>0.74666775172519118</v>
      </c>
      <c r="AF6" s="199">
        <f t="shared" si="0"/>
        <v>0.74912051303567273</v>
      </c>
      <c r="AG6" s="199">
        <f t="shared" si="0"/>
        <v>0.7562644287355369</v>
      </c>
      <c r="AH6" s="199">
        <f t="shared" si="0"/>
        <v>0.76340058448467452</v>
      </c>
      <c r="AI6" s="199">
        <f t="shared" si="0"/>
        <v>0.77051631368874918</v>
      </c>
      <c r="AJ6" s="199">
        <f t="shared" si="0"/>
        <v>0.77763204289282373</v>
      </c>
      <c r="AK6" s="199">
        <f t="shared" si="0"/>
        <v>0.78474777209689806</v>
      </c>
      <c r="AL6" s="199">
        <f t="shared" si="0"/>
        <v>0.79186350130097216</v>
      </c>
      <c r="AM6" s="199">
        <f t="shared" si="0"/>
        <v>0.79897923050504327</v>
      </c>
      <c r="AN6" s="199">
        <f t="shared" si="0"/>
        <v>0.80609495970912048</v>
      </c>
      <c r="AO6" s="199">
        <f t="shared" si="0"/>
        <v>0.81321068891319748</v>
      </c>
      <c r="AP6" s="199">
        <f t="shared" si="0"/>
        <v>0.82032641811726825</v>
      </c>
      <c r="AQ6" s="199">
        <f t="shared" si="0"/>
        <v>0.82744214732134524</v>
      </c>
      <c r="AR6" s="199">
        <f t="shared" si="0"/>
        <v>0.83455787652541613</v>
      </c>
      <c r="AS6" s="199"/>
      <c r="AT6" s="199"/>
      <c r="AU6" s="199"/>
      <c r="AV6" s="199"/>
      <c r="AW6" s="199"/>
      <c r="AX6" s="199"/>
      <c r="AY6" s="199"/>
      <c r="AZ6" s="199"/>
      <c r="BA6" s="199"/>
      <c r="BB6" s="199"/>
    </row>
    <row r="7" spans="1:60" ht="16.5" x14ac:dyDescent="0.3">
      <c r="B7" t="s">
        <v>1296</v>
      </c>
      <c r="C7" t="s">
        <v>45</v>
      </c>
      <c r="D7" s="199"/>
      <c r="E7" s="199"/>
      <c r="F7" s="199"/>
      <c r="G7" s="199"/>
      <c r="H7" s="199"/>
      <c r="I7" s="199"/>
      <c r="J7" s="199"/>
      <c r="K7" s="199"/>
      <c r="L7" s="199"/>
      <c r="M7" s="199"/>
      <c r="N7" s="199"/>
      <c r="O7" s="199"/>
      <c r="P7" s="199"/>
      <c r="Q7" s="199"/>
      <c r="R7" s="199">
        <f t="shared" ref="R7:AR7" si="1">INDEX($D$74:$D$101,MATCH(R$5,$C$74:$C$100))</f>
        <v>0.96228849927000004</v>
      </c>
      <c r="S7" s="199">
        <f t="shared" si="1"/>
        <v>0.97960969225686001</v>
      </c>
      <c r="T7" s="199">
        <f t="shared" si="1"/>
        <v>1.0119368121013363</v>
      </c>
      <c r="U7" s="199">
        <f t="shared" si="1"/>
        <v>1.0362232955917685</v>
      </c>
      <c r="V7" s="199">
        <f t="shared" si="1"/>
        <v>1.0621288779815625</v>
      </c>
      <c r="W7" s="199">
        <f t="shared" si="1"/>
        <v>1.085495713297157</v>
      </c>
      <c r="X7" s="199">
        <f t="shared" si="1"/>
        <v>1.1082911232763972</v>
      </c>
      <c r="Y7" s="199">
        <f t="shared" si="1"/>
        <v>1.1315652368652014</v>
      </c>
      <c r="Z7" s="199">
        <f t="shared" si="1"/>
        <v>1.1541965416025055</v>
      </c>
      <c r="AA7" s="199">
        <f t="shared" si="1"/>
        <v>1.1772804724345556</v>
      </c>
      <c r="AB7" s="199">
        <f t="shared" si="1"/>
        <v>1.2008260818832468</v>
      </c>
      <c r="AC7" s="199">
        <f t="shared" si="1"/>
        <v>1.2248426035209117</v>
      </c>
      <c r="AD7" s="199">
        <f t="shared" si="1"/>
        <v>1.24933945559133</v>
      </c>
      <c r="AE7" s="199">
        <f t="shared" si="1"/>
        <v>1.2743262447031567</v>
      </c>
      <c r="AF7" s="199">
        <f t="shared" si="1"/>
        <v>1.2998127695972199</v>
      </c>
      <c r="AG7" s="199">
        <f t="shared" si="1"/>
        <v>1.3258090249891643</v>
      </c>
      <c r="AH7" s="199">
        <f t="shared" si="1"/>
        <v>1.3523252054889476</v>
      </c>
      <c r="AI7" s="199">
        <f t="shared" si="1"/>
        <v>1.3611285388222809</v>
      </c>
      <c r="AJ7" s="199">
        <f t="shared" si="1"/>
        <v>1.3699318721556142</v>
      </c>
      <c r="AK7" s="199">
        <f t="shared" si="1"/>
        <v>1.3787352054889475</v>
      </c>
      <c r="AL7" s="199">
        <f t="shared" si="1"/>
        <v>1.3875385388222807</v>
      </c>
      <c r="AM7" s="199">
        <f t="shared" si="1"/>
        <v>1.396341872155614</v>
      </c>
      <c r="AN7" s="199">
        <f t="shared" si="1"/>
        <v>1.4051452054889473</v>
      </c>
      <c r="AO7" s="199">
        <f t="shared" si="1"/>
        <v>1.4139485388222806</v>
      </c>
      <c r="AP7" s="199">
        <f t="shared" si="1"/>
        <v>1.4227518721556138</v>
      </c>
      <c r="AQ7" s="199">
        <f t="shared" si="1"/>
        <v>1.4315552054889471</v>
      </c>
      <c r="AR7" s="199">
        <f t="shared" si="1"/>
        <v>1.4315552054889471</v>
      </c>
      <c r="AS7" s="199"/>
      <c r="AT7" s="199"/>
      <c r="AU7" s="199"/>
      <c r="AV7" s="199"/>
      <c r="AW7" s="199"/>
      <c r="AX7" s="199"/>
      <c r="AY7" s="199"/>
      <c r="AZ7" s="199"/>
      <c r="BA7" s="199"/>
      <c r="BB7" s="199"/>
    </row>
    <row r="8" spans="1:60" ht="16.5" x14ac:dyDescent="0.3">
      <c r="B8" t="s">
        <v>1297</v>
      </c>
      <c r="C8" t="s">
        <v>45</v>
      </c>
      <c r="D8" s="199"/>
      <c r="E8" s="199"/>
      <c r="F8" s="199"/>
      <c r="G8" s="199"/>
      <c r="H8" s="199"/>
      <c r="I8" s="199"/>
      <c r="J8" s="199"/>
      <c r="K8" s="199"/>
      <c r="L8" s="199"/>
      <c r="M8" s="199"/>
      <c r="N8" s="199"/>
      <c r="O8" s="199"/>
      <c r="P8" s="199"/>
      <c r="Q8" s="199"/>
      <c r="R8" s="199">
        <f t="shared" ref="R8:AR8" si="2">INDEX($F$74:$F$101,MATCH(R$5,$C$74:$C$100))</f>
        <v>0.86722090000000007</v>
      </c>
      <c r="S8" s="199">
        <f t="shared" si="2"/>
        <v>0.8828308762</v>
      </c>
      <c r="T8" s="199">
        <f t="shared" si="2"/>
        <v>0.91196429511459998</v>
      </c>
      <c r="U8" s="199">
        <f t="shared" si="2"/>
        <v>0.93385143819735039</v>
      </c>
      <c r="V8" s="199">
        <f t="shared" si="2"/>
        <v>0.95719772415228399</v>
      </c>
      <c r="W8" s="199">
        <f t="shared" si="2"/>
        <v>0.97825607408363435</v>
      </c>
      <c r="X8" s="199">
        <f t="shared" si="2"/>
        <v>0.99879945163939066</v>
      </c>
      <c r="Y8" s="199">
        <f t="shared" si="2"/>
        <v>1.0197742401238177</v>
      </c>
      <c r="Z8" s="199">
        <f t="shared" si="2"/>
        <v>1.040169724926294</v>
      </c>
      <c r="AA8" s="199">
        <f t="shared" si="2"/>
        <v>1.06097311942482</v>
      </c>
      <c r="AB8" s="199">
        <f t="shared" si="2"/>
        <v>1.0821925818133165</v>
      </c>
      <c r="AC8" s="199">
        <f t="shared" si="2"/>
        <v>1.1038364334495827</v>
      </c>
      <c r="AD8" s="199">
        <f t="shared" si="2"/>
        <v>1.1259131621185745</v>
      </c>
      <c r="AE8" s="199">
        <f t="shared" si="2"/>
        <v>1.148431425360946</v>
      </c>
      <c r="AF8" s="199">
        <f t="shared" si="2"/>
        <v>1.171400053868165</v>
      </c>
      <c r="AG8" s="199">
        <f t="shared" si="2"/>
        <v>1.1948280549455284</v>
      </c>
      <c r="AH8" s="199">
        <f t="shared" si="2"/>
        <v>1.2187246160444389</v>
      </c>
      <c r="AI8" s="199">
        <f t="shared" si="2"/>
        <v>1.2266582395493699</v>
      </c>
      <c r="AJ8" s="199">
        <f t="shared" si="2"/>
        <v>1.2345918630543009</v>
      </c>
      <c r="AK8" s="199">
        <f t="shared" si="2"/>
        <v>1.2425254865592321</v>
      </c>
      <c r="AL8" s="199">
        <f t="shared" si="2"/>
        <v>1.2504591100641631</v>
      </c>
      <c r="AM8" s="199">
        <f t="shared" si="2"/>
        <v>1.2583927335690941</v>
      </c>
      <c r="AN8" s="199">
        <f t="shared" si="2"/>
        <v>1.2663263570740251</v>
      </c>
      <c r="AO8" s="199">
        <f t="shared" si="2"/>
        <v>1.2742599805789561</v>
      </c>
      <c r="AP8" s="199">
        <f t="shared" si="2"/>
        <v>1.2821936040838873</v>
      </c>
      <c r="AQ8" s="199">
        <f t="shared" si="2"/>
        <v>1.2901272275888183</v>
      </c>
      <c r="AR8" s="199">
        <f t="shared" si="2"/>
        <v>1.2901272275888183</v>
      </c>
      <c r="AS8" s="199"/>
      <c r="AT8" s="199"/>
      <c r="AU8" s="199"/>
      <c r="AV8" s="199"/>
      <c r="AW8" s="199"/>
      <c r="AX8" s="199"/>
      <c r="AY8" s="199"/>
      <c r="AZ8" s="199"/>
      <c r="BA8" s="199"/>
      <c r="BB8" s="199"/>
    </row>
    <row r="9" spans="1:60" ht="16.5" x14ac:dyDescent="0.3">
      <c r="B9" t="s">
        <v>1469</v>
      </c>
      <c r="C9" t="s">
        <v>45</v>
      </c>
      <c r="D9" s="199"/>
      <c r="E9" s="199"/>
      <c r="F9" s="199"/>
      <c r="G9" s="199"/>
      <c r="H9" s="199"/>
      <c r="I9" s="199"/>
      <c r="J9" s="199"/>
      <c r="K9" s="199"/>
      <c r="L9" s="199"/>
      <c r="M9" s="199"/>
      <c r="N9" s="199"/>
      <c r="O9" s="199"/>
      <c r="P9" s="199"/>
      <c r="Q9" s="199"/>
      <c r="R9" s="199">
        <f t="shared" ref="R9:AR9" si="3">input_btw*(R6+R7)</f>
        <v>0</v>
      </c>
      <c r="S9" s="199">
        <f t="shared" si="3"/>
        <v>0</v>
      </c>
      <c r="T9" s="199">
        <f t="shared" si="3"/>
        <v>0</v>
      </c>
      <c r="U9" s="199">
        <f t="shared" si="3"/>
        <v>0</v>
      </c>
      <c r="V9" s="199">
        <f t="shared" si="3"/>
        <v>0</v>
      </c>
      <c r="W9" s="199">
        <f t="shared" si="3"/>
        <v>0</v>
      </c>
      <c r="X9" s="199">
        <f t="shared" si="3"/>
        <v>0</v>
      </c>
      <c r="Y9" s="199">
        <f t="shared" si="3"/>
        <v>0</v>
      </c>
      <c r="Z9" s="199">
        <f t="shared" si="3"/>
        <v>0</v>
      </c>
      <c r="AA9" s="199">
        <f t="shared" si="3"/>
        <v>0</v>
      </c>
      <c r="AB9" s="199">
        <f t="shared" si="3"/>
        <v>0</v>
      </c>
      <c r="AC9" s="199">
        <f t="shared" si="3"/>
        <v>0</v>
      </c>
      <c r="AD9" s="199">
        <f t="shared" si="3"/>
        <v>0</v>
      </c>
      <c r="AE9" s="199">
        <f t="shared" si="3"/>
        <v>0</v>
      </c>
      <c r="AF9" s="199">
        <f t="shared" si="3"/>
        <v>0</v>
      </c>
      <c r="AG9" s="199">
        <f t="shared" si="3"/>
        <v>0</v>
      </c>
      <c r="AH9" s="199">
        <f t="shared" si="3"/>
        <v>0</v>
      </c>
      <c r="AI9" s="199">
        <f t="shared" si="3"/>
        <v>0</v>
      </c>
      <c r="AJ9" s="199">
        <f t="shared" si="3"/>
        <v>0</v>
      </c>
      <c r="AK9" s="199">
        <f t="shared" si="3"/>
        <v>0</v>
      </c>
      <c r="AL9" s="199">
        <f t="shared" si="3"/>
        <v>0</v>
      </c>
      <c r="AM9" s="199">
        <f t="shared" si="3"/>
        <v>0</v>
      </c>
      <c r="AN9" s="199">
        <f t="shared" si="3"/>
        <v>0</v>
      </c>
      <c r="AO9" s="199">
        <f t="shared" si="3"/>
        <v>0</v>
      </c>
      <c r="AP9" s="199">
        <f t="shared" si="3"/>
        <v>0</v>
      </c>
      <c r="AQ9" s="199">
        <f t="shared" si="3"/>
        <v>0</v>
      </c>
      <c r="AR9" s="199">
        <f t="shared" si="3"/>
        <v>0</v>
      </c>
      <c r="AS9" s="199"/>
      <c r="AT9" s="199"/>
      <c r="AU9" s="199"/>
      <c r="AV9" s="199"/>
      <c r="AW9" s="199"/>
      <c r="AX9" s="199"/>
      <c r="AY9" s="199"/>
      <c r="AZ9" s="199"/>
      <c r="BA9" s="199"/>
      <c r="BB9" s="199"/>
    </row>
    <row r="10" spans="1:60" ht="17.25" thickBot="1" x14ac:dyDescent="0.35">
      <c r="B10" t="s">
        <v>1300</v>
      </c>
      <c r="C10" t="s">
        <v>45</v>
      </c>
      <c r="D10" s="397">
        <v>1.5029999999999999</v>
      </c>
      <c r="E10" s="397">
        <v>1.64</v>
      </c>
      <c r="F10" s="397">
        <v>1.76</v>
      </c>
      <c r="G10" s="397">
        <v>1.74</v>
      </c>
      <c r="H10" s="397">
        <v>1.6950000000000001</v>
      </c>
      <c r="I10" s="397">
        <v>1.5580000000000001</v>
      </c>
      <c r="J10" s="397">
        <v>1.4770000000000001</v>
      </c>
      <c r="K10" s="397">
        <v>1.552</v>
      </c>
      <c r="L10" s="397">
        <v>1.6180000000000001</v>
      </c>
      <c r="M10" s="397">
        <v>1.647</v>
      </c>
      <c r="N10" s="397">
        <v>1.5620000000000001</v>
      </c>
      <c r="O10" s="397">
        <v>1.8149999999999999</v>
      </c>
      <c r="P10" s="397">
        <v>2.0720000000000001</v>
      </c>
      <c r="Q10" s="397">
        <v>1.921</v>
      </c>
      <c r="R10" s="198">
        <f t="shared" ref="R10:BB10" si="4">IF($B$4=$B$8,SUM(R6,R8,R9),SUM(R6,R7,R9))</f>
        <v>1.6072442301703402</v>
      </c>
      <c r="S10" s="198">
        <f t="shared" si="4"/>
        <v>1.6229862354550071</v>
      </c>
      <c r="T10" s="198">
        <f t="shared" si="4"/>
        <v>1.6522096163823574</v>
      </c>
      <c r="U10" s="198">
        <f t="shared" si="4"/>
        <v>1.6740806186306529</v>
      </c>
      <c r="V10" s="198">
        <f t="shared" si="4"/>
        <v>1.6975255621389413</v>
      </c>
      <c r="W10" s="198">
        <f t="shared" si="4"/>
        <v>1.7186977536198287</v>
      </c>
      <c r="X10" s="198">
        <f t="shared" si="4"/>
        <v>1.7392208799066222</v>
      </c>
      <c r="Y10" s="198">
        <f t="shared" si="4"/>
        <v>1.7621934479310222</v>
      </c>
      <c r="Z10" s="198">
        <f t="shared" si="4"/>
        <v>1.7856991900855754</v>
      </c>
      <c r="AA10" s="198">
        <f t="shared" si="4"/>
        <v>1.8086707234603054</v>
      </c>
      <c r="AB10" s="198">
        <f t="shared" si="4"/>
        <v>1.8323780342711811</v>
      </c>
      <c r="AC10" s="198">
        <f t="shared" si="4"/>
        <v>1.8539096286873542</v>
      </c>
      <c r="AD10" s="198">
        <f t="shared" si="4"/>
        <v>1.8725471872903867</v>
      </c>
      <c r="AE10" s="198">
        <f t="shared" si="4"/>
        <v>1.8950991770861372</v>
      </c>
      <c r="AF10" s="198">
        <f t="shared" si="4"/>
        <v>1.9205205669038379</v>
      </c>
      <c r="AG10" s="198">
        <f t="shared" si="4"/>
        <v>1.9510924836810652</v>
      </c>
      <c r="AH10" s="198">
        <f t="shared" si="4"/>
        <v>1.9821252005291135</v>
      </c>
      <c r="AI10" s="198">
        <f t="shared" si="4"/>
        <v>1.9971745532381191</v>
      </c>
      <c r="AJ10" s="198">
        <f t="shared" si="4"/>
        <v>2.0122239059471245</v>
      </c>
      <c r="AK10" s="198">
        <f t="shared" si="4"/>
        <v>2.0272732586561304</v>
      </c>
      <c r="AL10" s="198">
        <f t="shared" si="4"/>
        <v>2.0423226113651354</v>
      </c>
      <c r="AM10" s="198">
        <f t="shared" si="4"/>
        <v>2.0573719640741372</v>
      </c>
      <c r="AN10" s="198">
        <f t="shared" si="4"/>
        <v>2.0724213167831458</v>
      </c>
      <c r="AO10" s="198">
        <f t="shared" si="4"/>
        <v>2.0874706694921534</v>
      </c>
      <c r="AP10" s="198">
        <f t="shared" si="4"/>
        <v>2.1025200222011557</v>
      </c>
      <c r="AQ10" s="198">
        <f t="shared" si="4"/>
        <v>2.1175693749101634</v>
      </c>
      <c r="AR10" s="198">
        <f t="shared" si="4"/>
        <v>2.1246851041142345</v>
      </c>
      <c r="AS10" s="198">
        <f t="shared" si="4"/>
        <v>0</v>
      </c>
      <c r="AT10" s="198">
        <f t="shared" si="4"/>
        <v>0</v>
      </c>
      <c r="AU10" s="198">
        <f t="shared" si="4"/>
        <v>0</v>
      </c>
      <c r="AV10" s="198">
        <f t="shared" si="4"/>
        <v>0</v>
      </c>
      <c r="AW10" s="198">
        <f t="shared" si="4"/>
        <v>0</v>
      </c>
      <c r="AX10" s="198">
        <f t="shared" si="4"/>
        <v>0</v>
      </c>
      <c r="AY10" s="198">
        <f t="shared" si="4"/>
        <v>0</v>
      </c>
      <c r="AZ10" s="198">
        <f t="shared" si="4"/>
        <v>0</v>
      </c>
      <c r="BA10" s="198">
        <f t="shared" si="4"/>
        <v>0</v>
      </c>
      <c r="BB10" s="198">
        <f t="shared" si="4"/>
        <v>0</v>
      </c>
      <c r="BE10" s="208" t="s">
        <v>1246</v>
      </c>
    </row>
    <row r="11" spans="1:60" ht="17.25" thickBot="1" x14ac:dyDescent="0.35">
      <c r="B11" t="s">
        <v>1299</v>
      </c>
      <c r="C11" t="s">
        <v>46</v>
      </c>
      <c r="D11" s="199"/>
      <c r="E11" s="199"/>
      <c r="F11" s="199"/>
      <c r="G11" s="199"/>
      <c r="H11" s="199"/>
      <c r="I11" s="199"/>
      <c r="J11" s="199"/>
      <c r="K11" s="199"/>
      <c r="L11" s="199"/>
      <c r="M11" s="199"/>
      <c r="N11" s="199"/>
      <c r="O11" s="199"/>
      <c r="P11" s="199"/>
      <c r="Q11" s="199"/>
      <c r="R11" s="199">
        <f>INDEX($D$109:$AR$111,MATCH(input_olieprijs,$C$109:$C$111,0),MATCH(R$5,$D$105:$AR$105))</f>
        <v>0.81976962399774667</v>
      </c>
      <c r="S11" s="199" cm="1">
        <f t="array" ref="S11">SUMPRODUCT(S109:S111,($C$109:$C$111=input_olieprijs)*1)</f>
        <v>0.81989514719636714</v>
      </c>
      <c r="T11" s="199" cm="1">
        <f t="array" ref="T11">SUMPRODUCT(T109:T111,($C$109:$C$111=input_olieprijs)*1)</f>
        <v>0.81893751090218658</v>
      </c>
      <c r="U11" s="199" cm="1">
        <f t="array" ref="U11">SUMPRODUCT(U109:U111,($C$109:$C$111=input_olieprijs)*1)</f>
        <v>0.81885063655945656</v>
      </c>
      <c r="V11" s="199" cm="1">
        <f t="array" ref="V11">SUMPRODUCT(V109:V111,($C$109:$C$111=input_olieprijs)*1)</f>
        <v>0.81849496776603559</v>
      </c>
      <c r="W11" s="199" cm="1">
        <f t="array" ref="W11">SUMPRODUCT(W109:W111,($C$109:$C$111=input_olieprijs)*1)</f>
        <v>0.81778076478599437</v>
      </c>
      <c r="X11" s="199" cm="1">
        <f t="array" ref="X11">SUMPRODUCT(X109:X111,($C$109:$C$111=input_olieprijs)*1)</f>
        <v>0.81823066995488936</v>
      </c>
      <c r="Y11" s="199" cm="1">
        <f t="array" ref="Y11">SUMPRODUCT(Y109:Y111,($C$109:$C$111=input_olieprijs)*1)</f>
        <v>0.81460430598861733</v>
      </c>
      <c r="Z11" s="199" cm="1">
        <f t="array" ref="Z11">SUMPRODUCT(Z109:Z111,($C$109:$C$111=input_olieprijs)*1)</f>
        <v>0.81223694298149185</v>
      </c>
      <c r="AA11" s="199" cm="1">
        <f t="array" ref="AA11">SUMPRODUCT(AA109:AA111,($C$109:$C$111=input_olieprijs)*1)</f>
        <v>0.80931635974623195</v>
      </c>
      <c r="AB11" s="199" cm="1">
        <f t="array" ref="AB11">SUMPRODUCT(AB109:AB111,($C$109:$C$111=input_olieprijs)*1)</f>
        <v>0.80699150823067145</v>
      </c>
      <c r="AC11" s="199" cm="1">
        <f t="array" ref="AC11">SUMPRODUCT(AC109:AC111,($C$109:$C$111=input_olieprijs)*1)</f>
        <v>0.80593354381937143</v>
      </c>
      <c r="AD11" s="199" cm="1">
        <f t="array" ref="AD11">SUMPRODUCT(AD109:AD111,($C$109:$C$111=input_olieprijs)*1)</f>
        <v>0.80649132144300306</v>
      </c>
      <c r="AE11" s="199" cm="1">
        <f t="array" ref="AE11">SUMPRODUCT(AE109:AE111,($C$109:$C$111=input_olieprijs)*1)</f>
        <v>0.807147031663624</v>
      </c>
      <c r="AF11" s="199" cm="1">
        <f t="array" ref="AF11">SUMPRODUCT(AF109:AF111,($C$109:$C$111=input_olieprijs)*1)</f>
        <v>0.81087155563181423</v>
      </c>
      <c r="AG11" s="199" cm="1">
        <f t="array" ref="AG11">SUMPRODUCT(AG109:AG111,($C$109:$C$111=input_olieprijs)*1)</f>
        <v>0.82068732561618629</v>
      </c>
      <c r="AH11" s="199" cm="1">
        <f t="array" ref="AH11">SUMPRODUCT(AH109:AH111,($C$109:$C$111=input_olieprijs)*1)</f>
        <v>0.83059921390353353</v>
      </c>
      <c r="AI11" s="199" cm="1">
        <f t="array" ref="AI11">SUMPRODUCT(AI109:AI111,($C$109:$C$111=input_olieprijs)*1)</f>
        <v>0.83889049160936902</v>
      </c>
      <c r="AJ11" s="199" cm="1">
        <f t="array" ref="AJ11">SUMPRODUCT(AJ109:AJ111,($C$109:$C$111=input_olieprijs)*1)</f>
        <v>0.84718564722276102</v>
      </c>
      <c r="AK11" s="199" cm="1">
        <f t="array" ref="AK11">SUMPRODUCT(AK109:AK111,($C$109:$C$111=input_olieprijs)*1)</f>
        <v>0.85548436631877312</v>
      </c>
      <c r="AL11" s="199" cm="1">
        <f t="array" ref="AL11">SUMPRODUCT(AL109:AL111,($C$109:$C$111=input_olieprijs)*1)</f>
        <v>0.86378636756982918</v>
      </c>
      <c r="AM11" s="199" cm="1">
        <f t="array" ref="AM11">SUMPRODUCT(AM109:AM111,($C$109:$C$111=input_olieprijs)*1)</f>
        <v>0.87209139850246209</v>
      </c>
      <c r="AN11" s="199" cm="1">
        <f t="array" ref="AN11">SUMPRODUCT(AN109:AN111,($C$109:$C$111=input_olieprijs)*1)</f>
        <v>0.88039923189056279</v>
      </c>
      <c r="AO11" s="199" cm="1">
        <f t="array" ref="AO11">SUMPRODUCT(AO109:AO111,($C$109:$C$111=input_olieprijs)*1)</f>
        <v>0.88870966267640805</v>
      </c>
      <c r="AP11" s="199" cm="1">
        <f t="array" ref="AP11">SUMPRODUCT(AP109:AP111,($C$109:$C$111=input_olieprijs)*1)</f>
        <v>0.89702250533158012</v>
      </c>
      <c r="AQ11" s="199" cm="1">
        <f t="array" ref="AQ11">SUMPRODUCT(AQ109:AQ111,($C$109:$C$111=input_olieprijs)*1)</f>
        <v>0.90533759158614024</v>
      </c>
      <c r="AR11" s="199" cm="1">
        <f t="array" ref="AR11">SUMPRODUCT(AR109:AR111,($C$109:$C$111=input_olieprijs)*1)</f>
        <v>0.91365476846738858</v>
      </c>
      <c r="AS11" s="199"/>
      <c r="AT11" s="199"/>
      <c r="AU11" s="199"/>
      <c r="AV11" s="199"/>
      <c r="AW11" s="199"/>
      <c r="AX11" s="199"/>
      <c r="AY11" s="199"/>
      <c r="AZ11" s="199"/>
      <c r="BA11" s="199"/>
      <c r="BB11" s="199"/>
      <c r="BE11" s="286" t="s">
        <v>168</v>
      </c>
      <c r="BF11" s="286" t="s">
        <v>800</v>
      </c>
      <c r="BG11" s="286" t="s">
        <v>165</v>
      </c>
      <c r="BH11" s="286" t="s">
        <v>175</v>
      </c>
    </row>
    <row r="12" spans="1:60" ht="17.25" thickBot="1" x14ac:dyDescent="0.35">
      <c r="B12" t="s">
        <v>1296</v>
      </c>
      <c r="C12" t="s">
        <v>46</v>
      </c>
      <c r="D12" s="199"/>
      <c r="E12" s="199"/>
      <c r="F12" s="199"/>
      <c r="G12" s="199"/>
      <c r="H12" s="199"/>
      <c r="I12" s="199"/>
      <c r="J12" s="199"/>
      <c r="K12" s="199"/>
      <c r="L12" s="199"/>
      <c r="M12" s="199"/>
      <c r="N12" s="199"/>
      <c r="O12" s="199"/>
      <c r="P12" s="199"/>
      <c r="Q12" s="199"/>
      <c r="R12" s="199">
        <f>INDEX($E$74:$E$101,MATCH(R$5,$C$74:$C$100))</f>
        <v>0.62835652501999995</v>
      </c>
      <c r="S12" s="199">
        <f t="shared" ref="S12:AR12" si="5">INDEX($E$74:$E$101,MATCH(S$5,$C$74:$C$100))</f>
        <v>0.63966694247035993</v>
      </c>
      <c r="T12" s="199">
        <f t="shared" si="5"/>
        <v>0.66077595157188174</v>
      </c>
      <c r="U12" s="199">
        <f t="shared" si="5"/>
        <v>0.67663457440960695</v>
      </c>
      <c r="V12" s="199">
        <f t="shared" si="5"/>
        <v>0.69355043876984701</v>
      </c>
      <c r="W12" s="199">
        <f t="shared" si="5"/>
        <v>0.70880854842278362</v>
      </c>
      <c r="X12" s="199">
        <f t="shared" si="5"/>
        <v>0.72369352793966202</v>
      </c>
      <c r="Y12" s="199">
        <f t="shared" si="5"/>
        <v>0.7388910920263948</v>
      </c>
      <c r="Z12" s="199">
        <f t="shared" si="5"/>
        <v>0.7536689138669227</v>
      </c>
      <c r="AA12" s="199">
        <f t="shared" si="5"/>
        <v>0.76874229214426115</v>
      </c>
      <c r="AB12" s="199">
        <f t="shared" si="5"/>
        <v>0.78411713798714644</v>
      </c>
      <c r="AC12" s="199">
        <f t="shared" si="5"/>
        <v>0.79979948074688934</v>
      </c>
      <c r="AD12" s="199">
        <f t="shared" si="5"/>
        <v>0.81579547036182709</v>
      </c>
      <c r="AE12" s="199">
        <f t="shared" si="5"/>
        <v>0.83211137976906369</v>
      </c>
      <c r="AF12" s="199">
        <f t="shared" si="5"/>
        <v>0.84875360736444494</v>
      </c>
      <c r="AG12" s="199">
        <f t="shared" si="5"/>
        <v>0.86572867951173382</v>
      </c>
      <c r="AH12" s="199">
        <f t="shared" si="5"/>
        <v>0.88304325310196852</v>
      </c>
      <c r="AI12" s="199">
        <f t="shared" si="5"/>
        <v>0.8918465864353019</v>
      </c>
      <c r="AJ12" s="199">
        <f t="shared" si="5"/>
        <v>0.90064991976863529</v>
      </c>
      <c r="AK12" s="199">
        <f t="shared" si="5"/>
        <v>0.90945325310196867</v>
      </c>
      <c r="AL12" s="199">
        <f t="shared" si="5"/>
        <v>0.91825658643530206</v>
      </c>
      <c r="AM12" s="199">
        <f t="shared" si="5"/>
        <v>0.92705991976863544</v>
      </c>
      <c r="AN12" s="199">
        <f t="shared" si="5"/>
        <v>0.93586325310196883</v>
      </c>
      <c r="AO12" s="199">
        <f t="shared" si="5"/>
        <v>0.94466658643530221</v>
      </c>
      <c r="AP12" s="199">
        <f t="shared" si="5"/>
        <v>0.9534699197686356</v>
      </c>
      <c r="AQ12" s="199">
        <f t="shared" si="5"/>
        <v>0.96227325310196898</v>
      </c>
      <c r="AR12" s="199">
        <f t="shared" si="5"/>
        <v>0.96227325310196898</v>
      </c>
      <c r="AS12" s="199"/>
      <c r="AT12" s="199"/>
      <c r="AU12" s="199"/>
      <c r="AV12" s="199"/>
      <c r="AW12" s="199"/>
      <c r="AX12" s="199"/>
      <c r="AY12" s="199"/>
      <c r="AZ12" s="199"/>
      <c r="BA12" s="199"/>
      <c r="BB12" s="199"/>
      <c r="BE12" s="283" t="s">
        <v>246</v>
      </c>
      <c r="BF12" s="283">
        <v>0.26</v>
      </c>
      <c r="BG12" s="280">
        <v>0.6</v>
      </c>
      <c r="BH12" s="280">
        <f>2/3</f>
        <v>0.66666666666666663</v>
      </c>
    </row>
    <row r="13" spans="1:60" ht="17.25" thickBot="1" x14ac:dyDescent="0.35">
      <c r="B13" t="s">
        <v>1297</v>
      </c>
      <c r="C13" t="s">
        <v>46</v>
      </c>
      <c r="D13" s="199"/>
      <c r="E13" s="199"/>
      <c r="F13" s="199"/>
      <c r="G13" s="199"/>
      <c r="H13" s="199"/>
      <c r="I13" s="199"/>
      <c r="J13" s="199"/>
      <c r="K13" s="199"/>
      <c r="L13" s="199"/>
      <c r="M13" s="199"/>
      <c r="N13" s="199"/>
      <c r="O13" s="199"/>
      <c r="P13" s="199"/>
      <c r="Q13" s="199"/>
      <c r="R13" s="199">
        <f>INDEX($G$74:$G$101,MATCH(R$5,$C$74:$C$100))</f>
        <v>0.56741369999999991</v>
      </c>
      <c r="S13" s="199">
        <f t="shared" ref="S13:AR13" si="6">INDEX($G$74:$G$101,MATCH(S$5,$C$74:$C$100))</f>
        <v>0.57762714659999992</v>
      </c>
      <c r="T13" s="199">
        <f t="shared" si="6"/>
        <v>0.59668884243779985</v>
      </c>
      <c r="U13" s="199">
        <f t="shared" si="6"/>
        <v>0.61100937465630711</v>
      </c>
      <c r="V13" s="199">
        <f t="shared" si="6"/>
        <v>0.62628460902271466</v>
      </c>
      <c r="W13" s="199">
        <f t="shared" si="6"/>
        <v>0.64006287042121435</v>
      </c>
      <c r="X13" s="199">
        <f t="shared" si="6"/>
        <v>0.65350419070005983</v>
      </c>
      <c r="Y13" s="199">
        <f t="shared" si="6"/>
        <v>0.66722777870476102</v>
      </c>
      <c r="Z13" s="199">
        <f t="shared" si="6"/>
        <v>0.68057233427885622</v>
      </c>
      <c r="AA13" s="199">
        <f t="shared" si="6"/>
        <v>0.69418378096443334</v>
      </c>
      <c r="AB13" s="199">
        <f t="shared" si="6"/>
        <v>0.70806745658372205</v>
      </c>
      <c r="AC13" s="199">
        <f t="shared" si="6"/>
        <v>0.72222880571539649</v>
      </c>
      <c r="AD13" s="199">
        <f t="shared" si="6"/>
        <v>0.73667338182970432</v>
      </c>
      <c r="AE13" s="199">
        <f t="shared" si="6"/>
        <v>0.75140684946629854</v>
      </c>
      <c r="AF13" s="199">
        <f t="shared" si="6"/>
        <v>0.76643498645562447</v>
      </c>
      <c r="AG13" s="199">
        <f t="shared" si="6"/>
        <v>0.78176368618473691</v>
      </c>
      <c r="AH13" s="199">
        <f t="shared" si="6"/>
        <v>0.79739895990843168</v>
      </c>
      <c r="AI13" s="199">
        <f t="shared" si="6"/>
        <v>0.8053484785974292</v>
      </c>
      <c r="AJ13" s="199">
        <f t="shared" si="6"/>
        <v>0.81329799728642671</v>
      </c>
      <c r="AK13" s="199">
        <f t="shared" si="6"/>
        <v>0.82124751597542422</v>
      </c>
      <c r="AL13" s="199">
        <f t="shared" si="6"/>
        <v>0.82919703466442174</v>
      </c>
      <c r="AM13" s="199">
        <f t="shared" si="6"/>
        <v>0.83714655335341925</v>
      </c>
      <c r="AN13" s="199">
        <f t="shared" si="6"/>
        <v>0.84509607204241688</v>
      </c>
      <c r="AO13" s="199">
        <f t="shared" si="6"/>
        <v>0.85304559073141439</v>
      </c>
      <c r="AP13" s="199">
        <f t="shared" si="6"/>
        <v>0.86099510942041191</v>
      </c>
      <c r="AQ13" s="199">
        <f t="shared" si="6"/>
        <v>0.86894462810940942</v>
      </c>
      <c r="AR13" s="199">
        <f t="shared" si="6"/>
        <v>0.86894462810940942</v>
      </c>
      <c r="AS13" s="199"/>
      <c r="AT13" s="199"/>
      <c r="AU13" s="199"/>
      <c r="AV13" s="199"/>
      <c r="AW13" s="199"/>
      <c r="AX13" s="199"/>
      <c r="AY13" s="199"/>
      <c r="AZ13" s="199"/>
      <c r="BA13" s="199"/>
      <c r="BB13" s="199"/>
      <c r="BE13" s="283"/>
      <c r="BF13" s="283"/>
      <c r="BG13" s="280"/>
      <c r="BH13" s="280"/>
    </row>
    <row r="14" spans="1:60" ht="17.25" thickBot="1" x14ac:dyDescent="0.35">
      <c r="B14" t="s">
        <v>1469</v>
      </c>
      <c r="C14" t="s">
        <v>46</v>
      </c>
      <c r="D14" s="199"/>
      <c r="E14" s="199"/>
      <c r="F14" s="199"/>
      <c r="G14" s="199"/>
      <c r="H14" s="199"/>
      <c r="I14" s="199"/>
      <c r="J14" s="199"/>
      <c r="K14" s="199"/>
      <c r="L14" s="199"/>
      <c r="M14" s="199"/>
      <c r="N14" s="199"/>
      <c r="O14" s="199"/>
      <c r="P14" s="199"/>
      <c r="Q14" s="199"/>
      <c r="R14" s="199">
        <f t="shared" ref="R14:AR14" si="7">input_btw*(R11+R12)</f>
        <v>0</v>
      </c>
      <c r="S14" s="199">
        <f t="shared" si="7"/>
        <v>0</v>
      </c>
      <c r="T14" s="199">
        <f t="shared" si="7"/>
        <v>0</v>
      </c>
      <c r="U14" s="199">
        <f t="shared" si="7"/>
        <v>0</v>
      </c>
      <c r="V14" s="199">
        <f t="shared" si="7"/>
        <v>0</v>
      </c>
      <c r="W14" s="199">
        <f t="shared" si="7"/>
        <v>0</v>
      </c>
      <c r="X14" s="199">
        <f t="shared" si="7"/>
        <v>0</v>
      </c>
      <c r="Y14" s="199">
        <f t="shared" si="7"/>
        <v>0</v>
      </c>
      <c r="Z14" s="199">
        <f t="shared" si="7"/>
        <v>0</v>
      </c>
      <c r="AA14" s="199">
        <f t="shared" si="7"/>
        <v>0</v>
      </c>
      <c r="AB14" s="199">
        <f t="shared" si="7"/>
        <v>0</v>
      </c>
      <c r="AC14" s="199">
        <f t="shared" si="7"/>
        <v>0</v>
      </c>
      <c r="AD14" s="199">
        <f t="shared" si="7"/>
        <v>0</v>
      </c>
      <c r="AE14" s="199">
        <f t="shared" si="7"/>
        <v>0</v>
      </c>
      <c r="AF14" s="199">
        <f t="shared" si="7"/>
        <v>0</v>
      </c>
      <c r="AG14" s="199">
        <f t="shared" si="7"/>
        <v>0</v>
      </c>
      <c r="AH14" s="199">
        <f t="shared" si="7"/>
        <v>0</v>
      </c>
      <c r="AI14" s="199">
        <f t="shared" si="7"/>
        <v>0</v>
      </c>
      <c r="AJ14" s="199">
        <f t="shared" si="7"/>
        <v>0</v>
      </c>
      <c r="AK14" s="199">
        <f t="shared" si="7"/>
        <v>0</v>
      </c>
      <c r="AL14" s="199">
        <f t="shared" si="7"/>
        <v>0</v>
      </c>
      <c r="AM14" s="199">
        <f t="shared" si="7"/>
        <v>0</v>
      </c>
      <c r="AN14" s="199">
        <f t="shared" si="7"/>
        <v>0</v>
      </c>
      <c r="AO14" s="199">
        <f t="shared" si="7"/>
        <v>0</v>
      </c>
      <c r="AP14" s="199">
        <f t="shared" si="7"/>
        <v>0</v>
      </c>
      <c r="AQ14" s="199">
        <f t="shared" si="7"/>
        <v>0</v>
      </c>
      <c r="AR14" s="199">
        <f t="shared" si="7"/>
        <v>0</v>
      </c>
      <c r="AS14" s="199"/>
      <c r="AT14" s="199"/>
      <c r="AU14" s="199"/>
      <c r="AV14" s="199"/>
      <c r="AW14" s="199"/>
      <c r="AX14" s="199"/>
      <c r="AY14" s="199"/>
      <c r="AZ14" s="199"/>
      <c r="BA14" s="199"/>
      <c r="BB14" s="199"/>
      <c r="BE14" s="283" t="s">
        <v>801</v>
      </c>
      <c r="BF14" s="358">
        <v>0.34</v>
      </c>
      <c r="BG14" s="280">
        <v>0.3</v>
      </c>
      <c r="BH14" s="280">
        <f>1/3</f>
        <v>0.33333333333333331</v>
      </c>
    </row>
    <row r="15" spans="1:60" ht="17.25" thickBot="1" x14ac:dyDescent="0.35">
      <c r="B15" t="s">
        <v>1298</v>
      </c>
      <c r="C15" t="s">
        <v>46</v>
      </c>
      <c r="D15" s="397">
        <v>1.171</v>
      </c>
      <c r="E15" s="397">
        <v>1.3480000000000001</v>
      </c>
      <c r="F15" s="397">
        <v>1.444</v>
      </c>
      <c r="G15" s="397">
        <v>1.421</v>
      </c>
      <c r="H15" s="397">
        <v>1.401</v>
      </c>
      <c r="I15" s="397">
        <v>1.23</v>
      </c>
      <c r="J15" s="397">
        <v>1.1339999999999999</v>
      </c>
      <c r="K15" s="397">
        <v>1.2210000000000001</v>
      </c>
      <c r="L15" s="397">
        <v>1.335</v>
      </c>
      <c r="M15" s="397">
        <v>1.3560000000000001</v>
      </c>
      <c r="N15" s="397">
        <v>1.2370000000000001</v>
      </c>
      <c r="O15" s="397">
        <v>1.4610000000000001</v>
      </c>
      <c r="P15" s="397">
        <v>1.956</v>
      </c>
      <c r="Q15" s="397">
        <v>1.712</v>
      </c>
      <c r="R15" s="198">
        <f t="shared" ref="R15:BB15" si="8">IF($B$4=$B$13,SUM(R11,R13,R14),SUM(R11,R12,R14))</f>
        <v>1.3871833239977467</v>
      </c>
      <c r="S15" s="198">
        <f t="shared" si="8"/>
        <v>1.3975222937963672</v>
      </c>
      <c r="T15" s="198">
        <f t="shared" si="8"/>
        <v>1.4156263533399864</v>
      </c>
      <c r="U15" s="198">
        <f t="shared" si="8"/>
        <v>1.4298600112157636</v>
      </c>
      <c r="V15" s="198">
        <f t="shared" si="8"/>
        <v>1.4447795767887501</v>
      </c>
      <c r="W15" s="198">
        <f t="shared" si="8"/>
        <v>1.4578436352072086</v>
      </c>
      <c r="X15" s="198">
        <f t="shared" si="8"/>
        <v>1.4717348606549492</v>
      </c>
      <c r="Y15" s="198">
        <f t="shared" si="8"/>
        <v>1.4818320846933783</v>
      </c>
      <c r="Z15" s="198">
        <f t="shared" si="8"/>
        <v>1.4928092772603481</v>
      </c>
      <c r="AA15" s="198">
        <f t="shared" si="8"/>
        <v>1.5035001407106652</v>
      </c>
      <c r="AB15" s="198">
        <f t="shared" si="8"/>
        <v>1.5150589648143935</v>
      </c>
      <c r="AC15" s="198">
        <f t="shared" si="8"/>
        <v>1.5281623495347678</v>
      </c>
      <c r="AD15" s="198">
        <f t="shared" si="8"/>
        <v>1.5431647032727074</v>
      </c>
      <c r="AE15" s="198">
        <f t="shared" si="8"/>
        <v>1.5585538811299227</v>
      </c>
      <c r="AF15" s="198">
        <f t="shared" si="8"/>
        <v>1.5773065420874386</v>
      </c>
      <c r="AG15" s="198">
        <f t="shared" si="8"/>
        <v>1.6024510118009232</v>
      </c>
      <c r="AH15" s="198">
        <f t="shared" si="8"/>
        <v>1.6279981738119651</v>
      </c>
      <c r="AI15" s="198">
        <f t="shared" si="8"/>
        <v>1.6442389702067981</v>
      </c>
      <c r="AJ15" s="198">
        <f t="shared" si="8"/>
        <v>1.6604836445091877</v>
      </c>
      <c r="AK15" s="198">
        <f t="shared" si="8"/>
        <v>1.6767318822941975</v>
      </c>
      <c r="AL15" s="198">
        <f t="shared" si="8"/>
        <v>1.6929834022342509</v>
      </c>
      <c r="AM15" s="198">
        <f t="shared" si="8"/>
        <v>1.7092379518558813</v>
      </c>
      <c r="AN15" s="198">
        <f t="shared" si="8"/>
        <v>1.7254953039329797</v>
      </c>
      <c r="AO15" s="198">
        <f t="shared" si="8"/>
        <v>1.7417552534078224</v>
      </c>
      <c r="AP15" s="198">
        <f t="shared" si="8"/>
        <v>1.7580176147519921</v>
      </c>
      <c r="AQ15" s="198">
        <f t="shared" si="8"/>
        <v>1.7742822196955497</v>
      </c>
      <c r="AR15" s="198">
        <f t="shared" si="8"/>
        <v>1.7825993965767979</v>
      </c>
      <c r="AS15" s="198">
        <f t="shared" si="8"/>
        <v>0</v>
      </c>
      <c r="AT15" s="198">
        <f t="shared" si="8"/>
        <v>0</v>
      </c>
      <c r="AU15" s="198">
        <f t="shared" si="8"/>
        <v>0</v>
      </c>
      <c r="AV15" s="198">
        <f t="shared" si="8"/>
        <v>0</v>
      </c>
      <c r="AW15" s="198">
        <f t="shared" si="8"/>
        <v>0</v>
      </c>
      <c r="AX15" s="198">
        <f t="shared" si="8"/>
        <v>0</v>
      </c>
      <c r="AY15" s="198">
        <f t="shared" si="8"/>
        <v>0</v>
      </c>
      <c r="AZ15" s="198">
        <f t="shared" si="8"/>
        <v>0</v>
      </c>
      <c r="BA15" s="198">
        <f t="shared" si="8"/>
        <v>0</v>
      </c>
      <c r="BB15" s="198">
        <f t="shared" si="8"/>
        <v>0</v>
      </c>
      <c r="BE15" s="283" t="s">
        <v>802</v>
      </c>
      <c r="BF15" s="283">
        <v>0.63</v>
      </c>
      <c r="BG15" s="280">
        <v>0.1</v>
      </c>
      <c r="BH15" s="280">
        <v>0</v>
      </c>
    </row>
    <row r="16" spans="1:60" ht="16.5" x14ac:dyDescent="0.3">
      <c r="A16" t="s">
        <v>246</v>
      </c>
      <c r="B16" t="s">
        <v>1103</v>
      </c>
      <c r="C16" t="s">
        <v>141</v>
      </c>
      <c r="E16" s="199"/>
      <c r="F16" s="199"/>
      <c r="G16" s="199"/>
      <c r="H16" s="199"/>
      <c r="I16" s="199" cm="1">
        <f t="array" ref="I16:X16">TRANSPOSE(E126:E141)</f>
        <v>4.4296871474265996E-2</v>
      </c>
      <c r="J16" s="199">
        <v>3.66203354371753E-2</v>
      </c>
      <c r="K16" s="199">
        <v>4.1997518024055505E-2</v>
      </c>
      <c r="L16" s="199">
        <v>5.4970389428663405E-2</v>
      </c>
      <c r="M16" s="199">
        <v>4.2549427401022098E-2</v>
      </c>
      <c r="N16" s="199">
        <v>3.3162525094222704E-2</v>
      </c>
      <c r="O16" s="199">
        <v>0.10262999534606899</v>
      </c>
      <c r="P16" s="199">
        <v>0.12281230806732149</v>
      </c>
      <c r="Q16" s="199">
        <v>0.142994620788574</v>
      </c>
      <c r="R16" s="199">
        <v>0.104235310335159</v>
      </c>
      <c r="S16" s="199">
        <v>9.2562276889800996E-2</v>
      </c>
      <c r="T16" s="199">
        <v>9.0863147468566899E-2</v>
      </c>
      <c r="U16" s="199">
        <v>8.8615733684539802E-2</v>
      </c>
      <c r="V16" s="199">
        <v>8.3053281309127799E-2</v>
      </c>
      <c r="W16" s="199">
        <v>7.8515442601203897E-2</v>
      </c>
      <c r="X16" s="199">
        <v>7.2787597889900205E-2</v>
      </c>
      <c r="Y16" s="199">
        <f>($AH$16-$X$16)/10+X16</f>
        <v>7.4208838100910182E-2</v>
      </c>
      <c r="Z16" s="199">
        <f t="shared" ref="Z16:AG16" si="9">($AH$16-$X$16)/10+Y16</f>
        <v>7.563007831192016E-2</v>
      </c>
      <c r="AA16" s="199">
        <f t="shared" si="9"/>
        <v>7.7051318522930137E-2</v>
      </c>
      <c r="AB16" s="199">
        <f t="shared" si="9"/>
        <v>7.8472558733940115E-2</v>
      </c>
      <c r="AC16" s="199">
        <f t="shared" si="9"/>
        <v>7.9893798944950092E-2</v>
      </c>
      <c r="AD16" s="199">
        <f t="shared" si="9"/>
        <v>8.131503915596007E-2</v>
      </c>
      <c r="AE16" s="199">
        <f t="shared" si="9"/>
        <v>8.2736279366970047E-2</v>
      </c>
      <c r="AF16" s="199">
        <f t="shared" si="9"/>
        <v>8.4157519577980025E-2</v>
      </c>
      <c r="AG16" s="199">
        <f t="shared" si="9"/>
        <v>8.5578759788990003E-2</v>
      </c>
      <c r="AH16" s="199">
        <f>E143</f>
        <v>8.6999999999999994E-2</v>
      </c>
      <c r="AI16" s="199">
        <f t="shared" ref="AI16:BA17" si="10">AH16</f>
        <v>8.6999999999999994E-2</v>
      </c>
      <c r="AJ16" s="199">
        <f t="shared" si="10"/>
        <v>8.6999999999999994E-2</v>
      </c>
      <c r="AK16" s="199">
        <f t="shared" si="10"/>
        <v>8.6999999999999994E-2</v>
      </c>
      <c r="AL16" s="199">
        <f t="shared" si="10"/>
        <v>8.6999999999999994E-2</v>
      </c>
      <c r="AM16" s="199">
        <f t="shared" si="10"/>
        <v>8.6999999999999994E-2</v>
      </c>
      <c r="AN16" s="199">
        <f t="shared" si="10"/>
        <v>8.6999999999999994E-2</v>
      </c>
      <c r="AO16" s="199">
        <f t="shared" si="10"/>
        <v>8.6999999999999994E-2</v>
      </c>
      <c r="AP16" s="199">
        <f t="shared" si="10"/>
        <v>8.6999999999999994E-2</v>
      </c>
      <c r="AQ16" s="199">
        <f t="shared" si="10"/>
        <v>8.6999999999999994E-2</v>
      </c>
      <c r="AR16" s="199">
        <f t="shared" si="10"/>
        <v>8.6999999999999994E-2</v>
      </c>
      <c r="AS16" s="199">
        <f t="shared" si="10"/>
        <v>8.6999999999999994E-2</v>
      </c>
      <c r="AT16" s="199">
        <f t="shared" si="10"/>
        <v>8.6999999999999994E-2</v>
      </c>
      <c r="AU16" s="199">
        <f t="shared" si="10"/>
        <v>8.6999999999999994E-2</v>
      </c>
      <c r="AV16" s="199">
        <f t="shared" si="10"/>
        <v>8.6999999999999994E-2</v>
      </c>
      <c r="AW16" s="199">
        <f t="shared" si="10"/>
        <v>8.6999999999999994E-2</v>
      </c>
      <c r="AX16" s="199">
        <f t="shared" si="10"/>
        <v>8.6999999999999994E-2</v>
      </c>
      <c r="AY16" s="199">
        <f t="shared" si="10"/>
        <v>8.6999999999999994E-2</v>
      </c>
      <c r="AZ16" s="199">
        <f t="shared" si="10"/>
        <v>8.6999999999999994E-2</v>
      </c>
      <c r="BA16" s="199">
        <f t="shared" si="10"/>
        <v>8.6999999999999994E-2</v>
      </c>
      <c r="BB16" s="199">
        <f>BA16</f>
        <v>8.6999999999999994E-2</v>
      </c>
      <c r="BE16" s="272"/>
      <c r="BF16" s="272"/>
      <c r="BG16" s="272">
        <f>SUMPRODUCT($BF$12:$BF$15,BG12:BG15)</f>
        <v>0.32100000000000001</v>
      </c>
      <c r="BH16" s="272">
        <f>SUMPRODUCT($BF$12:$BF$15,BH12:BH15)</f>
        <v>0.28666666666666668</v>
      </c>
    </row>
    <row r="17" spans="1:58" ht="16.5" x14ac:dyDescent="0.3">
      <c r="A17" t="s">
        <v>246</v>
      </c>
      <c r="B17" t="s">
        <v>1104</v>
      </c>
      <c r="C17" t="s">
        <v>141</v>
      </c>
      <c r="D17" s="199"/>
      <c r="E17" s="199"/>
      <c r="F17" s="199"/>
      <c r="G17" s="199"/>
      <c r="H17" s="199"/>
      <c r="I17" s="199"/>
      <c r="J17" s="199"/>
      <c r="K17" s="199">
        <v>0.1013</v>
      </c>
      <c r="L17" s="199">
        <v>0.10458000000000001</v>
      </c>
      <c r="M17" s="199">
        <v>9.8629999999999995E-2</v>
      </c>
      <c r="N17" s="199">
        <v>9.7699999999999995E-2</v>
      </c>
      <c r="O17" s="199">
        <v>9.4280000000000003E-2</v>
      </c>
      <c r="P17" s="199">
        <v>3.6790000000000003E-2</v>
      </c>
      <c r="Q17" s="199">
        <f>C159</f>
        <v>0.10879999999999999</v>
      </c>
      <c r="R17" s="664">
        <f>C159</f>
        <v>0.10879999999999999</v>
      </c>
      <c r="S17" s="199">
        <f t="shared" ref="S17:AD17" si="11">D159</f>
        <v>0.10213</v>
      </c>
      <c r="T17" s="199">
        <f t="shared" si="11"/>
        <v>9.2560000000000003E-2</v>
      </c>
      <c r="U17" s="199">
        <f t="shared" si="11"/>
        <v>8.8789999999999994E-2</v>
      </c>
      <c r="V17" s="199">
        <f t="shared" si="11"/>
        <v>8.1490000000000007E-2</v>
      </c>
      <c r="W17" s="199">
        <f t="shared" si="11"/>
        <v>7.8020000000000006E-2</v>
      </c>
      <c r="X17" s="199">
        <f t="shared" si="11"/>
        <v>8.0560000000000007E-2</v>
      </c>
      <c r="Y17" s="199">
        <f t="shared" si="11"/>
        <v>8.2199999999999995E-2</v>
      </c>
      <c r="Z17" s="199">
        <f t="shared" si="11"/>
        <v>8.3760000000000001E-2</v>
      </c>
      <c r="AA17" s="199">
        <f t="shared" si="11"/>
        <v>8.5339999999999999E-2</v>
      </c>
      <c r="AB17" s="199">
        <f t="shared" si="11"/>
        <v>8.7050000000000002E-2</v>
      </c>
      <c r="AC17" s="199">
        <f t="shared" si="11"/>
        <v>8.8789999999999994E-2</v>
      </c>
      <c r="AD17" s="199">
        <f t="shared" si="11"/>
        <v>9.0569999999999998E-2</v>
      </c>
      <c r="AE17" s="199">
        <f t="shared" ref="AE17" si="12">P159</f>
        <v>9.2380000000000004E-2</v>
      </c>
      <c r="AF17" s="199">
        <f t="shared" ref="AF17" si="13">Q159</f>
        <v>9.4229999999999994E-2</v>
      </c>
      <c r="AG17" s="199">
        <f t="shared" ref="AG17" si="14">R159</f>
        <v>9.6110000000000001E-2</v>
      </c>
      <c r="AH17" s="199">
        <f t="shared" ref="AH17" si="15">S159</f>
        <v>9.8030000000000006E-2</v>
      </c>
      <c r="AI17" s="199">
        <f t="shared" ref="AI17:AN17" si="16">AH17</f>
        <v>9.8030000000000006E-2</v>
      </c>
      <c r="AJ17" s="199">
        <f t="shared" si="16"/>
        <v>9.8030000000000006E-2</v>
      </c>
      <c r="AK17" s="199">
        <f t="shared" si="16"/>
        <v>9.8030000000000006E-2</v>
      </c>
      <c r="AL17" s="199">
        <f t="shared" si="16"/>
        <v>9.8030000000000006E-2</v>
      </c>
      <c r="AM17" s="199">
        <f t="shared" si="16"/>
        <v>9.8030000000000006E-2</v>
      </c>
      <c r="AN17" s="199">
        <f t="shared" si="16"/>
        <v>9.8030000000000006E-2</v>
      </c>
      <c r="AO17" s="199">
        <f t="shared" si="10"/>
        <v>9.8030000000000006E-2</v>
      </c>
      <c r="AP17" s="199">
        <f t="shared" si="10"/>
        <v>9.8030000000000006E-2</v>
      </c>
      <c r="AQ17" s="199">
        <f t="shared" si="10"/>
        <v>9.8030000000000006E-2</v>
      </c>
      <c r="AR17" s="199">
        <f t="shared" si="10"/>
        <v>9.8030000000000006E-2</v>
      </c>
      <c r="AS17" s="199">
        <f t="shared" si="10"/>
        <v>9.8030000000000006E-2</v>
      </c>
      <c r="AT17" s="199">
        <f t="shared" si="10"/>
        <v>9.8030000000000006E-2</v>
      </c>
      <c r="AU17" s="199">
        <f t="shared" si="10"/>
        <v>9.8030000000000006E-2</v>
      </c>
      <c r="AV17" s="199">
        <f t="shared" si="10"/>
        <v>9.8030000000000006E-2</v>
      </c>
      <c r="AW17" s="199">
        <f t="shared" si="10"/>
        <v>9.8030000000000006E-2</v>
      </c>
      <c r="AX17" s="199">
        <f t="shared" si="10"/>
        <v>9.8030000000000006E-2</v>
      </c>
      <c r="AY17" s="199">
        <f t="shared" si="10"/>
        <v>9.8030000000000006E-2</v>
      </c>
      <c r="AZ17" s="199">
        <f t="shared" si="10"/>
        <v>9.8030000000000006E-2</v>
      </c>
      <c r="BA17" s="199">
        <f t="shared" si="10"/>
        <v>9.8030000000000006E-2</v>
      </c>
      <c r="BB17" s="199">
        <f t="shared" ref="BB17" si="17">BA17</f>
        <v>9.8030000000000006E-2</v>
      </c>
    </row>
    <row r="18" spans="1:58" ht="16.5" x14ac:dyDescent="0.3">
      <c r="A18" t="s">
        <v>246</v>
      </c>
      <c r="B18" t="s">
        <v>1469</v>
      </c>
      <c r="C18" t="s">
        <v>141</v>
      </c>
      <c r="D18" s="199"/>
      <c r="E18" s="199"/>
      <c r="F18" s="199"/>
      <c r="G18" s="199"/>
      <c r="H18" s="199"/>
      <c r="I18" s="199"/>
      <c r="J18" s="199"/>
      <c r="K18" s="199">
        <f t="shared" ref="K18:BB18" si="18">SUM(K16:K17)*input_btw</f>
        <v>0</v>
      </c>
      <c r="L18" s="199">
        <f t="shared" si="18"/>
        <v>0</v>
      </c>
      <c r="M18" s="199">
        <f t="shared" si="18"/>
        <v>0</v>
      </c>
      <c r="N18" s="199">
        <f t="shared" si="18"/>
        <v>0</v>
      </c>
      <c r="O18" s="199">
        <f t="shared" si="18"/>
        <v>0</v>
      </c>
      <c r="P18" s="199">
        <f t="shared" si="18"/>
        <v>0</v>
      </c>
      <c r="Q18" s="199">
        <f t="shared" si="18"/>
        <v>0</v>
      </c>
      <c r="R18" s="199">
        <f t="shared" si="18"/>
        <v>0</v>
      </c>
      <c r="S18" s="199">
        <f t="shared" si="18"/>
        <v>0</v>
      </c>
      <c r="T18" s="199">
        <f t="shared" si="18"/>
        <v>0</v>
      </c>
      <c r="U18" s="199">
        <f t="shared" si="18"/>
        <v>0</v>
      </c>
      <c r="V18" s="199">
        <f t="shared" si="18"/>
        <v>0</v>
      </c>
      <c r="W18" s="199">
        <f t="shared" si="18"/>
        <v>0</v>
      </c>
      <c r="X18" s="199">
        <f t="shared" si="18"/>
        <v>0</v>
      </c>
      <c r="Y18" s="199">
        <f t="shared" si="18"/>
        <v>0</v>
      </c>
      <c r="Z18" s="199">
        <f t="shared" si="18"/>
        <v>0</v>
      </c>
      <c r="AA18" s="199">
        <f t="shared" si="18"/>
        <v>0</v>
      </c>
      <c r="AB18" s="199">
        <f t="shared" si="18"/>
        <v>0</v>
      </c>
      <c r="AC18" s="199">
        <f t="shared" si="18"/>
        <v>0</v>
      </c>
      <c r="AD18" s="199">
        <f t="shared" si="18"/>
        <v>0</v>
      </c>
      <c r="AE18" s="199">
        <f t="shared" si="18"/>
        <v>0</v>
      </c>
      <c r="AF18" s="199">
        <f t="shared" si="18"/>
        <v>0</v>
      </c>
      <c r="AG18" s="199">
        <f t="shared" si="18"/>
        <v>0</v>
      </c>
      <c r="AH18" s="199">
        <f t="shared" si="18"/>
        <v>0</v>
      </c>
      <c r="AI18" s="199">
        <f t="shared" si="18"/>
        <v>0</v>
      </c>
      <c r="AJ18" s="199">
        <f t="shared" si="18"/>
        <v>0</v>
      </c>
      <c r="AK18" s="199">
        <f t="shared" si="18"/>
        <v>0</v>
      </c>
      <c r="AL18" s="199">
        <f t="shared" si="18"/>
        <v>0</v>
      </c>
      <c r="AM18" s="199">
        <f t="shared" si="18"/>
        <v>0</v>
      </c>
      <c r="AN18" s="199">
        <f t="shared" si="18"/>
        <v>0</v>
      </c>
      <c r="AO18" s="199">
        <f t="shared" si="18"/>
        <v>0</v>
      </c>
      <c r="AP18" s="199">
        <f t="shared" si="18"/>
        <v>0</v>
      </c>
      <c r="AQ18" s="199">
        <f t="shared" si="18"/>
        <v>0</v>
      </c>
      <c r="AR18" s="199">
        <f t="shared" si="18"/>
        <v>0</v>
      </c>
      <c r="AS18" s="199">
        <f t="shared" si="18"/>
        <v>0</v>
      </c>
      <c r="AT18" s="199">
        <f t="shared" si="18"/>
        <v>0</v>
      </c>
      <c r="AU18" s="199">
        <f t="shared" si="18"/>
        <v>0</v>
      </c>
      <c r="AV18" s="199">
        <f t="shared" si="18"/>
        <v>0</v>
      </c>
      <c r="AW18" s="199">
        <f t="shared" si="18"/>
        <v>0</v>
      </c>
      <c r="AX18" s="199">
        <f t="shared" si="18"/>
        <v>0</v>
      </c>
      <c r="AY18" s="199">
        <f t="shared" si="18"/>
        <v>0</v>
      </c>
      <c r="AZ18" s="199">
        <f t="shared" si="18"/>
        <v>0</v>
      </c>
      <c r="BA18" s="199">
        <f t="shared" si="18"/>
        <v>0</v>
      </c>
      <c r="BB18" s="199">
        <f t="shared" si="18"/>
        <v>0</v>
      </c>
    </row>
    <row r="19" spans="1:58" ht="16.5" x14ac:dyDescent="0.3">
      <c r="A19" t="s">
        <v>246</v>
      </c>
      <c r="B19" t="s">
        <v>1105</v>
      </c>
      <c r="C19" t="s">
        <v>141</v>
      </c>
      <c r="D19" s="198">
        <v>0.17799999999999999</v>
      </c>
      <c r="E19" s="198">
        <v>0.18</v>
      </c>
      <c r="F19" s="198">
        <v>0.186</v>
      </c>
      <c r="G19" s="198">
        <v>0.19</v>
      </c>
      <c r="H19" s="198">
        <v>0.182</v>
      </c>
      <c r="I19" s="198">
        <v>0.192</v>
      </c>
      <c r="J19" s="198">
        <v>0.161</v>
      </c>
      <c r="K19" s="198">
        <f>SUM(K16:K18)</f>
        <v>0.14329751802405549</v>
      </c>
      <c r="L19" s="198">
        <f>SUM(L16:L18)</f>
        <v>0.1595503894286634</v>
      </c>
      <c r="M19" s="198">
        <f t="shared" ref="M19:R19" si="19">SUM(M16:M18)</f>
        <v>0.1411794274010221</v>
      </c>
      <c r="N19" s="198">
        <f t="shared" si="19"/>
        <v>0.13086252509422269</v>
      </c>
      <c r="O19" s="198">
        <f t="shared" si="19"/>
        <v>0.19690999534606901</v>
      </c>
      <c r="P19" s="198">
        <f>SUM(P16:P18)</f>
        <v>0.15960230806732151</v>
      </c>
      <c r="Q19" s="198">
        <f t="shared" si="19"/>
        <v>0.25179462078857401</v>
      </c>
      <c r="R19" s="198">
        <f t="shared" si="19"/>
        <v>0.21303531033515899</v>
      </c>
      <c r="S19" s="198">
        <f t="shared" ref="S19" si="20">SUM(S16:S18)</f>
        <v>0.19469227688980101</v>
      </c>
      <c r="T19" s="198">
        <f t="shared" ref="T19" si="21">SUM(T16:T18)</f>
        <v>0.18342314746856692</v>
      </c>
      <c r="U19" s="198">
        <f t="shared" ref="U19" si="22">SUM(U16:U18)</f>
        <v>0.1774057336845398</v>
      </c>
      <c r="V19" s="198">
        <f t="shared" ref="V19" si="23">SUM(V16:V18)</f>
        <v>0.16454328130912782</v>
      </c>
      <c r="W19" s="198">
        <f t="shared" ref="W19" si="24">SUM(W16:W18)</f>
        <v>0.15653544260120389</v>
      </c>
      <c r="X19" s="198">
        <f>SUM(X16:X18)</f>
        <v>0.15334759788990021</v>
      </c>
      <c r="Y19" s="198">
        <f>X19</f>
        <v>0.15334759788990021</v>
      </c>
      <c r="Z19" s="198">
        <f t="shared" ref="Z19:BB20" si="25">Y19</f>
        <v>0.15334759788990021</v>
      </c>
      <c r="AA19" s="198">
        <f t="shared" si="25"/>
        <v>0.15334759788990021</v>
      </c>
      <c r="AB19" s="198">
        <f t="shared" si="25"/>
        <v>0.15334759788990021</v>
      </c>
      <c r="AC19" s="198">
        <f t="shared" si="25"/>
        <v>0.15334759788990021</v>
      </c>
      <c r="AD19" s="198">
        <f t="shared" si="25"/>
        <v>0.15334759788990021</v>
      </c>
      <c r="AE19" s="198">
        <f t="shared" si="25"/>
        <v>0.15334759788990021</v>
      </c>
      <c r="AF19" s="198">
        <f t="shared" si="25"/>
        <v>0.15334759788990021</v>
      </c>
      <c r="AG19" s="198">
        <f t="shared" si="25"/>
        <v>0.15334759788990021</v>
      </c>
      <c r="AH19" s="198">
        <f t="shared" si="25"/>
        <v>0.15334759788990021</v>
      </c>
      <c r="AI19" s="198">
        <f t="shared" si="25"/>
        <v>0.15334759788990021</v>
      </c>
      <c r="AJ19" s="198">
        <f t="shared" si="25"/>
        <v>0.15334759788990021</v>
      </c>
      <c r="AK19" s="198">
        <f t="shared" si="25"/>
        <v>0.15334759788990021</v>
      </c>
      <c r="AL19" s="198">
        <f t="shared" si="25"/>
        <v>0.15334759788990021</v>
      </c>
      <c r="AM19" s="198">
        <f t="shared" si="25"/>
        <v>0.15334759788990021</v>
      </c>
      <c r="AN19" s="198">
        <f t="shared" si="25"/>
        <v>0.15334759788990021</v>
      </c>
      <c r="AO19" s="198">
        <f t="shared" si="25"/>
        <v>0.15334759788990021</v>
      </c>
      <c r="AP19" s="198">
        <f t="shared" si="25"/>
        <v>0.15334759788990021</v>
      </c>
      <c r="AQ19" s="198">
        <f t="shared" si="25"/>
        <v>0.15334759788990021</v>
      </c>
      <c r="AR19" s="198">
        <f t="shared" si="25"/>
        <v>0.15334759788990021</v>
      </c>
      <c r="AS19" s="198">
        <f t="shared" si="25"/>
        <v>0.15334759788990021</v>
      </c>
      <c r="AT19" s="198">
        <f t="shared" si="25"/>
        <v>0.15334759788990021</v>
      </c>
      <c r="AU19" s="198">
        <f t="shared" si="25"/>
        <v>0.15334759788990021</v>
      </c>
      <c r="AV19" s="198">
        <f t="shared" si="25"/>
        <v>0.15334759788990021</v>
      </c>
      <c r="AW19" s="198">
        <f t="shared" si="25"/>
        <v>0.15334759788990021</v>
      </c>
      <c r="AX19" s="198">
        <f t="shared" si="25"/>
        <v>0.15334759788990021</v>
      </c>
      <c r="AY19" s="198">
        <f t="shared" si="25"/>
        <v>0.15334759788990021</v>
      </c>
      <c r="AZ19" s="198">
        <f t="shared" si="25"/>
        <v>0.15334759788990021</v>
      </c>
      <c r="BA19" s="198">
        <f t="shared" si="25"/>
        <v>0.15334759788990021</v>
      </c>
      <c r="BB19" s="198">
        <f t="shared" si="25"/>
        <v>0.15334759788990021</v>
      </c>
    </row>
    <row r="20" spans="1:58" ht="19.5" thickBot="1" x14ac:dyDescent="0.35">
      <c r="A20" t="s">
        <v>801</v>
      </c>
      <c r="B20" t="s">
        <v>1473</v>
      </c>
      <c r="C20" t="s">
        <v>141</v>
      </c>
      <c r="D20" s="303">
        <f t="shared" ref="D20:H22" si="26">E20</f>
        <v>25.09090909090909</v>
      </c>
      <c r="E20" s="303">
        <f t="shared" si="26"/>
        <v>25.09090909090909</v>
      </c>
      <c r="F20" s="303">
        <f t="shared" si="26"/>
        <v>25.09090909090909</v>
      </c>
      <c r="G20" s="303">
        <f t="shared" si="26"/>
        <v>25.09090909090909</v>
      </c>
      <c r="H20" s="303">
        <f t="shared" si="26"/>
        <v>25.09090909090909</v>
      </c>
      <c r="I20" s="305">
        <f>+BF23*12</f>
        <v>25.09090909090909</v>
      </c>
      <c r="J20" s="193">
        <f t="shared" ref="J20:N20" si="27">I20</f>
        <v>25.09090909090909</v>
      </c>
      <c r="K20" s="193">
        <f t="shared" si="27"/>
        <v>25.09090909090909</v>
      </c>
      <c r="L20" s="193">
        <f t="shared" si="27"/>
        <v>25.09090909090909</v>
      </c>
      <c r="M20" s="193">
        <f>L20</f>
        <v>25.09090909090909</v>
      </c>
      <c r="N20" s="193">
        <f t="shared" si="27"/>
        <v>25.09090909090909</v>
      </c>
      <c r="O20" s="193">
        <f>N20</f>
        <v>25.09090909090909</v>
      </c>
      <c r="P20" s="194">
        <f>36*(1+input_btw)</f>
        <v>36</v>
      </c>
      <c r="Q20" s="193">
        <f>P20</f>
        <v>36</v>
      </c>
      <c r="R20" s="193">
        <f t="shared" ref="R20:Y20" si="28">Q20</f>
        <v>36</v>
      </c>
      <c r="S20" s="193">
        <f t="shared" si="28"/>
        <v>36</v>
      </c>
      <c r="T20" s="193">
        <f t="shared" si="28"/>
        <v>36</v>
      </c>
      <c r="U20" s="193">
        <f t="shared" si="28"/>
        <v>36</v>
      </c>
      <c r="V20" s="193">
        <f t="shared" si="28"/>
        <v>36</v>
      </c>
      <c r="W20" s="193">
        <f t="shared" si="28"/>
        <v>36</v>
      </c>
      <c r="X20" s="193">
        <f t="shared" si="28"/>
        <v>36</v>
      </c>
      <c r="Y20" s="193">
        <f t="shared" si="28"/>
        <v>36</v>
      </c>
      <c r="Z20" s="193">
        <f t="shared" si="25"/>
        <v>36</v>
      </c>
      <c r="AA20" s="193">
        <f t="shared" si="25"/>
        <v>36</v>
      </c>
      <c r="AB20" s="193">
        <f t="shared" si="25"/>
        <v>36</v>
      </c>
      <c r="AC20" s="193">
        <f t="shared" si="25"/>
        <v>36</v>
      </c>
      <c r="AD20" s="193">
        <f t="shared" si="25"/>
        <v>36</v>
      </c>
      <c r="AE20" s="193">
        <f t="shared" si="25"/>
        <v>36</v>
      </c>
      <c r="AF20" s="193">
        <f t="shared" si="25"/>
        <v>36</v>
      </c>
      <c r="AG20" s="193">
        <f t="shared" si="25"/>
        <v>36</v>
      </c>
      <c r="AH20" s="193">
        <f t="shared" si="25"/>
        <v>36</v>
      </c>
      <c r="AI20" s="193">
        <f t="shared" si="25"/>
        <v>36</v>
      </c>
      <c r="AJ20" s="193">
        <f t="shared" si="25"/>
        <v>36</v>
      </c>
      <c r="AK20" s="193">
        <f t="shared" si="25"/>
        <v>36</v>
      </c>
      <c r="AL20" s="193">
        <f t="shared" si="25"/>
        <v>36</v>
      </c>
      <c r="AM20" s="193">
        <f t="shared" si="25"/>
        <v>36</v>
      </c>
      <c r="AN20" s="193">
        <f t="shared" si="25"/>
        <v>36</v>
      </c>
      <c r="AO20" s="193">
        <f t="shared" si="25"/>
        <v>36</v>
      </c>
      <c r="AP20" s="193">
        <f t="shared" si="25"/>
        <v>36</v>
      </c>
      <c r="AQ20" s="193">
        <f t="shared" si="25"/>
        <v>36</v>
      </c>
      <c r="AR20" s="193">
        <f t="shared" si="25"/>
        <v>36</v>
      </c>
      <c r="AS20" s="193">
        <f t="shared" si="25"/>
        <v>36</v>
      </c>
      <c r="AT20" s="193">
        <f t="shared" si="25"/>
        <v>36</v>
      </c>
      <c r="AU20" s="193">
        <f t="shared" si="25"/>
        <v>36</v>
      </c>
      <c r="AV20" s="193">
        <f t="shared" si="25"/>
        <v>36</v>
      </c>
      <c r="AW20" s="193">
        <f t="shared" si="25"/>
        <v>36</v>
      </c>
      <c r="AX20" s="193">
        <f t="shared" si="25"/>
        <v>36</v>
      </c>
      <c r="AY20" s="193">
        <f t="shared" si="25"/>
        <v>36</v>
      </c>
      <c r="AZ20" s="193">
        <f t="shared" si="25"/>
        <v>36</v>
      </c>
      <c r="BA20" s="193">
        <f t="shared" si="25"/>
        <v>36</v>
      </c>
      <c r="BB20" s="193">
        <f t="shared" si="25"/>
        <v>36</v>
      </c>
      <c r="BE20" s="90" t="s">
        <v>256</v>
      </c>
    </row>
    <row r="21" spans="1:58" ht="16.5" x14ac:dyDescent="0.3">
      <c r="A21" t="s">
        <v>801</v>
      </c>
      <c r="B21" t="s">
        <v>248</v>
      </c>
      <c r="C21" t="s">
        <v>141</v>
      </c>
      <c r="D21" s="303">
        <f t="shared" si="26"/>
        <v>0.32196969696969691</v>
      </c>
      <c r="E21" s="303">
        <f t="shared" si="26"/>
        <v>0.32196969696969691</v>
      </c>
      <c r="F21" s="303">
        <f t="shared" si="26"/>
        <v>0.32196969696969691</v>
      </c>
      <c r="G21" s="303">
        <f t="shared" si="26"/>
        <v>0.32196969696969691</v>
      </c>
      <c r="H21" s="303">
        <f t="shared" si="26"/>
        <v>0.32196969696969691</v>
      </c>
      <c r="I21" s="305">
        <f>+BF24</f>
        <v>0.32196969696969691</v>
      </c>
      <c r="J21" s="193">
        <f t="shared" ref="J21:O21" si="29">I21</f>
        <v>0.32196969696969691</v>
      </c>
      <c r="K21" s="193">
        <f t="shared" si="29"/>
        <v>0.32196969696969691</v>
      </c>
      <c r="L21" s="193">
        <f t="shared" si="29"/>
        <v>0.32196969696969691</v>
      </c>
      <c r="M21" s="193">
        <f>L21</f>
        <v>0.32196969696969691</v>
      </c>
      <c r="N21" s="193">
        <f t="shared" si="29"/>
        <v>0.32196969696969691</v>
      </c>
      <c r="O21" s="193">
        <f t="shared" si="29"/>
        <v>0.32196969696969691</v>
      </c>
      <c r="P21" s="194">
        <v>0.36</v>
      </c>
      <c r="Q21" s="193">
        <f>$P21*Q$16/$P$16</f>
        <v>0.41916045951736475</v>
      </c>
      <c r="R21" s="193">
        <f>$P21*R$16/$P$16</f>
        <v>0.30554520398792179</v>
      </c>
      <c r="S21" s="193">
        <f t="shared" ref="S21:BB22" si="30">$P21*S$16/$P$16</f>
        <v>0.27132801430669434</v>
      </c>
      <c r="T21" s="193">
        <f t="shared" si="30"/>
        <v>0.2663473523415355</v>
      </c>
      <c r="U21" s="193">
        <f t="shared" si="30"/>
        <v>0.25975950316760538</v>
      </c>
      <c r="V21" s="193">
        <f t="shared" si="30"/>
        <v>0.24345427377601522</v>
      </c>
      <c r="W21" s="193">
        <f t="shared" si="30"/>
        <v>0.23015249677531663</v>
      </c>
      <c r="X21" s="193">
        <f t="shared" si="30"/>
        <v>0.21336245245061428</v>
      </c>
      <c r="Y21" s="193">
        <f t="shared" si="30"/>
        <v>0.21752853713720061</v>
      </c>
      <c r="Z21" s="193">
        <f t="shared" si="30"/>
        <v>0.22169462182378696</v>
      </c>
      <c r="AA21" s="193">
        <f t="shared" si="30"/>
        <v>0.22586070651037329</v>
      </c>
      <c r="AB21" s="193">
        <f t="shared" si="30"/>
        <v>0.23002679119695962</v>
      </c>
      <c r="AC21" s="193">
        <f t="shared" si="30"/>
        <v>0.23419287588354595</v>
      </c>
      <c r="AD21" s="193">
        <f t="shared" si="30"/>
        <v>0.23835896057013228</v>
      </c>
      <c r="AE21" s="193">
        <f t="shared" si="30"/>
        <v>0.24252504525671864</v>
      </c>
      <c r="AF21" s="193">
        <f t="shared" si="30"/>
        <v>0.24669112994330497</v>
      </c>
      <c r="AG21" s="193">
        <f t="shared" si="30"/>
        <v>0.2508572146298913</v>
      </c>
      <c r="AH21" s="193">
        <f t="shared" si="30"/>
        <v>0.25502329931647766</v>
      </c>
      <c r="AI21" s="193">
        <f t="shared" si="30"/>
        <v>0.25502329931647766</v>
      </c>
      <c r="AJ21" s="193">
        <f t="shared" si="30"/>
        <v>0.25502329931647766</v>
      </c>
      <c r="AK21" s="193">
        <f t="shared" si="30"/>
        <v>0.25502329931647766</v>
      </c>
      <c r="AL21" s="193">
        <f t="shared" si="30"/>
        <v>0.25502329931647766</v>
      </c>
      <c r="AM21" s="193">
        <f t="shared" si="30"/>
        <v>0.25502329931647766</v>
      </c>
      <c r="AN21" s="193">
        <f t="shared" si="30"/>
        <v>0.25502329931647766</v>
      </c>
      <c r="AO21" s="193">
        <f t="shared" si="30"/>
        <v>0.25502329931647766</v>
      </c>
      <c r="AP21" s="193">
        <f t="shared" si="30"/>
        <v>0.25502329931647766</v>
      </c>
      <c r="AQ21" s="193">
        <f t="shared" si="30"/>
        <v>0.25502329931647766</v>
      </c>
      <c r="AR21" s="193">
        <f t="shared" si="30"/>
        <v>0.25502329931647766</v>
      </c>
      <c r="AS21" s="193">
        <f t="shared" si="30"/>
        <v>0.25502329931647766</v>
      </c>
      <c r="AT21" s="193">
        <f t="shared" si="30"/>
        <v>0.25502329931647766</v>
      </c>
      <c r="AU21" s="193">
        <f t="shared" si="30"/>
        <v>0.25502329931647766</v>
      </c>
      <c r="AV21" s="193">
        <f t="shared" si="30"/>
        <v>0.25502329931647766</v>
      </c>
      <c r="AW21" s="193">
        <f t="shared" si="30"/>
        <v>0.25502329931647766</v>
      </c>
      <c r="AX21" s="193">
        <f t="shared" si="30"/>
        <v>0.25502329931647766</v>
      </c>
      <c r="AY21" s="193">
        <f t="shared" si="30"/>
        <v>0.25502329931647766</v>
      </c>
      <c r="AZ21" s="193">
        <f t="shared" si="30"/>
        <v>0.25502329931647766</v>
      </c>
      <c r="BA21" s="193">
        <f t="shared" si="30"/>
        <v>0.25502329931647766</v>
      </c>
      <c r="BB21" s="193">
        <f t="shared" si="30"/>
        <v>0.25502329931647766</v>
      </c>
      <c r="BE21" s="187" t="s">
        <v>250</v>
      </c>
      <c r="BF21" s="113" t="s">
        <v>251</v>
      </c>
    </row>
    <row r="22" spans="1:58" ht="16.5" x14ac:dyDescent="0.3">
      <c r="A22" t="s">
        <v>801</v>
      </c>
      <c r="B22" t="s">
        <v>249</v>
      </c>
      <c r="C22" t="s">
        <v>141</v>
      </c>
      <c r="D22" s="303">
        <f t="shared" si="26"/>
        <v>0.26442249546462404</v>
      </c>
      <c r="E22" s="303">
        <f t="shared" si="26"/>
        <v>0.26442249546462404</v>
      </c>
      <c r="F22" s="303">
        <f t="shared" si="26"/>
        <v>0.26442249546462404</v>
      </c>
      <c r="G22" s="303">
        <f t="shared" si="26"/>
        <v>0.26442249546462404</v>
      </c>
      <c r="H22" s="303">
        <f t="shared" si="26"/>
        <v>0.26442249546462404</v>
      </c>
      <c r="I22" s="305">
        <f>+BF25</f>
        <v>0.26442249546462404</v>
      </c>
      <c r="J22" s="193">
        <f t="shared" ref="J22:X24" si="31">I22</f>
        <v>0.26442249546462404</v>
      </c>
      <c r="K22" s="193">
        <f t="shared" si="31"/>
        <v>0.26442249546462404</v>
      </c>
      <c r="L22" s="193">
        <f t="shared" si="31"/>
        <v>0.26442249546462404</v>
      </c>
      <c r="M22" s="193">
        <f>L22</f>
        <v>0.26442249546462404</v>
      </c>
      <c r="N22" s="193">
        <f t="shared" si="31"/>
        <v>0.26442249546462404</v>
      </c>
      <c r="O22" s="193">
        <f t="shared" si="31"/>
        <v>0.26442249546462404</v>
      </c>
      <c r="P22" s="194">
        <v>0.4</v>
      </c>
      <c r="Q22" s="193">
        <f>$P22*Q$16/$P$16</f>
        <v>0.46573384390818306</v>
      </c>
      <c r="R22" s="193">
        <f>$P22*R$16/$P$16</f>
        <v>0.33949467109769088</v>
      </c>
      <c r="S22" s="193">
        <f t="shared" si="30"/>
        <v>0.30147557145188258</v>
      </c>
      <c r="T22" s="193">
        <f t="shared" si="30"/>
        <v>0.29594150260170615</v>
      </c>
      <c r="U22" s="193">
        <f t="shared" si="30"/>
        <v>0.28862167018622825</v>
      </c>
      <c r="V22" s="193">
        <f t="shared" si="30"/>
        <v>0.27050474864001689</v>
      </c>
      <c r="W22" s="193">
        <f t="shared" si="30"/>
        <v>0.25572499641701851</v>
      </c>
      <c r="X22" s="193">
        <f t="shared" si="30"/>
        <v>0.23706939161179366</v>
      </c>
      <c r="Y22" s="193">
        <f t="shared" si="30"/>
        <v>0.24169837459688956</v>
      </c>
      <c r="Z22" s="193">
        <f t="shared" si="30"/>
        <v>0.24632735758198551</v>
      </c>
      <c r="AA22" s="193">
        <f t="shared" si="30"/>
        <v>0.25095634056708144</v>
      </c>
      <c r="AB22" s="193">
        <f t="shared" si="30"/>
        <v>0.25558532355217739</v>
      </c>
      <c r="AC22" s="193">
        <f t="shared" si="30"/>
        <v>0.26021430653727329</v>
      </c>
      <c r="AD22" s="193">
        <f t="shared" si="30"/>
        <v>0.26484328952236924</v>
      </c>
      <c r="AE22" s="193">
        <f t="shared" si="30"/>
        <v>0.26947227250746519</v>
      </c>
      <c r="AF22" s="193">
        <f t="shared" si="30"/>
        <v>0.27410125549256109</v>
      </c>
      <c r="AG22" s="193">
        <f t="shared" si="30"/>
        <v>0.27873023847765704</v>
      </c>
      <c r="AH22" s="193">
        <f t="shared" si="30"/>
        <v>0.283359221462753</v>
      </c>
      <c r="AI22" s="193">
        <f t="shared" si="30"/>
        <v>0.283359221462753</v>
      </c>
      <c r="AJ22" s="193">
        <f t="shared" si="30"/>
        <v>0.283359221462753</v>
      </c>
      <c r="AK22" s="193">
        <f t="shared" si="30"/>
        <v>0.283359221462753</v>
      </c>
      <c r="AL22" s="193">
        <f t="shared" si="30"/>
        <v>0.283359221462753</v>
      </c>
      <c r="AM22" s="193">
        <f t="shared" si="30"/>
        <v>0.283359221462753</v>
      </c>
      <c r="AN22" s="193">
        <f t="shared" si="30"/>
        <v>0.283359221462753</v>
      </c>
      <c r="AO22" s="193">
        <f t="shared" si="30"/>
        <v>0.283359221462753</v>
      </c>
      <c r="AP22" s="193">
        <f t="shared" si="30"/>
        <v>0.283359221462753</v>
      </c>
      <c r="AQ22" s="193">
        <f t="shared" si="30"/>
        <v>0.283359221462753</v>
      </c>
      <c r="AR22" s="193">
        <f t="shared" si="30"/>
        <v>0.283359221462753</v>
      </c>
      <c r="AS22" s="193">
        <f t="shared" si="30"/>
        <v>0.283359221462753</v>
      </c>
      <c r="AT22" s="193">
        <f t="shared" si="30"/>
        <v>0.283359221462753</v>
      </c>
      <c r="AU22" s="193">
        <f t="shared" si="30"/>
        <v>0.283359221462753</v>
      </c>
      <c r="AV22" s="193">
        <f t="shared" si="30"/>
        <v>0.283359221462753</v>
      </c>
      <c r="AW22" s="193">
        <f t="shared" si="30"/>
        <v>0.283359221462753</v>
      </c>
      <c r="AX22" s="193">
        <f t="shared" si="30"/>
        <v>0.283359221462753</v>
      </c>
      <c r="AY22" s="193">
        <f t="shared" si="30"/>
        <v>0.283359221462753</v>
      </c>
      <c r="AZ22" s="193">
        <f t="shared" si="30"/>
        <v>0.283359221462753</v>
      </c>
      <c r="BA22" s="193">
        <f t="shared" si="30"/>
        <v>0.283359221462753</v>
      </c>
      <c r="BB22" s="193">
        <f t="shared" si="30"/>
        <v>0.283359221462753</v>
      </c>
      <c r="BE22" s="188" t="s">
        <v>252</v>
      </c>
      <c r="BF22" s="189">
        <v>2.2539444027047333</v>
      </c>
    </row>
    <row r="23" spans="1:58" ht="16.5" x14ac:dyDescent="0.3">
      <c r="A23" t="s">
        <v>801</v>
      </c>
      <c r="B23" t="s">
        <v>1099</v>
      </c>
      <c r="C23" t="s">
        <v>141</v>
      </c>
      <c r="D23" s="301">
        <v>50</v>
      </c>
      <c r="E23" s="302">
        <f t="shared" ref="E23:I24" si="32">D23</f>
        <v>50</v>
      </c>
      <c r="F23" s="302">
        <f t="shared" si="32"/>
        <v>50</v>
      </c>
      <c r="G23" s="302">
        <f t="shared" si="32"/>
        <v>50</v>
      </c>
      <c r="H23" s="302">
        <f t="shared" si="32"/>
        <v>50</v>
      </c>
      <c r="I23" s="302">
        <f t="shared" si="32"/>
        <v>50</v>
      </c>
      <c r="J23" s="302">
        <f t="shared" si="31"/>
        <v>50</v>
      </c>
      <c r="K23" s="302">
        <f t="shared" si="31"/>
        <v>50</v>
      </c>
      <c r="L23" s="302">
        <f t="shared" si="31"/>
        <v>50</v>
      </c>
      <c r="M23" s="302">
        <f>L23</f>
        <v>50</v>
      </c>
      <c r="N23" s="302">
        <f t="shared" si="31"/>
        <v>50</v>
      </c>
      <c r="O23" s="302">
        <f t="shared" si="31"/>
        <v>50</v>
      </c>
      <c r="P23" s="302">
        <f t="shared" si="31"/>
        <v>50</v>
      </c>
      <c r="Q23" s="302">
        <f t="shared" si="31"/>
        <v>50</v>
      </c>
      <c r="R23" s="302">
        <f t="shared" si="31"/>
        <v>50</v>
      </c>
      <c r="S23" s="302">
        <f t="shared" si="31"/>
        <v>50</v>
      </c>
      <c r="T23" s="302">
        <f t="shared" si="31"/>
        <v>50</v>
      </c>
      <c r="U23" s="302">
        <f t="shared" si="31"/>
        <v>50</v>
      </c>
      <c r="V23" s="302">
        <f t="shared" si="31"/>
        <v>50</v>
      </c>
      <c r="W23" s="302">
        <f t="shared" si="31"/>
        <v>50</v>
      </c>
      <c r="X23" s="302">
        <f t="shared" si="31"/>
        <v>50</v>
      </c>
      <c r="Y23" s="302">
        <f t="shared" ref="Y23:AR23" si="33">X23</f>
        <v>50</v>
      </c>
      <c r="Z23" s="302">
        <f t="shared" si="33"/>
        <v>50</v>
      </c>
      <c r="AA23" s="302">
        <f t="shared" si="33"/>
        <v>50</v>
      </c>
      <c r="AB23" s="302">
        <f t="shared" si="33"/>
        <v>50</v>
      </c>
      <c r="AC23" s="302">
        <f t="shared" si="33"/>
        <v>50</v>
      </c>
      <c r="AD23" s="302">
        <f t="shared" si="33"/>
        <v>50</v>
      </c>
      <c r="AE23" s="302">
        <f t="shared" si="33"/>
        <v>50</v>
      </c>
      <c r="AF23" s="302">
        <f t="shared" si="33"/>
        <v>50</v>
      </c>
      <c r="AG23" s="302">
        <f t="shared" si="33"/>
        <v>50</v>
      </c>
      <c r="AH23" s="302">
        <f t="shared" si="33"/>
        <v>50</v>
      </c>
      <c r="AI23" s="302">
        <f t="shared" si="33"/>
        <v>50</v>
      </c>
      <c r="AJ23" s="302">
        <f t="shared" si="33"/>
        <v>50</v>
      </c>
      <c r="AK23" s="302">
        <f t="shared" si="33"/>
        <v>50</v>
      </c>
      <c r="AL23" s="302">
        <f t="shared" si="33"/>
        <v>50</v>
      </c>
      <c r="AM23" s="302">
        <f t="shared" si="33"/>
        <v>50</v>
      </c>
      <c r="AN23" s="302">
        <f t="shared" si="33"/>
        <v>50</v>
      </c>
      <c r="AO23" s="302">
        <f t="shared" si="33"/>
        <v>50</v>
      </c>
      <c r="AP23" s="302">
        <f t="shared" si="33"/>
        <v>50</v>
      </c>
      <c r="AQ23" s="302">
        <f t="shared" si="33"/>
        <v>50</v>
      </c>
      <c r="AR23" s="302">
        <f t="shared" si="33"/>
        <v>50</v>
      </c>
      <c r="AS23" s="302">
        <f t="shared" ref="AS23:BB23" si="34">AR23</f>
        <v>50</v>
      </c>
      <c r="AT23" s="302">
        <f t="shared" si="34"/>
        <v>50</v>
      </c>
      <c r="AU23" s="302">
        <f t="shared" si="34"/>
        <v>50</v>
      </c>
      <c r="AV23" s="302">
        <f t="shared" si="34"/>
        <v>50</v>
      </c>
      <c r="AW23" s="302">
        <f t="shared" si="34"/>
        <v>50</v>
      </c>
      <c r="AX23" s="302">
        <f t="shared" si="34"/>
        <v>50</v>
      </c>
      <c r="AY23" s="302">
        <f t="shared" si="34"/>
        <v>50</v>
      </c>
      <c r="AZ23" s="302">
        <f t="shared" si="34"/>
        <v>50</v>
      </c>
      <c r="BA23" s="302">
        <f t="shared" si="34"/>
        <v>50</v>
      </c>
      <c r="BB23" s="302">
        <f t="shared" si="34"/>
        <v>50</v>
      </c>
      <c r="BE23" s="188" t="s">
        <v>253</v>
      </c>
      <c r="BF23" s="189">
        <v>2.0909090909090908</v>
      </c>
    </row>
    <row r="24" spans="1:58" ht="16.5" x14ac:dyDescent="0.3">
      <c r="A24" t="s">
        <v>801</v>
      </c>
      <c r="B24" t="s">
        <v>1100</v>
      </c>
      <c r="C24" t="s">
        <v>141</v>
      </c>
      <c r="D24" s="301">
        <v>40</v>
      </c>
      <c r="E24" s="302">
        <f t="shared" si="32"/>
        <v>40</v>
      </c>
      <c r="F24" s="302">
        <f t="shared" si="32"/>
        <v>40</v>
      </c>
      <c r="G24" s="302">
        <f t="shared" si="32"/>
        <v>40</v>
      </c>
      <c r="H24" s="302">
        <f t="shared" si="32"/>
        <v>40</v>
      </c>
      <c r="I24" s="302">
        <f t="shared" si="32"/>
        <v>40</v>
      </c>
      <c r="J24" s="302">
        <f t="shared" si="31"/>
        <v>40</v>
      </c>
      <c r="K24" s="302">
        <f t="shared" si="31"/>
        <v>40</v>
      </c>
      <c r="L24" s="302">
        <f t="shared" si="31"/>
        <v>40</v>
      </c>
      <c r="M24" s="302">
        <f t="shared" si="31"/>
        <v>40</v>
      </c>
      <c r="N24" s="302">
        <f t="shared" si="31"/>
        <v>40</v>
      </c>
      <c r="O24" s="302">
        <f t="shared" si="31"/>
        <v>40</v>
      </c>
      <c r="P24" s="302">
        <f t="shared" si="31"/>
        <v>40</v>
      </c>
      <c r="Q24" s="302">
        <f t="shared" si="31"/>
        <v>40</v>
      </c>
      <c r="R24" s="302">
        <f t="shared" si="31"/>
        <v>40</v>
      </c>
      <c r="S24" s="302">
        <f t="shared" si="31"/>
        <v>40</v>
      </c>
      <c r="T24" s="302">
        <f t="shared" si="31"/>
        <v>40</v>
      </c>
      <c r="U24" s="302">
        <f t="shared" si="31"/>
        <v>40</v>
      </c>
      <c r="V24" s="302">
        <f t="shared" si="31"/>
        <v>40</v>
      </c>
      <c r="W24" s="302">
        <f t="shared" si="31"/>
        <v>40</v>
      </c>
      <c r="X24" s="302">
        <f t="shared" si="31"/>
        <v>40</v>
      </c>
      <c r="Y24" s="302">
        <f t="shared" ref="Y24:AR24" si="35">X24</f>
        <v>40</v>
      </c>
      <c r="Z24" s="302">
        <f t="shared" si="35"/>
        <v>40</v>
      </c>
      <c r="AA24" s="302">
        <f t="shared" si="35"/>
        <v>40</v>
      </c>
      <c r="AB24" s="302">
        <f t="shared" si="35"/>
        <v>40</v>
      </c>
      <c r="AC24" s="302">
        <f t="shared" si="35"/>
        <v>40</v>
      </c>
      <c r="AD24" s="302">
        <f t="shared" si="35"/>
        <v>40</v>
      </c>
      <c r="AE24" s="302">
        <f t="shared" si="35"/>
        <v>40</v>
      </c>
      <c r="AF24" s="302">
        <f t="shared" si="35"/>
        <v>40</v>
      </c>
      <c r="AG24" s="302">
        <f t="shared" si="35"/>
        <v>40</v>
      </c>
      <c r="AH24" s="302">
        <f t="shared" si="35"/>
        <v>40</v>
      </c>
      <c r="AI24" s="302">
        <f t="shared" si="35"/>
        <v>40</v>
      </c>
      <c r="AJ24" s="302">
        <f t="shared" si="35"/>
        <v>40</v>
      </c>
      <c r="AK24" s="302">
        <f t="shared" si="35"/>
        <v>40</v>
      </c>
      <c r="AL24" s="302">
        <f t="shared" si="35"/>
        <v>40</v>
      </c>
      <c r="AM24" s="302">
        <f t="shared" si="35"/>
        <v>40</v>
      </c>
      <c r="AN24" s="302">
        <f t="shared" si="35"/>
        <v>40</v>
      </c>
      <c r="AO24" s="302">
        <f t="shared" si="35"/>
        <v>40</v>
      </c>
      <c r="AP24" s="302">
        <f t="shared" si="35"/>
        <v>40</v>
      </c>
      <c r="AQ24" s="302">
        <f t="shared" si="35"/>
        <v>40</v>
      </c>
      <c r="AR24" s="302">
        <f t="shared" si="35"/>
        <v>40</v>
      </c>
      <c r="AS24" s="302">
        <f t="shared" ref="AS24:BB24" si="36">AR24</f>
        <v>40</v>
      </c>
      <c r="AT24" s="302">
        <f t="shared" si="36"/>
        <v>40</v>
      </c>
      <c r="AU24" s="302">
        <f t="shared" si="36"/>
        <v>40</v>
      </c>
      <c r="AV24" s="302">
        <f t="shared" si="36"/>
        <v>40</v>
      </c>
      <c r="AW24" s="302">
        <f t="shared" si="36"/>
        <v>40</v>
      </c>
      <c r="AX24" s="302">
        <f t="shared" si="36"/>
        <v>40</v>
      </c>
      <c r="AY24" s="302">
        <f t="shared" si="36"/>
        <v>40</v>
      </c>
      <c r="AZ24" s="302">
        <f t="shared" si="36"/>
        <v>40</v>
      </c>
      <c r="BA24" s="302">
        <f t="shared" si="36"/>
        <v>40</v>
      </c>
      <c r="BB24" s="302">
        <f t="shared" si="36"/>
        <v>40</v>
      </c>
      <c r="BE24" s="188" t="s">
        <v>254</v>
      </c>
      <c r="BF24" s="189">
        <v>0.32196969696969691</v>
      </c>
    </row>
    <row r="25" spans="1:58" ht="17.25" thickBot="1" x14ac:dyDescent="0.35">
      <c r="A25" t="s">
        <v>801</v>
      </c>
      <c r="B25" t="s">
        <v>1101</v>
      </c>
      <c r="C25" t="s">
        <v>141</v>
      </c>
      <c r="D25" s="300">
        <f t="shared" ref="D25:I25" si="37">D22+D21/D24+D20/D23/D24</f>
        <v>0.285017192434321</v>
      </c>
      <c r="E25" s="300">
        <f t="shared" si="37"/>
        <v>0.285017192434321</v>
      </c>
      <c r="F25" s="300">
        <f t="shared" si="37"/>
        <v>0.285017192434321</v>
      </c>
      <c r="G25" s="300">
        <f t="shared" si="37"/>
        <v>0.285017192434321</v>
      </c>
      <c r="H25" s="300">
        <f t="shared" si="37"/>
        <v>0.285017192434321</v>
      </c>
      <c r="I25" s="300">
        <f t="shared" si="37"/>
        <v>0.285017192434321</v>
      </c>
      <c r="J25" s="300">
        <f t="shared" ref="J25:P25" si="38">J22+J21/J24+J20/J23/J24</f>
        <v>0.285017192434321</v>
      </c>
      <c r="K25" s="300">
        <f t="shared" si="38"/>
        <v>0.285017192434321</v>
      </c>
      <c r="L25" s="300">
        <f>L22+L21/L24+L20/L23/L24</f>
        <v>0.285017192434321</v>
      </c>
      <c r="M25" s="300">
        <f t="shared" si="38"/>
        <v>0.285017192434321</v>
      </c>
      <c r="N25" s="300">
        <f t="shared" si="38"/>
        <v>0.285017192434321</v>
      </c>
      <c r="O25" s="300">
        <f t="shared" si="38"/>
        <v>0.285017192434321</v>
      </c>
      <c r="P25" s="300">
        <f t="shared" si="38"/>
        <v>0.42700000000000005</v>
      </c>
      <c r="Q25" s="300">
        <f>(Q22+Q21/Q24+Q20/Q23/Q24+Q18)</f>
        <v>0.4942128553961172</v>
      </c>
      <c r="R25" s="300">
        <f t="shared" ref="R25:Z25" si="39">(R22+R21/R24+R20/R23/R24+R18)</f>
        <v>0.36513330119738896</v>
      </c>
      <c r="S25" s="300">
        <f>(S22+S21/S24+S20/S23/S24+S18)</f>
        <v>0.32625877180954999</v>
      </c>
      <c r="T25" s="300">
        <f>S25</f>
        <v>0.32625877180954999</v>
      </c>
      <c r="U25" s="300">
        <f t="shared" si="39"/>
        <v>0.31311565776541839</v>
      </c>
      <c r="V25" s="300">
        <f t="shared" si="39"/>
        <v>0.2945911054844173</v>
      </c>
      <c r="W25" s="300">
        <f t="shared" si="39"/>
        <v>0.27947880883640147</v>
      </c>
      <c r="X25" s="300">
        <f t="shared" si="39"/>
        <v>0.260403452923059</v>
      </c>
      <c r="Y25" s="300">
        <f t="shared" si="39"/>
        <v>0.26513658802531959</v>
      </c>
      <c r="Z25" s="300">
        <f t="shared" si="39"/>
        <v>0.26986972312758017</v>
      </c>
      <c r="AA25" s="300">
        <f t="shared" ref="AA25" si="40">(AA22+AA21/AA24+AA20/AA23/AA24+AA18)</f>
        <v>0.27460285822984076</v>
      </c>
      <c r="AB25" s="300">
        <f t="shared" ref="AB25" si="41">(AB22+AB21/AB24+AB20/AB23/AB24+AB18)</f>
        <v>0.27933599333210141</v>
      </c>
      <c r="AC25" s="300">
        <f t="shared" ref="AC25" si="42">(AC22+AC21/AC24+AC20/AC23/AC24+AC18)</f>
        <v>0.28406912843436194</v>
      </c>
      <c r="AD25" s="300">
        <f t="shared" ref="AD25" si="43">(AD22+AD21/AD24+AD20/AD23/AD24+AD18)</f>
        <v>0.28880226353662258</v>
      </c>
      <c r="AE25" s="300">
        <f t="shared" ref="AE25" si="44">(AE22+AE21/AE24+AE20/AE23/AE24+AE18)</f>
        <v>0.29353539863888317</v>
      </c>
      <c r="AF25" s="300">
        <f t="shared" ref="AF25" si="45">(AF22+AF21/AF24+AF20/AF23/AF24+AF18)</f>
        <v>0.2982685337411437</v>
      </c>
      <c r="AG25" s="300">
        <f t="shared" ref="AG25" si="46">(AG22+AG21/AG24+AG20/AG23/AG24+AG18)</f>
        <v>0.30300166884340435</v>
      </c>
      <c r="AH25" s="300">
        <f t="shared" ref="AH25:AI25" si="47">(AH22+AH21/AH24+AH20/AH23/AH24+AH18)</f>
        <v>0.30773480394566494</v>
      </c>
      <c r="AI25" s="300">
        <f t="shared" si="47"/>
        <v>0.30773480394566494</v>
      </c>
      <c r="AJ25" s="300">
        <f t="shared" ref="AJ25" si="48">(AJ22+AJ21/AJ24+AJ20/AJ23/AJ24+AJ18)</f>
        <v>0.30773480394566494</v>
      </c>
      <c r="AK25" s="300">
        <f t="shared" ref="AK25" si="49">(AK22+AK21/AK24+AK20/AK23/AK24+AK18)</f>
        <v>0.30773480394566494</v>
      </c>
      <c r="AL25" s="300">
        <f t="shared" ref="AL25" si="50">(AL22+AL21/AL24+AL20/AL23/AL24+AL18)</f>
        <v>0.30773480394566494</v>
      </c>
      <c r="AM25" s="300">
        <f t="shared" ref="AM25" si="51">(AM22+AM21/AM24+AM20/AM23/AM24+AM18)</f>
        <v>0.30773480394566494</v>
      </c>
      <c r="AN25" s="300">
        <f t="shared" ref="AN25" si="52">(AN22+AN21/AN24+AN20/AN23/AN24+AN18)</f>
        <v>0.30773480394566494</v>
      </c>
      <c r="AO25" s="300">
        <f t="shared" ref="AO25" si="53">(AO22+AO21/AO24+AO20/AO23/AO24+AO18)</f>
        <v>0.30773480394566494</v>
      </c>
      <c r="AP25" s="300">
        <f t="shared" ref="AP25" si="54">(AP22+AP21/AP24+AP20/AP23/AP24+AP18)</f>
        <v>0.30773480394566494</v>
      </c>
      <c r="AQ25" s="300">
        <f t="shared" ref="AQ25:AR25" si="55">(AQ22+AQ21/AQ24+AQ20/AQ23/AQ24+AQ18)</f>
        <v>0.30773480394566494</v>
      </c>
      <c r="AR25" s="300">
        <f t="shared" si="55"/>
        <v>0.30773480394566494</v>
      </c>
      <c r="AS25" s="300">
        <f t="shared" ref="AS25" si="56">(AS22+AS21/AS24+AS20/AS23/AS24+AS18)</f>
        <v>0.30773480394566494</v>
      </c>
      <c r="AT25" s="300">
        <f t="shared" ref="AT25" si="57">(AT22+AT21/AT24+AT20/AT23/AT24+AT18)</f>
        <v>0.30773480394566494</v>
      </c>
      <c r="AU25" s="300">
        <f t="shared" ref="AU25" si="58">(AU22+AU21/AU24+AU20/AU23/AU24+AU18)</f>
        <v>0.30773480394566494</v>
      </c>
      <c r="AV25" s="300">
        <f t="shared" ref="AV25" si="59">(AV22+AV21/AV24+AV20/AV23/AV24+AV18)</f>
        <v>0.30773480394566494</v>
      </c>
      <c r="AW25" s="300">
        <f t="shared" ref="AW25" si="60">(AW22+AW21/AW24+AW20/AW23/AW24+AW18)</f>
        <v>0.30773480394566494</v>
      </c>
      <c r="AX25" s="300">
        <f t="shared" ref="AX25" si="61">(AX22+AX21/AX24+AX20/AX23/AX24+AX18)</f>
        <v>0.30773480394566494</v>
      </c>
      <c r="AY25" s="300">
        <f t="shared" ref="AY25" si="62">(AY22+AY21/AY24+AY20/AY23/AY24+AY18)</f>
        <v>0.30773480394566494</v>
      </c>
      <c r="AZ25" s="300">
        <f t="shared" ref="AZ25:BA25" si="63">(AZ22+AZ21/AZ24+AZ20/AZ23/AZ24+AZ18)</f>
        <v>0.30773480394566494</v>
      </c>
      <c r="BA25" s="300">
        <f t="shared" si="63"/>
        <v>0.30773480394566494</v>
      </c>
      <c r="BB25" s="300">
        <f t="shared" ref="BB25" si="64">(BB22+BB21/BB24+BB20/BB23/BB24+BB18)</f>
        <v>0.30773480394566494</v>
      </c>
      <c r="BE25" s="190" t="s">
        <v>255</v>
      </c>
      <c r="BF25" s="191">
        <v>0.26442249546462404</v>
      </c>
    </row>
    <row r="26" spans="1:58" x14ac:dyDescent="0.3">
      <c r="A26" t="s">
        <v>798</v>
      </c>
      <c r="B26" t="s">
        <v>1106</v>
      </c>
      <c r="C26" t="s">
        <v>141</v>
      </c>
      <c r="D26" s="300">
        <f t="shared" ref="D26:P26" si="65">$BF$15</f>
        <v>0.63</v>
      </c>
      <c r="E26" s="300">
        <f t="shared" si="65"/>
        <v>0.63</v>
      </c>
      <c r="F26" s="300">
        <f t="shared" si="65"/>
        <v>0.63</v>
      </c>
      <c r="G26" s="300">
        <f t="shared" si="65"/>
        <v>0.63</v>
      </c>
      <c r="H26" s="300">
        <f t="shared" si="65"/>
        <v>0.63</v>
      </c>
      <c r="I26" s="300">
        <f t="shared" si="65"/>
        <v>0.63</v>
      </c>
      <c r="J26" s="300">
        <f t="shared" si="65"/>
        <v>0.63</v>
      </c>
      <c r="K26" s="300">
        <f t="shared" si="65"/>
        <v>0.63</v>
      </c>
      <c r="L26" s="300">
        <f t="shared" si="65"/>
        <v>0.63</v>
      </c>
      <c r="M26" s="300">
        <f t="shared" si="65"/>
        <v>0.63</v>
      </c>
      <c r="N26" s="300">
        <f t="shared" si="65"/>
        <v>0.63</v>
      </c>
      <c r="O26" s="300">
        <f t="shared" si="65"/>
        <v>0.63</v>
      </c>
      <c r="P26" s="300">
        <f t="shared" si="65"/>
        <v>0.63</v>
      </c>
      <c r="Q26" s="300">
        <f t="shared" ref="Q26:X26" si="66">B173/1.21*(1+input_btw)</f>
        <v>0.5950413223140496</v>
      </c>
      <c r="R26" s="300">
        <f>C173/1.21*(1+input_btw)</f>
        <v>0.57851239669421484</v>
      </c>
      <c r="S26" s="300">
        <f t="shared" si="66"/>
        <v>0.57851239669421484</v>
      </c>
      <c r="T26" s="300">
        <f t="shared" si="66"/>
        <v>0.57024793388429751</v>
      </c>
      <c r="U26" s="300">
        <f t="shared" si="66"/>
        <v>0.57024793388429751</v>
      </c>
      <c r="V26" s="300">
        <f t="shared" si="66"/>
        <v>0.56198347107438018</v>
      </c>
      <c r="W26" s="300">
        <f t="shared" si="66"/>
        <v>0.56198347107438018</v>
      </c>
      <c r="X26" s="300">
        <f t="shared" si="66"/>
        <v>0.56198347107438018</v>
      </c>
      <c r="Y26" s="300">
        <f>X26</f>
        <v>0.56198347107438018</v>
      </c>
      <c r="Z26" s="300">
        <f t="shared" ref="Z26:BB26" si="67">Y26</f>
        <v>0.56198347107438018</v>
      </c>
      <c r="AA26" s="300">
        <f t="shared" si="67"/>
        <v>0.56198347107438018</v>
      </c>
      <c r="AB26" s="300">
        <f t="shared" si="67"/>
        <v>0.56198347107438018</v>
      </c>
      <c r="AC26" s="300">
        <f t="shared" si="67"/>
        <v>0.56198347107438018</v>
      </c>
      <c r="AD26" s="300">
        <f t="shared" si="67"/>
        <v>0.56198347107438018</v>
      </c>
      <c r="AE26" s="300">
        <f t="shared" si="67"/>
        <v>0.56198347107438018</v>
      </c>
      <c r="AF26" s="300">
        <f t="shared" si="67"/>
        <v>0.56198347107438018</v>
      </c>
      <c r="AG26" s="300">
        <f t="shared" si="67"/>
        <v>0.56198347107438018</v>
      </c>
      <c r="AH26" s="300">
        <f t="shared" si="67"/>
        <v>0.56198347107438018</v>
      </c>
      <c r="AI26" s="300">
        <f t="shared" si="67"/>
        <v>0.56198347107438018</v>
      </c>
      <c r="AJ26" s="300">
        <f t="shared" si="67"/>
        <v>0.56198347107438018</v>
      </c>
      <c r="AK26" s="300">
        <f t="shared" si="67"/>
        <v>0.56198347107438018</v>
      </c>
      <c r="AL26" s="300">
        <f t="shared" si="67"/>
        <v>0.56198347107438018</v>
      </c>
      <c r="AM26" s="300">
        <f t="shared" si="67"/>
        <v>0.56198347107438018</v>
      </c>
      <c r="AN26" s="300">
        <f t="shared" si="67"/>
        <v>0.56198347107438018</v>
      </c>
      <c r="AO26" s="300">
        <f t="shared" si="67"/>
        <v>0.56198347107438018</v>
      </c>
      <c r="AP26" s="300">
        <f t="shared" si="67"/>
        <v>0.56198347107438018</v>
      </c>
      <c r="AQ26" s="300">
        <f t="shared" si="67"/>
        <v>0.56198347107438018</v>
      </c>
      <c r="AR26" s="300">
        <f t="shared" si="67"/>
        <v>0.56198347107438018</v>
      </c>
      <c r="AS26" s="300">
        <f t="shared" si="67"/>
        <v>0.56198347107438018</v>
      </c>
      <c r="AT26" s="300">
        <f t="shared" si="67"/>
        <v>0.56198347107438018</v>
      </c>
      <c r="AU26" s="300">
        <f t="shared" si="67"/>
        <v>0.56198347107438018</v>
      </c>
      <c r="AV26" s="300">
        <f t="shared" si="67"/>
        <v>0.56198347107438018</v>
      </c>
      <c r="AW26" s="300">
        <f t="shared" si="67"/>
        <v>0.56198347107438018</v>
      </c>
      <c r="AX26" s="300">
        <f t="shared" si="67"/>
        <v>0.56198347107438018</v>
      </c>
      <c r="AY26" s="300">
        <f t="shared" si="67"/>
        <v>0.56198347107438018</v>
      </c>
      <c r="AZ26" s="300">
        <f t="shared" si="67"/>
        <v>0.56198347107438018</v>
      </c>
      <c r="BA26" s="300">
        <f t="shared" si="67"/>
        <v>0.56198347107438018</v>
      </c>
      <c r="BB26" s="300">
        <f t="shared" si="67"/>
        <v>0.56198347107438018</v>
      </c>
    </row>
    <row r="30" spans="1:58" ht="15.75" thickBot="1" x14ac:dyDescent="0.35"/>
    <row r="31" spans="1:58" ht="15.75" thickBot="1" x14ac:dyDescent="0.35">
      <c r="B31" s="286" t="s">
        <v>1098</v>
      </c>
      <c r="C31" s="286" t="s">
        <v>168</v>
      </c>
      <c r="D31" s="286">
        <f t="shared" ref="D31:AR31" si="68">D5</f>
        <v>2010</v>
      </c>
      <c r="E31" s="286">
        <f t="shared" si="68"/>
        <v>2011</v>
      </c>
      <c r="F31" s="286">
        <f t="shared" si="68"/>
        <v>2012</v>
      </c>
      <c r="G31" s="286">
        <f t="shared" si="68"/>
        <v>2013</v>
      </c>
      <c r="H31" s="286">
        <f t="shared" si="68"/>
        <v>2014</v>
      </c>
      <c r="I31" s="286">
        <f t="shared" si="68"/>
        <v>2015</v>
      </c>
      <c r="J31" s="286">
        <f t="shared" si="68"/>
        <v>2016</v>
      </c>
      <c r="K31" s="286">
        <f t="shared" si="68"/>
        <v>2017</v>
      </c>
      <c r="L31" s="286">
        <f t="shared" si="68"/>
        <v>2018</v>
      </c>
      <c r="M31" s="286">
        <f t="shared" si="68"/>
        <v>2019</v>
      </c>
      <c r="N31" s="286">
        <f t="shared" si="68"/>
        <v>2020</v>
      </c>
      <c r="O31" s="286">
        <f t="shared" si="68"/>
        <v>2021</v>
      </c>
      <c r="P31" s="286">
        <f t="shared" si="68"/>
        <v>2022</v>
      </c>
      <c r="Q31" s="286">
        <f t="shared" si="68"/>
        <v>2023</v>
      </c>
      <c r="R31" s="286">
        <f t="shared" si="68"/>
        <v>2024</v>
      </c>
      <c r="S31" s="286">
        <f t="shared" si="68"/>
        <v>2025</v>
      </c>
      <c r="T31" s="286">
        <f t="shared" si="68"/>
        <v>2026</v>
      </c>
      <c r="U31" s="286">
        <f t="shared" si="68"/>
        <v>2027</v>
      </c>
      <c r="V31" s="286">
        <f t="shared" si="68"/>
        <v>2028</v>
      </c>
      <c r="W31" s="286">
        <f t="shared" si="68"/>
        <v>2029</v>
      </c>
      <c r="X31" s="286">
        <f t="shared" si="68"/>
        <v>2030</v>
      </c>
      <c r="Y31" s="286">
        <f t="shared" si="68"/>
        <v>2031</v>
      </c>
      <c r="Z31" s="286">
        <f t="shared" si="68"/>
        <v>2032</v>
      </c>
      <c r="AA31" s="286">
        <f t="shared" si="68"/>
        <v>2033</v>
      </c>
      <c r="AB31" s="286">
        <f t="shared" si="68"/>
        <v>2034</v>
      </c>
      <c r="AC31" s="286">
        <f t="shared" si="68"/>
        <v>2035</v>
      </c>
      <c r="AD31" s="286">
        <f t="shared" si="68"/>
        <v>2036</v>
      </c>
      <c r="AE31" s="286">
        <f t="shared" si="68"/>
        <v>2037</v>
      </c>
      <c r="AF31" s="286">
        <f t="shared" si="68"/>
        <v>2038</v>
      </c>
      <c r="AG31" s="286">
        <f t="shared" si="68"/>
        <v>2039</v>
      </c>
      <c r="AH31" s="286">
        <f t="shared" si="68"/>
        <v>2040</v>
      </c>
      <c r="AI31" s="286">
        <f t="shared" si="68"/>
        <v>2041</v>
      </c>
      <c r="AJ31" s="286">
        <f t="shared" si="68"/>
        <v>2042</v>
      </c>
      <c r="AK31" s="286">
        <f t="shared" si="68"/>
        <v>2043</v>
      </c>
      <c r="AL31" s="286">
        <f t="shared" si="68"/>
        <v>2044</v>
      </c>
      <c r="AM31" s="286">
        <f t="shared" si="68"/>
        <v>2045</v>
      </c>
      <c r="AN31" s="286">
        <f t="shared" si="68"/>
        <v>2046</v>
      </c>
      <c r="AO31" s="286">
        <f t="shared" si="68"/>
        <v>2047</v>
      </c>
      <c r="AP31" s="286">
        <f t="shared" si="68"/>
        <v>2048</v>
      </c>
      <c r="AQ31" s="286">
        <f t="shared" si="68"/>
        <v>2049</v>
      </c>
      <c r="AR31" s="286">
        <f t="shared" si="68"/>
        <v>2050</v>
      </c>
      <c r="AS31" s="286">
        <f t="shared" ref="AS31:BB31" si="69">AS5</f>
        <v>2051</v>
      </c>
      <c r="AT31" s="286">
        <f t="shared" si="69"/>
        <v>2052</v>
      </c>
      <c r="AU31" s="286">
        <f t="shared" si="69"/>
        <v>2053</v>
      </c>
      <c r="AV31" s="286">
        <f t="shared" si="69"/>
        <v>2054</v>
      </c>
      <c r="AW31" s="286">
        <f t="shared" si="69"/>
        <v>2055</v>
      </c>
      <c r="AX31" s="286">
        <f t="shared" si="69"/>
        <v>2056</v>
      </c>
      <c r="AY31" s="286">
        <f t="shared" si="69"/>
        <v>2057</v>
      </c>
      <c r="AZ31" s="286">
        <f t="shared" si="69"/>
        <v>2058</v>
      </c>
      <c r="BA31" s="286">
        <f t="shared" si="69"/>
        <v>2059</v>
      </c>
      <c r="BB31" s="286">
        <f t="shared" si="69"/>
        <v>2060</v>
      </c>
      <c r="BE31" s="286" t="s">
        <v>39</v>
      </c>
      <c r="BF31" s="286" t="s">
        <v>1195</v>
      </c>
    </row>
    <row r="32" spans="1:58" ht="15.75" thickBot="1" x14ac:dyDescent="0.35">
      <c r="B32" s="283" t="s">
        <v>45</v>
      </c>
      <c r="C32" s="283" t="s">
        <v>1102</v>
      </c>
      <c r="D32" s="304">
        <f>D10</f>
        <v>1.5029999999999999</v>
      </c>
      <c r="E32" s="304">
        <f t="shared" ref="E32:AR32" si="70">E10</f>
        <v>1.64</v>
      </c>
      <c r="F32" s="304">
        <f t="shared" si="70"/>
        <v>1.76</v>
      </c>
      <c r="G32" s="304">
        <f t="shared" si="70"/>
        <v>1.74</v>
      </c>
      <c r="H32" s="304">
        <f t="shared" si="70"/>
        <v>1.6950000000000001</v>
      </c>
      <c r="I32" s="304">
        <f t="shared" si="70"/>
        <v>1.5580000000000001</v>
      </c>
      <c r="J32" s="304">
        <f t="shared" si="70"/>
        <v>1.4770000000000001</v>
      </c>
      <c r="K32" s="304">
        <f t="shared" si="70"/>
        <v>1.552</v>
      </c>
      <c r="L32" s="304">
        <f t="shared" si="70"/>
        <v>1.6180000000000001</v>
      </c>
      <c r="M32" s="304">
        <f t="shared" si="70"/>
        <v>1.647</v>
      </c>
      <c r="N32" s="304">
        <f t="shared" si="70"/>
        <v>1.5620000000000001</v>
      </c>
      <c r="O32" s="304">
        <f t="shared" si="70"/>
        <v>1.8149999999999999</v>
      </c>
      <c r="P32" s="304">
        <f t="shared" si="70"/>
        <v>2.0720000000000001</v>
      </c>
      <c r="Q32" s="304">
        <f t="shared" si="70"/>
        <v>1.921</v>
      </c>
      <c r="R32" s="304">
        <f t="shared" si="70"/>
        <v>1.6072442301703402</v>
      </c>
      <c r="S32" s="304">
        <f t="shared" si="70"/>
        <v>1.6229862354550071</v>
      </c>
      <c r="T32" s="304">
        <f t="shared" si="70"/>
        <v>1.6522096163823574</v>
      </c>
      <c r="U32" s="304">
        <f t="shared" si="70"/>
        <v>1.6740806186306529</v>
      </c>
      <c r="V32" s="304">
        <f t="shared" si="70"/>
        <v>1.6975255621389413</v>
      </c>
      <c r="W32" s="304">
        <f t="shared" si="70"/>
        <v>1.7186977536198287</v>
      </c>
      <c r="X32" s="304">
        <f t="shared" si="70"/>
        <v>1.7392208799066222</v>
      </c>
      <c r="Y32" s="304">
        <f t="shared" si="70"/>
        <v>1.7621934479310222</v>
      </c>
      <c r="Z32" s="304">
        <f t="shared" si="70"/>
        <v>1.7856991900855754</v>
      </c>
      <c r="AA32" s="304">
        <f t="shared" si="70"/>
        <v>1.8086707234603054</v>
      </c>
      <c r="AB32" s="304">
        <f t="shared" si="70"/>
        <v>1.8323780342711811</v>
      </c>
      <c r="AC32" s="304">
        <f t="shared" si="70"/>
        <v>1.8539096286873542</v>
      </c>
      <c r="AD32" s="304">
        <f t="shared" si="70"/>
        <v>1.8725471872903867</v>
      </c>
      <c r="AE32" s="304">
        <f t="shared" si="70"/>
        <v>1.8950991770861372</v>
      </c>
      <c r="AF32" s="304">
        <f t="shared" si="70"/>
        <v>1.9205205669038379</v>
      </c>
      <c r="AG32" s="304">
        <f t="shared" si="70"/>
        <v>1.9510924836810652</v>
      </c>
      <c r="AH32" s="304">
        <f t="shared" si="70"/>
        <v>1.9821252005291135</v>
      </c>
      <c r="AI32" s="304">
        <f t="shared" si="70"/>
        <v>1.9971745532381191</v>
      </c>
      <c r="AJ32" s="304">
        <f t="shared" si="70"/>
        <v>2.0122239059471245</v>
      </c>
      <c r="AK32" s="304">
        <f t="shared" si="70"/>
        <v>2.0272732586561304</v>
      </c>
      <c r="AL32" s="304">
        <f t="shared" si="70"/>
        <v>2.0423226113651354</v>
      </c>
      <c r="AM32" s="304">
        <f t="shared" si="70"/>
        <v>2.0573719640741372</v>
      </c>
      <c r="AN32" s="304">
        <f t="shared" si="70"/>
        <v>2.0724213167831458</v>
      </c>
      <c r="AO32" s="304">
        <f t="shared" si="70"/>
        <v>2.0874706694921534</v>
      </c>
      <c r="AP32" s="304">
        <f t="shared" si="70"/>
        <v>2.1025200222011557</v>
      </c>
      <c r="AQ32" s="304">
        <f t="shared" si="70"/>
        <v>2.1175693749101634</v>
      </c>
      <c r="AR32" s="304">
        <f t="shared" si="70"/>
        <v>2.1246851041142345</v>
      </c>
      <c r="AS32" s="304">
        <f t="shared" ref="AS32:BB32" si="71">AS10</f>
        <v>0</v>
      </c>
      <c r="AT32" s="304">
        <f t="shared" si="71"/>
        <v>0</v>
      </c>
      <c r="AU32" s="304">
        <f t="shared" si="71"/>
        <v>0</v>
      </c>
      <c r="AV32" s="304">
        <f t="shared" si="71"/>
        <v>0</v>
      </c>
      <c r="AW32" s="304">
        <f t="shared" si="71"/>
        <v>0</v>
      </c>
      <c r="AX32" s="304">
        <f t="shared" si="71"/>
        <v>0</v>
      </c>
      <c r="AY32" s="304">
        <f t="shared" si="71"/>
        <v>0</v>
      </c>
      <c r="AZ32" s="304">
        <f t="shared" si="71"/>
        <v>0</v>
      </c>
      <c r="BA32" s="304">
        <f t="shared" si="71"/>
        <v>0</v>
      </c>
      <c r="BB32" s="304">
        <f t="shared" si="71"/>
        <v>0</v>
      </c>
      <c r="BE32" s="283" t="s">
        <v>45</v>
      </c>
      <c r="BF32" s="283">
        <v>1</v>
      </c>
    </row>
    <row r="33" spans="1:58" ht="15.75" thickBot="1" x14ac:dyDescent="0.35">
      <c r="B33" s="283" t="s">
        <v>46</v>
      </c>
      <c r="C33" s="283" t="s">
        <v>1102</v>
      </c>
      <c r="D33" s="304">
        <f>D15</f>
        <v>1.171</v>
      </c>
      <c r="E33" s="304">
        <f t="shared" ref="E33:AR33" si="72">E15</f>
        <v>1.3480000000000001</v>
      </c>
      <c r="F33" s="304">
        <f t="shared" si="72"/>
        <v>1.444</v>
      </c>
      <c r="G33" s="304">
        <f t="shared" si="72"/>
        <v>1.421</v>
      </c>
      <c r="H33" s="304">
        <f t="shared" si="72"/>
        <v>1.401</v>
      </c>
      <c r="I33" s="304">
        <f t="shared" si="72"/>
        <v>1.23</v>
      </c>
      <c r="J33" s="304">
        <f t="shared" si="72"/>
        <v>1.1339999999999999</v>
      </c>
      <c r="K33" s="304">
        <f t="shared" si="72"/>
        <v>1.2210000000000001</v>
      </c>
      <c r="L33" s="304">
        <f t="shared" si="72"/>
        <v>1.335</v>
      </c>
      <c r="M33" s="304">
        <f t="shared" si="72"/>
        <v>1.3560000000000001</v>
      </c>
      <c r="N33" s="304">
        <f t="shared" si="72"/>
        <v>1.2370000000000001</v>
      </c>
      <c r="O33" s="304">
        <f t="shared" si="72"/>
        <v>1.4610000000000001</v>
      </c>
      <c r="P33" s="304">
        <f t="shared" si="72"/>
        <v>1.956</v>
      </c>
      <c r="Q33" s="304">
        <f t="shared" si="72"/>
        <v>1.712</v>
      </c>
      <c r="R33" s="304">
        <f t="shared" si="72"/>
        <v>1.3871833239977467</v>
      </c>
      <c r="S33" s="304">
        <f t="shared" si="72"/>
        <v>1.3975222937963672</v>
      </c>
      <c r="T33" s="304">
        <f t="shared" si="72"/>
        <v>1.4156263533399864</v>
      </c>
      <c r="U33" s="304">
        <f t="shared" si="72"/>
        <v>1.4298600112157636</v>
      </c>
      <c r="V33" s="304">
        <f t="shared" si="72"/>
        <v>1.4447795767887501</v>
      </c>
      <c r="W33" s="304">
        <f t="shared" si="72"/>
        <v>1.4578436352072086</v>
      </c>
      <c r="X33" s="304">
        <f t="shared" si="72"/>
        <v>1.4717348606549492</v>
      </c>
      <c r="Y33" s="304">
        <f t="shared" si="72"/>
        <v>1.4818320846933783</v>
      </c>
      <c r="Z33" s="304">
        <f t="shared" si="72"/>
        <v>1.4928092772603481</v>
      </c>
      <c r="AA33" s="304">
        <f t="shared" si="72"/>
        <v>1.5035001407106652</v>
      </c>
      <c r="AB33" s="304">
        <f t="shared" si="72"/>
        <v>1.5150589648143935</v>
      </c>
      <c r="AC33" s="304">
        <f t="shared" si="72"/>
        <v>1.5281623495347678</v>
      </c>
      <c r="AD33" s="304">
        <f t="shared" si="72"/>
        <v>1.5431647032727074</v>
      </c>
      <c r="AE33" s="304">
        <f t="shared" si="72"/>
        <v>1.5585538811299227</v>
      </c>
      <c r="AF33" s="304">
        <f t="shared" si="72"/>
        <v>1.5773065420874386</v>
      </c>
      <c r="AG33" s="304">
        <f t="shared" si="72"/>
        <v>1.6024510118009232</v>
      </c>
      <c r="AH33" s="304">
        <f t="shared" si="72"/>
        <v>1.6279981738119651</v>
      </c>
      <c r="AI33" s="304">
        <f t="shared" si="72"/>
        <v>1.6442389702067981</v>
      </c>
      <c r="AJ33" s="304">
        <f t="shared" si="72"/>
        <v>1.6604836445091877</v>
      </c>
      <c r="AK33" s="304">
        <f t="shared" si="72"/>
        <v>1.6767318822941975</v>
      </c>
      <c r="AL33" s="304">
        <f t="shared" si="72"/>
        <v>1.6929834022342509</v>
      </c>
      <c r="AM33" s="304">
        <f t="shared" si="72"/>
        <v>1.7092379518558813</v>
      </c>
      <c r="AN33" s="304">
        <f t="shared" si="72"/>
        <v>1.7254953039329797</v>
      </c>
      <c r="AO33" s="304">
        <f t="shared" si="72"/>
        <v>1.7417552534078224</v>
      </c>
      <c r="AP33" s="304">
        <f t="shared" si="72"/>
        <v>1.7580176147519921</v>
      </c>
      <c r="AQ33" s="304">
        <f t="shared" si="72"/>
        <v>1.7742822196955497</v>
      </c>
      <c r="AR33" s="304">
        <f t="shared" si="72"/>
        <v>1.7825993965767979</v>
      </c>
      <c r="AS33" s="304">
        <f t="shared" ref="AS33:BB33" si="73">AS15</f>
        <v>0</v>
      </c>
      <c r="AT33" s="304">
        <f t="shared" si="73"/>
        <v>0</v>
      </c>
      <c r="AU33" s="304">
        <f t="shared" si="73"/>
        <v>0</v>
      </c>
      <c r="AV33" s="304">
        <f t="shared" si="73"/>
        <v>0</v>
      </c>
      <c r="AW33" s="304">
        <f t="shared" si="73"/>
        <v>0</v>
      </c>
      <c r="AX33" s="304">
        <f t="shared" si="73"/>
        <v>0</v>
      </c>
      <c r="AY33" s="304">
        <f t="shared" si="73"/>
        <v>0</v>
      </c>
      <c r="AZ33" s="304">
        <f t="shared" si="73"/>
        <v>0</v>
      </c>
      <c r="BA33" s="304">
        <f t="shared" si="73"/>
        <v>0</v>
      </c>
      <c r="BB33" s="304">
        <f t="shared" si="73"/>
        <v>0</v>
      </c>
      <c r="BE33" s="283" t="s">
        <v>46</v>
      </c>
      <c r="BF33" s="283">
        <v>2</v>
      </c>
    </row>
    <row r="34" spans="1:58" ht="15.75" thickBot="1" x14ac:dyDescent="0.35">
      <c r="B34" s="283" t="s">
        <v>141</v>
      </c>
      <c r="C34" s="283" t="s">
        <v>262</v>
      </c>
      <c r="D34" s="304">
        <f>IF(Keuzemenu!$D$24="ja",Keuzemenu!$J26,D$19)</f>
        <v>0.17799999999999999</v>
      </c>
      <c r="E34" s="304">
        <f>IF(Keuzemenu!$D$24="ja",Keuzemenu!$J26,E$19)</f>
        <v>0.18</v>
      </c>
      <c r="F34" s="304">
        <f>IF(Keuzemenu!$D$24="ja",Keuzemenu!$J26,F$19)</f>
        <v>0.186</v>
      </c>
      <c r="G34" s="304">
        <f>IF(Keuzemenu!$D$24="ja",Keuzemenu!$J26,G$19)</f>
        <v>0.19</v>
      </c>
      <c r="H34" s="304">
        <f>IF(Keuzemenu!$D$24="ja",Keuzemenu!$J26,H$19)</f>
        <v>0.182</v>
      </c>
      <c r="I34" s="304">
        <f>IF(Keuzemenu!$D$24="ja",Keuzemenu!$J26,I$19)</f>
        <v>0.192</v>
      </c>
      <c r="J34" s="304">
        <f>IF(Keuzemenu!$D$24="ja",Keuzemenu!$J26,J$19)</f>
        <v>0.161</v>
      </c>
      <c r="K34" s="304">
        <f>IF(Keuzemenu!$D$24="ja",Keuzemenu!$J26,K$19)</f>
        <v>0.14329751802405549</v>
      </c>
      <c r="L34" s="304">
        <f>IF(Keuzemenu!$D$24="ja",Keuzemenu!$J26,L$19)</f>
        <v>0.1595503894286634</v>
      </c>
      <c r="M34" s="304">
        <f>IF(Keuzemenu!$D$24="ja",Keuzemenu!$J26,M$19)</f>
        <v>0.1411794274010221</v>
      </c>
      <c r="N34" s="304">
        <f>IF(Keuzemenu!$D$24="ja",Keuzemenu!$J26,N$19)</f>
        <v>0.13086252509422269</v>
      </c>
      <c r="O34" s="304">
        <f>IF(Keuzemenu!$D$24="ja",Keuzemenu!$J26,O$19)</f>
        <v>0.19690999534606901</v>
      </c>
      <c r="P34" s="304">
        <f>IF(Keuzemenu!$D$24="ja",Keuzemenu!$J26,P$19)</f>
        <v>0.15960230806732151</v>
      </c>
      <c r="Q34" s="304">
        <f>IF(Keuzemenu!$D$24="ja",Keuzemenu!$J26,Q$19)</f>
        <v>0.25179462078857401</v>
      </c>
      <c r="R34" s="304">
        <f>IF(Keuzemenu!$D$24="ja",Keuzemenu!$J26,R$19)</f>
        <v>0.21303531033515899</v>
      </c>
      <c r="S34" s="304">
        <f>IF(Keuzemenu!$D$24="ja",Keuzemenu!$J26,S$19)</f>
        <v>0.19469227688980101</v>
      </c>
      <c r="T34" s="304">
        <f>IF(Keuzemenu!$D$24="ja",Keuzemenu!$J26,T$19)</f>
        <v>0.18342314746856692</v>
      </c>
      <c r="U34" s="304">
        <f>IF(Keuzemenu!$D$24="ja",Keuzemenu!$J26,U$19)</f>
        <v>0.1774057336845398</v>
      </c>
      <c r="V34" s="304">
        <f>IF(Keuzemenu!$D$24="ja",Keuzemenu!$J26,V$19)</f>
        <v>0.16454328130912782</v>
      </c>
      <c r="W34" s="304">
        <f>IF(Keuzemenu!$D$24="ja",Keuzemenu!$J26,W$19)</f>
        <v>0.15653544260120389</v>
      </c>
      <c r="X34" s="304">
        <f>IF(Keuzemenu!$D$24="ja",Keuzemenu!$J26,X$19)</f>
        <v>0.15334759788990021</v>
      </c>
      <c r="Y34" s="304">
        <f>IF(Keuzemenu!$D$24="ja",Keuzemenu!$J26,Y$19)</f>
        <v>0.15334759788990021</v>
      </c>
      <c r="Z34" s="304">
        <f>IF(Keuzemenu!$D$24="ja",Keuzemenu!$J26,Z$19)</f>
        <v>0.15334759788990021</v>
      </c>
      <c r="AA34" s="304">
        <f>IF(Keuzemenu!$D$24="ja",Keuzemenu!$J26,AA$19)</f>
        <v>0.15334759788990021</v>
      </c>
      <c r="AB34" s="304">
        <f>IF(Keuzemenu!$D$24="ja",Keuzemenu!$J26,AB$19)</f>
        <v>0.15334759788990021</v>
      </c>
      <c r="AC34" s="304">
        <f>IF(Keuzemenu!$D$24="ja",Keuzemenu!$J26,AC$19)</f>
        <v>0.15334759788990021</v>
      </c>
      <c r="AD34" s="304">
        <f>IF(Keuzemenu!$D$24="ja",Keuzemenu!$J26,AD$19)</f>
        <v>0.15334759788990021</v>
      </c>
      <c r="AE34" s="304">
        <f>IF(Keuzemenu!$D$24="ja",Keuzemenu!$J26,AE$19)</f>
        <v>0.15334759788990021</v>
      </c>
      <c r="AF34" s="304">
        <f>IF(Keuzemenu!$D$24="ja",Keuzemenu!$J26,AF$19)</f>
        <v>0.15334759788990021</v>
      </c>
      <c r="AG34" s="304">
        <f>IF(Keuzemenu!$D$24="ja",Keuzemenu!$J26,AG$19)</f>
        <v>0.15334759788990021</v>
      </c>
      <c r="AH34" s="304">
        <f>IF(Keuzemenu!$D$24="ja",Keuzemenu!$J26,AH$19)</f>
        <v>0.15334759788990021</v>
      </c>
      <c r="AI34" s="304">
        <f>IF(Keuzemenu!$D$24="ja",Keuzemenu!$J26,AI$19)</f>
        <v>0.15334759788990021</v>
      </c>
      <c r="AJ34" s="304">
        <f>IF(Keuzemenu!$D$24="ja",Keuzemenu!$J26,AJ$19)</f>
        <v>0.15334759788990021</v>
      </c>
      <c r="AK34" s="304">
        <f>IF(Keuzemenu!$D$24="ja",Keuzemenu!$J26,AK$19)</f>
        <v>0.15334759788990021</v>
      </c>
      <c r="AL34" s="304">
        <f>IF(Keuzemenu!$D$24="ja",Keuzemenu!$J26,AL$19)</f>
        <v>0.15334759788990021</v>
      </c>
      <c r="AM34" s="304">
        <f>IF(Keuzemenu!$D$24="ja",Keuzemenu!$J26,AM$19)</f>
        <v>0.15334759788990021</v>
      </c>
      <c r="AN34" s="304">
        <f>IF(Keuzemenu!$D$24="ja",Keuzemenu!$J26,AN$19)</f>
        <v>0.15334759788990021</v>
      </c>
      <c r="AO34" s="304">
        <f>IF(Keuzemenu!$D$24="ja",Keuzemenu!$J26,AO$19)</f>
        <v>0.15334759788990021</v>
      </c>
      <c r="AP34" s="304">
        <f>IF(Keuzemenu!$D$24="ja",Keuzemenu!$J26,AP$19)</f>
        <v>0.15334759788990021</v>
      </c>
      <c r="AQ34" s="304">
        <f>IF(Keuzemenu!$D$24="ja",Keuzemenu!$J26,AQ$19)</f>
        <v>0.15334759788990021</v>
      </c>
      <c r="AR34" s="304">
        <f>IF(Keuzemenu!$D$24="ja",Keuzemenu!$J26,AR$19)</f>
        <v>0.15334759788990021</v>
      </c>
      <c r="AS34" s="304">
        <f>IF(Keuzemenu!$D$24="ja",Keuzemenu!$J26,AS$19)</f>
        <v>0.15334759788990021</v>
      </c>
      <c r="AT34" s="304">
        <f>IF(Keuzemenu!$D$24="ja",Keuzemenu!$J26,AT$19)</f>
        <v>0.15334759788990021</v>
      </c>
      <c r="AU34" s="304">
        <f>IF(Keuzemenu!$D$24="ja",Keuzemenu!$J26,AU$19)</f>
        <v>0.15334759788990021</v>
      </c>
      <c r="AV34" s="304">
        <f>IF(Keuzemenu!$D$24="ja",Keuzemenu!$J26,AV$19)</f>
        <v>0.15334759788990021</v>
      </c>
      <c r="AW34" s="304">
        <f>IF(Keuzemenu!$D$24="ja",Keuzemenu!$J26,AW$19)</f>
        <v>0.15334759788990021</v>
      </c>
      <c r="AX34" s="304">
        <f>IF(Keuzemenu!$D$24="ja",Keuzemenu!$J26,AX$19)</f>
        <v>0.15334759788990021</v>
      </c>
      <c r="AY34" s="304">
        <f>IF(Keuzemenu!$D$24="ja",Keuzemenu!$J26,AY$19)</f>
        <v>0.15334759788990021</v>
      </c>
      <c r="AZ34" s="304">
        <f>IF(Keuzemenu!$D$24="ja",Keuzemenu!$J26,AZ$19)</f>
        <v>0.15334759788990021</v>
      </c>
      <c r="BA34" s="304">
        <f>IF(Keuzemenu!$D$24="ja",Keuzemenu!$J26,BA$19)</f>
        <v>0.15334759788990021</v>
      </c>
      <c r="BB34" s="304">
        <f>IF(Keuzemenu!$D$24="ja",Keuzemenu!$J26,BB$19)</f>
        <v>0.15334759788990021</v>
      </c>
      <c r="BE34" s="283" t="s">
        <v>16</v>
      </c>
      <c r="BF34" s="283">
        <v>1</v>
      </c>
    </row>
    <row r="35" spans="1:58" ht="15.75" thickBot="1" x14ac:dyDescent="0.35">
      <c r="B35" s="283" t="s">
        <v>141</v>
      </c>
      <c r="C35" s="283" t="s">
        <v>1094</v>
      </c>
      <c r="D35" s="304">
        <f>IF(Keuzemenu!$D$24="ja",Keuzemenu!$J27,D25)</f>
        <v>0.285017192434321</v>
      </c>
      <c r="E35" s="304">
        <f>IF(Keuzemenu!$D$24="ja",Keuzemenu!$J27,E25)</f>
        <v>0.285017192434321</v>
      </c>
      <c r="F35" s="304">
        <f>IF(Keuzemenu!$D$24="ja",Keuzemenu!$J27,F25)</f>
        <v>0.285017192434321</v>
      </c>
      <c r="G35" s="304">
        <f>IF(Keuzemenu!$D$24="ja",Keuzemenu!$J27,G25)</f>
        <v>0.285017192434321</v>
      </c>
      <c r="H35" s="304">
        <f>IF(Keuzemenu!$D$24="ja",Keuzemenu!$J27,H25)</f>
        <v>0.285017192434321</v>
      </c>
      <c r="I35" s="304">
        <f>IF(Keuzemenu!$D$24="ja",Keuzemenu!$J27,I25)</f>
        <v>0.285017192434321</v>
      </c>
      <c r="J35" s="304">
        <f>IF(Keuzemenu!$D$24="ja",Keuzemenu!$J27,J25)</f>
        <v>0.285017192434321</v>
      </c>
      <c r="K35" s="304">
        <f>IF(Keuzemenu!$D$24="ja",Keuzemenu!$J27,K25)</f>
        <v>0.285017192434321</v>
      </c>
      <c r="L35" s="304">
        <f>IF(Keuzemenu!$D$24="ja",Keuzemenu!$J27,L25)</f>
        <v>0.285017192434321</v>
      </c>
      <c r="M35" s="304">
        <f>IF(Keuzemenu!$D$24="ja",Keuzemenu!$J27,M25)</f>
        <v>0.285017192434321</v>
      </c>
      <c r="N35" s="304">
        <f>IF(Keuzemenu!$D$24="ja",Keuzemenu!$J27,N25)</f>
        <v>0.285017192434321</v>
      </c>
      <c r="O35" s="304">
        <f>IF(Keuzemenu!$D$24="ja",Keuzemenu!$J27,O25)</f>
        <v>0.285017192434321</v>
      </c>
      <c r="P35" s="304">
        <f>IF(Keuzemenu!$D$24="ja",Keuzemenu!$J27,P25)</f>
        <v>0.42700000000000005</v>
      </c>
      <c r="Q35" s="304">
        <f>IF(Keuzemenu!$D$24="ja",Keuzemenu!$J27,Q25)</f>
        <v>0.4942128553961172</v>
      </c>
      <c r="R35" s="304">
        <f>IF(Keuzemenu!$D$24="ja",Keuzemenu!$J27,R25)</f>
        <v>0.36513330119738896</v>
      </c>
      <c r="S35" s="304">
        <f>IF(Keuzemenu!$D$24="ja",Keuzemenu!$J27,S25)</f>
        <v>0.32625877180954999</v>
      </c>
      <c r="T35" s="304">
        <f>IF(Keuzemenu!$D$24="ja",Keuzemenu!$J27,T25)</f>
        <v>0.32625877180954999</v>
      </c>
      <c r="U35" s="304">
        <f>IF(Keuzemenu!$D$24="ja",Keuzemenu!$J27,U25)</f>
        <v>0.31311565776541839</v>
      </c>
      <c r="V35" s="304">
        <f>IF(Keuzemenu!$D$24="ja",Keuzemenu!$J27,V25)</f>
        <v>0.2945911054844173</v>
      </c>
      <c r="W35" s="304">
        <f>IF(Keuzemenu!$D$24="ja",Keuzemenu!$J27,W25)</f>
        <v>0.27947880883640147</v>
      </c>
      <c r="X35" s="304">
        <f>IF(Keuzemenu!$D$24="ja",Keuzemenu!$J27,X25)</f>
        <v>0.260403452923059</v>
      </c>
      <c r="Y35" s="304">
        <f>IF(Keuzemenu!$D$24="ja",Keuzemenu!$J27,Y25)</f>
        <v>0.26513658802531959</v>
      </c>
      <c r="Z35" s="304">
        <f>IF(Keuzemenu!$D$24="ja",Keuzemenu!$J27,Z25)</f>
        <v>0.26986972312758017</v>
      </c>
      <c r="AA35" s="304">
        <f>IF(Keuzemenu!$D$24="ja",Keuzemenu!$J27,AA25)</f>
        <v>0.27460285822984076</v>
      </c>
      <c r="AB35" s="304">
        <f>IF(Keuzemenu!$D$24="ja",Keuzemenu!$J27,AB25)</f>
        <v>0.27933599333210141</v>
      </c>
      <c r="AC35" s="304">
        <f>IF(Keuzemenu!$D$24="ja",Keuzemenu!$J27,AC25)</f>
        <v>0.28406912843436194</v>
      </c>
      <c r="AD35" s="304">
        <f>IF(Keuzemenu!$D$24="ja",Keuzemenu!$J27,AD25)</f>
        <v>0.28880226353662258</v>
      </c>
      <c r="AE35" s="304">
        <f>IF(Keuzemenu!$D$24="ja",Keuzemenu!$J27,AE25)</f>
        <v>0.29353539863888317</v>
      </c>
      <c r="AF35" s="304">
        <f>IF(Keuzemenu!$D$24="ja",Keuzemenu!$J27,AF25)</f>
        <v>0.2982685337411437</v>
      </c>
      <c r="AG35" s="304">
        <f>IF(Keuzemenu!$D$24="ja",Keuzemenu!$J27,AG25)</f>
        <v>0.30300166884340435</v>
      </c>
      <c r="AH35" s="304">
        <f>IF(Keuzemenu!$D$24="ja",Keuzemenu!$J27,AH25)</f>
        <v>0.30773480394566494</v>
      </c>
      <c r="AI35" s="304">
        <f>IF(Keuzemenu!$D$24="ja",Keuzemenu!$J27,AI25)</f>
        <v>0.30773480394566494</v>
      </c>
      <c r="AJ35" s="304">
        <f>IF(Keuzemenu!$D$24="ja",Keuzemenu!$J27,AJ25)</f>
        <v>0.30773480394566494</v>
      </c>
      <c r="AK35" s="304">
        <f>IF(Keuzemenu!$D$24="ja",Keuzemenu!$J27,AK25)</f>
        <v>0.30773480394566494</v>
      </c>
      <c r="AL35" s="304">
        <f>IF(Keuzemenu!$D$24="ja",Keuzemenu!$J27,AL25)</f>
        <v>0.30773480394566494</v>
      </c>
      <c r="AM35" s="304">
        <f>IF(Keuzemenu!$D$24="ja",Keuzemenu!$J27,AM25)</f>
        <v>0.30773480394566494</v>
      </c>
      <c r="AN35" s="304">
        <f>IF(Keuzemenu!$D$24="ja",Keuzemenu!$J27,AN25)</f>
        <v>0.30773480394566494</v>
      </c>
      <c r="AO35" s="304">
        <f>IF(Keuzemenu!$D$24="ja",Keuzemenu!$J27,AO25)</f>
        <v>0.30773480394566494</v>
      </c>
      <c r="AP35" s="304">
        <f>IF(Keuzemenu!$D$24="ja",Keuzemenu!$J27,AP25)</f>
        <v>0.30773480394566494</v>
      </c>
      <c r="AQ35" s="304">
        <f>IF(Keuzemenu!$D$24="ja",Keuzemenu!$J27,AQ25)</f>
        <v>0.30773480394566494</v>
      </c>
      <c r="AR35" s="304">
        <f>IF(Keuzemenu!$D$24="ja",Keuzemenu!$J27,AR25)</f>
        <v>0.30773480394566494</v>
      </c>
      <c r="AS35" s="304">
        <f>IF(Keuzemenu!$D$24="ja",Keuzemenu!$J27,AS25)</f>
        <v>0.30773480394566494</v>
      </c>
      <c r="AT35" s="304">
        <f>IF(Keuzemenu!$D$24="ja",Keuzemenu!$J27,AT25)</f>
        <v>0.30773480394566494</v>
      </c>
      <c r="AU35" s="304">
        <f>IF(Keuzemenu!$D$24="ja",Keuzemenu!$J27,AU25)</f>
        <v>0.30773480394566494</v>
      </c>
      <c r="AV35" s="304">
        <f>IF(Keuzemenu!$D$24="ja",Keuzemenu!$J27,AV25)</f>
        <v>0.30773480394566494</v>
      </c>
      <c r="AW35" s="304">
        <f>IF(Keuzemenu!$D$24="ja",Keuzemenu!$J27,AW25)</f>
        <v>0.30773480394566494</v>
      </c>
      <c r="AX35" s="304">
        <f>IF(Keuzemenu!$D$24="ja",Keuzemenu!$J27,AX25)</f>
        <v>0.30773480394566494</v>
      </c>
      <c r="AY35" s="304">
        <f>IF(Keuzemenu!$D$24="ja",Keuzemenu!$J27,AY25)</f>
        <v>0.30773480394566494</v>
      </c>
      <c r="AZ35" s="304">
        <f>IF(Keuzemenu!$D$24="ja",Keuzemenu!$J27,AZ25)</f>
        <v>0.30773480394566494</v>
      </c>
      <c r="BA35" s="304">
        <f>IF(Keuzemenu!$D$24="ja",Keuzemenu!$J27,BA25)</f>
        <v>0.30773480394566494</v>
      </c>
      <c r="BB35" s="304">
        <f>IF(Keuzemenu!$D$24="ja",Keuzemenu!$J27,BB25)</f>
        <v>0.30773480394566494</v>
      </c>
    </row>
    <row r="36" spans="1:58" ht="15.75" thickBot="1" x14ac:dyDescent="0.35">
      <c r="B36" s="283" t="s">
        <v>141</v>
      </c>
      <c r="C36" s="283" t="s">
        <v>1093</v>
      </c>
      <c r="D36" s="304">
        <f>IF(Keuzemenu!$D$24="ja",Keuzemenu!$J28,D26)</f>
        <v>0.63</v>
      </c>
      <c r="E36" s="304">
        <f>IF(Keuzemenu!$D$24="ja",Keuzemenu!$J28,E26)</f>
        <v>0.63</v>
      </c>
      <c r="F36" s="304">
        <f>IF(Keuzemenu!$D$24="ja",Keuzemenu!$J28,F26)</f>
        <v>0.63</v>
      </c>
      <c r="G36" s="304">
        <f>IF(Keuzemenu!$D$24="ja",Keuzemenu!$J28,G26)</f>
        <v>0.63</v>
      </c>
      <c r="H36" s="304">
        <f>IF(Keuzemenu!$D$24="ja",Keuzemenu!$J28,H26)</f>
        <v>0.63</v>
      </c>
      <c r="I36" s="304">
        <f>IF(Keuzemenu!$D$24="ja",Keuzemenu!$J28,I26)</f>
        <v>0.63</v>
      </c>
      <c r="J36" s="304">
        <f>IF(Keuzemenu!$D$24="ja",Keuzemenu!$J28,J26)</f>
        <v>0.63</v>
      </c>
      <c r="K36" s="304">
        <f>IF(Keuzemenu!$D$24="ja",Keuzemenu!$J28,K26)</f>
        <v>0.63</v>
      </c>
      <c r="L36" s="304">
        <f>IF(Keuzemenu!$D$24="ja",Keuzemenu!$J28,L26)</f>
        <v>0.63</v>
      </c>
      <c r="M36" s="304">
        <f>IF(Keuzemenu!$D$24="ja",Keuzemenu!$J28,M26)</f>
        <v>0.63</v>
      </c>
      <c r="N36" s="304">
        <f>IF(Keuzemenu!$D$24="ja",Keuzemenu!$J28,N26)</f>
        <v>0.63</v>
      </c>
      <c r="O36" s="304">
        <f>IF(Keuzemenu!$D$24="ja",Keuzemenu!$J28,O26)</f>
        <v>0.63</v>
      </c>
      <c r="P36" s="304">
        <f>IF(Keuzemenu!$D$24="ja",Keuzemenu!$J28,P26)</f>
        <v>0.63</v>
      </c>
      <c r="Q36" s="304">
        <f>IF(Keuzemenu!$D$24="ja",Keuzemenu!$J28,Q26)</f>
        <v>0.5950413223140496</v>
      </c>
      <c r="R36" s="304">
        <f>IF(Keuzemenu!$D$24="ja",Keuzemenu!$J28,R26)</f>
        <v>0.57851239669421484</v>
      </c>
      <c r="S36" s="304">
        <f>IF(Keuzemenu!$D$24="ja",Keuzemenu!$J28,S26)</f>
        <v>0.57851239669421484</v>
      </c>
      <c r="T36" s="304">
        <f>IF(Keuzemenu!$D$24="ja",Keuzemenu!$J28,T26)</f>
        <v>0.57024793388429751</v>
      </c>
      <c r="U36" s="304">
        <f>IF(Keuzemenu!$D$24="ja",Keuzemenu!$J28,U26)</f>
        <v>0.57024793388429751</v>
      </c>
      <c r="V36" s="304">
        <f>IF(Keuzemenu!$D$24="ja",Keuzemenu!$J28,V26)</f>
        <v>0.56198347107438018</v>
      </c>
      <c r="W36" s="304">
        <f>IF(Keuzemenu!$D$24="ja",Keuzemenu!$J28,W26)</f>
        <v>0.56198347107438018</v>
      </c>
      <c r="X36" s="304">
        <f>IF(Keuzemenu!$D$24="ja",Keuzemenu!$J28,X26)</f>
        <v>0.56198347107438018</v>
      </c>
      <c r="Y36" s="304">
        <f>IF(Keuzemenu!$D$24="ja",Keuzemenu!$J28,Y26)</f>
        <v>0.56198347107438018</v>
      </c>
      <c r="Z36" s="304">
        <f>IF(Keuzemenu!$D$24="ja",Keuzemenu!$J28,Z26)</f>
        <v>0.56198347107438018</v>
      </c>
      <c r="AA36" s="304">
        <f>IF(Keuzemenu!$D$24="ja",Keuzemenu!$J28,AA26)</f>
        <v>0.56198347107438018</v>
      </c>
      <c r="AB36" s="304">
        <f>IF(Keuzemenu!$D$24="ja",Keuzemenu!$J28,AB26)</f>
        <v>0.56198347107438018</v>
      </c>
      <c r="AC36" s="304">
        <f>IF(Keuzemenu!$D$24="ja",Keuzemenu!$J28,AC26)</f>
        <v>0.56198347107438018</v>
      </c>
      <c r="AD36" s="304">
        <f>IF(Keuzemenu!$D$24="ja",Keuzemenu!$J28,AD26)</f>
        <v>0.56198347107438018</v>
      </c>
      <c r="AE36" s="304">
        <f>IF(Keuzemenu!$D$24="ja",Keuzemenu!$J28,AE26)</f>
        <v>0.56198347107438018</v>
      </c>
      <c r="AF36" s="304">
        <f>IF(Keuzemenu!$D$24="ja",Keuzemenu!$J28,AF26)</f>
        <v>0.56198347107438018</v>
      </c>
      <c r="AG36" s="304">
        <f>IF(Keuzemenu!$D$24="ja",Keuzemenu!$J28,AG26)</f>
        <v>0.56198347107438018</v>
      </c>
      <c r="AH36" s="304">
        <f>IF(Keuzemenu!$D$24="ja",Keuzemenu!$J28,AH26)</f>
        <v>0.56198347107438018</v>
      </c>
      <c r="AI36" s="304">
        <f>IF(Keuzemenu!$D$24="ja",Keuzemenu!$J28,AI26)</f>
        <v>0.56198347107438018</v>
      </c>
      <c r="AJ36" s="304">
        <f>IF(Keuzemenu!$D$24="ja",Keuzemenu!$J28,AJ26)</f>
        <v>0.56198347107438018</v>
      </c>
      <c r="AK36" s="304">
        <f>IF(Keuzemenu!$D$24="ja",Keuzemenu!$J28,AK26)</f>
        <v>0.56198347107438018</v>
      </c>
      <c r="AL36" s="304">
        <f>IF(Keuzemenu!$D$24="ja",Keuzemenu!$J28,AL26)</f>
        <v>0.56198347107438018</v>
      </c>
      <c r="AM36" s="304">
        <f>IF(Keuzemenu!$D$24="ja",Keuzemenu!$J28,AM26)</f>
        <v>0.56198347107438018</v>
      </c>
      <c r="AN36" s="304">
        <f>IF(Keuzemenu!$D$24="ja",Keuzemenu!$J28,AN26)</f>
        <v>0.56198347107438018</v>
      </c>
      <c r="AO36" s="304">
        <f>IF(Keuzemenu!$D$24="ja",Keuzemenu!$J28,AO26)</f>
        <v>0.56198347107438018</v>
      </c>
      <c r="AP36" s="304">
        <f>IF(Keuzemenu!$D$24="ja",Keuzemenu!$J28,AP26)</f>
        <v>0.56198347107438018</v>
      </c>
      <c r="AQ36" s="304">
        <f>IF(Keuzemenu!$D$24="ja",Keuzemenu!$J28,AQ26)</f>
        <v>0.56198347107438018</v>
      </c>
      <c r="AR36" s="304">
        <f>IF(Keuzemenu!$D$24="ja",Keuzemenu!$J28,AR26)</f>
        <v>0.56198347107438018</v>
      </c>
      <c r="AS36" s="304">
        <f>IF(Keuzemenu!$D$24="ja",Keuzemenu!$J28,AS26)</f>
        <v>0.56198347107438018</v>
      </c>
      <c r="AT36" s="304">
        <f>IF(Keuzemenu!$D$24="ja",Keuzemenu!$J28,AT26)</f>
        <v>0.56198347107438018</v>
      </c>
      <c r="AU36" s="304">
        <f>IF(Keuzemenu!$D$24="ja",Keuzemenu!$J28,AU26)</f>
        <v>0.56198347107438018</v>
      </c>
      <c r="AV36" s="304">
        <f>IF(Keuzemenu!$D$24="ja",Keuzemenu!$J28,AV26)</f>
        <v>0.56198347107438018</v>
      </c>
      <c r="AW36" s="304">
        <f>IF(Keuzemenu!$D$24="ja",Keuzemenu!$J28,AW26)</f>
        <v>0.56198347107438018</v>
      </c>
      <c r="AX36" s="304">
        <f>IF(Keuzemenu!$D$24="ja",Keuzemenu!$J28,AX26)</f>
        <v>0.56198347107438018</v>
      </c>
      <c r="AY36" s="304">
        <f>IF(Keuzemenu!$D$24="ja",Keuzemenu!$J28,AY26)</f>
        <v>0.56198347107438018</v>
      </c>
      <c r="AZ36" s="304">
        <f>IF(Keuzemenu!$D$24="ja",Keuzemenu!$J28,AZ26)</f>
        <v>0.56198347107438018</v>
      </c>
      <c r="BA36" s="304">
        <f>IF(Keuzemenu!$D$24="ja",Keuzemenu!$J28,BA26)</f>
        <v>0.56198347107438018</v>
      </c>
      <c r="BB36" s="304">
        <f>IF(Keuzemenu!$D$24="ja",Keuzemenu!$J28,BB26)</f>
        <v>0.56198347107438018</v>
      </c>
      <c r="BE36" t="s">
        <v>799</v>
      </c>
    </row>
    <row r="39" spans="1:58" x14ac:dyDescent="0.3">
      <c r="E39" s="517"/>
      <c r="F39" s="517"/>
    </row>
    <row r="40" spans="1:58" x14ac:dyDescent="0.3">
      <c r="E40" s="517"/>
      <c r="F40" s="517"/>
    </row>
    <row r="41" spans="1:58" x14ac:dyDescent="0.3">
      <c r="E41" s="517"/>
      <c r="F41" s="517"/>
    </row>
    <row r="46" spans="1:58" ht="21" thickBot="1" x14ac:dyDescent="0.4">
      <c r="A46" s="86" t="s">
        <v>1262</v>
      </c>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row>
    <row r="47" spans="1:58" ht="15.75" thickTop="1" x14ac:dyDescent="0.3"/>
    <row r="48" spans="1:58" ht="15.75" thickBot="1" x14ac:dyDescent="0.35">
      <c r="I48" t="s">
        <v>1244</v>
      </c>
      <c r="N48" t="s">
        <v>2</v>
      </c>
      <c r="O48" t="s">
        <v>15</v>
      </c>
      <c r="P48" t="s">
        <v>225</v>
      </c>
      <c r="R48" s="765" t="s">
        <v>1339</v>
      </c>
      <c r="S48" s="765"/>
      <c r="T48" s="765"/>
      <c r="U48" s="765"/>
      <c r="V48" s="765"/>
      <c r="W48" s="765"/>
      <c r="X48" s="765"/>
      <c r="Y48" s="116"/>
      <c r="Z48" s="116" t="s">
        <v>1343</v>
      </c>
      <c r="AA48" s="116"/>
      <c r="AB48" s="116"/>
      <c r="AC48" s="116"/>
      <c r="AD48" s="116"/>
      <c r="AE48" s="116"/>
      <c r="AF48" s="116"/>
      <c r="AG48" s="117"/>
      <c r="AH48" s="117"/>
      <c r="AI48" s="762" t="s">
        <v>1341</v>
      </c>
      <c r="AJ48" s="762"/>
      <c r="AK48" s="762"/>
      <c r="AL48" s="762"/>
      <c r="AM48" s="762"/>
      <c r="AN48" s="762"/>
      <c r="AO48" s="762"/>
    </row>
    <row r="49" spans="1:48" ht="30.75" customHeight="1" x14ac:dyDescent="0.35">
      <c r="C49" s="137"/>
      <c r="D49" s="754" t="s">
        <v>1294</v>
      </c>
      <c r="E49" s="755"/>
      <c r="F49" s="754" t="s">
        <v>1295</v>
      </c>
      <c r="G49" s="755"/>
      <c r="H49" s="137"/>
      <c r="I49" s="756" t="s">
        <v>1340</v>
      </c>
      <c r="J49" s="757"/>
      <c r="K49" s="758"/>
      <c r="M49" s="139" t="s">
        <v>222</v>
      </c>
      <c r="N49" s="140">
        <v>159.387</v>
      </c>
      <c r="O49" s="140">
        <v>116.52800000000001</v>
      </c>
      <c r="P49" s="141">
        <v>217.768</v>
      </c>
      <c r="R49" s="759" t="s">
        <v>198</v>
      </c>
      <c r="S49" s="760"/>
      <c r="T49" s="761"/>
      <c r="U49" s="116"/>
      <c r="V49" s="759" t="s">
        <v>199</v>
      </c>
      <c r="W49" s="760"/>
      <c r="X49" s="761"/>
      <c r="Y49" s="116"/>
      <c r="Z49" s="162" t="s">
        <v>200</v>
      </c>
      <c r="AA49" s="163" t="s">
        <v>196</v>
      </c>
      <c r="AB49" s="116"/>
      <c r="AC49" s="763" t="s">
        <v>202</v>
      </c>
      <c r="AD49" s="764"/>
      <c r="AF49" s="763" t="s">
        <v>203</v>
      </c>
      <c r="AG49" s="764"/>
      <c r="AI49" s="759" t="s">
        <v>198</v>
      </c>
      <c r="AJ49" s="760"/>
      <c r="AK49" s="761"/>
      <c r="AL49" s="116"/>
      <c r="AM49" s="759" t="s">
        <v>199</v>
      </c>
      <c r="AN49" s="760"/>
      <c r="AO49" s="761"/>
    </row>
    <row r="50" spans="1:48" ht="15.75" x14ac:dyDescent="0.35">
      <c r="C50" s="137"/>
      <c r="D50" s="133" t="s">
        <v>2</v>
      </c>
      <c r="E50" s="134" t="s">
        <v>15</v>
      </c>
      <c r="F50" s="133" t="s">
        <v>2</v>
      </c>
      <c r="G50" s="134" t="s">
        <v>15</v>
      </c>
      <c r="H50" s="137"/>
      <c r="I50" s="133" t="s">
        <v>19</v>
      </c>
      <c r="J50" s="134" t="s">
        <v>197</v>
      </c>
      <c r="K50" s="135" t="s">
        <v>18</v>
      </c>
      <c r="M50" s="142" t="s">
        <v>223</v>
      </c>
      <c r="N50" s="143">
        <v>6.36</v>
      </c>
      <c r="O50" s="143">
        <v>7.5410000000000004</v>
      </c>
      <c r="P50" s="144">
        <v>3.6869999999999998</v>
      </c>
      <c r="R50" s="118" t="s">
        <v>19</v>
      </c>
      <c r="S50" s="117" t="s">
        <v>197</v>
      </c>
      <c r="T50" s="119" t="s">
        <v>18</v>
      </c>
      <c r="U50" s="116"/>
      <c r="V50" s="118" t="s">
        <v>19</v>
      </c>
      <c r="W50" s="117" t="s">
        <v>197</v>
      </c>
      <c r="X50" s="119" t="s">
        <v>18</v>
      </c>
      <c r="Y50" s="116"/>
      <c r="Z50" s="118" t="s">
        <v>201</v>
      </c>
      <c r="AA50" s="119" t="s">
        <v>201</v>
      </c>
      <c r="AB50" s="116"/>
      <c r="AC50" s="118" t="s">
        <v>200</v>
      </c>
      <c r="AD50" s="119" t="s">
        <v>196</v>
      </c>
      <c r="AF50" s="118" t="s">
        <v>200</v>
      </c>
      <c r="AG50" s="119" t="s">
        <v>196</v>
      </c>
      <c r="AI50" s="118" t="s">
        <v>19</v>
      </c>
      <c r="AJ50" s="117" t="s">
        <v>197</v>
      </c>
      <c r="AK50" s="119" t="s">
        <v>18</v>
      </c>
      <c r="AL50" s="116"/>
      <c r="AM50" s="118" t="s">
        <v>19</v>
      </c>
      <c r="AN50" s="117" t="s">
        <v>197</v>
      </c>
      <c r="AO50" s="119" t="s">
        <v>18</v>
      </c>
    </row>
    <row r="51" spans="1:48" ht="15.75" x14ac:dyDescent="0.35">
      <c r="C51" s="138">
        <v>2000</v>
      </c>
      <c r="D51" s="136"/>
      <c r="E51" s="137"/>
      <c r="H51" s="138">
        <v>2000</v>
      </c>
      <c r="I51" s="151">
        <v>40.008873256282733</v>
      </c>
      <c r="J51" s="152">
        <v>40.008873256282733</v>
      </c>
      <c r="K51" s="153">
        <v>40.008873256282733</v>
      </c>
      <c r="M51" s="142"/>
      <c r="N51" s="145"/>
      <c r="O51" s="145"/>
      <c r="P51" s="146"/>
      <c r="R51" s="120"/>
      <c r="S51" s="116"/>
      <c r="T51" s="121"/>
      <c r="U51" s="116"/>
      <c r="V51" s="120"/>
      <c r="W51" s="116"/>
      <c r="X51" s="121"/>
      <c r="Y51" s="116"/>
      <c r="Z51" s="120"/>
      <c r="AA51" s="121"/>
      <c r="AB51" s="116"/>
      <c r="AC51" t="s">
        <v>1276</v>
      </c>
      <c r="AD51" t="s">
        <v>1276</v>
      </c>
      <c r="AF51" s="120"/>
      <c r="AG51" s="121"/>
      <c r="AI51" s="120"/>
      <c r="AJ51" s="116"/>
      <c r="AK51" s="121"/>
      <c r="AL51" s="116"/>
      <c r="AM51" s="120"/>
      <c r="AN51" s="116"/>
      <c r="AO51" s="121"/>
    </row>
    <row r="52" spans="1:48" ht="16.5" thickBot="1" x14ac:dyDescent="0.4">
      <c r="C52" s="138">
        <v>2001</v>
      </c>
      <c r="D52" s="136"/>
      <c r="E52" s="137"/>
      <c r="H52" s="138">
        <v>2001</v>
      </c>
      <c r="I52" s="151">
        <v>34.403907362160794</v>
      </c>
      <c r="J52" s="152">
        <v>34.403907362160794</v>
      </c>
      <c r="K52" s="153">
        <v>34.403907362160794</v>
      </c>
      <c r="M52" s="147" t="s">
        <v>224</v>
      </c>
      <c r="N52" s="148">
        <v>0.96199999999999997</v>
      </c>
      <c r="O52" s="148">
        <v>0.96</v>
      </c>
      <c r="P52" s="149">
        <v>0.90300000000000002</v>
      </c>
      <c r="R52" s="120"/>
      <c r="S52" s="116"/>
      <c r="T52" s="121"/>
      <c r="U52" s="116"/>
      <c r="V52" s="120"/>
      <c r="W52" s="116"/>
      <c r="X52" s="121"/>
      <c r="Y52" s="116"/>
      <c r="Z52" s="120"/>
      <c r="AA52" s="121"/>
      <c r="AB52" s="116"/>
      <c r="AC52" s="120"/>
      <c r="AD52" s="121"/>
      <c r="AF52" s="120"/>
      <c r="AG52" s="121"/>
      <c r="AI52" s="120"/>
      <c r="AJ52" s="116"/>
      <c r="AK52" s="121"/>
      <c r="AL52" s="116"/>
      <c r="AM52" s="120"/>
      <c r="AN52" s="116"/>
      <c r="AO52" s="121"/>
    </row>
    <row r="53" spans="1:48" x14ac:dyDescent="0.3">
      <c r="C53" s="138">
        <v>2002</v>
      </c>
      <c r="D53" s="136"/>
      <c r="E53" s="137"/>
      <c r="H53" s="138">
        <v>2002</v>
      </c>
      <c r="I53" s="151">
        <v>32.560144658693524</v>
      </c>
      <c r="J53" s="152">
        <v>32.560144658693524</v>
      </c>
      <c r="K53" s="153">
        <v>32.560144658693524</v>
      </c>
      <c r="R53" s="120"/>
      <c r="S53" s="116"/>
      <c r="T53" s="121"/>
      <c r="U53" s="116"/>
      <c r="V53" s="120"/>
      <c r="W53" s="116"/>
      <c r="X53" s="121"/>
      <c r="Y53" s="116"/>
      <c r="Z53" s="120"/>
      <c r="AA53" s="121"/>
      <c r="AB53" s="116"/>
      <c r="AC53" s="120"/>
      <c r="AD53" s="121"/>
      <c r="AF53" s="120"/>
      <c r="AG53" s="121"/>
      <c r="AI53" s="120"/>
      <c r="AJ53" s="116"/>
      <c r="AK53" s="121"/>
      <c r="AL53" s="116"/>
      <c r="AM53" s="120"/>
      <c r="AN53" s="116"/>
      <c r="AO53" s="121"/>
    </row>
    <row r="54" spans="1:48" x14ac:dyDescent="0.3">
      <c r="C54" s="138">
        <v>2003</v>
      </c>
      <c r="D54" s="136"/>
      <c r="E54" s="137"/>
      <c r="H54" s="138">
        <v>2003</v>
      </c>
      <c r="I54" s="151">
        <v>30.78248410374907</v>
      </c>
      <c r="J54" s="152">
        <v>30.78248410374907</v>
      </c>
      <c r="K54" s="153">
        <v>30.78248410374907</v>
      </c>
      <c r="R54" s="120"/>
      <c r="S54" s="116"/>
      <c r="T54" s="121"/>
      <c r="U54" s="116"/>
      <c r="V54" s="120"/>
      <c r="W54" s="116"/>
      <c r="X54" s="121"/>
      <c r="Y54" s="116"/>
      <c r="Z54" s="120"/>
      <c r="AA54" s="121"/>
      <c r="AB54" s="116"/>
      <c r="AC54" s="120"/>
      <c r="AD54" s="121"/>
      <c r="AF54" s="120"/>
      <c r="AG54" s="121"/>
      <c r="AI54" s="120"/>
      <c r="AJ54" s="116"/>
      <c r="AK54" s="121"/>
      <c r="AL54" s="116"/>
      <c r="AM54" s="120"/>
      <c r="AN54" s="116"/>
      <c r="AO54" s="121"/>
    </row>
    <row r="55" spans="1:48" x14ac:dyDescent="0.3">
      <c r="C55" s="138">
        <v>2004</v>
      </c>
      <c r="D55" s="136"/>
      <c r="E55" s="137"/>
      <c r="H55" s="138">
        <v>2004</v>
      </c>
      <c r="I55" s="151">
        <v>36.346480984572381</v>
      </c>
      <c r="J55" s="152">
        <v>36.346480984572381</v>
      </c>
      <c r="K55" s="153">
        <v>36.346480984572381</v>
      </c>
      <c r="R55" s="120"/>
      <c r="S55" s="116"/>
      <c r="T55" s="121"/>
      <c r="U55" s="116"/>
      <c r="V55" s="120"/>
      <c r="W55" s="116"/>
      <c r="X55" s="121"/>
      <c r="Y55" s="116"/>
      <c r="Z55" s="120"/>
      <c r="AA55" s="121"/>
      <c r="AB55" s="116"/>
      <c r="AC55" s="120"/>
      <c r="AD55" s="121"/>
      <c r="AF55" s="120"/>
      <c r="AG55" s="121"/>
      <c r="AI55" s="120"/>
      <c r="AJ55" s="116"/>
      <c r="AK55" s="121"/>
      <c r="AL55" s="116"/>
      <c r="AM55" s="120"/>
      <c r="AN55" s="116"/>
      <c r="AO55" s="121"/>
    </row>
    <row r="56" spans="1:48" x14ac:dyDescent="0.3">
      <c r="C56" s="138">
        <v>2005</v>
      </c>
      <c r="D56" s="136"/>
      <c r="E56" s="137"/>
      <c r="H56" s="138">
        <v>2005</v>
      </c>
      <c r="I56" s="151">
        <v>50.723211960453334</v>
      </c>
      <c r="J56" s="152">
        <v>50.723211960453334</v>
      </c>
      <c r="K56" s="153">
        <v>50.723211960453334</v>
      </c>
      <c r="R56" s="120"/>
      <c r="S56" s="116"/>
      <c r="T56" s="121"/>
      <c r="U56" s="116"/>
      <c r="V56" s="120"/>
      <c r="W56" s="116"/>
      <c r="X56" s="121"/>
      <c r="Y56" s="116"/>
      <c r="Z56" s="120"/>
      <c r="AA56" s="121"/>
      <c r="AB56" s="116"/>
      <c r="AC56" s="120"/>
      <c r="AD56" s="121"/>
      <c r="AF56" s="120"/>
      <c r="AG56" s="121"/>
      <c r="AI56" s="120"/>
      <c r="AJ56" s="116"/>
      <c r="AK56" s="121"/>
      <c r="AL56" s="116"/>
      <c r="AM56" s="120"/>
      <c r="AN56" s="116"/>
      <c r="AO56" s="121"/>
    </row>
    <row r="57" spans="1:48" x14ac:dyDescent="0.3">
      <c r="B57" s="67" t="s">
        <v>1243</v>
      </c>
      <c r="C57" s="138">
        <v>2006</v>
      </c>
      <c r="D57" s="401">
        <v>0.67627999999999999</v>
      </c>
      <c r="E57" s="401">
        <v>0.37141000000000002</v>
      </c>
      <c r="F57" s="401">
        <v>0.67627999999999999</v>
      </c>
      <c r="G57" s="401">
        <v>0.37141000000000002</v>
      </c>
      <c r="H57" s="138">
        <v>2006</v>
      </c>
      <c r="I57" s="151">
        <v>58.731616357543793</v>
      </c>
      <c r="J57" s="152">
        <v>58.731616357543793</v>
      </c>
      <c r="K57" s="153">
        <v>58.731616357543793</v>
      </c>
      <c r="R57" s="122">
        <v>0.53500000000000003</v>
      </c>
      <c r="S57" s="433">
        <v>0.53500000000000003</v>
      </c>
      <c r="T57" s="123">
        <v>0.53500000000000003</v>
      </c>
      <c r="U57" s="116"/>
      <c r="V57" s="122">
        <v>0.56499999999999995</v>
      </c>
      <c r="W57" s="433">
        <v>0.56499999999999995</v>
      </c>
      <c r="X57" s="123">
        <v>0.56499999999999995</v>
      </c>
      <c r="Y57" s="116"/>
      <c r="Z57" s="124">
        <f t="shared" ref="Z57:AA60" si="74">Z58</f>
        <v>0.52500000000000002</v>
      </c>
      <c r="AA57" s="125">
        <f t="shared" si="74"/>
        <v>0.82599999999999996</v>
      </c>
      <c r="AB57" s="116"/>
      <c r="AC57" s="1">
        <v>4.3487738419618477E-3</v>
      </c>
      <c r="AD57" s="1">
        <v>3.4770114942528764E-3</v>
      </c>
      <c r="AF57" s="166">
        <v>0</v>
      </c>
      <c r="AG57" s="167">
        <v>0</v>
      </c>
      <c r="AI57" s="122">
        <f t="shared" ref="AI57:AI86" si="75">+R57*(1-$AF57)+$Z57*$AF57</f>
        <v>0.53500000000000003</v>
      </c>
      <c r="AJ57" s="433">
        <f t="shared" ref="AJ57:AJ86" si="76">+S57*(1-$AF57)+$Z57*$AF57</f>
        <v>0.53500000000000003</v>
      </c>
      <c r="AK57" s="123">
        <f t="shared" ref="AK57:AK86" si="77">+T57*(1-$AF57)+$Z57*$AF57</f>
        <v>0.53500000000000003</v>
      </c>
      <c r="AL57" s="116"/>
      <c r="AM57" s="122">
        <f t="shared" ref="AM57:AM85" si="78">+V57*(1-$AG57)+$AA57*$AG57</f>
        <v>0.56499999999999995</v>
      </c>
      <c r="AN57" s="433">
        <f t="shared" ref="AN57:AN86" si="79">+W57*(1-$AG57)+$AA57*$AG57</f>
        <v>0.56499999999999995</v>
      </c>
      <c r="AO57" s="123">
        <f t="shared" ref="AO57:AO86" si="80">+X57*(1-$AG57)+$AA57*$AG57</f>
        <v>0.56499999999999995</v>
      </c>
    </row>
    <row r="58" spans="1:48" x14ac:dyDescent="0.3">
      <c r="C58" s="138">
        <v>2007</v>
      </c>
      <c r="D58" s="401">
        <v>0.68701999999999996</v>
      </c>
      <c r="E58" s="401">
        <v>0.37726999999999999</v>
      </c>
      <c r="F58" s="401">
        <v>0.68701999999999996</v>
      </c>
      <c r="G58" s="401">
        <v>0.37726999999999999</v>
      </c>
      <c r="H58" s="138">
        <v>2007</v>
      </c>
      <c r="I58" s="151">
        <v>58.569755941218268</v>
      </c>
      <c r="J58" s="152">
        <v>58.569755941218268</v>
      </c>
      <c r="K58" s="153">
        <v>58.569755941218268</v>
      </c>
      <c r="R58" s="122">
        <v>0.55200000000000005</v>
      </c>
      <c r="S58" s="433">
        <v>0.55200000000000005</v>
      </c>
      <c r="T58" s="123">
        <v>0.55200000000000005</v>
      </c>
      <c r="U58" s="116"/>
      <c r="V58" s="122">
        <v>0.56499999999999995</v>
      </c>
      <c r="W58" s="433">
        <v>0.56499999999999995</v>
      </c>
      <c r="X58" s="123">
        <v>0.56499999999999995</v>
      </c>
      <c r="Y58" s="116"/>
      <c r="Z58" s="124">
        <f t="shared" si="74"/>
        <v>0.52500000000000002</v>
      </c>
      <c r="AA58" s="125">
        <f t="shared" si="74"/>
        <v>0.82599999999999996</v>
      </c>
      <c r="AB58" s="116"/>
      <c r="AC58" s="1">
        <v>2.0027159152634467E-2</v>
      </c>
      <c r="AD58" s="1">
        <v>3.2847073007588982E-2</v>
      </c>
      <c r="AF58" s="166">
        <v>0</v>
      </c>
      <c r="AG58" s="167">
        <v>0</v>
      </c>
      <c r="AI58" s="122">
        <f t="shared" si="75"/>
        <v>0.55200000000000005</v>
      </c>
      <c r="AJ58" s="433">
        <f t="shared" si="76"/>
        <v>0.55200000000000005</v>
      </c>
      <c r="AK58" s="123">
        <f t="shared" si="77"/>
        <v>0.55200000000000005</v>
      </c>
      <c r="AL58" s="116"/>
      <c r="AM58" s="122">
        <f t="shared" si="78"/>
        <v>0.56499999999999995</v>
      </c>
      <c r="AN58" s="433">
        <f t="shared" si="79"/>
        <v>0.56499999999999995</v>
      </c>
      <c r="AO58" s="123">
        <f t="shared" si="80"/>
        <v>0.56499999999999995</v>
      </c>
    </row>
    <row r="59" spans="1:48" x14ac:dyDescent="0.3">
      <c r="C59" s="138">
        <v>2008</v>
      </c>
      <c r="D59" s="401">
        <v>0.69723999999999997</v>
      </c>
      <c r="E59" s="401">
        <v>0.38284000000000001</v>
      </c>
      <c r="F59" s="401">
        <v>0.69723999999999997</v>
      </c>
      <c r="G59" s="401">
        <v>0.38284000000000001</v>
      </c>
      <c r="H59" s="138">
        <v>2008</v>
      </c>
      <c r="I59" s="151">
        <v>70.716262284098605</v>
      </c>
      <c r="J59" s="152">
        <v>70.716262284098605</v>
      </c>
      <c r="K59" s="153">
        <v>70.716262284098605</v>
      </c>
      <c r="R59" s="122">
        <v>0.58399999999999996</v>
      </c>
      <c r="S59" s="433">
        <v>0.58399999999999996</v>
      </c>
      <c r="T59" s="123">
        <v>0.58399999999999996</v>
      </c>
      <c r="U59" s="116"/>
      <c r="V59" s="122">
        <v>0.69299999999999995</v>
      </c>
      <c r="W59" s="433">
        <v>0.69299999999999995</v>
      </c>
      <c r="X59" s="123">
        <v>0.69299999999999995</v>
      </c>
      <c r="Y59" s="116"/>
      <c r="Z59" s="124">
        <f t="shared" si="74"/>
        <v>0.52500000000000002</v>
      </c>
      <c r="AA59" s="125">
        <f t="shared" si="74"/>
        <v>0.82599999999999996</v>
      </c>
      <c r="AB59" s="116"/>
      <c r="AC59" s="1">
        <v>2.4640522875816993E-2</v>
      </c>
      <c r="AD59" s="1">
        <v>2.6174699683622998E-2</v>
      </c>
      <c r="AF59" s="166">
        <v>0</v>
      </c>
      <c r="AG59" s="167">
        <v>0</v>
      </c>
      <c r="AI59" s="122">
        <f t="shared" si="75"/>
        <v>0.58399999999999996</v>
      </c>
      <c r="AJ59" s="433">
        <f t="shared" si="76"/>
        <v>0.58399999999999996</v>
      </c>
      <c r="AK59" s="123">
        <f t="shared" si="77"/>
        <v>0.58399999999999996</v>
      </c>
      <c r="AL59" s="116"/>
      <c r="AM59" s="122">
        <f t="shared" si="78"/>
        <v>0.69299999999999995</v>
      </c>
      <c r="AN59" s="433">
        <f t="shared" si="79"/>
        <v>0.69299999999999995</v>
      </c>
      <c r="AO59" s="123">
        <f t="shared" si="80"/>
        <v>0.69299999999999995</v>
      </c>
    </row>
    <row r="60" spans="1:48" x14ac:dyDescent="0.3">
      <c r="C60" s="138">
        <v>2009</v>
      </c>
      <c r="D60" s="401">
        <v>0.69723999999999997</v>
      </c>
      <c r="E60" s="401">
        <v>0.41293999999999997</v>
      </c>
      <c r="F60" s="401">
        <v>0.69723999999999997</v>
      </c>
      <c r="G60" s="401">
        <v>0.41293999999999997</v>
      </c>
      <c r="H60" s="138">
        <v>2009</v>
      </c>
      <c r="I60" s="151">
        <v>47.356244330374722</v>
      </c>
      <c r="J60" s="152">
        <v>47.356244330374722</v>
      </c>
      <c r="K60" s="153">
        <v>47.356244330374722</v>
      </c>
      <c r="R60" s="122">
        <v>0.45500000000000002</v>
      </c>
      <c r="S60" s="433">
        <v>0.45500000000000002</v>
      </c>
      <c r="T60" s="123">
        <v>0.45500000000000002</v>
      </c>
      <c r="U60" s="116"/>
      <c r="V60" s="122">
        <v>0.45800000000000002</v>
      </c>
      <c r="W60" s="433">
        <v>0.45800000000000002</v>
      </c>
      <c r="X60" s="123">
        <v>0.45800000000000002</v>
      </c>
      <c r="Y60" s="116"/>
      <c r="Z60" s="124">
        <f t="shared" si="74"/>
        <v>0.52500000000000002</v>
      </c>
      <c r="AA60" s="125">
        <f t="shared" si="74"/>
        <v>0.82599999999999996</v>
      </c>
      <c r="AB60" s="116"/>
      <c r="AC60" s="1">
        <v>3.1449591280654041E-2</v>
      </c>
      <c r="AD60" s="1">
        <v>3.6184694628403236E-2</v>
      </c>
      <c r="AF60" s="166">
        <v>0</v>
      </c>
      <c r="AG60" s="167">
        <v>0</v>
      </c>
      <c r="AI60" s="122">
        <f t="shared" si="75"/>
        <v>0.45500000000000002</v>
      </c>
      <c r="AJ60" s="433">
        <f t="shared" si="76"/>
        <v>0.45500000000000002</v>
      </c>
      <c r="AK60" s="123">
        <f t="shared" si="77"/>
        <v>0.45500000000000002</v>
      </c>
      <c r="AL60" s="116"/>
      <c r="AM60" s="122">
        <f t="shared" si="78"/>
        <v>0.45800000000000002</v>
      </c>
      <c r="AN60" s="433">
        <f t="shared" si="79"/>
        <v>0.45800000000000002</v>
      </c>
      <c r="AO60" s="123">
        <f t="shared" si="80"/>
        <v>0.45800000000000002</v>
      </c>
    </row>
    <row r="61" spans="1:48" x14ac:dyDescent="0.3">
      <c r="C61" s="138">
        <v>2010</v>
      </c>
      <c r="D61" s="401">
        <v>0.70899999999999996</v>
      </c>
      <c r="E61" s="401">
        <v>0.41986000000000001</v>
      </c>
      <c r="F61" s="401">
        <v>0.70899999999999996</v>
      </c>
      <c r="G61" s="401">
        <v>0.41986000000000001</v>
      </c>
      <c r="H61" s="138">
        <v>2010</v>
      </c>
      <c r="I61" s="151">
        <v>63.222246890029538</v>
      </c>
      <c r="J61" s="152">
        <v>63.222246890029538</v>
      </c>
      <c r="K61" s="153">
        <v>63.222246890029538</v>
      </c>
      <c r="M61" s="170"/>
      <c r="N61" s="170"/>
      <c r="O61" s="170"/>
      <c r="R61" s="122">
        <v>0.56599999999999995</v>
      </c>
      <c r="S61" s="433">
        <v>0.56599999999999995</v>
      </c>
      <c r="T61" s="123">
        <v>0.56599999999999995</v>
      </c>
      <c r="U61" s="116"/>
      <c r="V61" s="122">
        <v>0.58199999999999996</v>
      </c>
      <c r="W61" s="433">
        <v>0.58199999999999996</v>
      </c>
      <c r="X61" s="123">
        <v>0.58199999999999996</v>
      </c>
      <c r="Y61" s="116"/>
      <c r="Z61" s="164">
        <v>0.52500000000000002</v>
      </c>
      <c r="AA61" s="165">
        <v>0.82599999999999996</v>
      </c>
      <c r="AB61" s="116"/>
      <c r="AC61" s="1">
        <v>3.2160194174757281E-2</v>
      </c>
      <c r="AD61" s="1">
        <v>1.4608233731739709E-2</v>
      </c>
      <c r="AF61" s="166">
        <v>0</v>
      </c>
      <c r="AG61" s="167">
        <v>0</v>
      </c>
      <c r="AI61" s="122">
        <f t="shared" si="75"/>
        <v>0.56599999999999995</v>
      </c>
      <c r="AJ61" s="433">
        <f t="shared" si="76"/>
        <v>0.56599999999999995</v>
      </c>
      <c r="AK61" s="123">
        <f t="shared" si="77"/>
        <v>0.56599999999999995</v>
      </c>
      <c r="AL61" s="116"/>
      <c r="AM61" s="122">
        <f t="shared" si="78"/>
        <v>0.58199999999999996</v>
      </c>
      <c r="AN61" s="433">
        <f t="shared" si="79"/>
        <v>0.58199999999999996</v>
      </c>
      <c r="AO61" s="123">
        <f t="shared" si="80"/>
        <v>0.58199999999999996</v>
      </c>
      <c r="AQ61" s="170"/>
      <c r="AR61" s="170"/>
      <c r="AS61" s="170"/>
      <c r="AT61" s="170"/>
      <c r="AU61" s="170"/>
      <c r="AV61" s="170"/>
    </row>
    <row r="62" spans="1:48" x14ac:dyDescent="0.3">
      <c r="A62" s="462">
        <f>87.560373/100</f>
        <v>0.87560373000000002</v>
      </c>
      <c r="B62" s="463">
        <f>57.175298/100</f>
        <v>0.57175297999999997</v>
      </c>
      <c r="C62" s="138">
        <v>2011</v>
      </c>
      <c r="D62" s="401">
        <v>0.72297999999999996</v>
      </c>
      <c r="E62" s="401">
        <v>0.42838999999999999</v>
      </c>
      <c r="F62" s="401">
        <v>0.72297999999999996</v>
      </c>
      <c r="G62" s="401">
        <v>0.42838999999999999</v>
      </c>
      <c r="H62" s="138">
        <v>2011</v>
      </c>
      <c r="I62" s="151">
        <v>81.918749700750084</v>
      </c>
      <c r="J62" s="152">
        <v>81.918749700750084</v>
      </c>
      <c r="K62" s="153">
        <v>81.918749700750084</v>
      </c>
      <c r="M62" s="170"/>
      <c r="N62" s="170"/>
      <c r="R62" s="122">
        <v>0.67</v>
      </c>
      <c r="S62" s="433">
        <v>0.67</v>
      </c>
      <c r="T62" s="123">
        <v>0.67</v>
      </c>
      <c r="U62" s="116"/>
      <c r="V62" s="122">
        <v>0.72099999999999997</v>
      </c>
      <c r="W62" s="433">
        <v>0.72099999999999997</v>
      </c>
      <c r="X62" s="123">
        <v>0.72099999999999997</v>
      </c>
      <c r="Y62" s="116"/>
      <c r="Z62" s="124">
        <f t="shared" ref="Z62:Z70" si="81">(Z$71-Z$61)/10+Z61</f>
        <v>0.53049999999999997</v>
      </c>
      <c r="AA62" s="125">
        <f t="shared" ref="AA62:AA70" si="82">(AA$71-AA$61)/10+AA61</f>
        <v>0.83679999999999999</v>
      </c>
      <c r="AB62" s="116"/>
      <c r="AC62" s="1">
        <v>3.5202863961813845E-2</v>
      </c>
      <c r="AD62" s="1">
        <v>2.5572005383580083E-2</v>
      </c>
      <c r="AF62" s="166">
        <v>0</v>
      </c>
      <c r="AG62" s="167">
        <v>0</v>
      </c>
      <c r="AI62" s="122">
        <f t="shared" si="75"/>
        <v>0.67</v>
      </c>
      <c r="AJ62" s="433">
        <f t="shared" si="76"/>
        <v>0.67</v>
      </c>
      <c r="AK62" s="123">
        <f t="shared" si="77"/>
        <v>0.67</v>
      </c>
      <c r="AL62" s="116"/>
      <c r="AM62" s="122">
        <f t="shared" si="78"/>
        <v>0.72099999999999997</v>
      </c>
      <c r="AN62" s="433">
        <f t="shared" si="79"/>
        <v>0.72099999999999997</v>
      </c>
      <c r="AO62" s="123">
        <f t="shared" si="80"/>
        <v>0.72099999999999997</v>
      </c>
      <c r="AQ62" s="170"/>
      <c r="AR62" s="170"/>
      <c r="AS62" s="170"/>
      <c r="AT62" s="170"/>
      <c r="AU62" s="170"/>
      <c r="AV62" s="170"/>
    </row>
    <row r="63" spans="1:48" x14ac:dyDescent="0.3">
      <c r="C63" s="138">
        <v>2012</v>
      </c>
      <c r="D63" s="401">
        <v>0.72419999999999995</v>
      </c>
      <c r="E63" s="401">
        <v>0.42949999999999999</v>
      </c>
      <c r="F63" s="401">
        <v>0.72419999999999995</v>
      </c>
      <c r="G63" s="401">
        <v>0.42949999999999999</v>
      </c>
      <c r="H63" s="138">
        <v>2012</v>
      </c>
      <c r="I63" s="151">
        <v>86.885118306351188</v>
      </c>
      <c r="J63" s="152">
        <v>86.885118306351188</v>
      </c>
      <c r="K63" s="153">
        <v>86.885118306351188</v>
      </c>
      <c r="M63" s="170"/>
      <c r="N63" s="170"/>
      <c r="R63" s="122">
        <v>0.73499999999999999</v>
      </c>
      <c r="S63" s="433">
        <v>0.73499999999999999</v>
      </c>
      <c r="T63" s="123">
        <v>0.73499999999999999</v>
      </c>
      <c r="U63" s="116"/>
      <c r="V63" s="122">
        <v>0.77200000000000002</v>
      </c>
      <c r="W63" s="433">
        <v>0.77200000000000002</v>
      </c>
      <c r="X63" s="123">
        <v>0.77200000000000002</v>
      </c>
      <c r="Y63" s="116"/>
      <c r="Z63" s="124">
        <f t="shared" si="81"/>
        <v>0.53599999999999992</v>
      </c>
      <c r="AA63" s="125">
        <f t="shared" si="82"/>
        <v>0.84760000000000002</v>
      </c>
      <c r="AB63" s="116"/>
      <c r="AC63" s="1">
        <v>3.0740276035131745E-2</v>
      </c>
      <c r="AD63" s="1">
        <v>3.2520325203252036E-2</v>
      </c>
      <c r="AF63" s="166">
        <v>0</v>
      </c>
      <c r="AG63" s="167">
        <v>0</v>
      </c>
      <c r="AI63" s="122">
        <f t="shared" si="75"/>
        <v>0.73499999999999999</v>
      </c>
      <c r="AJ63" s="433">
        <f t="shared" si="76"/>
        <v>0.73499999999999999</v>
      </c>
      <c r="AK63" s="123">
        <f t="shared" si="77"/>
        <v>0.73499999999999999</v>
      </c>
      <c r="AL63" s="116"/>
      <c r="AM63" s="122">
        <f t="shared" si="78"/>
        <v>0.77200000000000002</v>
      </c>
      <c r="AN63" s="433">
        <f t="shared" si="79"/>
        <v>0.77200000000000002</v>
      </c>
      <c r="AO63" s="123">
        <f t="shared" si="80"/>
        <v>0.77200000000000002</v>
      </c>
      <c r="AQ63" s="170"/>
      <c r="AR63" s="170"/>
      <c r="AS63" s="170"/>
      <c r="AT63" s="170"/>
      <c r="AU63" s="170"/>
      <c r="AV63" s="170"/>
    </row>
    <row r="64" spans="1:48" x14ac:dyDescent="0.3">
      <c r="C64" s="138">
        <v>2013</v>
      </c>
      <c r="D64" s="401">
        <v>0.73640000000000005</v>
      </c>
      <c r="E64" s="401">
        <v>0.43669999999999998</v>
      </c>
      <c r="F64" s="401">
        <v>0.73640000000000005</v>
      </c>
      <c r="G64" s="401">
        <v>0.43669999999999998</v>
      </c>
      <c r="H64" s="138">
        <v>2013</v>
      </c>
      <c r="I64" s="151">
        <v>80.652814858044778</v>
      </c>
      <c r="J64" s="152">
        <v>80.652814858044778</v>
      </c>
      <c r="K64" s="153">
        <v>80.652814858044778</v>
      </c>
      <c r="M64" s="170"/>
      <c r="N64" s="170"/>
      <c r="R64" s="122">
        <v>0.66400000000000003</v>
      </c>
      <c r="S64" s="433">
        <v>0.66400000000000003</v>
      </c>
      <c r="T64" s="123">
        <v>0.66400000000000003</v>
      </c>
      <c r="U64" s="116"/>
      <c r="V64" s="122">
        <v>0.70899999999999996</v>
      </c>
      <c r="W64" s="433">
        <v>0.70899999999999996</v>
      </c>
      <c r="X64" s="123">
        <v>0.70899999999999996</v>
      </c>
      <c r="Y64" s="116"/>
      <c r="Z64" s="124">
        <f t="shared" si="81"/>
        <v>0.54149999999999987</v>
      </c>
      <c r="AA64" s="125">
        <f t="shared" si="82"/>
        <v>0.85840000000000005</v>
      </c>
      <c r="AB64" s="116"/>
      <c r="AC64" s="1">
        <v>3.147077713551702E-2</v>
      </c>
      <c r="AD64" s="1">
        <v>2.7700831024930747E-2</v>
      </c>
      <c r="AF64" s="166">
        <v>0</v>
      </c>
      <c r="AG64" s="167">
        <v>0</v>
      </c>
      <c r="AI64" s="122">
        <f t="shared" si="75"/>
        <v>0.66400000000000003</v>
      </c>
      <c r="AJ64" s="433">
        <f t="shared" si="76"/>
        <v>0.66400000000000003</v>
      </c>
      <c r="AK64" s="123">
        <f t="shared" si="77"/>
        <v>0.66400000000000003</v>
      </c>
      <c r="AL64" s="116"/>
      <c r="AM64" s="122">
        <f t="shared" si="78"/>
        <v>0.70899999999999996</v>
      </c>
      <c r="AN64" s="433">
        <f t="shared" si="79"/>
        <v>0.70899999999999996</v>
      </c>
      <c r="AO64" s="123">
        <f t="shared" si="80"/>
        <v>0.70899999999999996</v>
      </c>
      <c r="AQ64" s="170"/>
      <c r="AR64" s="170"/>
      <c r="AS64" s="170"/>
      <c r="AT64" s="170"/>
      <c r="AU64" s="170"/>
      <c r="AV64" s="170"/>
    </row>
    <row r="65" spans="3:48" x14ac:dyDescent="0.3">
      <c r="C65" s="138">
        <v>2014</v>
      </c>
      <c r="D65" s="401">
        <v>0.75249999999999995</v>
      </c>
      <c r="E65" s="401">
        <v>0.44619999999999999</v>
      </c>
      <c r="F65" s="401">
        <v>0.75249999999999995</v>
      </c>
      <c r="G65" s="401">
        <v>0.44619999999999999</v>
      </c>
      <c r="H65" s="138">
        <v>2014</v>
      </c>
      <c r="I65" s="151">
        <v>73.187470070467512</v>
      </c>
      <c r="J65" s="152">
        <v>73.187470070467512</v>
      </c>
      <c r="K65" s="153">
        <v>73.187470070467512</v>
      </c>
      <c r="M65" s="170"/>
      <c r="N65" s="170"/>
      <c r="R65" s="122">
        <v>0.61199999999999999</v>
      </c>
      <c r="S65" s="433">
        <v>0.61199999999999999</v>
      </c>
      <c r="T65" s="123">
        <v>0.61199999999999999</v>
      </c>
      <c r="U65" s="116"/>
      <c r="V65" s="122">
        <v>0.64900000000000002</v>
      </c>
      <c r="W65" s="433">
        <v>0.64900000000000002</v>
      </c>
      <c r="X65" s="123">
        <v>0.64900000000000002</v>
      </c>
      <c r="Y65" s="116"/>
      <c r="Z65" s="124">
        <f t="shared" si="81"/>
        <v>0.54699999999999982</v>
      </c>
      <c r="AA65" s="125">
        <f t="shared" si="82"/>
        <v>0.86920000000000008</v>
      </c>
      <c r="AB65" s="116"/>
      <c r="AC65" s="1">
        <v>3.2988357050452784E-2</v>
      </c>
      <c r="AD65" s="1">
        <v>3.6984352773826459E-2</v>
      </c>
      <c r="AF65" s="166">
        <v>0</v>
      </c>
      <c r="AG65" s="167">
        <v>0</v>
      </c>
      <c r="AI65" s="122">
        <f t="shared" si="75"/>
        <v>0.61199999999999999</v>
      </c>
      <c r="AJ65" s="433">
        <f t="shared" si="76"/>
        <v>0.61199999999999999</v>
      </c>
      <c r="AK65" s="123">
        <f t="shared" si="77"/>
        <v>0.61199999999999999</v>
      </c>
      <c r="AL65" s="116"/>
      <c r="AM65" s="122">
        <f t="shared" si="78"/>
        <v>0.64900000000000002</v>
      </c>
      <c r="AN65" s="433">
        <f t="shared" si="79"/>
        <v>0.64900000000000002</v>
      </c>
      <c r="AO65" s="123">
        <f t="shared" si="80"/>
        <v>0.64900000000000002</v>
      </c>
      <c r="AQ65" s="170"/>
      <c r="AR65" s="170"/>
      <c r="AS65" s="170"/>
      <c r="AT65" s="170"/>
      <c r="AU65" s="170"/>
      <c r="AV65" s="170"/>
    </row>
    <row r="66" spans="3:48" x14ac:dyDescent="0.3">
      <c r="C66" s="138">
        <v>2015</v>
      </c>
      <c r="D66" s="401">
        <v>0.76724000000000003</v>
      </c>
      <c r="E66" s="401">
        <v>0.48576000000000003</v>
      </c>
      <c r="F66" s="401">
        <v>0.76724000000000003</v>
      </c>
      <c r="G66" s="401">
        <v>0.48576000000000003</v>
      </c>
      <c r="H66" s="138">
        <v>2015</v>
      </c>
      <c r="I66" s="151">
        <v>46.311366513291411</v>
      </c>
      <c r="J66" s="152">
        <v>46.311366513291411</v>
      </c>
      <c r="K66" s="153">
        <v>46.311366513291411</v>
      </c>
      <c r="M66" s="170"/>
      <c r="N66" s="170"/>
      <c r="R66" s="122">
        <v>0.49299999999999999</v>
      </c>
      <c r="S66" s="433">
        <v>0.49299999999999999</v>
      </c>
      <c r="T66" s="123">
        <v>0.49299999999999999</v>
      </c>
      <c r="U66" s="116"/>
      <c r="V66" s="122">
        <v>0.505</v>
      </c>
      <c r="W66" s="433">
        <v>0.505</v>
      </c>
      <c r="X66" s="123">
        <v>0.505</v>
      </c>
      <c r="Y66" s="116"/>
      <c r="Z66" s="124">
        <f t="shared" si="81"/>
        <v>0.55249999999999977</v>
      </c>
      <c r="AA66" s="125">
        <f t="shared" si="82"/>
        <v>0.88000000000000012</v>
      </c>
      <c r="AB66" s="116"/>
      <c r="AC66" s="1">
        <v>3.6082474226804127E-2</v>
      </c>
      <c r="AD66" s="1">
        <v>2.6950354609929086E-2</v>
      </c>
      <c r="AF66" s="166">
        <v>0</v>
      </c>
      <c r="AG66" s="167">
        <v>0</v>
      </c>
      <c r="AI66" s="122">
        <f t="shared" si="75"/>
        <v>0.49299999999999999</v>
      </c>
      <c r="AJ66" s="433">
        <f t="shared" si="76"/>
        <v>0.49299999999999999</v>
      </c>
      <c r="AK66" s="123">
        <f t="shared" si="77"/>
        <v>0.49299999999999999</v>
      </c>
      <c r="AL66" s="116"/>
      <c r="AM66" s="122">
        <f t="shared" si="78"/>
        <v>0.505</v>
      </c>
      <c r="AN66" s="433">
        <f t="shared" si="79"/>
        <v>0.505</v>
      </c>
      <c r="AO66" s="123">
        <f t="shared" si="80"/>
        <v>0.505</v>
      </c>
      <c r="AQ66" s="170"/>
      <c r="AR66" s="170"/>
      <c r="AS66" s="170"/>
      <c r="AT66" s="170"/>
      <c r="AU66" s="170"/>
      <c r="AV66" s="170"/>
    </row>
    <row r="67" spans="3:48" x14ac:dyDescent="0.3">
      <c r="C67" s="138">
        <v>2016</v>
      </c>
      <c r="D67" s="401">
        <v>0.77407000000000004</v>
      </c>
      <c r="E67" s="401">
        <v>0.49006</v>
      </c>
      <c r="F67" s="401">
        <v>0.77407000000000004</v>
      </c>
      <c r="G67" s="401">
        <v>0.49006</v>
      </c>
      <c r="H67" s="138">
        <v>2016</v>
      </c>
      <c r="I67" s="391">
        <v>52.6</v>
      </c>
      <c r="J67" s="391">
        <v>52.6</v>
      </c>
      <c r="K67" s="391">
        <v>52.6</v>
      </c>
      <c r="L67" t="s">
        <v>1241</v>
      </c>
      <c r="M67" s="170"/>
      <c r="N67" s="170"/>
      <c r="R67" s="124">
        <f>(+I67*$N$50+$N$49)/1000</f>
        <v>0.493923</v>
      </c>
      <c r="S67" s="432">
        <f t="shared" ref="S67:S86" si="83">(+J67*$N$50+$N$49)/1000</f>
        <v>0.493923</v>
      </c>
      <c r="T67" s="125">
        <f t="shared" ref="T67:T86" si="84">(+K67*$N$50+$N$49)/1000</f>
        <v>0.493923</v>
      </c>
      <c r="U67" s="116"/>
      <c r="V67" s="124">
        <f>(+I67*$O$50+$O$49)/1000</f>
        <v>0.51318459999999999</v>
      </c>
      <c r="W67" s="432">
        <f t="shared" ref="W67:W86" si="85">(+J67*$O$50+$O$49)/1000</f>
        <v>0.51318459999999999</v>
      </c>
      <c r="X67" s="125">
        <f t="shared" ref="X67:X86" si="86">(+K67*$O$50+$O$49)/1000</f>
        <v>0.51318459999999999</v>
      </c>
      <c r="Y67" s="116"/>
      <c r="Z67" s="124">
        <f t="shared" si="81"/>
        <v>0.55799999999999972</v>
      </c>
      <c r="AA67" s="125">
        <f t="shared" si="82"/>
        <v>0.89080000000000015</v>
      </c>
      <c r="AB67" s="116"/>
      <c r="AC67" s="429">
        <v>3.0094043887147336E-2</v>
      </c>
      <c r="AD67" s="429">
        <v>2.1126760563380281E-2</v>
      </c>
      <c r="AF67" s="168">
        <f>AC67-AVERAGE(AC$57:AC66)</f>
        <v>2.1829449135929192E-3</v>
      </c>
      <c r="AG67" s="169">
        <f>AD67-AVERAGE(AD$57:AD66)</f>
        <v>-5.1751975907323375E-3</v>
      </c>
      <c r="AI67" s="124">
        <f t="shared" si="75"/>
        <v>0.49406287656122827</v>
      </c>
      <c r="AJ67" s="432">
        <f t="shared" si="76"/>
        <v>0.49406287656122827</v>
      </c>
      <c r="AK67" s="125">
        <f t="shared" si="77"/>
        <v>0.49406287656122827</v>
      </c>
      <c r="AL67" s="116"/>
      <c r="AM67" s="124">
        <f t="shared" si="78"/>
        <v>0.51123036569169655</v>
      </c>
      <c r="AN67" s="432">
        <f t="shared" si="79"/>
        <v>0.51123036569169655</v>
      </c>
      <c r="AO67" s="125">
        <f t="shared" si="80"/>
        <v>0.51123036569169655</v>
      </c>
      <c r="AQ67" s="170"/>
      <c r="AR67" s="170"/>
      <c r="AS67" s="170"/>
      <c r="AT67" s="170"/>
      <c r="AU67" s="170"/>
      <c r="AV67" s="170"/>
    </row>
    <row r="68" spans="3:48" x14ac:dyDescent="0.3">
      <c r="C68" s="138">
        <v>2017</v>
      </c>
      <c r="D68" s="401">
        <v>0.77790000000000004</v>
      </c>
      <c r="E68" s="401">
        <v>0.49247000000000002</v>
      </c>
      <c r="F68" s="401">
        <v>0.77790000000000004</v>
      </c>
      <c r="G68" s="401">
        <v>0.49247000000000002</v>
      </c>
      <c r="H68" s="138">
        <v>2017</v>
      </c>
      <c r="I68" s="391">
        <v>44</v>
      </c>
      <c r="J68" s="391">
        <v>44</v>
      </c>
      <c r="K68" s="391">
        <v>44</v>
      </c>
      <c r="L68" t="s">
        <v>1241</v>
      </c>
      <c r="M68" s="170"/>
      <c r="N68" s="170"/>
      <c r="R68" s="124">
        <f t="shared" ref="R68:R86" si="87">(+I68*$N$50+$N$49)/1000</f>
        <v>0.43922700000000003</v>
      </c>
      <c r="S68" s="432">
        <f t="shared" si="83"/>
        <v>0.43922700000000003</v>
      </c>
      <c r="T68" s="125">
        <f t="shared" si="84"/>
        <v>0.43922700000000003</v>
      </c>
      <c r="U68" s="116"/>
      <c r="V68" s="124">
        <f t="shared" ref="V68:V86" si="88">(+I68*$O$50+$O$49)/1000</f>
        <v>0.44833200000000006</v>
      </c>
      <c r="W68" s="432">
        <f t="shared" si="85"/>
        <v>0.44833200000000006</v>
      </c>
      <c r="X68" s="125">
        <f t="shared" si="86"/>
        <v>0.44833200000000006</v>
      </c>
      <c r="Y68" s="116"/>
      <c r="Z68" s="124">
        <f t="shared" si="81"/>
        <v>0.56349999999999967</v>
      </c>
      <c r="AA68" s="125">
        <f t="shared" si="82"/>
        <v>0.90160000000000018</v>
      </c>
      <c r="AB68" s="116"/>
      <c r="AC68" s="429">
        <v>3.0890369473046637E-2</v>
      </c>
      <c r="AD68" s="429">
        <v>2.9914529914529919E-2</v>
      </c>
      <c r="AF68" s="168">
        <f>AC68-AVERAGE(AC$57:AC67)</f>
        <v>2.7808209618928673E-3</v>
      </c>
      <c r="AG68" s="169">
        <f>AD68-AVERAGE(AD$57:AD67)</f>
        <v>4.0830442686656913E-3</v>
      </c>
      <c r="AI68" s="124">
        <f t="shared" si="75"/>
        <v>0.43957258096339735</v>
      </c>
      <c r="AJ68" s="432">
        <f t="shared" si="76"/>
        <v>0.43957258096339735</v>
      </c>
      <c r="AK68" s="125">
        <f t="shared" si="77"/>
        <v>0.43957258096339735</v>
      </c>
      <c r="AL68" s="116"/>
      <c r="AM68" s="124">
        <f t="shared" si="78"/>
        <v>0.4501827133095696</v>
      </c>
      <c r="AN68" s="432">
        <f t="shared" si="79"/>
        <v>0.4501827133095696</v>
      </c>
      <c r="AO68" s="125">
        <f t="shared" si="80"/>
        <v>0.4501827133095696</v>
      </c>
      <c r="AQ68" s="170"/>
      <c r="AR68" s="170"/>
      <c r="AS68" s="170"/>
      <c r="AT68" s="170"/>
      <c r="AU68" s="170"/>
      <c r="AV68" s="170"/>
    </row>
    <row r="69" spans="3:48" x14ac:dyDescent="0.3">
      <c r="C69" s="138">
        <v>2018</v>
      </c>
      <c r="D69" s="401">
        <v>0.78020999999999996</v>
      </c>
      <c r="E69" s="401">
        <v>0.49392000000000003</v>
      </c>
      <c r="F69" s="401">
        <v>0.78020999999999996</v>
      </c>
      <c r="G69" s="401">
        <v>0.49392000000000003</v>
      </c>
      <c r="H69" s="138">
        <v>2018</v>
      </c>
      <c r="I69" s="391">
        <v>51.8</v>
      </c>
      <c r="J69" s="391">
        <v>51.8</v>
      </c>
      <c r="K69" s="391">
        <v>51.8</v>
      </c>
      <c r="L69" t="s">
        <v>1241</v>
      </c>
      <c r="M69" s="170"/>
      <c r="N69" s="170"/>
      <c r="R69" s="124">
        <f t="shared" si="87"/>
        <v>0.48883499999999996</v>
      </c>
      <c r="S69" s="432">
        <f t="shared" si="83"/>
        <v>0.48883499999999996</v>
      </c>
      <c r="T69" s="125">
        <f t="shared" si="84"/>
        <v>0.48883499999999996</v>
      </c>
      <c r="U69" s="116"/>
      <c r="V69" s="124">
        <f t="shared" si="88"/>
        <v>0.50715180000000004</v>
      </c>
      <c r="W69" s="432">
        <f t="shared" si="85"/>
        <v>0.50715180000000004</v>
      </c>
      <c r="X69" s="125">
        <f t="shared" si="86"/>
        <v>0.50715180000000004</v>
      </c>
      <c r="Y69" s="116"/>
      <c r="Z69" s="124">
        <f t="shared" si="81"/>
        <v>0.56899999999999962</v>
      </c>
      <c r="AA69" s="125">
        <f t="shared" si="82"/>
        <v>0.91240000000000021</v>
      </c>
      <c r="AB69" s="116"/>
      <c r="AC69" s="429">
        <v>4.0094339622641501E-2</v>
      </c>
      <c r="AD69" s="429">
        <v>5.4014598540145987E-2</v>
      </c>
      <c r="AF69" s="168">
        <f>AC69-AVERAGE(AC$57:AC68)</f>
        <v>1.1753056031329992E-2</v>
      </c>
      <c r="AG69" s="169">
        <f>AD69-AVERAGE(AD$57:AD68)</f>
        <v>2.7842859205226285E-2</v>
      </c>
      <c r="AI69" s="124">
        <f t="shared" si="75"/>
        <v>0.4897771837367515</v>
      </c>
      <c r="AJ69" s="432">
        <f t="shared" si="76"/>
        <v>0.4897771837367515</v>
      </c>
      <c r="AK69" s="125">
        <f t="shared" si="77"/>
        <v>0.4897771837367515</v>
      </c>
      <c r="AL69" s="116"/>
      <c r="AM69" s="124">
        <f t="shared" si="78"/>
        <v>0.51843506857577137</v>
      </c>
      <c r="AN69" s="432">
        <f t="shared" si="79"/>
        <v>0.51843506857577137</v>
      </c>
      <c r="AO69" s="125">
        <f t="shared" si="80"/>
        <v>0.51843506857577137</v>
      </c>
      <c r="AQ69" s="170"/>
      <c r="AR69" s="170"/>
      <c r="AS69" s="170"/>
      <c r="AT69" s="170"/>
      <c r="AU69" s="170"/>
      <c r="AV69" s="170"/>
    </row>
    <row r="70" spans="3:48" x14ac:dyDescent="0.3">
      <c r="C70" s="138">
        <v>2019</v>
      </c>
      <c r="D70" s="401">
        <v>0.78639000000000003</v>
      </c>
      <c r="E70" s="401">
        <v>0.49780999999999997</v>
      </c>
      <c r="F70" s="401">
        <v>0.78639000000000003</v>
      </c>
      <c r="G70" s="401">
        <v>0.49780999999999997</v>
      </c>
      <c r="H70" s="138">
        <v>2019</v>
      </c>
      <c r="I70" s="391">
        <v>63.5</v>
      </c>
      <c r="J70" s="391">
        <v>63.5</v>
      </c>
      <c r="K70" s="391">
        <v>63.5</v>
      </c>
      <c r="L70" t="s">
        <v>1241</v>
      </c>
      <c r="M70" s="170"/>
      <c r="N70" s="170"/>
      <c r="R70" s="124">
        <f t="shared" si="87"/>
        <v>0.56324700000000005</v>
      </c>
      <c r="S70" s="432">
        <f t="shared" si="83"/>
        <v>0.56324700000000005</v>
      </c>
      <c r="T70" s="125">
        <f t="shared" si="84"/>
        <v>0.56324700000000005</v>
      </c>
      <c r="U70" s="116"/>
      <c r="V70" s="124">
        <f t="shared" si="88"/>
        <v>0.59538150000000001</v>
      </c>
      <c r="W70" s="432">
        <f t="shared" si="85"/>
        <v>0.59538150000000001</v>
      </c>
      <c r="X70" s="125">
        <f t="shared" si="86"/>
        <v>0.59538150000000001</v>
      </c>
      <c r="Y70" s="116"/>
      <c r="Z70" s="124">
        <f t="shared" si="81"/>
        <v>0.57449999999999957</v>
      </c>
      <c r="AA70" s="125">
        <f t="shared" si="82"/>
        <v>0.92320000000000024</v>
      </c>
      <c r="AB70" s="116"/>
      <c r="AC70" s="429">
        <v>4.5428407130534788E-2</v>
      </c>
      <c r="AD70" s="429">
        <v>7.03125E-2</v>
      </c>
      <c r="AF70" s="168">
        <f>AC70-AVERAGE(AC$57:AC69)</f>
        <v>1.6183042306044053E-2</v>
      </c>
      <c r="AG70" s="169">
        <f>AD70-AVERAGE(AD$57:AD69)</f>
        <v>4.1999002264678273E-2</v>
      </c>
      <c r="AI70" s="124">
        <f t="shared" si="75"/>
        <v>0.56342910777506994</v>
      </c>
      <c r="AJ70" s="432">
        <f t="shared" si="76"/>
        <v>0.56342910777506994</v>
      </c>
      <c r="AK70" s="125">
        <f t="shared" si="77"/>
        <v>0.56342910777506994</v>
      </c>
      <c r="AL70" s="116"/>
      <c r="AM70" s="124">
        <f t="shared" si="78"/>
        <v>0.60914954992390347</v>
      </c>
      <c r="AN70" s="432">
        <f t="shared" si="79"/>
        <v>0.60914954992390347</v>
      </c>
      <c r="AO70" s="125">
        <f t="shared" si="80"/>
        <v>0.60914954992390347</v>
      </c>
      <c r="AQ70" s="170"/>
      <c r="AR70" s="170"/>
      <c r="AS70" s="170"/>
      <c r="AT70" s="170"/>
      <c r="AU70" s="170"/>
      <c r="AV70" s="170"/>
    </row>
    <row r="71" spans="3:48" x14ac:dyDescent="0.3">
      <c r="C71" s="138">
        <v>2020</v>
      </c>
      <c r="D71" s="401">
        <v>0.79573000000000005</v>
      </c>
      <c r="E71" s="401">
        <v>0.50368999999999997</v>
      </c>
      <c r="F71" s="401">
        <v>0.79573000000000005</v>
      </c>
      <c r="G71" s="401">
        <v>0.50368999999999997</v>
      </c>
      <c r="H71" s="138">
        <v>2020</v>
      </c>
      <c r="I71" s="391">
        <v>59.1</v>
      </c>
      <c r="J71" s="391">
        <v>59.1</v>
      </c>
      <c r="K71" s="391">
        <v>59.1</v>
      </c>
      <c r="L71" t="s">
        <v>1241</v>
      </c>
      <c r="M71" s="170"/>
      <c r="N71" s="170"/>
      <c r="R71" s="124">
        <f t="shared" si="87"/>
        <v>0.53526300000000004</v>
      </c>
      <c r="S71" s="432">
        <f t="shared" si="83"/>
        <v>0.53526300000000004</v>
      </c>
      <c r="T71" s="125">
        <f t="shared" si="84"/>
        <v>0.53526300000000004</v>
      </c>
      <c r="U71" s="116"/>
      <c r="V71" s="124">
        <f t="shared" si="88"/>
        <v>0.56220110000000001</v>
      </c>
      <c r="W71" s="432">
        <f t="shared" si="85"/>
        <v>0.56220110000000001</v>
      </c>
      <c r="X71" s="125">
        <f t="shared" si="86"/>
        <v>0.56220110000000001</v>
      </c>
      <c r="Y71" s="116"/>
      <c r="Z71" s="164">
        <v>0.57999999999999996</v>
      </c>
      <c r="AA71" s="165">
        <v>0.93400000000000005</v>
      </c>
      <c r="AB71" s="116"/>
      <c r="AC71" s="429">
        <v>6.0833902939166094E-2</v>
      </c>
      <c r="AD71" s="429">
        <v>5.8315334773218139E-2</v>
      </c>
      <c r="AF71" s="168">
        <f>AC71-AVERAGE(AC$57:AC70)</f>
        <v>3.0432606521386494E-2</v>
      </c>
      <c r="AG71" s="169">
        <f>AD71-AVERAGE(AD$57:AD70)</f>
        <v>2.7001908304705106E-2</v>
      </c>
      <c r="AI71" s="124">
        <f t="shared" si="75"/>
        <v>0.53662446351794735</v>
      </c>
      <c r="AJ71" s="432">
        <f t="shared" si="76"/>
        <v>0.53662446351794735</v>
      </c>
      <c r="AK71" s="125">
        <f t="shared" si="77"/>
        <v>0.53662446351794735</v>
      </c>
      <c r="AL71" s="116"/>
      <c r="AM71" s="124">
        <f t="shared" si="78"/>
        <v>0.57224037980559028</v>
      </c>
      <c r="AN71" s="432">
        <f t="shared" si="79"/>
        <v>0.57224037980559028</v>
      </c>
      <c r="AO71" s="125">
        <f t="shared" si="80"/>
        <v>0.57224037980559028</v>
      </c>
      <c r="AQ71" s="170"/>
      <c r="AR71" s="170"/>
      <c r="AS71" s="170"/>
      <c r="AT71" s="170"/>
      <c r="AU71" s="170"/>
      <c r="AV71" s="170"/>
    </row>
    <row r="72" spans="3:48" x14ac:dyDescent="0.3">
      <c r="C72" s="138">
        <v>2021</v>
      </c>
      <c r="D72" s="401">
        <v>0.80832999999999999</v>
      </c>
      <c r="E72" s="401">
        <v>0.51161999999999996</v>
      </c>
      <c r="F72" s="401">
        <v>0.80832999999999999</v>
      </c>
      <c r="G72" s="401">
        <v>0.51161999999999996</v>
      </c>
      <c r="H72" s="138">
        <v>2021</v>
      </c>
      <c r="I72" s="391">
        <v>39.1</v>
      </c>
      <c r="J72" s="391">
        <v>39.1</v>
      </c>
      <c r="K72" s="391">
        <v>39.1</v>
      </c>
      <c r="L72" t="s">
        <v>1241</v>
      </c>
      <c r="M72" s="170"/>
      <c r="N72" s="170"/>
      <c r="R72" s="124">
        <f t="shared" si="87"/>
        <v>0.40806300000000001</v>
      </c>
      <c r="S72" s="432">
        <f t="shared" si="83"/>
        <v>0.40806300000000001</v>
      </c>
      <c r="T72" s="125">
        <f t="shared" si="84"/>
        <v>0.40806300000000001</v>
      </c>
      <c r="U72" s="116"/>
      <c r="V72" s="124">
        <f t="shared" si="88"/>
        <v>0.41138110000000006</v>
      </c>
      <c r="W72" s="432">
        <f t="shared" si="85"/>
        <v>0.41138110000000006</v>
      </c>
      <c r="X72" s="125">
        <f t="shared" si="86"/>
        <v>0.41138110000000006</v>
      </c>
      <c r="Y72" s="116"/>
      <c r="Z72" s="124">
        <f t="shared" ref="Z72:Z80" si="89">(Z$81-Z$71)/10+Z71</f>
        <v>0.57309999999999994</v>
      </c>
      <c r="AA72" s="125">
        <f t="shared" ref="AA72:AA80" si="90">(AA$81-AA$71)/10+AA71</f>
        <v>0.93270000000000008</v>
      </c>
      <c r="AB72" s="116"/>
      <c r="AC72" s="429">
        <v>6.0927152317880789E-2</v>
      </c>
      <c r="AD72" s="429">
        <v>7.328605200945626E-2</v>
      </c>
      <c r="AF72" s="168">
        <f>AC72-AVERAGE(AC$57:AC71)</f>
        <v>2.8497015465342092E-2</v>
      </c>
      <c r="AG72" s="169">
        <f>AD72-AVERAGE(AD$57:AD71)</f>
        <v>4.0172498320629552E-2</v>
      </c>
      <c r="AI72" s="124">
        <f t="shared" si="75"/>
        <v>0.41276606194135368</v>
      </c>
      <c r="AJ72" s="432">
        <f t="shared" si="76"/>
        <v>0.41276606194135368</v>
      </c>
      <c r="AK72" s="125">
        <f t="shared" si="77"/>
        <v>0.41276606194135368</v>
      </c>
      <c r="AL72" s="116"/>
      <c r="AM72" s="124">
        <f t="shared" si="78"/>
        <v>0.43232378263476245</v>
      </c>
      <c r="AN72" s="432">
        <f t="shared" si="79"/>
        <v>0.43232378263476245</v>
      </c>
      <c r="AO72" s="125">
        <f t="shared" si="80"/>
        <v>0.43232378263476245</v>
      </c>
      <c r="AQ72" s="170"/>
      <c r="AR72" s="170"/>
      <c r="AS72" s="170"/>
      <c r="AT72" s="170"/>
      <c r="AU72" s="170"/>
      <c r="AV72" s="170"/>
    </row>
    <row r="73" spans="3:48" x14ac:dyDescent="0.3">
      <c r="C73" s="138">
        <v>2022</v>
      </c>
      <c r="D73" s="401">
        <f>0.832</f>
        <v>0.83199999999999996</v>
      </c>
      <c r="E73" s="401">
        <f>0.536</f>
        <v>0.53600000000000003</v>
      </c>
      <c r="F73" s="401">
        <f>0.832-0.173</f>
        <v>0.65900000000000003</v>
      </c>
      <c r="G73" s="401">
        <f>0.536-0.111</f>
        <v>0.42500000000000004</v>
      </c>
      <c r="H73" s="138">
        <v>2022</v>
      </c>
      <c r="I73" s="391">
        <v>59.9</v>
      </c>
      <c r="J73" s="391">
        <v>59.9</v>
      </c>
      <c r="K73" s="391">
        <v>59.9</v>
      </c>
      <c r="L73" t="s">
        <v>1241</v>
      </c>
      <c r="N73" s="398"/>
      <c r="O73" s="398"/>
      <c r="P73" s="398"/>
      <c r="R73" s="124">
        <f t="shared" si="87"/>
        <v>0.54035100000000003</v>
      </c>
      <c r="S73" s="432">
        <f t="shared" si="83"/>
        <v>0.54035100000000003</v>
      </c>
      <c r="T73" s="125">
        <f t="shared" si="84"/>
        <v>0.54035100000000003</v>
      </c>
      <c r="U73" s="116"/>
      <c r="V73" s="124">
        <f t="shared" si="88"/>
        <v>0.56823389999999996</v>
      </c>
      <c r="W73" s="432">
        <f t="shared" si="85"/>
        <v>0.56823389999999996</v>
      </c>
      <c r="X73" s="125">
        <f t="shared" si="86"/>
        <v>0.56823389999999996</v>
      </c>
      <c r="Y73" s="116"/>
      <c r="Z73" s="124">
        <f t="shared" si="89"/>
        <v>0.56619999999999993</v>
      </c>
      <c r="AA73" s="125">
        <f t="shared" si="90"/>
        <v>0.93140000000000012</v>
      </c>
      <c r="AB73" s="116"/>
      <c r="AC73" s="429">
        <v>6.1030235162374026E-2</v>
      </c>
      <c r="AD73" s="429">
        <v>0.11368909512761019</v>
      </c>
      <c r="AF73" s="168">
        <f>AC73-AVERAGE(AC$57:AC72)</f>
        <v>2.6819034843251446E-2</v>
      </c>
      <c r="AG73" s="169">
        <f>AD73-AVERAGE(AD$57:AD72)</f>
        <v>7.8064760293744137E-2</v>
      </c>
      <c r="AI73" s="124">
        <f t="shared" si="75"/>
        <v>0.54104424523166328</v>
      </c>
      <c r="AJ73" s="432">
        <f t="shared" si="76"/>
        <v>0.54104424523166328</v>
      </c>
      <c r="AK73" s="125">
        <f t="shared" si="77"/>
        <v>0.54104424523166328</v>
      </c>
      <c r="AL73" s="116"/>
      <c r="AM73" s="124">
        <f t="shared" si="78"/>
        <v>0.59658437454331392</v>
      </c>
      <c r="AN73" s="432">
        <f t="shared" si="79"/>
        <v>0.59658437454331392</v>
      </c>
      <c r="AO73" s="125">
        <f t="shared" si="80"/>
        <v>0.59658437454331392</v>
      </c>
      <c r="AQ73" s="170"/>
      <c r="AR73" s="170"/>
      <c r="AS73" s="170"/>
      <c r="AT73" s="170"/>
      <c r="AU73" s="170"/>
      <c r="AV73" s="170"/>
    </row>
    <row r="74" spans="3:48" x14ac:dyDescent="0.3">
      <c r="C74" s="138">
        <v>2023</v>
      </c>
      <c r="D74" s="466">
        <f>87.560373/100</f>
        <v>0.87560373000000002</v>
      </c>
      <c r="E74" s="466">
        <f>57.175298/100</f>
        <v>0.57175297999999997</v>
      </c>
      <c r="F74" s="466">
        <v>0.78910000000000002</v>
      </c>
      <c r="G74" s="466">
        <v>0.51629999999999998</v>
      </c>
      <c r="H74" s="138">
        <v>2023</v>
      </c>
      <c r="I74" s="399">
        <v>78.690587034606907</v>
      </c>
      <c r="J74" s="399">
        <v>92.018421807861301</v>
      </c>
      <c r="K74" s="399">
        <v>106.95648074646</v>
      </c>
      <c r="L74" t="s">
        <v>1241</v>
      </c>
      <c r="N74" s="398"/>
      <c r="O74" s="398"/>
      <c r="P74" s="398"/>
      <c r="R74" s="124">
        <f t="shared" ref="R74:T81" si="91">(+I74*$N$50+$N$49)/1000</f>
        <v>0.65985913354009995</v>
      </c>
      <c r="S74" s="432">
        <f t="shared" si="91"/>
        <v>0.74462416269799792</v>
      </c>
      <c r="T74" s="125">
        <f t="shared" si="91"/>
        <v>0.83963021754748568</v>
      </c>
      <c r="U74" s="116"/>
      <c r="V74" s="124">
        <f t="shared" ref="V74:X81" si="92">(+I74*$O$50+$O$49)/1000</f>
        <v>0.7099337168279708</v>
      </c>
      <c r="W74" s="432">
        <f t="shared" si="92"/>
        <v>0.81043891885308206</v>
      </c>
      <c r="X74" s="125">
        <f t="shared" si="92"/>
        <v>0.92308682130905495</v>
      </c>
      <c r="Y74" s="116"/>
      <c r="Z74" s="124">
        <f t="shared" si="89"/>
        <v>0.55929999999999991</v>
      </c>
      <c r="AA74" s="125">
        <f t="shared" si="90"/>
        <v>0.93010000000000015</v>
      </c>
      <c r="AB74" s="116"/>
      <c r="AC74" s="429">
        <v>6.120218579234972E-2</v>
      </c>
      <c r="AD74" s="429">
        <v>0.12694300518134713</v>
      </c>
      <c r="AF74" s="168">
        <f>AC74-AVERAGE(AC$57:AC73)</f>
        <v>2.5413395188329996E-2</v>
      </c>
      <c r="AG74" s="169">
        <f>AD74-AVERAGE(AD$57:AD73)</f>
        <v>8.6726625624319653E-2</v>
      </c>
      <c r="AI74" s="124">
        <f t="shared" si="75"/>
        <v>0.65730358453964932</v>
      </c>
      <c r="AJ74" s="432">
        <f t="shared" si="76"/>
        <v>0.73991444651340732</v>
      </c>
      <c r="AK74" s="125">
        <f t="shared" si="77"/>
        <v>0.83250607494572093</v>
      </c>
      <c r="AL74" s="116"/>
      <c r="AM74" s="124">
        <f t="shared" si="78"/>
        <v>0.72902799564372933</v>
      </c>
      <c r="AN74" s="432">
        <f t="shared" si="79"/>
        <v>0.82081672063951217</v>
      </c>
      <c r="AO74" s="125">
        <f t="shared" si="80"/>
        <v>0.923695050631821</v>
      </c>
      <c r="AQ74" s="170"/>
      <c r="AR74" s="170"/>
      <c r="AS74" s="170"/>
      <c r="AT74" s="170"/>
      <c r="AU74" s="170"/>
      <c r="AV74" s="170"/>
    </row>
    <row r="75" spans="3:48" x14ac:dyDescent="0.3">
      <c r="C75" s="138">
        <v>2024</v>
      </c>
      <c r="D75" s="466">
        <v>0.96228849927000004</v>
      </c>
      <c r="E75" s="466">
        <v>0.62835652501999995</v>
      </c>
      <c r="F75" s="466">
        <f>F$74/D$74*D75</f>
        <v>0.86722090000000007</v>
      </c>
      <c r="G75" s="466">
        <f>G$74/E$74*E75</f>
        <v>0.56741369999999991</v>
      </c>
      <c r="H75" s="138">
        <v>2024</v>
      </c>
      <c r="I75" s="399">
        <v>75.7637580978394</v>
      </c>
      <c r="J75" s="399">
        <v>92.018421807861301</v>
      </c>
      <c r="K75" s="399">
        <v>106.95648074646</v>
      </c>
      <c r="L75" t="s">
        <v>1241</v>
      </c>
      <c r="N75" s="398"/>
      <c r="O75" s="398"/>
      <c r="P75" s="398"/>
      <c r="R75" s="124">
        <f t="shared" si="91"/>
        <v>0.64124450150225853</v>
      </c>
      <c r="S75" s="432">
        <f t="shared" si="91"/>
        <v>0.74462416269799792</v>
      </c>
      <c r="T75" s="125">
        <f t="shared" si="91"/>
        <v>0.83963021754748568</v>
      </c>
      <c r="U75" s="116"/>
      <c r="V75" s="124">
        <f t="shared" si="92"/>
        <v>0.68786249981580694</v>
      </c>
      <c r="W75" s="432">
        <f t="shared" si="92"/>
        <v>0.81043891885308206</v>
      </c>
      <c r="X75" s="125">
        <f t="shared" si="92"/>
        <v>0.92308682130905495</v>
      </c>
      <c r="Y75" s="116"/>
      <c r="Z75" s="124">
        <f t="shared" si="89"/>
        <v>0.55239999999999989</v>
      </c>
      <c r="AA75" s="125">
        <f t="shared" si="90"/>
        <v>0.92880000000000018</v>
      </c>
      <c r="AB75" s="116"/>
      <c r="AC75" s="429">
        <v>6.1135371179039298E-2</v>
      </c>
      <c r="AD75" s="429">
        <v>0.12386706948640482</v>
      </c>
      <c r="AF75" s="168">
        <f>AC75-AVERAGE(AC$57:AC74)</f>
        <v>2.3934725286779021E-2</v>
      </c>
      <c r="AG75" s="169">
        <f>AD75-AVERAGE(AD$57:AD74)</f>
        <v>7.8832544061359588E-2</v>
      </c>
      <c r="AI75" s="124">
        <f t="shared" si="75"/>
        <v>0.63911803276556123</v>
      </c>
      <c r="AJ75" s="432">
        <f t="shared" si="76"/>
        <v>0.74002333017034028</v>
      </c>
      <c r="AK75" s="125">
        <f t="shared" si="77"/>
        <v>0.83275544119642486</v>
      </c>
      <c r="AL75" s="116"/>
      <c r="AM75" s="124">
        <f t="shared" si="78"/>
        <v>0.70685621591511127</v>
      </c>
      <c r="AN75" s="432">
        <f t="shared" si="79"/>
        <v>0.81976962399774667</v>
      </c>
      <c r="AO75" s="125">
        <f t="shared" si="80"/>
        <v>0.92353720571993936</v>
      </c>
      <c r="AQ75" s="170"/>
      <c r="AR75" s="170"/>
      <c r="AS75" s="170"/>
      <c r="AT75" s="170"/>
      <c r="AU75" s="170"/>
      <c r="AV75" s="170"/>
    </row>
    <row r="76" spans="3:48" x14ac:dyDescent="0.3">
      <c r="C76" s="138">
        <v>2025</v>
      </c>
      <c r="D76" s="466" cm="1">
        <f t="array" ref="D76:E91">TRANSPOSE(H149:W150)</f>
        <v>0.97960969225686001</v>
      </c>
      <c r="E76" s="466">
        <v>0.63966694247035993</v>
      </c>
      <c r="F76" s="466">
        <f t="shared" ref="F76:F101" si="93">F$74/D$74*D76</f>
        <v>0.8828308762</v>
      </c>
      <c r="G76" s="466">
        <f t="shared" ref="G76:G101" si="94">G$74/E$74*E76</f>
        <v>0.57762714659999992</v>
      </c>
      <c r="H76" s="138">
        <v>2025</v>
      </c>
      <c r="I76" s="399">
        <v>72.836929161071794</v>
      </c>
      <c r="J76" s="399">
        <v>92.018421807861301</v>
      </c>
      <c r="K76" s="399">
        <v>106.95648074646</v>
      </c>
      <c r="L76" t="s">
        <v>1241</v>
      </c>
      <c r="N76" s="398"/>
      <c r="O76" s="398"/>
      <c r="P76" s="398"/>
      <c r="R76" s="124">
        <f t="shared" si="91"/>
        <v>0.62262986946441667</v>
      </c>
      <c r="S76" s="432">
        <f t="shared" si="91"/>
        <v>0.74462416269799792</v>
      </c>
      <c r="T76" s="125">
        <f t="shared" si="91"/>
        <v>0.83963021754748568</v>
      </c>
      <c r="U76" s="116"/>
      <c r="V76" s="124">
        <f t="shared" si="92"/>
        <v>0.66579128280364241</v>
      </c>
      <c r="W76" s="432">
        <f t="shared" si="92"/>
        <v>0.81043891885308206</v>
      </c>
      <c r="X76" s="125">
        <f t="shared" si="92"/>
        <v>0.92308682130905495</v>
      </c>
      <c r="Y76" s="116"/>
      <c r="Z76" s="124">
        <f t="shared" si="89"/>
        <v>0.54549999999999987</v>
      </c>
      <c r="AA76" s="125">
        <f t="shared" si="90"/>
        <v>0.92750000000000021</v>
      </c>
      <c r="AB76" s="116"/>
      <c r="AC76" s="429">
        <v>6.0902664491571508E-2</v>
      </c>
      <c r="AD76" s="429">
        <v>0.12996389891696752</v>
      </c>
      <c r="AF76" s="168">
        <f>AC76-AVERAGE(AC$57:AC75)</f>
        <v>2.2442296215796541E-2</v>
      </c>
      <c r="AG76" s="169">
        <f>AD76-AVERAGE(AD$57:AD75)</f>
        <v>8.0780292225534955E-2</v>
      </c>
      <c r="AI76" s="124">
        <f t="shared" si="75"/>
        <v>0.62089889808681054</v>
      </c>
      <c r="AJ76" s="432">
        <f t="shared" si="76"/>
        <v>0.74015535925500697</v>
      </c>
      <c r="AK76" s="125">
        <f t="shared" si="77"/>
        <v>0.83302926007926825</v>
      </c>
      <c r="AL76" s="116"/>
      <c r="AM76" s="124">
        <f t="shared" si="78"/>
        <v>0.68693218945673407</v>
      </c>
      <c r="AN76" s="432">
        <f t="shared" si="79"/>
        <v>0.81989514719636714</v>
      </c>
      <c r="AO76" s="125">
        <f t="shared" si="80"/>
        <v>0.92344331917335298</v>
      </c>
      <c r="AQ76" s="170"/>
      <c r="AR76" s="170"/>
      <c r="AS76" s="170"/>
      <c r="AT76" s="170"/>
      <c r="AU76" s="170"/>
      <c r="AV76" s="170"/>
    </row>
    <row r="77" spans="3:48" x14ac:dyDescent="0.3">
      <c r="C77" s="138">
        <v>2026</v>
      </c>
      <c r="D77" s="466">
        <v>1.0119368121013363</v>
      </c>
      <c r="E77" s="466">
        <v>0.66077595157188174</v>
      </c>
      <c r="F77" s="466">
        <f t="shared" si="93"/>
        <v>0.91196429511459998</v>
      </c>
      <c r="G77" s="466">
        <f t="shared" si="94"/>
        <v>0.59668884243779985</v>
      </c>
      <c r="H77" s="138">
        <v>2026</v>
      </c>
      <c r="I77" s="399">
        <v>72.251566694641099</v>
      </c>
      <c r="J77" s="399">
        <v>92.018421807861301</v>
      </c>
      <c r="K77" s="399">
        <v>106.95648074646</v>
      </c>
      <c r="L77" t="s">
        <v>1241</v>
      </c>
      <c r="N77" s="398"/>
      <c r="O77" s="398"/>
      <c r="P77" s="398"/>
      <c r="R77" s="124">
        <f t="shared" si="91"/>
        <v>0.61890696417791746</v>
      </c>
      <c r="S77" s="432">
        <f t="shared" si="91"/>
        <v>0.74462416269799792</v>
      </c>
      <c r="T77" s="125">
        <f t="shared" si="91"/>
        <v>0.83963021754748568</v>
      </c>
      <c r="U77" s="116"/>
      <c r="V77" s="124">
        <f t="shared" si="92"/>
        <v>0.66137706444428856</v>
      </c>
      <c r="W77" s="432">
        <f t="shared" si="92"/>
        <v>0.81043891885308206</v>
      </c>
      <c r="X77" s="125">
        <f t="shared" si="92"/>
        <v>0.92308682130905495</v>
      </c>
      <c r="Y77" s="116"/>
      <c r="Z77" s="124">
        <f t="shared" si="89"/>
        <v>0.53859999999999986</v>
      </c>
      <c r="AA77" s="125">
        <f t="shared" si="90"/>
        <v>0.92620000000000025</v>
      </c>
      <c r="AB77" s="116"/>
      <c r="AC77" s="429">
        <v>6.0836501901140684E-2</v>
      </c>
      <c r="AD77" s="429">
        <v>0.12663755458515283</v>
      </c>
      <c r="AF77" s="168">
        <f>AC77-AVERAGE(AC$57:AC76)</f>
        <v>2.1254018814575885E-2</v>
      </c>
      <c r="AG77" s="169">
        <f>AD77-AVERAGE(AD$57:AD76)</f>
        <v>7.3414933282443501E-2</v>
      </c>
      <c r="AI77" s="124">
        <f t="shared" si="75"/>
        <v>0.61720011845033851</v>
      </c>
      <c r="AJ77" s="432">
        <f t="shared" si="76"/>
        <v>0.74024532126775744</v>
      </c>
      <c r="AK77" s="125">
        <f t="shared" si="77"/>
        <v>0.83323211563997557</v>
      </c>
      <c r="AL77" s="116"/>
      <c r="AM77" s="124">
        <f t="shared" si="78"/>
        <v>0.680819022589772</v>
      </c>
      <c r="AN77" s="432">
        <f t="shared" si="79"/>
        <v>0.81893751090218658</v>
      </c>
      <c r="AO77" s="125">
        <f t="shared" si="80"/>
        <v>0.92331537511494699</v>
      </c>
      <c r="AQ77" s="170"/>
      <c r="AR77" s="170"/>
      <c r="AS77" s="170"/>
      <c r="AT77" s="170"/>
      <c r="AU77" s="170"/>
      <c r="AV77" s="170"/>
    </row>
    <row r="78" spans="3:48" x14ac:dyDescent="0.3">
      <c r="C78" s="138">
        <v>2027</v>
      </c>
      <c r="D78" s="466">
        <v>1.0362232955917685</v>
      </c>
      <c r="E78" s="466">
        <v>0.67663457440960695</v>
      </c>
      <c r="F78" s="466">
        <f t="shared" si="93"/>
        <v>0.93385143819735039</v>
      </c>
      <c r="G78" s="466">
        <f t="shared" si="94"/>
        <v>0.61100937465630711</v>
      </c>
      <c r="H78" s="138">
        <v>2027</v>
      </c>
      <c r="I78" s="399">
        <v>71.666195925903295</v>
      </c>
      <c r="J78" s="399">
        <v>92.018421807861301</v>
      </c>
      <c r="K78" s="399">
        <v>106.95648074646</v>
      </c>
      <c r="L78" t="s">
        <v>1241</v>
      </c>
      <c r="N78" s="398"/>
      <c r="O78" s="398"/>
      <c r="P78" s="398"/>
      <c r="R78" s="124">
        <f t="shared" si="91"/>
        <v>0.61518400608874502</v>
      </c>
      <c r="S78" s="432">
        <f t="shared" si="91"/>
        <v>0.74462416269799792</v>
      </c>
      <c r="T78" s="125">
        <f t="shared" si="91"/>
        <v>0.83963021754748568</v>
      </c>
      <c r="U78" s="116"/>
      <c r="V78" s="124">
        <f t="shared" si="92"/>
        <v>0.6569627834772368</v>
      </c>
      <c r="W78" s="432">
        <f t="shared" si="92"/>
        <v>0.81043891885308206</v>
      </c>
      <c r="X78" s="125">
        <f t="shared" si="92"/>
        <v>0.92308682130905495</v>
      </c>
      <c r="Y78" s="116"/>
      <c r="Z78" s="124">
        <f t="shared" si="89"/>
        <v>0.53169999999999984</v>
      </c>
      <c r="AA78" s="125">
        <f t="shared" si="90"/>
        <v>0.92490000000000028</v>
      </c>
      <c r="AB78" s="116"/>
      <c r="AC78" s="429">
        <v>6.1235647895024607E-2</v>
      </c>
      <c r="AD78" s="429">
        <v>0.13020833333333334</v>
      </c>
      <c r="AF78" s="168">
        <f>AC78-AVERAGE(AC$57:AC77)</f>
        <v>2.064106867443239E-2</v>
      </c>
      <c r="AG78" s="169">
        <f>AD78-AVERAGE(AD$57:AD77)</f>
        <v>7.3489762826698141E-2</v>
      </c>
      <c r="AI78" s="124">
        <f t="shared" si="75"/>
        <v>0.61346080698585048</v>
      </c>
      <c r="AJ78" s="432">
        <f t="shared" si="76"/>
        <v>0.74022918043330255</v>
      </c>
      <c r="AK78" s="125">
        <f t="shared" si="77"/>
        <v>0.83327420878015512</v>
      </c>
      <c r="AL78" s="116"/>
      <c r="AM78" s="124">
        <f t="shared" si="78"/>
        <v>0.67665342597194034</v>
      </c>
      <c r="AN78" s="432">
        <f t="shared" si="79"/>
        <v>0.81885063655945656</v>
      </c>
      <c r="AO78" s="125">
        <f t="shared" si="80"/>
        <v>0.92322007138101492</v>
      </c>
      <c r="AQ78" s="170"/>
      <c r="AR78" s="170"/>
      <c r="AS78" s="170"/>
      <c r="AT78" s="170"/>
      <c r="AU78" s="170"/>
      <c r="AV78" s="170"/>
    </row>
    <row r="79" spans="3:48" x14ac:dyDescent="0.3">
      <c r="C79" s="138">
        <v>2028</v>
      </c>
      <c r="D79" s="466">
        <v>1.0621288779815625</v>
      </c>
      <c r="E79" s="466">
        <v>0.69355043876984701</v>
      </c>
      <c r="F79" s="466">
        <f t="shared" si="93"/>
        <v>0.95719772415228399</v>
      </c>
      <c r="G79" s="466">
        <f t="shared" si="94"/>
        <v>0.62628460902271466</v>
      </c>
      <c r="H79" s="138">
        <v>2028</v>
      </c>
      <c r="I79" s="399">
        <v>71.0808334594727</v>
      </c>
      <c r="J79" s="399">
        <v>92.018421807861301</v>
      </c>
      <c r="K79" s="399">
        <v>106.95648074646</v>
      </c>
      <c r="L79" t="s">
        <v>1241</v>
      </c>
      <c r="N79" s="398"/>
      <c r="O79" s="398"/>
      <c r="P79" s="398"/>
      <c r="R79" s="124">
        <f t="shared" si="91"/>
        <v>0.61146110080224636</v>
      </c>
      <c r="S79" s="432">
        <f t="shared" si="91"/>
        <v>0.74462416269799792</v>
      </c>
      <c r="T79" s="125">
        <f t="shared" si="91"/>
        <v>0.83963021754748568</v>
      </c>
      <c r="U79" s="116"/>
      <c r="V79" s="124">
        <f t="shared" si="92"/>
        <v>0.65254856511788362</v>
      </c>
      <c r="W79" s="432">
        <f t="shared" si="92"/>
        <v>0.81043891885308206</v>
      </c>
      <c r="X79" s="125">
        <f t="shared" si="92"/>
        <v>0.92308682130905495</v>
      </c>
      <c r="Y79" s="116"/>
      <c r="Z79" s="124">
        <f t="shared" si="89"/>
        <v>0.52479999999999982</v>
      </c>
      <c r="AA79" s="125">
        <f t="shared" si="90"/>
        <v>0.92360000000000031</v>
      </c>
      <c r="AB79" s="116"/>
      <c r="AC79" s="429">
        <v>6.1077179344808441E-2</v>
      </c>
      <c r="AD79" s="429">
        <v>0.13125000000000001</v>
      </c>
      <c r="AF79" s="168">
        <f>AC79-AVERAGE(AC$57:AC78)</f>
        <v>1.9544369729923843E-2</v>
      </c>
      <c r="AG79" s="169">
        <f>AD79-AVERAGE(AD$57:AD78)</f>
        <v>7.1190985728514886E-2</v>
      </c>
      <c r="AI79" s="124">
        <f t="shared" si="75"/>
        <v>0.60976736420696509</v>
      </c>
      <c r="AJ79" s="432">
        <f t="shared" si="76"/>
        <v>0.74032783798665736</v>
      </c>
      <c r="AK79" s="125">
        <f t="shared" si="77"/>
        <v>0.83347705937358529</v>
      </c>
      <c r="AL79" s="116"/>
      <c r="AM79" s="124">
        <f t="shared" si="78"/>
        <v>0.67184498395026981</v>
      </c>
      <c r="AN79" s="432">
        <f t="shared" si="79"/>
        <v>0.81849496776603559</v>
      </c>
      <c r="AO79" s="125">
        <f t="shared" si="80"/>
        <v>0.92312335500591824</v>
      </c>
      <c r="AQ79" s="170"/>
      <c r="AR79" s="170"/>
      <c r="AS79" s="170"/>
      <c r="AT79" s="170"/>
      <c r="AU79" s="170"/>
      <c r="AV79" s="170"/>
    </row>
    <row r="80" spans="3:48" x14ac:dyDescent="0.3">
      <c r="C80" s="138">
        <v>2029</v>
      </c>
      <c r="D80" s="466">
        <v>1.085495713297157</v>
      </c>
      <c r="E80" s="466">
        <v>0.70880854842278362</v>
      </c>
      <c r="F80" s="466">
        <f t="shared" si="93"/>
        <v>0.97825607408363435</v>
      </c>
      <c r="G80" s="466">
        <f t="shared" si="94"/>
        <v>0.64006287042121435</v>
      </c>
      <c r="H80" s="138">
        <v>2029</v>
      </c>
      <c r="I80" s="399">
        <v>70.495462690734897</v>
      </c>
      <c r="J80" s="399">
        <v>92.018421807861301</v>
      </c>
      <c r="K80" s="399">
        <v>106.95648074646</v>
      </c>
      <c r="L80" t="s">
        <v>1241</v>
      </c>
      <c r="N80" s="398"/>
      <c r="O80" s="398"/>
      <c r="P80" s="398"/>
      <c r="R80" s="124">
        <f t="shared" si="91"/>
        <v>0.60773814271307403</v>
      </c>
      <c r="S80" s="432">
        <f t="shared" si="91"/>
        <v>0.74462416269799792</v>
      </c>
      <c r="T80" s="125">
        <f t="shared" si="91"/>
        <v>0.83963021754748568</v>
      </c>
      <c r="U80" s="116"/>
      <c r="V80" s="124">
        <f t="shared" si="92"/>
        <v>0.64813428415083196</v>
      </c>
      <c r="W80" s="432">
        <f t="shared" si="92"/>
        <v>0.81043891885308206</v>
      </c>
      <c r="X80" s="125">
        <f t="shared" si="92"/>
        <v>0.92308682130905495</v>
      </c>
      <c r="Y80" s="116"/>
      <c r="Z80" s="124">
        <f t="shared" si="89"/>
        <v>0.5178999999999998</v>
      </c>
      <c r="AA80" s="125">
        <f t="shared" si="90"/>
        <v>0.92230000000000034</v>
      </c>
      <c r="AB80" s="116"/>
      <c r="AC80" s="429">
        <v>6.0830017055144972E-2</v>
      </c>
      <c r="AD80" s="429">
        <v>0.12878787878787881</v>
      </c>
      <c r="AF80" s="168">
        <f>AC80-AVERAGE(AC$57:AC79)</f>
        <v>1.8447452234611507E-2</v>
      </c>
      <c r="AG80" s="169">
        <f>AD80-AVERAGE(AD$57:AD79)</f>
        <v>6.5633604267327825E-2</v>
      </c>
      <c r="AI80" s="124">
        <f t="shared" si="75"/>
        <v>0.60608085786652843</v>
      </c>
      <c r="AJ80" s="432">
        <f t="shared" si="76"/>
        <v>0.74044167953619433</v>
      </c>
      <c r="AK80" s="125">
        <f t="shared" si="77"/>
        <v>0.83369511472684732</v>
      </c>
      <c r="AL80" s="116"/>
      <c r="AM80" s="124">
        <f t="shared" si="78"/>
        <v>0.66612876824854494</v>
      </c>
      <c r="AN80" s="432">
        <f t="shared" si="79"/>
        <v>0.81778076478599437</v>
      </c>
      <c r="AO80" s="125">
        <f t="shared" si="80"/>
        <v>0.9230351793906274</v>
      </c>
      <c r="AQ80" s="170"/>
      <c r="AR80" s="170"/>
      <c r="AS80" s="170"/>
      <c r="AT80" s="170"/>
      <c r="AU80" s="170"/>
      <c r="AV80" s="170"/>
    </row>
    <row r="81" spans="3:48" x14ac:dyDescent="0.3">
      <c r="C81" s="138">
        <v>2030</v>
      </c>
      <c r="D81" s="466">
        <v>1.1082911232763972</v>
      </c>
      <c r="E81" s="466">
        <v>0.72369352793966202</v>
      </c>
      <c r="F81" s="466">
        <f t="shared" si="93"/>
        <v>0.99879945163939066</v>
      </c>
      <c r="G81" s="466">
        <f t="shared" si="94"/>
        <v>0.65350419070005983</v>
      </c>
      <c r="H81" s="138">
        <v>2030</v>
      </c>
      <c r="I81" s="399">
        <v>69.910100224304202</v>
      </c>
      <c r="J81" s="399">
        <v>92.018421807861301</v>
      </c>
      <c r="K81" s="399">
        <v>106.95648074646</v>
      </c>
      <c r="L81" t="s">
        <v>1241</v>
      </c>
      <c r="M81" s="170"/>
      <c r="N81" s="170"/>
      <c r="R81" s="124">
        <f t="shared" si="91"/>
        <v>0.6040152374265747</v>
      </c>
      <c r="S81" s="432">
        <f t="shared" si="91"/>
        <v>0.74462416269799792</v>
      </c>
      <c r="T81" s="125">
        <f t="shared" si="91"/>
        <v>0.83963021754748568</v>
      </c>
      <c r="U81" s="116"/>
      <c r="V81" s="124">
        <f t="shared" si="92"/>
        <v>0.64372006579147811</v>
      </c>
      <c r="W81" s="432">
        <f t="shared" si="92"/>
        <v>0.81043891885308206</v>
      </c>
      <c r="X81" s="125">
        <f t="shared" si="92"/>
        <v>0.92308682130905495</v>
      </c>
      <c r="Y81" s="116"/>
      <c r="Z81" s="164">
        <v>0.51100000000000001</v>
      </c>
      <c r="AA81" s="165">
        <v>0.92100000000000004</v>
      </c>
      <c r="AB81" s="116"/>
      <c r="AC81" s="429">
        <v>6.1140505584950031E-2</v>
      </c>
      <c r="AD81" s="429">
        <v>0.13636363636363635</v>
      </c>
      <c r="AF81" s="168">
        <f>AC81-AVERAGE(AC$57:AC80)</f>
        <v>1.7989296921307754E-2</v>
      </c>
      <c r="AG81" s="169">
        <f>AD81-AVERAGE(AD$57:AD80)</f>
        <v>7.0474628331946704E-2</v>
      </c>
      <c r="AI81" s="124">
        <f t="shared" si="75"/>
        <v>0.60234195870230212</v>
      </c>
      <c r="AJ81" s="432">
        <f t="shared" si="76"/>
        <v>0.74042142826723167</v>
      </c>
      <c r="AK81" s="125">
        <f t="shared" si="77"/>
        <v>0.83371839098670997</v>
      </c>
      <c r="AL81" s="116"/>
      <c r="AM81" s="124">
        <f t="shared" si="78"/>
        <v>0.66326126609873037</v>
      </c>
      <c r="AN81" s="432">
        <f t="shared" si="79"/>
        <v>0.81823066995488936</v>
      </c>
      <c r="AO81" s="125">
        <f t="shared" si="80"/>
        <v>0.92293975335290412</v>
      </c>
      <c r="AQ81" s="170"/>
      <c r="AR81" s="170"/>
      <c r="AS81" s="170"/>
      <c r="AT81" s="170"/>
      <c r="AU81" s="170"/>
      <c r="AV81" s="170"/>
    </row>
    <row r="82" spans="3:48" x14ac:dyDescent="0.3">
      <c r="C82" s="138">
        <v>2031</v>
      </c>
      <c r="D82" s="466">
        <v>1.1315652368652014</v>
      </c>
      <c r="E82" s="466">
        <v>0.7388910920263948</v>
      </c>
      <c r="F82" s="466">
        <f t="shared" si="93"/>
        <v>1.0197742401238177</v>
      </c>
      <c r="G82" s="466">
        <f t="shared" si="94"/>
        <v>0.66722777870476102</v>
      </c>
      <c r="H82" s="138">
        <v>2031</v>
      </c>
      <c r="I82" s="400">
        <v>67.819507237080202</v>
      </c>
      <c r="J82" s="400">
        <v>92.018421807861301</v>
      </c>
      <c r="K82" s="400">
        <v>106.95648074646</v>
      </c>
      <c r="L82" t="s">
        <v>1242</v>
      </c>
      <c r="M82" s="170"/>
      <c r="N82" s="170"/>
      <c r="R82" s="124">
        <f t="shared" si="87"/>
        <v>0.59071906602783009</v>
      </c>
      <c r="S82" s="432">
        <f t="shared" si="83"/>
        <v>0.74462416269799792</v>
      </c>
      <c r="T82" s="125">
        <f t="shared" si="84"/>
        <v>0.83963021754748568</v>
      </c>
      <c r="U82" s="116"/>
      <c r="V82" s="124">
        <f t="shared" si="88"/>
        <v>0.6279549040748218</v>
      </c>
      <c r="W82" s="432">
        <f t="shared" si="85"/>
        <v>0.81043891885308206</v>
      </c>
      <c r="X82" s="125">
        <f t="shared" si="86"/>
        <v>0.92308682130905495</v>
      </c>
      <c r="Y82" s="116"/>
      <c r="Z82" s="124">
        <v>0.51100000000000001</v>
      </c>
      <c r="AA82" s="125">
        <v>0.92100000000000004</v>
      </c>
      <c r="AB82" s="116"/>
      <c r="AC82" s="429">
        <v>5.3308823529411763E-2</v>
      </c>
      <c r="AD82" s="429">
        <v>0.10638297872340426</v>
      </c>
      <c r="AF82" s="168">
        <f>AC82-AVERAGE(AC$57:AC81)</f>
        <v>9.438042988917171E-3</v>
      </c>
      <c r="AG82" s="169">
        <f>AD82-AVERAGE(AD$57:AD81)</f>
        <v>3.7674985558436735E-2</v>
      </c>
      <c r="AI82" s="124">
        <f t="shared" si="75"/>
        <v>0.58996667405562309</v>
      </c>
      <c r="AJ82" s="432">
        <f t="shared" si="76"/>
        <v>0.7424192078072045</v>
      </c>
      <c r="AK82" s="125">
        <f t="shared" si="77"/>
        <v>0.83652859142681535</v>
      </c>
      <c r="AL82" s="116"/>
      <c r="AM82" s="124">
        <f t="shared" si="78"/>
        <v>0.63899537383177363</v>
      </c>
      <c r="AN82" s="432">
        <f t="shared" si="79"/>
        <v>0.81460430598861733</v>
      </c>
      <c r="AO82" s="125">
        <f t="shared" si="80"/>
        <v>0.92300820034637332</v>
      </c>
      <c r="AQ82" s="170"/>
      <c r="AR82" s="170"/>
      <c r="AS82" s="170"/>
      <c r="AT82" s="170"/>
      <c r="AU82" s="170"/>
      <c r="AV82" s="170"/>
    </row>
    <row r="83" spans="3:48" x14ac:dyDescent="0.3">
      <c r="C83" s="138">
        <v>2032</v>
      </c>
      <c r="D83" s="466">
        <v>1.1541965416025055</v>
      </c>
      <c r="E83" s="466">
        <v>0.7536689138669227</v>
      </c>
      <c r="F83" s="466">
        <f t="shared" si="93"/>
        <v>1.040169724926294</v>
      </c>
      <c r="G83" s="466">
        <f t="shared" si="94"/>
        <v>0.68057233427885622</v>
      </c>
      <c r="H83" s="138">
        <v>2032</v>
      </c>
      <c r="I83" s="400">
        <v>66.704524587304306</v>
      </c>
      <c r="J83" s="400">
        <v>92.018421807861301</v>
      </c>
      <c r="K83" s="400">
        <v>106.95648074646</v>
      </c>
      <c r="L83" t="s">
        <v>1242</v>
      </c>
      <c r="M83" s="170"/>
      <c r="N83" s="170"/>
      <c r="R83" s="124">
        <f t="shared" si="87"/>
        <v>0.58362777637525542</v>
      </c>
      <c r="S83" s="432">
        <f t="shared" si="83"/>
        <v>0.74462416269799792</v>
      </c>
      <c r="T83" s="125">
        <f t="shared" si="84"/>
        <v>0.83963021754748568</v>
      </c>
      <c r="U83" s="116"/>
      <c r="V83" s="124">
        <f t="shared" si="88"/>
        <v>0.61954681991286176</v>
      </c>
      <c r="W83" s="432">
        <f t="shared" si="85"/>
        <v>0.81043891885308206</v>
      </c>
      <c r="X83" s="125">
        <f t="shared" si="86"/>
        <v>0.92308682130905495</v>
      </c>
      <c r="Y83" s="116"/>
      <c r="Z83" s="124">
        <v>0.51100000000000001</v>
      </c>
      <c r="AA83" s="125">
        <v>0.92100000000000004</v>
      </c>
      <c r="AB83" s="116"/>
      <c r="AC83" s="429">
        <v>4.0358744394618826E-2</v>
      </c>
      <c r="AD83" s="429">
        <v>8.6419753086419748E-2</v>
      </c>
      <c r="AF83" s="168">
        <f>AC83-AVERAGE(AC$57:AC82)</f>
        <v>-3.8750377992956553E-3</v>
      </c>
      <c r="AG83" s="169">
        <f>AD83-AVERAGE(AD$57:AD82)</f>
        <v>1.6262722015358499E-2</v>
      </c>
      <c r="AI83" s="124">
        <f t="shared" si="75"/>
        <v>0.58390921175398836</v>
      </c>
      <c r="AJ83" s="432">
        <f t="shared" si="76"/>
        <v>0.74552946515928142</v>
      </c>
      <c r="AK83" s="125">
        <f t="shared" si="77"/>
        <v>0.84090367206247274</v>
      </c>
      <c r="AL83" s="116"/>
      <c r="AM83" s="124">
        <f t="shared" si="78"/>
        <v>0.62444926918126464</v>
      </c>
      <c r="AN83" s="432">
        <f t="shared" si="79"/>
        <v>0.81223694298149185</v>
      </c>
      <c r="AO83" s="125">
        <f t="shared" si="80"/>
        <v>0.92305288391421003</v>
      </c>
      <c r="AQ83" s="170"/>
      <c r="AR83" s="170"/>
      <c r="AS83" s="170"/>
      <c r="AT83" s="170"/>
      <c r="AU83" s="170"/>
      <c r="AV83" s="170"/>
    </row>
    <row r="84" spans="3:48" x14ac:dyDescent="0.3">
      <c r="C84" s="138">
        <v>2033</v>
      </c>
      <c r="D84" s="466">
        <v>1.1772804724345556</v>
      </c>
      <c r="E84" s="466">
        <v>0.76874229214426115</v>
      </c>
      <c r="F84" s="466">
        <f t="shared" si="93"/>
        <v>1.06097311942482</v>
      </c>
      <c r="G84" s="466">
        <f t="shared" si="94"/>
        <v>0.69418378096443334</v>
      </c>
      <c r="H84" s="138">
        <v>2033</v>
      </c>
      <c r="I84" s="400">
        <v>65.589541937528395</v>
      </c>
      <c r="J84" s="400">
        <v>92.018421807861301</v>
      </c>
      <c r="K84" s="400">
        <v>106.95648074646</v>
      </c>
      <c r="L84" t="s">
        <v>1242</v>
      </c>
      <c r="M84" s="170"/>
      <c r="N84" s="170"/>
      <c r="R84" s="124">
        <f t="shared" si="87"/>
        <v>0.57653648672268054</v>
      </c>
      <c r="S84" s="432">
        <f t="shared" si="83"/>
        <v>0.74462416269799792</v>
      </c>
      <c r="T84" s="125">
        <f t="shared" si="84"/>
        <v>0.83963021754748568</v>
      </c>
      <c r="U84" s="116"/>
      <c r="V84" s="124">
        <f t="shared" si="88"/>
        <v>0.61113873575090172</v>
      </c>
      <c r="W84" s="432">
        <f t="shared" si="85"/>
        <v>0.81043891885308206</v>
      </c>
      <c r="X84" s="125">
        <f t="shared" si="86"/>
        <v>0.92308682130905495</v>
      </c>
      <c r="Y84" s="116"/>
      <c r="Z84" s="124">
        <v>0.51100000000000001</v>
      </c>
      <c r="AA84" s="125">
        <v>0.92100000000000004</v>
      </c>
      <c r="AB84" s="116"/>
      <c r="AC84" s="429">
        <v>3.0934767989240081E-2</v>
      </c>
      <c r="AD84" s="429">
        <v>6.0606060606060608E-2</v>
      </c>
      <c r="AF84" s="168">
        <f>AC84-AVERAGE(AC$57:AC83)</f>
        <v>-1.3155494286181964E-2</v>
      </c>
      <c r="AG84" s="169">
        <f>AD84-AVERAGE(AD$57:AD83)</f>
        <v>-1.0153293502606506E-2</v>
      </c>
      <c r="AI84" s="124">
        <f t="shared" si="75"/>
        <v>0.57739865159929715</v>
      </c>
      <c r="AJ84" s="432">
        <f t="shared" si="76"/>
        <v>0.74769760403548546</v>
      </c>
      <c r="AK84" s="125">
        <f t="shared" si="77"/>
        <v>0.84395351049669831</v>
      </c>
      <c r="AL84" s="116"/>
      <c r="AM84" s="124">
        <f t="shared" si="78"/>
        <v>0.60799262338989191</v>
      </c>
      <c r="AN84" s="432">
        <f t="shared" si="79"/>
        <v>0.80931635974623195</v>
      </c>
      <c r="AO84" s="125">
        <f t="shared" si="80"/>
        <v>0.9231080094182933</v>
      </c>
      <c r="AQ84" s="170"/>
      <c r="AR84" s="170"/>
      <c r="AS84" s="170"/>
      <c r="AT84" s="170"/>
      <c r="AU84" s="170"/>
      <c r="AV84" s="170"/>
    </row>
    <row r="85" spans="3:48" x14ac:dyDescent="0.3">
      <c r="C85" s="138">
        <v>2034</v>
      </c>
      <c r="D85" s="466">
        <v>1.2008260818832468</v>
      </c>
      <c r="E85" s="466">
        <v>0.78411713798714644</v>
      </c>
      <c r="F85" s="466">
        <f t="shared" si="93"/>
        <v>1.0821925818133165</v>
      </c>
      <c r="G85" s="466">
        <f t="shared" si="94"/>
        <v>0.70806745658372205</v>
      </c>
      <c r="H85" s="138">
        <v>2034</v>
      </c>
      <c r="I85" s="400">
        <v>64.474559287752498</v>
      </c>
      <c r="J85" s="400">
        <v>92.018421807861301</v>
      </c>
      <c r="K85" s="400">
        <v>106.95648074646</v>
      </c>
      <c r="L85" t="s">
        <v>1242</v>
      </c>
      <c r="M85" s="170"/>
      <c r="N85" s="170"/>
      <c r="R85" s="124">
        <f t="shared" si="87"/>
        <v>0.56944519707010588</v>
      </c>
      <c r="S85" s="432">
        <f t="shared" si="83"/>
        <v>0.74462416269799792</v>
      </c>
      <c r="T85" s="125">
        <f t="shared" si="84"/>
        <v>0.83963021754748568</v>
      </c>
      <c r="U85" s="116"/>
      <c r="V85" s="124">
        <f t="shared" si="88"/>
        <v>0.60273065158894157</v>
      </c>
      <c r="W85" s="432">
        <f t="shared" si="85"/>
        <v>0.81043891885308206</v>
      </c>
      <c r="X85" s="125">
        <f t="shared" si="86"/>
        <v>0.92308682130905495</v>
      </c>
      <c r="Y85" s="116"/>
      <c r="Z85" s="124">
        <v>0.51100000000000001</v>
      </c>
      <c r="AA85" s="125">
        <v>0.92100000000000004</v>
      </c>
      <c r="AB85" s="116"/>
      <c r="AC85" s="429">
        <v>1.9815994338287329E-2</v>
      </c>
      <c r="AD85" s="429">
        <v>3.9215686274509803E-2</v>
      </c>
      <c r="AF85" s="168">
        <f>AC85-AVERAGE(AC$57:AC84)</f>
        <v>-2.3804428855485355E-2</v>
      </c>
      <c r="AG85" s="169">
        <f>AD85-AVERAGE(AD$57:AD84)</f>
        <v>-3.1181050209064212E-2</v>
      </c>
      <c r="AI85" s="124">
        <f t="shared" si="75"/>
        <v>0.57083645160570595</v>
      </c>
      <c r="AJ85" s="432">
        <f t="shared" si="76"/>
        <v>0.75018545245786461</v>
      </c>
      <c r="AK85" s="125">
        <f t="shared" si="77"/>
        <v>0.84745307218085741</v>
      </c>
      <c r="AL85" s="116"/>
      <c r="AM85" s="124">
        <f t="shared" si="78"/>
        <v>0.59280667905613016</v>
      </c>
      <c r="AN85" s="432">
        <f t="shared" si="79"/>
        <v>0.80699150823067145</v>
      </c>
      <c r="AO85" s="125">
        <f t="shared" si="80"/>
        <v>0.92315189058906988</v>
      </c>
      <c r="AQ85" s="170"/>
      <c r="AR85" s="170"/>
      <c r="AS85" s="170"/>
      <c r="AT85" s="170"/>
      <c r="AU85" s="170"/>
      <c r="AV85" s="170"/>
    </row>
    <row r="86" spans="3:48" ht="15.75" thickBot="1" x14ac:dyDescent="0.35">
      <c r="C86" s="138">
        <v>2035</v>
      </c>
      <c r="D86" s="466">
        <v>1.2248426035209117</v>
      </c>
      <c r="E86" s="466">
        <v>0.79979948074688934</v>
      </c>
      <c r="F86" s="466">
        <f t="shared" si="93"/>
        <v>1.1038364334495827</v>
      </c>
      <c r="G86" s="466">
        <f t="shared" si="94"/>
        <v>0.72222880571539649</v>
      </c>
      <c r="H86" s="138">
        <v>2035</v>
      </c>
      <c r="I86" s="400">
        <v>63.359576637976602</v>
      </c>
      <c r="J86" s="400">
        <v>92.018421807861301</v>
      </c>
      <c r="K86" s="158">
        <v>107.04701589407212</v>
      </c>
      <c r="L86" t="s">
        <v>1242</v>
      </c>
      <c r="M86" s="170"/>
      <c r="N86" s="170"/>
      <c r="R86" s="124">
        <f t="shared" si="87"/>
        <v>0.56235390741753122</v>
      </c>
      <c r="S86" s="432">
        <f t="shared" si="83"/>
        <v>0.74462416269799792</v>
      </c>
      <c r="T86" s="125">
        <f t="shared" si="84"/>
        <v>0.84020602108629872</v>
      </c>
      <c r="U86" s="116"/>
      <c r="V86" s="124">
        <f t="shared" si="88"/>
        <v>0.59432256742698153</v>
      </c>
      <c r="W86" s="432">
        <f t="shared" si="85"/>
        <v>0.81043891885308206</v>
      </c>
      <c r="X86" s="125">
        <f t="shared" si="86"/>
        <v>0.92376954685719792</v>
      </c>
      <c r="Y86" s="116"/>
      <c r="Z86" s="124">
        <v>0.51100000000000001</v>
      </c>
      <c r="AA86" s="125">
        <v>0.92100000000000004</v>
      </c>
      <c r="AB86" s="116"/>
      <c r="AC86" s="429">
        <v>1.947565543071161E-2</v>
      </c>
      <c r="AD86" s="429">
        <v>2.8571428571428574E-2</v>
      </c>
      <c r="AF86" s="168">
        <f>AC86-AVERAGE(AC$57:AC85)</f>
        <v>-2.3323925388733995E-2</v>
      </c>
      <c r="AG86" s="169">
        <f>AD86-AVERAGE(AD$57:AD85)</f>
        <v>-4.0750099284246687E-2</v>
      </c>
      <c r="AI86" s="124">
        <f t="shared" si="75"/>
        <v>0.56355168212255768</v>
      </c>
      <c r="AJ86" s="432">
        <f t="shared" si="76"/>
        <v>0.7500731952377715</v>
      </c>
      <c r="AK86" s="125">
        <f t="shared" si="77"/>
        <v>0.84788439775963764</v>
      </c>
      <c r="AL86" s="116"/>
      <c r="AM86" s="124">
        <f>+V86*(1-$AG86)+$AA86*$AG86</f>
        <v>0.58101042961570815</v>
      </c>
      <c r="AN86" s="432">
        <f t="shared" si="79"/>
        <v>0.80593354381937143</v>
      </c>
      <c r="AO86" s="125">
        <f t="shared" si="80"/>
        <v>0.92388240616660111</v>
      </c>
      <c r="AQ86" s="170"/>
      <c r="AR86" s="170"/>
      <c r="AS86" s="170"/>
      <c r="AT86" s="170"/>
      <c r="AU86" s="170"/>
      <c r="AV86" s="170"/>
    </row>
    <row r="87" spans="3:48" x14ac:dyDescent="0.3">
      <c r="C87" s="138">
        <v>2036</v>
      </c>
      <c r="D87" s="466">
        <v>1.24933945559133</v>
      </c>
      <c r="E87" s="466">
        <v>0.81579547036182709</v>
      </c>
      <c r="F87" s="466">
        <f t="shared" si="93"/>
        <v>1.1259131621185745</v>
      </c>
      <c r="G87" s="466">
        <f t="shared" si="94"/>
        <v>0.73667338182970432</v>
      </c>
      <c r="H87" s="138">
        <v>2036</v>
      </c>
      <c r="I87" s="400">
        <v>62.244593988200698</v>
      </c>
      <c r="J87" s="400">
        <v>92.018421807861301</v>
      </c>
      <c r="K87" s="155">
        <v>107.93907435985599</v>
      </c>
      <c r="L87" t="s">
        <v>1242</v>
      </c>
      <c r="M87" s="170"/>
      <c r="N87" s="170"/>
      <c r="R87" s="124">
        <f t="shared" ref="R87:R101" si="95">(+I87*$N$50+$N$49)/1000</f>
        <v>0.55526261776495656</v>
      </c>
      <c r="S87" s="432">
        <f t="shared" ref="S87:S101" si="96">(+J87*$N$50+$N$49)/1000</f>
        <v>0.74462416269799792</v>
      </c>
      <c r="T87" s="125">
        <f t="shared" ref="T87:T101" si="97">(+K87*$N$50+$N$49)/1000</f>
        <v>0.84587951292868413</v>
      </c>
      <c r="U87" s="116"/>
      <c r="V87" s="124">
        <f t="shared" ref="V87:V101" si="98">(+I87*$O$50+$O$49)/1000</f>
        <v>0.58591448326502138</v>
      </c>
      <c r="W87" s="432">
        <f t="shared" ref="W87:W101" si="99">(+J87*$O$50+$O$49)/1000</f>
        <v>0.81043891885308206</v>
      </c>
      <c r="X87" s="125">
        <f t="shared" ref="X87:X101" si="100">(+K87*$O$50+$O$49)/1000</f>
        <v>0.9304965597476742</v>
      </c>
      <c r="Y87" s="116"/>
      <c r="Z87" s="124">
        <v>0.51100000000000001</v>
      </c>
      <c r="AA87" s="125">
        <v>0.92100000000000004</v>
      </c>
      <c r="AB87" s="116"/>
      <c r="AC87" s="429">
        <v>1.9308125502815767E-2</v>
      </c>
      <c r="AD87" s="429">
        <v>3.2258064516129031E-2</v>
      </c>
      <c r="AF87" s="168">
        <f t="shared" ref="AF87:AF101" si="101">AC87-AVERAGE(AC$57:AC$66)</f>
        <v>-8.6029734707386493E-3</v>
      </c>
      <c r="AG87" s="169">
        <f>AD87-AVERAGE(AD$57:AD86)</f>
        <v>-3.5705126696738004E-2</v>
      </c>
      <c r="AI87" s="124">
        <f t="shared" ref="AI87:AI101" si="102">+R87*(1-$AF87)+$Z87*$AF87</f>
        <v>0.55564340789133393</v>
      </c>
      <c r="AJ87" s="432">
        <f t="shared" ref="AJ87:AJ101" si="103">+S87*(1-$AF87)+$Z87*$AF87</f>
        <v>0.74663402517181232</v>
      </c>
      <c r="AK87" s="125">
        <f t="shared" ref="AK87:AK101" si="104">+T87*(1-$AF87)+$Z87*$AF87</f>
        <v>0.84876047249430353</v>
      </c>
      <c r="AL87" s="116"/>
      <c r="AM87" s="124">
        <f t="shared" ref="AM87:AM101" si="105">+V87*(1-$AG87)+$AA87*$AG87</f>
        <v>0.57395021243575717</v>
      </c>
      <c r="AN87" s="432">
        <f t="shared" ref="AN87:AN101" si="106">+W87*(1-$AG87)+$AA87*$AG87</f>
        <v>0.80649132144300306</v>
      </c>
      <c r="AO87" s="125">
        <f t="shared" ref="AO87:AO101" si="107">+X87*(1-$AG87)+$AA87*$AG87</f>
        <v>0.93083563561664817</v>
      </c>
      <c r="AQ87" s="170"/>
      <c r="AR87" s="170"/>
      <c r="AS87" s="170"/>
      <c r="AT87" s="170"/>
      <c r="AU87" s="170"/>
      <c r="AV87" s="170"/>
    </row>
    <row r="88" spans="3:48" x14ac:dyDescent="0.3">
      <c r="C88" s="138">
        <v>2037</v>
      </c>
      <c r="D88" s="466">
        <v>1.2743262447031567</v>
      </c>
      <c r="E88" s="466">
        <v>0.83211137976906369</v>
      </c>
      <c r="F88" s="466">
        <f t="shared" si="93"/>
        <v>1.148431425360946</v>
      </c>
      <c r="G88" s="466">
        <f t="shared" si="94"/>
        <v>0.75140684946629854</v>
      </c>
      <c r="H88" s="138">
        <v>2037</v>
      </c>
      <c r="I88" s="400">
        <v>61.129611338424702</v>
      </c>
      <c r="J88" s="400">
        <v>92.018421807861301</v>
      </c>
      <c r="K88" s="155">
        <v>108.83113282564</v>
      </c>
      <c r="L88" t="s">
        <v>1242</v>
      </c>
      <c r="M88" s="170"/>
      <c r="N88" s="170"/>
      <c r="R88" s="124">
        <f t="shared" si="95"/>
        <v>0.54817132811238112</v>
      </c>
      <c r="S88" s="432">
        <f t="shared" si="96"/>
        <v>0.74462416269799792</v>
      </c>
      <c r="T88" s="125">
        <f t="shared" si="97"/>
        <v>0.85155300477107043</v>
      </c>
      <c r="U88" s="116"/>
      <c r="V88" s="124">
        <f t="shared" si="98"/>
        <v>0.57750639910306079</v>
      </c>
      <c r="W88" s="432">
        <f t="shared" si="99"/>
        <v>0.81043891885308206</v>
      </c>
      <c r="X88" s="125">
        <f t="shared" si="100"/>
        <v>0.93722357263815126</v>
      </c>
      <c r="Y88" s="116"/>
      <c r="Z88" s="124">
        <v>0.51100000000000001</v>
      </c>
      <c r="AA88" s="125">
        <v>0.92100000000000004</v>
      </c>
      <c r="AB88" s="116"/>
      <c r="AC88" s="429">
        <v>1.9163763066202093E-2</v>
      </c>
      <c r="AD88" s="429">
        <v>3.7037037037037035E-2</v>
      </c>
      <c r="AF88" s="168">
        <f t="shared" si="101"/>
        <v>-8.7473359073523237E-3</v>
      </c>
      <c r="AG88" s="169">
        <f>AD88-AVERAGE(AD$57:AD87)</f>
        <v>-2.9774375895290056E-2</v>
      </c>
      <c r="AI88" s="124">
        <f t="shared" si="102"/>
        <v>0.5484964782055024</v>
      </c>
      <c r="AJ88" s="432">
        <f t="shared" si="103"/>
        <v>0.74666775172519118</v>
      </c>
      <c r="AK88" s="125">
        <f t="shared" si="104"/>
        <v>0.85453193629806101</v>
      </c>
      <c r="AL88" s="116"/>
      <c r="AM88" s="124">
        <f t="shared" si="105"/>
        <v>0.56727909151232858</v>
      </c>
      <c r="AN88" s="432">
        <f t="shared" si="106"/>
        <v>0.807147031663624</v>
      </c>
      <c r="AO88" s="125">
        <f t="shared" si="107"/>
        <v>0.93770661938824407</v>
      </c>
      <c r="AQ88" s="170"/>
      <c r="AR88" s="170"/>
      <c r="AS88" s="170"/>
      <c r="AT88" s="170"/>
      <c r="AU88" s="170"/>
      <c r="AV88" s="170"/>
    </row>
    <row r="89" spans="3:48" x14ac:dyDescent="0.3">
      <c r="C89" s="138">
        <v>2038</v>
      </c>
      <c r="D89" s="466">
        <v>1.2998127695972199</v>
      </c>
      <c r="E89" s="466">
        <v>0.84875360736444494</v>
      </c>
      <c r="F89" s="466">
        <f t="shared" si="93"/>
        <v>1.171400053868165</v>
      </c>
      <c r="G89" s="466">
        <f t="shared" si="94"/>
        <v>0.76643498645562447</v>
      </c>
      <c r="H89" s="138">
        <v>2038</v>
      </c>
      <c r="I89" s="400">
        <v>60.014628688648898</v>
      </c>
      <c r="J89" s="150">
        <v>92.395792355796502</v>
      </c>
      <c r="K89" s="155">
        <v>109.723191291424</v>
      </c>
      <c r="L89" t="s">
        <v>1242</v>
      </c>
      <c r="M89" s="170"/>
      <c r="N89" s="170"/>
      <c r="R89" s="124">
        <f t="shared" si="95"/>
        <v>0.5410800384598069</v>
      </c>
      <c r="S89" s="432">
        <f t="shared" si="96"/>
        <v>0.74702423938286577</v>
      </c>
      <c r="T89" s="125">
        <f t="shared" si="97"/>
        <v>0.85722649661345662</v>
      </c>
      <c r="U89" s="116"/>
      <c r="V89" s="124">
        <f t="shared" si="98"/>
        <v>0.5690983149411013</v>
      </c>
      <c r="W89" s="432">
        <f t="shared" si="99"/>
        <v>0.81328467015506145</v>
      </c>
      <c r="X89" s="125">
        <f t="shared" si="100"/>
        <v>0.94395058552862854</v>
      </c>
      <c r="Y89" s="116"/>
      <c r="Z89" s="124">
        <v>0.51100000000000001</v>
      </c>
      <c r="AA89" s="125">
        <v>0.92100000000000004</v>
      </c>
      <c r="AB89" s="116"/>
      <c r="AC89" s="429">
        <v>1.9029495718363463E-2</v>
      </c>
      <c r="AD89" s="429">
        <v>4.3478260869565216E-2</v>
      </c>
      <c r="AF89" s="168">
        <f t="shared" si="101"/>
        <v>-8.8816032551909535E-3</v>
      </c>
      <c r="AG89" s="169">
        <f>AD89-AVERAGE(AD$57:AD88)</f>
        <v>-2.240270281603407E-2</v>
      </c>
      <c r="AI89" s="124">
        <f t="shared" si="102"/>
        <v>0.54134719742730786</v>
      </c>
      <c r="AJ89" s="432">
        <f t="shared" si="103"/>
        <v>0.74912051303567273</v>
      </c>
      <c r="AK89" s="125">
        <f t="shared" si="104"/>
        <v>0.86030154299281214</v>
      </c>
      <c r="AL89" s="116"/>
      <c r="AM89" s="124">
        <f t="shared" si="105"/>
        <v>0.5612147660702651</v>
      </c>
      <c r="AN89" s="432">
        <f t="shared" si="106"/>
        <v>0.81087155563181423</v>
      </c>
      <c r="AO89" s="125">
        <f t="shared" si="107"/>
        <v>0.94446474067568031</v>
      </c>
      <c r="AQ89" s="170"/>
      <c r="AR89" s="170"/>
      <c r="AS89" s="170"/>
      <c r="AT89" s="170"/>
      <c r="AU89" s="170"/>
      <c r="AV89" s="170"/>
    </row>
    <row r="90" spans="3:48" ht="15.75" thickBot="1" x14ac:dyDescent="0.35">
      <c r="C90" s="138">
        <v>2039</v>
      </c>
      <c r="D90" s="466">
        <v>1.3258090249891643</v>
      </c>
      <c r="E90" s="466">
        <v>0.86572867951173382</v>
      </c>
      <c r="F90" s="466">
        <f t="shared" si="93"/>
        <v>1.1948280549455284</v>
      </c>
      <c r="G90" s="466">
        <f t="shared" si="94"/>
        <v>0.78176368618473691</v>
      </c>
      <c r="H90" s="138">
        <v>2039</v>
      </c>
      <c r="I90" s="400">
        <v>58.899646038873001</v>
      </c>
      <c r="J90" s="157">
        <v>93.504541864066098</v>
      </c>
      <c r="K90" s="158">
        <v>110.61524975720801</v>
      </c>
      <c r="L90" t="s">
        <v>1242</v>
      </c>
      <c r="M90" s="170"/>
      <c r="N90" s="170"/>
      <c r="R90" s="124">
        <f t="shared" si="95"/>
        <v>0.53398874880723224</v>
      </c>
      <c r="S90" s="432">
        <f t="shared" si="96"/>
        <v>0.75407588625546029</v>
      </c>
      <c r="T90" s="125">
        <f t="shared" si="97"/>
        <v>0.86289998845584293</v>
      </c>
      <c r="U90" s="116"/>
      <c r="V90" s="124">
        <f t="shared" si="98"/>
        <v>0.56069023077914126</v>
      </c>
      <c r="W90" s="432">
        <f t="shared" si="99"/>
        <v>0.82164575019692243</v>
      </c>
      <c r="X90" s="125">
        <f t="shared" si="100"/>
        <v>0.9506775984191056</v>
      </c>
      <c r="Y90" s="116"/>
      <c r="Z90" s="124">
        <v>0.51100000000000001</v>
      </c>
      <c r="AA90" s="125">
        <v>0.92100000000000004</v>
      </c>
      <c r="AB90" s="116"/>
      <c r="AC90" s="429">
        <v>1.8907563025210083E-2</v>
      </c>
      <c r="AD90" s="429">
        <v>5.5555555555555559E-2</v>
      </c>
      <c r="AF90" s="168">
        <f t="shared" si="101"/>
        <v>-9.0035359483443336E-3</v>
      </c>
      <c r="AG90" s="169">
        <f>AD90-AVERAGE(AD$57:AD89)</f>
        <v>-9.6465383477396735E-3</v>
      </c>
      <c r="AI90" s="124">
        <f t="shared" si="102"/>
        <v>0.53419572883352551</v>
      </c>
      <c r="AJ90" s="432">
        <f t="shared" si="103"/>
        <v>0.7562644287355369</v>
      </c>
      <c r="AK90" s="125">
        <f t="shared" si="104"/>
        <v>0.86606833265212702</v>
      </c>
      <c r="AL90" s="116"/>
      <c r="AM90" s="124">
        <f t="shared" si="105"/>
        <v>0.55721448877328716</v>
      </c>
      <c r="AN90" s="432">
        <f t="shared" si="106"/>
        <v>0.82068732561618629</v>
      </c>
      <c r="AO90" s="125">
        <f t="shared" si="107"/>
        <v>0.95096388451032443</v>
      </c>
      <c r="AQ90" s="170"/>
      <c r="AR90" s="170"/>
      <c r="AS90" s="170"/>
      <c r="AT90" s="170"/>
      <c r="AU90" s="170"/>
      <c r="AV90" s="170"/>
    </row>
    <row r="91" spans="3:48" x14ac:dyDescent="0.3">
      <c r="C91" s="138">
        <v>2040</v>
      </c>
      <c r="D91" s="466">
        <v>1.3523252054889476</v>
      </c>
      <c r="E91" s="466">
        <v>0.88304325310196852</v>
      </c>
      <c r="F91" s="466">
        <f t="shared" si="93"/>
        <v>1.2187246160444389</v>
      </c>
      <c r="G91" s="466">
        <f t="shared" si="94"/>
        <v>0.79739895990843168</v>
      </c>
      <c r="H91" s="138">
        <v>2040</v>
      </c>
      <c r="I91" s="400">
        <v>57.784663389097098</v>
      </c>
      <c r="J91" s="150">
        <v>94.613291372335595</v>
      </c>
      <c r="K91" s="155">
        <v>111.50730822299199</v>
      </c>
      <c r="L91" t="s">
        <v>1242</v>
      </c>
      <c r="M91" s="170"/>
      <c r="N91" s="170"/>
      <c r="R91" s="124">
        <f t="shared" si="95"/>
        <v>0.52689745915465758</v>
      </c>
      <c r="S91" s="432">
        <f t="shared" si="96"/>
        <v>0.76112753312805448</v>
      </c>
      <c r="T91" s="125">
        <f t="shared" si="97"/>
        <v>0.86857348029822901</v>
      </c>
      <c r="U91" s="116"/>
      <c r="V91" s="124">
        <f t="shared" si="98"/>
        <v>0.55228214661718122</v>
      </c>
      <c r="W91" s="432">
        <f t="shared" si="99"/>
        <v>0.83000683023878274</v>
      </c>
      <c r="X91" s="125">
        <f t="shared" si="100"/>
        <v>0.95740461130958276</v>
      </c>
      <c r="Y91" s="116"/>
      <c r="Z91" s="124">
        <v>0.51100000000000001</v>
      </c>
      <c r="AA91" s="125">
        <v>0.92100000000000004</v>
      </c>
      <c r="AB91" s="116"/>
      <c r="AC91" s="429">
        <v>1.8823529411764708E-2</v>
      </c>
      <c r="AD91" s="429">
        <v>7.1428571428571425E-2</v>
      </c>
      <c r="AF91" s="168">
        <f t="shared" si="101"/>
        <v>-9.0875695617897087E-3</v>
      </c>
      <c r="AG91" s="169">
        <f>AD91-AVERAGE(AD$57:AD90)</f>
        <v>6.510199241386197E-3</v>
      </c>
      <c r="AI91" s="124">
        <f t="shared" si="102"/>
        <v>0.52704192842058128</v>
      </c>
      <c r="AJ91" s="432">
        <f t="shared" si="103"/>
        <v>0.76340058448467452</v>
      </c>
      <c r="AK91" s="125">
        <f t="shared" si="104"/>
        <v>0.87182295417389044</v>
      </c>
      <c r="AL91" s="116"/>
      <c r="AM91" s="124">
        <f t="shared" si="105"/>
        <v>0.55468257330655957</v>
      </c>
      <c r="AN91" s="432">
        <f t="shared" si="106"/>
        <v>0.83059921390353353</v>
      </c>
      <c r="AO91" s="125">
        <f t="shared" si="107"/>
        <v>0.95716761003665218</v>
      </c>
      <c r="AQ91" s="170"/>
      <c r="AR91" s="170"/>
      <c r="AS91" s="170"/>
      <c r="AT91" s="170"/>
      <c r="AU91" s="170"/>
      <c r="AV91" s="170"/>
    </row>
    <row r="92" spans="3:48" x14ac:dyDescent="0.3">
      <c r="C92" s="138">
        <v>2041</v>
      </c>
      <c r="D92" s="467">
        <f t="shared" ref="D92:E101" si="108">D91+($D$72-$D$57)/15</f>
        <v>1.3611285388222809</v>
      </c>
      <c r="E92" s="467">
        <f t="shared" si="108"/>
        <v>0.8918465864353019</v>
      </c>
      <c r="F92" s="468">
        <f t="shared" si="93"/>
        <v>1.2266582395493699</v>
      </c>
      <c r="G92" s="468">
        <f t="shared" si="94"/>
        <v>0.8053484785974292</v>
      </c>
      <c r="H92" s="138">
        <v>2041</v>
      </c>
      <c r="I92" s="400">
        <v>56.669680739321201</v>
      </c>
      <c r="J92" s="150">
        <v>95.722040880605206</v>
      </c>
      <c r="K92" s="155">
        <v>112.399366688776</v>
      </c>
      <c r="L92" t="s">
        <v>1242</v>
      </c>
      <c r="M92" s="170"/>
      <c r="N92" s="170"/>
      <c r="R92" s="124">
        <f t="shared" si="95"/>
        <v>0.51980616950208292</v>
      </c>
      <c r="S92" s="432">
        <f t="shared" si="96"/>
        <v>0.76817918000064922</v>
      </c>
      <c r="T92" s="125">
        <f t="shared" si="97"/>
        <v>0.87424697214061531</v>
      </c>
      <c r="U92" s="116"/>
      <c r="V92" s="124">
        <f t="shared" si="98"/>
        <v>0.54387406245522119</v>
      </c>
      <c r="W92" s="432">
        <f t="shared" si="99"/>
        <v>0.83836791028064395</v>
      </c>
      <c r="X92" s="125">
        <f t="shared" si="100"/>
        <v>0.96413162420005982</v>
      </c>
      <c r="Y92" s="116"/>
      <c r="Z92" s="124">
        <v>0.51100000000000001</v>
      </c>
      <c r="AA92" s="125">
        <v>0.92100000000000004</v>
      </c>
      <c r="AB92" s="116"/>
      <c r="AC92" s="429">
        <f t="shared" ref="AC92:AC101" si="109">AC91</f>
        <v>1.8823529411764708E-2</v>
      </c>
      <c r="AD92" s="429">
        <f t="shared" ref="AD92:AD101" si="110">AD91</f>
        <v>7.1428571428571425E-2</v>
      </c>
      <c r="AF92" s="168">
        <f t="shared" si="101"/>
        <v>-9.0875695617897087E-3</v>
      </c>
      <c r="AG92" s="169">
        <f>AD92-AVERAGE(AD$57:AD91)</f>
        <v>6.324193548775156E-3</v>
      </c>
      <c r="AI92" s="124">
        <f t="shared" si="102"/>
        <v>0.51988619618000598</v>
      </c>
      <c r="AJ92" s="432">
        <f t="shared" si="103"/>
        <v>0.77051631368874918</v>
      </c>
      <c r="AK92" s="125">
        <f t="shared" si="104"/>
        <v>0.87754800426805268</v>
      </c>
      <c r="AL92" s="116"/>
      <c r="AM92" s="124">
        <f t="shared" si="105"/>
        <v>0.54625907987651778</v>
      </c>
      <c r="AN92" s="432">
        <f t="shared" si="106"/>
        <v>0.83889049160936902</v>
      </c>
      <c r="AO92" s="125">
        <f t="shared" si="107"/>
        <v>0.96385885146054573</v>
      </c>
      <c r="AQ92" s="170"/>
      <c r="AR92" s="170"/>
      <c r="AS92" s="170"/>
      <c r="AT92" s="170"/>
      <c r="AU92" s="170"/>
      <c r="AV92" s="170"/>
    </row>
    <row r="93" spans="3:48" x14ac:dyDescent="0.3">
      <c r="C93" s="138">
        <v>2042</v>
      </c>
      <c r="D93" s="467">
        <f t="shared" si="108"/>
        <v>1.3699318721556142</v>
      </c>
      <c r="E93" s="467">
        <f t="shared" si="108"/>
        <v>0.90064991976863529</v>
      </c>
      <c r="F93" s="468">
        <f t="shared" si="93"/>
        <v>1.2345918630543009</v>
      </c>
      <c r="G93" s="468">
        <f t="shared" si="94"/>
        <v>0.81329799728642671</v>
      </c>
      <c r="H93" s="138">
        <v>2042</v>
      </c>
      <c r="I93" s="154">
        <v>55.604977700531897</v>
      </c>
      <c r="J93" s="150">
        <v>96.830790388874803</v>
      </c>
      <c r="K93" s="155">
        <v>113.29142515456</v>
      </c>
      <c r="M93" s="170"/>
      <c r="N93" s="170"/>
      <c r="R93" s="124">
        <f t="shared" si="95"/>
        <v>0.51303465817538285</v>
      </c>
      <c r="S93" s="432">
        <f t="shared" si="96"/>
        <v>0.77523082687324385</v>
      </c>
      <c r="T93" s="125">
        <f t="shared" si="97"/>
        <v>0.87992046398300161</v>
      </c>
      <c r="U93" s="116"/>
      <c r="V93" s="124">
        <f t="shared" si="98"/>
        <v>0.53584513683971102</v>
      </c>
      <c r="W93" s="432">
        <f t="shared" si="99"/>
        <v>0.84672899032250493</v>
      </c>
      <c r="X93" s="125">
        <f t="shared" si="100"/>
        <v>0.9708586370905371</v>
      </c>
      <c r="Y93" s="116"/>
      <c r="Z93" s="124">
        <v>0.51100000000000001</v>
      </c>
      <c r="AA93" s="125">
        <v>0.92100000000000004</v>
      </c>
      <c r="AB93" s="116"/>
      <c r="AC93" s="429">
        <f t="shared" si="109"/>
        <v>1.8823529411764708E-2</v>
      </c>
      <c r="AD93" s="429">
        <f t="shared" si="110"/>
        <v>7.1428571428571425E-2</v>
      </c>
      <c r="AF93" s="168">
        <f t="shared" si="101"/>
        <v>-9.0875695617897087E-3</v>
      </c>
      <c r="AG93" s="169">
        <f>AD93-AVERAGE(AD$57:AD92)</f>
        <v>6.1485215057536097E-3</v>
      </c>
      <c r="AI93" s="124">
        <f t="shared" si="102"/>
        <v>0.51305314827308612</v>
      </c>
      <c r="AJ93" s="432">
        <f t="shared" si="103"/>
        <v>0.77763204289282373</v>
      </c>
      <c r="AK93" s="125">
        <f t="shared" si="104"/>
        <v>0.88327305436221493</v>
      </c>
      <c r="AL93" s="116"/>
      <c r="AM93" s="124">
        <f t="shared" si="105"/>
        <v>0.53821326979889772</v>
      </c>
      <c r="AN93" s="432">
        <f t="shared" si="106"/>
        <v>0.84718564722276102</v>
      </c>
      <c r="AO93" s="125">
        <f t="shared" si="107"/>
        <v>0.97055208018813843</v>
      </c>
      <c r="AQ93" s="170"/>
      <c r="AR93" s="170"/>
      <c r="AS93" s="170"/>
      <c r="AT93" s="170"/>
      <c r="AU93" s="170"/>
      <c r="AV93" s="170"/>
    </row>
    <row r="94" spans="3:48" ht="15.75" thickBot="1" x14ac:dyDescent="0.35">
      <c r="C94" s="138">
        <v>2043</v>
      </c>
      <c r="D94" s="467">
        <f t="shared" si="108"/>
        <v>1.3787352054889475</v>
      </c>
      <c r="E94" s="467">
        <f t="shared" si="108"/>
        <v>0.90945325310196867</v>
      </c>
      <c r="F94" s="468">
        <f t="shared" si="93"/>
        <v>1.2425254865592321</v>
      </c>
      <c r="G94" s="468">
        <f t="shared" si="94"/>
        <v>0.82124751597542422</v>
      </c>
      <c r="H94" s="138">
        <v>2043</v>
      </c>
      <c r="I94" s="156">
        <v>56.088176036164903</v>
      </c>
      <c r="J94" s="157">
        <v>97.9395398971444</v>
      </c>
      <c r="K94" s="158">
        <v>114.18348362034401</v>
      </c>
      <c r="M94" s="170"/>
      <c r="N94" s="170"/>
      <c r="R94" s="124">
        <f t="shared" si="95"/>
        <v>0.51610779959000885</v>
      </c>
      <c r="S94" s="432">
        <f t="shared" si="96"/>
        <v>0.78228247374583837</v>
      </c>
      <c r="T94" s="125">
        <f t="shared" si="97"/>
        <v>0.88559395582538791</v>
      </c>
      <c r="U94" s="116"/>
      <c r="V94" s="124">
        <f t="shared" si="98"/>
        <v>0.53948893548871957</v>
      </c>
      <c r="W94" s="432">
        <f t="shared" si="99"/>
        <v>0.85509007036436591</v>
      </c>
      <c r="X94" s="125">
        <f t="shared" si="100"/>
        <v>0.97758564998101416</v>
      </c>
      <c r="Y94" s="116"/>
      <c r="Z94" s="124">
        <v>0.51100000000000001</v>
      </c>
      <c r="AA94" s="125">
        <v>0.92100000000000004</v>
      </c>
      <c r="AB94" s="116"/>
      <c r="AC94" s="429">
        <f t="shared" si="109"/>
        <v>1.8823529411764708E-2</v>
      </c>
      <c r="AD94" s="429">
        <f t="shared" si="110"/>
        <v>7.1428571428571425E-2</v>
      </c>
      <c r="AF94" s="168">
        <f t="shared" si="101"/>
        <v>-9.0875695617897087E-3</v>
      </c>
      <c r="AG94" s="169">
        <f>AD94-AVERAGE(AD$57:AD93)</f>
        <v>5.9823452488413503E-3</v>
      </c>
      <c r="AI94" s="124">
        <f t="shared" si="102"/>
        <v>0.5161542170740907</v>
      </c>
      <c r="AJ94" s="432">
        <f t="shared" si="103"/>
        <v>0.78474777209689806</v>
      </c>
      <c r="AK94" s="125">
        <f t="shared" si="104"/>
        <v>0.88899810445637717</v>
      </c>
      <c r="AL94" s="116"/>
      <c r="AM94" s="124">
        <f t="shared" si="105"/>
        <v>0.54177126639287909</v>
      </c>
      <c r="AN94" s="432">
        <f t="shared" si="106"/>
        <v>0.85548436631877312</v>
      </c>
      <c r="AO94" s="125">
        <f t="shared" si="107"/>
        <v>0.97724713508669769</v>
      </c>
      <c r="AQ94" s="170"/>
      <c r="AR94" s="170"/>
      <c r="AS94" s="170"/>
      <c r="AT94" s="170"/>
      <c r="AU94" s="170"/>
      <c r="AV94" s="170"/>
    </row>
    <row r="95" spans="3:48" x14ac:dyDescent="0.3">
      <c r="C95" s="138">
        <v>2044</v>
      </c>
      <c r="D95" s="467">
        <f t="shared" si="108"/>
        <v>1.3875385388222807</v>
      </c>
      <c r="E95" s="467">
        <f t="shared" si="108"/>
        <v>0.91825658643530206</v>
      </c>
      <c r="F95" s="468">
        <f t="shared" si="93"/>
        <v>1.2504591100641631</v>
      </c>
      <c r="G95" s="468">
        <f t="shared" si="94"/>
        <v>0.82919703466442174</v>
      </c>
      <c r="H95" s="138">
        <v>2044</v>
      </c>
      <c r="I95" s="154">
        <v>56.571374371797802</v>
      </c>
      <c r="J95" s="150">
        <v>99.048289405413897</v>
      </c>
      <c r="K95" s="155">
        <v>115.075542086128</v>
      </c>
      <c r="M95" s="170"/>
      <c r="N95" s="170"/>
      <c r="R95" s="124">
        <f t="shared" si="95"/>
        <v>0.51918094100463408</v>
      </c>
      <c r="S95" s="432">
        <f t="shared" si="96"/>
        <v>0.78933412061843256</v>
      </c>
      <c r="T95" s="125">
        <f t="shared" si="97"/>
        <v>0.8912674476677741</v>
      </c>
      <c r="U95" s="116"/>
      <c r="V95" s="124">
        <f t="shared" si="98"/>
        <v>0.54313273413772722</v>
      </c>
      <c r="W95" s="432">
        <f t="shared" si="99"/>
        <v>0.86345115040622622</v>
      </c>
      <c r="X95" s="125">
        <f t="shared" si="100"/>
        <v>0.98431266287149133</v>
      </c>
      <c r="Y95" s="116"/>
      <c r="Z95" s="124">
        <v>0.51100000000000001</v>
      </c>
      <c r="AA95" s="125">
        <v>0.92100000000000004</v>
      </c>
      <c r="AB95" s="116"/>
      <c r="AC95" s="429">
        <f t="shared" si="109"/>
        <v>1.8823529411764708E-2</v>
      </c>
      <c r="AD95" s="429">
        <f t="shared" si="110"/>
        <v>7.1428571428571425E-2</v>
      </c>
      <c r="AF95" s="168">
        <f t="shared" si="101"/>
        <v>-9.0875695617897087E-3</v>
      </c>
      <c r="AG95" s="169">
        <f>AD95-AVERAGE(AD$57:AD94)</f>
        <v>5.824915110713938E-3</v>
      </c>
      <c r="AI95" s="124">
        <f t="shared" si="102"/>
        <v>0.51925528587509462</v>
      </c>
      <c r="AJ95" s="432">
        <f t="shared" si="103"/>
        <v>0.79186350130097216</v>
      </c>
      <c r="AK95" s="125">
        <f t="shared" si="104"/>
        <v>0.8947231545505393</v>
      </c>
      <c r="AL95" s="116"/>
      <c r="AM95" s="124">
        <f t="shared" si="105"/>
        <v>0.54533377888449253</v>
      </c>
      <c r="AN95" s="432">
        <f t="shared" si="106"/>
        <v>0.86378636756982918</v>
      </c>
      <c r="AO95" s="125">
        <f t="shared" si="107"/>
        <v>0.98394387198483169</v>
      </c>
      <c r="AQ95" s="170"/>
      <c r="AR95" s="170"/>
      <c r="AS95" s="170"/>
      <c r="AT95" s="170"/>
      <c r="AU95" s="170"/>
      <c r="AV95" s="170"/>
    </row>
    <row r="96" spans="3:48" x14ac:dyDescent="0.3">
      <c r="C96" s="138">
        <v>2045</v>
      </c>
      <c r="D96" s="467">
        <f t="shared" si="108"/>
        <v>1.396341872155614</v>
      </c>
      <c r="E96" s="467">
        <f t="shared" si="108"/>
        <v>0.92705991976863544</v>
      </c>
      <c r="F96" s="468">
        <f t="shared" si="93"/>
        <v>1.2583927335690941</v>
      </c>
      <c r="G96" s="468">
        <f t="shared" si="94"/>
        <v>0.83714655335341925</v>
      </c>
      <c r="H96" s="138">
        <v>2045</v>
      </c>
      <c r="I96" s="154">
        <v>57.0545727074308</v>
      </c>
      <c r="J96" s="150">
        <v>100.157038913683</v>
      </c>
      <c r="K96" s="155">
        <v>115.967600551911</v>
      </c>
      <c r="M96" s="170"/>
      <c r="N96" s="170"/>
      <c r="R96" s="124">
        <f t="shared" si="95"/>
        <v>0.52225408241925997</v>
      </c>
      <c r="S96" s="432">
        <f t="shared" si="96"/>
        <v>0.79638576749102385</v>
      </c>
      <c r="T96" s="125">
        <f t="shared" si="97"/>
        <v>0.89694093951015408</v>
      </c>
      <c r="U96" s="116"/>
      <c r="V96" s="124">
        <f t="shared" si="98"/>
        <v>0.54677653278673566</v>
      </c>
      <c r="W96" s="432">
        <f t="shared" si="99"/>
        <v>0.87181223044808354</v>
      </c>
      <c r="X96" s="125">
        <f t="shared" si="100"/>
        <v>0.99103967576196106</v>
      </c>
      <c r="Y96" s="116"/>
      <c r="Z96" s="124">
        <v>0.51100000000000001</v>
      </c>
      <c r="AA96" s="125">
        <v>0.92100000000000004</v>
      </c>
      <c r="AB96" s="116"/>
      <c r="AC96" s="429">
        <f t="shared" si="109"/>
        <v>1.8823529411764708E-2</v>
      </c>
      <c r="AD96" s="429">
        <f t="shared" si="110"/>
        <v>7.1428571428571425E-2</v>
      </c>
      <c r="AF96" s="168">
        <f t="shared" si="101"/>
        <v>-9.0875695617897087E-3</v>
      </c>
      <c r="AG96" s="169">
        <f>AD96-AVERAGE(AD$57:AD95)</f>
        <v>5.6755583130033149E-3</v>
      </c>
      <c r="AI96" s="124">
        <f t="shared" si="102"/>
        <v>0.52235635467609909</v>
      </c>
      <c r="AJ96" s="432">
        <f t="shared" si="103"/>
        <v>0.79897923050504327</v>
      </c>
      <c r="AK96" s="125">
        <f t="shared" si="104"/>
        <v>0.9004482046446951</v>
      </c>
      <c r="AL96" s="116"/>
      <c r="AM96" s="124">
        <f t="shared" si="105"/>
        <v>0.54890045989699887</v>
      </c>
      <c r="AN96" s="432">
        <f t="shared" si="106"/>
        <v>0.87209139850246209</v>
      </c>
      <c r="AO96" s="125">
        <f t="shared" si="107"/>
        <v>0.99064216149795026</v>
      </c>
      <c r="AQ96" s="170"/>
      <c r="AR96" s="170"/>
      <c r="AS96" s="170"/>
      <c r="AT96" s="170"/>
      <c r="AU96" s="170"/>
      <c r="AV96" s="170"/>
    </row>
    <row r="97" spans="2:48" x14ac:dyDescent="0.3">
      <c r="C97" s="138">
        <v>2046</v>
      </c>
      <c r="D97" s="467">
        <f t="shared" si="108"/>
        <v>1.4051452054889473</v>
      </c>
      <c r="E97" s="467">
        <f t="shared" si="108"/>
        <v>0.93586325310196883</v>
      </c>
      <c r="F97" s="468">
        <f t="shared" si="93"/>
        <v>1.2663263570740251</v>
      </c>
      <c r="G97" s="468">
        <f t="shared" si="94"/>
        <v>0.84509607204241688</v>
      </c>
      <c r="H97" s="138">
        <v>2046</v>
      </c>
      <c r="I97" s="154">
        <v>57.537771043063699</v>
      </c>
      <c r="J97" s="150">
        <v>101.265788421953</v>
      </c>
      <c r="K97" s="155">
        <v>116.85965901769499</v>
      </c>
      <c r="M97" s="170"/>
      <c r="N97" s="170"/>
      <c r="R97" s="124">
        <f t="shared" si="95"/>
        <v>0.52532722383388519</v>
      </c>
      <c r="S97" s="432">
        <f t="shared" si="96"/>
        <v>0.80343741436362115</v>
      </c>
      <c r="T97" s="125">
        <f t="shared" si="97"/>
        <v>0.90261443135254016</v>
      </c>
      <c r="U97" s="116"/>
      <c r="V97" s="124">
        <f t="shared" si="98"/>
        <v>0.55042033143574343</v>
      </c>
      <c r="W97" s="432">
        <f t="shared" si="99"/>
        <v>0.88017331048994762</v>
      </c>
      <c r="X97" s="125">
        <f t="shared" si="100"/>
        <v>0.99776668865243801</v>
      </c>
      <c r="Y97" s="116"/>
      <c r="Z97" s="124">
        <v>0.51100000000000001</v>
      </c>
      <c r="AA97" s="125">
        <v>0.92100000000000004</v>
      </c>
      <c r="AB97" s="116"/>
      <c r="AC97" s="429">
        <f t="shared" si="109"/>
        <v>1.8823529411764708E-2</v>
      </c>
      <c r="AD97" s="429">
        <f t="shared" si="110"/>
        <v>7.1428571428571425E-2</v>
      </c>
      <c r="AF97" s="168">
        <f t="shared" si="101"/>
        <v>-9.0875695617897087E-3</v>
      </c>
      <c r="AG97" s="169">
        <f>AD97-AVERAGE(AD$57:AD96)</f>
        <v>5.533669355178239E-3</v>
      </c>
      <c r="AI97" s="124">
        <f t="shared" si="102"/>
        <v>0.525457423477103</v>
      </c>
      <c r="AJ97" s="432">
        <f t="shared" si="103"/>
        <v>0.80609495970912048</v>
      </c>
      <c r="AK97" s="125">
        <f t="shared" si="104"/>
        <v>0.90617325473885713</v>
      </c>
      <c r="AL97" s="116"/>
      <c r="AM97" s="124">
        <f t="shared" si="105"/>
        <v>0.5524709967913296</v>
      </c>
      <c r="AN97" s="432">
        <f t="shared" si="106"/>
        <v>0.88039923189056279</v>
      </c>
      <c r="AO97" s="125">
        <f t="shared" si="107"/>
        <v>0.99734188717994354</v>
      </c>
      <c r="AQ97" s="170"/>
      <c r="AR97" s="170"/>
      <c r="AS97" s="170"/>
      <c r="AT97" s="170"/>
      <c r="AU97" s="170"/>
      <c r="AV97" s="170"/>
    </row>
    <row r="98" spans="2:48" ht="15.75" thickBot="1" x14ac:dyDescent="0.35">
      <c r="C98" s="138">
        <v>2047</v>
      </c>
      <c r="D98" s="467">
        <f t="shared" si="108"/>
        <v>1.4139485388222806</v>
      </c>
      <c r="E98" s="467">
        <f t="shared" si="108"/>
        <v>0.94466658643530221</v>
      </c>
      <c r="F98" s="468">
        <f t="shared" si="93"/>
        <v>1.2742599805789561</v>
      </c>
      <c r="G98" s="468">
        <f t="shared" si="94"/>
        <v>0.85304559073141439</v>
      </c>
      <c r="H98" s="138">
        <v>2047</v>
      </c>
      <c r="I98" s="156">
        <v>58.020969378696698</v>
      </c>
      <c r="J98" s="157">
        <v>102.374537930223</v>
      </c>
      <c r="K98" s="158">
        <v>117.751717483479</v>
      </c>
      <c r="M98" s="170"/>
      <c r="N98" s="170"/>
      <c r="R98" s="124">
        <f t="shared" si="95"/>
        <v>0.52840036524851097</v>
      </c>
      <c r="S98" s="432">
        <f t="shared" si="96"/>
        <v>0.81048906123621822</v>
      </c>
      <c r="T98" s="125">
        <f t="shared" si="97"/>
        <v>0.90828792319492646</v>
      </c>
      <c r="U98" s="116"/>
      <c r="V98" s="124">
        <f t="shared" si="98"/>
        <v>0.55406413008475186</v>
      </c>
      <c r="W98" s="432">
        <f t="shared" si="99"/>
        <v>0.88853439053181171</v>
      </c>
      <c r="X98" s="125">
        <f t="shared" si="100"/>
        <v>1.0044937015429152</v>
      </c>
      <c r="Y98" s="116"/>
      <c r="Z98" s="124">
        <v>0.51100000000000001</v>
      </c>
      <c r="AA98" s="125">
        <v>0.92100000000000004</v>
      </c>
      <c r="AB98" s="116"/>
      <c r="AC98" s="429">
        <f t="shared" si="109"/>
        <v>1.8823529411764708E-2</v>
      </c>
      <c r="AD98" s="429">
        <f t="shared" si="110"/>
        <v>7.1428571428571425E-2</v>
      </c>
      <c r="AF98" s="168">
        <f t="shared" si="101"/>
        <v>-9.0875695617897087E-3</v>
      </c>
      <c r="AG98" s="169">
        <f>AD98-AVERAGE(AD$57:AD97)</f>
        <v>5.3987018099299761E-3</v>
      </c>
      <c r="AI98" s="124">
        <f t="shared" si="102"/>
        <v>0.52855849227810736</v>
      </c>
      <c r="AJ98" s="432">
        <f t="shared" si="103"/>
        <v>0.81321068891319748</v>
      </c>
      <c r="AK98" s="125">
        <f t="shared" si="104"/>
        <v>0.91189830483301937</v>
      </c>
      <c r="AL98" s="116"/>
      <c r="AM98" s="124">
        <f t="shared" si="105"/>
        <v>0.55604510742979152</v>
      </c>
      <c r="AN98" s="432">
        <f t="shared" si="106"/>
        <v>0.88870966267640805</v>
      </c>
      <c r="AO98" s="125">
        <f t="shared" si="107"/>
        <v>1.0040429439452776</v>
      </c>
      <c r="AQ98" s="170"/>
      <c r="AR98" s="170"/>
      <c r="AS98" s="170"/>
      <c r="AT98" s="170"/>
      <c r="AU98" s="170"/>
      <c r="AV98" s="170"/>
    </row>
    <row r="99" spans="2:48" x14ac:dyDescent="0.3">
      <c r="C99" s="138">
        <v>2048</v>
      </c>
      <c r="D99" s="467">
        <f t="shared" si="108"/>
        <v>1.4227518721556138</v>
      </c>
      <c r="E99" s="467">
        <f t="shared" si="108"/>
        <v>0.9534699197686356</v>
      </c>
      <c r="F99" s="468">
        <f t="shared" si="93"/>
        <v>1.2821936040838873</v>
      </c>
      <c r="G99" s="468">
        <f t="shared" si="94"/>
        <v>0.86099510942041191</v>
      </c>
      <c r="H99" s="138">
        <v>2048</v>
      </c>
      <c r="I99" s="154">
        <v>58.504167714329697</v>
      </c>
      <c r="J99" s="150">
        <v>103.483287438492</v>
      </c>
      <c r="K99" s="155">
        <v>118.643775949263</v>
      </c>
      <c r="M99" s="170"/>
      <c r="N99" s="170"/>
      <c r="R99" s="124">
        <f t="shared" si="95"/>
        <v>0.53147350666313697</v>
      </c>
      <c r="S99" s="432">
        <f t="shared" si="96"/>
        <v>0.81754070810880919</v>
      </c>
      <c r="T99" s="125">
        <f t="shared" si="97"/>
        <v>0.91396141503731265</v>
      </c>
      <c r="U99" s="116"/>
      <c r="V99" s="124">
        <f t="shared" si="98"/>
        <v>0.55770792873376029</v>
      </c>
      <c r="W99" s="432">
        <f t="shared" si="99"/>
        <v>0.89689547057366825</v>
      </c>
      <c r="X99" s="125">
        <f t="shared" si="100"/>
        <v>1.0112207144333925</v>
      </c>
      <c r="Y99" s="116"/>
      <c r="Z99" s="124">
        <v>0.51100000000000001</v>
      </c>
      <c r="AA99" s="125">
        <v>0.92100000000000004</v>
      </c>
      <c r="AB99" s="116"/>
      <c r="AC99" s="429">
        <f t="shared" si="109"/>
        <v>1.8823529411764708E-2</v>
      </c>
      <c r="AD99" s="429">
        <f t="shared" si="110"/>
        <v>7.1428571428571425E-2</v>
      </c>
      <c r="AF99" s="168">
        <f t="shared" si="101"/>
        <v>-9.0875695617897087E-3</v>
      </c>
      <c r="AG99" s="169">
        <f>AD99-AVERAGE(AD$57:AD98)</f>
        <v>5.2701612906459333E-3</v>
      </c>
      <c r="AI99" s="124">
        <f t="shared" si="102"/>
        <v>0.53165956107911194</v>
      </c>
      <c r="AJ99" s="432">
        <f t="shared" si="103"/>
        <v>0.82032641811726825</v>
      </c>
      <c r="AK99" s="125">
        <f t="shared" si="104"/>
        <v>0.9176233549271815</v>
      </c>
      <c r="AL99" s="116"/>
      <c r="AM99" s="124">
        <f t="shared" si="105"/>
        <v>0.5596225365449462</v>
      </c>
      <c r="AN99" s="432">
        <f t="shared" si="106"/>
        <v>0.89702250533158012</v>
      </c>
      <c r="AO99" s="125">
        <f t="shared" si="107"/>
        <v>1.010745236716571</v>
      </c>
      <c r="AQ99" s="170"/>
      <c r="AR99" s="170"/>
      <c r="AS99" s="170"/>
      <c r="AT99" s="170"/>
      <c r="AU99" s="170"/>
      <c r="AV99" s="170"/>
    </row>
    <row r="100" spans="2:48" x14ac:dyDescent="0.3">
      <c r="C100" s="138">
        <v>2049</v>
      </c>
      <c r="D100" s="467">
        <f t="shared" si="108"/>
        <v>1.4315552054889471</v>
      </c>
      <c r="E100" s="467">
        <f t="shared" si="108"/>
        <v>0.96227325310196898</v>
      </c>
      <c r="F100" s="468">
        <f t="shared" si="93"/>
        <v>1.2901272275888183</v>
      </c>
      <c r="G100" s="468">
        <f t="shared" si="94"/>
        <v>0.86894462810940942</v>
      </c>
      <c r="H100" s="138">
        <v>2049</v>
      </c>
      <c r="I100" s="154">
        <v>58.987366049962603</v>
      </c>
      <c r="J100" s="150">
        <v>104.59203694676199</v>
      </c>
      <c r="K100" s="155">
        <v>119.53583441504701</v>
      </c>
      <c r="M100" s="170"/>
      <c r="N100" s="170"/>
      <c r="R100" s="124">
        <f t="shared" si="95"/>
        <v>0.53454664807776231</v>
      </c>
      <c r="S100" s="432">
        <f t="shared" si="96"/>
        <v>0.82459235498140626</v>
      </c>
      <c r="T100" s="125">
        <f t="shared" si="97"/>
        <v>0.91963490687969895</v>
      </c>
      <c r="U100" s="116"/>
      <c r="V100" s="124">
        <f t="shared" si="98"/>
        <v>0.56135172738276795</v>
      </c>
      <c r="W100" s="432">
        <f t="shared" si="99"/>
        <v>0.90525655061553223</v>
      </c>
      <c r="X100" s="125">
        <f t="shared" si="100"/>
        <v>1.0179477273238695</v>
      </c>
      <c r="Y100" s="116"/>
      <c r="Z100" s="124">
        <v>0.51100000000000001</v>
      </c>
      <c r="AA100" s="125">
        <v>0.92100000000000004</v>
      </c>
      <c r="AB100" s="116"/>
      <c r="AC100" s="429">
        <f t="shared" si="109"/>
        <v>1.8823529411764708E-2</v>
      </c>
      <c r="AD100" s="429">
        <f t="shared" si="110"/>
        <v>7.1428571428571425E-2</v>
      </c>
      <c r="AF100" s="168">
        <f t="shared" si="101"/>
        <v>-9.0875695617897087E-3</v>
      </c>
      <c r="AG100" s="169">
        <f>AD100-AVERAGE(AD$57:AD99)</f>
        <v>5.1475994001657782E-3</v>
      </c>
      <c r="AI100" s="124">
        <f t="shared" si="102"/>
        <v>0.53476062988011597</v>
      </c>
      <c r="AJ100" s="432">
        <f t="shared" si="103"/>
        <v>0.82744214732134524</v>
      </c>
      <c r="AK100" s="125">
        <f t="shared" si="104"/>
        <v>0.92334840502134374</v>
      </c>
      <c r="AL100" s="116"/>
      <c r="AM100" s="124">
        <f t="shared" si="105"/>
        <v>0.56320305261516312</v>
      </c>
      <c r="AN100" s="432">
        <f t="shared" si="106"/>
        <v>0.90533759158614024</v>
      </c>
      <c r="AO100" s="125">
        <f t="shared" si="107"/>
        <v>1.0174486792608497</v>
      </c>
      <c r="AQ100" s="170"/>
      <c r="AR100" s="170"/>
      <c r="AS100" s="170"/>
      <c r="AT100" s="170"/>
      <c r="AU100" s="170"/>
      <c r="AV100" s="170"/>
    </row>
    <row r="101" spans="2:48" ht="15.75" thickBot="1" x14ac:dyDescent="0.35">
      <c r="C101" s="138">
        <v>2050</v>
      </c>
      <c r="D101" s="467">
        <f t="shared" si="108"/>
        <v>1.4403585388222804</v>
      </c>
      <c r="E101" s="467">
        <f t="shared" si="108"/>
        <v>0.97107658643530237</v>
      </c>
      <c r="F101" s="468">
        <f t="shared" si="93"/>
        <v>1.2980608510937492</v>
      </c>
      <c r="G101" s="468">
        <f t="shared" si="94"/>
        <v>0.87689414679840694</v>
      </c>
      <c r="H101" s="138">
        <v>2050</v>
      </c>
      <c r="I101" s="154">
        <v>59.470564385595601</v>
      </c>
      <c r="J101" s="150">
        <v>105.70078645503099</v>
      </c>
      <c r="K101" s="155">
        <v>120.427892880831</v>
      </c>
      <c r="M101" s="170"/>
      <c r="N101" s="170"/>
      <c r="R101" s="124">
        <f t="shared" si="95"/>
        <v>0.53761978949238798</v>
      </c>
      <c r="S101" s="432">
        <f t="shared" si="96"/>
        <v>0.83164400185399723</v>
      </c>
      <c r="T101" s="125">
        <f t="shared" si="97"/>
        <v>0.92530839872208526</v>
      </c>
      <c r="U101" s="116"/>
      <c r="V101" s="159">
        <f t="shared" si="98"/>
        <v>0.56499552603177638</v>
      </c>
      <c r="W101" s="160">
        <f t="shared" si="99"/>
        <v>0.91361763065738877</v>
      </c>
      <c r="X101" s="161">
        <f t="shared" si="100"/>
        <v>1.0246747402143463</v>
      </c>
      <c r="Y101" s="116"/>
      <c r="Z101" s="124">
        <v>0.51100000000000001</v>
      </c>
      <c r="AA101" s="125">
        <v>0.92100000000000004</v>
      </c>
      <c r="AB101" s="116"/>
      <c r="AC101" s="429">
        <f t="shared" si="109"/>
        <v>1.8823529411764708E-2</v>
      </c>
      <c r="AD101" s="429">
        <f t="shared" si="110"/>
        <v>7.1428571428571425E-2</v>
      </c>
      <c r="AF101" s="168">
        <f t="shared" si="101"/>
        <v>-9.0875695617897087E-3</v>
      </c>
      <c r="AG101" s="169">
        <f>AD101-AVERAGE(AD$57:AD100)</f>
        <v>5.0306085047074622E-3</v>
      </c>
      <c r="AI101" s="124">
        <f t="shared" si="102"/>
        <v>0.53786169868112021</v>
      </c>
      <c r="AJ101" s="432">
        <f t="shared" si="103"/>
        <v>0.83455787652541613</v>
      </c>
      <c r="AK101" s="125">
        <f t="shared" si="104"/>
        <v>0.92907345511550599</v>
      </c>
      <c r="AL101" s="116"/>
      <c r="AM101" s="124">
        <f t="shared" si="105"/>
        <v>0.56678644516623489</v>
      </c>
      <c r="AN101" s="432">
        <f t="shared" si="106"/>
        <v>0.91365476846738858</v>
      </c>
      <c r="AO101" s="125">
        <f t="shared" si="107"/>
        <v>1.0241531931845007</v>
      </c>
      <c r="AQ101" s="170"/>
      <c r="AR101" s="170"/>
      <c r="AS101" s="170"/>
      <c r="AT101" s="170"/>
      <c r="AU101" s="170"/>
      <c r="AV101" s="170"/>
    </row>
    <row r="102" spans="2:48" x14ac:dyDescent="0.3">
      <c r="C102" s="459"/>
      <c r="D102" s="460"/>
      <c r="E102" s="460"/>
      <c r="H102" s="459"/>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61"/>
      <c r="AP102" s="461"/>
      <c r="AQ102" s="461"/>
      <c r="AR102" s="461"/>
      <c r="AS102" s="461"/>
      <c r="AT102" s="461"/>
      <c r="AU102" s="170"/>
      <c r="AV102" s="170"/>
    </row>
    <row r="103" spans="2:48" ht="16.5" x14ac:dyDescent="0.3">
      <c r="AS103" s="379"/>
      <c r="AT103" s="379"/>
      <c r="AU103" s="379"/>
      <c r="AV103" s="379"/>
    </row>
    <row r="104" spans="2:48" ht="16.5" x14ac:dyDescent="0.3">
      <c r="AS104" s="379"/>
      <c r="AT104" s="379"/>
      <c r="AU104" s="379"/>
      <c r="AV104" s="379"/>
    </row>
    <row r="105" spans="2:48" ht="17.25" thickBot="1" x14ac:dyDescent="0.35">
      <c r="B105" s="46"/>
      <c r="C105" s="46"/>
      <c r="D105" s="45">
        <v>2010</v>
      </c>
      <c r="E105" s="45">
        <v>2011</v>
      </c>
      <c r="F105" s="45">
        <v>2012</v>
      </c>
      <c r="G105" s="45">
        <v>2013</v>
      </c>
      <c r="H105" s="45">
        <v>2014</v>
      </c>
      <c r="I105" s="45">
        <v>2015</v>
      </c>
      <c r="J105" s="45">
        <v>2016</v>
      </c>
      <c r="K105" s="45">
        <v>2017</v>
      </c>
      <c r="L105" s="45">
        <v>2018</v>
      </c>
      <c r="M105" s="45">
        <v>2019</v>
      </c>
      <c r="N105" s="45">
        <v>2020</v>
      </c>
      <c r="O105" s="45">
        <v>2021</v>
      </c>
      <c r="P105" s="45">
        <v>2022</v>
      </c>
      <c r="Q105" s="45">
        <v>2023</v>
      </c>
      <c r="R105" s="45">
        <v>2024</v>
      </c>
      <c r="S105" s="45">
        <v>2025</v>
      </c>
      <c r="T105" s="45">
        <v>2026</v>
      </c>
      <c r="U105" s="45">
        <v>2027</v>
      </c>
      <c r="V105" s="45">
        <v>2028</v>
      </c>
      <c r="W105" s="45">
        <v>2029</v>
      </c>
      <c r="X105" s="45">
        <v>2030</v>
      </c>
      <c r="Y105" s="45">
        <v>2031</v>
      </c>
      <c r="Z105" s="45">
        <v>2032</v>
      </c>
      <c r="AA105" s="45">
        <v>2033</v>
      </c>
      <c r="AB105" s="45">
        <v>2034</v>
      </c>
      <c r="AC105" s="45">
        <v>2035</v>
      </c>
      <c r="AD105" s="45">
        <v>2036</v>
      </c>
      <c r="AE105" s="45">
        <v>2037</v>
      </c>
      <c r="AF105" s="45">
        <v>2038</v>
      </c>
      <c r="AG105" s="45">
        <v>2039</v>
      </c>
      <c r="AH105" s="45">
        <v>2040</v>
      </c>
      <c r="AI105" s="45">
        <v>2041</v>
      </c>
      <c r="AJ105" s="45">
        <v>2042</v>
      </c>
      <c r="AK105" s="45">
        <v>2043</v>
      </c>
      <c r="AL105" s="45">
        <v>2044</v>
      </c>
      <c r="AM105" s="45">
        <v>2045</v>
      </c>
      <c r="AN105" s="45">
        <v>2046</v>
      </c>
      <c r="AO105" s="45">
        <v>2047</v>
      </c>
      <c r="AP105" s="45">
        <v>2048</v>
      </c>
      <c r="AQ105" s="45">
        <v>2049</v>
      </c>
      <c r="AR105" s="45">
        <v>2050</v>
      </c>
      <c r="AS105" s="379"/>
      <c r="AT105" s="379"/>
      <c r="AU105" s="379"/>
      <c r="AV105" s="379"/>
    </row>
    <row r="106" spans="2:48" ht="17.25" thickBot="1" x14ac:dyDescent="0.35">
      <c r="B106" s="171" t="s">
        <v>1342</v>
      </c>
      <c r="C106" s="174" t="str">
        <f>input_names!$D$4</f>
        <v>laag</v>
      </c>
      <c r="D106" s="380">
        <f>$AI61</f>
        <v>0.56599999999999995</v>
      </c>
      <c r="E106" s="380">
        <f>$AI62</f>
        <v>0.67</v>
      </c>
      <c r="F106" s="380">
        <f>$AI63</f>
        <v>0.73499999999999999</v>
      </c>
      <c r="G106" s="380">
        <f>$AI64</f>
        <v>0.66400000000000003</v>
      </c>
      <c r="H106" s="380">
        <f>$AI65</f>
        <v>0.61199999999999999</v>
      </c>
      <c r="I106" s="380">
        <f>$AI66</f>
        <v>0.49299999999999999</v>
      </c>
      <c r="J106" s="380">
        <f>$AI67</f>
        <v>0.49406287656122827</v>
      </c>
      <c r="K106" s="380">
        <f>$AI68</f>
        <v>0.43957258096339735</v>
      </c>
      <c r="L106" s="380">
        <f>$AI69</f>
        <v>0.4897771837367515</v>
      </c>
      <c r="M106" s="380">
        <f>$AI70</f>
        <v>0.56342910777506994</v>
      </c>
      <c r="N106" s="380">
        <f>$AI71</f>
        <v>0.53662446351794735</v>
      </c>
      <c r="O106" s="380">
        <f>$AI72</f>
        <v>0.41276606194135368</v>
      </c>
      <c r="P106" s="380">
        <f>$AI73</f>
        <v>0.54104424523166328</v>
      </c>
      <c r="Q106" s="380">
        <f>$AI74</f>
        <v>0.65730358453964932</v>
      </c>
      <c r="R106" s="380">
        <f>$AI75</f>
        <v>0.63911803276556123</v>
      </c>
      <c r="S106" s="380">
        <f>$AI76</f>
        <v>0.62089889808681054</v>
      </c>
      <c r="T106" s="380">
        <f>$AI77</f>
        <v>0.61720011845033851</v>
      </c>
      <c r="U106" s="380">
        <f>$AI78</f>
        <v>0.61346080698585048</v>
      </c>
      <c r="V106" s="380">
        <f>$AI79</f>
        <v>0.60976736420696509</v>
      </c>
      <c r="W106" s="380">
        <f>$AI80</f>
        <v>0.60608085786652843</v>
      </c>
      <c r="X106" s="380">
        <f>$AI81</f>
        <v>0.60234195870230212</v>
      </c>
      <c r="Y106" s="380">
        <f>$AI82</f>
        <v>0.58996667405562309</v>
      </c>
      <c r="Z106" s="380">
        <f>$AI83</f>
        <v>0.58390921175398836</v>
      </c>
      <c r="AA106" s="380">
        <f>$AI84</f>
        <v>0.57739865159929715</v>
      </c>
      <c r="AB106" s="380">
        <f>$AI85</f>
        <v>0.57083645160570595</v>
      </c>
      <c r="AC106" s="380">
        <f>$AI86</f>
        <v>0.56355168212255768</v>
      </c>
      <c r="AD106" s="380">
        <f>$AI87</f>
        <v>0.55564340789133393</v>
      </c>
      <c r="AE106" s="380">
        <f>$AI88</f>
        <v>0.5484964782055024</v>
      </c>
      <c r="AF106" s="380">
        <f>$AI89</f>
        <v>0.54134719742730786</v>
      </c>
      <c r="AG106" s="380">
        <f>$AI90</f>
        <v>0.53419572883352551</v>
      </c>
      <c r="AH106" s="380">
        <f>$AI91</f>
        <v>0.52704192842058128</v>
      </c>
      <c r="AI106" s="380">
        <f>$AI92</f>
        <v>0.51988619618000598</v>
      </c>
      <c r="AJ106" s="380">
        <f>$AI93</f>
        <v>0.51305314827308612</v>
      </c>
      <c r="AK106" s="380">
        <f>$AI94</f>
        <v>0.5161542170740907</v>
      </c>
      <c r="AL106" s="380">
        <f>$AI95</f>
        <v>0.51925528587509462</v>
      </c>
      <c r="AM106" s="380">
        <f>$AI96</f>
        <v>0.52235635467609909</v>
      </c>
      <c r="AN106" s="380">
        <f>$AI97</f>
        <v>0.525457423477103</v>
      </c>
      <c r="AO106" s="380">
        <f>$AI98</f>
        <v>0.52855849227810736</v>
      </c>
      <c r="AP106" s="380">
        <f>$AI99</f>
        <v>0.53165956107911194</v>
      </c>
      <c r="AQ106" s="380">
        <f>$AI100</f>
        <v>0.53476062988011597</v>
      </c>
      <c r="AR106" s="380">
        <f>$AI101</f>
        <v>0.53786169868112021</v>
      </c>
      <c r="AS106" s="379"/>
      <c r="AT106" s="379"/>
      <c r="AU106" s="379"/>
      <c r="AV106" s="379"/>
    </row>
    <row r="107" spans="2:48" ht="17.25" thickBot="1" x14ac:dyDescent="0.35">
      <c r="B107" s="171" t="s">
        <v>1342</v>
      </c>
      <c r="C107" s="174" t="str">
        <f>input_names!$C$4</f>
        <v>middel</v>
      </c>
      <c r="D107" s="380">
        <f>$AJ61</f>
        <v>0.56599999999999995</v>
      </c>
      <c r="E107" s="380">
        <f>$AJ62</f>
        <v>0.67</v>
      </c>
      <c r="F107" s="380">
        <f>$AJ63</f>
        <v>0.73499999999999999</v>
      </c>
      <c r="G107" s="380">
        <f>$AJ64</f>
        <v>0.66400000000000003</v>
      </c>
      <c r="H107" s="380">
        <f>$AJ65</f>
        <v>0.61199999999999999</v>
      </c>
      <c r="I107" s="380">
        <f>$AJ66</f>
        <v>0.49299999999999999</v>
      </c>
      <c r="J107" s="380">
        <f>$AJ67</f>
        <v>0.49406287656122827</v>
      </c>
      <c r="K107" s="380">
        <f>$AJ68</f>
        <v>0.43957258096339735</v>
      </c>
      <c r="L107" s="380">
        <f>$AJ69</f>
        <v>0.4897771837367515</v>
      </c>
      <c r="M107" s="380">
        <f>$AJ70</f>
        <v>0.56342910777506994</v>
      </c>
      <c r="N107" s="380">
        <f>$AJ71</f>
        <v>0.53662446351794735</v>
      </c>
      <c r="O107" s="380">
        <f>$AJ72</f>
        <v>0.41276606194135368</v>
      </c>
      <c r="P107" s="380">
        <f>$AJ73</f>
        <v>0.54104424523166328</v>
      </c>
      <c r="Q107" s="380">
        <f>$AJ74</f>
        <v>0.73991444651340732</v>
      </c>
      <c r="R107" s="380">
        <f>$AJ75</f>
        <v>0.74002333017034028</v>
      </c>
      <c r="S107" s="380">
        <f>$AJ76</f>
        <v>0.74015535925500697</v>
      </c>
      <c r="T107" s="380">
        <f>$AJ77</f>
        <v>0.74024532126775744</v>
      </c>
      <c r="U107" s="380">
        <f>$AJ78</f>
        <v>0.74022918043330255</v>
      </c>
      <c r="V107" s="380">
        <f>$AJ79</f>
        <v>0.74032783798665736</v>
      </c>
      <c r="W107" s="380">
        <f>$AJ80</f>
        <v>0.74044167953619433</v>
      </c>
      <c r="X107" s="380">
        <f>$AJ81</f>
        <v>0.74042142826723167</v>
      </c>
      <c r="Y107" s="380">
        <f>$AJ82</f>
        <v>0.7424192078072045</v>
      </c>
      <c r="Z107" s="380">
        <f>$AJ83</f>
        <v>0.74552946515928142</v>
      </c>
      <c r="AA107" s="380">
        <f>$AJ84</f>
        <v>0.74769760403548546</v>
      </c>
      <c r="AB107" s="380">
        <f>$AJ85</f>
        <v>0.75018545245786461</v>
      </c>
      <c r="AC107" s="380">
        <f>$AJ86</f>
        <v>0.7500731952377715</v>
      </c>
      <c r="AD107" s="380">
        <f>$AJ87</f>
        <v>0.74663402517181232</v>
      </c>
      <c r="AE107" s="380">
        <f>$AJ88</f>
        <v>0.74666775172519118</v>
      </c>
      <c r="AF107" s="380">
        <f>$AJ89</f>
        <v>0.74912051303567273</v>
      </c>
      <c r="AG107" s="380">
        <f>$AJ90</f>
        <v>0.7562644287355369</v>
      </c>
      <c r="AH107" s="380">
        <f>$AJ91</f>
        <v>0.76340058448467452</v>
      </c>
      <c r="AI107" s="380">
        <f>$AJ92</f>
        <v>0.77051631368874918</v>
      </c>
      <c r="AJ107" s="380">
        <f>$AJ93</f>
        <v>0.77763204289282373</v>
      </c>
      <c r="AK107" s="380">
        <f>$AJ94</f>
        <v>0.78474777209689806</v>
      </c>
      <c r="AL107" s="380">
        <f>$AJ95</f>
        <v>0.79186350130097216</v>
      </c>
      <c r="AM107" s="380">
        <f>$AJ96</f>
        <v>0.79897923050504327</v>
      </c>
      <c r="AN107" s="380">
        <f>$AJ97</f>
        <v>0.80609495970912048</v>
      </c>
      <c r="AO107" s="380">
        <f>$AJ98</f>
        <v>0.81321068891319748</v>
      </c>
      <c r="AP107" s="380">
        <f>$AJ99</f>
        <v>0.82032641811726825</v>
      </c>
      <c r="AQ107" s="380">
        <f>$AJ100</f>
        <v>0.82744214732134524</v>
      </c>
      <c r="AR107" s="380">
        <f>$AJ101</f>
        <v>0.83455787652541613</v>
      </c>
      <c r="AS107" s="379"/>
      <c r="AT107" s="379"/>
      <c r="AU107" s="379"/>
      <c r="AV107" s="379"/>
    </row>
    <row r="108" spans="2:48" ht="16.5" x14ac:dyDescent="0.3">
      <c r="B108" s="171" t="s">
        <v>1342</v>
      </c>
      <c r="C108" s="174" t="str">
        <f>input_names!$B$4</f>
        <v>hoog</v>
      </c>
      <c r="D108" s="380">
        <f>$AK61</f>
        <v>0.56599999999999995</v>
      </c>
      <c r="E108" s="380">
        <f>$AK62</f>
        <v>0.67</v>
      </c>
      <c r="F108" s="380">
        <f>$AK63</f>
        <v>0.73499999999999999</v>
      </c>
      <c r="G108" s="380">
        <f>$AK64</f>
        <v>0.66400000000000003</v>
      </c>
      <c r="H108" s="380">
        <f>$AK65</f>
        <v>0.61199999999999999</v>
      </c>
      <c r="I108" s="380">
        <f>$AK66</f>
        <v>0.49299999999999999</v>
      </c>
      <c r="J108" s="380">
        <f>$AK67</f>
        <v>0.49406287656122827</v>
      </c>
      <c r="K108" s="380">
        <f>$AK68</f>
        <v>0.43957258096339735</v>
      </c>
      <c r="L108" s="380">
        <f>$AK69</f>
        <v>0.4897771837367515</v>
      </c>
      <c r="M108" s="380">
        <f>$AK70</f>
        <v>0.56342910777506994</v>
      </c>
      <c r="N108" s="380">
        <f>$AK71</f>
        <v>0.53662446351794735</v>
      </c>
      <c r="O108" s="380">
        <f>$AK72</f>
        <v>0.41276606194135368</v>
      </c>
      <c r="P108" s="380">
        <f>$AK73</f>
        <v>0.54104424523166328</v>
      </c>
      <c r="Q108" s="380">
        <f>$AK74</f>
        <v>0.83250607494572093</v>
      </c>
      <c r="R108" s="380">
        <f>$AK75</f>
        <v>0.83275544119642486</v>
      </c>
      <c r="S108" s="380">
        <f>$AK76</f>
        <v>0.83302926007926825</v>
      </c>
      <c r="T108" s="380">
        <f>$AK77</f>
        <v>0.83323211563997557</v>
      </c>
      <c r="U108" s="380">
        <f>$AK78</f>
        <v>0.83327420878015512</v>
      </c>
      <c r="V108" s="380">
        <f>$AK79</f>
        <v>0.83347705937358529</v>
      </c>
      <c r="W108" s="380">
        <f>$AK80</f>
        <v>0.83369511472684732</v>
      </c>
      <c r="X108" s="380">
        <f>$AK81</f>
        <v>0.83371839098670997</v>
      </c>
      <c r="Y108" s="380">
        <f>$AK82</f>
        <v>0.83652859142681535</v>
      </c>
      <c r="Z108" s="380">
        <f>$AK83</f>
        <v>0.84090367206247274</v>
      </c>
      <c r="AA108" s="380">
        <f>$AK84</f>
        <v>0.84395351049669831</v>
      </c>
      <c r="AB108" s="380">
        <f>$AK85</f>
        <v>0.84745307218085741</v>
      </c>
      <c r="AC108" s="380">
        <f>$AK86</f>
        <v>0.84788439775963764</v>
      </c>
      <c r="AD108" s="380">
        <f>$AK87</f>
        <v>0.84876047249430353</v>
      </c>
      <c r="AE108" s="380">
        <f>$AK88</f>
        <v>0.85453193629806101</v>
      </c>
      <c r="AF108" s="380">
        <f>$AK89</f>
        <v>0.86030154299281214</v>
      </c>
      <c r="AG108" s="380">
        <f>$AK90</f>
        <v>0.86606833265212702</v>
      </c>
      <c r="AH108" s="380">
        <f>$AK91</f>
        <v>0.87182295417389044</v>
      </c>
      <c r="AI108" s="380">
        <f>$AK92</f>
        <v>0.87754800426805268</v>
      </c>
      <c r="AJ108" s="380">
        <f>$AK93</f>
        <v>0.88327305436221493</v>
      </c>
      <c r="AK108" s="380">
        <f>$AK94</f>
        <v>0.88899810445637717</v>
      </c>
      <c r="AL108" s="380">
        <f>$AK95</f>
        <v>0.8947231545505393</v>
      </c>
      <c r="AM108" s="380">
        <f>$AK96</f>
        <v>0.9004482046446951</v>
      </c>
      <c r="AN108" s="380">
        <f>$AK97</f>
        <v>0.90617325473885713</v>
      </c>
      <c r="AO108" s="380">
        <f>$AK98</f>
        <v>0.91189830483301937</v>
      </c>
      <c r="AP108" s="380">
        <f>$AK99</f>
        <v>0.9176233549271815</v>
      </c>
      <c r="AQ108" s="380">
        <f>$AK100</f>
        <v>0.92334840502134374</v>
      </c>
      <c r="AR108" s="380">
        <f>$AK101</f>
        <v>0.92907345511550599</v>
      </c>
      <c r="AS108" s="379"/>
      <c r="AT108" s="379"/>
      <c r="AU108" s="379"/>
      <c r="AV108" s="379"/>
    </row>
    <row r="109" spans="2:48" x14ac:dyDescent="0.3">
      <c r="B109" s="173" t="s">
        <v>15</v>
      </c>
      <c r="C109" s="174" t="str">
        <f>input_names!$D$4</f>
        <v>laag</v>
      </c>
      <c r="D109" s="380">
        <f>$AM61</f>
        <v>0.58199999999999996</v>
      </c>
      <c r="E109" s="380">
        <f>$AM62</f>
        <v>0.72099999999999997</v>
      </c>
      <c r="F109" s="380">
        <f>$AM63</f>
        <v>0.77200000000000002</v>
      </c>
      <c r="G109" s="380">
        <f>$AM64</f>
        <v>0.70899999999999996</v>
      </c>
      <c r="H109" s="380">
        <f>$AM65</f>
        <v>0.64900000000000002</v>
      </c>
      <c r="I109" s="380">
        <f>$AM66</f>
        <v>0.505</v>
      </c>
      <c r="J109" s="380">
        <f>$AM67</f>
        <v>0.51123036569169655</v>
      </c>
      <c r="K109" s="380">
        <f>$AM68</f>
        <v>0.4501827133095696</v>
      </c>
      <c r="L109" s="380">
        <f>$AM69</f>
        <v>0.51843506857577137</v>
      </c>
      <c r="M109" s="380">
        <f>$AM70</f>
        <v>0.60914954992390347</v>
      </c>
      <c r="N109" s="380">
        <f>$AM71</f>
        <v>0.57224037980559028</v>
      </c>
      <c r="O109" s="380">
        <f>$AM72</f>
        <v>0.43232378263476245</v>
      </c>
      <c r="P109" s="380">
        <f>$AM73</f>
        <v>0.59658437454331392</v>
      </c>
      <c r="Q109" s="380">
        <f>$AM74</f>
        <v>0.72902799564372933</v>
      </c>
      <c r="R109" s="380">
        <f>$AM75</f>
        <v>0.70685621591511127</v>
      </c>
      <c r="S109" s="380">
        <f>$AM76</f>
        <v>0.68693218945673407</v>
      </c>
      <c r="T109" s="380">
        <f>$AM77</f>
        <v>0.680819022589772</v>
      </c>
      <c r="U109" s="380">
        <f>$AM78</f>
        <v>0.67665342597194034</v>
      </c>
      <c r="V109" s="380">
        <f>$AM79</f>
        <v>0.67184498395026981</v>
      </c>
      <c r="W109" s="380">
        <f>$AM80</f>
        <v>0.66612876824854494</v>
      </c>
      <c r="X109" s="380">
        <f>$AM81</f>
        <v>0.66326126609873037</v>
      </c>
      <c r="Y109" s="380">
        <f>$AM82</f>
        <v>0.63899537383177363</v>
      </c>
      <c r="Z109" s="380">
        <f>$AM83</f>
        <v>0.62444926918126464</v>
      </c>
      <c r="AA109" s="380">
        <f>$AM84</f>
        <v>0.60799262338989191</v>
      </c>
      <c r="AB109" s="380">
        <f>$AM85</f>
        <v>0.59280667905613016</v>
      </c>
      <c r="AC109" s="380">
        <f>$AM86</f>
        <v>0.58101042961570815</v>
      </c>
      <c r="AD109" s="380">
        <f>$AM87</f>
        <v>0.57395021243575717</v>
      </c>
      <c r="AE109" s="380">
        <f>$AM88</f>
        <v>0.56727909151232858</v>
      </c>
      <c r="AF109" s="380">
        <f>$AM89</f>
        <v>0.5612147660702651</v>
      </c>
      <c r="AG109" s="380">
        <f>$AM90</f>
        <v>0.55721448877328716</v>
      </c>
      <c r="AH109" s="380">
        <f>$AM91</f>
        <v>0.55468257330655957</v>
      </c>
      <c r="AI109" s="380">
        <f>$AM92</f>
        <v>0.54625907987651778</v>
      </c>
      <c r="AJ109" s="380">
        <f>$AM93</f>
        <v>0.53821326979889772</v>
      </c>
      <c r="AK109" s="380">
        <f>$AM94</f>
        <v>0.54177126639287909</v>
      </c>
      <c r="AL109" s="380">
        <f>$AM95</f>
        <v>0.54533377888449253</v>
      </c>
      <c r="AM109" s="380">
        <f>$AM96</f>
        <v>0.54890045989699887</v>
      </c>
      <c r="AN109" s="380">
        <f>$AM97</f>
        <v>0.5524709967913296</v>
      </c>
      <c r="AO109" s="380">
        <f>$AM98</f>
        <v>0.55604510742979152</v>
      </c>
      <c r="AP109" s="380">
        <f>$AM99</f>
        <v>0.5596225365449462</v>
      </c>
      <c r="AQ109" s="380">
        <f>$AM100</f>
        <v>0.56320305261516312</v>
      </c>
      <c r="AR109" s="380">
        <f>$AM101</f>
        <v>0.56678644516623489</v>
      </c>
    </row>
    <row r="110" spans="2:48" x14ac:dyDescent="0.3">
      <c r="B110" s="173" t="s">
        <v>15</v>
      </c>
      <c r="C110" s="174" t="str">
        <f>input_names!$C$4</f>
        <v>middel</v>
      </c>
      <c r="D110" s="380">
        <f>$AN61</f>
        <v>0.58199999999999996</v>
      </c>
      <c r="E110" s="380">
        <f>$AN62</f>
        <v>0.72099999999999997</v>
      </c>
      <c r="F110" s="380">
        <f>$AN63</f>
        <v>0.77200000000000002</v>
      </c>
      <c r="G110" s="380">
        <f>$AN64</f>
        <v>0.70899999999999996</v>
      </c>
      <c r="H110" s="380">
        <f>$AN65</f>
        <v>0.64900000000000002</v>
      </c>
      <c r="I110" s="380">
        <f>$AN66</f>
        <v>0.505</v>
      </c>
      <c r="J110" s="380">
        <f>$AN67</f>
        <v>0.51123036569169655</v>
      </c>
      <c r="K110" s="380">
        <f>$AN68</f>
        <v>0.4501827133095696</v>
      </c>
      <c r="L110" s="380">
        <f>$AN69</f>
        <v>0.51843506857577137</v>
      </c>
      <c r="M110" s="380">
        <f>$AN70</f>
        <v>0.60914954992390347</v>
      </c>
      <c r="N110" s="380">
        <f>$AN71</f>
        <v>0.57224037980559028</v>
      </c>
      <c r="O110" s="380">
        <f>$AN72</f>
        <v>0.43232378263476245</v>
      </c>
      <c r="P110" s="380">
        <f>$AN73</f>
        <v>0.59658437454331392</v>
      </c>
      <c r="Q110" s="380">
        <f>$AN74</f>
        <v>0.82081672063951217</v>
      </c>
      <c r="R110" s="380">
        <f>$AN75</f>
        <v>0.81976962399774667</v>
      </c>
      <c r="S110" s="380">
        <f>$AN76</f>
        <v>0.81989514719636714</v>
      </c>
      <c r="T110" s="380">
        <f>$AN77</f>
        <v>0.81893751090218658</v>
      </c>
      <c r="U110" s="380">
        <f>$AN78</f>
        <v>0.81885063655945656</v>
      </c>
      <c r="V110" s="380">
        <f>$AN79</f>
        <v>0.81849496776603559</v>
      </c>
      <c r="W110" s="380">
        <f>$AN80</f>
        <v>0.81778076478599437</v>
      </c>
      <c r="X110" s="380">
        <f>$AN81</f>
        <v>0.81823066995488936</v>
      </c>
      <c r="Y110" s="380">
        <f>$AN82</f>
        <v>0.81460430598861733</v>
      </c>
      <c r="Z110" s="380">
        <f>$AN83</f>
        <v>0.81223694298149185</v>
      </c>
      <c r="AA110" s="380">
        <f>$AN84</f>
        <v>0.80931635974623195</v>
      </c>
      <c r="AB110" s="380">
        <f>$AN85</f>
        <v>0.80699150823067145</v>
      </c>
      <c r="AC110" s="380">
        <f>$AN86</f>
        <v>0.80593354381937143</v>
      </c>
      <c r="AD110" s="380">
        <f>$AN87</f>
        <v>0.80649132144300306</v>
      </c>
      <c r="AE110" s="380">
        <f>$AN88</f>
        <v>0.807147031663624</v>
      </c>
      <c r="AF110" s="380">
        <f>$AN89</f>
        <v>0.81087155563181423</v>
      </c>
      <c r="AG110" s="380">
        <f>$AN90</f>
        <v>0.82068732561618629</v>
      </c>
      <c r="AH110" s="380">
        <f>$AN91</f>
        <v>0.83059921390353353</v>
      </c>
      <c r="AI110" s="380">
        <f>$AN92</f>
        <v>0.83889049160936902</v>
      </c>
      <c r="AJ110" s="380">
        <f>$AN93</f>
        <v>0.84718564722276102</v>
      </c>
      <c r="AK110" s="380">
        <f>$AN94</f>
        <v>0.85548436631877312</v>
      </c>
      <c r="AL110" s="380">
        <f>$AN95</f>
        <v>0.86378636756982918</v>
      </c>
      <c r="AM110" s="380">
        <f>$AN96</f>
        <v>0.87209139850246209</v>
      </c>
      <c r="AN110" s="380">
        <f>$AN97</f>
        <v>0.88039923189056279</v>
      </c>
      <c r="AO110" s="380">
        <f>$AN98</f>
        <v>0.88870966267640805</v>
      </c>
      <c r="AP110" s="380">
        <f>$AN99</f>
        <v>0.89702250533158012</v>
      </c>
      <c r="AQ110" s="380">
        <f>$AN100</f>
        <v>0.90533759158614024</v>
      </c>
      <c r="AR110" s="380">
        <f>$AN101</f>
        <v>0.91365476846738858</v>
      </c>
    </row>
    <row r="111" spans="2:48" x14ac:dyDescent="0.3">
      <c r="B111" s="173" t="s">
        <v>15</v>
      </c>
      <c r="C111" s="174" t="str">
        <f>input_names!$B$4</f>
        <v>hoog</v>
      </c>
      <c r="D111" s="380">
        <f>$AO61</f>
        <v>0.58199999999999996</v>
      </c>
      <c r="E111" s="380">
        <f>$AO62</f>
        <v>0.72099999999999997</v>
      </c>
      <c r="F111" s="380">
        <f>$AO63</f>
        <v>0.77200000000000002</v>
      </c>
      <c r="G111" s="380">
        <f>$AO64</f>
        <v>0.70899999999999996</v>
      </c>
      <c r="H111" s="380">
        <f>$AO65</f>
        <v>0.64900000000000002</v>
      </c>
      <c r="I111" s="380">
        <f>$AO66</f>
        <v>0.505</v>
      </c>
      <c r="J111" s="380">
        <f>$AO67</f>
        <v>0.51123036569169655</v>
      </c>
      <c r="K111" s="380">
        <f>$AO68</f>
        <v>0.4501827133095696</v>
      </c>
      <c r="L111" s="380">
        <f>$AO69</f>
        <v>0.51843506857577137</v>
      </c>
      <c r="M111" s="380">
        <f>$AO70</f>
        <v>0.60914954992390347</v>
      </c>
      <c r="N111" s="380">
        <f>$AO71</f>
        <v>0.57224037980559028</v>
      </c>
      <c r="O111" s="380">
        <f>$AO72</f>
        <v>0.43232378263476245</v>
      </c>
      <c r="P111" s="380">
        <f>$AO73</f>
        <v>0.59658437454331392</v>
      </c>
      <c r="Q111" s="380">
        <f>$AO74</f>
        <v>0.923695050631821</v>
      </c>
      <c r="R111" s="380">
        <f>$AO75</f>
        <v>0.92353720571993936</v>
      </c>
      <c r="S111" s="380">
        <f>$AO76</f>
        <v>0.92344331917335298</v>
      </c>
      <c r="T111" s="380">
        <f>$AO77</f>
        <v>0.92331537511494699</v>
      </c>
      <c r="U111" s="380">
        <f>$AO78</f>
        <v>0.92322007138101492</v>
      </c>
      <c r="V111" s="380">
        <f>$AO79</f>
        <v>0.92312335500591824</v>
      </c>
      <c r="W111" s="380">
        <f>$AO80</f>
        <v>0.9230351793906274</v>
      </c>
      <c r="X111" s="380">
        <f>$AO81</f>
        <v>0.92293975335290412</v>
      </c>
      <c r="Y111" s="380">
        <f>$AO82</f>
        <v>0.92300820034637332</v>
      </c>
      <c r="Z111" s="380">
        <f>$AO83</f>
        <v>0.92305288391421003</v>
      </c>
      <c r="AA111" s="380">
        <f>$AO84</f>
        <v>0.9231080094182933</v>
      </c>
      <c r="AB111" s="380">
        <f>$AO85</f>
        <v>0.92315189058906988</v>
      </c>
      <c r="AC111" s="380">
        <f>$AO86</f>
        <v>0.92388240616660111</v>
      </c>
      <c r="AD111" s="380">
        <f>$AO87</f>
        <v>0.93083563561664817</v>
      </c>
      <c r="AE111" s="380">
        <f>$AO88</f>
        <v>0.93770661938824407</v>
      </c>
      <c r="AF111" s="380">
        <f>$AO89</f>
        <v>0.94446474067568031</v>
      </c>
      <c r="AG111" s="380">
        <f>$AO90</f>
        <v>0.95096388451032443</v>
      </c>
      <c r="AH111" s="380">
        <f>$AO91</f>
        <v>0.95716761003665218</v>
      </c>
      <c r="AI111" s="380">
        <f>$AO92</f>
        <v>0.96385885146054573</v>
      </c>
      <c r="AJ111" s="380">
        <f>$AO93</f>
        <v>0.97055208018813843</v>
      </c>
      <c r="AK111" s="380">
        <f>$AO94</f>
        <v>0.97724713508669769</v>
      </c>
      <c r="AL111" s="380">
        <f>$AO95</f>
        <v>0.98394387198483169</v>
      </c>
      <c r="AM111" s="380">
        <f>$AO96</f>
        <v>0.99064216149795026</v>
      </c>
      <c r="AN111" s="380">
        <f>$AO97</f>
        <v>0.99734188717994354</v>
      </c>
      <c r="AO111" s="380">
        <f>$AO98</f>
        <v>1.0040429439452776</v>
      </c>
      <c r="AP111" s="380">
        <f>$AO99</f>
        <v>1.010745236716571</v>
      </c>
      <c r="AQ111" s="380">
        <f>$AO100</f>
        <v>1.0174486792608497</v>
      </c>
      <c r="AR111" s="380">
        <f>$AO101</f>
        <v>1.0241531931845007</v>
      </c>
    </row>
    <row r="112" spans="2:48" x14ac:dyDescent="0.3">
      <c r="B112" s="173"/>
      <c r="C112" s="174"/>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126"/>
      <c r="AT112" s="126"/>
      <c r="AU112" s="126"/>
    </row>
    <row r="113" spans="2:45" x14ac:dyDescent="0.3">
      <c r="B113" s="173"/>
      <c r="C113" s="174"/>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L113" s="380"/>
      <c r="AM113" s="380"/>
      <c r="AN113" s="380"/>
      <c r="AO113" s="380"/>
      <c r="AP113" s="380"/>
      <c r="AQ113" s="380"/>
      <c r="AR113" s="380"/>
    </row>
    <row r="114" spans="2:45" ht="16.5" x14ac:dyDescent="0.3">
      <c r="AE114" s="378"/>
      <c r="AF114" s="378"/>
      <c r="AG114" s="378"/>
      <c r="AH114" s="378"/>
      <c r="AI114" s="378"/>
      <c r="AJ114" s="378"/>
      <c r="AK114" s="378"/>
      <c r="AL114" s="378"/>
      <c r="AM114" s="378"/>
      <c r="AN114" s="378"/>
      <c r="AO114" s="378"/>
      <c r="AP114" s="378"/>
      <c r="AQ114" s="378"/>
      <c r="AR114" s="378"/>
      <c r="AS114" s="378"/>
    </row>
    <row r="115" spans="2:45" ht="16.5" x14ac:dyDescent="0.3">
      <c r="C115" s="38" t="s">
        <v>205</v>
      </c>
      <c r="D115" s="38">
        <v>2010</v>
      </c>
      <c r="E115" s="38">
        <v>2011</v>
      </c>
      <c r="F115" s="38">
        <v>2012</v>
      </c>
      <c r="G115" s="38">
        <v>2013</v>
      </c>
      <c r="H115" s="38">
        <v>2014</v>
      </c>
      <c r="I115" s="38">
        <v>2015</v>
      </c>
      <c r="J115" s="38">
        <v>2016</v>
      </c>
      <c r="K115" s="38">
        <f>+J115+1</f>
        <v>2017</v>
      </c>
      <c r="L115" s="38">
        <f t="shared" ref="L115:Q115" si="111">+K115+1</f>
        <v>2018</v>
      </c>
      <c r="M115" s="38">
        <f t="shared" si="111"/>
        <v>2019</v>
      </c>
      <c r="N115" s="38">
        <f t="shared" si="111"/>
        <v>2020</v>
      </c>
      <c r="O115" s="38">
        <f t="shared" si="111"/>
        <v>2021</v>
      </c>
      <c r="P115" s="38">
        <f t="shared" si="111"/>
        <v>2022</v>
      </c>
      <c r="Q115" s="38">
        <f t="shared" si="111"/>
        <v>2023</v>
      </c>
      <c r="R115" s="38">
        <f t="shared" ref="R115" si="112">+Q115+1</f>
        <v>2024</v>
      </c>
      <c r="S115" s="38">
        <f t="shared" ref="S115" si="113">+R115+1</f>
        <v>2025</v>
      </c>
      <c r="T115" s="38">
        <f t="shared" ref="T115" si="114">+S115+1</f>
        <v>2026</v>
      </c>
      <c r="U115" s="38">
        <f t="shared" ref="U115" si="115">+T115+1</f>
        <v>2027</v>
      </c>
      <c r="V115" s="38">
        <f t="shared" ref="V115" si="116">+U115+1</f>
        <v>2028</v>
      </c>
      <c r="W115" s="38">
        <f t="shared" ref="W115" si="117">+V115+1</f>
        <v>2029</v>
      </c>
      <c r="X115" s="38">
        <f t="shared" ref="X115" si="118">+W115+1</f>
        <v>2030</v>
      </c>
      <c r="Y115" s="38">
        <f t="shared" ref="Y115" si="119">+X115+1</f>
        <v>2031</v>
      </c>
      <c r="Z115" s="38">
        <f t="shared" ref="Z115" si="120">+Y115+1</f>
        <v>2032</v>
      </c>
      <c r="AA115" s="38">
        <f t="shared" ref="AA115" si="121">+Z115+1</f>
        <v>2033</v>
      </c>
      <c r="AB115" s="38">
        <f t="shared" ref="AB115" si="122">+AA115+1</f>
        <v>2034</v>
      </c>
      <c r="AC115" s="38">
        <f t="shared" ref="AC115" si="123">+AB115+1</f>
        <v>2035</v>
      </c>
      <c r="AD115" s="38">
        <f t="shared" ref="AD115" si="124">+AC115+1</f>
        <v>2036</v>
      </c>
      <c r="AE115" s="38">
        <f t="shared" ref="AE115" si="125">+AD115+1</f>
        <v>2037</v>
      </c>
      <c r="AF115" s="38">
        <f t="shared" ref="AF115" si="126">+AE115+1</f>
        <v>2038</v>
      </c>
      <c r="AG115" s="38">
        <f t="shared" ref="AG115" si="127">+AF115+1</f>
        <v>2039</v>
      </c>
      <c r="AH115" s="38">
        <f t="shared" ref="AH115" si="128">+AG115+1</f>
        <v>2040</v>
      </c>
      <c r="AI115" s="38">
        <f t="shared" ref="AI115" si="129">+AH115+1</f>
        <v>2041</v>
      </c>
      <c r="AJ115" s="38">
        <f t="shared" ref="AJ115" si="130">+AI115+1</f>
        <v>2042</v>
      </c>
      <c r="AK115" s="38">
        <f t="shared" ref="AK115" si="131">+AJ115+1</f>
        <v>2043</v>
      </c>
      <c r="AL115" s="38">
        <f t="shared" ref="AL115" si="132">+AK115+1</f>
        <v>2044</v>
      </c>
      <c r="AM115" s="38">
        <f t="shared" ref="AM115" si="133">+AL115+1</f>
        <v>2045</v>
      </c>
      <c r="AN115" s="38">
        <f t="shared" ref="AN115" si="134">+AM115+1</f>
        <v>2046</v>
      </c>
      <c r="AO115" s="38">
        <f t="shared" ref="AO115" si="135">+AN115+1</f>
        <v>2047</v>
      </c>
      <c r="AP115" s="38">
        <f t="shared" ref="AP115" si="136">+AO115+1</f>
        <v>2048</v>
      </c>
      <c r="AQ115" s="38">
        <f t="shared" ref="AQ115" si="137">+AP115+1</f>
        <v>2049</v>
      </c>
      <c r="AR115" s="38">
        <f t="shared" ref="AR115" si="138">+AQ115+1</f>
        <v>2050</v>
      </c>
      <c r="AS115" s="378"/>
    </row>
    <row r="116" spans="2:45" ht="16.5" x14ac:dyDescent="0.3">
      <c r="C116" s="38" t="s">
        <v>204</v>
      </c>
      <c r="D116">
        <v>91.59</v>
      </c>
      <c r="E116">
        <v>93.73</v>
      </c>
      <c r="F116">
        <v>96.04</v>
      </c>
      <c r="G116">
        <v>98.44</v>
      </c>
      <c r="H116">
        <v>99.4</v>
      </c>
      <c r="I116">
        <v>100</v>
      </c>
      <c r="J116">
        <v>100.32</v>
      </c>
      <c r="K116">
        <v>101.7</v>
      </c>
      <c r="L116">
        <v>103.44</v>
      </c>
      <c r="M116">
        <v>106.16</v>
      </c>
      <c r="N116">
        <v>107.51</v>
      </c>
      <c r="O116">
        <v>110.39</v>
      </c>
      <c r="P116">
        <v>121.43</v>
      </c>
      <c r="Q116" s="458">
        <f>P116</f>
        <v>121.43</v>
      </c>
      <c r="R116" s="458">
        <f t="shared" ref="R116:AR116" si="139">Q116</f>
        <v>121.43</v>
      </c>
      <c r="S116" s="458">
        <f t="shared" si="139"/>
        <v>121.43</v>
      </c>
      <c r="T116" s="458">
        <f t="shared" si="139"/>
        <v>121.43</v>
      </c>
      <c r="U116" s="458">
        <f t="shared" si="139"/>
        <v>121.43</v>
      </c>
      <c r="V116" s="458">
        <f t="shared" si="139"/>
        <v>121.43</v>
      </c>
      <c r="W116" s="458">
        <f t="shared" si="139"/>
        <v>121.43</v>
      </c>
      <c r="X116" s="458">
        <f t="shared" si="139"/>
        <v>121.43</v>
      </c>
      <c r="Y116" s="458">
        <f t="shared" si="139"/>
        <v>121.43</v>
      </c>
      <c r="Z116" s="458">
        <f t="shared" si="139"/>
        <v>121.43</v>
      </c>
      <c r="AA116" s="458">
        <f t="shared" si="139"/>
        <v>121.43</v>
      </c>
      <c r="AB116" s="458">
        <f t="shared" si="139"/>
        <v>121.43</v>
      </c>
      <c r="AC116" s="458">
        <f t="shared" si="139"/>
        <v>121.43</v>
      </c>
      <c r="AD116" s="458">
        <f t="shared" si="139"/>
        <v>121.43</v>
      </c>
      <c r="AE116" s="458">
        <f t="shared" si="139"/>
        <v>121.43</v>
      </c>
      <c r="AF116" s="458">
        <f t="shared" si="139"/>
        <v>121.43</v>
      </c>
      <c r="AG116" s="458">
        <f t="shared" si="139"/>
        <v>121.43</v>
      </c>
      <c r="AH116" s="458">
        <f t="shared" si="139"/>
        <v>121.43</v>
      </c>
      <c r="AI116" s="458">
        <f t="shared" si="139"/>
        <v>121.43</v>
      </c>
      <c r="AJ116" s="458">
        <f t="shared" si="139"/>
        <v>121.43</v>
      </c>
      <c r="AK116" s="458">
        <f t="shared" si="139"/>
        <v>121.43</v>
      </c>
      <c r="AL116" s="458">
        <f t="shared" si="139"/>
        <v>121.43</v>
      </c>
      <c r="AM116" s="458">
        <f t="shared" si="139"/>
        <v>121.43</v>
      </c>
      <c r="AN116" s="458">
        <f t="shared" si="139"/>
        <v>121.43</v>
      </c>
      <c r="AO116" s="458">
        <f t="shared" si="139"/>
        <v>121.43</v>
      </c>
      <c r="AP116" s="458">
        <f t="shared" si="139"/>
        <v>121.43</v>
      </c>
      <c r="AQ116" s="458">
        <f t="shared" si="139"/>
        <v>121.43</v>
      </c>
      <c r="AR116" s="458">
        <f t="shared" si="139"/>
        <v>121.43</v>
      </c>
      <c r="AS116" s="378"/>
    </row>
    <row r="117" spans="2:45" ht="16.5" x14ac:dyDescent="0.3">
      <c r="C117" s="38" t="s">
        <v>226</v>
      </c>
      <c r="D117" s="38">
        <v>93.28</v>
      </c>
      <c r="E117" s="38">
        <v>95.81</v>
      </c>
      <c r="F117" s="38">
        <v>98.21</v>
      </c>
      <c r="G117" s="38">
        <v>99.54</v>
      </c>
      <c r="H117" s="38">
        <v>99.97</v>
      </c>
      <c r="I117" s="38">
        <v>100</v>
      </c>
      <c r="J117" s="38">
        <v>100.24</v>
      </c>
      <c r="K117" s="38">
        <v>101.78</v>
      </c>
      <c r="L117" s="38">
        <v>103.55</v>
      </c>
      <c r="M117" s="38">
        <v>104.8</v>
      </c>
      <c r="N117" s="38">
        <v>105.06</v>
      </c>
      <c r="O117" s="38">
        <v>107.78</v>
      </c>
      <c r="P117" s="38">
        <v>116.82</v>
      </c>
      <c r="Q117" s="458">
        <f>P117</f>
        <v>116.82</v>
      </c>
      <c r="R117" s="458">
        <f t="shared" ref="R117:AR117" si="140">Q117</f>
        <v>116.82</v>
      </c>
      <c r="S117" s="458">
        <f t="shared" si="140"/>
        <v>116.82</v>
      </c>
      <c r="T117" s="458">
        <f t="shared" si="140"/>
        <v>116.82</v>
      </c>
      <c r="U117" s="458">
        <f t="shared" si="140"/>
        <v>116.82</v>
      </c>
      <c r="V117" s="458">
        <f t="shared" si="140"/>
        <v>116.82</v>
      </c>
      <c r="W117" s="458">
        <f t="shared" si="140"/>
        <v>116.82</v>
      </c>
      <c r="X117" s="458">
        <f t="shared" si="140"/>
        <v>116.82</v>
      </c>
      <c r="Y117" s="458">
        <f t="shared" si="140"/>
        <v>116.82</v>
      </c>
      <c r="Z117" s="458">
        <f t="shared" si="140"/>
        <v>116.82</v>
      </c>
      <c r="AA117" s="458">
        <f t="shared" si="140"/>
        <v>116.82</v>
      </c>
      <c r="AB117" s="458">
        <f t="shared" si="140"/>
        <v>116.82</v>
      </c>
      <c r="AC117" s="458">
        <f t="shared" si="140"/>
        <v>116.82</v>
      </c>
      <c r="AD117" s="458">
        <f t="shared" si="140"/>
        <v>116.82</v>
      </c>
      <c r="AE117" s="458">
        <f t="shared" si="140"/>
        <v>116.82</v>
      </c>
      <c r="AF117" s="458">
        <f t="shared" si="140"/>
        <v>116.82</v>
      </c>
      <c r="AG117" s="458">
        <f t="shared" si="140"/>
        <v>116.82</v>
      </c>
      <c r="AH117" s="458">
        <f t="shared" si="140"/>
        <v>116.82</v>
      </c>
      <c r="AI117" s="458">
        <f t="shared" si="140"/>
        <v>116.82</v>
      </c>
      <c r="AJ117" s="458">
        <f t="shared" si="140"/>
        <v>116.82</v>
      </c>
      <c r="AK117" s="458">
        <f t="shared" si="140"/>
        <v>116.82</v>
      </c>
      <c r="AL117" s="458">
        <f t="shared" si="140"/>
        <v>116.82</v>
      </c>
      <c r="AM117" s="458">
        <f t="shared" si="140"/>
        <v>116.82</v>
      </c>
      <c r="AN117" s="458">
        <f t="shared" si="140"/>
        <v>116.82</v>
      </c>
      <c r="AO117" s="458">
        <f t="shared" si="140"/>
        <v>116.82</v>
      </c>
      <c r="AP117" s="458">
        <f t="shared" si="140"/>
        <v>116.82</v>
      </c>
      <c r="AQ117" s="458">
        <f t="shared" si="140"/>
        <v>116.82</v>
      </c>
      <c r="AR117" s="458">
        <f t="shared" si="140"/>
        <v>116.82</v>
      </c>
      <c r="AS117" s="378"/>
    </row>
    <row r="118" spans="2:45" ht="16.5" x14ac:dyDescent="0.3">
      <c r="AE118" s="378"/>
      <c r="AF118" s="378"/>
      <c r="AG118" s="378"/>
      <c r="AH118" s="378"/>
      <c r="AI118" s="378"/>
      <c r="AJ118" s="378"/>
      <c r="AK118" s="378"/>
      <c r="AL118" s="378"/>
      <c r="AM118" s="378"/>
      <c r="AN118" s="378"/>
      <c r="AO118" s="378"/>
      <c r="AP118" s="378"/>
      <c r="AQ118" s="378"/>
      <c r="AR118" s="378"/>
      <c r="AS118" s="378"/>
    </row>
    <row r="123" spans="2:45" x14ac:dyDescent="0.3">
      <c r="C123" t="s">
        <v>1399</v>
      </c>
    </row>
    <row r="124" spans="2:45" ht="19.5" thickBot="1" x14ac:dyDescent="0.35">
      <c r="C124" s="90" t="s">
        <v>247</v>
      </c>
      <c r="D124" t="s">
        <v>1276</v>
      </c>
    </row>
    <row r="125" spans="2:45" x14ac:dyDescent="0.3">
      <c r="C125" s="171" t="s">
        <v>169</v>
      </c>
      <c r="D125" s="172" t="s">
        <v>155</v>
      </c>
      <c r="E125" s="172" t="s">
        <v>156</v>
      </c>
      <c r="F125" s="177" t="s">
        <v>157</v>
      </c>
      <c r="I125" s="126"/>
    </row>
    <row r="126" spans="2:45" x14ac:dyDescent="0.3">
      <c r="B126" s="170"/>
      <c r="C126">
        <v>2015</v>
      </c>
      <c r="D126" s="170">
        <v>4.4296871474265996E-2</v>
      </c>
      <c r="E126" s="170">
        <v>4.4296871474265996E-2</v>
      </c>
      <c r="F126" s="170">
        <v>4.4296871474265996E-2</v>
      </c>
    </row>
    <row r="127" spans="2:45" x14ac:dyDescent="0.3">
      <c r="C127">
        <v>2016</v>
      </c>
      <c r="D127" s="170">
        <v>3.66203354371753E-2</v>
      </c>
      <c r="E127" s="170">
        <v>3.66203354371753E-2</v>
      </c>
      <c r="F127" s="170">
        <v>3.66203354371753E-2</v>
      </c>
      <c r="G127" s="126"/>
    </row>
    <row r="128" spans="2:45" x14ac:dyDescent="0.3">
      <c r="C128">
        <v>2017</v>
      </c>
      <c r="D128" s="170">
        <v>4.1997518024055505E-2</v>
      </c>
      <c r="E128" s="170">
        <v>4.1997518024055505E-2</v>
      </c>
      <c r="F128" s="170">
        <v>4.1997518024055505E-2</v>
      </c>
      <c r="G128" s="126"/>
    </row>
    <row r="129" spans="3:6" x14ac:dyDescent="0.3">
      <c r="C129">
        <v>2018</v>
      </c>
      <c r="D129" s="170">
        <v>5.4970389428663405E-2</v>
      </c>
      <c r="E129" s="170">
        <v>5.4970389428663405E-2</v>
      </c>
      <c r="F129" s="170">
        <v>5.4970389428663405E-2</v>
      </c>
    </row>
    <row r="130" spans="3:6" x14ac:dyDescent="0.3">
      <c r="C130">
        <v>2019</v>
      </c>
      <c r="D130" s="170">
        <v>4.2549427401022098E-2</v>
      </c>
      <c r="E130" s="170">
        <v>4.2549427401022098E-2</v>
      </c>
      <c r="F130" s="170">
        <v>4.2549427401022098E-2</v>
      </c>
    </row>
    <row r="131" spans="3:6" x14ac:dyDescent="0.3">
      <c r="C131">
        <v>2020</v>
      </c>
      <c r="D131" s="170">
        <v>3.3162525094222704E-2</v>
      </c>
      <c r="E131" s="170">
        <v>3.3162525094222704E-2</v>
      </c>
      <c r="F131" s="170">
        <v>3.3162525094222704E-2</v>
      </c>
    </row>
    <row r="132" spans="3:6" x14ac:dyDescent="0.3">
      <c r="C132">
        <v>2021</v>
      </c>
      <c r="D132" s="170">
        <v>0.10262999534606899</v>
      </c>
      <c r="E132" s="170">
        <v>0.10262999534606899</v>
      </c>
      <c r="F132" s="170">
        <v>0.10262999534606899</v>
      </c>
    </row>
    <row r="133" spans="3:6" x14ac:dyDescent="0.3">
      <c r="C133">
        <v>2022</v>
      </c>
      <c r="D133" s="170">
        <f>AVERAGE(D132,D134)</f>
        <v>0.1361649976730345</v>
      </c>
      <c r="E133" s="170">
        <f t="shared" ref="E133:F133" si="141">AVERAGE(E132,E134)</f>
        <v>0.12281230806732149</v>
      </c>
      <c r="F133" s="170">
        <f t="shared" si="141"/>
        <v>9.8573696459770044E-2</v>
      </c>
    </row>
    <row r="134" spans="3:6" x14ac:dyDescent="0.3">
      <c r="C134">
        <v>2023</v>
      </c>
      <c r="D134" s="170">
        <v>0.16969999999999999</v>
      </c>
      <c r="E134" s="170">
        <v>0.142994620788574</v>
      </c>
      <c r="F134" s="170">
        <v>9.4517397573471107E-2</v>
      </c>
    </row>
    <row r="135" spans="3:6" x14ac:dyDescent="0.3">
      <c r="C135">
        <v>2024</v>
      </c>
      <c r="D135" s="170">
        <v>0.12719965789985699</v>
      </c>
      <c r="E135" s="170">
        <v>0.104235310335159</v>
      </c>
      <c r="F135" s="170">
        <v>7.9461308885574303E-2</v>
      </c>
    </row>
    <row r="136" spans="3:6" x14ac:dyDescent="0.3">
      <c r="C136">
        <v>2025</v>
      </c>
      <c r="D136" s="170">
        <v>0.11582508201789901</v>
      </c>
      <c r="E136" s="170">
        <v>9.2562276889800996E-2</v>
      </c>
      <c r="F136" s="170">
        <v>7.3305433541297899E-2</v>
      </c>
    </row>
    <row r="137" spans="3:6" x14ac:dyDescent="0.3">
      <c r="C137">
        <v>2026</v>
      </c>
      <c r="D137" s="170">
        <v>0.114282648265839</v>
      </c>
      <c r="E137" s="170">
        <v>9.0863147468566899E-2</v>
      </c>
      <c r="F137" s="170">
        <v>7.0318512505531297E-2</v>
      </c>
    </row>
    <row r="138" spans="3:6" x14ac:dyDescent="0.3">
      <c r="C138">
        <v>2027</v>
      </c>
      <c r="D138" s="170">
        <v>0.112209510286331</v>
      </c>
      <c r="E138" s="170">
        <v>8.8615733684539802E-2</v>
      </c>
      <c r="F138" s="170">
        <v>6.7054657637596091E-2</v>
      </c>
    </row>
    <row r="139" spans="3:6" x14ac:dyDescent="0.3">
      <c r="C139">
        <v>2028</v>
      </c>
      <c r="D139" s="170">
        <v>0.10587414425087001</v>
      </c>
      <c r="E139" s="170">
        <v>8.3053281309127799E-2</v>
      </c>
      <c r="F139" s="170">
        <v>6.1464138275146504E-2</v>
      </c>
    </row>
    <row r="140" spans="3:6" x14ac:dyDescent="0.3">
      <c r="C140">
        <v>2029</v>
      </c>
      <c r="D140" s="170">
        <v>0.100616095966339</v>
      </c>
      <c r="E140" s="170">
        <v>7.8515442601203897E-2</v>
      </c>
      <c r="F140" s="170">
        <v>5.6571360370636002E-2</v>
      </c>
    </row>
    <row r="141" spans="3:6" x14ac:dyDescent="0.3">
      <c r="C141">
        <v>2030</v>
      </c>
      <c r="D141" s="170">
        <v>9.31687292919159E-2</v>
      </c>
      <c r="E141" s="170">
        <v>7.2787597889900205E-2</v>
      </c>
      <c r="F141" s="170">
        <v>5.0234141882896405E-2</v>
      </c>
    </row>
    <row r="143" spans="3:6" x14ac:dyDescent="0.3">
      <c r="C143">
        <v>2040</v>
      </c>
      <c r="E143" s="170">
        <v>8.6999999999999994E-2</v>
      </c>
    </row>
    <row r="146" spans="1:31" x14ac:dyDescent="0.3">
      <c r="A146" t="s">
        <v>1302</v>
      </c>
    </row>
    <row r="147" spans="1:31" x14ac:dyDescent="0.3">
      <c r="B147" s="49" t="s">
        <v>1303</v>
      </c>
      <c r="C147" s="40"/>
    </row>
    <row r="148" spans="1:31" x14ac:dyDescent="0.3">
      <c r="B148" t="s">
        <v>1304</v>
      </c>
      <c r="C148" s="470" t="s">
        <v>1305</v>
      </c>
      <c r="D148" s="470" t="s">
        <v>1306</v>
      </c>
      <c r="E148" t="s">
        <v>1307</v>
      </c>
      <c r="F148" t="s">
        <v>1308</v>
      </c>
      <c r="G148" t="s">
        <v>1309</v>
      </c>
      <c r="H148" t="s">
        <v>1310</v>
      </c>
      <c r="I148" t="s">
        <v>1311</v>
      </c>
      <c r="J148" t="s">
        <v>1312</v>
      </c>
      <c r="K148" t="s">
        <v>1313</v>
      </c>
      <c r="L148" t="s">
        <v>1314</v>
      </c>
      <c r="M148" t="s">
        <v>1315</v>
      </c>
      <c r="N148" t="s">
        <v>1316</v>
      </c>
      <c r="O148" t="s">
        <v>1317</v>
      </c>
      <c r="P148" t="s">
        <v>1318</v>
      </c>
      <c r="Q148" t="s">
        <v>1319</v>
      </c>
      <c r="R148" t="s">
        <v>1320</v>
      </c>
      <c r="S148" t="s">
        <v>1321</v>
      </c>
      <c r="T148" t="s">
        <v>1322</v>
      </c>
      <c r="U148" t="s">
        <v>1323</v>
      </c>
      <c r="V148" t="s">
        <v>1324</v>
      </c>
      <c r="W148" t="s">
        <v>1325</v>
      </c>
    </row>
    <row r="149" spans="1:31" x14ac:dyDescent="0.3">
      <c r="B149" t="s">
        <v>1326</v>
      </c>
      <c r="C149" s="464">
        <v>0.65071000000000001</v>
      </c>
      <c r="D149" s="464">
        <v>0.78910000000000002</v>
      </c>
      <c r="E149" s="464">
        <f>87.560373/100</f>
        <v>0.87560373000000002</v>
      </c>
      <c r="F149" s="464">
        <f>Tabel15[[#This Row],[jul-23]]</f>
        <v>0.78910000000000002</v>
      </c>
      <c r="G149" s="464">
        <f>E149*(1+G153)</f>
        <v>0.96228849927000004</v>
      </c>
      <c r="H149" s="464">
        <f t="shared" ref="H149:W149" si="142">G149*(1+H153)</f>
        <v>0.97960969225686001</v>
      </c>
      <c r="I149" s="464">
        <f t="shared" si="142"/>
        <v>1.0119368121013363</v>
      </c>
      <c r="J149" s="464">
        <f t="shared" si="142"/>
        <v>1.0362232955917685</v>
      </c>
      <c r="K149" s="464">
        <f t="shared" si="142"/>
        <v>1.0621288779815625</v>
      </c>
      <c r="L149" s="464">
        <f t="shared" si="142"/>
        <v>1.085495713297157</v>
      </c>
      <c r="M149" s="464">
        <f>L149*(1+M153)</f>
        <v>1.1082911232763972</v>
      </c>
      <c r="N149" s="464">
        <f t="shared" si="142"/>
        <v>1.1315652368652014</v>
      </c>
      <c r="O149" s="464">
        <f t="shared" si="142"/>
        <v>1.1541965416025055</v>
      </c>
      <c r="P149" s="464">
        <f t="shared" si="142"/>
        <v>1.1772804724345556</v>
      </c>
      <c r="Q149" s="464">
        <f t="shared" si="142"/>
        <v>1.2008260818832468</v>
      </c>
      <c r="R149" s="464">
        <f t="shared" si="142"/>
        <v>1.2248426035209117</v>
      </c>
      <c r="S149" s="464">
        <f t="shared" si="142"/>
        <v>1.24933945559133</v>
      </c>
      <c r="T149" s="464">
        <f t="shared" si="142"/>
        <v>1.2743262447031567</v>
      </c>
      <c r="U149" s="464">
        <f t="shared" si="142"/>
        <v>1.2998127695972199</v>
      </c>
      <c r="V149" s="464">
        <f t="shared" si="142"/>
        <v>1.3258090249891643</v>
      </c>
      <c r="W149" s="464">
        <f t="shared" si="142"/>
        <v>1.3523252054889476</v>
      </c>
    </row>
    <row r="150" spans="1:31" x14ac:dyDescent="0.3">
      <c r="B150" t="s">
        <v>1327</v>
      </c>
      <c r="C150" s="464">
        <v>0.41746</v>
      </c>
      <c r="D150" s="464">
        <v>0.51629999999999998</v>
      </c>
      <c r="E150" s="464">
        <f>57.175298/100</f>
        <v>0.57175297999999997</v>
      </c>
      <c r="F150" s="464">
        <f>Tabel15[[#This Row],[jul-23]]</f>
        <v>0.51629999999999998</v>
      </c>
      <c r="G150" s="464">
        <f>E150*(1+G153)</f>
        <v>0.62835652501999995</v>
      </c>
      <c r="H150" s="464">
        <f t="shared" ref="H150:W150" si="143">G150*(1+H153)</f>
        <v>0.63966694247035993</v>
      </c>
      <c r="I150" s="464">
        <f t="shared" si="143"/>
        <v>0.66077595157188174</v>
      </c>
      <c r="J150" s="464">
        <f>I150*(1+J153)</f>
        <v>0.67663457440960695</v>
      </c>
      <c r="K150" s="464">
        <f t="shared" si="143"/>
        <v>0.69355043876984701</v>
      </c>
      <c r="L150" s="464">
        <f t="shared" si="143"/>
        <v>0.70880854842278362</v>
      </c>
      <c r="M150" s="464">
        <f t="shared" si="143"/>
        <v>0.72369352793966202</v>
      </c>
      <c r="N150" s="464">
        <f t="shared" si="143"/>
        <v>0.7388910920263948</v>
      </c>
      <c r="O150" s="464">
        <f t="shared" si="143"/>
        <v>0.7536689138669227</v>
      </c>
      <c r="P150" s="464">
        <f t="shared" si="143"/>
        <v>0.76874229214426115</v>
      </c>
      <c r="Q150" s="464">
        <f t="shared" si="143"/>
        <v>0.78411713798714644</v>
      </c>
      <c r="R150" s="464">
        <f t="shared" si="143"/>
        <v>0.79979948074688934</v>
      </c>
      <c r="S150" s="464">
        <f t="shared" si="143"/>
        <v>0.81579547036182709</v>
      </c>
      <c r="T150" s="464">
        <f t="shared" si="143"/>
        <v>0.83211137976906369</v>
      </c>
      <c r="U150" s="464">
        <f t="shared" si="143"/>
        <v>0.84875360736444494</v>
      </c>
      <c r="V150" s="464">
        <f t="shared" si="143"/>
        <v>0.86572867951173382</v>
      </c>
      <c r="W150" s="464">
        <f t="shared" si="143"/>
        <v>0.88304325310196852</v>
      </c>
    </row>
    <row r="151" spans="1:31" x14ac:dyDescent="0.3">
      <c r="B151" t="s">
        <v>1328</v>
      </c>
      <c r="C151" s="464">
        <f>C152*0.54</f>
        <v>0.1535166</v>
      </c>
      <c r="D151" s="464">
        <v>0.1862</v>
      </c>
      <c r="E151" s="464">
        <v>0.20660000000000001</v>
      </c>
      <c r="F151" s="464">
        <f>Tabel15[[#This Row],[jul-23]]</f>
        <v>0.1862</v>
      </c>
      <c r="G151" s="464">
        <f>E151*(1+G153)</f>
        <v>0.22705339999999999</v>
      </c>
      <c r="H151" s="464">
        <f t="shared" ref="H151:W151" si="144">G151*(1+H153)</f>
        <v>0.23114036120000001</v>
      </c>
      <c r="I151" s="464">
        <f t="shared" si="144"/>
        <v>0.23876799311959998</v>
      </c>
      <c r="J151" s="464">
        <f t="shared" si="144"/>
        <v>0.24449842495447038</v>
      </c>
      <c r="K151" s="464">
        <f t="shared" si="144"/>
        <v>0.25061088557833211</v>
      </c>
      <c r="L151" s="464">
        <f t="shared" si="144"/>
        <v>0.25612432506105542</v>
      </c>
      <c r="M151" s="464">
        <f t="shared" si="144"/>
        <v>0.26150293588733758</v>
      </c>
      <c r="N151" s="464">
        <f t="shared" si="144"/>
        <v>0.26699449754097165</v>
      </c>
      <c r="O151" s="464">
        <f t="shared" si="144"/>
        <v>0.27233438749179112</v>
      </c>
      <c r="P151" s="464">
        <f t="shared" si="144"/>
        <v>0.27778107524162693</v>
      </c>
      <c r="Q151" s="464">
        <f t="shared" si="144"/>
        <v>0.28333669674645945</v>
      </c>
      <c r="R151" s="464">
        <f t="shared" si="144"/>
        <v>0.28900343068138862</v>
      </c>
      <c r="S151" s="464">
        <f t="shared" si="144"/>
        <v>0.2947834992950164</v>
      </c>
      <c r="T151" s="464">
        <f t="shared" si="144"/>
        <v>0.30067916928091676</v>
      </c>
      <c r="U151" s="464">
        <f t="shared" si="144"/>
        <v>0.30669275266653512</v>
      </c>
      <c r="V151" s="464">
        <f t="shared" si="144"/>
        <v>0.31282660771986581</v>
      </c>
      <c r="W151" s="464">
        <f t="shared" si="144"/>
        <v>0.31908313987426312</v>
      </c>
    </row>
    <row r="152" spans="1:31" x14ac:dyDescent="0.3">
      <c r="B152" t="s">
        <v>1329</v>
      </c>
      <c r="C152" s="464">
        <v>0.28428999999999999</v>
      </c>
      <c r="D152" s="464">
        <f>D151/0.54</f>
        <v>0.3448148148148148</v>
      </c>
      <c r="E152" s="464">
        <f>E151/0.54</f>
        <v>0.3825925925925926</v>
      </c>
      <c r="F152" s="464">
        <f>Tabel15[[#This Row],[jul-23]]</f>
        <v>0.3448148148148148</v>
      </c>
      <c r="G152" s="464">
        <f>G151/0.54</f>
        <v>0.42046925925925921</v>
      </c>
      <c r="H152" s="464">
        <f t="shared" ref="H152:W152" si="145">H151/0.54</f>
        <v>0.42803770592592588</v>
      </c>
      <c r="I152" s="464">
        <f t="shared" si="145"/>
        <v>0.44216295022148144</v>
      </c>
      <c r="J152" s="464">
        <f t="shared" si="145"/>
        <v>0.45277486102679698</v>
      </c>
      <c r="K152" s="464">
        <f t="shared" si="145"/>
        <v>0.46409423255246685</v>
      </c>
      <c r="L152" s="464">
        <f t="shared" si="145"/>
        <v>0.47430430566862114</v>
      </c>
      <c r="M152" s="464">
        <f t="shared" si="145"/>
        <v>0.48426469608766215</v>
      </c>
      <c r="N152" s="464">
        <f t="shared" si="145"/>
        <v>0.49443425470550301</v>
      </c>
      <c r="O152" s="464">
        <f t="shared" si="145"/>
        <v>0.50432293979961318</v>
      </c>
      <c r="P152" s="464">
        <f t="shared" si="145"/>
        <v>0.51440939859560542</v>
      </c>
      <c r="Q152" s="464">
        <f t="shared" si="145"/>
        <v>0.52469758656751742</v>
      </c>
      <c r="R152" s="464">
        <f t="shared" si="145"/>
        <v>0.53519153829886779</v>
      </c>
      <c r="S152" s="464">
        <f t="shared" si="145"/>
        <v>0.54589536906484515</v>
      </c>
      <c r="T152" s="464">
        <f t="shared" si="145"/>
        <v>0.55681327644614209</v>
      </c>
      <c r="U152" s="464">
        <f t="shared" si="145"/>
        <v>0.56794954197506498</v>
      </c>
      <c r="V152" s="464">
        <f t="shared" si="145"/>
        <v>0.57930853281456629</v>
      </c>
      <c r="W152" s="464">
        <f t="shared" si="145"/>
        <v>0.5908947034708576</v>
      </c>
    </row>
    <row r="153" spans="1:31" ht="16.5" x14ac:dyDescent="0.3">
      <c r="B153" s="393" t="s">
        <v>1330</v>
      </c>
      <c r="C153" s="393"/>
      <c r="D153" s="393"/>
      <c r="E153" s="170"/>
      <c r="F153" s="170">
        <f>Tabel15[[#This Row],[jul-23]]</f>
        <v>0</v>
      </c>
      <c r="G153">
        <v>9.9000000000000005E-2</v>
      </c>
      <c r="H153">
        <v>1.7999999999999999E-2</v>
      </c>
      <c r="I153">
        <v>3.3000000000000002E-2</v>
      </c>
      <c r="J153">
        <v>2.4E-2</v>
      </c>
      <c r="K153">
        <v>2.5000000000000001E-2</v>
      </c>
      <c r="L153">
        <v>2.1999999999999999E-2</v>
      </c>
      <c r="M153">
        <v>2.1000000000000001E-2</v>
      </c>
      <c r="N153" s="170">
        <v>2.1000000000000001E-2</v>
      </c>
      <c r="O153" s="170">
        <v>0.02</v>
      </c>
      <c r="P153" s="170">
        <f>O153</f>
        <v>0.02</v>
      </c>
      <c r="Q153" s="170">
        <f t="shared" ref="Q153:W153" si="146">P153</f>
        <v>0.02</v>
      </c>
      <c r="R153" s="170">
        <f t="shared" si="146"/>
        <v>0.02</v>
      </c>
      <c r="S153" s="170">
        <f t="shared" si="146"/>
        <v>0.02</v>
      </c>
      <c r="T153" s="170">
        <f t="shared" si="146"/>
        <v>0.02</v>
      </c>
      <c r="U153" s="170">
        <f t="shared" si="146"/>
        <v>0.02</v>
      </c>
      <c r="V153" s="170">
        <f t="shared" si="146"/>
        <v>0.02</v>
      </c>
      <c r="W153" s="170">
        <f t="shared" si="146"/>
        <v>0.02</v>
      </c>
      <c r="AE153" s="192"/>
    </row>
    <row r="154" spans="1:31" x14ac:dyDescent="0.3">
      <c r="B154" t="s">
        <v>1331</v>
      </c>
      <c r="E154" s="170"/>
      <c r="F154" s="464"/>
      <c r="G154" s="170"/>
      <c r="H154" s="170"/>
      <c r="I154" s="170"/>
      <c r="J154" s="170"/>
      <c r="K154" s="170"/>
      <c r="L154" s="170"/>
      <c r="M154" s="170"/>
      <c r="N154" s="170"/>
      <c r="O154" s="170"/>
      <c r="P154" s="170"/>
      <c r="Q154" s="170"/>
      <c r="R154" s="170"/>
      <c r="S154" s="170"/>
      <c r="T154" s="170"/>
      <c r="U154" s="170"/>
      <c r="V154" s="170"/>
      <c r="W154" s="170"/>
      <c r="AE154" s="192"/>
    </row>
    <row r="155" spans="1:31" x14ac:dyDescent="0.3">
      <c r="AE155" s="192"/>
    </row>
    <row r="156" spans="1:31" x14ac:dyDescent="0.3">
      <c r="AE156" s="192"/>
    </row>
    <row r="157" spans="1:31" x14ac:dyDescent="0.3">
      <c r="B157" s="49" t="s">
        <v>1332</v>
      </c>
    </row>
    <row r="158" spans="1:31" ht="16.5" x14ac:dyDescent="0.3">
      <c r="B158" s="393" t="s">
        <v>1400</v>
      </c>
      <c r="C158" s="393">
        <v>2024</v>
      </c>
      <c r="D158" s="393">
        <v>2025</v>
      </c>
      <c r="E158" s="393">
        <v>2026</v>
      </c>
      <c r="F158" s="393">
        <v>2027</v>
      </c>
      <c r="G158" s="393">
        <v>2028</v>
      </c>
      <c r="H158" s="393">
        <v>2029</v>
      </c>
      <c r="I158" s="393">
        <v>2030</v>
      </c>
      <c r="J158" s="393">
        <v>2031</v>
      </c>
      <c r="K158" s="393">
        <v>2032</v>
      </c>
      <c r="L158" s="393">
        <v>2033</v>
      </c>
      <c r="M158" s="393">
        <v>2034</v>
      </c>
      <c r="N158" s="393">
        <v>2035</v>
      </c>
      <c r="O158" s="393">
        <v>2036</v>
      </c>
      <c r="P158" s="393">
        <v>2037</v>
      </c>
      <c r="Q158" s="393">
        <v>2038</v>
      </c>
      <c r="R158" s="393">
        <v>2039</v>
      </c>
      <c r="S158" s="393">
        <v>2040</v>
      </c>
    </row>
    <row r="159" spans="1:31" x14ac:dyDescent="0.3">
      <c r="B159" t="s">
        <v>1333</v>
      </c>
      <c r="C159" s="465">
        <v>0.10879999999999999</v>
      </c>
      <c r="D159" s="465">
        <v>0.10213</v>
      </c>
      <c r="E159" s="465">
        <v>9.2560000000000003E-2</v>
      </c>
      <c r="F159" s="465">
        <v>8.8789999999999994E-2</v>
      </c>
      <c r="G159" s="465">
        <v>8.1490000000000007E-2</v>
      </c>
      <c r="H159" s="465">
        <v>7.8020000000000006E-2</v>
      </c>
      <c r="I159" s="465">
        <v>8.0560000000000007E-2</v>
      </c>
      <c r="J159" s="465">
        <v>8.2199999999999995E-2</v>
      </c>
      <c r="K159" s="465">
        <v>8.3760000000000001E-2</v>
      </c>
      <c r="L159" s="465">
        <v>8.5339999999999999E-2</v>
      </c>
      <c r="M159" s="465">
        <v>8.7050000000000002E-2</v>
      </c>
      <c r="N159" s="465">
        <v>8.8789999999999994E-2</v>
      </c>
      <c r="O159" s="465">
        <v>9.0569999999999998E-2</v>
      </c>
      <c r="P159" s="465">
        <v>9.2380000000000004E-2</v>
      </c>
      <c r="Q159" s="465">
        <v>9.4229999999999994E-2</v>
      </c>
      <c r="R159" s="465">
        <v>9.6110000000000001E-2</v>
      </c>
      <c r="S159" s="465">
        <v>9.8030000000000006E-2</v>
      </c>
    </row>
    <row r="160" spans="1:31" x14ac:dyDescent="0.3">
      <c r="B160" t="s">
        <v>1334</v>
      </c>
      <c r="C160" s="465">
        <v>0.10879999999999999</v>
      </c>
      <c r="D160" s="465">
        <v>0.10215</v>
      </c>
      <c r="E160" s="465">
        <v>9.2600000000000002E-2</v>
      </c>
      <c r="F160" s="465">
        <v>8.8859999999999995E-2</v>
      </c>
      <c r="G160" s="465">
        <v>8.1610000000000002E-2</v>
      </c>
      <c r="H160" s="465">
        <v>7.8200000000000006E-2</v>
      </c>
      <c r="I160" s="465">
        <v>8.0939999999999998E-2</v>
      </c>
      <c r="J160" s="465">
        <v>8.2640000000000005E-2</v>
      </c>
      <c r="K160" s="465">
        <v>8.4290000000000004E-2</v>
      </c>
      <c r="L160" s="465">
        <v>8.5980000000000001E-2</v>
      </c>
      <c r="M160" s="465">
        <v>8.77E-2</v>
      </c>
      <c r="N160" s="465">
        <v>8.9450000000000002E-2</v>
      </c>
      <c r="O160" s="465">
        <v>9.1240000000000002E-2</v>
      </c>
      <c r="P160" s="465">
        <v>9.3060000000000004E-2</v>
      </c>
      <c r="Q160" s="465">
        <v>9.4920000000000004E-2</v>
      </c>
      <c r="R160" s="465">
        <v>9.6820000000000003E-2</v>
      </c>
      <c r="S160" s="465">
        <v>9.8760000000000001E-2</v>
      </c>
    </row>
    <row r="161" spans="2:39" x14ac:dyDescent="0.3">
      <c r="B161" t="s">
        <v>1335</v>
      </c>
      <c r="C161" s="465">
        <v>9.0370000000000006E-2</v>
      </c>
      <c r="D161" s="465">
        <v>6.9779999999999995E-2</v>
      </c>
      <c r="E161" s="465">
        <v>6.7390000000000005E-2</v>
      </c>
      <c r="F161" s="465">
        <v>6.8379999999999996E-2</v>
      </c>
      <c r="G161" s="465">
        <v>7.034E-2</v>
      </c>
      <c r="H161" s="465">
        <v>7.6189999999999994E-2</v>
      </c>
      <c r="I161" s="465">
        <v>8.1009999999999999E-2</v>
      </c>
      <c r="J161" s="465">
        <v>8.2710000000000006E-2</v>
      </c>
      <c r="K161" s="465">
        <v>8.4360000000000004E-2</v>
      </c>
      <c r="L161" s="465">
        <v>8.6050000000000001E-2</v>
      </c>
      <c r="M161" s="465">
        <v>8.7770000000000001E-2</v>
      </c>
      <c r="N161" s="465">
        <v>8.9529999999999998E-2</v>
      </c>
      <c r="O161" s="465">
        <v>9.1319999999999998E-2</v>
      </c>
      <c r="P161" s="465">
        <v>9.3149999999999997E-2</v>
      </c>
      <c r="Q161" s="465">
        <v>9.5009999999999997E-2</v>
      </c>
      <c r="R161" s="465">
        <v>9.6909999999999996E-2</v>
      </c>
      <c r="S161" s="465">
        <v>9.8849999999999993E-2</v>
      </c>
    </row>
    <row r="162" spans="2:39" x14ac:dyDescent="0.3">
      <c r="B162" t="s">
        <v>1336</v>
      </c>
      <c r="C162" s="465">
        <v>3.943E-2</v>
      </c>
      <c r="D162" s="465">
        <v>3.891E-2</v>
      </c>
      <c r="E162" s="465">
        <v>3.7740000000000003E-2</v>
      </c>
      <c r="F162" s="465">
        <v>3.8109999999999998E-2</v>
      </c>
      <c r="G162" s="465">
        <v>3.8809999999999997E-2</v>
      </c>
      <c r="H162" s="465">
        <v>4.1439999999999998E-2</v>
      </c>
      <c r="I162" s="465">
        <v>4.333E-2</v>
      </c>
      <c r="J162" s="465">
        <v>4.4240000000000002E-2</v>
      </c>
      <c r="K162" s="465">
        <v>4.512E-2</v>
      </c>
      <c r="L162" s="465">
        <v>4.6019999999999998E-2</v>
      </c>
      <c r="M162" s="465">
        <v>4.6940000000000003E-2</v>
      </c>
      <c r="N162" s="465">
        <v>4.7879999999999999E-2</v>
      </c>
      <c r="O162" s="465">
        <v>4.8840000000000001E-2</v>
      </c>
      <c r="P162" s="465">
        <v>4.9820000000000003E-2</v>
      </c>
      <c r="Q162" s="465">
        <v>5.0819999999999997E-2</v>
      </c>
      <c r="R162" s="465">
        <v>5.1839999999999997E-2</v>
      </c>
      <c r="S162" s="465">
        <v>5.2880000000000003E-2</v>
      </c>
    </row>
    <row r="163" spans="2:39" x14ac:dyDescent="0.3">
      <c r="B163" t="s">
        <v>1337</v>
      </c>
      <c r="C163" s="465">
        <v>2.5400000000000002E-3</v>
      </c>
      <c r="D163" s="465">
        <v>3.8999999999999998E-3</v>
      </c>
      <c r="E163" s="465">
        <v>3.82E-3</v>
      </c>
      <c r="F163" s="465">
        <v>3.8500000000000001E-3</v>
      </c>
      <c r="G163" s="465">
        <v>3.9199999999999999E-3</v>
      </c>
      <c r="H163" s="465">
        <v>4.0200000000000001E-3</v>
      </c>
      <c r="I163" s="465">
        <v>4.0699999999999998E-3</v>
      </c>
      <c r="J163" s="465">
        <v>4.1599999999999996E-3</v>
      </c>
      <c r="K163" s="465">
        <v>4.2399999999999998E-3</v>
      </c>
      <c r="L163" s="465">
        <v>4.3200000000000001E-3</v>
      </c>
      <c r="M163" s="465">
        <v>4.4099999999999999E-3</v>
      </c>
      <c r="N163" s="465">
        <v>4.4999999999999997E-3</v>
      </c>
      <c r="O163" s="465">
        <v>4.5900000000000003E-3</v>
      </c>
      <c r="P163" s="465">
        <v>4.6800000000000001E-3</v>
      </c>
      <c r="Q163" s="465">
        <v>4.7699999999999999E-3</v>
      </c>
      <c r="R163" s="465">
        <v>4.8700000000000002E-3</v>
      </c>
      <c r="S163" s="465">
        <v>4.9699999999999996E-3</v>
      </c>
    </row>
    <row r="164" spans="2:39" x14ac:dyDescent="0.3">
      <c r="B164" t="s">
        <v>1338</v>
      </c>
      <c r="C164" s="465">
        <v>1.8799999999999999E-3</v>
      </c>
      <c r="D164" s="465">
        <v>3.2299999999999998E-3</v>
      </c>
      <c r="E164" s="465">
        <v>3.13E-3</v>
      </c>
      <c r="F164" s="465">
        <v>3.14E-3</v>
      </c>
      <c r="G164" s="465">
        <v>3.1900000000000001E-3</v>
      </c>
      <c r="H164" s="465">
        <v>3.2699999999999999E-3</v>
      </c>
      <c r="I164" s="465">
        <v>3.31E-3</v>
      </c>
      <c r="J164" s="465">
        <v>3.3800000000000002E-3</v>
      </c>
      <c r="K164" s="465">
        <v>3.4499999999999999E-3</v>
      </c>
      <c r="L164" s="465">
        <v>3.5200000000000001E-3</v>
      </c>
      <c r="M164" s="465">
        <v>3.5899999999999999E-3</v>
      </c>
      <c r="N164" s="465">
        <v>3.6600000000000001E-3</v>
      </c>
      <c r="O164" s="465">
        <v>3.7299999999999998E-3</v>
      </c>
      <c r="P164" s="465">
        <v>3.8E-3</v>
      </c>
      <c r="Q164" s="465">
        <v>3.8800000000000002E-3</v>
      </c>
      <c r="R164" s="465">
        <v>3.96E-3</v>
      </c>
      <c r="S164" s="465">
        <v>4.0400000000000002E-3</v>
      </c>
    </row>
    <row r="170" spans="2:39" x14ac:dyDescent="0.3">
      <c r="B170" t="s">
        <v>1357</v>
      </c>
    </row>
    <row r="171" spans="2:39" x14ac:dyDescent="0.3">
      <c r="B171" s="67" t="s">
        <v>1356</v>
      </c>
    </row>
    <row r="172" spans="2:39" x14ac:dyDescent="0.3">
      <c r="B172">
        <v>2023</v>
      </c>
      <c r="C172">
        <v>2024</v>
      </c>
      <c r="D172">
        <v>2025</v>
      </c>
      <c r="E172">
        <v>2026</v>
      </c>
      <c r="F172">
        <v>2027</v>
      </c>
      <c r="G172">
        <v>2028</v>
      </c>
      <c r="H172">
        <v>2029</v>
      </c>
      <c r="I172">
        <v>2030</v>
      </c>
    </row>
    <row r="173" spans="2:39" x14ac:dyDescent="0.3">
      <c r="B173" s="300">
        <v>0.72</v>
      </c>
      <c r="C173" s="300">
        <v>0.7</v>
      </c>
      <c r="D173" s="300">
        <v>0.7</v>
      </c>
      <c r="E173" s="300">
        <v>0.69</v>
      </c>
      <c r="F173" s="300">
        <v>0.69</v>
      </c>
      <c r="G173" s="300">
        <v>0.68</v>
      </c>
      <c r="H173" s="300">
        <v>0.68</v>
      </c>
      <c r="I173" s="300">
        <v>0.68</v>
      </c>
      <c r="J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row>
  </sheetData>
  <mergeCells count="11">
    <mergeCell ref="AI48:AO48"/>
    <mergeCell ref="AF49:AG49"/>
    <mergeCell ref="R49:T49"/>
    <mergeCell ref="V49:X49"/>
    <mergeCell ref="AC49:AD49"/>
    <mergeCell ref="R48:X48"/>
    <mergeCell ref="D49:E49"/>
    <mergeCell ref="F49:G49"/>
    <mergeCell ref="I49:K49"/>
    <mergeCell ref="AI49:AK49"/>
    <mergeCell ref="AM49:AO49"/>
  </mergeCells>
  <phoneticPr fontId="57" type="noConversion"/>
  <dataValidations count="1">
    <dataValidation type="list" allowBlank="1" showInputMessage="1" showErrorMessage="1" sqref="B4" xr:uid="{BBC38A47-1D64-4D5B-A28A-AA6A1DCBDB41}">
      <formula1>$B$12:$B$13</formula1>
    </dataValidation>
  </dataValidations>
  <hyperlinks>
    <hyperlink ref="B57" r:id="rId1" location="cite_note-6" display="https://nl.wikipedia.org/wiki/Benzineaccijns - cite_note-6" xr:uid="{4E925F7F-87F9-458D-899F-77355F5A8854}"/>
    <hyperlink ref="B171" r:id="rId2" display="https://www.pbl.nl/sites/default/files/downloads/revnext-2022-achtergrondrapport-modelactualisatie-carbontax-2022-5046.pdf" xr:uid="{E74E4F46-7485-4EF7-83D1-66B150F628B9}"/>
  </hyperlinks>
  <pageMargins left="0.7" right="0.7" top="0.75" bottom="0.75" header="0.3" footer="0.3"/>
  <pageSetup paperSize="9" orientation="portrait" r:id="rId3"/>
  <drawing r:id="rId4"/>
  <legacyDrawing r:id="rId5"/>
  <tableParts count="1">
    <tablePart r:id="rId6"/>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0">
    <tabColor rgb="FFFF0000"/>
  </sheetPr>
  <dimension ref="A1:AP1105"/>
  <sheetViews>
    <sheetView topLeftCell="A20" workbookViewId="0">
      <selection activeCell="D34" sqref="D34:BB36"/>
    </sheetView>
  </sheetViews>
  <sheetFormatPr defaultRowHeight="15" x14ac:dyDescent="0.3"/>
  <cols>
    <col min="1" max="1" width="9.140625" style="3"/>
    <col min="2" max="2" width="21.5703125" bestFit="1" customWidth="1"/>
    <col min="3" max="3" width="12.42578125" customWidth="1"/>
    <col min="41" max="42" width="9.140625" style="3"/>
    <col min="44" max="44" width="10" bestFit="1" customWidth="1"/>
    <col min="47" max="47" width="10" bestFit="1" customWidth="1"/>
  </cols>
  <sheetData>
    <row r="1" spans="2:39" x14ac:dyDescent="0.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2:39" ht="30.75" x14ac:dyDescent="0.45">
      <c r="B2" s="66" t="s">
        <v>1464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2:39" ht="15.75" thickBot="1" x14ac:dyDescent="0.35">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row>
    <row r="4" spans="2:39" ht="15.75" thickBot="1" x14ac:dyDescent="0.35">
      <c r="B4" s="50" t="s">
        <v>39</v>
      </c>
      <c r="C4" s="54" t="s">
        <v>40</v>
      </c>
      <c r="D4" s="51">
        <v>2015</v>
      </c>
      <c r="E4" s="51">
        <f>D4+1</f>
        <v>2016</v>
      </c>
      <c r="F4" s="51">
        <f t="shared" ref="F4:R4" si="0">E4+1</f>
        <v>2017</v>
      </c>
      <c r="G4" s="51">
        <f t="shared" si="0"/>
        <v>2018</v>
      </c>
      <c r="H4" s="51">
        <f t="shared" si="0"/>
        <v>2019</v>
      </c>
      <c r="I4" s="51">
        <f t="shared" si="0"/>
        <v>2020</v>
      </c>
      <c r="J4" s="51">
        <f t="shared" si="0"/>
        <v>2021</v>
      </c>
      <c r="K4" s="51">
        <f t="shared" si="0"/>
        <v>2022</v>
      </c>
      <c r="L4" s="51">
        <f t="shared" si="0"/>
        <v>2023</v>
      </c>
      <c r="M4" s="51">
        <f t="shared" si="0"/>
        <v>2024</v>
      </c>
      <c r="N4" s="51">
        <f t="shared" si="0"/>
        <v>2025</v>
      </c>
      <c r="O4" s="51">
        <f t="shared" si="0"/>
        <v>2026</v>
      </c>
      <c r="P4" s="51">
        <f t="shared" si="0"/>
        <v>2027</v>
      </c>
      <c r="Q4" s="51">
        <f t="shared" si="0"/>
        <v>2028</v>
      </c>
      <c r="R4" s="51">
        <f t="shared" si="0"/>
        <v>2029</v>
      </c>
      <c r="S4" s="51">
        <f t="shared" ref="S4" si="1">R4+1</f>
        <v>2030</v>
      </c>
      <c r="T4" s="51">
        <f t="shared" ref="T4" si="2">S4+1</f>
        <v>2031</v>
      </c>
      <c r="U4" s="51">
        <f t="shared" ref="U4" si="3">T4+1</f>
        <v>2032</v>
      </c>
      <c r="V4" s="51">
        <f t="shared" ref="V4" si="4">U4+1</f>
        <v>2033</v>
      </c>
      <c r="W4" s="51">
        <f t="shared" ref="W4" si="5">V4+1</f>
        <v>2034</v>
      </c>
      <c r="X4" s="51">
        <f t="shared" ref="X4" si="6">W4+1</f>
        <v>2035</v>
      </c>
      <c r="Y4" s="51">
        <f t="shared" ref="Y4" si="7">X4+1</f>
        <v>2036</v>
      </c>
      <c r="Z4" s="51">
        <f t="shared" ref="Z4" si="8">Y4+1</f>
        <v>2037</v>
      </c>
      <c r="AA4" s="51">
        <f t="shared" ref="AA4" si="9">Z4+1</f>
        <v>2038</v>
      </c>
      <c r="AB4" s="51">
        <f t="shared" ref="AB4" si="10">AA4+1</f>
        <v>2039</v>
      </c>
      <c r="AC4" s="51">
        <f t="shared" ref="AC4" si="11">AB4+1</f>
        <v>2040</v>
      </c>
      <c r="AD4" s="51">
        <f t="shared" ref="AD4" si="12">AC4+1</f>
        <v>2041</v>
      </c>
      <c r="AE4" s="51">
        <f t="shared" ref="AE4" si="13">AD4+1</f>
        <v>2042</v>
      </c>
      <c r="AF4" s="51">
        <f t="shared" ref="AF4" si="14">AE4+1</f>
        <v>2043</v>
      </c>
      <c r="AG4" s="51">
        <f t="shared" ref="AG4" si="15">AF4+1</f>
        <v>2044</v>
      </c>
      <c r="AH4" s="51">
        <f t="shared" ref="AH4" si="16">AG4+1</f>
        <v>2045</v>
      </c>
      <c r="AI4" s="51">
        <f t="shared" ref="AI4" si="17">AH4+1</f>
        <v>2046</v>
      </c>
      <c r="AJ4" s="51">
        <f t="shared" ref="AJ4" si="18">AI4+1</f>
        <v>2047</v>
      </c>
      <c r="AK4" s="51">
        <f t="shared" ref="AK4" si="19">AJ4+1</f>
        <v>2048</v>
      </c>
      <c r="AL4" s="51">
        <f t="shared" ref="AL4" si="20">AK4+1</f>
        <v>2049</v>
      </c>
      <c r="AM4" s="51">
        <f t="shared" ref="AM4" si="21">AL4+1</f>
        <v>2050</v>
      </c>
    </row>
    <row r="5" spans="2:39" ht="15.75" thickBot="1" x14ac:dyDescent="0.35">
      <c r="B5" s="56" t="str">
        <f>input_names!$B$3</f>
        <v>benzine</v>
      </c>
      <c r="C5" s="59" t="s">
        <v>30</v>
      </c>
      <c r="D5" s="363">
        <v>0</v>
      </c>
      <c r="E5" s="363">
        <v>0</v>
      </c>
      <c r="F5" s="363">
        <v>0</v>
      </c>
      <c r="G5" s="363">
        <v>0</v>
      </c>
      <c r="H5" s="363">
        <v>0</v>
      </c>
      <c r="I5" s="363">
        <v>0</v>
      </c>
      <c r="J5" s="363">
        <v>0</v>
      </c>
      <c r="K5" s="363">
        <v>0</v>
      </c>
      <c r="L5" s="469">
        <v>0</v>
      </c>
      <c r="M5" s="469">
        <f t="shared" ref="M5:AM9" si="22">L5</f>
        <v>0</v>
      </c>
      <c r="N5" s="469">
        <f t="shared" si="22"/>
        <v>0</v>
      </c>
      <c r="O5" s="59">
        <f t="shared" si="22"/>
        <v>0</v>
      </c>
      <c r="P5" s="59">
        <f t="shared" si="22"/>
        <v>0</v>
      </c>
      <c r="Q5" s="59">
        <f t="shared" si="22"/>
        <v>0</v>
      </c>
      <c r="R5" s="59">
        <f t="shared" si="22"/>
        <v>0</v>
      </c>
      <c r="S5" s="59">
        <f t="shared" si="22"/>
        <v>0</v>
      </c>
      <c r="T5" s="59">
        <f t="shared" si="22"/>
        <v>0</v>
      </c>
      <c r="U5" s="59">
        <f t="shared" si="22"/>
        <v>0</v>
      </c>
      <c r="V5" s="59">
        <f t="shared" si="22"/>
        <v>0</v>
      </c>
      <c r="W5" s="59">
        <f t="shared" si="22"/>
        <v>0</v>
      </c>
      <c r="X5" s="59">
        <f t="shared" si="22"/>
        <v>0</v>
      </c>
      <c r="Y5" s="59">
        <f t="shared" si="22"/>
        <v>0</v>
      </c>
      <c r="Z5" s="59">
        <f t="shared" si="22"/>
        <v>0</v>
      </c>
      <c r="AA5" s="59">
        <f t="shared" si="22"/>
        <v>0</v>
      </c>
      <c r="AB5" s="59">
        <f t="shared" si="22"/>
        <v>0</v>
      </c>
      <c r="AC5" s="59">
        <f t="shared" si="22"/>
        <v>0</v>
      </c>
      <c r="AD5" s="59">
        <f t="shared" si="22"/>
        <v>0</v>
      </c>
      <c r="AE5" s="59">
        <f t="shared" si="22"/>
        <v>0</v>
      </c>
      <c r="AF5" s="59">
        <f t="shared" si="22"/>
        <v>0</v>
      </c>
      <c r="AG5" s="59">
        <f t="shared" si="22"/>
        <v>0</v>
      </c>
      <c r="AH5" s="59">
        <f t="shared" si="22"/>
        <v>0</v>
      </c>
      <c r="AI5" s="59">
        <f t="shared" si="22"/>
        <v>0</v>
      </c>
      <c r="AJ5" s="59">
        <f t="shared" si="22"/>
        <v>0</v>
      </c>
      <c r="AK5" s="59">
        <f t="shared" si="22"/>
        <v>0</v>
      </c>
      <c r="AL5" s="59">
        <f t="shared" si="22"/>
        <v>0</v>
      </c>
      <c r="AM5" s="59">
        <f t="shared" si="22"/>
        <v>0</v>
      </c>
    </row>
    <row r="6" spans="2:39" ht="15.75" thickBot="1" x14ac:dyDescent="0.35">
      <c r="B6" s="57"/>
      <c r="C6" s="59" t="s">
        <v>31</v>
      </c>
      <c r="D6" s="363">
        <v>82</v>
      </c>
      <c r="E6" s="363">
        <v>79</v>
      </c>
      <c r="F6" s="363">
        <v>76</v>
      </c>
      <c r="G6" s="363">
        <v>73</v>
      </c>
      <c r="H6" s="363">
        <v>71</v>
      </c>
      <c r="I6" s="363">
        <v>68</v>
      </c>
      <c r="J6" s="363">
        <v>86</v>
      </c>
      <c r="K6" s="363">
        <v>84</v>
      </c>
      <c r="L6" s="469">
        <v>82</v>
      </c>
      <c r="M6" s="469">
        <v>80</v>
      </c>
      <c r="N6" s="469">
        <v>79</v>
      </c>
      <c r="O6" s="59">
        <f t="shared" ref="O6:AA6" si="23">N6</f>
        <v>79</v>
      </c>
      <c r="P6" s="59">
        <f t="shared" si="23"/>
        <v>79</v>
      </c>
      <c r="Q6" s="59">
        <f t="shared" si="23"/>
        <v>79</v>
      </c>
      <c r="R6" s="59">
        <f t="shared" si="23"/>
        <v>79</v>
      </c>
      <c r="S6" s="59">
        <f t="shared" si="23"/>
        <v>79</v>
      </c>
      <c r="T6" s="59">
        <f t="shared" si="23"/>
        <v>79</v>
      </c>
      <c r="U6" s="59">
        <f t="shared" si="23"/>
        <v>79</v>
      </c>
      <c r="V6" s="59">
        <f t="shared" si="23"/>
        <v>79</v>
      </c>
      <c r="W6" s="59">
        <f t="shared" si="23"/>
        <v>79</v>
      </c>
      <c r="X6" s="59">
        <f t="shared" si="23"/>
        <v>79</v>
      </c>
      <c r="Y6" s="59">
        <f t="shared" si="23"/>
        <v>79</v>
      </c>
      <c r="Z6" s="59">
        <f t="shared" si="23"/>
        <v>79</v>
      </c>
      <c r="AA6" s="59">
        <f t="shared" si="23"/>
        <v>79</v>
      </c>
      <c r="AB6" s="59">
        <f t="shared" si="22"/>
        <v>79</v>
      </c>
      <c r="AC6" s="59">
        <f t="shared" si="22"/>
        <v>79</v>
      </c>
      <c r="AD6" s="59">
        <f t="shared" si="22"/>
        <v>79</v>
      </c>
      <c r="AE6" s="59">
        <f t="shared" si="22"/>
        <v>79</v>
      </c>
      <c r="AF6" s="59">
        <f t="shared" si="22"/>
        <v>79</v>
      </c>
      <c r="AG6" s="59">
        <f t="shared" si="22"/>
        <v>79</v>
      </c>
      <c r="AH6" s="59">
        <f t="shared" si="22"/>
        <v>79</v>
      </c>
      <c r="AI6" s="59">
        <f t="shared" si="22"/>
        <v>79</v>
      </c>
      <c r="AJ6" s="59">
        <f t="shared" si="22"/>
        <v>79</v>
      </c>
      <c r="AK6" s="59">
        <f t="shared" si="22"/>
        <v>79</v>
      </c>
      <c r="AL6" s="59">
        <f t="shared" si="22"/>
        <v>79</v>
      </c>
      <c r="AM6" s="59">
        <f t="shared" si="22"/>
        <v>79</v>
      </c>
    </row>
    <row r="7" spans="2:39" ht="15.75" thickBot="1" x14ac:dyDescent="0.35">
      <c r="B7" s="57"/>
      <c r="C7" s="59" t="s">
        <v>32</v>
      </c>
      <c r="D7" s="363">
        <v>110</v>
      </c>
      <c r="E7" s="363">
        <v>106</v>
      </c>
      <c r="F7" s="363">
        <v>102</v>
      </c>
      <c r="G7" s="363">
        <v>98</v>
      </c>
      <c r="H7" s="363">
        <v>95</v>
      </c>
      <c r="I7" s="363">
        <v>91</v>
      </c>
      <c r="J7" s="363">
        <v>111</v>
      </c>
      <c r="K7" s="363">
        <v>109</v>
      </c>
      <c r="L7" s="469">
        <v>106</v>
      </c>
      <c r="M7" s="469">
        <v>104</v>
      </c>
      <c r="N7" s="469">
        <v>101</v>
      </c>
      <c r="O7" s="59">
        <f t="shared" si="22"/>
        <v>101</v>
      </c>
      <c r="P7" s="59">
        <f t="shared" si="22"/>
        <v>101</v>
      </c>
      <c r="Q7" s="59">
        <f t="shared" si="22"/>
        <v>101</v>
      </c>
      <c r="R7" s="59">
        <f t="shared" si="22"/>
        <v>101</v>
      </c>
      <c r="S7" s="59">
        <f t="shared" si="22"/>
        <v>101</v>
      </c>
      <c r="T7" s="59">
        <f t="shared" si="22"/>
        <v>101</v>
      </c>
      <c r="U7" s="59">
        <f t="shared" si="22"/>
        <v>101</v>
      </c>
      <c r="V7" s="59">
        <f t="shared" si="22"/>
        <v>101</v>
      </c>
      <c r="W7" s="59">
        <f t="shared" si="22"/>
        <v>101</v>
      </c>
      <c r="X7" s="59">
        <f t="shared" si="22"/>
        <v>101</v>
      </c>
      <c r="Y7" s="59">
        <f t="shared" si="22"/>
        <v>101</v>
      </c>
      <c r="Z7" s="59">
        <f t="shared" si="22"/>
        <v>101</v>
      </c>
      <c r="AA7" s="59">
        <f t="shared" si="22"/>
        <v>101</v>
      </c>
      <c r="AB7" s="59">
        <f t="shared" si="22"/>
        <v>101</v>
      </c>
      <c r="AC7" s="59">
        <f t="shared" si="22"/>
        <v>101</v>
      </c>
      <c r="AD7" s="59">
        <f t="shared" si="22"/>
        <v>101</v>
      </c>
      <c r="AE7" s="59">
        <f t="shared" si="22"/>
        <v>101</v>
      </c>
      <c r="AF7" s="59">
        <f t="shared" si="22"/>
        <v>101</v>
      </c>
      <c r="AG7" s="59">
        <f t="shared" si="22"/>
        <v>101</v>
      </c>
      <c r="AH7" s="59">
        <f t="shared" si="22"/>
        <v>101</v>
      </c>
      <c r="AI7" s="59">
        <f t="shared" si="22"/>
        <v>101</v>
      </c>
      <c r="AJ7" s="59">
        <f t="shared" si="22"/>
        <v>101</v>
      </c>
      <c r="AK7" s="59">
        <f t="shared" si="22"/>
        <v>101</v>
      </c>
      <c r="AL7" s="59">
        <f t="shared" si="22"/>
        <v>101</v>
      </c>
      <c r="AM7" s="59">
        <f t="shared" si="22"/>
        <v>101</v>
      </c>
    </row>
    <row r="8" spans="2:39" ht="15.75" thickBot="1" x14ac:dyDescent="0.35">
      <c r="B8" s="57"/>
      <c r="C8" s="59" t="s">
        <v>33</v>
      </c>
      <c r="D8" s="363">
        <v>160</v>
      </c>
      <c r="E8" s="363">
        <v>155</v>
      </c>
      <c r="F8" s="363">
        <v>150</v>
      </c>
      <c r="G8" s="363">
        <v>144</v>
      </c>
      <c r="H8" s="363">
        <v>139</v>
      </c>
      <c r="I8" s="363">
        <v>133</v>
      </c>
      <c r="J8" s="363">
        <v>155</v>
      </c>
      <c r="K8" s="363">
        <v>152</v>
      </c>
      <c r="L8" s="469">
        <v>148</v>
      </c>
      <c r="M8" s="469">
        <v>145</v>
      </c>
      <c r="N8" s="469">
        <v>141</v>
      </c>
      <c r="O8" s="59">
        <f t="shared" si="22"/>
        <v>141</v>
      </c>
      <c r="P8" s="59">
        <f t="shared" si="22"/>
        <v>141</v>
      </c>
      <c r="Q8" s="59">
        <f t="shared" si="22"/>
        <v>141</v>
      </c>
      <c r="R8" s="59">
        <f t="shared" si="22"/>
        <v>141</v>
      </c>
      <c r="S8" s="59">
        <f t="shared" si="22"/>
        <v>141</v>
      </c>
      <c r="T8" s="59">
        <f t="shared" si="22"/>
        <v>141</v>
      </c>
      <c r="U8" s="59">
        <f t="shared" si="22"/>
        <v>141</v>
      </c>
      <c r="V8" s="59">
        <f t="shared" si="22"/>
        <v>141</v>
      </c>
      <c r="W8" s="59">
        <f t="shared" si="22"/>
        <v>141</v>
      </c>
      <c r="X8" s="59">
        <f t="shared" si="22"/>
        <v>141</v>
      </c>
      <c r="Y8" s="59">
        <f t="shared" si="22"/>
        <v>141</v>
      </c>
      <c r="Z8" s="59">
        <f t="shared" si="22"/>
        <v>141</v>
      </c>
      <c r="AA8" s="59">
        <f t="shared" si="22"/>
        <v>141</v>
      </c>
      <c r="AB8" s="59">
        <f t="shared" si="22"/>
        <v>141</v>
      </c>
      <c r="AC8" s="59">
        <f t="shared" si="22"/>
        <v>141</v>
      </c>
      <c r="AD8" s="59">
        <f t="shared" si="22"/>
        <v>141</v>
      </c>
      <c r="AE8" s="59">
        <f t="shared" si="22"/>
        <v>141</v>
      </c>
      <c r="AF8" s="59">
        <f t="shared" si="22"/>
        <v>141</v>
      </c>
      <c r="AG8" s="59">
        <f t="shared" si="22"/>
        <v>141</v>
      </c>
      <c r="AH8" s="59">
        <f t="shared" si="22"/>
        <v>141</v>
      </c>
      <c r="AI8" s="59">
        <f t="shared" si="22"/>
        <v>141</v>
      </c>
      <c r="AJ8" s="59">
        <f t="shared" si="22"/>
        <v>141</v>
      </c>
      <c r="AK8" s="59">
        <f t="shared" si="22"/>
        <v>141</v>
      </c>
      <c r="AL8" s="59">
        <f t="shared" si="22"/>
        <v>141</v>
      </c>
      <c r="AM8" s="59">
        <f t="shared" si="22"/>
        <v>141</v>
      </c>
    </row>
    <row r="9" spans="2:39" ht="15.75" thickBot="1" x14ac:dyDescent="0.35">
      <c r="B9" s="58"/>
      <c r="C9" s="59" t="s">
        <v>34</v>
      </c>
      <c r="D9" s="363">
        <v>180</v>
      </c>
      <c r="E9" s="363">
        <v>174</v>
      </c>
      <c r="F9" s="363">
        <v>168</v>
      </c>
      <c r="G9" s="363">
        <v>162</v>
      </c>
      <c r="H9" s="363">
        <v>156</v>
      </c>
      <c r="I9" s="363">
        <v>150</v>
      </c>
      <c r="J9" s="363">
        <v>172</v>
      </c>
      <c r="K9" s="363">
        <v>168</v>
      </c>
      <c r="L9" s="469">
        <v>165</v>
      </c>
      <c r="M9" s="469">
        <v>161</v>
      </c>
      <c r="N9" s="469">
        <v>157</v>
      </c>
      <c r="O9" s="59">
        <f t="shared" si="22"/>
        <v>157</v>
      </c>
      <c r="P9" s="59">
        <f t="shared" si="22"/>
        <v>157</v>
      </c>
      <c r="Q9" s="59">
        <f t="shared" si="22"/>
        <v>157</v>
      </c>
      <c r="R9" s="59">
        <f t="shared" si="22"/>
        <v>157</v>
      </c>
      <c r="S9" s="59">
        <f t="shared" si="22"/>
        <v>157</v>
      </c>
      <c r="T9" s="59">
        <f t="shared" si="22"/>
        <v>157</v>
      </c>
      <c r="U9" s="59">
        <f t="shared" si="22"/>
        <v>157</v>
      </c>
      <c r="V9" s="59">
        <f t="shared" si="22"/>
        <v>157</v>
      </c>
      <c r="W9" s="59">
        <f t="shared" si="22"/>
        <v>157</v>
      </c>
      <c r="X9" s="59">
        <f t="shared" si="22"/>
        <v>157</v>
      </c>
      <c r="Y9" s="59">
        <f t="shared" si="22"/>
        <v>157</v>
      </c>
      <c r="Z9" s="59">
        <f t="shared" si="22"/>
        <v>157</v>
      </c>
      <c r="AA9" s="59">
        <f t="shared" si="22"/>
        <v>157</v>
      </c>
      <c r="AB9" s="59">
        <f t="shared" si="22"/>
        <v>157</v>
      </c>
      <c r="AC9" s="59">
        <f t="shared" si="22"/>
        <v>157</v>
      </c>
      <c r="AD9" s="59">
        <f t="shared" si="22"/>
        <v>157</v>
      </c>
      <c r="AE9" s="59">
        <f t="shared" si="22"/>
        <v>157</v>
      </c>
      <c r="AF9" s="59">
        <f t="shared" si="22"/>
        <v>157</v>
      </c>
      <c r="AG9" s="59">
        <f t="shared" si="22"/>
        <v>157</v>
      </c>
      <c r="AH9" s="59">
        <f t="shared" si="22"/>
        <v>157</v>
      </c>
      <c r="AI9" s="59">
        <f t="shared" si="22"/>
        <v>157</v>
      </c>
      <c r="AJ9" s="59">
        <f t="shared" si="22"/>
        <v>157</v>
      </c>
      <c r="AK9" s="59">
        <f t="shared" si="22"/>
        <v>157</v>
      </c>
      <c r="AL9" s="59">
        <f t="shared" si="22"/>
        <v>157</v>
      </c>
      <c r="AM9" s="59">
        <f t="shared" si="22"/>
        <v>157</v>
      </c>
    </row>
    <row r="10" spans="2:39" ht="15.75" thickBot="1" x14ac:dyDescent="0.35">
      <c r="B10" s="60"/>
      <c r="C10" s="61"/>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row>
    <row r="11" spans="2:39" ht="15.75" thickBot="1" x14ac:dyDescent="0.35">
      <c r="B11" s="56" t="str">
        <f>input_names!$C$3</f>
        <v>diesel</v>
      </c>
      <c r="C11" s="59" t="s">
        <v>30</v>
      </c>
      <c r="D11" s="59">
        <f t="shared" ref="D11:J15" si="24">D5</f>
        <v>0</v>
      </c>
      <c r="E11" s="59">
        <f t="shared" si="24"/>
        <v>0</v>
      </c>
      <c r="F11" s="59">
        <f t="shared" si="24"/>
        <v>0</v>
      </c>
      <c r="G11" s="59">
        <f t="shared" si="24"/>
        <v>0</v>
      </c>
      <c r="H11" s="59">
        <f t="shared" si="24"/>
        <v>0</v>
      </c>
      <c r="I11" s="59">
        <f t="shared" si="24"/>
        <v>0</v>
      </c>
      <c r="J11" s="59">
        <f t="shared" si="24"/>
        <v>0</v>
      </c>
      <c r="K11" s="59">
        <f t="shared" ref="K11:AM11" si="25">K5</f>
        <v>0</v>
      </c>
      <c r="L11" s="59">
        <f t="shared" si="25"/>
        <v>0</v>
      </c>
      <c r="M11" s="59">
        <f t="shared" si="25"/>
        <v>0</v>
      </c>
      <c r="N11" s="59">
        <f t="shared" si="25"/>
        <v>0</v>
      </c>
      <c r="O11" s="59">
        <f t="shared" si="25"/>
        <v>0</v>
      </c>
      <c r="P11" s="59">
        <f t="shared" si="25"/>
        <v>0</v>
      </c>
      <c r="Q11" s="59">
        <f t="shared" si="25"/>
        <v>0</v>
      </c>
      <c r="R11" s="59">
        <f t="shared" si="25"/>
        <v>0</v>
      </c>
      <c r="S11" s="59">
        <f t="shared" si="25"/>
        <v>0</v>
      </c>
      <c r="T11" s="59">
        <f t="shared" si="25"/>
        <v>0</v>
      </c>
      <c r="U11" s="59">
        <f t="shared" si="25"/>
        <v>0</v>
      </c>
      <c r="V11" s="59">
        <f t="shared" si="25"/>
        <v>0</v>
      </c>
      <c r="W11" s="59">
        <f t="shared" si="25"/>
        <v>0</v>
      </c>
      <c r="X11" s="59">
        <f t="shared" si="25"/>
        <v>0</v>
      </c>
      <c r="Y11" s="59">
        <f t="shared" si="25"/>
        <v>0</v>
      </c>
      <c r="Z11" s="59">
        <f t="shared" si="25"/>
        <v>0</v>
      </c>
      <c r="AA11" s="59">
        <f t="shared" si="25"/>
        <v>0</v>
      </c>
      <c r="AB11" s="59">
        <f t="shared" si="25"/>
        <v>0</v>
      </c>
      <c r="AC11" s="59">
        <f t="shared" si="25"/>
        <v>0</v>
      </c>
      <c r="AD11" s="59">
        <f t="shared" si="25"/>
        <v>0</v>
      </c>
      <c r="AE11" s="59">
        <f t="shared" si="25"/>
        <v>0</v>
      </c>
      <c r="AF11" s="59">
        <f t="shared" si="25"/>
        <v>0</v>
      </c>
      <c r="AG11" s="59">
        <f t="shared" si="25"/>
        <v>0</v>
      </c>
      <c r="AH11" s="59">
        <f t="shared" si="25"/>
        <v>0</v>
      </c>
      <c r="AI11" s="59">
        <f t="shared" si="25"/>
        <v>0</v>
      </c>
      <c r="AJ11" s="59">
        <f t="shared" si="25"/>
        <v>0</v>
      </c>
      <c r="AK11" s="59">
        <f t="shared" si="25"/>
        <v>0</v>
      </c>
      <c r="AL11" s="59">
        <f t="shared" si="25"/>
        <v>0</v>
      </c>
      <c r="AM11" s="59">
        <f t="shared" si="25"/>
        <v>0</v>
      </c>
    </row>
    <row r="12" spans="2:39" ht="15.75" thickBot="1" x14ac:dyDescent="0.35">
      <c r="B12" s="57"/>
      <c r="C12" s="59" t="s">
        <v>31</v>
      </c>
      <c r="D12" s="59">
        <f t="shared" si="24"/>
        <v>82</v>
      </c>
      <c r="E12" s="59">
        <f t="shared" si="24"/>
        <v>79</v>
      </c>
      <c r="F12" s="59">
        <f t="shared" si="24"/>
        <v>76</v>
      </c>
      <c r="G12" s="59">
        <f t="shared" si="24"/>
        <v>73</v>
      </c>
      <c r="H12" s="59">
        <f t="shared" si="24"/>
        <v>71</v>
      </c>
      <c r="I12" s="59">
        <f t="shared" si="24"/>
        <v>68</v>
      </c>
      <c r="J12" s="59">
        <f t="shared" si="24"/>
        <v>86</v>
      </c>
      <c r="K12" s="59">
        <f t="shared" ref="K12:AM12" si="26">K6</f>
        <v>84</v>
      </c>
      <c r="L12" s="59">
        <f t="shared" si="26"/>
        <v>82</v>
      </c>
      <c r="M12" s="59">
        <f t="shared" si="26"/>
        <v>80</v>
      </c>
      <c r="N12" s="59">
        <f t="shared" si="26"/>
        <v>79</v>
      </c>
      <c r="O12" s="59">
        <f t="shared" si="26"/>
        <v>79</v>
      </c>
      <c r="P12" s="59">
        <f t="shared" si="26"/>
        <v>79</v>
      </c>
      <c r="Q12" s="59">
        <f t="shared" si="26"/>
        <v>79</v>
      </c>
      <c r="R12" s="59">
        <f t="shared" si="26"/>
        <v>79</v>
      </c>
      <c r="S12" s="59">
        <f t="shared" si="26"/>
        <v>79</v>
      </c>
      <c r="T12" s="59">
        <f t="shared" si="26"/>
        <v>79</v>
      </c>
      <c r="U12" s="59">
        <f t="shared" si="26"/>
        <v>79</v>
      </c>
      <c r="V12" s="59">
        <f t="shared" si="26"/>
        <v>79</v>
      </c>
      <c r="W12" s="59">
        <f t="shared" si="26"/>
        <v>79</v>
      </c>
      <c r="X12" s="59">
        <f t="shared" si="26"/>
        <v>79</v>
      </c>
      <c r="Y12" s="59">
        <f t="shared" si="26"/>
        <v>79</v>
      </c>
      <c r="Z12" s="59">
        <f t="shared" si="26"/>
        <v>79</v>
      </c>
      <c r="AA12" s="59">
        <f t="shared" si="26"/>
        <v>79</v>
      </c>
      <c r="AB12" s="59">
        <f t="shared" si="26"/>
        <v>79</v>
      </c>
      <c r="AC12" s="59">
        <f t="shared" si="26"/>
        <v>79</v>
      </c>
      <c r="AD12" s="59">
        <f t="shared" si="26"/>
        <v>79</v>
      </c>
      <c r="AE12" s="59">
        <f t="shared" si="26"/>
        <v>79</v>
      </c>
      <c r="AF12" s="59">
        <f t="shared" si="26"/>
        <v>79</v>
      </c>
      <c r="AG12" s="59">
        <f t="shared" si="26"/>
        <v>79</v>
      </c>
      <c r="AH12" s="59">
        <f t="shared" si="26"/>
        <v>79</v>
      </c>
      <c r="AI12" s="59">
        <f t="shared" si="26"/>
        <v>79</v>
      </c>
      <c r="AJ12" s="59">
        <f t="shared" si="26"/>
        <v>79</v>
      </c>
      <c r="AK12" s="59">
        <f t="shared" si="26"/>
        <v>79</v>
      </c>
      <c r="AL12" s="59">
        <f t="shared" si="26"/>
        <v>79</v>
      </c>
      <c r="AM12" s="59">
        <f t="shared" si="26"/>
        <v>79</v>
      </c>
    </row>
    <row r="13" spans="2:39" ht="15.75" thickBot="1" x14ac:dyDescent="0.35">
      <c r="B13" s="57"/>
      <c r="C13" s="59" t="s">
        <v>32</v>
      </c>
      <c r="D13" s="59">
        <f t="shared" si="24"/>
        <v>110</v>
      </c>
      <c r="E13" s="59">
        <f t="shared" si="24"/>
        <v>106</v>
      </c>
      <c r="F13" s="59">
        <f t="shared" si="24"/>
        <v>102</v>
      </c>
      <c r="G13" s="59">
        <f t="shared" si="24"/>
        <v>98</v>
      </c>
      <c r="H13" s="59">
        <f t="shared" si="24"/>
        <v>95</v>
      </c>
      <c r="I13" s="59">
        <f t="shared" si="24"/>
        <v>91</v>
      </c>
      <c r="J13" s="59">
        <f t="shared" si="24"/>
        <v>111</v>
      </c>
      <c r="K13" s="59">
        <f t="shared" ref="K13:AM13" si="27">K7</f>
        <v>109</v>
      </c>
      <c r="L13" s="59">
        <f t="shared" si="27"/>
        <v>106</v>
      </c>
      <c r="M13" s="59">
        <f t="shared" si="27"/>
        <v>104</v>
      </c>
      <c r="N13" s="59">
        <f t="shared" si="27"/>
        <v>101</v>
      </c>
      <c r="O13" s="59">
        <f t="shared" si="27"/>
        <v>101</v>
      </c>
      <c r="P13" s="59">
        <f t="shared" si="27"/>
        <v>101</v>
      </c>
      <c r="Q13" s="59">
        <f t="shared" si="27"/>
        <v>101</v>
      </c>
      <c r="R13" s="59">
        <f t="shared" si="27"/>
        <v>101</v>
      </c>
      <c r="S13" s="59">
        <f t="shared" si="27"/>
        <v>101</v>
      </c>
      <c r="T13" s="59">
        <f t="shared" si="27"/>
        <v>101</v>
      </c>
      <c r="U13" s="59">
        <f t="shared" si="27"/>
        <v>101</v>
      </c>
      <c r="V13" s="59">
        <f t="shared" si="27"/>
        <v>101</v>
      </c>
      <c r="W13" s="59">
        <f t="shared" si="27"/>
        <v>101</v>
      </c>
      <c r="X13" s="59">
        <f t="shared" si="27"/>
        <v>101</v>
      </c>
      <c r="Y13" s="59">
        <f t="shared" si="27"/>
        <v>101</v>
      </c>
      <c r="Z13" s="59">
        <f t="shared" si="27"/>
        <v>101</v>
      </c>
      <c r="AA13" s="59">
        <f t="shared" si="27"/>
        <v>101</v>
      </c>
      <c r="AB13" s="59">
        <f t="shared" si="27"/>
        <v>101</v>
      </c>
      <c r="AC13" s="59">
        <f t="shared" si="27"/>
        <v>101</v>
      </c>
      <c r="AD13" s="59">
        <f t="shared" si="27"/>
        <v>101</v>
      </c>
      <c r="AE13" s="59">
        <f t="shared" si="27"/>
        <v>101</v>
      </c>
      <c r="AF13" s="59">
        <f t="shared" si="27"/>
        <v>101</v>
      </c>
      <c r="AG13" s="59">
        <f t="shared" si="27"/>
        <v>101</v>
      </c>
      <c r="AH13" s="59">
        <f t="shared" si="27"/>
        <v>101</v>
      </c>
      <c r="AI13" s="59">
        <f t="shared" si="27"/>
        <v>101</v>
      </c>
      <c r="AJ13" s="59">
        <f t="shared" si="27"/>
        <v>101</v>
      </c>
      <c r="AK13" s="59">
        <f t="shared" si="27"/>
        <v>101</v>
      </c>
      <c r="AL13" s="59">
        <f t="shared" si="27"/>
        <v>101</v>
      </c>
      <c r="AM13" s="59">
        <f t="shared" si="27"/>
        <v>101</v>
      </c>
    </row>
    <row r="14" spans="2:39" ht="15.75" thickBot="1" x14ac:dyDescent="0.35">
      <c r="B14" s="57"/>
      <c r="C14" s="59" t="s">
        <v>33</v>
      </c>
      <c r="D14" s="59">
        <f t="shared" si="24"/>
        <v>160</v>
      </c>
      <c r="E14" s="59">
        <f t="shared" si="24"/>
        <v>155</v>
      </c>
      <c r="F14" s="59">
        <f t="shared" si="24"/>
        <v>150</v>
      </c>
      <c r="G14" s="59">
        <f t="shared" si="24"/>
        <v>144</v>
      </c>
      <c r="H14" s="59">
        <f t="shared" si="24"/>
        <v>139</v>
      </c>
      <c r="I14" s="59">
        <f t="shared" si="24"/>
        <v>133</v>
      </c>
      <c r="J14" s="59">
        <f t="shared" si="24"/>
        <v>155</v>
      </c>
      <c r="K14" s="59">
        <f t="shared" ref="K14:AM14" si="28">K8</f>
        <v>152</v>
      </c>
      <c r="L14" s="59">
        <f t="shared" si="28"/>
        <v>148</v>
      </c>
      <c r="M14" s="59">
        <f t="shared" si="28"/>
        <v>145</v>
      </c>
      <c r="N14" s="59">
        <f t="shared" si="28"/>
        <v>141</v>
      </c>
      <c r="O14" s="59">
        <f t="shared" si="28"/>
        <v>141</v>
      </c>
      <c r="P14" s="59">
        <f t="shared" si="28"/>
        <v>141</v>
      </c>
      <c r="Q14" s="59">
        <f t="shared" si="28"/>
        <v>141</v>
      </c>
      <c r="R14" s="59">
        <f t="shared" si="28"/>
        <v>141</v>
      </c>
      <c r="S14" s="59">
        <f t="shared" si="28"/>
        <v>141</v>
      </c>
      <c r="T14" s="59">
        <f t="shared" si="28"/>
        <v>141</v>
      </c>
      <c r="U14" s="59">
        <f t="shared" si="28"/>
        <v>141</v>
      </c>
      <c r="V14" s="59">
        <f t="shared" si="28"/>
        <v>141</v>
      </c>
      <c r="W14" s="59">
        <f t="shared" si="28"/>
        <v>141</v>
      </c>
      <c r="X14" s="59">
        <f t="shared" si="28"/>
        <v>141</v>
      </c>
      <c r="Y14" s="59">
        <f t="shared" si="28"/>
        <v>141</v>
      </c>
      <c r="Z14" s="59">
        <f t="shared" si="28"/>
        <v>141</v>
      </c>
      <c r="AA14" s="59">
        <f t="shared" si="28"/>
        <v>141</v>
      </c>
      <c r="AB14" s="59">
        <f t="shared" si="28"/>
        <v>141</v>
      </c>
      <c r="AC14" s="59">
        <f t="shared" si="28"/>
        <v>141</v>
      </c>
      <c r="AD14" s="59">
        <f t="shared" si="28"/>
        <v>141</v>
      </c>
      <c r="AE14" s="59">
        <f t="shared" si="28"/>
        <v>141</v>
      </c>
      <c r="AF14" s="59">
        <f t="shared" si="28"/>
        <v>141</v>
      </c>
      <c r="AG14" s="59">
        <f t="shared" si="28"/>
        <v>141</v>
      </c>
      <c r="AH14" s="59">
        <f t="shared" si="28"/>
        <v>141</v>
      </c>
      <c r="AI14" s="59">
        <f t="shared" si="28"/>
        <v>141</v>
      </c>
      <c r="AJ14" s="59">
        <f t="shared" si="28"/>
        <v>141</v>
      </c>
      <c r="AK14" s="59">
        <f t="shared" si="28"/>
        <v>141</v>
      </c>
      <c r="AL14" s="59">
        <f t="shared" si="28"/>
        <v>141</v>
      </c>
      <c r="AM14" s="59">
        <f t="shared" si="28"/>
        <v>141</v>
      </c>
    </row>
    <row r="15" spans="2:39" ht="15.75" thickBot="1" x14ac:dyDescent="0.35">
      <c r="B15" s="58"/>
      <c r="C15" s="59" t="s">
        <v>34</v>
      </c>
      <c r="D15" s="59">
        <f t="shared" si="24"/>
        <v>180</v>
      </c>
      <c r="E15" s="59">
        <f t="shared" si="24"/>
        <v>174</v>
      </c>
      <c r="F15" s="59">
        <f t="shared" si="24"/>
        <v>168</v>
      </c>
      <c r="G15" s="59">
        <f t="shared" si="24"/>
        <v>162</v>
      </c>
      <c r="H15" s="59">
        <f t="shared" si="24"/>
        <v>156</v>
      </c>
      <c r="I15" s="59">
        <f t="shared" si="24"/>
        <v>150</v>
      </c>
      <c r="J15" s="59">
        <f t="shared" si="24"/>
        <v>172</v>
      </c>
      <c r="K15" s="59">
        <f t="shared" ref="K15:AM15" si="29">K9</f>
        <v>168</v>
      </c>
      <c r="L15" s="59">
        <f t="shared" si="29"/>
        <v>165</v>
      </c>
      <c r="M15" s="59">
        <f t="shared" si="29"/>
        <v>161</v>
      </c>
      <c r="N15" s="59">
        <f t="shared" si="29"/>
        <v>157</v>
      </c>
      <c r="O15" s="59">
        <f t="shared" si="29"/>
        <v>157</v>
      </c>
      <c r="P15" s="59">
        <f t="shared" si="29"/>
        <v>157</v>
      </c>
      <c r="Q15" s="59">
        <f t="shared" si="29"/>
        <v>157</v>
      </c>
      <c r="R15" s="59">
        <f t="shared" si="29"/>
        <v>157</v>
      </c>
      <c r="S15" s="59">
        <f t="shared" si="29"/>
        <v>157</v>
      </c>
      <c r="T15" s="59">
        <f t="shared" si="29"/>
        <v>157</v>
      </c>
      <c r="U15" s="59">
        <f t="shared" si="29"/>
        <v>157</v>
      </c>
      <c r="V15" s="59">
        <f t="shared" si="29"/>
        <v>157</v>
      </c>
      <c r="W15" s="59">
        <f t="shared" si="29"/>
        <v>157</v>
      </c>
      <c r="X15" s="59">
        <f t="shared" si="29"/>
        <v>157</v>
      </c>
      <c r="Y15" s="59">
        <f t="shared" si="29"/>
        <v>157</v>
      </c>
      <c r="Z15" s="59">
        <f t="shared" si="29"/>
        <v>157</v>
      </c>
      <c r="AA15" s="59">
        <f t="shared" si="29"/>
        <v>157</v>
      </c>
      <c r="AB15" s="59">
        <f t="shared" si="29"/>
        <v>157</v>
      </c>
      <c r="AC15" s="59">
        <f t="shared" si="29"/>
        <v>157</v>
      </c>
      <c r="AD15" s="59">
        <f t="shared" si="29"/>
        <v>157</v>
      </c>
      <c r="AE15" s="59">
        <f t="shared" si="29"/>
        <v>157</v>
      </c>
      <c r="AF15" s="59">
        <f t="shared" si="29"/>
        <v>157</v>
      </c>
      <c r="AG15" s="59">
        <f t="shared" si="29"/>
        <v>157</v>
      </c>
      <c r="AH15" s="59">
        <f t="shared" si="29"/>
        <v>157</v>
      </c>
      <c r="AI15" s="59">
        <f t="shared" si="29"/>
        <v>157</v>
      </c>
      <c r="AJ15" s="59">
        <f t="shared" si="29"/>
        <v>157</v>
      </c>
      <c r="AK15" s="59">
        <f t="shared" si="29"/>
        <v>157</v>
      </c>
      <c r="AL15" s="59">
        <f t="shared" si="29"/>
        <v>157</v>
      </c>
      <c r="AM15" s="59">
        <f t="shared" si="29"/>
        <v>157</v>
      </c>
    </row>
    <row r="16" spans="2:39" ht="15.75" thickBot="1" x14ac:dyDescent="0.35">
      <c r="B16" s="60"/>
      <c r="C16" s="2"/>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row>
    <row r="17" spans="2:39" ht="15.75" thickBot="1" x14ac:dyDescent="0.35">
      <c r="B17" s="56" t="s">
        <v>41</v>
      </c>
      <c r="C17" s="59" t="s">
        <v>30</v>
      </c>
      <c r="D17" s="64">
        <v>6</v>
      </c>
      <c r="E17" s="64">
        <v>6</v>
      </c>
      <c r="F17" s="64">
        <v>2</v>
      </c>
      <c r="G17" s="64">
        <v>2</v>
      </c>
      <c r="H17" s="64">
        <v>2</v>
      </c>
      <c r="I17" s="64">
        <v>2</v>
      </c>
      <c r="J17" s="64">
        <v>1</v>
      </c>
      <c r="K17" s="64">
        <v>1</v>
      </c>
      <c r="L17" s="64">
        <v>2</v>
      </c>
      <c r="M17" s="64">
        <v>2</v>
      </c>
      <c r="N17" s="64">
        <f t="shared" ref="N17:AM21" si="30">M17</f>
        <v>2</v>
      </c>
      <c r="O17" s="52">
        <f t="shared" si="30"/>
        <v>2</v>
      </c>
      <c r="P17" s="52">
        <f t="shared" si="30"/>
        <v>2</v>
      </c>
      <c r="Q17" s="52">
        <f t="shared" si="30"/>
        <v>2</v>
      </c>
      <c r="R17" s="52">
        <f t="shared" si="30"/>
        <v>2</v>
      </c>
      <c r="S17" s="52">
        <f t="shared" si="30"/>
        <v>2</v>
      </c>
      <c r="T17" s="52">
        <f t="shared" si="30"/>
        <v>2</v>
      </c>
      <c r="U17" s="52">
        <f t="shared" si="30"/>
        <v>2</v>
      </c>
      <c r="V17" s="52">
        <f t="shared" si="30"/>
        <v>2</v>
      </c>
      <c r="W17" s="52">
        <f t="shared" si="30"/>
        <v>2</v>
      </c>
      <c r="X17" s="52">
        <f t="shared" si="30"/>
        <v>2</v>
      </c>
      <c r="Y17" s="52">
        <f t="shared" si="30"/>
        <v>2</v>
      </c>
      <c r="Z17" s="52">
        <f t="shared" si="30"/>
        <v>2</v>
      </c>
      <c r="AA17" s="52">
        <f t="shared" si="30"/>
        <v>2</v>
      </c>
      <c r="AB17" s="52">
        <f t="shared" si="30"/>
        <v>2</v>
      </c>
      <c r="AC17" s="52">
        <f t="shared" si="30"/>
        <v>2</v>
      </c>
      <c r="AD17" s="52">
        <f t="shared" si="30"/>
        <v>2</v>
      </c>
      <c r="AE17" s="52">
        <f t="shared" si="30"/>
        <v>2</v>
      </c>
      <c r="AF17" s="52">
        <f t="shared" si="30"/>
        <v>2</v>
      </c>
      <c r="AG17" s="52">
        <f t="shared" si="30"/>
        <v>2</v>
      </c>
      <c r="AH17" s="52">
        <f t="shared" si="30"/>
        <v>2</v>
      </c>
      <c r="AI17" s="52">
        <f t="shared" si="30"/>
        <v>2</v>
      </c>
      <c r="AJ17" s="52">
        <f t="shared" si="30"/>
        <v>2</v>
      </c>
      <c r="AK17" s="52">
        <f t="shared" si="30"/>
        <v>2</v>
      </c>
      <c r="AL17" s="52">
        <f t="shared" si="30"/>
        <v>2</v>
      </c>
      <c r="AM17" s="52">
        <f t="shared" si="30"/>
        <v>2</v>
      </c>
    </row>
    <row r="18" spans="2:39" ht="15.75" thickBot="1" x14ac:dyDescent="0.35">
      <c r="B18" s="57" t="s">
        <v>42</v>
      </c>
      <c r="C18" s="59" t="s">
        <v>31</v>
      </c>
      <c r="D18" s="64">
        <v>69</v>
      </c>
      <c r="E18" s="64">
        <v>69</v>
      </c>
      <c r="F18" s="64">
        <v>65</v>
      </c>
      <c r="G18" s="64">
        <v>63</v>
      </c>
      <c r="H18" s="64">
        <v>59</v>
      </c>
      <c r="I18" s="64">
        <v>58</v>
      </c>
      <c r="J18" s="64">
        <v>60</v>
      </c>
      <c r="K18" s="64">
        <v>62</v>
      </c>
      <c r="L18" s="64">
        <v>68</v>
      </c>
      <c r="M18" s="64">
        <v>76</v>
      </c>
      <c r="N18" s="64">
        <v>79</v>
      </c>
      <c r="O18" s="52">
        <f t="shared" ref="L18:AA21" si="31">N18</f>
        <v>79</v>
      </c>
      <c r="P18" s="52">
        <f t="shared" si="31"/>
        <v>79</v>
      </c>
      <c r="Q18" s="52">
        <f t="shared" si="31"/>
        <v>79</v>
      </c>
      <c r="R18" s="52">
        <f t="shared" si="31"/>
        <v>79</v>
      </c>
      <c r="S18" s="52">
        <f t="shared" si="31"/>
        <v>79</v>
      </c>
      <c r="T18" s="52">
        <f t="shared" si="31"/>
        <v>79</v>
      </c>
      <c r="U18" s="52">
        <f t="shared" si="31"/>
        <v>79</v>
      </c>
      <c r="V18" s="52">
        <f t="shared" si="31"/>
        <v>79</v>
      </c>
      <c r="W18" s="52">
        <f t="shared" si="31"/>
        <v>79</v>
      </c>
      <c r="X18" s="52">
        <f t="shared" si="31"/>
        <v>79</v>
      </c>
      <c r="Y18" s="52">
        <f t="shared" si="31"/>
        <v>79</v>
      </c>
      <c r="Z18" s="52">
        <f t="shared" si="31"/>
        <v>79</v>
      </c>
      <c r="AA18" s="52">
        <f t="shared" si="31"/>
        <v>79</v>
      </c>
      <c r="AB18" s="52">
        <f t="shared" si="30"/>
        <v>79</v>
      </c>
      <c r="AC18" s="52">
        <f t="shared" si="30"/>
        <v>79</v>
      </c>
      <c r="AD18" s="52">
        <f t="shared" si="30"/>
        <v>79</v>
      </c>
      <c r="AE18" s="52">
        <f t="shared" si="30"/>
        <v>79</v>
      </c>
      <c r="AF18" s="52">
        <f t="shared" si="30"/>
        <v>79</v>
      </c>
      <c r="AG18" s="52">
        <f t="shared" si="30"/>
        <v>79</v>
      </c>
      <c r="AH18" s="52">
        <f t="shared" si="30"/>
        <v>79</v>
      </c>
      <c r="AI18" s="52">
        <f t="shared" si="30"/>
        <v>79</v>
      </c>
      <c r="AJ18" s="52">
        <f t="shared" si="30"/>
        <v>79</v>
      </c>
      <c r="AK18" s="52">
        <f t="shared" si="30"/>
        <v>79</v>
      </c>
      <c r="AL18" s="52">
        <f t="shared" si="30"/>
        <v>79</v>
      </c>
      <c r="AM18" s="52">
        <f t="shared" si="30"/>
        <v>79</v>
      </c>
    </row>
    <row r="19" spans="2:39" ht="15.75" thickBot="1" x14ac:dyDescent="0.35">
      <c r="B19" s="57" t="s">
        <v>43</v>
      </c>
      <c r="C19" s="59" t="s">
        <v>32</v>
      </c>
      <c r="D19" s="64">
        <v>112</v>
      </c>
      <c r="E19" s="64">
        <v>123</v>
      </c>
      <c r="F19" s="64">
        <v>144</v>
      </c>
      <c r="G19" s="64">
        <v>139</v>
      </c>
      <c r="H19" s="64">
        <v>130</v>
      </c>
      <c r="I19" s="64">
        <v>127</v>
      </c>
      <c r="J19" s="64">
        <v>132</v>
      </c>
      <c r="K19" s="64">
        <v>137</v>
      </c>
      <c r="L19" s="64">
        <v>149</v>
      </c>
      <c r="M19" s="64">
        <v>167</v>
      </c>
      <c r="N19" s="64">
        <v>173</v>
      </c>
      <c r="O19" s="52">
        <f t="shared" si="30"/>
        <v>173</v>
      </c>
      <c r="P19" s="52">
        <f t="shared" si="30"/>
        <v>173</v>
      </c>
      <c r="Q19" s="52">
        <f t="shared" si="30"/>
        <v>173</v>
      </c>
      <c r="R19" s="52">
        <f t="shared" si="30"/>
        <v>173</v>
      </c>
      <c r="S19" s="52">
        <f t="shared" si="30"/>
        <v>173</v>
      </c>
      <c r="T19" s="52">
        <f t="shared" si="30"/>
        <v>173</v>
      </c>
      <c r="U19" s="52">
        <f t="shared" si="30"/>
        <v>173</v>
      </c>
      <c r="V19" s="52">
        <f t="shared" si="30"/>
        <v>173</v>
      </c>
      <c r="W19" s="52">
        <f t="shared" si="30"/>
        <v>173</v>
      </c>
      <c r="X19" s="52">
        <f t="shared" si="30"/>
        <v>173</v>
      </c>
      <c r="Y19" s="52">
        <f t="shared" si="30"/>
        <v>173</v>
      </c>
      <c r="Z19" s="52">
        <f t="shared" si="30"/>
        <v>173</v>
      </c>
      <c r="AA19" s="52">
        <f t="shared" si="30"/>
        <v>173</v>
      </c>
      <c r="AB19" s="52">
        <f t="shared" si="30"/>
        <v>173</v>
      </c>
      <c r="AC19" s="52">
        <f t="shared" si="30"/>
        <v>173</v>
      </c>
      <c r="AD19" s="52">
        <f t="shared" si="30"/>
        <v>173</v>
      </c>
      <c r="AE19" s="52">
        <f t="shared" si="30"/>
        <v>173</v>
      </c>
      <c r="AF19" s="52">
        <f t="shared" si="30"/>
        <v>173</v>
      </c>
      <c r="AG19" s="52">
        <f t="shared" si="30"/>
        <v>173</v>
      </c>
      <c r="AH19" s="52">
        <f t="shared" si="30"/>
        <v>173</v>
      </c>
      <c r="AI19" s="52">
        <f t="shared" si="30"/>
        <v>173</v>
      </c>
      <c r="AJ19" s="52">
        <f t="shared" si="30"/>
        <v>173</v>
      </c>
      <c r="AK19" s="52">
        <f t="shared" si="30"/>
        <v>173</v>
      </c>
      <c r="AL19" s="52">
        <f t="shared" si="30"/>
        <v>173</v>
      </c>
      <c r="AM19" s="52">
        <f t="shared" si="30"/>
        <v>173</v>
      </c>
    </row>
    <row r="20" spans="2:39" ht="15.75" thickBot="1" x14ac:dyDescent="0.35">
      <c r="B20" s="57"/>
      <c r="C20" s="59" t="s">
        <v>33</v>
      </c>
      <c r="D20" s="64">
        <v>217</v>
      </c>
      <c r="E20" s="64">
        <v>238</v>
      </c>
      <c r="F20" s="64">
        <v>236</v>
      </c>
      <c r="G20" s="64">
        <v>228</v>
      </c>
      <c r="H20" s="64">
        <v>214</v>
      </c>
      <c r="I20" s="64">
        <v>209</v>
      </c>
      <c r="J20" s="64">
        <v>216</v>
      </c>
      <c r="K20" s="64">
        <v>224</v>
      </c>
      <c r="L20" s="64">
        <v>244</v>
      </c>
      <c r="M20" s="64">
        <v>274</v>
      </c>
      <c r="N20" s="64">
        <v>284</v>
      </c>
      <c r="O20" s="52">
        <f t="shared" si="30"/>
        <v>284</v>
      </c>
      <c r="P20" s="52">
        <f t="shared" si="30"/>
        <v>284</v>
      </c>
      <c r="Q20" s="52">
        <f t="shared" si="30"/>
        <v>284</v>
      </c>
      <c r="R20" s="52">
        <f t="shared" si="30"/>
        <v>284</v>
      </c>
      <c r="S20" s="52">
        <f t="shared" si="30"/>
        <v>284</v>
      </c>
      <c r="T20" s="52">
        <f t="shared" si="30"/>
        <v>284</v>
      </c>
      <c r="U20" s="52">
        <f t="shared" si="30"/>
        <v>284</v>
      </c>
      <c r="V20" s="52">
        <f t="shared" si="30"/>
        <v>284</v>
      </c>
      <c r="W20" s="52">
        <f t="shared" si="30"/>
        <v>284</v>
      </c>
      <c r="X20" s="52">
        <f t="shared" si="30"/>
        <v>284</v>
      </c>
      <c r="Y20" s="52">
        <f t="shared" si="30"/>
        <v>284</v>
      </c>
      <c r="Z20" s="52">
        <f t="shared" si="30"/>
        <v>284</v>
      </c>
      <c r="AA20" s="52">
        <f t="shared" si="30"/>
        <v>284</v>
      </c>
      <c r="AB20" s="52">
        <f t="shared" si="30"/>
        <v>284</v>
      </c>
      <c r="AC20" s="52">
        <f t="shared" si="30"/>
        <v>284</v>
      </c>
      <c r="AD20" s="52">
        <f t="shared" si="30"/>
        <v>284</v>
      </c>
      <c r="AE20" s="52">
        <f t="shared" si="30"/>
        <v>284</v>
      </c>
      <c r="AF20" s="52">
        <f t="shared" si="30"/>
        <v>284</v>
      </c>
      <c r="AG20" s="52">
        <f t="shared" si="30"/>
        <v>284</v>
      </c>
      <c r="AH20" s="52">
        <f t="shared" si="30"/>
        <v>284</v>
      </c>
      <c r="AI20" s="52">
        <f t="shared" si="30"/>
        <v>284</v>
      </c>
      <c r="AJ20" s="52">
        <f t="shared" si="30"/>
        <v>284</v>
      </c>
      <c r="AK20" s="52">
        <f t="shared" si="30"/>
        <v>284</v>
      </c>
      <c r="AL20" s="52">
        <f t="shared" si="30"/>
        <v>284</v>
      </c>
      <c r="AM20" s="52">
        <f t="shared" si="30"/>
        <v>284</v>
      </c>
    </row>
    <row r="21" spans="2:39" ht="15.75" thickBot="1" x14ac:dyDescent="0.35">
      <c r="B21" s="58"/>
      <c r="C21" s="60" t="s">
        <v>34</v>
      </c>
      <c r="D21" s="64">
        <v>434</v>
      </c>
      <c r="E21" s="64">
        <v>476</v>
      </c>
      <c r="F21" s="64">
        <v>472</v>
      </c>
      <c r="G21" s="64">
        <v>455</v>
      </c>
      <c r="H21" s="64">
        <v>428</v>
      </c>
      <c r="I21" s="64">
        <v>418</v>
      </c>
      <c r="J21" s="64">
        <v>432</v>
      </c>
      <c r="K21" s="64">
        <v>448</v>
      </c>
      <c r="L21" s="64">
        <f t="shared" si="31"/>
        <v>448</v>
      </c>
      <c r="M21" s="64">
        <v>549</v>
      </c>
      <c r="N21" s="64">
        <v>568</v>
      </c>
      <c r="O21" s="52">
        <f t="shared" si="30"/>
        <v>568</v>
      </c>
      <c r="P21" s="52">
        <f t="shared" si="30"/>
        <v>568</v>
      </c>
      <c r="Q21" s="52">
        <f t="shared" si="30"/>
        <v>568</v>
      </c>
      <c r="R21" s="52">
        <f t="shared" si="30"/>
        <v>568</v>
      </c>
      <c r="S21" s="52">
        <f t="shared" si="30"/>
        <v>568</v>
      </c>
      <c r="T21" s="52">
        <f t="shared" si="30"/>
        <v>568</v>
      </c>
      <c r="U21" s="52">
        <f t="shared" si="30"/>
        <v>568</v>
      </c>
      <c r="V21" s="52">
        <f t="shared" si="30"/>
        <v>568</v>
      </c>
      <c r="W21" s="52">
        <f t="shared" si="30"/>
        <v>568</v>
      </c>
      <c r="X21" s="52">
        <f t="shared" si="30"/>
        <v>568</v>
      </c>
      <c r="Y21" s="52">
        <f t="shared" si="30"/>
        <v>568</v>
      </c>
      <c r="Z21" s="52">
        <f t="shared" si="30"/>
        <v>568</v>
      </c>
      <c r="AA21" s="52">
        <f t="shared" si="30"/>
        <v>568</v>
      </c>
      <c r="AB21" s="52">
        <f t="shared" si="30"/>
        <v>568</v>
      </c>
      <c r="AC21" s="52">
        <f t="shared" si="30"/>
        <v>568</v>
      </c>
      <c r="AD21" s="52">
        <f t="shared" si="30"/>
        <v>568</v>
      </c>
      <c r="AE21" s="52">
        <f t="shared" si="30"/>
        <v>568</v>
      </c>
      <c r="AF21" s="52">
        <f t="shared" si="30"/>
        <v>568</v>
      </c>
      <c r="AG21" s="52">
        <f t="shared" si="30"/>
        <v>568</v>
      </c>
      <c r="AH21" s="52">
        <f t="shared" si="30"/>
        <v>568</v>
      </c>
      <c r="AI21" s="52">
        <f t="shared" si="30"/>
        <v>568</v>
      </c>
      <c r="AJ21" s="52">
        <f t="shared" si="30"/>
        <v>568</v>
      </c>
      <c r="AK21" s="52">
        <f t="shared" si="30"/>
        <v>568</v>
      </c>
      <c r="AL21" s="52">
        <f t="shared" si="30"/>
        <v>568</v>
      </c>
      <c r="AM21" s="52">
        <f t="shared" si="30"/>
        <v>568</v>
      </c>
    </row>
    <row r="22" spans="2:39" ht="15.75" thickBot="1" x14ac:dyDescent="0.35">
      <c r="B22" s="60"/>
      <c r="C22" s="2"/>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row>
    <row r="23" spans="2:39" ht="15.75" thickBot="1" x14ac:dyDescent="0.35">
      <c r="B23" s="55" t="s">
        <v>35</v>
      </c>
      <c r="C23" s="59" t="s">
        <v>37</v>
      </c>
      <c r="D23" s="195">
        <v>70</v>
      </c>
      <c r="E23" s="195">
        <v>67</v>
      </c>
      <c r="F23" s="195">
        <v>65</v>
      </c>
      <c r="G23" s="195">
        <v>63</v>
      </c>
      <c r="H23" s="195">
        <v>61</v>
      </c>
      <c r="I23" s="195">
        <v>59</v>
      </c>
      <c r="J23" s="195">
        <v>77</v>
      </c>
      <c r="K23" s="195">
        <v>75</v>
      </c>
      <c r="L23" s="195">
        <v>73</v>
      </c>
      <c r="M23" s="195">
        <v>71</v>
      </c>
      <c r="N23" s="195">
        <v>70</v>
      </c>
      <c r="O23" s="62">
        <f t="shared" ref="O23:AM23" si="32">N23</f>
        <v>70</v>
      </c>
      <c r="P23" s="62">
        <f t="shared" si="32"/>
        <v>70</v>
      </c>
      <c r="Q23" s="62">
        <f t="shared" si="32"/>
        <v>70</v>
      </c>
      <c r="R23" s="62">
        <f t="shared" si="32"/>
        <v>70</v>
      </c>
      <c r="S23" s="62">
        <f t="shared" si="32"/>
        <v>70</v>
      </c>
      <c r="T23" s="62">
        <f t="shared" si="32"/>
        <v>70</v>
      </c>
      <c r="U23" s="62">
        <f t="shared" si="32"/>
        <v>70</v>
      </c>
      <c r="V23" s="62">
        <f t="shared" si="32"/>
        <v>70</v>
      </c>
      <c r="W23" s="62">
        <f t="shared" si="32"/>
        <v>70</v>
      </c>
      <c r="X23" s="62">
        <f t="shared" si="32"/>
        <v>70</v>
      </c>
      <c r="Y23" s="62">
        <f t="shared" si="32"/>
        <v>70</v>
      </c>
      <c r="Z23" s="62">
        <f t="shared" si="32"/>
        <v>70</v>
      </c>
      <c r="AA23" s="62">
        <f t="shared" si="32"/>
        <v>70</v>
      </c>
      <c r="AB23" s="62">
        <f t="shared" si="32"/>
        <v>70</v>
      </c>
      <c r="AC23" s="62">
        <f t="shared" si="32"/>
        <v>70</v>
      </c>
      <c r="AD23" s="62">
        <f t="shared" si="32"/>
        <v>70</v>
      </c>
      <c r="AE23" s="62">
        <f t="shared" si="32"/>
        <v>70</v>
      </c>
      <c r="AF23" s="62">
        <f t="shared" si="32"/>
        <v>70</v>
      </c>
      <c r="AG23" s="62">
        <f t="shared" si="32"/>
        <v>70</v>
      </c>
      <c r="AH23" s="62">
        <f t="shared" si="32"/>
        <v>70</v>
      </c>
      <c r="AI23" s="62">
        <f t="shared" si="32"/>
        <v>70</v>
      </c>
      <c r="AJ23" s="62">
        <f t="shared" si="32"/>
        <v>70</v>
      </c>
      <c r="AK23" s="62">
        <f t="shared" si="32"/>
        <v>70</v>
      </c>
      <c r="AL23" s="62">
        <f t="shared" si="32"/>
        <v>70</v>
      </c>
      <c r="AM23" s="62">
        <f t="shared" si="32"/>
        <v>70</v>
      </c>
    </row>
    <row r="24" spans="2:39" ht="15.75" thickBot="1" x14ac:dyDescent="0.35">
      <c r="B24" s="4"/>
      <c r="C24" s="59" t="s">
        <v>36</v>
      </c>
      <c r="D24" s="64">
        <v>86</v>
      </c>
      <c r="E24" s="64">
        <v>86.43</v>
      </c>
      <c r="F24" s="64">
        <v>86.69</v>
      </c>
      <c r="G24" s="64">
        <v>87.38</v>
      </c>
      <c r="H24" s="64">
        <v>88.43</v>
      </c>
      <c r="I24" s="64">
        <v>89.85</v>
      </c>
      <c r="J24" s="64">
        <v>83.59</v>
      </c>
      <c r="K24" s="64">
        <v>86.67</v>
      </c>
      <c r="L24" s="64">
        <v>94.3</v>
      </c>
      <c r="M24" s="64">
        <v>106.07</v>
      </c>
      <c r="N24" s="64">
        <v>109.87</v>
      </c>
      <c r="O24" s="271">
        <f t="shared" ref="O24:AM24" si="33">N24</f>
        <v>109.87</v>
      </c>
      <c r="P24" s="271">
        <f t="shared" si="33"/>
        <v>109.87</v>
      </c>
      <c r="Q24" s="271">
        <f t="shared" si="33"/>
        <v>109.87</v>
      </c>
      <c r="R24" s="271">
        <f t="shared" si="33"/>
        <v>109.87</v>
      </c>
      <c r="S24" s="271">
        <f t="shared" si="33"/>
        <v>109.87</v>
      </c>
      <c r="T24" s="271">
        <f t="shared" si="33"/>
        <v>109.87</v>
      </c>
      <c r="U24" s="271">
        <f t="shared" si="33"/>
        <v>109.87</v>
      </c>
      <c r="V24" s="271">
        <f t="shared" si="33"/>
        <v>109.87</v>
      </c>
      <c r="W24" s="271">
        <f t="shared" si="33"/>
        <v>109.87</v>
      </c>
      <c r="X24" s="271">
        <f t="shared" si="33"/>
        <v>109.87</v>
      </c>
      <c r="Y24" s="271">
        <f t="shared" si="33"/>
        <v>109.87</v>
      </c>
      <c r="Z24" s="271">
        <f t="shared" si="33"/>
        <v>109.87</v>
      </c>
      <c r="AA24" s="271">
        <f t="shared" si="33"/>
        <v>109.87</v>
      </c>
      <c r="AB24" s="271">
        <f t="shared" si="33"/>
        <v>109.87</v>
      </c>
      <c r="AC24" s="271">
        <f t="shared" si="33"/>
        <v>109.87</v>
      </c>
      <c r="AD24" s="271">
        <f t="shared" si="33"/>
        <v>109.87</v>
      </c>
      <c r="AE24" s="271">
        <f t="shared" si="33"/>
        <v>109.87</v>
      </c>
      <c r="AF24" s="271">
        <f t="shared" si="33"/>
        <v>109.87</v>
      </c>
      <c r="AG24" s="271">
        <f t="shared" si="33"/>
        <v>109.87</v>
      </c>
      <c r="AH24" s="271">
        <f t="shared" si="33"/>
        <v>109.87</v>
      </c>
      <c r="AI24" s="271">
        <f t="shared" si="33"/>
        <v>109.87</v>
      </c>
      <c r="AJ24" s="271">
        <f t="shared" si="33"/>
        <v>109.87</v>
      </c>
      <c r="AK24" s="271">
        <f t="shared" si="33"/>
        <v>109.87</v>
      </c>
      <c r="AL24" s="271">
        <f t="shared" si="33"/>
        <v>109.87</v>
      </c>
      <c r="AM24" s="271">
        <f t="shared" si="33"/>
        <v>109.87</v>
      </c>
    </row>
    <row r="25" spans="2:39" ht="15.75" thickBot="1" x14ac:dyDescent="0.35">
      <c r="B25" s="55"/>
      <c r="C25" s="2"/>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row>
    <row r="26" spans="2:39" ht="15.75" thickBot="1" x14ac:dyDescent="0.35">
      <c r="B26" s="60" t="s">
        <v>1466</v>
      </c>
      <c r="C26" s="62"/>
      <c r="D26" s="64">
        <v>175</v>
      </c>
      <c r="E26" s="64">
        <v>175</v>
      </c>
      <c r="F26" s="64">
        <v>353</v>
      </c>
      <c r="G26" s="64">
        <v>356</v>
      </c>
      <c r="H26" s="64">
        <v>360</v>
      </c>
      <c r="I26" s="64">
        <v>366</v>
      </c>
      <c r="J26" s="64">
        <v>372</v>
      </c>
      <c r="K26" s="64">
        <v>376</v>
      </c>
      <c r="L26" s="64">
        <v>400</v>
      </c>
      <c r="M26" s="64">
        <v>440</v>
      </c>
      <c r="N26" s="64">
        <v>667</v>
      </c>
      <c r="O26" s="271">
        <f t="shared" ref="O26:AM26" si="34">N26</f>
        <v>667</v>
      </c>
      <c r="P26" s="271">
        <f t="shared" si="34"/>
        <v>667</v>
      </c>
      <c r="Q26" s="271">
        <f t="shared" si="34"/>
        <v>667</v>
      </c>
      <c r="R26" s="271">
        <f t="shared" si="34"/>
        <v>667</v>
      </c>
      <c r="S26" s="271">
        <f t="shared" si="34"/>
        <v>667</v>
      </c>
      <c r="T26" s="271">
        <f t="shared" si="34"/>
        <v>667</v>
      </c>
      <c r="U26" s="271">
        <f t="shared" si="34"/>
        <v>667</v>
      </c>
      <c r="V26" s="271">
        <f t="shared" si="34"/>
        <v>667</v>
      </c>
      <c r="W26" s="271">
        <f t="shared" si="34"/>
        <v>667</v>
      </c>
      <c r="X26" s="271">
        <f t="shared" si="34"/>
        <v>667</v>
      </c>
      <c r="Y26" s="271">
        <f t="shared" si="34"/>
        <v>667</v>
      </c>
      <c r="Z26" s="271">
        <f t="shared" si="34"/>
        <v>667</v>
      </c>
      <c r="AA26" s="271">
        <f t="shared" si="34"/>
        <v>667</v>
      </c>
      <c r="AB26" s="271">
        <f t="shared" si="34"/>
        <v>667</v>
      </c>
      <c r="AC26" s="271">
        <f t="shared" si="34"/>
        <v>667</v>
      </c>
      <c r="AD26" s="271">
        <f t="shared" si="34"/>
        <v>667</v>
      </c>
      <c r="AE26" s="271">
        <f t="shared" si="34"/>
        <v>667</v>
      </c>
      <c r="AF26" s="271">
        <f t="shared" si="34"/>
        <v>667</v>
      </c>
      <c r="AG26" s="271">
        <f t="shared" si="34"/>
        <v>667</v>
      </c>
      <c r="AH26" s="271">
        <f t="shared" si="34"/>
        <v>667</v>
      </c>
      <c r="AI26" s="271">
        <f t="shared" si="34"/>
        <v>667</v>
      </c>
      <c r="AJ26" s="271">
        <f t="shared" si="34"/>
        <v>667</v>
      </c>
      <c r="AK26" s="271">
        <f t="shared" si="34"/>
        <v>667</v>
      </c>
      <c r="AL26" s="271">
        <f t="shared" si="34"/>
        <v>667</v>
      </c>
      <c r="AM26" s="271">
        <f t="shared" si="34"/>
        <v>667</v>
      </c>
    </row>
    <row r="27" spans="2:39" ht="15.75" thickBot="1" x14ac:dyDescent="0.3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row>
    <row r="28" spans="2:39" ht="15.75" thickBot="1" x14ac:dyDescent="0.35">
      <c r="B28" s="56" t="str">
        <f>input_names!$E$3</f>
        <v>plug-in</v>
      </c>
      <c r="C28" s="59" t="s">
        <v>30</v>
      </c>
      <c r="D28" s="195">
        <v>0</v>
      </c>
      <c r="E28" s="195">
        <v>0</v>
      </c>
      <c r="F28" s="195">
        <v>0</v>
      </c>
      <c r="G28" s="195">
        <v>0</v>
      </c>
      <c r="H28" s="195">
        <v>0</v>
      </c>
      <c r="I28" s="195">
        <v>0</v>
      </c>
      <c r="J28" s="195">
        <v>0</v>
      </c>
      <c r="K28" s="195">
        <v>0</v>
      </c>
      <c r="L28" s="195">
        <f>K28</f>
        <v>0</v>
      </c>
      <c r="M28" s="195">
        <f t="shared" ref="M28:AM32" si="35">L28</f>
        <v>0</v>
      </c>
      <c r="N28" s="195">
        <f>N5</f>
        <v>0</v>
      </c>
      <c r="O28" s="62">
        <f t="shared" si="35"/>
        <v>0</v>
      </c>
      <c r="P28" s="62">
        <f t="shared" si="35"/>
        <v>0</v>
      </c>
      <c r="Q28" s="62">
        <f t="shared" si="35"/>
        <v>0</v>
      </c>
      <c r="R28" s="62">
        <f t="shared" si="35"/>
        <v>0</v>
      </c>
      <c r="S28" s="62">
        <f t="shared" si="35"/>
        <v>0</v>
      </c>
      <c r="T28" s="62">
        <f t="shared" si="35"/>
        <v>0</v>
      </c>
      <c r="U28" s="62">
        <f t="shared" si="35"/>
        <v>0</v>
      </c>
      <c r="V28" s="62">
        <f t="shared" si="35"/>
        <v>0</v>
      </c>
      <c r="W28" s="62">
        <f t="shared" si="35"/>
        <v>0</v>
      </c>
      <c r="X28" s="62">
        <f t="shared" si="35"/>
        <v>0</v>
      </c>
      <c r="Y28" s="62">
        <f t="shared" si="35"/>
        <v>0</v>
      </c>
      <c r="Z28" s="62">
        <f t="shared" si="35"/>
        <v>0</v>
      </c>
      <c r="AA28" s="62">
        <f t="shared" si="35"/>
        <v>0</v>
      </c>
      <c r="AB28" s="62">
        <f t="shared" si="35"/>
        <v>0</v>
      </c>
      <c r="AC28" s="62">
        <f t="shared" si="35"/>
        <v>0</v>
      </c>
      <c r="AD28" s="62">
        <f t="shared" si="35"/>
        <v>0</v>
      </c>
      <c r="AE28" s="62">
        <f t="shared" si="35"/>
        <v>0</v>
      </c>
      <c r="AF28" s="62">
        <f t="shared" si="35"/>
        <v>0</v>
      </c>
      <c r="AG28" s="62">
        <f t="shared" si="35"/>
        <v>0</v>
      </c>
      <c r="AH28" s="62">
        <f t="shared" si="35"/>
        <v>0</v>
      </c>
      <c r="AI28" s="62">
        <f t="shared" si="35"/>
        <v>0</v>
      </c>
      <c r="AJ28" s="62">
        <f t="shared" si="35"/>
        <v>0</v>
      </c>
      <c r="AK28" s="62">
        <f t="shared" si="35"/>
        <v>0</v>
      </c>
      <c r="AL28" s="62">
        <f t="shared" si="35"/>
        <v>0</v>
      </c>
      <c r="AM28" s="62">
        <f t="shared" si="35"/>
        <v>0</v>
      </c>
    </row>
    <row r="29" spans="2:39" ht="15.75" thickBot="1" x14ac:dyDescent="0.35">
      <c r="B29" s="57"/>
      <c r="C29" s="59" t="s">
        <v>31</v>
      </c>
      <c r="D29" s="195">
        <v>82</v>
      </c>
      <c r="E29" s="195">
        <v>79</v>
      </c>
      <c r="F29" s="195">
        <v>30</v>
      </c>
      <c r="G29" s="195">
        <v>30</v>
      </c>
      <c r="H29" s="195">
        <v>30</v>
      </c>
      <c r="I29" s="195">
        <v>30</v>
      </c>
      <c r="J29" s="195">
        <v>34</v>
      </c>
      <c r="K29" s="195">
        <v>34</v>
      </c>
      <c r="L29" s="195">
        <f t="shared" ref="L29:AA32" si="36">K29</f>
        <v>34</v>
      </c>
      <c r="M29" s="195">
        <f t="shared" si="36"/>
        <v>34</v>
      </c>
      <c r="N29" s="195">
        <f t="shared" ref="N29:N32" si="37">N6</f>
        <v>79</v>
      </c>
      <c r="O29" s="62">
        <f t="shared" si="36"/>
        <v>79</v>
      </c>
      <c r="P29" s="62">
        <f t="shared" si="36"/>
        <v>79</v>
      </c>
      <c r="Q29" s="62">
        <f t="shared" si="36"/>
        <v>79</v>
      </c>
      <c r="R29" s="62">
        <f t="shared" si="36"/>
        <v>79</v>
      </c>
      <c r="S29" s="62">
        <f t="shared" si="36"/>
        <v>79</v>
      </c>
      <c r="T29" s="62">
        <f t="shared" si="36"/>
        <v>79</v>
      </c>
      <c r="U29" s="62">
        <f t="shared" si="36"/>
        <v>79</v>
      </c>
      <c r="V29" s="62">
        <f t="shared" si="36"/>
        <v>79</v>
      </c>
      <c r="W29" s="62">
        <f t="shared" si="36"/>
        <v>79</v>
      </c>
      <c r="X29" s="62">
        <f t="shared" si="36"/>
        <v>79</v>
      </c>
      <c r="Y29" s="62">
        <f t="shared" si="36"/>
        <v>79</v>
      </c>
      <c r="Z29" s="62">
        <f t="shared" si="36"/>
        <v>79</v>
      </c>
      <c r="AA29" s="62">
        <f t="shared" si="36"/>
        <v>79</v>
      </c>
      <c r="AB29" s="62">
        <f t="shared" si="35"/>
        <v>79</v>
      </c>
      <c r="AC29" s="62">
        <f t="shared" si="35"/>
        <v>79</v>
      </c>
      <c r="AD29" s="62">
        <f t="shared" si="35"/>
        <v>79</v>
      </c>
      <c r="AE29" s="62">
        <f t="shared" si="35"/>
        <v>79</v>
      </c>
      <c r="AF29" s="62">
        <f t="shared" si="35"/>
        <v>79</v>
      </c>
      <c r="AG29" s="62">
        <f t="shared" si="35"/>
        <v>79</v>
      </c>
      <c r="AH29" s="62">
        <f t="shared" si="35"/>
        <v>79</v>
      </c>
      <c r="AI29" s="62">
        <f t="shared" si="35"/>
        <v>79</v>
      </c>
      <c r="AJ29" s="62">
        <f t="shared" si="35"/>
        <v>79</v>
      </c>
      <c r="AK29" s="62">
        <f t="shared" si="35"/>
        <v>79</v>
      </c>
      <c r="AL29" s="62">
        <f t="shared" si="35"/>
        <v>79</v>
      </c>
      <c r="AM29" s="62">
        <f t="shared" si="35"/>
        <v>79</v>
      </c>
    </row>
    <row r="30" spans="2:39" ht="15.75" thickBot="1" x14ac:dyDescent="0.35">
      <c r="B30" s="57"/>
      <c r="C30" s="59" t="s">
        <v>32</v>
      </c>
      <c r="D30" s="195">
        <v>110</v>
      </c>
      <c r="E30" s="195">
        <v>106</v>
      </c>
      <c r="F30" s="195">
        <v>50</v>
      </c>
      <c r="G30" s="195">
        <v>50</v>
      </c>
      <c r="H30" s="195">
        <v>50</v>
      </c>
      <c r="I30" s="195">
        <v>50</v>
      </c>
      <c r="J30" s="195">
        <v>60</v>
      </c>
      <c r="K30" s="195">
        <v>60</v>
      </c>
      <c r="L30" s="195">
        <f t="shared" si="36"/>
        <v>60</v>
      </c>
      <c r="M30" s="195">
        <f t="shared" si="35"/>
        <v>60</v>
      </c>
      <c r="N30" s="195">
        <f t="shared" si="37"/>
        <v>101</v>
      </c>
      <c r="O30" s="62">
        <f t="shared" si="35"/>
        <v>101</v>
      </c>
      <c r="P30" s="62">
        <f t="shared" si="35"/>
        <v>101</v>
      </c>
      <c r="Q30" s="62">
        <f t="shared" si="35"/>
        <v>101</v>
      </c>
      <c r="R30" s="62">
        <f t="shared" si="35"/>
        <v>101</v>
      </c>
      <c r="S30" s="62">
        <f t="shared" si="35"/>
        <v>101</v>
      </c>
      <c r="T30" s="62">
        <f t="shared" si="35"/>
        <v>101</v>
      </c>
      <c r="U30" s="62">
        <f t="shared" si="35"/>
        <v>101</v>
      </c>
      <c r="V30" s="62">
        <f t="shared" si="35"/>
        <v>101</v>
      </c>
      <c r="W30" s="62">
        <f t="shared" si="35"/>
        <v>101</v>
      </c>
      <c r="X30" s="62">
        <f t="shared" si="35"/>
        <v>101</v>
      </c>
      <c r="Y30" s="62">
        <f t="shared" si="35"/>
        <v>101</v>
      </c>
      <c r="Z30" s="62">
        <f t="shared" si="35"/>
        <v>101</v>
      </c>
      <c r="AA30" s="62">
        <f t="shared" si="35"/>
        <v>101</v>
      </c>
      <c r="AB30" s="62">
        <f t="shared" si="35"/>
        <v>101</v>
      </c>
      <c r="AC30" s="62">
        <f t="shared" si="35"/>
        <v>101</v>
      </c>
      <c r="AD30" s="62">
        <f t="shared" si="35"/>
        <v>101</v>
      </c>
      <c r="AE30" s="62">
        <f t="shared" si="35"/>
        <v>101</v>
      </c>
      <c r="AF30" s="62">
        <f t="shared" si="35"/>
        <v>101</v>
      </c>
      <c r="AG30" s="62">
        <f t="shared" si="35"/>
        <v>101</v>
      </c>
      <c r="AH30" s="62">
        <f t="shared" si="35"/>
        <v>101</v>
      </c>
      <c r="AI30" s="62">
        <f t="shared" si="35"/>
        <v>101</v>
      </c>
      <c r="AJ30" s="62">
        <f t="shared" si="35"/>
        <v>101</v>
      </c>
      <c r="AK30" s="62">
        <f t="shared" si="35"/>
        <v>101</v>
      </c>
      <c r="AL30" s="62">
        <f t="shared" si="35"/>
        <v>101</v>
      </c>
      <c r="AM30" s="62">
        <f t="shared" si="35"/>
        <v>101</v>
      </c>
    </row>
    <row r="31" spans="2:39" ht="15.75" thickBot="1" x14ac:dyDescent="0.35">
      <c r="B31" s="57"/>
      <c r="C31" s="59" t="s">
        <v>33</v>
      </c>
      <c r="D31" s="195">
        <v>160</v>
      </c>
      <c r="E31" s="195">
        <v>155</v>
      </c>
      <c r="F31" s="195">
        <v>1000</v>
      </c>
      <c r="G31" s="195">
        <v>1000</v>
      </c>
      <c r="H31" s="195">
        <v>1000</v>
      </c>
      <c r="I31" s="195">
        <v>1000</v>
      </c>
      <c r="J31" s="195">
        <v>1000</v>
      </c>
      <c r="K31" s="195">
        <v>1000</v>
      </c>
      <c r="L31" s="195">
        <f t="shared" si="36"/>
        <v>1000</v>
      </c>
      <c r="M31" s="195">
        <f t="shared" si="35"/>
        <v>1000</v>
      </c>
      <c r="N31" s="195">
        <f t="shared" si="37"/>
        <v>141</v>
      </c>
      <c r="O31" s="62">
        <f t="shared" si="35"/>
        <v>141</v>
      </c>
      <c r="P31" s="62">
        <f t="shared" si="35"/>
        <v>141</v>
      </c>
      <c r="Q31" s="62">
        <f t="shared" si="35"/>
        <v>141</v>
      </c>
      <c r="R31" s="62">
        <f t="shared" si="35"/>
        <v>141</v>
      </c>
      <c r="S31" s="62">
        <f t="shared" si="35"/>
        <v>141</v>
      </c>
      <c r="T31" s="62">
        <f t="shared" si="35"/>
        <v>141</v>
      </c>
      <c r="U31" s="62">
        <f t="shared" si="35"/>
        <v>141</v>
      </c>
      <c r="V31" s="62">
        <f t="shared" si="35"/>
        <v>141</v>
      </c>
      <c r="W31" s="62">
        <f t="shared" si="35"/>
        <v>141</v>
      </c>
      <c r="X31" s="62">
        <f t="shared" si="35"/>
        <v>141</v>
      </c>
      <c r="Y31" s="62">
        <f t="shared" si="35"/>
        <v>141</v>
      </c>
      <c r="Z31" s="62">
        <f t="shared" si="35"/>
        <v>141</v>
      </c>
      <c r="AA31" s="62">
        <f t="shared" si="35"/>
        <v>141</v>
      </c>
      <c r="AB31" s="62">
        <f t="shared" si="35"/>
        <v>141</v>
      </c>
      <c r="AC31" s="62">
        <f t="shared" si="35"/>
        <v>141</v>
      </c>
      <c r="AD31" s="62">
        <f t="shared" si="35"/>
        <v>141</v>
      </c>
      <c r="AE31" s="62">
        <f t="shared" si="35"/>
        <v>141</v>
      </c>
      <c r="AF31" s="62">
        <f t="shared" si="35"/>
        <v>141</v>
      </c>
      <c r="AG31" s="62">
        <f t="shared" si="35"/>
        <v>141</v>
      </c>
      <c r="AH31" s="62">
        <f t="shared" si="35"/>
        <v>141</v>
      </c>
      <c r="AI31" s="62">
        <f t="shared" si="35"/>
        <v>141</v>
      </c>
      <c r="AJ31" s="62">
        <f t="shared" si="35"/>
        <v>141</v>
      </c>
      <c r="AK31" s="62">
        <f t="shared" si="35"/>
        <v>141</v>
      </c>
      <c r="AL31" s="62">
        <f t="shared" si="35"/>
        <v>141</v>
      </c>
      <c r="AM31" s="62">
        <f t="shared" si="35"/>
        <v>141</v>
      </c>
    </row>
    <row r="32" spans="2:39" ht="15.75" thickBot="1" x14ac:dyDescent="0.35">
      <c r="B32" s="58"/>
      <c r="C32" s="60" t="s">
        <v>34</v>
      </c>
      <c r="D32" s="195">
        <v>180</v>
      </c>
      <c r="E32" s="195">
        <v>174</v>
      </c>
      <c r="F32" s="195">
        <v>1000</v>
      </c>
      <c r="G32" s="195">
        <v>1000</v>
      </c>
      <c r="H32" s="195">
        <v>1000</v>
      </c>
      <c r="I32" s="195">
        <v>1000</v>
      </c>
      <c r="J32" s="195">
        <v>1000</v>
      </c>
      <c r="K32" s="195">
        <v>1000</v>
      </c>
      <c r="L32" s="195">
        <f t="shared" si="36"/>
        <v>1000</v>
      </c>
      <c r="M32" s="195">
        <f t="shared" si="35"/>
        <v>1000</v>
      </c>
      <c r="N32" s="195">
        <f t="shared" si="37"/>
        <v>157</v>
      </c>
      <c r="O32" s="62">
        <f t="shared" si="35"/>
        <v>157</v>
      </c>
      <c r="P32" s="62">
        <f t="shared" si="35"/>
        <v>157</v>
      </c>
      <c r="Q32" s="62">
        <f t="shared" si="35"/>
        <v>157</v>
      </c>
      <c r="R32" s="62">
        <f t="shared" si="35"/>
        <v>157</v>
      </c>
      <c r="S32" s="62">
        <f t="shared" si="35"/>
        <v>157</v>
      </c>
      <c r="T32" s="62">
        <f t="shared" si="35"/>
        <v>157</v>
      </c>
      <c r="U32" s="62">
        <f t="shared" si="35"/>
        <v>157</v>
      </c>
      <c r="V32" s="62">
        <f t="shared" si="35"/>
        <v>157</v>
      </c>
      <c r="W32" s="62">
        <f t="shared" si="35"/>
        <v>157</v>
      </c>
      <c r="X32" s="62">
        <f t="shared" si="35"/>
        <v>157</v>
      </c>
      <c r="Y32" s="62">
        <f t="shared" si="35"/>
        <v>157</v>
      </c>
      <c r="Z32" s="62">
        <f t="shared" si="35"/>
        <v>157</v>
      </c>
      <c r="AA32" s="62">
        <f t="shared" si="35"/>
        <v>157</v>
      </c>
      <c r="AB32" s="62">
        <f t="shared" si="35"/>
        <v>157</v>
      </c>
      <c r="AC32" s="62">
        <f t="shared" si="35"/>
        <v>157</v>
      </c>
      <c r="AD32" s="62">
        <f t="shared" si="35"/>
        <v>157</v>
      </c>
      <c r="AE32" s="62">
        <f t="shared" si="35"/>
        <v>157</v>
      </c>
      <c r="AF32" s="62">
        <f t="shared" si="35"/>
        <v>157</v>
      </c>
      <c r="AG32" s="62">
        <f t="shared" si="35"/>
        <v>157</v>
      </c>
      <c r="AH32" s="62">
        <f t="shared" si="35"/>
        <v>157</v>
      </c>
      <c r="AI32" s="62">
        <f t="shared" si="35"/>
        <v>157</v>
      </c>
      <c r="AJ32" s="62">
        <f t="shared" si="35"/>
        <v>157</v>
      </c>
      <c r="AK32" s="62">
        <f t="shared" si="35"/>
        <v>157</v>
      </c>
      <c r="AL32" s="62">
        <f t="shared" si="35"/>
        <v>157</v>
      </c>
      <c r="AM32" s="62">
        <f t="shared" si="35"/>
        <v>157</v>
      </c>
    </row>
    <row r="33" spans="1:42" ht="15.75" thickBot="1" x14ac:dyDescent="0.35">
      <c r="A33"/>
      <c r="AO33"/>
      <c r="AP33"/>
    </row>
    <row r="34" spans="1:42" ht="15.75" thickBot="1" x14ac:dyDescent="0.35">
      <c r="B34" s="56" t="str">
        <f>input_names!$E$3</f>
        <v>plug-in</v>
      </c>
      <c r="C34" s="59" t="s">
        <v>30</v>
      </c>
      <c r="D34" s="64">
        <v>6</v>
      </c>
      <c r="E34" s="64">
        <v>6</v>
      </c>
      <c r="F34" s="64">
        <v>20</v>
      </c>
      <c r="G34" s="64">
        <v>19</v>
      </c>
      <c r="H34" s="64">
        <v>27</v>
      </c>
      <c r="I34" s="64">
        <v>27</v>
      </c>
      <c r="J34" s="64">
        <v>24</v>
      </c>
      <c r="K34" s="64">
        <v>24</v>
      </c>
      <c r="L34" s="64">
        <v>26</v>
      </c>
      <c r="M34" s="64">
        <v>28</v>
      </c>
      <c r="N34" s="64">
        <f>N17</f>
        <v>2</v>
      </c>
      <c r="O34" s="52">
        <f t="shared" ref="O34:AM39" si="38">N34</f>
        <v>2</v>
      </c>
      <c r="P34" s="52">
        <f t="shared" si="38"/>
        <v>2</v>
      </c>
      <c r="Q34" s="52">
        <f t="shared" si="38"/>
        <v>2</v>
      </c>
      <c r="R34" s="52">
        <f t="shared" si="38"/>
        <v>2</v>
      </c>
      <c r="S34" s="52">
        <f t="shared" si="38"/>
        <v>2</v>
      </c>
      <c r="T34" s="52">
        <f t="shared" si="38"/>
        <v>2</v>
      </c>
      <c r="U34" s="52">
        <f t="shared" si="38"/>
        <v>2</v>
      </c>
      <c r="V34" s="52">
        <f t="shared" si="38"/>
        <v>2</v>
      </c>
      <c r="W34" s="52">
        <f t="shared" si="38"/>
        <v>2</v>
      </c>
      <c r="X34" s="52">
        <f t="shared" si="38"/>
        <v>2</v>
      </c>
      <c r="Y34" s="52">
        <f t="shared" si="38"/>
        <v>2</v>
      </c>
      <c r="Z34" s="52">
        <f t="shared" si="38"/>
        <v>2</v>
      </c>
      <c r="AA34" s="52">
        <f t="shared" si="38"/>
        <v>2</v>
      </c>
      <c r="AB34" s="52">
        <f t="shared" si="38"/>
        <v>2</v>
      </c>
      <c r="AC34" s="52">
        <f t="shared" si="38"/>
        <v>2</v>
      </c>
      <c r="AD34" s="52">
        <f t="shared" si="38"/>
        <v>2</v>
      </c>
      <c r="AE34" s="52">
        <f t="shared" si="38"/>
        <v>2</v>
      </c>
      <c r="AF34" s="52">
        <f t="shared" si="38"/>
        <v>2</v>
      </c>
      <c r="AG34" s="52">
        <f t="shared" si="38"/>
        <v>2</v>
      </c>
      <c r="AH34" s="52">
        <f t="shared" si="38"/>
        <v>2</v>
      </c>
      <c r="AI34" s="52">
        <f t="shared" si="38"/>
        <v>2</v>
      </c>
      <c r="AJ34" s="52">
        <f t="shared" si="38"/>
        <v>2</v>
      </c>
      <c r="AK34" s="52">
        <f t="shared" si="38"/>
        <v>2</v>
      </c>
      <c r="AL34" s="52">
        <f t="shared" si="38"/>
        <v>2</v>
      </c>
      <c r="AM34" s="52">
        <f t="shared" si="38"/>
        <v>2</v>
      </c>
    </row>
    <row r="35" spans="1:42" ht="15.75" thickBot="1" x14ac:dyDescent="0.35">
      <c r="B35" s="57" t="s">
        <v>41</v>
      </c>
      <c r="C35" s="59" t="s">
        <v>31</v>
      </c>
      <c r="D35" s="64">
        <v>69</v>
      </c>
      <c r="E35" s="64">
        <v>69</v>
      </c>
      <c r="F35" s="64">
        <v>90</v>
      </c>
      <c r="G35" s="64">
        <v>87</v>
      </c>
      <c r="H35" s="64">
        <v>113</v>
      </c>
      <c r="I35" s="64">
        <v>111</v>
      </c>
      <c r="J35" s="64">
        <v>84</v>
      </c>
      <c r="K35" s="64">
        <v>85</v>
      </c>
      <c r="L35" s="64">
        <v>91</v>
      </c>
      <c r="M35" s="64">
        <v>100</v>
      </c>
      <c r="N35" s="64">
        <f t="shared" ref="N35:N37" si="39">N18</f>
        <v>79</v>
      </c>
      <c r="O35" s="52">
        <f t="shared" ref="O35:AA35" si="40">N35</f>
        <v>79</v>
      </c>
      <c r="P35" s="52">
        <f t="shared" si="40"/>
        <v>79</v>
      </c>
      <c r="Q35" s="52">
        <f t="shared" si="40"/>
        <v>79</v>
      </c>
      <c r="R35" s="52">
        <f t="shared" si="40"/>
        <v>79</v>
      </c>
      <c r="S35" s="52">
        <f t="shared" si="40"/>
        <v>79</v>
      </c>
      <c r="T35" s="52">
        <f t="shared" si="40"/>
        <v>79</v>
      </c>
      <c r="U35" s="52">
        <f t="shared" si="40"/>
        <v>79</v>
      </c>
      <c r="V35" s="52">
        <f t="shared" si="40"/>
        <v>79</v>
      </c>
      <c r="W35" s="52">
        <f t="shared" si="40"/>
        <v>79</v>
      </c>
      <c r="X35" s="52">
        <f t="shared" si="40"/>
        <v>79</v>
      </c>
      <c r="Y35" s="52">
        <f t="shared" si="40"/>
        <v>79</v>
      </c>
      <c r="Z35" s="52">
        <f t="shared" si="40"/>
        <v>79</v>
      </c>
      <c r="AA35" s="52">
        <f t="shared" si="40"/>
        <v>79</v>
      </c>
      <c r="AB35" s="52">
        <f t="shared" si="38"/>
        <v>79</v>
      </c>
      <c r="AC35" s="52">
        <f t="shared" si="38"/>
        <v>79</v>
      </c>
      <c r="AD35" s="52">
        <f t="shared" si="38"/>
        <v>79</v>
      </c>
      <c r="AE35" s="52">
        <f t="shared" si="38"/>
        <v>79</v>
      </c>
      <c r="AF35" s="52">
        <f t="shared" si="38"/>
        <v>79</v>
      </c>
      <c r="AG35" s="52">
        <f t="shared" si="38"/>
        <v>79</v>
      </c>
      <c r="AH35" s="52">
        <f t="shared" si="38"/>
        <v>79</v>
      </c>
      <c r="AI35" s="52">
        <f t="shared" si="38"/>
        <v>79</v>
      </c>
      <c r="AJ35" s="52">
        <f t="shared" si="38"/>
        <v>79</v>
      </c>
      <c r="AK35" s="52">
        <f t="shared" si="38"/>
        <v>79</v>
      </c>
      <c r="AL35" s="52">
        <f t="shared" si="38"/>
        <v>79</v>
      </c>
      <c r="AM35" s="52">
        <f t="shared" si="38"/>
        <v>79</v>
      </c>
    </row>
    <row r="36" spans="1:42" ht="15.75" thickBot="1" x14ac:dyDescent="0.35">
      <c r="B36" s="57" t="s">
        <v>42</v>
      </c>
      <c r="C36" s="59" t="s">
        <v>32</v>
      </c>
      <c r="D36" s="64">
        <v>112</v>
      </c>
      <c r="E36" s="64">
        <v>123</v>
      </c>
      <c r="F36" s="64">
        <v>300</v>
      </c>
      <c r="G36" s="64">
        <v>289</v>
      </c>
      <c r="H36" s="64">
        <v>271</v>
      </c>
      <c r="I36" s="64">
        <v>267</v>
      </c>
      <c r="J36" s="64">
        <v>202</v>
      </c>
      <c r="K36" s="64">
        <v>204</v>
      </c>
      <c r="L36" s="64">
        <v>217</v>
      </c>
      <c r="M36" s="64">
        <v>239</v>
      </c>
      <c r="N36" s="64">
        <f t="shared" si="39"/>
        <v>173</v>
      </c>
      <c r="O36" s="52">
        <f t="shared" si="38"/>
        <v>173</v>
      </c>
      <c r="P36" s="52">
        <f t="shared" si="38"/>
        <v>173</v>
      </c>
      <c r="Q36" s="52">
        <f t="shared" si="38"/>
        <v>173</v>
      </c>
      <c r="R36" s="52">
        <f t="shared" si="38"/>
        <v>173</v>
      </c>
      <c r="S36" s="52">
        <f t="shared" si="38"/>
        <v>173</v>
      </c>
      <c r="T36" s="52">
        <f t="shared" si="38"/>
        <v>173</v>
      </c>
      <c r="U36" s="52">
        <f t="shared" si="38"/>
        <v>173</v>
      </c>
      <c r="V36" s="52">
        <f t="shared" si="38"/>
        <v>173</v>
      </c>
      <c r="W36" s="52">
        <f t="shared" si="38"/>
        <v>173</v>
      </c>
      <c r="X36" s="52">
        <f t="shared" si="38"/>
        <v>173</v>
      </c>
      <c r="Y36" s="52">
        <f t="shared" si="38"/>
        <v>173</v>
      </c>
      <c r="Z36" s="52">
        <f t="shared" si="38"/>
        <v>173</v>
      </c>
      <c r="AA36" s="52">
        <f t="shared" si="38"/>
        <v>173</v>
      </c>
      <c r="AB36" s="52">
        <f t="shared" si="38"/>
        <v>173</v>
      </c>
      <c r="AC36" s="52">
        <f t="shared" si="38"/>
        <v>173</v>
      </c>
      <c r="AD36" s="52">
        <f t="shared" si="38"/>
        <v>173</v>
      </c>
      <c r="AE36" s="52">
        <f t="shared" si="38"/>
        <v>173</v>
      </c>
      <c r="AF36" s="52">
        <f t="shared" si="38"/>
        <v>173</v>
      </c>
      <c r="AG36" s="52">
        <f t="shared" si="38"/>
        <v>173</v>
      </c>
      <c r="AH36" s="52">
        <f t="shared" si="38"/>
        <v>173</v>
      </c>
      <c r="AI36" s="52">
        <f t="shared" si="38"/>
        <v>173</v>
      </c>
      <c r="AJ36" s="52">
        <f t="shared" si="38"/>
        <v>173</v>
      </c>
      <c r="AK36" s="52">
        <f t="shared" si="38"/>
        <v>173</v>
      </c>
      <c r="AL36" s="52">
        <f t="shared" si="38"/>
        <v>173</v>
      </c>
      <c r="AM36" s="52">
        <f t="shared" si="38"/>
        <v>173</v>
      </c>
    </row>
    <row r="37" spans="1:42" ht="15.75" thickBot="1" x14ac:dyDescent="0.35">
      <c r="B37" s="57" t="s">
        <v>43</v>
      </c>
      <c r="C37" s="59" t="s">
        <v>33</v>
      </c>
      <c r="D37" s="52">
        <v>217</v>
      </c>
      <c r="E37" s="52">
        <v>238</v>
      </c>
      <c r="F37" s="52">
        <f>F$36</f>
        <v>300</v>
      </c>
      <c r="G37" s="52">
        <f t="shared" ref="G37:J37" si="41">G$36</f>
        <v>289</v>
      </c>
      <c r="H37" s="52">
        <f t="shared" si="41"/>
        <v>271</v>
      </c>
      <c r="I37" s="52">
        <f t="shared" si="41"/>
        <v>267</v>
      </c>
      <c r="J37" s="52">
        <f t="shared" si="41"/>
        <v>202</v>
      </c>
      <c r="K37" s="52">
        <f>K$36</f>
        <v>204</v>
      </c>
      <c r="L37" s="52">
        <f>L36</f>
        <v>217</v>
      </c>
      <c r="M37" s="52">
        <f>M36</f>
        <v>239</v>
      </c>
      <c r="N37" s="64">
        <f t="shared" si="39"/>
        <v>284</v>
      </c>
      <c r="O37" s="52">
        <f t="shared" si="38"/>
        <v>284</v>
      </c>
      <c r="P37" s="52">
        <f t="shared" si="38"/>
        <v>284</v>
      </c>
      <c r="Q37" s="52">
        <f t="shared" si="38"/>
        <v>284</v>
      </c>
      <c r="R37" s="52">
        <f t="shared" si="38"/>
        <v>284</v>
      </c>
      <c r="S37" s="52">
        <f t="shared" si="38"/>
        <v>284</v>
      </c>
      <c r="T37" s="52">
        <f t="shared" si="38"/>
        <v>284</v>
      </c>
      <c r="U37" s="52">
        <f t="shared" si="38"/>
        <v>284</v>
      </c>
      <c r="V37" s="52">
        <f t="shared" si="38"/>
        <v>284</v>
      </c>
      <c r="W37" s="52">
        <f t="shared" si="38"/>
        <v>284</v>
      </c>
      <c r="X37" s="52">
        <f t="shared" si="38"/>
        <v>284</v>
      </c>
      <c r="Y37" s="52">
        <f t="shared" si="38"/>
        <v>284</v>
      </c>
      <c r="Z37" s="52">
        <f t="shared" si="38"/>
        <v>284</v>
      </c>
      <c r="AA37" s="52">
        <f t="shared" si="38"/>
        <v>284</v>
      </c>
      <c r="AB37" s="52">
        <f t="shared" si="38"/>
        <v>284</v>
      </c>
      <c r="AC37" s="52">
        <f t="shared" si="38"/>
        <v>284</v>
      </c>
      <c r="AD37" s="52">
        <f t="shared" si="38"/>
        <v>284</v>
      </c>
      <c r="AE37" s="52">
        <f t="shared" si="38"/>
        <v>284</v>
      </c>
      <c r="AF37" s="52">
        <f t="shared" si="38"/>
        <v>284</v>
      </c>
      <c r="AG37" s="52">
        <f t="shared" si="38"/>
        <v>284</v>
      </c>
      <c r="AH37" s="52">
        <f t="shared" si="38"/>
        <v>284</v>
      </c>
      <c r="AI37" s="52">
        <f t="shared" si="38"/>
        <v>284</v>
      </c>
      <c r="AJ37" s="52">
        <f t="shared" si="38"/>
        <v>284</v>
      </c>
      <c r="AK37" s="52">
        <f t="shared" si="38"/>
        <v>284</v>
      </c>
      <c r="AL37" s="52">
        <f t="shared" si="38"/>
        <v>284</v>
      </c>
      <c r="AM37" s="52">
        <f t="shared" si="38"/>
        <v>284</v>
      </c>
    </row>
    <row r="38" spans="1:42" ht="15.75" thickBot="1" x14ac:dyDescent="0.35">
      <c r="B38" s="58"/>
      <c r="C38" s="60" t="s">
        <v>34</v>
      </c>
      <c r="D38" s="63">
        <v>434</v>
      </c>
      <c r="E38" s="63">
        <v>476</v>
      </c>
      <c r="F38" s="52">
        <f t="shared" ref="F38:J38" si="42">F$36</f>
        <v>300</v>
      </c>
      <c r="G38" s="52">
        <f t="shared" si="42"/>
        <v>289</v>
      </c>
      <c r="H38" s="52">
        <f t="shared" si="42"/>
        <v>271</v>
      </c>
      <c r="I38" s="52">
        <f t="shared" si="42"/>
        <v>267</v>
      </c>
      <c r="J38" s="52">
        <f t="shared" si="42"/>
        <v>202</v>
      </c>
      <c r="K38" s="52">
        <f>K$36</f>
        <v>204</v>
      </c>
      <c r="L38" s="52">
        <f t="shared" ref="L38:M38" si="43">L37</f>
        <v>217</v>
      </c>
      <c r="M38" s="52">
        <f t="shared" si="43"/>
        <v>239</v>
      </c>
      <c r="N38" s="64">
        <f>N21</f>
        <v>568</v>
      </c>
      <c r="O38" s="52">
        <f t="shared" si="38"/>
        <v>568</v>
      </c>
      <c r="P38" s="52">
        <f t="shared" si="38"/>
        <v>568</v>
      </c>
      <c r="Q38" s="52">
        <f t="shared" si="38"/>
        <v>568</v>
      </c>
      <c r="R38" s="52">
        <f t="shared" si="38"/>
        <v>568</v>
      </c>
      <c r="S38" s="52">
        <f t="shared" si="38"/>
        <v>568</v>
      </c>
      <c r="T38" s="52">
        <f t="shared" si="38"/>
        <v>568</v>
      </c>
      <c r="U38" s="52">
        <f t="shared" si="38"/>
        <v>568</v>
      </c>
      <c r="V38" s="52">
        <f t="shared" si="38"/>
        <v>568</v>
      </c>
      <c r="W38" s="52">
        <f t="shared" si="38"/>
        <v>568</v>
      </c>
      <c r="X38" s="52">
        <f t="shared" si="38"/>
        <v>568</v>
      </c>
      <c r="Y38" s="52">
        <f t="shared" si="38"/>
        <v>568</v>
      </c>
      <c r="Z38" s="52">
        <f t="shared" si="38"/>
        <v>568</v>
      </c>
      <c r="AA38" s="52">
        <f t="shared" si="38"/>
        <v>568</v>
      </c>
      <c r="AB38" s="52">
        <f t="shared" si="38"/>
        <v>568</v>
      </c>
      <c r="AC38" s="52">
        <f t="shared" si="38"/>
        <v>568</v>
      </c>
      <c r="AD38" s="52">
        <f t="shared" si="38"/>
        <v>568</v>
      </c>
      <c r="AE38" s="52">
        <f t="shared" si="38"/>
        <v>568</v>
      </c>
      <c r="AF38" s="52">
        <f t="shared" si="38"/>
        <v>568</v>
      </c>
      <c r="AG38" s="52">
        <f t="shared" si="38"/>
        <v>568</v>
      </c>
      <c r="AH38" s="52">
        <f t="shared" si="38"/>
        <v>568</v>
      </c>
      <c r="AI38" s="52">
        <f t="shared" si="38"/>
        <v>568</v>
      </c>
      <c r="AJ38" s="52">
        <f t="shared" si="38"/>
        <v>568</v>
      </c>
      <c r="AK38" s="52">
        <f t="shared" si="38"/>
        <v>568</v>
      </c>
      <c r="AL38" s="52">
        <f t="shared" si="38"/>
        <v>568</v>
      </c>
      <c r="AM38" s="52">
        <f t="shared" si="38"/>
        <v>568</v>
      </c>
    </row>
    <row r="39" spans="1:42" ht="15.75" thickBot="1" x14ac:dyDescent="0.35">
      <c r="B39" s="60" t="s">
        <v>1467</v>
      </c>
      <c r="C39" s="62"/>
      <c r="D39" s="52">
        <v>0</v>
      </c>
      <c r="E39" s="52">
        <v>0</v>
      </c>
      <c r="F39" s="52">
        <v>0</v>
      </c>
      <c r="G39" s="52">
        <v>0</v>
      </c>
      <c r="H39" s="52">
        <v>0</v>
      </c>
      <c r="I39" s="52">
        <v>0</v>
      </c>
      <c r="J39" s="52">
        <v>0</v>
      </c>
      <c r="K39" s="52">
        <v>0</v>
      </c>
      <c r="L39" s="52">
        <v>0</v>
      </c>
      <c r="M39" s="52">
        <v>0</v>
      </c>
      <c r="N39" s="52">
        <f>N26</f>
        <v>667</v>
      </c>
      <c r="O39" s="52">
        <f t="shared" si="38"/>
        <v>667</v>
      </c>
      <c r="P39" s="52">
        <f t="shared" si="38"/>
        <v>667</v>
      </c>
      <c r="Q39" s="52">
        <f t="shared" si="38"/>
        <v>667</v>
      </c>
      <c r="R39" s="52">
        <f t="shared" si="38"/>
        <v>667</v>
      </c>
      <c r="S39" s="52">
        <f t="shared" si="38"/>
        <v>667</v>
      </c>
      <c r="T39" s="52">
        <f t="shared" si="38"/>
        <v>667</v>
      </c>
      <c r="U39" s="52">
        <f t="shared" si="38"/>
        <v>667</v>
      </c>
      <c r="V39" s="52">
        <f t="shared" si="38"/>
        <v>667</v>
      </c>
      <c r="W39" s="52">
        <f t="shared" si="38"/>
        <v>667</v>
      </c>
      <c r="X39" s="52">
        <f t="shared" si="38"/>
        <v>667</v>
      </c>
      <c r="Y39" s="52">
        <f t="shared" si="38"/>
        <v>667</v>
      </c>
      <c r="Z39" s="52">
        <f t="shared" si="38"/>
        <v>667</v>
      </c>
      <c r="AA39" s="52">
        <f t="shared" si="38"/>
        <v>667</v>
      </c>
      <c r="AB39" s="52">
        <f t="shared" si="38"/>
        <v>667</v>
      </c>
      <c r="AC39" s="52">
        <f t="shared" si="38"/>
        <v>667</v>
      </c>
      <c r="AD39" s="52">
        <f t="shared" si="38"/>
        <v>667</v>
      </c>
      <c r="AE39" s="52">
        <f t="shared" si="38"/>
        <v>667</v>
      </c>
      <c r="AF39" s="52">
        <f t="shared" si="38"/>
        <v>667</v>
      </c>
      <c r="AG39" s="52">
        <f t="shared" si="38"/>
        <v>667</v>
      </c>
      <c r="AH39" s="52">
        <f t="shared" si="38"/>
        <v>667</v>
      </c>
      <c r="AI39" s="52">
        <f t="shared" si="38"/>
        <v>667</v>
      </c>
      <c r="AJ39" s="52">
        <f t="shared" si="38"/>
        <v>667</v>
      </c>
      <c r="AK39" s="52">
        <f t="shared" si="38"/>
        <v>667</v>
      </c>
      <c r="AL39" s="52">
        <f t="shared" si="38"/>
        <v>667</v>
      </c>
      <c r="AM39" s="52">
        <f t="shared" si="38"/>
        <v>667</v>
      </c>
    </row>
    <row r="40" spans="1:42" ht="15.75" thickBot="1" x14ac:dyDescent="0.3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row>
    <row r="41" spans="1:42" ht="15.75" thickBot="1" x14ac:dyDescent="0.35">
      <c r="B41" s="56" t="str">
        <f>input_names!$D$3</f>
        <v>Elektrisch</v>
      </c>
      <c r="C41" s="59" t="s">
        <v>1346</v>
      </c>
      <c r="D41" s="64">
        <v>0</v>
      </c>
      <c r="E41" s="64">
        <v>0</v>
      </c>
      <c r="F41" s="64">
        <v>0</v>
      </c>
      <c r="G41" s="64">
        <v>0</v>
      </c>
      <c r="H41" s="64">
        <v>0</v>
      </c>
      <c r="I41" s="64">
        <v>0</v>
      </c>
      <c r="J41" s="64">
        <v>0</v>
      </c>
      <c r="K41" s="64">
        <v>0</v>
      </c>
      <c r="L41" s="64">
        <v>0</v>
      </c>
      <c r="M41" s="64">
        <v>0</v>
      </c>
      <c r="N41" s="64">
        <v>0</v>
      </c>
      <c r="O41" s="52">
        <v>0</v>
      </c>
      <c r="P41" s="52">
        <v>0</v>
      </c>
      <c r="Q41" s="52">
        <v>0</v>
      </c>
      <c r="R41" s="52">
        <v>0</v>
      </c>
      <c r="S41" s="52">
        <v>0</v>
      </c>
      <c r="T41" s="52">
        <v>0</v>
      </c>
      <c r="U41" s="52">
        <v>0</v>
      </c>
      <c r="V41" s="52">
        <v>0</v>
      </c>
      <c r="W41" s="52">
        <v>0</v>
      </c>
      <c r="X41" s="52">
        <v>0</v>
      </c>
      <c r="Y41" s="52">
        <v>0</v>
      </c>
      <c r="Z41" s="52">
        <v>0</v>
      </c>
      <c r="AA41" s="52">
        <v>0</v>
      </c>
      <c r="AB41" s="52">
        <v>0</v>
      </c>
      <c r="AC41" s="52">
        <v>0</v>
      </c>
      <c r="AD41" s="52">
        <v>0</v>
      </c>
      <c r="AE41" s="52">
        <v>0</v>
      </c>
      <c r="AF41" s="52">
        <v>0</v>
      </c>
      <c r="AG41" s="52">
        <v>0</v>
      </c>
      <c r="AH41" s="52">
        <v>0</v>
      </c>
      <c r="AI41" s="52">
        <v>0</v>
      </c>
      <c r="AJ41" s="52">
        <v>0</v>
      </c>
      <c r="AK41" s="52">
        <v>0</v>
      </c>
      <c r="AL41" s="52">
        <v>0</v>
      </c>
      <c r="AM41" s="52">
        <v>0</v>
      </c>
    </row>
    <row r="42" spans="1:42" ht="15.75" thickBot="1" x14ac:dyDescent="0.35">
      <c r="B42" s="60"/>
      <c r="C42" s="62" t="s">
        <v>1466</v>
      </c>
      <c r="D42" s="64">
        <v>0</v>
      </c>
      <c r="E42" s="64">
        <v>0</v>
      </c>
      <c r="F42" s="64">
        <v>0</v>
      </c>
      <c r="G42" s="64">
        <v>0</v>
      </c>
      <c r="H42" s="64">
        <v>0</v>
      </c>
      <c r="I42" s="64">
        <v>0</v>
      </c>
      <c r="J42" s="64">
        <v>0</v>
      </c>
      <c r="K42" s="64">
        <v>0</v>
      </c>
      <c r="L42" s="64">
        <v>0</v>
      </c>
      <c r="M42" s="64">
        <f t="shared" ref="M42" si="44">L42</f>
        <v>0</v>
      </c>
      <c r="N42" s="64">
        <f>N26</f>
        <v>667</v>
      </c>
      <c r="O42" s="52">
        <f t="shared" ref="O42" si="45">N42</f>
        <v>667</v>
      </c>
      <c r="P42" s="52">
        <f t="shared" ref="P42" si="46">O42</f>
        <v>667</v>
      </c>
      <c r="Q42" s="52">
        <f t="shared" ref="Q42" si="47">P42</f>
        <v>667</v>
      </c>
      <c r="R42" s="52">
        <f t="shared" ref="R42" si="48">Q42</f>
        <v>667</v>
      </c>
      <c r="S42" s="52">
        <f t="shared" ref="S42" si="49">R42</f>
        <v>667</v>
      </c>
      <c r="T42" s="52">
        <f t="shared" ref="T42" si="50">S42</f>
        <v>667</v>
      </c>
      <c r="U42" s="52">
        <f t="shared" ref="U42" si="51">T42</f>
        <v>667</v>
      </c>
      <c r="V42" s="52">
        <f t="shared" ref="V42" si="52">U42</f>
        <v>667</v>
      </c>
      <c r="W42" s="52">
        <f t="shared" ref="W42" si="53">V42</f>
        <v>667</v>
      </c>
      <c r="X42" s="52">
        <f t="shared" ref="X42" si="54">W42</f>
        <v>667</v>
      </c>
      <c r="Y42" s="52">
        <f t="shared" ref="Y42" si="55">X42</f>
        <v>667</v>
      </c>
      <c r="Z42" s="52">
        <f t="shared" ref="Z42" si="56">Y42</f>
        <v>667</v>
      </c>
      <c r="AA42" s="52">
        <f t="shared" ref="AA42" si="57">Z42</f>
        <v>667</v>
      </c>
      <c r="AB42" s="52">
        <f t="shared" ref="AB42" si="58">AA42</f>
        <v>667</v>
      </c>
      <c r="AC42" s="52">
        <f t="shared" ref="AC42" si="59">AB42</f>
        <v>667</v>
      </c>
      <c r="AD42" s="52">
        <f t="shared" ref="AD42" si="60">AC42</f>
        <v>667</v>
      </c>
      <c r="AE42" s="52">
        <f t="shared" ref="AE42" si="61">AD42</f>
        <v>667</v>
      </c>
      <c r="AF42" s="52">
        <f t="shared" ref="AF42" si="62">AE42</f>
        <v>667</v>
      </c>
      <c r="AG42" s="52">
        <f t="shared" ref="AG42" si="63">AF42</f>
        <v>667</v>
      </c>
      <c r="AH42" s="52">
        <f t="shared" ref="AH42" si="64">AG42</f>
        <v>667</v>
      </c>
      <c r="AI42" s="52">
        <f t="shared" ref="AI42" si="65">AH42</f>
        <v>667</v>
      </c>
      <c r="AJ42" s="52">
        <f t="shared" ref="AJ42" si="66">AI42</f>
        <v>667</v>
      </c>
      <c r="AK42" s="52">
        <f t="shared" ref="AK42" si="67">AJ42</f>
        <v>667</v>
      </c>
      <c r="AL42" s="52">
        <f t="shared" ref="AL42" si="68">AK42</f>
        <v>667</v>
      </c>
      <c r="AM42" s="52">
        <f t="shared" ref="AM42" si="69">AL42</f>
        <v>667</v>
      </c>
    </row>
    <row r="43" spans="1:42" ht="15.75" thickBot="1" x14ac:dyDescent="0.3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row>
    <row r="44" spans="1:42" ht="15.75" thickBot="1" x14ac:dyDescent="0.35">
      <c r="B44" s="50" t="s">
        <v>39</v>
      </c>
      <c r="C44" s="54" t="s">
        <v>43</v>
      </c>
      <c r="D44" s="51">
        <f>D4</f>
        <v>2015</v>
      </c>
      <c r="E44" s="51">
        <f t="shared" ref="E44:AM44" si="70">E4</f>
        <v>2016</v>
      </c>
      <c r="F44" s="51">
        <f t="shared" si="70"/>
        <v>2017</v>
      </c>
      <c r="G44" s="51">
        <f t="shared" si="70"/>
        <v>2018</v>
      </c>
      <c r="H44" s="51">
        <f t="shared" si="70"/>
        <v>2019</v>
      </c>
      <c r="I44" s="51">
        <f t="shared" si="70"/>
        <v>2020</v>
      </c>
      <c r="J44" s="51">
        <f t="shared" si="70"/>
        <v>2021</v>
      </c>
      <c r="K44" s="51">
        <f t="shared" si="70"/>
        <v>2022</v>
      </c>
      <c r="L44" s="51">
        <f t="shared" si="70"/>
        <v>2023</v>
      </c>
      <c r="M44" s="51">
        <f t="shared" si="70"/>
        <v>2024</v>
      </c>
      <c r="N44" s="51">
        <f t="shared" si="70"/>
        <v>2025</v>
      </c>
      <c r="O44" s="51">
        <f t="shared" si="70"/>
        <v>2026</v>
      </c>
      <c r="P44" s="51">
        <f t="shared" si="70"/>
        <v>2027</v>
      </c>
      <c r="Q44" s="51">
        <f t="shared" si="70"/>
        <v>2028</v>
      </c>
      <c r="R44" s="51">
        <f t="shared" si="70"/>
        <v>2029</v>
      </c>
      <c r="S44" s="51">
        <f t="shared" si="70"/>
        <v>2030</v>
      </c>
      <c r="T44" s="51">
        <f t="shared" si="70"/>
        <v>2031</v>
      </c>
      <c r="U44" s="51">
        <f t="shared" si="70"/>
        <v>2032</v>
      </c>
      <c r="V44" s="51">
        <f t="shared" si="70"/>
        <v>2033</v>
      </c>
      <c r="W44" s="51">
        <f t="shared" si="70"/>
        <v>2034</v>
      </c>
      <c r="X44" s="51">
        <f t="shared" si="70"/>
        <v>2035</v>
      </c>
      <c r="Y44" s="51">
        <f t="shared" si="70"/>
        <v>2036</v>
      </c>
      <c r="Z44" s="51">
        <f t="shared" si="70"/>
        <v>2037</v>
      </c>
      <c r="AA44" s="51">
        <f t="shared" si="70"/>
        <v>2038</v>
      </c>
      <c r="AB44" s="51">
        <f t="shared" si="70"/>
        <v>2039</v>
      </c>
      <c r="AC44" s="51">
        <f t="shared" si="70"/>
        <v>2040</v>
      </c>
      <c r="AD44" s="51">
        <f t="shared" si="70"/>
        <v>2041</v>
      </c>
      <c r="AE44" s="51">
        <f t="shared" si="70"/>
        <v>2042</v>
      </c>
      <c r="AF44" s="51">
        <f t="shared" si="70"/>
        <v>2043</v>
      </c>
      <c r="AG44" s="51">
        <f t="shared" si="70"/>
        <v>2044</v>
      </c>
      <c r="AH44" s="51">
        <f t="shared" si="70"/>
        <v>2045</v>
      </c>
      <c r="AI44" s="51">
        <f t="shared" si="70"/>
        <v>2046</v>
      </c>
      <c r="AJ44" s="51">
        <f t="shared" si="70"/>
        <v>2047</v>
      </c>
      <c r="AK44" s="51">
        <f t="shared" si="70"/>
        <v>2048</v>
      </c>
      <c r="AL44" s="51">
        <f t="shared" si="70"/>
        <v>2049</v>
      </c>
      <c r="AM44" s="51">
        <f t="shared" si="70"/>
        <v>2050</v>
      </c>
    </row>
    <row r="45" spans="1:42" ht="15.75" thickBot="1" x14ac:dyDescent="0.35">
      <c r="B45" s="56" t="str">
        <f>input_names!$D$3</f>
        <v>Elektrisch</v>
      </c>
      <c r="C45" s="61">
        <v>0</v>
      </c>
      <c r="D45" s="270">
        <f>D$42+D$41*C$45</f>
        <v>0</v>
      </c>
      <c r="E45" s="270">
        <f t="shared" ref="E45:M45" si="71">E$42+E$41*D$45</f>
        <v>0</v>
      </c>
      <c r="F45" s="270">
        <f t="shared" si="71"/>
        <v>0</v>
      </c>
      <c r="G45" s="270">
        <f t="shared" si="71"/>
        <v>0</v>
      </c>
      <c r="H45" s="270">
        <f t="shared" si="71"/>
        <v>0</v>
      </c>
      <c r="I45" s="270">
        <f t="shared" si="71"/>
        <v>0</v>
      </c>
      <c r="J45" s="270">
        <f t="shared" si="71"/>
        <v>0</v>
      </c>
      <c r="K45" s="270">
        <f t="shared" si="71"/>
        <v>0</v>
      </c>
      <c r="L45" s="270">
        <f t="shared" si="71"/>
        <v>0</v>
      </c>
      <c r="M45" s="270">
        <f t="shared" si="71"/>
        <v>0</v>
      </c>
      <c r="N45" s="270">
        <f>N26</f>
        <v>667</v>
      </c>
      <c r="O45" s="270">
        <f>N45</f>
        <v>667</v>
      </c>
      <c r="P45" s="270">
        <f t="shared" ref="P45:AM45" si="72">O45</f>
        <v>667</v>
      </c>
      <c r="Q45" s="270">
        <f t="shared" si="72"/>
        <v>667</v>
      </c>
      <c r="R45" s="270">
        <f t="shared" si="72"/>
        <v>667</v>
      </c>
      <c r="S45" s="270">
        <f t="shared" si="72"/>
        <v>667</v>
      </c>
      <c r="T45" s="270">
        <f t="shared" si="72"/>
        <v>667</v>
      </c>
      <c r="U45" s="270">
        <f t="shared" si="72"/>
        <v>667</v>
      </c>
      <c r="V45" s="270">
        <f t="shared" si="72"/>
        <v>667</v>
      </c>
      <c r="W45" s="270">
        <f t="shared" si="72"/>
        <v>667</v>
      </c>
      <c r="X45" s="270">
        <f t="shared" si="72"/>
        <v>667</v>
      </c>
      <c r="Y45" s="270">
        <f t="shared" si="72"/>
        <v>667</v>
      </c>
      <c r="Z45" s="270">
        <f t="shared" si="72"/>
        <v>667</v>
      </c>
      <c r="AA45" s="270">
        <f t="shared" si="72"/>
        <v>667</v>
      </c>
      <c r="AB45" s="270">
        <f t="shared" si="72"/>
        <v>667</v>
      </c>
      <c r="AC45" s="270">
        <f t="shared" si="72"/>
        <v>667</v>
      </c>
      <c r="AD45" s="270">
        <f t="shared" si="72"/>
        <v>667</v>
      </c>
      <c r="AE45" s="270">
        <f t="shared" si="72"/>
        <v>667</v>
      </c>
      <c r="AF45" s="270">
        <f t="shared" si="72"/>
        <v>667</v>
      </c>
      <c r="AG45" s="270">
        <f t="shared" si="72"/>
        <v>667</v>
      </c>
      <c r="AH45" s="270">
        <f t="shared" si="72"/>
        <v>667</v>
      </c>
      <c r="AI45" s="270">
        <f t="shared" si="72"/>
        <v>667</v>
      </c>
      <c r="AJ45" s="270">
        <f t="shared" si="72"/>
        <v>667</v>
      </c>
      <c r="AK45" s="270">
        <f t="shared" si="72"/>
        <v>667</v>
      </c>
      <c r="AL45" s="270">
        <f t="shared" si="72"/>
        <v>667</v>
      </c>
      <c r="AM45" s="270">
        <f t="shared" si="72"/>
        <v>667</v>
      </c>
    </row>
    <row r="46" spans="1:42" ht="15.75" thickBot="1" x14ac:dyDescent="0.3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row>
    <row r="47" spans="1:42" ht="15.75" thickBot="1" x14ac:dyDescent="0.35">
      <c r="B47" s="50" t="s">
        <v>39</v>
      </c>
      <c r="C47" s="54" t="s">
        <v>43</v>
      </c>
      <c r="D47" s="51">
        <f>D4</f>
        <v>2015</v>
      </c>
      <c r="E47" s="51">
        <f t="shared" ref="E47:AM47" si="73">E4</f>
        <v>2016</v>
      </c>
      <c r="F47" s="51">
        <f t="shared" si="73"/>
        <v>2017</v>
      </c>
      <c r="G47" s="51">
        <f t="shared" si="73"/>
        <v>2018</v>
      </c>
      <c r="H47" s="51">
        <f t="shared" si="73"/>
        <v>2019</v>
      </c>
      <c r="I47" s="51">
        <f t="shared" si="73"/>
        <v>2020</v>
      </c>
      <c r="J47" s="51">
        <f t="shared" si="73"/>
        <v>2021</v>
      </c>
      <c r="K47" s="51">
        <f t="shared" si="73"/>
        <v>2022</v>
      </c>
      <c r="L47" s="51">
        <f t="shared" si="73"/>
        <v>2023</v>
      </c>
      <c r="M47" s="51">
        <f t="shared" si="73"/>
        <v>2024</v>
      </c>
      <c r="N47" s="51">
        <f t="shared" si="73"/>
        <v>2025</v>
      </c>
      <c r="O47" s="51">
        <f t="shared" si="73"/>
        <v>2026</v>
      </c>
      <c r="P47" s="51">
        <f t="shared" si="73"/>
        <v>2027</v>
      </c>
      <c r="Q47" s="51">
        <f t="shared" si="73"/>
        <v>2028</v>
      </c>
      <c r="R47" s="51">
        <f t="shared" si="73"/>
        <v>2029</v>
      </c>
      <c r="S47" s="51">
        <f t="shared" si="73"/>
        <v>2030</v>
      </c>
      <c r="T47" s="51">
        <f t="shared" si="73"/>
        <v>2031</v>
      </c>
      <c r="U47" s="51">
        <f t="shared" si="73"/>
        <v>2032</v>
      </c>
      <c r="V47" s="51">
        <f t="shared" si="73"/>
        <v>2033</v>
      </c>
      <c r="W47" s="51">
        <f t="shared" si="73"/>
        <v>2034</v>
      </c>
      <c r="X47" s="51">
        <f t="shared" si="73"/>
        <v>2035</v>
      </c>
      <c r="Y47" s="51">
        <f t="shared" si="73"/>
        <v>2036</v>
      </c>
      <c r="Z47" s="51">
        <f t="shared" si="73"/>
        <v>2037</v>
      </c>
      <c r="AA47" s="51">
        <f t="shared" si="73"/>
        <v>2038</v>
      </c>
      <c r="AB47" s="51">
        <f t="shared" si="73"/>
        <v>2039</v>
      </c>
      <c r="AC47" s="51">
        <f t="shared" si="73"/>
        <v>2040</v>
      </c>
      <c r="AD47" s="51">
        <f t="shared" si="73"/>
        <v>2041</v>
      </c>
      <c r="AE47" s="51">
        <f t="shared" si="73"/>
        <v>2042</v>
      </c>
      <c r="AF47" s="51">
        <f t="shared" si="73"/>
        <v>2043</v>
      </c>
      <c r="AG47" s="51">
        <f t="shared" si="73"/>
        <v>2044</v>
      </c>
      <c r="AH47" s="51">
        <f t="shared" si="73"/>
        <v>2045</v>
      </c>
      <c r="AI47" s="51">
        <f t="shared" si="73"/>
        <v>2046</v>
      </c>
      <c r="AJ47" s="51">
        <f t="shared" si="73"/>
        <v>2047</v>
      </c>
      <c r="AK47" s="51">
        <f t="shared" si="73"/>
        <v>2048</v>
      </c>
      <c r="AL47" s="51">
        <f t="shared" si="73"/>
        <v>2049</v>
      </c>
      <c r="AM47" s="51">
        <f t="shared" si="73"/>
        <v>2050</v>
      </c>
    </row>
    <row r="48" spans="1:42" ht="15.75" thickBot="1" x14ac:dyDescent="0.35">
      <c r="B48" s="56" t="str">
        <f>input_names!$B$3</f>
        <v>benzine</v>
      </c>
      <c r="C48" s="61">
        <v>0</v>
      </c>
      <c r="D48" s="270">
        <f t="shared" ref="D48:AE63" si="74">+MIN(MAX(0,$C48-D$11),D$12-D$11)*D$17
+MIN(MAX(0,$C48-D$12),D$13-D$12)*D$18
+MIN(MAX(0,$C48-D$13),D$14-D$13)*D$19
+MIN(MAX(0,$C48-D$14),D$15-D$14)*D$20
+MAX(0,$C48-D$15)*D$21
+D$26</f>
        <v>175</v>
      </c>
      <c r="E48" s="270">
        <f t="shared" si="74"/>
        <v>175</v>
      </c>
      <c r="F48" s="270">
        <f t="shared" si="74"/>
        <v>353</v>
      </c>
      <c r="G48" s="270">
        <f t="shared" si="74"/>
        <v>356</v>
      </c>
      <c r="H48" s="270">
        <f t="shared" si="74"/>
        <v>360</v>
      </c>
      <c r="I48" s="270">
        <f>+MIN(MAX(0,$C48-I$11),I$12-I$11)*I$17
+MIN(MAX(0,$C48-I$12),I$13-I$12)*I$18
+MIN(MAX(0,$C48-I$13),I$14-I$13)*I$19
+MIN(MAX(0,$C48-I$14),I$15-I$14)*I$20
+MAX(0,$C48-I$15)*I$21
+I$26</f>
        <v>366</v>
      </c>
      <c r="J48" s="270">
        <f t="shared" si="74"/>
        <v>372</v>
      </c>
      <c r="K48" s="270">
        <f t="shared" si="74"/>
        <v>376</v>
      </c>
      <c r="L48" s="270">
        <f t="shared" si="74"/>
        <v>400</v>
      </c>
      <c r="M48" s="270">
        <f t="shared" si="74"/>
        <v>440</v>
      </c>
      <c r="N48" s="270">
        <f t="shared" si="74"/>
        <v>667</v>
      </c>
      <c r="O48" s="270">
        <f t="shared" si="74"/>
        <v>667</v>
      </c>
      <c r="P48" s="270">
        <f t="shared" si="74"/>
        <v>667</v>
      </c>
      <c r="Q48" s="270">
        <f t="shared" si="74"/>
        <v>667</v>
      </c>
      <c r="R48" s="270">
        <f t="shared" si="74"/>
        <v>667</v>
      </c>
      <c r="S48" s="270">
        <f t="shared" ref="S48:AC63" si="75">+MIN(MAX(0,$C48-S$11),S$12-S$11)*S$17
+MIN(MAX(0,$C48-S$12),S$13-S$12)*S$18
+MIN(MAX(0,$C48-S$13),S$14-S$13)*S$19
+MIN(MAX(0,$C48-S$14),S$15-S$14)*S$20
+MAX(0,$C48-S$15)*S$21
+S$26</f>
        <v>667</v>
      </c>
      <c r="T48" s="270">
        <f t="shared" si="75"/>
        <v>667</v>
      </c>
      <c r="U48" s="270">
        <f t="shared" si="75"/>
        <v>667</v>
      </c>
      <c r="V48" s="270">
        <f t="shared" si="75"/>
        <v>667</v>
      </c>
      <c r="W48" s="270">
        <f t="shared" si="75"/>
        <v>667</v>
      </c>
      <c r="X48" s="270">
        <f t="shared" si="75"/>
        <v>667</v>
      </c>
      <c r="Y48" s="270">
        <f>+MIN(MAX(0,$C48-Y$11),Y$12-Y$11)*Y$17
+MIN(MAX(0,$C48-Y$12),Y$13-Y$12)*Y$18
+MIN(MAX(0,$C48-Y$13),Y$14-Y$13)*Y$19
+MIN(MAX(0,$C48-Y$14),Y$15-Y$14)*Y$20
+MAX(0,$C48-Y$15)*Y$21
+Y$26</f>
        <v>667</v>
      </c>
      <c r="Z48" s="270">
        <f t="shared" si="75"/>
        <v>667</v>
      </c>
      <c r="AA48" s="270">
        <f t="shared" si="75"/>
        <v>667</v>
      </c>
      <c r="AB48" s="270">
        <f t="shared" si="75"/>
        <v>667</v>
      </c>
      <c r="AC48" s="270">
        <f t="shared" si="75"/>
        <v>667</v>
      </c>
      <c r="AD48" s="270">
        <f t="shared" si="74"/>
        <v>667</v>
      </c>
      <c r="AE48" s="270">
        <f t="shared" si="74"/>
        <v>667</v>
      </c>
      <c r="AF48" s="270">
        <f t="shared" ref="AF48:AM63" si="76">+MIN(MAX(0,$C48-AF$11),AF$12-AF$11)*AF$17
+MIN(MAX(0,$C48-AF$12),AF$13-AF$12)*AF$18
+MIN(MAX(0,$C48-AF$13),AF$14-AF$13)*AF$19
+MIN(MAX(0,$C48-AF$14),AF$15-AF$14)*AF$20
+MAX(0,$C48-AF$15)*AF$21
+AF$26</f>
        <v>667</v>
      </c>
      <c r="AG48" s="270">
        <f t="shared" si="76"/>
        <v>667</v>
      </c>
      <c r="AH48" s="270">
        <f t="shared" si="76"/>
        <v>667</v>
      </c>
      <c r="AI48" s="270">
        <f t="shared" si="76"/>
        <v>667</v>
      </c>
      <c r="AJ48" s="270">
        <f>+MIN(MAX(0,$C48-AJ$11),AJ$12-AJ$11)*AJ$17
+MIN(MAX(0,$C48-AJ$12),AJ$13-AJ$12)*AJ$18
+MIN(MAX(0,$C48-AJ$13),AJ$14-AJ$13)*AJ$19
+MIN(MAX(0,$C48-AJ$14),AJ$15-AJ$14)*AJ$20
+MAX(0,$C48-AJ$15)*AJ$21
+AJ$26</f>
        <v>667</v>
      </c>
      <c r="AK48" s="270">
        <f t="shared" si="76"/>
        <v>667</v>
      </c>
      <c r="AL48" s="270">
        <f t="shared" si="76"/>
        <v>667</v>
      </c>
      <c r="AM48" s="270">
        <f t="shared" si="76"/>
        <v>667</v>
      </c>
    </row>
    <row r="49" spans="2:39" ht="15.75" thickBot="1" x14ac:dyDescent="0.35">
      <c r="B49" s="56" t="str">
        <f>input_names!$B$3</f>
        <v>benzine</v>
      </c>
      <c r="C49" s="61">
        <v>1</v>
      </c>
      <c r="D49" s="270">
        <f t="shared" si="74"/>
        <v>181</v>
      </c>
      <c r="E49" s="270">
        <f t="shared" si="74"/>
        <v>181</v>
      </c>
      <c r="F49" s="270">
        <f t="shared" si="74"/>
        <v>355</v>
      </c>
      <c r="G49" s="270">
        <f t="shared" si="74"/>
        <v>358</v>
      </c>
      <c r="H49" s="270">
        <f t="shared" si="74"/>
        <v>362</v>
      </c>
      <c r="I49" s="270">
        <f t="shared" si="74"/>
        <v>368</v>
      </c>
      <c r="J49" s="270">
        <f t="shared" si="74"/>
        <v>373</v>
      </c>
      <c r="K49" s="270">
        <f t="shared" si="74"/>
        <v>377</v>
      </c>
      <c r="L49" s="270">
        <f t="shared" si="74"/>
        <v>402</v>
      </c>
      <c r="M49" s="270">
        <f t="shared" si="74"/>
        <v>442</v>
      </c>
      <c r="N49" s="270">
        <f t="shared" si="74"/>
        <v>669</v>
      </c>
      <c r="O49" s="270">
        <f t="shared" si="74"/>
        <v>669</v>
      </c>
      <c r="P49" s="270">
        <f t="shared" si="74"/>
        <v>669</v>
      </c>
      <c r="Q49" s="270">
        <f t="shared" si="74"/>
        <v>669</v>
      </c>
      <c r="R49" s="270">
        <f t="shared" si="74"/>
        <v>669</v>
      </c>
      <c r="S49" s="270">
        <f t="shared" si="75"/>
        <v>669</v>
      </c>
      <c r="T49" s="270">
        <f t="shared" si="75"/>
        <v>669</v>
      </c>
      <c r="U49" s="270">
        <f t="shared" si="75"/>
        <v>669</v>
      </c>
      <c r="V49" s="270">
        <f t="shared" si="75"/>
        <v>669</v>
      </c>
      <c r="W49" s="270">
        <f t="shared" si="75"/>
        <v>669</v>
      </c>
      <c r="X49" s="270">
        <f t="shared" si="75"/>
        <v>669</v>
      </c>
      <c r="Y49" s="270">
        <f t="shared" si="75"/>
        <v>669</v>
      </c>
      <c r="Z49" s="270">
        <f t="shared" si="75"/>
        <v>669</v>
      </c>
      <c r="AA49" s="270">
        <f t="shared" si="75"/>
        <v>669</v>
      </c>
      <c r="AB49" s="270">
        <f t="shared" si="75"/>
        <v>669</v>
      </c>
      <c r="AC49" s="270">
        <f t="shared" si="75"/>
        <v>669</v>
      </c>
      <c r="AD49" s="270">
        <f t="shared" si="74"/>
        <v>669</v>
      </c>
      <c r="AE49" s="270">
        <f t="shared" si="74"/>
        <v>669</v>
      </c>
      <c r="AF49" s="270">
        <f t="shared" si="76"/>
        <v>669</v>
      </c>
      <c r="AG49" s="270">
        <f t="shared" si="76"/>
        <v>669</v>
      </c>
      <c r="AH49" s="270">
        <f t="shared" si="76"/>
        <v>669</v>
      </c>
      <c r="AI49" s="270">
        <f t="shared" si="76"/>
        <v>669</v>
      </c>
      <c r="AJ49" s="270">
        <f t="shared" si="76"/>
        <v>669</v>
      </c>
      <c r="AK49" s="270">
        <f t="shared" si="76"/>
        <v>669</v>
      </c>
      <c r="AL49" s="270">
        <f t="shared" si="76"/>
        <v>669</v>
      </c>
      <c r="AM49" s="270">
        <f t="shared" si="76"/>
        <v>669</v>
      </c>
    </row>
    <row r="50" spans="2:39" ht="15.75" thickBot="1" x14ac:dyDescent="0.35">
      <c r="B50" s="56" t="str">
        <f>input_names!$B$3</f>
        <v>benzine</v>
      </c>
      <c r="C50" s="61">
        <v>2</v>
      </c>
      <c r="D50" s="270">
        <f t="shared" si="74"/>
        <v>187</v>
      </c>
      <c r="E50" s="270">
        <f t="shared" si="74"/>
        <v>187</v>
      </c>
      <c r="F50" s="270">
        <f t="shared" si="74"/>
        <v>357</v>
      </c>
      <c r="G50" s="270">
        <f t="shared" si="74"/>
        <v>360</v>
      </c>
      <c r="H50" s="270">
        <f t="shared" si="74"/>
        <v>364</v>
      </c>
      <c r="I50" s="270">
        <f t="shared" si="74"/>
        <v>370</v>
      </c>
      <c r="J50" s="270">
        <f t="shared" si="74"/>
        <v>374</v>
      </c>
      <c r="K50" s="270">
        <f t="shared" si="74"/>
        <v>378</v>
      </c>
      <c r="L50" s="270">
        <f t="shared" si="74"/>
        <v>404</v>
      </c>
      <c r="M50" s="270">
        <f t="shared" si="74"/>
        <v>444</v>
      </c>
      <c r="N50" s="270">
        <f t="shared" si="74"/>
        <v>671</v>
      </c>
      <c r="O50" s="270">
        <f t="shared" si="74"/>
        <v>671</v>
      </c>
      <c r="P50" s="270">
        <f t="shared" si="74"/>
        <v>671</v>
      </c>
      <c r="Q50" s="270">
        <f t="shared" si="74"/>
        <v>671</v>
      </c>
      <c r="R50" s="270">
        <f t="shared" si="74"/>
        <v>671</v>
      </c>
      <c r="S50" s="270">
        <f t="shared" si="75"/>
        <v>671</v>
      </c>
      <c r="T50" s="270">
        <f t="shared" si="75"/>
        <v>671</v>
      </c>
      <c r="U50" s="270">
        <f t="shared" si="75"/>
        <v>671</v>
      </c>
      <c r="V50" s="270">
        <f t="shared" si="75"/>
        <v>671</v>
      </c>
      <c r="W50" s="270">
        <f t="shared" si="75"/>
        <v>671</v>
      </c>
      <c r="X50" s="270">
        <f t="shared" si="75"/>
        <v>671</v>
      </c>
      <c r="Y50" s="270">
        <f t="shared" si="75"/>
        <v>671</v>
      </c>
      <c r="Z50" s="270">
        <f t="shared" si="75"/>
        <v>671</v>
      </c>
      <c r="AA50" s="270">
        <f t="shared" si="75"/>
        <v>671</v>
      </c>
      <c r="AB50" s="270">
        <f t="shared" si="75"/>
        <v>671</v>
      </c>
      <c r="AC50" s="270">
        <f t="shared" si="75"/>
        <v>671</v>
      </c>
      <c r="AD50" s="270">
        <f t="shared" si="74"/>
        <v>671</v>
      </c>
      <c r="AE50" s="270">
        <f t="shared" si="74"/>
        <v>671</v>
      </c>
      <c r="AF50" s="270">
        <f t="shared" si="76"/>
        <v>671</v>
      </c>
      <c r="AG50" s="270">
        <f t="shared" si="76"/>
        <v>671</v>
      </c>
      <c r="AH50" s="270">
        <f t="shared" si="76"/>
        <v>671</v>
      </c>
      <c r="AI50" s="270">
        <f t="shared" si="76"/>
        <v>671</v>
      </c>
      <c r="AJ50" s="270">
        <f t="shared" si="76"/>
        <v>671</v>
      </c>
      <c r="AK50" s="270">
        <f t="shared" si="76"/>
        <v>671</v>
      </c>
      <c r="AL50" s="270">
        <f t="shared" si="76"/>
        <v>671</v>
      </c>
      <c r="AM50" s="270">
        <f t="shared" si="76"/>
        <v>671</v>
      </c>
    </row>
    <row r="51" spans="2:39" ht="15.75" thickBot="1" x14ac:dyDescent="0.35">
      <c r="B51" s="56" t="str">
        <f>input_names!$B$3</f>
        <v>benzine</v>
      </c>
      <c r="C51" s="61">
        <v>3</v>
      </c>
      <c r="D51" s="270">
        <f t="shared" si="74"/>
        <v>193</v>
      </c>
      <c r="E51" s="270">
        <f t="shared" si="74"/>
        <v>193</v>
      </c>
      <c r="F51" s="270">
        <f t="shared" si="74"/>
        <v>359</v>
      </c>
      <c r="G51" s="270">
        <f t="shared" si="74"/>
        <v>362</v>
      </c>
      <c r="H51" s="270">
        <f t="shared" si="74"/>
        <v>366</v>
      </c>
      <c r="I51" s="270">
        <f t="shared" si="74"/>
        <v>372</v>
      </c>
      <c r="J51" s="270">
        <f t="shared" si="74"/>
        <v>375</v>
      </c>
      <c r="K51" s="270">
        <f t="shared" si="74"/>
        <v>379</v>
      </c>
      <c r="L51" s="270">
        <f t="shared" si="74"/>
        <v>406</v>
      </c>
      <c r="M51" s="270">
        <f t="shared" si="74"/>
        <v>446</v>
      </c>
      <c r="N51" s="270">
        <f t="shared" si="74"/>
        <v>673</v>
      </c>
      <c r="O51" s="270">
        <f t="shared" si="74"/>
        <v>673</v>
      </c>
      <c r="P51" s="270">
        <f t="shared" si="74"/>
        <v>673</v>
      </c>
      <c r="Q51" s="270">
        <f t="shared" si="74"/>
        <v>673</v>
      </c>
      <c r="R51" s="270">
        <f t="shared" si="74"/>
        <v>673</v>
      </c>
      <c r="S51" s="270">
        <f t="shared" si="75"/>
        <v>673</v>
      </c>
      <c r="T51" s="270">
        <f t="shared" si="75"/>
        <v>673</v>
      </c>
      <c r="U51" s="270">
        <f t="shared" si="75"/>
        <v>673</v>
      </c>
      <c r="V51" s="270">
        <f t="shared" si="75"/>
        <v>673</v>
      </c>
      <c r="W51" s="270">
        <f t="shared" si="75"/>
        <v>673</v>
      </c>
      <c r="X51" s="270">
        <f t="shared" si="75"/>
        <v>673</v>
      </c>
      <c r="Y51" s="270">
        <f t="shared" si="75"/>
        <v>673</v>
      </c>
      <c r="Z51" s="270">
        <f t="shared" si="75"/>
        <v>673</v>
      </c>
      <c r="AA51" s="270">
        <f t="shared" si="75"/>
        <v>673</v>
      </c>
      <c r="AB51" s="270">
        <f t="shared" si="75"/>
        <v>673</v>
      </c>
      <c r="AC51" s="270">
        <f t="shared" si="75"/>
        <v>673</v>
      </c>
      <c r="AD51" s="270">
        <f t="shared" si="74"/>
        <v>673</v>
      </c>
      <c r="AE51" s="270">
        <f t="shared" si="74"/>
        <v>673</v>
      </c>
      <c r="AF51" s="270">
        <f t="shared" si="76"/>
        <v>673</v>
      </c>
      <c r="AG51" s="270">
        <f t="shared" si="76"/>
        <v>673</v>
      </c>
      <c r="AH51" s="270">
        <f t="shared" si="76"/>
        <v>673</v>
      </c>
      <c r="AI51" s="270">
        <f t="shared" si="76"/>
        <v>673</v>
      </c>
      <c r="AJ51" s="270">
        <f t="shared" si="76"/>
        <v>673</v>
      </c>
      <c r="AK51" s="270">
        <f t="shared" si="76"/>
        <v>673</v>
      </c>
      <c r="AL51" s="270">
        <f t="shared" si="76"/>
        <v>673</v>
      </c>
      <c r="AM51" s="270">
        <f t="shared" si="76"/>
        <v>673</v>
      </c>
    </row>
    <row r="52" spans="2:39" ht="15.75" thickBot="1" x14ac:dyDescent="0.35">
      <c r="B52" s="56" t="str">
        <f>input_names!$B$3</f>
        <v>benzine</v>
      </c>
      <c r="C52" s="61">
        <v>4</v>
      </c>
      <c r="D52" s="270">
        <f t="shared" si="74"/>
        <v>199</v>
      </c>
      <c r="E52" s="270">
        <f t="shared" si="74"/>
        <v>199</v>
      </c>
      <c r="F52" s="270">
        <f t="shared" si="74"/>
        <v>361</v>
      </c>
      <c r="G52" s="270">
        <f t="shared" si="74"/>
        <v>364</v>
      </c>
      <c r="H52" s="270">
        <f t="shared" si="74"/>
        <v>368</v>
      </c>
      <c r="I52" s="270">
        <f t="shared" si="74"/>
        <v>374</v>
      </c>
      <c r="J52" s="270">
        <f t="shared" si="74"/>
        <v>376</v>
      </c>
      <c r="K52" s="270">
        <f t="shared" si="74"/>
        <v>380</v>
      </c>
      <c r="L52" s="270">
        <f t="shared" si="74"/>
        <v>408</v>
      </c>
      <c r="M52" s="270">
        <f t="shared" si="74"/>
        <v>448</v>
      </c>
      <c r="N52" s="270">
        <f t="shared" si="74"/>
        <v>675</v>
      </c>
      <c r="O52" s="270">
        <f t="shared" si="74"/>
        <v>675</v>
      </c>
      <c r="P52" s="270">
        <f t="shared" si="74"/>
        <v>675</v>
      </c>
      <c r="Q52" s="270">
        <f t="shared" si="74"/>
        <v>675</v>
      </c>
      <c r="R52" s="270">
        <f t="shared" si="74"/>
        <v>675</v>
      </c>
      <c r="S52" s="270">
        <f t="shared" si="75"/>
        <v>675</v>
      </c>
      <c r="T52" s="270">
        <f t="shared" si="75"/>
        <v>675</v>
      </c>
      <c r="U52" s="270">
        <f t="shared" si="75"/>
        <v>675</v>
      </c>
      <c r="V52" s="270">
        <f t="shared" si="75"/>
        <v>675</v>
      </c>
      <c r="W52" s="270">
        <f t="shared" si="75"/>
        <v>675</v>
      </c>
      <c r="X52" s="270">
        <f t="shared" si="75"/>
        <v>675</v>
      </c>
      <c r="Y52" s="270">
        <f t="shared" si="75"/>
        <v>675</v>
      </c>
      <c r="Z52" s="270">
        <f t="shared" si="75"/>
        <v>675</v>
      </c>
      <c r="AA52" s="270">
        <f t="shared" si="75"/>
        <v>675</v>
      </c>
      <c r="AB52" s="270">
        <f t="shared" si="75"/>
        <v>675</v>
      </c>
      <c r="AC52" s="270">
        <f t="shared" si="75"/>
        <v>675</v>
      </c>
      <c r="AD52" s="270">
        <f t="shared" si="74"/>
        <v>675</v>
      </c>
      <c r="AE52" s="270">
        <f t="shared" si="74"/>
        <v>675</v>
      </c>
      <c r="AF52" s="270">
        <f t="shared" si="76"/>
        <v>675</v>
      </c>
      <c r="AG52" s="270">
        <f t="shared" si="76"/>
        <v>675</v>
      </c>
      <c r="AH52" s="270">
        <f t="shared" si="76"/>
        <v>675</v>
      </c>
      <c r="AI52" s="270">
        <f t="shared" si="76"/>
        <v>675</v>
      </c>
      <c r="AJ52" s="270">
        <f t="shared" si="76"/>
        <v>675</v>
      </c>
      <c r="AK52" s="270">
        <f t="shared" si="76"/>
        <v>675</v>
      </c>
      <c r="AL52" s="270">
        <f t="shared" si="76"/>
        <v>675</v>
      </c>
      <c r="AM52" s="270">
        <f t="shared" si="76"/>
        <v>675</v>
      </c>
    </row>
    <row r="53" spans="2:39" ht="15.75" thickBot="1" x14ac:dyDescent="0.35">
      <c r="B53" s="56" t="str">
        <f>input_names!$B$3</f>
        <v>benzine</v>
      </c>
      <c r="C53" s="61">
        <v>5</v>
      </c>
      <c r="D53" s="270">
        <f t="shared" si="74"/>
        <v>205</v>
      </c>
      <c r="E53" s="270">
        <f t="shared" si="74"/>
        <v>205</v>
      </c>
      <c r="F53" s="270">
        <f t="shared" si="74"/>
        <v>363</v>
      </c>
      <c r="G53" s="270">
        <f t="shared" si="74"/>
        <v>366</v>
      </c>
      <c r="H53" s="270">
        <f t="shared" si="74"/>
        <v>370</v>
      </c>
      <c r="I53" s="270">
        <f t="shared" si="74"/>
        <v>376</v>
      </c>
      <c r="J53" s="270">
        <f t="shared" si="74"/>
        <v>377</v>
      </c>
      <c r="K53" s="270">
        <f t="shared" si="74"/>
        <v>381</v>
      </c>
      <c r="L53" s="270">
        <f t="shared" si="74"/>
        <v>410</v>
      </c>
      <c r="M53" s="270">
        <f t="shared" si="74"/>
        <v>450</v>
      </c>
      <c r="N53" s="270">
        <f t="shared" si="74"/>
        <v>677</v>
      </c>
      <c r="O53" s="270">
        <f t="shared" si="74"/>
        <v>677</v>
      </c>
      <c r="P53" s="270">
        <f t="shared" si="74"/>
        <v>677</v>
      </c>
      <c r="Q53" s="270">
        <f t="shared" si="74"/>
        <v>677</v>
      </c>
      <c r="R53" s="270">
        <f t="shared" si="74"/>
        <v>677</v>
      </c>
      <c r="S53" s="270">
        <f t="shared" si="75"/>
        <v>677</v>
      </c>
      <c r="T53" s="270">
        <f t="shared" si="75"/>
        <v>677</v>
      </c>
      <c r="U53" s="270">
        <f t="shared" si="75"/>
        <v>677</v>
      </c>
      <c r="V53" s="270">
        <f t="shared" si="75"/>
        <v>677</v>
      </c>
      <c r="W53" s="270">
        <f t="shared" si="75"/>
        <v>677</v>
      </c>
      <c r="X53" s="270">
        <f t="shared" si="75"/>
        <v>677</v>
      </c>
      <c r="Y53" s="270">
        <f t="shared" si="75"/>
        <v>677</v>
      </c>
      <c r="Z53" s="270">
        <f t="shared" si="75"/>
        <v>677</v>
      </c>
      <c r="AA53" s="270">
        <f t="shared" si="75"/>
        <v>677</v>
      </c>
      <c r="AB53" s="270">
        <f t="shared" si="75"/>
        <v>677</v>
      </c>
      <c r="AC53" s="270">
        <f t="shared" si="75"/>
        <v>677</v>
      </c>
      <c r="AD53" s="270">
        <f t="shared" si="74"/>
        <v>677</v>
      </c>
      <c r="AE53" s="270">
        <f t="shared" si="74"/>
        <v>677</v>
      </c>
      <c r="AF53" s="270">
        <f t="shared" si="76"/>
        <v>677</v>
      </c>
      <c r="AG53" s="270">
        <f t="shared" si="76"/>
        <v>677</v>
      </c>
      <c r="AH53" s="270">
        <f t="shared" si="76"/>
        <v>677</v>
      </c>
      <c r="AI53" s="270">
        <f t="shared" si="76"/>
        <v>677</v>
      </c>
      <c r="AJ53" s="270">
        <f t="shared" si="76"/>
        <v>677</v>
      </c>
      <c r="AK53" s="270">
        <f t="shared" si="76"/>
        <v>677</v>
      </c>
      <c r="AL53" s="270">
        <f t="shared" si="76"/>
        <v>677</v>
      </c>
      <c r="AM53" s="270">
        <f t="shared" si="76"/>
        <v>677</v>
      </c>
    </row>
    <row r="54" spans="2:39" ht="15.75" thickBot="1" x14ac:dyDescent="0.35">
      <c r="B54" s="56" t="str">
        <f>input_names!$B$3</f>
        <v>benzine</v>
      </c>
      <c r="C54" s="61">
        <v>6</v>
      </c>
      <c r="D54" s="270">
        <f t="shared" si="74"/>
        <v>211</v>
      </c>
      <c r="E54" s="270">
        <f t="shared" si="74"/>
        <v>211</v>
      </c>
      <c r="F54" s="270">
        <f t="shared" si="74"/>
        <v>365</v>
      </c>
      <c r="G54" s="270">
        <f t="shared" si="74"/>
        <v>368</v>
      </c>
      <c r="H54" s="270">
        <f t="shared" si="74"/>
        <v>372</v>
      </c>
      <c r="I54" s="270">
        <f t="shared" si="74"/>
        <v>378</v>
      </c>
      <c r="J54" s="270">
        <f t="shared" si="74"/>
        <v>378</v>
      </c>
      <c r="K54" s="270">
        <f t="shared" si="74"/>
        <v>382</v>
      </c>
      <c r="L54" s="270">
        <f t="shared" si="74"/>
        <v>412</v>
      </c>
      <c r="M54" s="270">
        <f t="shared" si="74"/>
        <v>452</v>
      </c>
      <c r="N54" s="270">
        <f t="shared" si="74"/>
        <v>679</v>
      </c>
      <c r="O54" s="270">
        <f t="shared" si="74"/>
        <v>679</v>
      </c>
      <c r="P54" s="270">
        <f t="shared" si="74"/>
        <v>679</v>
      </c>
      <c r="Q54" s="270">
        <f t="shared" si="74"/>
        <v>679</v>
      </c>
      <c r="R54" s="270">
        <f t="shared" si="74"/>
        <v>679</v>
      </c>
      <c r="S54" s="270">
        <f t="shared" si="75"/>
        <v>679</v>
      </c>
      <c r="T54" s="270">
        <f t="shared" si="75"/>
        <v>679</v>
      </c>
      <c r="U54" s="270">
        <f t="shared" si="75"/>
        <v>679</v>
      </c>
      <c r="V54" s="270">
        <f t="shared" si="75"/>
        <v>679</v>
      </c>
      <c r="W54" s="270">
        <f t="shared" si="75"/>
        <v>679</v>
      </c>
      <c r="X54" s="270">
        <f t="shared" si="75"/>
        <v>679</v>
      </c>
      <c r="Y54" s="270">
        <f t="shared" si="75"/>
        <v>679</v>
      </c>
      <c r="Z54" s="270">
        <f t="shared" si="75"/>
        <v>679</v>
      </c>
      <c r="AA54" s="270">
        <f t="shared" si="75"/>
        <v>679</v>
      </c>
      <c r="AB54" s="270">
        <f t="shared" si="75"/>
        <v>679</v>
      </c>
      <c r="AC54" s="270">
        <f t="shared" si="75"/>
        <v>679</v>
      </c>
      <c r="AD54" s="270">
        <f t="shared" si="74"/>
        <v>679</v>
      </c>
      <c r="AE54" s="270">
        <f t="shared" si="74"/>
        <v>679</v>
      </c>
      <c r="AF54" s="270">
        <f t="shared" si="76"/>
        <v>679</v>
      </c>
      <c r="AG54" s="270">
        <f t="shared" si="76"/>
        <v>679</v>
      </c>
      <c r="AH54" s="270">
        <f t="shared" si="76"/>
        <v>679</v>
      </c>
      <c r="AI54" s="270">
        <f t="shared" si="76"/>
        <v>679</v>
      </c>
      <c r="AJ54" s="270">
        <f t="shared" si="76"/>
        <v>679</v>
      </c>
      <c r="AK54" s="270">
        <f t="shared" si="76"/>
        <v>679</v>
      </c>
      <c r="AL54" s="270">
        <f t="shared" si="76"/>
        <v>679</v>
      </c>
      <c r="AM54" s="270">
        <f t="shared" si="76"/>
        <v>679</v>
      </c>
    </row>
    <row r="55" spans="2:39" ht="15.75" thickBot="1" x14ac:dyDescent="0.35">
      <c r="B55" s="56" t="str">
        <f>input_names!$B$3</f>
        <v>benzine</v>
      </c>
      <c r="C55" s="61">
        <v>7</v>
      </c>
      <c r="D55" s="270">
        <f t="shared" si="74"/>
        <v>217</v>
      </c>
      <c r="E55" s="270">
        <f t="shared" si="74"/>
        <v>217</v>
      </c>
      <c r="F55" s="270">
        <f t="shared" si="74"/>
        <v>367</v>
      </c>
      <c r="G55" s="270">
        <f t="shared" si="74"/>
        <v>370</v>
      </c>
      <c r="H55" s="270">
        <f t="shared" si="74"/>
        <v>374</v>
      </c>
      <c r="I55" s="270">
        <f t="shared" si="74"/>
        <v>380</v>
      </c>
      <c r="J55" s="270">
        <f t="shared" si="74"/>
        <v>379</v>
      </c>
      <c r="K55" s="270">
        <f t="shared" si="74"/>
        <v>383</v>
      </c>
      <c r="L55" s="270">
        <f t="shared" si="74"/>
        <v>414</v>
      </c>
      <c r="M55" s="270">
        <f t="shared" si="74"/>
        <v>454</v>
      </c>
      <c r="N55" s="270">
        <f t="shared" si="74"/>
        <v>681</v>
      </c>
      <c r="O55" s="270">
        <f t="shared" si="74"/>
        <v>681</v>
      </c>
      <c r="P55" s="270">
        <f t="shared" si="74"/>
        <v>681</v>
      </c>
      <c r="Q55" s="270">
        <f t="shared" si="74"/>
        <v>681</v>
      </c>
      <c r="R55" s="270">
        <f t="shared" si="74"/>
        <v>681</v>
      </c>
      <c r="S55" s="270">
        <f t="shared" si="75"/>
        <v>681</v>
      </c>
      <c r="T55" s="270">
        <f t="shared" si="75"/>
        <v>681</v>
      </c>
      <c r="U55" s="270">
        <f t="shared" si="75"/>
        <v>681</v>
      </c>
      <c r="V55" s="270">
        <f t="shared" si="75"/>
        <v>681</v>
      </c>
      <c r="W55" s="270">
        <f t="shared" si="75"/>
        <v>681</v>
      </c>
      <c r="X55" s="270">
        <f t="shared" si="75"/>
        <v>681</v>
      </c>
      <c r="Y55" s="270">
        <f t="shared" si="75"/>
        <v>681</v>
      </c>
      <c r="Z55" s="270">
        <f t="shared" si="75"/>
        <v>681</v>
      </c>
      <c r="AA55" s="270">
        <f t="shared" si="75"/>
        <v>681</v>
      </c>
      <c r="AB55" s="270">
        <f t="shared" si="75"/>
        <v>681</v>
      </c>
      <c r="AC55" s="270">
        <f t="shared" si="75"/>
        <v>681</v>
      </c>
      <c r="AD55" s="270">
        <f t="shared" si="74"/>
        <v>681</v>
      </c>
      <c r="AE55" s="270">
        <f t="shared" si="74"/>
        <v>681</v>
      </c>
      <c r="AF55" s="270">
        <f t="shared" si="76"/>
        <v>681</v>
      </c>
      <c r="AG55" s="270">
        <f t="shared" si="76"/>
        <v>681</v>
      </c>
      <c r="AH55" s="270">
        <f t="shared" si="76"/>
        <v>681</v>
      </c>
      <c r="AI55" s="270">
        <f t="shared" si="76"/>
        <v>681</v>
      </c>
      <c r="AJ55" s="270">
        <f t="shared" si="76"/>
        <v>681</v>
      </c>
      <c r="AK55" s="270">
        <f t="shared" si="76"/>
        <v>681</v>
      </c>
      <c r="AL55" s="270">
        <f t="shared" si="76"/>
        <v>681</v>
      </c>
      <c r="AM55" s="270">
        <f t="shared" si="76"/>
        <v>681</v>
      </c>
    </row>
    <row r="56" spans="2:39" ht="15.75" thickBot="1" x14ac:dyDescent="0.35">
      <c r="B56" s="56" t="str">
        <f>input_names!$B$3</f>
        <v>benzine</v>
      </c>
      <c r="C56" s="61">
        <v>8</v>
      </c>
      <c r="D56" s="270">
        <f t="shared" si="74"/>
        <v>223</v>
      </c>
      <c r="E56" s="270">
        <f t="shared" si="74"/>
        <v>223</v>
      </c>
      <c r="F56" s="270">
        <f t="shared" si="74"/>
        <v>369</v>
      </c>
      <c r="G56" s="270">
        <f t="shared" si="74"/>
        <v>372</v>
      </c>
      <c r="H56" s="270">
        <f t="shared" si="74"/>
        <v>376</v>
      </c>
      <c r="I56" s="270">
        <f t="shared" si="74"/>
        <v>382</v>
      </c>
      <c r="J56" s="270">
        <f t="shared" si="74"/>
        <v>380</v>
      </c>
      <c r="K56" s="270">
        <f t="shared" si="74"/>
        <v>384</v>
      </c>
      <c r="L56" s="270">
        <f t="shared" si="74"/>
        <v>416</v>
      </c>
      <c r="M56" s="270">
        <f t="shared" si="74"/>
        <v>456</v>
      </c>
      <c r="N56" s="270">
        <f t="shared" si="74"/>
        <v>683</v>
      </c>
      <c r="O56" s="270">
        <f t="shared" si="74"/>
        <v>683</v>
      </c>
      <c r="P56" s="270">
        <f t="shared" si="74"/>
        <v>683</v>
      </c>
      <c r="Q56" s="270">
        <f t="shared" si="74"/>
        <v>683</v>
      </c>
      <c r="R56" s="270">
        <f t="shared" si="74"/>
        <v>683</v>
      </c>
      <c r="S56" s="270">
        <f t="shared" si="75"/>
        <v>683</v>
      </c>
      <c r="T56" s="270">
        <f t="shared" si="75"/>
        <v>683</v>
      </c>
      <c r="U56" s="270">
        <f t="shared" si="75"/>
        <v>683</v>
      </c>
      <c r="V56" s="270">
        <f t="shared" si="75"/>
        <v>683</v>
      </c>
      <c r="W56" s="270">
        <f t="shared" si="75"/>
        <v>683</v>
      </c>
      <c r="X56" s="270">
        <f t="shared" si="75"/>
        <v>683</v>
      </c>
      <c r="Y56" s="270">
        <f t="shared" si="75"/>
        <v>683</v>
      </c>
      <c r="Z56" s="270">
        <f t="shared" si="75"/>
        <v>683</v>
      </c>
      <c r="AA56" s="270">
        <f t="shared" si="75"/>
        <v>683</v>
      </c>
      <c r="AB56" s="270">
        <f t="shared" si="75"/>
        <v>683</v>
      </c>
      <c r="AC56" s="270">
        <f t="shared" si="75"/>
        <v>683</v>
      </c>
      <c r="AD56" s="270">
        <f t="shared" si="74"/>
        <v>683</v>
      </c>
      <c r="AE56" s="270">
        <f t="shared" si="74"/>
        <v>683</v>
      </c>
      <c r="AF56" s="270">
        <f t="shared" si="76"/>
        <v>683</v>
      </c>
      <c r="AG56" s="270">
        <f t="shared" si="76"/>
        <v>683</v>
      </c>
      <c r="AH56" s="270">
        <f t="shared" si="76"/>
        <v>683</v>
      </c>
      <c r="AI56" s="270">
        <f t="shared" si="76"/>
        <v>683</v>
      </c>
      <c r="AJ56" s="270">
        <f t="shared" si="76"/>
        <v>683</v>
      </c>
      <c r="AK56" s="270">
        <f t="shared" si="76"/>
        <v>683</v>
      </c>
      <c r="AL56" s="270">
        <f t="shared" si="76"/>
        <v>683</v>
      </c>
      <c r="AM56" s="270">
        <f t="shared" si="76"/>
        <v>683</v>
      </c>
    </row>
    <row r="57" spans="2:39" ht="15.75" thickBot="1" x14ac:dyDescent="0.35">
      <c r="B57" s="56" t="str">
        <f>input_names!$B$3</f>
        <v>benzine</v>
      </c>
      <c r="C57" s="61">
        <v>9</v>
      </c>
      <c r="D57" s="270">
        <f t="shared" si="74"/>
        <v>229</v>
      </c>
      <c r="E57" s="270">
        <f t="shared" si="74"/>
        <v>229</v>
      </c>
      <c r="F57" s="270">
        <f t="shared" si="74"/>
        <v>371</v>
      </c>
      <c r="G57" s="270">
        <f t="shared" si="74"/>
        <v>374</v>
      </c>
      <c r="H57" s="270">
        <f t="shared" si="74"/>
        <v>378</v>
      </c>
      <c r="I57" s="270">
        <f t="shared" si="74"/>
        <v>384</v>
      </c>
      <c r="J57" s="270">
        <f t="shared" si="74"/>
        <v>381</v>
      </c>
      <c r="K57" s="270">
        <f t="shared" si="74"/>
        <v>385</v>
      </c>
      <c r="L57" s="270">
        <f t="shared" si="74"/>
        <v>418</v>
      </c>
      <c r="M57" s="270">
        <f t="shared" si="74"/>
        <v>458</v>
      </c>
      <c r="N57" s="270">
        <f t="shared" si="74"/>
        <v>685</v>
      </c>
      <c r="O57" s="270">
        <f t="shared" si="74"/>
        <v>685</v>
      </c>
      <c r="P57" s="270">
        <f t="shared" si="74"/>
        <v>685</v>
      </c>
      <c r="Q57" s="270">
        <f t="shared" si="74"/>
        <v>685</v>
      </c>
      <c r="R57" s="270">
        <f t="shared" si="74"/>
        <v>685</v>
      </c>
      <c r="S57" s="270">
        <f t="shared" si="75"/>
        <v>685</v>
      </c>
      <c r="T57" s="270">
        <f t="shared" si="75"/>
        <v>685</v>
      </c>
      <c r="U57" s="270">
        <f t="shared" si="75"/>
        <v>685</v>
      </c>
      <c r="V57" s="270">
        <f t="shared" si="75"/>
        <v>685</v>
      </c>
      <c r="W57" s="270">
        <f t="shared" si="75"/>
        <v>685</v>
      </c>
      <c r="X57" s="270">
        <f t="shared" si="75"/>
        <v>685</v>
      </c>
      <c r="Y57" s="270">
        <f t="shared" si="75"/>
        <v>685</v>
      </c>
      <c r="Z57" s="270">
        <f t="shared" si="75"/>
        <v>685</v>
      </c>
      <c r="AA57" s="270">
        <f t="shared" si="75"/>
        <v>685</v>
      </c>
      <c r="AB57" s="270">
        <f t="shared" si="75"/>
        <v>685</v>
      </c>
      <c r="AC57" s="270">
        <f t="shared" si="75"/>
        <v>685</v>
      </c>
      <c r="AD57" s="270">
        <f t="shared" si="74"/>
        <v>685</v>
      </c>
      <c r="AE57" s="270">
        <f t="shared" si="74"/>
        <v>685</v>
      </c>
      <c r="AF57" s="270">
        <f t="shared" si="76"/>
        <v>685</v>
      </c>
      <c r="AG57" s="270">
        <f t="shared" si="76"/>
        <v>685</v>
      </c>
      <c r="AH57" s="270">
        <f t="shared" si="76"/>
        <v>685</v>
      </c>
      <c r="AI57" s="270">
        <f t="shared" si="76"/>
        <v>685</v>
      </c>
      <c r="AJ57" s="270">
        <f t="shared" si="76"/>
        <v>685</v>
      </c>
      <c r="AK57" s="270">
        <f t="shared" si="76"/>
        <v>685</v>
      </c>
      <c r="AL57" s="270">
        <f t="shared" si="76"/>
        <v>685</v>
      </c>
      <c r="AM57" s="270">
        <f t="shared" si="76"/>
        <v>685</v>
      </c>
    </row>
    <row r="58" spans="2:39" ht="15.75" thickBot="1" x14ac:dyDescent="0.35">
      <c r="B58" s="56" t="str">
        <f>input_names!$B$3</f>
        <v>benzine</v>
      </c>
      <c r="C58" s="61">
        <v>10</v>
      </c>
      <c r="D58" s="270">
        <f t="shared" si="74"/>
        <v>235</v>
      </c>
      <c r="E58" s="270">
        <f t="shared" si="74"/>
        <v>235</v>
      </c>
      <c r="F58" s="270">
        <f t="shared" si="74"/>
        <v>373</v>
      </c>
      <c r="G58" s="270">
        <f t="shared" si="74"/>
        <v>376</v>
      </c>
      <c r="H58" s="270">
        <f t="shared" si="74"/>
        <v>380</v>
      </c>
      <c r="I58" s="270">
        <f t="shared" si="74"/>
        <v>386</v>
      </c>
      <c r="J58" s="270">
        <f t="shared" si="74"/>
        <v>382</v>
      </c>
      <c r="K58" s="270">
        <f t="shared" si="74"/>
        <v>386</v>
      </c>
      <c r="L58" s="270">
        <f t="shared" si="74"/>
        <v>420</v>
      </c>
      <c r="M58" s="270">
        <f t="shared" si="74"/>
        <v>460</v>
      </c>
      <c r="N58" s="270">
        <f t="shared" si="74"/>
        <v>687</v>
      </c>
      <c r="O58" s="270">
        <f t="shared" si="74"/>
        <v>687</v>
      </c>
      <c r="P58" s="270">
        <f t="shared" si="74"/>
        <v>687</v>
      </c>
      <c r="Q58" s="270">
        <f t="shared" si="74"/>
        <v>687</v>
      </c>
      <c r="R58" s="270">
        <f t="shared" si="74"/>
        <v>687</v>
      </c>
      <c r="S58" s="270">
        <f t="shared" si="75"/>
        <v>687</v>
      </c>
      <c r="T58" s="270">
        <f t="shared" si="75"/>
        <v>687</v>
      </c>
      <c r="U58" s="270">
        <f t="shared" si="75"/>
        <v>687</v>
      </c>
      <c r="V58" s="270">
        <f t="shared" si="75"/>
        <v>687</v>
      </c>
      <c r="W58" s="270">
        <f t="shared" si="75"/>
        <v>687</v>
      </c>
      <c r="X58" s="270">
        <f t="shared" si="75"/>
        <v>687</v>
      </c>
      <c r="Y58" s="270">
        <f t="shared" si="75"/>
        <v>687</v>
      </c>
      <c r="Z58" s="270">
        <f t="shared" si="75"/>
        <v>687</v>
      </c>
      <c r="AA58" s="270">
        <f t="shared" si="75"/>
        <v>687</v>
      </c>
      <c r="AB58" s="270">
        <f t="shared" si="75"/>
        <v>687</v>
      </c>
      <c r="AC58" s="270">
        <f t="shared" si="75"/>
        <v>687</v>
      </c>
      <c r="AD58" s="270">
        <f t="shared" si="74"/>
        <v>687</v>
      </c>
      <c r="AE58" s="270">
        <f t="shared" si="74"/>
        <v>687</v>
      </c>
      <c r="AF58" s="270">
        <f t="shared" si="76"/>
        <v>687</v>
      </c>
      <c r="AG58" s="270">
        <f t="shared" si="76"/>
        <v>687</v>
      </c>
      <c r="AH58" s="270">
        <f t="shared" si="76"/>
        <v>687</v>
      </c>
      <c r="AI58" s="270">
        <f t="shared" si="76"/>
        <v>687</v>
      </c>
      <c r="AJ58" s="270">
        <f t="shared" si="76"/>
        <v>687</v>
      </c>
      <c r="AK58" s="270">
        <f t="shared" si="76"/>
        <v>687</v>
      </c>
      <c r="AL58" s="270">
        <f t="shared" si="76"/>
        <v>687</v>
      </c>
      <c r="AM58" s="270">
        <f t="shared" si="76"/>
        <v>687</v>
      </c>
    </row>
    <row r="59" spans="2:39" ht="15.75" thickBot="1" x14ac:dyDescent="0.35">
      <c r="B59" s="56" t="str">
        <f>input_names!$B$3</f>
        <v>benzine</v>
      </c>
      <c r="C59" s="61">
        <v>11</v>
      </c>
      <c r="D59" s="270">
        <f t="shared" si="74"/>
        <v>241</v>
      </c>
      <c r="E59" s="270">
        <f t="shared" si="74"/>
        <v>241</v>
      </c>
      <c r="F59" s="270">
        <f t="shared" si="74"/>
        <v>375</v>
      </c>
      <c r="G59" s="270">
        <f t="shared" si="74"/>
        <v>378</v>
      </c>
      <c r="H59" s="270">
        <f t="shared" si="74"/>
        <v>382</v>
      </c>
      <c r="I59" s="270">
        <f t="shared" si="74"/>
        <v>388</v>
      </c>
      <c r="J59" s="270">
        <f t="shared" si="74"/>
        <v>383</v>
      </c>
      <c r="K59" s="270">
        <f t="shared" si="74"/>
        <v>387</v>
      </c>
      <c r="L59" s="270">
        <f t="shared" si="74"/>
        <v>422</v>
      </c>
      <c r="M59" s="270">
        <f t="shared" si="74"/>
        <v>462</v>
      </c>
      <c r="N59" s="270">
        <f t="shared" si="74"/>
        <v>689</v>
      </c>
      <c r="O59" s="270">
        <f t="shared" si="74"/>
        <v>689</v>
      </c>
      <c r="P59" s="270">
        <f t="shared" si="74"/>
        <v>689</v>
      </c>
      <c r="Q59" s="270">
        <f t="shared" si="74"/>
        <v>689</v>
      </c>
      <c r="R59" s="270">
        <f t="shared" si="74"/>
        <v>689</v>
      </c>
      <c r="S59" s="270">
        <f t="shared" si="75"/>
        <v>689</v>
      </c>
      <c r="T59" s="270">
        <f t="shared" si="75"/>
        <v>689</v>
      </c>
      <c r="U59" s="270">
        <f t="shared" si="75"/>
        <v>689</v>
      </c>
      <c r="V59" s="270">
        <f t="shared" si="75"/>
        <v>689</v>
      </c>
      <c r="W59" s="270">
        <f t="shared" si="75"/>
        <v>689</v>
      </c>
      <c r="X59" s="270">
        <f t="shared" si="75"/>
        <v>689</v>
      </c>
      <c r="Y59" s="270">
        <f t="shared" si="75"/>
        <v>689</v>
      </c>
      <c r="Z59" s="270">
        <f t="shared" si="75"/>
        <v>689</v>
      </c>
      <c r="AA59" s="270">
        <f t="shared" si="75"/>
        <v>689</v>
      </c>
      <c r="AB59" s="270">
        <f t="shared" si="75"/>
        <v>689</v>
      </c>
      <c r="AC59" s="270">
        <f t="shared" si="75"/>
        <v>689</v>
      </c>
      <c r="AD59" s="270">
        <f t="shared" si="74"/>
        <v>689</v>
      </c>
      <c r="AE59" s="270">
        <f t="shared" si="74"/>
        <v>689</v>
      </c>
      <c r="AF59" s="270">
        <f t="shared" si="76"/>
        <v>689</v>
      </c>
      <c r="AG59" s="270">
        <f t="shared" si="76"/>
        <v>689</v>
      </c>
      <c r="AH59" s="270">
        <f t="shared" si="76"/>
        <v>689</v>
      </c>
      <c r="AI59" s="270">
        <f t="shared" si="76"/>
        <v>689</v>
      </c>
      <c r="AJ59" s="270">
        <f t="shared" si="76"/>
        <v>689</v>
      </c>
      <c r="AK59" s="270">
        <f t="shared" si="76"/>
        <v>689</v>
      </c>
      <c r="AL59" s="270">
        <f t="shared" si="76"/>
        <v>689</v>
      </c>
      <c r="AM59" s="270">
        <f t="shared" si="76"/>
        <v>689</v>
      </c>
    </row>
    <row r="60" spans="2:39" ht="15.75" thickBot="1" x14ac:dyDescent="0.35">
      <c r="B60" s="56" t="str">
        <f>input_names!$B$3</f>
        <v>benzine</v>
      </c>
      <c r="C60" s="61">
        <v>12</v>
      </c>
      <c r="D60" s="270">
        <f t="shared" si="74"/>
        <v>247</v>
      </c>
      <c r="E60" s="270">
        <f t="shared" si="74"/>
        <v>247</v>
      </c>
      <c r="F60" s="270">
        <f t="shared" si="74"/>
        <v>377</v>
      </c>
      <c r="G60" s="270">
        <f t="shared" si="74"/>
        <v>380</v>
      </c>
      <c r="H60" s="270">
        <f t="shared" si="74"/>
        <v>384</v>
      </c>
      <c r="I60" s="270">
        <f t="shared" si="74"/>
        <v>390</v>
      </c>
      <c r="J60" s="270">
        <f t="shared" si="74"/>
        <v>384</v>
      </c>
      <c r="K60" s="270">
        <f t="shared" si="74"/>
        <v>388</v>
      </c>
      <c r="L60" s="270">
        <f t="shared" si="74"/>
        <v>424</v>
      </c>
      <c r="M60" s="270">
        <f t="shared" si="74"/>
        <v>464</v>
      </c>
      <c r="N60" s="270">
        <f t="shared" si="74"/>
        <v>691</v>
      </c>
      <c r="O60" s="270">
        <f t="shared" si="74"/>
        <v>691</v>
      </c>
      <c r="P60" s="270">
        <f t="shared" si="74"/>
        <v>691</v>
      </c>
      <c r="Q60" s="270">
        <f t="shared" si="74"/>
        <v>691</v>
      </c>
      <c r="R60" s="270">
        <f t="shared" si="74"/>
        <v>691</v>
      </c>
      <c r="S60" s="270">
        <f t="shared" si="75"/>
        <v>691</v>
      </c>
      <c r="T60" s="270">
        <f t="shared" si="75"/>
        <v>691</v>
      </c>
      <c r="U60" s="270">
        <f t="shared" si="75"/>
        <v>691</v>
      </c>
      <c r="V60" s="270">
        <f t="shared" si="75"/>
        <v>691</v>
      </c>
      <c r="W60" s="270">
        <f t="shared" si="75"/>
        <v>691</v>
      </c>
      <c r="X60" s="270">
        <f t="shared" si="75"/>
        <v>691</v>
      </c>
      <c r="Y60" s="270">
        <f t="shared" si="75"/>
        <v>691</v>
      </c>
      <c r="Z60" s="270">
        <f t="shared" si="75"/>
        <v>691</v>
      </c>
      <c r="AA60" s="270">
        <f t="shared" si="75"/>
        <v>691</v>
      </c>
      <c r="AB60" s="270">
        <f t="shared" si="75"/>
        <v>691</v>
      </c>
      <c r="AC60" s="270">
        <f t="shared" si="75"/>
        <v>691</v>
      </c>
      <c r="AD60" s="270">
        <f t="shared" si="74"/>
        <v>691</v>
      </c>
      <c r="AE60" s="270">
        <f t="shared" si="74"/>
        <v>691</v>
      </c>
      <c r="AF60" s="270">
        <f t="shared" si="76"/>
        <v>691</v>
      </c>
      <c r="AG60" s="270">
        <f t="shared" si="76"/>
        <v>691</v>
      </c>
      <c r="AH60" s="270">
        <f t="shared" si="76"/>
        <v>691</v>
      </c>
      <c r="AI60" s="270">
        <f t="shared" si="76"/>
        <v>691</v>
      </c>
      <c r="AJ60" s="270">
        <f t="shared" si="76"/>
        <v>691</v>
      </c>
      <c r="AK60" s="270">
        <f t="shared" si="76"/>
        <v>691</v>
      </c>
      <c r="AL60" s="270">
        <f t="shared" si="76"/>
        <v>691</v>
      </c>
      <c r="AM60" s="270">
        <f t="shared" si="76"/>
        <v>691</v>
      </c>
    </row>
    <row r="61" spans="2:39" ht="15.75" thickBot="1" x14ac:dyDescent="0.35">
      <c r="B61" s="56" t="str">
        <f>input_names!$B$3</f>
        <v>benzine</v>
      </c>
      <c r="C61" s="61">
        <v>13</v>
      </c>
      <c r="D61" s="270">
        <f t="shared" si="74"/>
        <v>253</v>
      </c>
      <c r="E61" s="270">
        <f t="shared" si="74"/>
        <v>253</v>
      </c>
      <c r="F61" s="270">
        <f t="shared" si="74"/>
        <v>379</v>
      </c>
      <c r="G61" s="270">
        <f t="shared" si="74"/>
        <v>382</v>
      </c>
      <c r="H61" s="270">
        <f t="shared" si="74"/>
        <v>386</v>
      </c>
      <c r="I61" s="270">
        <f t="shared" si="74"/>
        <v>392</v>
      </c>
      <c r="J61" s="270">
        <f t="shared" si="74"/>
        <v>385</v>
      </c>
      <c r="K61" s="270">
        <f t="shared" si="74"/>
        <v>389</v>
      </c>
      <c r="L61" s="270">
        <f t="shared" si="74"/>
        <v>426</v>
      </c>
      <c r="M61" s="270">
        <f t="shared" si="74"/>
        <v>466</v>
      </c>
      <c r="N61" s="270">
        <f t="shared" si="74"/>
        <v>693</v>
      </c>
      <c r="O61" s="270">
        <f t="shared" si="74"/>
        <v>693</v>
      </c>
      <c r="P61" s="270">
        <f t="shared" si="74"/>
        <v>693</v>
      </c>
      <c r="Q61" s="270">
        <f t="shared" si="74"/>
        <v>693</v>
      </c>
      <c r="R61" s="270">
        <f t="shared" si="74"/>
        <v>693</v>
      </c>
      <c r="S61" s="270">
        <f t="shared" si="75"/>
        <v>693</v>
      </c>
      <c r="T61" s="270">
        <f t="shared" si="75"/>
        <v>693</v>
      </c>
      <c r="U61" s="270">
        <f t="shared" si="75"/>
        <v>693</v>
      </c>
      <c r="V61" s="270">
        <f t="shared" si="75"/>
        <v>693</v>
      </c>
      <c r="W61" s="270">
        <f t="shared" si="75"/>
        <v>693</v>
      </c>
      <c r="X61" s="270">
        <f t="shared" si="75"/>
        <v>693</v>
      </c>
      <c r="Y61" s="270">
        <f t="shared" si="75"/>
        <v>693</v>
      </c>
      <c r="Z61" s="270">
        <f t="shared" si="75"/>
        <v>693</v>
      </c>
      <c r="AA61" s="270">
        <f t="shared" si="75"/>
        <v>693</v>
      </c>
      <c r="AB61" s="270">
        <f t="shared" si="75"/>
        <v>693</v>
      </c>
      <c r="AC61" s="270">
        <f t="shared" si="75"/>
        <v>693</v>
      </c>
      <c r="AD61" s="270">
        <f t="shared" si="74"/>
        <v>693</v>
      </c>
      <c r="AE61" s="270">
        <f t="shared" si="74"/>
        <v>693</v>
      </c>
      <c r="AF61" s="270">
        <f t="shared" si="76"/>
        <v>693</v>
      </c>
      <c r="AG61" s="270">
        <f t="shared" si="76"/>
        <v>693</v>
      </c>
      <c r="AH61" s="270">
        <f t="shared" si="76"/>
        <v>693</v>
      </c>
      <c r="AI61" s="270">
        <f t="shared" si="76"/>
        <v>693</v>
      </c>
      <c r="AJ61" s="270">
        <f t="shared" si="76"/>
        <v>693</v>
      </c>
      <c r="AK61" s="270">
        <f t="shared" si="76"/>
        <v>693</v>
      </c>
      <c r="AL61" s="270">
        <f t="shared" si="76"/>
        <v>693</v>
      </c>
      <c r="AM61" s="270">
        <f t="shared" si="76"/>
        <v>693</v>
      </c>
    </row>
    <row r="62" spans="2:39" ht="15.75" thickBot="1" x14ac:dyDescent="0.35">
      <c r="B62" s="56" t="str">
        <f>input_names!$B$3</f>
        <v>benzine</v>
      </c>
      <c r="C62" s="61">
        <v>14</v>
      </c>
      <c r="D62" s="270">
        <f t="shared" si="74"/>
        <v>259</v>
      </c>
      <c r="E62" s="270">
        <f t="shared" si="74"/>
        <v>259</v>
      </c>
      <c r="F62" s="270">
        <f t="shared" si="74"/>
        <v>381</v>
      </c>
      <c r="G62" s="270">
        <f t="shared" si="74"/>
        <v>384</v>
      </c>
      <c r="H62" s="270">
        <f t="shared" si="74"/>
        <v>388</v>
      </c>
      <c r="I62" s="270">
        <f t="shared" si="74"/>
        <v>394</v>
      </c>
      <c r="J62" s="270">
        <f t="shared" si="74"/>
        <v>386</v>
      </c>
      <c r="K62" s="270">
        <f t="shared" si="74"/>
        <v>390</v>
      </c>
      <c r="L62" s="270">
        <f t="shared" si="74"/>
        <v>428</v>
      </c>
      <c r="M62" s="270">
        <f t="shared" si="74"/>
        <v>468</v>
      </c>
      <c r="N62" s="270">
        <f t="shared" si="74"/>
        <v>695</v>
      </c>
      <c r="O62" s="270">
        <f t="shared" si="74"/>
        <v>695</v>
      </c>
      <c r="P62" s="270">
        <f t="shared" si="74"/>
        <v>695</v>
      </c>
      <c r="Q62" s="270">
        <f t="shared" si="74"/>
        <v>695</v>
      </c>
      <c r="R62" s="270">
        <f t="shared" si="74"/>
        <v>695</v>
      </c>
      <c r="S62" s="270">
        <f t="shared" si="75"/>
        <v>695</v>
      </c>
      <c r="T62" s="270">
        <f t="shared" si="75"/>
        <v>695</v>
      </c>
      <c r="U62" s="270">
        <f t="shared" si="75"/>
        <v>695</v>
      </c>
      <c r="V62" s="270">
        <f t="shared" si="75"/>
        <v>695</v>
      </c>
      <c r="W62" s="270">
        <f t="shared" si="75"/>
        <v>695</v>
      </c>
      <c r="X62" s="270">
        <f t="shared" si="75"/>
        <v>695</v>
      </c>
      <c r="Y62" s="270">
        <f t="shared" si="75"/>
        <v>695</v>
      </c>
      <c r="Z62" s="270">
        <f t="shared" si="75"/>
        <v>695</v>
      </c>
      <c r="AA62" s="270">
        <f t="shared" si="75"/>
        <v>695</v>
      </c>
      <c r="AB62" s="270">
        <f t="shared" si="75"/>
        <v>695</v>
      </c>
      <c r="AC62" s="270">
        <f t="shared" si="75"/>
        <v>695</v>
      </c>
      <c r="AD62" s="270">
        <f t="shared" si="74"/>
        <v>695</v>
      </c>
      <c r="AE62" s="270">
        <f t="shared" si="74"/>
        <v>695</v>
      </c>
      <c r="AF62" s="270">
        <f t="shared" si="76"/>
        <v>695</v>
      </c>
      <c r="AG62" s="270">
        <f t="shared" si="76"/>
        <v>695</v>
      </c>
      <c r="AH62" s="270">
        <f t="shared" si="76"/>
        <v>695</v>
      </c>
      <c r="AI62" s="270">
        <f t="shared" si="76"/>
        <v>695</v>
      </c>
      <c r="AJ62" s="270">
        <f t="shared" si="76"/>
        <v>695</v>
      </c>
      <c r="AK62" s="270">
        <f t="shared" si="76"/>
        <v>695</v>
      </c>
      <c r="AL62" s="270">
        <f t="shared" si="76"/>
        <v>695</v>
      </c>
      <c r="AM62" s="270">
        <f t="shared" si="76"/>
        <v>695</v>
      </c>
    </row>
    <row r="63" spans="2:39" ht="15.75" thickBot="1" x14ac:dyDescent="0.35">
      <c r="B63" s="56" t="str">
        <f>input_names!$B$3</f>
        <v>benzine</v>
      </c>
      <c r="C63" s="61">
        <v>15</v>
      </c>
      <c r="D63" s="270">
        <f t="shared" si="74"/>
        <v>265</v>
      </c>
      <c r="E63" s="270">
        <f t="shared" ref="E63:AE69" si="77">+MIN(MAX(0,$C63-E$11),E$12-E$11)*E$17
+MIN(MAX(0,$C63-E$12),E$13-E$12)*E$18
+MIN(MAX(0,$C63-E$13),E$14-E$13)*E$19
+MIN(MAX(0,$C63-E$14),E$15-E$14)*E$20
+MAX(0,$C63-E$15)*E$21
+E$26</f>
        <v>265</v>
      </c>
      <c r="F63" s="270">
        <f t="shared" si="77"/>
        <v>383</v>
      </c>
      <c r="G63" s="270">
        <f t="shared" si="77"/>
        <v>386</v>
      </c>
      <c r="H63" s="270">
        <f t="shared" si="77"/>
        <v>390</v>
      </c>
      <c r="I63" s="270">
        <f t="shared" si="77"/>
        <v>396</v>
      </c>
      <c r="J63" s="270">
        <f t="shared" si="77"/>
        <v>387</v>
      </c>
      <c r="K63" s="270">
        <f t="shared" si="77"/>
        <v>391</v>
      </c>
      <c r="L63" s="270">
        <f t="shared" si="77"/>
        <v>430</v>
      </c>
      <c r="M63" s="270">
        <f t="shared" si="77"/>
        <v>470</v>
      </c>
      <c r="N63" s="270">
        <f t="shared" si="77"/>
        <v>697</v>
      </c>
      <c r="O63" s="270">
        <f t="shared" si="77"/>
        <v>697</v>
      </c>
      <c r="P63" s="270">
        <f t="shared" si="77"/>
        <v>697</v>
      </c>
      <c r="Q63" s="270">
        <f t="shared" si="77"/>
        <v>697</v>
      </c>
      <c r="R63" s="270">
        <f t="shared" si="77"/>
        <v>697</v>
      </c>
      <c r="S63" s="270">
        <f t="shared" si="77"/>
        <v>697</v>
      </c>
      <c r="T63" s="270">
        <f t="shared" si="77"/>
        <v>697</v>
      </c>
      <c r="U63" s="270">
        <f t="shared" si="75"/>
        <v>697</v>
      </c>
      <c r="V63" s="270">
        <f t="shared" si="75"/>
        <v>697</v>
      </c>
      <c r="W63" s="270">
        <f t="shared" si="75"/>
        <v>697</v>
      </c>
      <c r="X63" s="270">
        <f t="shared" si="75"/>
        <v>697</v>
      </c>
      <c r="Y63" s="270">
        <f t="shared" si="75"/>
        <v>697</v>
      </c>
      <c r="Z63" s="270">
        <f t="shared" si="75"/>
        <v>697</v>
      </c>
      <c r="AA63" s="270">
        <f t="shared" si="75"/>
        <v>697</v>
      </c>
      <c r="AB63" s="270">
        <f t="shared" si="75"/>
        <v>697</v>
      </c>
      <c r="AC63" s="270">
        <f t="shared" si="75"/>
        <v>697</v>
      </c>
      <c r="AD63" s="270">
        <f t="shared" si="77"/>
        <v>697</v>
      </c>
      <c r="AE63" s="270">
        <f t="shared" si="77"/>
        <v>697</v>
      </c>
      <c r="AF63" s="270">
        <f t="shared" si="76"/>
        <v>697</v>
      </c>
      <c r="AG63" s="270">
        <f t="shared" si="76"/>
        <v>697</v>
      </c>
      <c r="AH63" s="270">
        <f t="shared" si="76"/>
        <v>697</v>
      </c>
      <c r="AI63" s="270">
        <f t="shared" si="76"/>
        <v>697</v>
      </c>
      <c r="AJ63" s="270">
        <f t="shared" si="76"/>
        <v>697</v>
      </c>
      <c r="AK63" s="270">
        <f t="shared" si="76"/>
        <v>697</v>
      </c>
      <c r="AL63" s="270">
        <f t="shared" si="76"/>
        <v>697</v>
      </c>
      <c r="AM63" s="270">
        <f t="shared" si="76"/>
        <v>697</v>
      </c>
    </row>
    <row r="64" spans="2:39" ht="15.75" thickBot="1" x14ac:dyDescent="0.35">
      <c r="B64" s="56" t="str">
        <f>input_names!$B$3</f>
        <v>benzine</v>
      </c>
      <c r="C64" s="61">
        <v>16</v>
      </c>
      <c r="D64" s="270">
        <f t="shared" ref="D64:R79" si="78">+MIN(MAX(0,$C64-D$11),D$12-D$11)*D$17
+MIN(MAX(0,$C64-D$12),D$13-D$12)*D$18
+MIN(MAX(0,$C64-D$13),D$14-D$13)*D$19
+MIN(MAX(0,$C64-D$14),D$15-D$14)*D$20
+MAX(0,$C64-D$15)*D$21
+D$26</f>
        <v>271</v>
      </c>
      <c r="E64" s="270">
        <f t="shared" si="78"/>
        <v>271</v>
      </c>
      <c r="F64" s="270">
        <f t="shared" si="78"/>
        <v>385</v>
      </c>
      <c r="G64" s="270">
        <f t="shared" si="78"/>
        <v>388</v>
      </c>
      <c r="H64" s="270">
        <f t="shared" si="78"/>
        <v>392</v>
      </c>
      <c r="I64" s="270">
        <f t="shared" si="78"/>
        <v>398</v>
      </c>
      <c r="J64" s="270">
        <f t="shared" si="78"/>
        <v>388</v>
      </c>
      <c r="K64" s="270">
        <f t="shared" si="78"/>
        <v>392</v>
      </c>
      <c r="L64" s="270">
        <f t="shared" si="78"/>
        <v>432</v>
      </c>
      <c r="M64" s="270">
        <f t="shared" si="78"/>
        <v>472</v>
      </c>
      <c r="N64" s="270">
        <f t="shared" si="78"/>
        <v>699</v>
      </c>
      <c r="O64" s="270">
        <f t="shared" si="78"/>
        <v>699</v>
      </c>
      <c r="P64" s="270">
        <f t="shared" si="78"/>
        <v>699</v>
      </c>
      <c r="Q64" s="270">
        <f t="shared" si="78"/>
        <v>699</v>
      </c>
      <c r="R64" s="270">
        <f t="shared" si="78"/>
        <v>699</v>
      </c>
      <c r="S64" s="270">
        <f t="shared" si="77"/>
        <v>699</v>
      </c>
      <c r="T64" s="270">
        <f t="shared" si="77"/>
        <v>699</v>
      </c>
      <c r="U64" s="270">
        <f t="shared" si="77"/>
        <v>699</v>
      </c>
      <c r="V64" s="270">
        <f t="shared" si="77"/>
        <v>699</v>
      </c>
      <c r="W64" s="270">
        <f t="shared" si="77"/>
        <v>699</v>
      </c>
      <c r="X64" s="270">
        <f t="shared" si="77"/>
        <v>699</v>
      </c>
      <c r="Y64" s="270">
        <f t="shared" si="77"/>
        <v>699</v>
      </c>
      <c r="Z64" s="270">
        <f t="shared" si="77"/>
        <v>699</v>
      </c>
      <c r="AA64" s="270">
        <f t="shared" si="77"/>
        <v>699</v>
      </c>
      <c r="AB64" s="270">
        <f t="shared" si="77"/>
        <v>699</v>
      </c>
      <c r="AC64" s="270">
        <f t="shared" si="77"/>
        <v>699</v>
      </c>
      <c r="AD64" s="270">
        <f t="shared" si="77"/>
        <v>699</v>
      </c>
      <c r="AE64" s="270">
        <f t="shared" si="77"/>
        <v>699</v>
      </c>
      <c r="AF64" s="270">
        <f t="shared" ref="AD64:AM87" si="79">+MIN(MAX(0,$C64-AF$11),AF$12-AF$11)*AF$17
+MIN(MAX(0,$C64-AF$12),AF$13-AF$12)*AF$18
+MIN(MAX(0,$C64-AF$13),AF$14-AF$13)*AF$19
+MIN(MAX(0,$C64-AF$14),AF$15-AF$14)*AF$20
+MAX(0,$C64-AF$15)*AF$21
+AF$26</f>
        <v>699</v>
      </c>
      <c r="AG64" s="270">
        <f t="shared" si="79"/>
        <v>699</v>
      </c>
      <c r="AH64" s="270">
        <f t="shared" si="79"/>
        <v>699</v>
      </c>
      <c r="AI64" s="270">
        <f t="shared" si="79"/>
        <v>699</v>
      </c>
      <c r="AJ64" s="270">
        <f t="shared" si="79"/>
        <v>699</v>
      </c>
      <c r="AK64" s="270">
        <f t="shared" si="79"/>
        <v>699</v>
      </c>
      <c r="AL64" s="270">
        <f t="shared" si="79"/>
        <v>699</v>
      </c>
      <c r="AM64" s="270">
        <f t="shared" si="79"/>
        <v>699</v>
      </c>
    </row>
    <row r="65" spans="2:39" ht="15.75" thickBot="1" x14ac:dyDescent="0.35">
      <c r="B65" s="56" t="str">
        <f>input_names!$B$3</f>
        <v>benzine</v>
      </c>
      <c r="C65" s="61">
        <v>17</v>
      </c>
      <c r="D65" s="270">
        <f t="shared" si="78"/>
        <v>277</v>
      </c>
      <c r="E65" s="270">
        <f t="shared" si="78"/>
        <v>277</v>
      </c>
      <c r="F65" s="270">
        <f t="shared" si="78"/>
        <v>387</v>
      </c>
      <c r="G65" s="270">
        <f t="shared" si="78"/>
        <v>390</v>
      </c>
      <c r="H65" s="270">
        <f t="shared" si="78"/>
        <v>394</v>
      </c>
      <c r="I65" s="270">
        <f t="shared" si="78"/>
        <v>400</v>
      </c>
      <c r="J65" s="270">
        <f t="shared" si="78"/>
        <v>389</v>
      </c>
      <c r="K65" s="270">
        <f t="shared" si="78"/>
        <v>393</v>
      </c>
      <c r="L65" s="270">
        <f t="shared" si="78"/>
        <v>434</v>
      </c>
      <c r="M65" s="270">
        <f t="shared" si="78"/>
        <v>474</v>
      </c>
      <c r="N65" s="270">
        <f t="shared" si="78"/>
        <v>701</v>
      </c>
      <c r="O65" s="270">
        <f t="shared" si="78"/>
        <v>701</v>
      </c>
      <c r="P65" s="270">
        <f t="shared" si="78"/>
        <v>701</v>
      </c>
      <c r="Q65" s="270">
        <f t="shared" si="78"/>
        <v>701</v>
      </c>
      <c r="R65" s="270">
        <f t="shared" si="78"/>
        <v>701</v>
      </c>
      <c r="S65" s="270">
        <f t="shared" si="77"/>
        <v>701</v>
      </c>
      <c r="T65" s="270">
        <f t="shared" si="77"/>
        <v>701</v>
      </c>
      <c r="U65" s="270">
        <f t="shared" si="77"/>
        <v>701</v>
      </c>
      <c r="V65" s="270">
        <f t="shared" si="77"/>
        <v>701</v>
      </c>
      <c r="W65" s="270">
        <f t="shared" si="77"/>
        <v>701</v>
      </c>
      <c r="X65" s="270">
        <f t="shared" si="77"/>
        <v>701</v>
      </c>
      <c r="Y65" s="270">
        <f t="shared" si="77"/>
        <v>701</v>
      </c>
      <c r="Z65" s="270">
        <f t="shared" si="77"/>
        <v>701</v>
      </c>
      <c r="AA65" s="270">
        <f t="shared" si="77"/>
        <v>701</v>
      </c>
      <c r="AB65" s="270">
        <f t="shared" si="77"/>
        <v>701</v>
      </c>
      <c r="AC65" s="270">
        <f t="shared" si="77"/>
        <v>701</v>
      </c>
      <c r="AD65" s="270">
        <f t="shared" si="79"/>
        <v>701</v>
      </c>
      <c r="AE65" s="270">
        <f t="shared" si="79"/>
        <v>701</v>
      </c>
      <c r="AF65" s="270">
        <f t="shared" si="79"/>
        <v>701</v>
      </c>
      <c r="AG65" s="270">
        <f t="shared" si="79"/>
        <v>701</v>
      </c>
      <c r="AH65" s="270">
        <f t="shared" si="79"/>
        <v>701</v>
      </c>
      <c r="AI65" s="270">
        <f t="shared" si="79"/>
        <v>701</v>
      </c>
      <c r="AJ65" s="270">
        <f t="shared" si="79"/>
        <v>701</v>
      </c>
      <c r="AK65" s="270">
        <f t="shared" si="79"/>
        <v>701</v>
      </c>
      <c r="AL65" s="270">
        <f t="shared" si="79"/>
        <v>701</v>
      </c>
      <c r="AM65" s="270">
        <f t="shared" si="79"/>
        <v>701</v>
      </c>
    </row>
    <row r="66" spans="2:39" ht="15.75" thickBot="1" x14ac:dyDescent="0.35">
      <c r="B66" s="56" t="str">
        <f>input_names!$B$3</f>
        <v>benzine</v>
      </c>
      <c r="C66" s="61">
        <v>18</v>
      </c>
      <c r="D66" s="270">
        <f t="shared" si="78"/>
        <v>283</v>
      </c>
      <c r="E66" s="270">
        <f t="shared" si="78"/>
        <v>283</v>
      </c>
      <c r="F66" s="270">
        <f t="shared" si="78"/>
        <v>389</v>
      </c>
      <c r="G66" s="270">
        <f t="shared" si="78"/>
        <v>392</v>
      </c>
      <c r="H66" s="270">
        <f t="shared" si="78"/>
        <v>396</v>
      </c>
      <c r="I66" s="270">
        <f t="shared" si="78"/>
        <v>402</v>
      </c>
      <c r="J66" s="270">
        <f t="shared" si="78"/>
        <v>390</v>
      </c>
      <c r="K66" s="270">
        <f t="shared" si="78"/>
        <v>394</v>
      </c>
      <c r="L66" s="270">
        <f t="shared" si="78"/>
        <v>436</v>
      </c>
      <c r="M66" s="270">
        <f t="shared" si="78"/>
        <v>476</v>
      </c>
      <c r="N66" s="270">
        <f t="shared" si="78"/>
        <v>703</v>
      </c>
      <c r="O66" s="270">
        <f t="shared" si="78"/>
        <v>703</v>
      </c>
      <c r="P66" s="270">
        <f t="shared" si="78"/>
        <v>703</v>
      </c>
      <c r="Q66" s="270">
        <f t="shared" si="78"/>
        <v>703</v>
      </c>
      <c r="R66" s="270">
        <f t="shared" si="78"/>
        <v>703</v>
      </c>
      <c r="S66" s="270">
        <f t="shared" si="77"/>
        <v>703</v>
      </c>
      <c r="T66" s="270">
        <f t="shared" si="77"/>
        <v>703</v>
      </c>
      <c r="U66" s="270">
        <f t="shared" si="77"/>
        <v>703</v>
      </c>
      <c r="V66" s="270">
        <f t="shared" si="77"/>
        <v>703</v>
      </c>
      <c r="W66" s="270">
        <f t="shared" si="77"/>
        <v>703</v>
      </c>
      <c r="X66" s="270">
        <f t="shared" si="77"/>
        <v>703</v>
      </c>
      <c r="Y66" s="270">
        <f t="shared" si="77"/>
        <v>703</v>
      </c>
      <c r="Z66" s="270">
        <f t="shared" si="77"/>
        <v>703</v>
      </c>
      <c r="AA66" s="270">
        <f t="shared" si="77"/>
        <v>703</v>
      </c>
      <c r="AB66" s="270">
        <f t="shared" si="77"/>
        <v>703</v>
      </c>
      <c r="AC66" s="270">
        <f t="shared" si="77"/>
        <v>703</v>
      </c>
      <c r="AD66" s="270">
        <f t="shared" si="79"/>
        <v>703</v>
      </c>
      <c r="AE66" s="270">
        <f t="shared" si="79"/>
        <v>703</v>
      </c>
      <c r="AF66" s="270">
        <f t="shared" si="79"/>
        <v>703</v>
      </c>
      <c r="AG66" s="270">
        <f t="shared" si="79"/>
        <v>703</v>
      </c>
      <c r="AH66" s="270">
        <f t="shared" si="79"/>
        <v>703</v>
      </c>
      <c r="AI66" s="270">
        <f t="shared" si="79"/>
        <v>703</v>
      </c>
      <c r="AJ66" s="270">
        <f t="shared" si="79"/>
        <v>703</v>
      </c>
      <c r="AK66" s="270">
        <f t="shared" si="79"/>
        <v>703</v>
      </c>
      <c r="AL66" s="270">
        <f t="shared" si="79"/>
        <v>703</v>
      </c>
      <c r="AM66" s="270">
        <f t="shared" si="79"/>
        <v>703</v>
      </c>
    </row>
    <row r="67" spans="2:39" ht="15.75" thickBot="1" x14ac:dyDescent="0.35">
      <c r="B67" s="56" t="str">
        <f>input_names!$B$3</f>
        <v>benzine</v>
      </c>
      <c r="C67" s="61">
        <v>19</v>
      </c>
      <c r="D67" s="270">
        <f t="shared" si="78"/>
        <v>289</v>
      </c>
      <c r="E67" s="270">
        <f t="shared" si="78"/>
        <v>289</v>
      </c>
      <c r="F67" s="270">
        <f t="shared" si="78"/>
        <v>391</v>
      </c>
      <c r="G67" s="270">
        <f t="shared" si="78"/>
        <v>394</v>
      </c>
      <c r="H67" s="270">
        <f t="shared" si="78"/>
        <v>398</v>
      </c>
      <c r="I67" s="270">
        <f t="shared" si="78"/>
        <v>404</v>
      </c>
      <c r="J67" s="270">
        <f t="shared" si="78"/>
        <v>391</v>
      </c>
      <c r="K67" s="270">
        <f t="shared" si="78"/>
        <v>395</v>
      </c>
      <c r="L67" s="270">
        <f t="shared" si="78"/>
        <v>438</v>
      </c>
      <c r="M67" s="270">
        <f t="shared" si="78"/>
        <v>478</v>
      </c>
      <c r="N67" s="270">
        <f t="shared" si="78"/>
        <v>705</v>
      </c>
      <c r="O67" s="270">
        <f t="shared" si="78"/>
        <v>705</v>
      </c>
      <c r="P67" s="270">
        <f t="shared" si="78"/>
        <v>705</v>
      </c>
      <c r="Q67" s="270">
        <f t="shared" si="78"/>
        <v>705</v>
      </c>
      <c r="R67" s="270">
        <f t="shared" si="78"/>
        <v>705</v>
      </c>
      <c r="S67" s="270">
        <f t="shared" si="77"/>
        <v>705</v>
      </c>
      <c r="T67" s="270">
        <f t="shared" si="77"/>
        <v>705</v>
      </c>
      <c r="U67" s="270">
        <f t="shared" si="77"/>
        <v>705</v>
      </c>
      <c r="V67" s="270">
        <f t="shared" si="77"/>
        <v>705</v>
      </c>
      <c r="W67" s="270">
        <f t="shared" si="77"/>
        <v>705</v>
      </c>
      <c r="X67" s="270">
        <f t="shared" si="77"/>
        <v>705</v>
      </c>
      <c r="Y67" s="270">
        <f t="shared" si="77"/>
        <v>705</v>
      </c>
      <c r="Z67" s="270">
        <f t="shared" si="77"/>
        <v>705</v>
      </c>
      <c r="AA67" s="270">
        <f t="shared" si="77"/>
        <v>705</v>
      </c>
      <c r="AB67" s="270">
        <f t="shared" si="77"/>
        <v>705</v>
      </c>
      <c r="AC67" s="270">
        <f t="shared" si="77"/>
        <v>705</v>
      </c>
      <c r="AD67" s="270">
        <f t="shared" si="79"/>
        <v>705</v>
      </c>
      <c r="AE67" s="270">
        <f t="shared" si="79"/>
        <v>705</v>
      </c>
      <c r="AF67" s="270">
        <f t="shared" si="79"/>
        <v>705</v>
      </c>
      <c r="AG67" s="270">
        <f t="shared" si="79"/>
        <v>705</v>
      </c>
      <c r="AH67" s="270">
        <f t="shared" si="79"/>
        <v>705</v>
      </c>
      <c r="AI67" s="270">
        <f t="shared" si="79"/>
        <v>705</v>
      </c>
      <c r="AJ67" s="270">
        <f t="shared" si="79"/>
        <v>705</v>
      </c>
      <c r="AK67" s="270">
        <f t="shared" si="79"/>
        <v>705</v>
      </c>
      <c r="AL67" s="270">
        <f t="shared" si="79"/>
        <v>705</v>
      </c>
      <c r="AM67" s="270">
        <f t="shared" si="79"/>
        <v>705</v>
      </c>
    </row>
    <row r="68" spans="2:39" ht="15.75" thickBot="1" x14ac:dyDescent="0.35">
      <c r="B68" s="56" t="str">
        <f>input_names!$B$3</f>
        <v>benzine</v>
      </c>
      <c r="C68" s="61">
        <v>20</v>
      </c>
      <c r="D68" s="270">
        <f t="shared" si="78"/>
        <v>295</v>
      </c>
      <c r="E68" s="270">
        <f t="shared" si="78"/>
        <v>295</v>
      </c>
      <c r="F68" s="270">
        <f t="shared" si="78"/>
        <v>393</v>
      </c>
      <c r="G68" s="270">
        <f t="shared" si="78"/>
        <v>396</v>
      </c>
      <c r="H68" s="270">
        <f t="shared" si="78"/>
        <v>400</v>
      </c>
      <c r="I68" s="270">
        <f t="shared" si="78"/>
        <v>406</v>
      </c>
      <c r="J68" s="270">
        <f t="shared" si="78"/>
        <v>392</v>
      </c>
      <c r="K68" s="270">
        <f t="shared" si="78"/>
        <v>396</v>
      </c>
      <c r="L68" s="270">
        <f t="shared" si="78"/>
        <v>440</v>
      </c>
      <c r="M68" s="270">
        <f t="shared" si="78"/>
        <v>480</v>
      </c>
      <c r="N68" s="270">
        <f t="shared" si="78"/>
        <v>707</v>
      </c>
      <c r="O68" s="270">
        <f t="shared" si="78"/>
        <v>707</v>
      </c>
      <c r="P68" s="270">
        <f t="shared" si="78"/>
        <v>707</v>
      </c>
      <c r="Q68" s="270">
        <f t="shared" si="78"/>
        <v>707</v>
      </c>
      <c r="R68" s="270">
        <f t="shared" si="78"/>
        <v>707</v>
      </c>
      <c r="S68" s="270">
        <f t="shared" si="77"/>
        <v>707</v>
      </c>
      <c r="T68" s="270">
        <f t="shared" si="77"/>
        <v>707</v>
      </c>
      <c r="U68" s="270">
        <f t="shared" si="77"/>
        <v>707</v>
      </c>
      <c r="V68" s="270">
        <f t="shared" si="77"/>
        <v>707</v>
      </c>
      <c r="W68" s="270">
        <f t="shared" si="77"/>
        <v>707</v>
      </c>
      <c r="X68" s="270">
        <f t="shared" si="77"/>
        <v>707</v>
      </c>
      <c r="Y68" s="270">
        <f t="shared" si="77"/>
        <v>707</v>
      </c>
      <c r="Z68" s="270">
        <f t="shared" si="77"/>
        <v>707</v>
      </c>
      <c r="AA68" s="270">
        <f t="shared" si="77"/>
        <v>707</v>
      </c>
      <c r="AB68" s="270">
        <f t="shared" si="77"/>
        <v>707</v>
      </c>
      <c r="AC68" s="270">
        <f t="shared" si="77"/>
        <v>707</v>
      </c>
      <c r="AD68" s="270">
        <f t="shared" si="79"/>
        <v>707</v>
      </c>
      <c r="AE68" s="270">
        <f t="shared" si="79"/>
        <v>707</v>
      </c>
      <c r="AF68" s="270">
        <f t="shared" si="79"/>
        <v>707</v>
      </c>
      <c r="AG68" s="270">
        <f t="shared" si="79"/>
        <v>707</v>
      </c>
      <c r="AH68" s="270">
        <f t="shared" si="79"/>
        <v>707</v>
      </c>
      <c r="AI68" s="270">
        <f t="shared" si="79"/>
        <v>707</v>
      </c>
      <c r="AJ68" s="270">
        <f t="shared" si="79"/>
        <v>707</v>
      </c>
      <c r="AK68" s="270">
        <f t="shared" si="79"/>
        <v>707</v>
      </c>
      <c r="AL68" s="270">
        <f t="shared" si="79"/>
        <v>707</v>
      </c>
      <c r="AM68" s="270">
        <f t="shared" si="79"/>
        <v>707</v>
      </c>
    </row>
    <row r="69" spans="2:39" ht="15.75" thickBot="1" x14ac:dyDescent="0.35">
      <c r="B69" s="56" t="str">
        <f>input_names!$B$3</f>
        <v>benzine</v>
      </c>
      <c r="C69" s="61">
        <v>21</v>
      </c>
      <c r="D69" s="270">
        <f t="shared" si="78"/>
        <v>301</v>
      </c>
      <c r="E69" s="270">
        <f t="shared" si="78"/>
        <v>301</v>
      </c>
      <c r="F69" s="270">
        <f t="shared" si="78"/>
        <v>395</v>
      </c>
      <c r="G69" s="270">
        <f t="shared" si="78"/>
        <v>398</v>
      </c>
      <c r="H69" s="270">
        <f t="shared" si="78"/>
        <v>402</v>
      </c>
      <c r="I69" s="270">
        <f t="shared" si="78"/>
        <v>408</v>
      </c>
      <c r="J69" s="270">
        <f t="shared" si="78"/>
        <v>393</v>
      </c>
      <c r="K69" s="270">
        <f t="shared" si="78"/>
        <v>397</v>
      </c>
      <c r="L69" s="270">
        <f t="shared" si="78"/>
        <v>442</v>
      </c>
      <c r="M69" s="270">
        <f t="shared" si="78"/>
        <v>482</v>
      </c>
      <c r="N69" s="270">
        <f t="shared" si="78"/>
        <v>709</v>
      </c>
      <c r="O69" s="270">
        <f t="shared" si="78"/>
        <v>709</v>
      </c>
      <c r="P69" s="270">
        <f t="shared" si="78"/>
        <v>709</v>
      </c>
      <c r="Q69" s="270">
        <f t="shared" si="78"/>
        <v>709</v>
      </c>
      <c r="R69" s="270">
        <f t="shared" si="78"/>
        <v>709</v>
      </c>
      <c r="S69" s="270">
        <f t="shared" si="77"/>
        <v>709</v>
      </c>
      <c r="T69" s="270">
        <f t="shared" si="77"/>
        <v>709</v>
      </c>
      <c r="U69" s="270">
        <f t="shared" si="77"/>
        <v>709</v>
      </c>
      <c r="V69" s="270">
        <f t="shared" si="77"/>
        <v>709</v>
      </c>
      <c r="W69" s="270">
        <f t="shared" si="77"/>
        <v>709</v>
      </c>
      <c r="X69" s="270">
        <f t="shared" si="77"/>
        <v>709</v>
      </c>
      <c r="Y69" s="270">
        <f t="shared" si="77"/>
        <v>709</v>
      </c>
      <c r="Z69" s="270">
        <f t="shared" si="77"/>
        <v>709</v>
      </c>
      <c r="AA69" s="270">
        <f t="shared" si="77"/>
        <v>709</v>
      </c>
      <c r="AB69" s="270">
        <f t="shared" ref="S69:AC92" si="80">+MIN(MAX(0,$C69-AB$11),AB$12-AB$11)*AB$17
+MIN(MAX(0,$C69-AB$12),AB$13-AB$12)*AB$18
+MIN(MAX(0,$C69-AB$13),AB$14-AB$13)*AB$19
+MIN(MAX(0,$C69-AB$14),AB$15-AB$14)*AB$20
+MAX(0,$C69-AB$15)*AB$21
+AB$26</f>
        <v>709</v>
      </c>
      <c r="AC69" s="270">
        <f t="shared" si="80"/>
        <v>709</v>
      </c>
      <c r="AD69" s="270">
        <f t="shared" si="79"/>
        <v>709</v>
      </c>
      <c r="AE69" s="270">
        <f t="shared" si="79"/>
        <v>709</v>
      </c>
      <c r="AF69" s="270">
        <f t="shared" si="79"/>
        <v>709</v>
      </c>
      <c r="AG69" s="270">
        <f t="shared" si="79"/>
        <v>709</v>
      </c>
      <c r="AH69" s="270">
        <f t="shared" si="79"/>
        <v>709</v>
      </c>
      <c r="AI69" s="270">
        <f t="shared" si="79"/>
        <v>709</v>
      </c>
      <c r="AJ69" s="270">
        <f t="shared" si="79"/>
        <v>709</v>
      </c>
      <c r="AK69" s="270">
        <f t="shared" si="79"/>
        <v>709</v>
      </c>
      <c r="AL69" s="270">
        <f t="shared" si="79"/>
        <v>709</v>
      </c>
      <c r="AM69" s="270">
        <f t="shared" si="79"/>
        <v>709</v>
      </c>
    </row>
    <row r="70" spans="2:39" ht="15.75" thickBot="1" x14ac:dyDescent="0.35">
      <c r="B70" s="56" t="str">
        <f>input_names!$B$3</f>
        <v>benzine</v>
      </c>
      <c r="C70" s="61">
        <v>22</v>
      </c>
      <c r="D70" s="270">
        <f t="shared" si="78"/>
        <v>307</v>
      </c>
      <c r="E70" s="270">
        <f t="shared" si="78"/>
        <v>307</v>
      </c>
      <c r="F70" s="270">
        <f t="shared" si="78"/>
        <v>397</v>
      </c>
      <c r="G70" s="270">
        <f t="shared" si="78"/>
        <v>400</v>
      </c>
      <c r="H70" s="270">
        <f t="shared" si="78"/>
        <v>404</v>
      </c>
      <c r="I70" s="270">
        <f t="shared" si="78"/>
        <v>410</v>
      </c>
      <c r="J70" s="270">
        <f t="shared" si="78"/>
        <v>394</v>
      </c>
      <c r="K70" s="270">
        <f t="shared" si="78"/>
        <v>398</v>
      </c>
      <c r="L70" s="270">
        <f t="shared" si="78"/>
        <v>444</v>
      </c>
      <c r="M70" s="270">
        <f t="shared" si="78"/>
        <v>484</v>
      </c>
      <c r="N70" s="270">
        <f t="shared" si="78"/>
        <v>711</v>
      </c>
      <c r="O70" s="270">
        <f t="shared" si="78"/>
        <v>711</v>
      </c>
      <c r="P70" s="270">
        <f t="shared" si="78"/>
        <v>711</v>
      </c>
      <c r="Q70" s="270">
        <f t="shared" si="78"/>
        <v>711</v>
      </c>
      <c r="R70" s="270">
        <f t="shared" si="78"/>
        <v>711</v>
      </c>
      <c r="S70" s="270">
        <f t="shared" si="80"/>
        <v>711</v>
      </c>
      <c r="T70" s="270">
        <f t="shared" si="80"/>
        <v>711</v>
      </c>
      <c r="U70" s="270">
        <f t="shared" si="80"/>
        <v>711</v>
      </c>
      <c r="V70" s="270">
        <f t="shared" si="80"/>
        <v>711</v>
      </c>
      <c r="W70" s="270">
        <f t="shared" si="80"/>
        <v>711</v>
      </c>
      <c r="X70" s="270">
        <f t="shared" si="80"/>
        <v>711</v>
      </c>
      <c r="Y70" s="270">
        <f t="shared" si="80"/>
        <v>711</v>
      </c>
      <c r="Z70" s="270">
        <f t="shared" si="80"/>
        <v>711</v>
      </c>
      <c r="AA70" s="270">
        <f t="shared" si="80"/>
        <v>711</v>
      </c>
      <c r="AB70" s="270">
        <f t="shared" si="80"/>
        <v>711</v>
      </c>
      <c r="AC70" s="270">
        <f t="shared" si="80"/>
        <v>711</v>
      </c>
      <c r="AD70" s="270">
        <f t="shared" si="79"/>
        <v>711</v>
      </c>
      <c r="AE70" s="270">
        <f t="shared" si="79"/>
        <v>711</v>
      </c>
      <c r="AF70" s="270">
        <f t="shared" si="79"/>
        <v>711</v>
      </c>
      <c r="AG70" s="270">
        <f t="shared" si="79"/>
        <v>711</v>
      </c>
      <c r="AH70" s="270">
        <f t="shared" si="79"/>
        <v>711</v>
      </c>
      <c r="AI70" s="270">
        <f t="shared" si="79"/>
        <v>711</v>
      </c>
      <c r="AJ70" s="270">
        <f t="shared" si="79"/>
        <v>711</v>
      </c>
      <c r="AK70" s="270">
        <f t="shared" si="79"/>
        <v>711</v>
      </c>
      <c r="AL70" s="270">
        <f t="shared" si="79"/>
        <v>711</v>
      </c>
      <c r="AM70" s="270">
        <f t="shared" si="79"/>
        <v>711</v>
      </c>
    </row>
    <row r="71" spans="2:39" ht="15.75" thickBot="1" x14ac:dyDescent="0.35">
      <c r="B71" s="56" t="str">
        <f>input_names!$B$3</f>
        <v>benzine</v>
      </c>
      <c r="C71" s="61">
        <v>23</v>
      </c>
      <c r="D71" s="270">
        <f t="shared" si="78"/>
        <v>313</v>
      </c>
      <c r="E71" s="270">
        <f t="shared" si="78"/>
        <v>313</v>
      </c>
      <c r="F71" s="270">
        <f t="shared" si="78"/>
        <v>399</v>
      </c>
      <c r="G71" s="270">
        <f t="shared" si="78"/>
        <v>402</v>
      </c>
      <c r="H71" s="270">
        <f t="shared" si="78"/>
        <v>406</v>
      </c>
      <c r="I71" s="270">
        <f t="shared" si="78"/>
        <v>412</v>
      </c>
      <c r="J71" s="270">
        <f t="shared" si="78"/>
        <v>395</v>
      </c>
      <c r="K71" s="270">
        <f t="shared" si="78"/>
        <v>399</v>
      </c>
      <c r="L71" s="270">
        <f t="shared" si="78"/>
        <v>446</v>
      </c>
      <c r="M71" s="270">
        <f t="shared" si="78"/>
        <v>486</v>
      </c>
      <c r="N71" s="270">
        <f t="shared" si="78"/>
        <v>713</v>
      </c>
      <c r="O71" s="270">
        <f t="shared" si="78"/>
        <v>713</v>
      </c>
      <c r="P71" s="270">
        <f t="shared" si="78"/>
        <v>713</v>
      </c>
      <c r="Q71" s="270">
        <f t="shared" si="78"/>
        <v>713</v>
      </c>
      <c r="R71" s="270">
        <f t="shared" si="78"/>
        <v>713</v>
      </c>
      <c r="S71" s="270">
        <f t="shared" si="80"/>
        <v>713</v>
      </c>
      <c r="T71" s="270">
        <f t="shared" si="80"/>
        <v>713</v>
      </c>
      <c r="U71" s="270">
        <f t="shared" si="80"/>
        <v>713</v>
      </c>
      <c r="V71" s="270">
        <f t="shared" si="80"/>
        <v>713</v>
      </c>
      <c r="W71" s="270">
        <f t="shared" si="80"/>
        <v>713</v>
      </c>
      <c r="X71" s="270">
        <f t="shared" si="80"/>
        <v>713</v>
      </c>
      <c r="Y71" s="270">
        <f t="shared" si="80"/>
        <v>713</v>
      </c>
      <c r="Z71" s="270">
        <f t="shared" si="80"/>
        <v>713</v>
      </c>
      <c r="AA71" s="270">
        <f t="shared" si="80"/>
        <v>713</v>
      </c>
      <c r="AB71" s="270">
        <f t="shared" si="80"/>
        <v>713</v>
      </c>
      <c r="AC71" s="270">
        <f t="shared" si="80"/>
        <v>713</v>
      </c>
      <c r="AD71" s="270">
        <f t="shared" si="79"/>
        <v>713</v>
      </c>
      <c r="AE71" s="270">
        <f t="shared" si="79"/>
        <v>713</v>
      </c>
      <c r="AF71" s="270">
        <f t="shared" si="79"/>
        <v>713</v>
      </c>
      <c r="AG71" s="270">
        <f t="shared" si="79"/>
        <v>713</v>
      </c>
      <c r="AH71" s="270">
        <f t="shared" si="79"/>
        <v>713</v>
      </c>
      <c r="AI71" s="270">
        <f t="shared" si="79"/>
        <v>713</v>
      </c>
      <c r="AJ71" s="270">
        <f t="shared" si="79"/>
        <v>713</v>
      </c>
      <c r="AK71" s="270">
        <f t="shared" si="79"/>
        <v>713</v>
      </c>
      <c r="AL71" s="270">
        <f t="shared" si="79"/>
        <v>713</v>
      </c>
      <c r="AM71" s="270">
        <f t="shared" si="79"/>
        <v>713</v>
      </c>
    </row>
    <row r="72" spans="2:39" ht="15.75" thickBot="1" x14ac:dyDescent="0.35">
      <c r="B72" s="56" t="str">
        <f>input_names!$B$3</f>
        <v>benzine</v>
      </c>
      <c r="C72" s="61">
        <v>24</v>
      </c>
      <c r="D72" s="270">
        <f t="shared" si="78"/>
        <v>319</v>
      </c>
      <c r="E72" s="270">
        <f t="shared" si="78"/>
        <v>319</v>
      </c>
      <c r="F72" s="270">
        <f t="shared" si="78"/>
        <v>401</v>
      </c>
      <c r="G72" s="270">
        <f t="shared" si="78"/>
        <v>404</v>
      </c>
      <c r="H72" s="270">
        <f t="shared" si="78"/>
        <v>408</v>
      </c>
      <c r="I72" s="270">
        <f t="shared" si="78"/>
        <v>414</v>
      </c>
      <c r="J72" s="270">
        <f t="shared" si="78"/>
        <v>396</v>
      </c>
      <c r="K72" s="270">
        <f t="shared" si="78"/>
        <v>400</v>
      </c>
      <c r="L72" s="270">
        <f t="shared" si="78"/>
        <v>448</v>
      </c>
      <c r="M72" s="270">
        <f t="shared" si="78"/>
        <v>488</v>
      </c>
      <c r="N72" s="270">
        <f t="shared" si="78"/>
        <v>715</v>
      </c>
      <c r="O72" s="270">
        <f t="shared" si="78"/>
        <v>715</v>
      </c>
      <c r="P72" s="270">
        <f t="shared" si="78"/>
        <v>715</v>
      </c>
      <c r="Q72" s="270">
        <f t="shared" si="78"/>
        <v>715</v>
      </c>
      <c r="R72" s="270">
        <f t="shared" si="78"/>
        <v>715</v>
      </c>
      <c r="S72" s="270">
        <f t="shared" si="80"/>
        <v>715</v>
      </c>
      <c r="T72" s="270">
        <f t="shared" si="80"/>
        <v>715</v>
      </c>
      <c r="U72" s="270">
        <f t="shared" si="80"/>
        <v>715</v>
      </c>
      <c r="V72" s="270">
        <f t="shared" si="80"/>
        <v>715</v>
      </c>
      <c r="W72" s="270">
        <f t="shared" si="80"/>
        <v>715</v>
      </c>
      <c r="X72" s="270">
        <f t="shared" si="80"/>
        <v>715</v>
      </c>
      <c r="Y72" s="270">
        <f t="shared" si="80"/>
        <v>715</v>
      </c>
      <c r="Z72" s="270">
        <f t="shared" si="80"/>
        <v>715</v>
      </c>
      <c r="AA72" s="270">
        <f t="shared" si="80"/>
        <v>715</v>
      </c>
      <c r="AB72" s="270">
        <f t="shared" si="80"/>
        <v>715</v>
      </c>
      <c r="AC72" s="270">
        <f t="shared" si="80"/>
        <v>715</v>
      </c>
      <c r="AD72" s="270">
        <f t="shared" si="79"/>
        <v>715</v>
      </c>
      <c r="AE72" s="270">
        <f t="shared" si="79"/>
        <v>715</v>
      </c>
      <c r="AF72" s="270">
        <f t="shared" si="79"/>
        <v>715</v>
      </c>
      <c r="AG72" s="270">
        <f t="shared" si="79"/>
        <v>715</v>
      </c>
      <c r="AH72" s="270">
        <f t="shared" si="79"/>
        <v>715</v>
      </c>
      <c r="AI72" s="270">
        <f t="shared" si="79"/>
        <v>715</v>
      </c>
      <c r="AJ72" s="270">
        <f t="shared" si="79"/>
        <v>715</v>
      </c>
      <c r="AK72" s="270">
        <f t="shared" si="79"/>
        <v>715</v>
      </c>
      <c r="AL72" s="270">
        <f t="shared" si="79"/>
        <v>715</v>
      </c>
      <c r="AM72" s="270">
        <f t="shared" si="79"/>
        <v>715</v>
      </c>
    </row>
    <row r="73" spans="2:39" ht="15.75" thickBot="1" x14ac:dyDescent="0.35">
      <c r="B73" s="56" t="str">
        <f>input_names!$B$3</f>
        <v>benzine</v>
      </c>
      <c r="C73" s="61">
        <v>25</v>
      </c>
      <c r="D73" s="270">
        <f t="shared" si="78"/>
        <v>325</v>
      </c>
      <c r="E73" s="270">
        <f t="shared" si="78"/>
        <v>325</v>
      </c>
      <c r="F73" s="270">
        <f t="shared" si="78"/>
        <v>403</v>
      </c>
      <c r="G73" s="270">
        <f t="shared" si="78"/>
        <v>406</v>
      </c>
      <c r="H73" s="270">
        <f t="shared" si="78"/>
        <v>410</v>
      </c>
      <c r="I73" s="270">
        <f t="shared" si="78"/>
        <v>416</v>
      </c>
      <c r="J73" s="270">
        <f t="shared" si="78"/>
        <v>397</v>
      </c>
      <c r="K73" s="270">
        <f t="shared" si="78"/>
        <v>401</v>
      </c>
      <c r="L73" s="270">
        <f t="shared" si="78"/>
        <v>450</v>
      </c>
      <c r="M73" s="270">
        <f t="shared" si="78"/>
        <v>490</v>
      </c>
      <c r="N73" s="270">
        <f t="shared" si="78"/>
        <v>717</v>
      </c>
      <c r="O73" s="270">
        <f t="shared" si="78"/>
        <v>717</v>
      </c>
      <c r="P73" s="270">
        <f t="shared" si="78"/>
        <v>717</v>
      </c>
      <c r="Q73" s="270">
        <f t="shared" si="78"/>
        <v>717</v>
      </c>
      <c r="R73" s="270">
        <f t="shared" si="78"/>
        <v>717</v>
      </c>
      <c r="S73" s="270">
        <f t="shared" si="80"/>
        <v>717</v>
      </c>
      <c r="T73" s="270">
        <f t="shared" si="80"/>
        <v>717</v>
      </c>
      <c r="U73" s="270">
        <f t="shared" si="80"/>
        <v>717</v>
      </c>
      <c r="V73" s="270">
        <f t="shared" si="80"/>
        <v>717</v>
      </c>
      <c r="W73" s="270">
        <f t="shared" si="80"/>
        <v>717</v>
      </c>
      <c r="X73" s="270">
        <f t="shared" si="80"/>
        <v>717</v>
      </c>
      <c r="Y73" s="270">
        <f t="shared" si="80"/>
        <v>717</v>
      </c>
      <c r="Z73" s="270">
        <f t="shared" si="80"/>
        <v>717</v>
      </c>
      <c r="AA73" s="270">
        <f t="shared" si="80"/>
        <v>717</v>
      </c>
      <c r="AB73" s="270">
        <f t="shared" si="80"/>
        <v>717</v>
      </c>
      <c r="AC73" s="270">
        <f t="shared" si="80"/>
        <v>717</v>
      </c>
      <c r="AD73" s="270">
        <f t="shared" si="79"/>
        <v>717</v>
      </c>
      <c r="AE73" s="270">
        <f t="shared" si="79"/>
        <v>717</v>
      </c>
      <c r="AF73" s="270">
        <f t="shared" si="79"/>
        <v>717</v>
      </c>
      <c r="AG73" s="270">
        <f t="shared" si="79"/>
        <v>717</v>
      </c>
      <c r="AH73" s="270">
        <f t="shared" si="79"/>
        <v>717</v>
      </c>
      <c r="AI73" s="270">
        <f t="shared" si="79"/>
        <v>717</v>
      </c>
      <c r="AJ73" s="270">
        <f t="shared" si="79"/>
        <v>717</v>
      </c>
      <c r="AK73" s="270">
        <f t="shared" si="79"/>
        <v>717</v>
      </c>
      <c r="AL73" s="270">
        <f t="shared" si="79"/>
        <v>717</v>
      </c>
      <c r="AM73" s="270">
        <f t="shared" si="79"/>
        <v>717</v>
      </c>
    </row>
    <row r="74" spans="2:39" ht="15.75" thickBot="1" x14ac:dyDescent="0.35">
      <c r="B74" s="56" t="str">
        <f>input_names!$B$3</f>
        <v>benzine</v>
      </c>
      <c r="C74" s="61">
        <v>26</v>
      </c>
      <c r="D74" s="270">
        <f t="shared" si="78"/>
        <v>331</v>
      </c>
      <c r="E74" s="270">
        <f t="shared" si="78"/>
        <v>331</v>
      </c>
      <c r="F74" s="270">
        <f t="shared" si="78"/>
        <v>405</v>
      </c>
      <c r="G74" s="270">
        <f t="shared" si="78"/>
        <v>408</v>
      </c>
      <c r="H74" s="270">
        <f t="shared" si="78"/>
        <v>412</v>
      </c>
      <c r="I74" s="270">
        <f t="shared" si="78"/>
        <v>418</v>
      </c>
      <c r="J74" s="270">
        <f t="shared" si="78"/>
        <v>398</v>
      </c>
      <c r="K74" s="270">
        <f t="shared" si="78"/>
        <v>402</v>
      </c>
      <c r="L74" s="270">
        <f t="shared" si="78"/>
        <v>452</v>
      </c>
      <c r="M74" s="270">
        <f t="shared" si="78"/>
        <v>492</v>
      </c>
      <c r="N74" s="270">
        <f t="shared" si="78"/>
        <v>719</v>
      </c>
      <c r="O74" s="270">
        <f t="shared" si="78"/>
        <v>719</v>
      </c>
      <c r="P74" s="270">
        <f t="shared" si="78"/>
        <v>719</v>
      </c>
      <c r="Q74" s="270">
        <f t="shared" si="78"/>
        <v>719</v>
      </c>
      <c r="R74" s="270">
        <f t="shared" si="78"/>
        <v>719</v>
      </c>
      <c r="S74" s="270">
        <f t="shared" si="80"/>
        <v>719</v>
      </c>
      <c r="T74" s="270">
        <f t="shared" si="80"/>
        <v>719</v>
      </c>
      <c r="U74" s="270">
        <f t="shared" si="80"/>
        <v>719</v>
      </c>
      <c r="V74" s="270">
        <f t="shared" si="80"/>
        <v>719</v>
      </c>
      <c r="W74" s="270">
        <f t="shared" si="80"/>
        <v>719</v>
      </c>
      <c r="X74" s="270">
        <f t="shared" si="80"/>
        <v>719</v>
      </c>
      <c r="Y74" s="270">
        <f t="shared" si="80"/>
        <v>719</v>
      </c>
      <c r="Z74" s="270">
        <f t="shared" si="80"/>
        <v>719</v>
      </c>
      <c r="AA74" s="270">
        <f t="shared" si="80"/>
        <v>719</v>
      </c>
      <c r="AB74" s="270">
        <f t="shared" si="80"/>
        <v>719</v>
      </c>
      <c r="AC74" s="270">
        <f t="shared" si="80"/>
        <v>719</v>
      </c>
      <c r="AD74" s="270">
        <f t="shared" si="79"/>
        <v>719</v>
      </c>
      <c r="AE74" s="270">
        <f t="shared" si="79"/>
        <v>719</v>
      </c>
      <c r="AF74" s="270">
        <f t="shared" si="79"/>
        <v>719</v>
      </c>
      <c r="AG74" s="270">
        <f t="shared" si="79"/>
        <v>719</v>
      </c>
      <c r="AH74" s="270">
        <f t="shared" si="79"/>
        <v>719</v>
      </c>
      <c r="AI74" s="270">
        <f t="shared" si="79"/>
        <v>719</v>
      </c>
      <c r="AJ74" s="270">
        <f t="shared" si="79"/>
        <v>719</v>
      </c>
      <c r="AK74" s="270">
        <f t="shared" si="79"/>
        <v>719</v>
      </c>
      <c r="AL74" s="270">
        <f t="shared" si="79"/>
        <v>719</v>
      </c>
      <c r="AM74" s="270">
        <f t="shared" si="79"/>
        <v>719</v>
      </c>
    </row>
    <row r="75" spans="2:39" ht="15.75" thickBot="1" x14ac:dyDescent="0.35">
      <c r="B75" s="56" t="str">
        <f>input_names!$B$3</f>
        <v>benzine</v>
      </c>
      <c r="C75" s="61">
        <v>27</v>
      </c>
      <c r="D75" s="270">
        <f t="shared" si="78"/>
        <v>337</v>
      </c>
      <c r="E75" s="270">
        <f t="shared" si="78"/>
        <v>337</v>
      </c>
      <c r="F75" s="270">
        <f t="shared" si="78"/>
        <v>407</v>
      </c>
      <c r="G75" s="270">
        <f t="shared" si="78"/>
        <v>410</v>
      </c>
      <c r="H75" s="270">
        <f t="shared" si="78"/>
        <v>414</v>
      </c>
      <c r="I75" s="270">
        <f t="shared" si="78"/>
        <v>420</v>
      </c>
      <c r="J75" s="270">
        <f t="shared" si="78"/>
        <v>399</v>
      </c>
      <c r="K75" s="270">
        <f t="shared" si="78"/>
        <v>403</v>
      </c>
      <c r="L75" s="270">
        <f t="shared" si="78"/>
        <v>454</v>
      </c>
      <c r="M75" s="270">
        <f t="shared" si="78"/>
        <v>494</v>
      </c>
      <c r="N75" s="270">
        <f t="shared" si="78"/>
        <v>721</v>
      </c>
      <c r="O75" s="270">
        <f t="shared" si="78"/>
        <v>721</v>
      </c>
      <c r="P75" s="270">
        <f t="shared" si="78"/>
        <v>721</v>
      </c>
      <c r="Q75" s="270">
        <f t="shared" si="78"/>
        <v>721</v>
      </c>
      <c r="R75" s="270">
        <f t="shared" si="78"/>
        <v>721</v>
      </c>
      <c r="S75" s="270">
        <f t="shared" si="80"/>
        <v>721</v>
      </c>
      <c r="T75" s="270">
        <f t="shared" si="80"/>
        <v>721</v>
      </c>
      <c r="U75" s="270">
        <f t="shared" si="80"/>
        <v>721</v>
      </c>
      <c r="V75" s="270">
        <f t="shared" si="80"/>
        <v>721</v>
      </c>
      <c r="W75" s="270">
        <f t="shared" si="80"/>
        <v>721</v>
      </c>
      <c r="X75" s="270">
        <f t="shared" si="80"/>
        <v>721</v>
      </c>
      <c r="Y75" s="270">
        <f t="shared" si="80"/>
        <v>721</v>
      </c>
      <c r="Z75" s="270">
        <f t="shared" si="80"/>
        <v>721</v>
      </c>
      <c r="AA75" s="270">
        <f t="shared" si="80"/>
        <v>721</v>
      </c>
      <c r="AB75" s="270">
        <f t="shared" si="80"/>
        <v>721</v>
      </c>
      <c r="AC75" s="270">
        <f t="shared" si="80"/>
        <v>721</v>
      </c>
      <c r="AD75" s="270">
        <f t="shared" si="79"/>
        <v>721</v>
      </c>
      <c r="AE75" s="270">
        <f t="shared" si="79"/>
        <v>721</v>
      </c>
      <c r="AF75" s="270">
        <f t="shared" si="79"/>
        <v>721</v>
      </c>
      <c r="AG75" s="270">
        <f t="shared" si="79"/>
        <v>721</v>
      </c>
      <c r="AH75" s="270">
        <f t="shared" si="79"/>
        <v>721</v>
      </c>
      <c r="AI75" s="270">
        <f t="shared" si="79"/>
        <v>721</v>
      </c>
      <c r="AJ75" s="270">
        <f t="shared" si="79"/>
        <v>721</v>
      </c>
      <c r="AK75" s="270">
        <f t="shared" si="79"/>
        <v>721</v>
      </c>
      <c r="AL75" s="270">
        <f t="shared" si="79"/>
        <v>721</v>
      </c>
      <c r="AM75" s="270">
        <f t="shared" si="79"/>
        <v>721</v>
      </c>
    </row>
    <row r="76" spans="2:39" ht="15.75" thickBot="1" x14ac:dyDescent="0.35">
      <c r="B76" s="56" t="str">
        <f>input_names!$B$3</f>
        <v>benzine</v>
      </c>
      <c r="C76" s="61">
        <v>28</v>
      </c>
      <c r="D76" s="270">
        <f t="shared" si="78"/>
        <v>343</v>
      </c>
      <c r="E76" s="270">
        <f t="shared" si="78"/>
        <v>343</v>
      </c>
      <c r="F76" s="270">
        <f t="shared" si="78"/>
        <v>409</v>
      </c>
      <c r="G76" s="270">
        <f t="shared" si="78"/>
        <v>412</v>
      </c>
      <c r="H76" s="270">
        <f t="shared" si="78"/>
        <v>416</v>
      </c>
      <c r="I76" s="270">
        <f t="shared" si="78"/>
        <v>422</v>
      </c>
      <c r="J76" s="270">
        <f t="shared" si="78"/>
        <v>400</v>
      </c>
      <c r="K76" s="270">
        <f t="shared" si="78"/>
        <v>404</v>
      </c>
      <c r="L76" s="270">
        <f t="shared" si="78"/>
        <v>456</v>
      </c>
      <c r="M76" s="270">
        <f t="shared" si="78"/>
        <v>496</v>
      </c>
      <c r="N76" s="270">
        <f t="shared" si="78"/>
        <v>723</v>
      </c>
      <c r="O76" s="270">
        <f t="shared" si="78"/>
        <v>723</v>
      </c>
      <c r="P76" s="270">
        <f t="shared" si="78"/>
        <v>723</v>
      </c>
      <c r="Q76" s="270">
        <f t="shared" si="78"/>
        <v>723</v>
      </c>
      <c r="R76" s="270">
        <f t="shared" si="78"/>
        <v>723</v>
      </c>
      <c r="S76" s="270">
        <f t="shared" si="80"/>
        <v>723</v>
      </c>
      <c r="T76" s="270">
        <f t="shared" si="80"/>
        <v>723</v>
      </c>
      <c r="U76" s="270">
        <f t="shared" si="80"/>
        <v>723</v>
      </c>
      <c r="V76" s="270">
        <f t="shared" si="80"/>
        <v>723</v>
      </c>
      <c r="W76" s="270">
        <f t="shared" si="80"/>
        <v>723</v>
      </c>
      <c r="X76" s="270">
        <f t="shared" si="80"/>
        <v>723</v>
      </c>
      <c r="Y76" s="270">
        <f t="shared" si="80"/>
        <v>723</v>
      </c>
      <c r="Z76" s="270">
        <f t="shared" si="80"/>
        <v>723</v>
      </c>
      <c r="AA76" s="270">
        <f t="shared" si="80"/>
        <v>723</v>
      </c>
      <c r="AB76" s="270">
        <f t="shared" si="80"/>
        <v>723</v>
      </c>
      <c r="AC76" s="270">
        <f t="shared" si="80"/>
        <v>723</v>
      </c>
      <c r="AD76" s="270">
        <f t="shared" si="79"/>
        <v>723</v>
      </c>
      <c r="AE76" s="270">
        <f t="shared" si="79"/>
        <v>723</v>
      </c>
      <c r="AF76" s="270">
        <f t="shared" si="79"/>
        <v>723</v>
      </c>
      <c r="AG76" s="270">
        <f t="shared" si="79"/>
        <v>723</v>
      </c>
      <c r="AH76" s="270">
        <f t="shared" si="79"/>
        <v>723</v>
      </c>
      <c r="AI76" s="270">
        <f t="shared" si="79"/>
        <v>723</v>
      </c>
      <c r="AJ76" s="270">
        <f t="shared" si="79"/>
        <v>723</v>
      </c>
      <c r="AK76" s="270">
        <f t="shared" si="79"/>
        <v>723</v>
      </c>
      <c r="AL76" s="270">
        <f t="shared" si="79"/>
        <v>723</v>
      </c>
      <c r="AM76" s="270">
        <f t="shared" si="79"/>
        <v>723</v>
      </c>
    </row>
    <row r="77" spans="2:39" ht="15.75" thickBot="1" x14ac:dyDescent="0.35">
      <c r="B77" s="56" t="str">
        <f>input_names!$B$3</f>
        <v>benzine</v>
      </c>
      <c r="C77" s="61">
        <v>29</v>
      </c>
      <c r="D77" s="270">
        <f t="shared" si="78"/>
        <v>349</v>
      </c>
      <c r="E77" s="270">
        <f t="shared" si="78"/>
        <v>349</v>
      </c>
      <c r="F77" s="270">
        <f t="shared" si="78"/>
        <v>411</v>
      </c>
      <c r="G77" s="270">
        <f t="shared" si="78"/>
        <v>414</v>
      </c>
      <c r="H77" s="270">
        <f t="shared" si="78"/>
        <v>418</v>
      </c>
      <c r="I77" s="270">
        <f t="shared" si="78"/>
        <v>424</v>
      </c>
      <c r="J77" s="270">
        <f t="shared" si="78"/>
        <v>401</v>
      </c>
      <c r="K77" s="270">
        <f t="shared" si="78"/>
        <v>405</v>
      </c>
      <c r="L77" s="270">
        <f t="shared" si="78"/>
        <v>458</v>
      </c>
      <c r="M77" s="270">
        <f t="shared" si="78"/>
        <v>498</v>
      </c>
      <c r="N77" s="270">
        <f t="shared" si="78"/>
        <v>725</v>
      </c>
      <c r="O77" s="270">
        <f t="shared" si="78"/>
        <v>725</v>
      </c>
      <c r="P77" s="270">
        <f t="shared" si="78"/>
        <v>725</v>
      </c>
      <c r="Q77" s="270">
        <f t="shared" si="78"/>
        <v>725</v>
      </c>
      <c r="R77" s="270">
        <f t="shared" si="78"/>
        <v>725</v>
      </c>
      <c r="S77" s="270">
        <f t="shared" si="80"/>
        <v>725</v>
      </c>
      <c r="T77" s="270">
        <f t="shared" si="80"/>
        <v>725</v>
      </c>
      <c r="U77" s="270">
        <f t="shared" si="80"/>
        <v>725</v>
      </c>
      <c r="V77" s="270">
        <f t="shared" si="80"/>
        <v>725</v>
      </c>
      <c r="W77" s="270">
        <f t="shared" si="80"/>
        <v>725</v>
      </c>
      <c r="X77" s="270">
        <f t="shared" si="80"/>
        <v>725</v>
      </c>
      <c r="Y77" s="270">
        <f t="shared" si="80"/>
        <v>725</v>
      </c>
      <c r="Z77" s="270">
        <f t="shared" si="80"/>
        <v>725</v>
      </c>
      <c r="AA77" s="270">
        <f t="shared" si="80"/>
        <v>725</v>
      </c>
      <c r="AB77" s="270">
        <f t="shared" si="80"/>
        <v>725</v>
      </c>
      <c r="AC77" s="270">
        <f t="shared" si="80"/>
        <v>725</v>
      </c>
      <c r="AD77" s="270">
        <f t="shared" si="79"/>
        <v>725</v>
      </c>
      <c r="AE77" s="270">
        <f t="shared" si="79"/>
        <v>725</v>
      </c>
      <c r="AF77" s="270">
        <f t="shared" si="79"/>
        <v>725</v>
      </c>
      <c r="AG77" s="270">
        <f t="shared" si="79"/>
        <v>725</v>
      </c>
      <c r="AH77" s="270">
        <f t="shared" si="79"/>
        <v>725</v>
      </c>
      <c r="AI77" s="270">
        <f t="shared" si="79"/>
        <v>725</v>
      </c>
      <c r="AJ77" s="270">
        <f t="shared" si="79"/>
        <v>725</v>
      </c>
      <c r="AK77" s="270">
        <f t="shared" si="79"/>
        <v>725</v>
      </c>
      <c r="AL77" s="270">
        <f t="shared" si="79"/>
        <v>725</v>
      </c>
      <c r="AM77" s="270">
        <f t="shared" si="79"/>
        <v>725</v>
      </c>
    </row>
    <row r="78" spans="2:39" ht="15.75" thickBot="1" x14ac:dyDescent="0.35">
      <c r="B78" s="56" t="str">
        <f>input_names!$B$3</f>
        <v>benzine</v>
      </c>
      <c r="C78" s="61">
        <v>30</v>
      </c>
      <c r="D78" s="270">
        <f t="shared" si="78"/>
        <v>355</v>
      </c>
      <c r="E78" s="270">
        <f t="shared" si="78"/>
        <v>355</v>
      </c>
      <c r="F78" s="270">
        <f t="shared" si="78"/>
        <v>413</v>
      </c>
      <c r="G78" s="270">
        <f t="shared" si="78"/>
        <v>416</v>
      </c>
      <c r="H78" s="270">
        <f t="shared" si="78"/>
        <v>420</v>
      </c>
      <c r="I78" s="270">
        <f t="shared" si="78"/>
        <v>426</v>
      </c>
      <c r="J78" s="270">
        <f t="shared" si="78"/>
        <v>402</v>
      </c>
      <c r="K78" s="270">
        <f t="shared" si="78"/>
        <v>406</v>
      </c>
      <c r="L78" s="270">
        <f t="shared" si="78"/>
        <v>460</v>
      </c>
      <c r="M78" s="270">
        <f t="shared" si="78"/>
        <v>500</v>
      </c>
      <c r="N78" s="270">
        <f t="shared" si="78"/>
        <v>727</v>
      </c>
      <c r="O78" s="270">
        <f t="shared" si="78"/>
        <v>727</v>
      </c>
      <c r="P78" s="270">
        <f t="shared" si="78"/>
        <v>727</v>
      </c>
      <c r="Q78" s="270">
        <f t="shared" si="78"/>
        <v>727</v>
      </c>
      <c r="R78" s="270">
        <f t="shared" si="78"/>
        <v>727</v>
      </c>
      <c r="S78" s="270">
        <f t="shared" si="80"/>
        <v>727</v>
      </c>
      <c r="T78" s="270">
        <f t="shared" si="80"/>
        <v>727</v>
      </c>
      <c r="U78" s="270">
        <f t="shared" si="80"/>
        <v>727</v>
      </c>
      <c r="V78" s="270">
        <f t="shared" si="80"/>
        <v>727</v>
      </c>
      <c r="W78" s="270">
        <f t="shared" si="80"/>
        <v>727</v>
      </c>
      <c r="X78" s="270">
        <f t="shared" si="80"/>
        <v>727</v>
      </c>
      <c r="Y78" s="270">
        <f t="shared" si="80"/>
        <v>727</v>
      </c>
      <c r="Z78" s="270">
        <f t="shared" si="80"/>
        <v>727</v>
      </c>
      <c r="AA78" s="270">
        <f t="shared" si="80"/>
        <v>727</v>
      </c>
      <c r="AB78" s="270">
        <f t="shared" si="80"/>
        <v>727</v>
      </c>
      <c r="AC78" s="270">
        <f t="shared" si="80"/>
        <v>727</v>
      </c>
      <c r="AD78" s="270">
        <f t="shared" si="79"/>
        <v>727</v>
      </c>
      <c r="AE78" s="270">
        <f t="shared" si="79"/>
        <v>727</v>
      </c>
      <c r="AF78" s="270">
        <f t="shared" si="79"/>
        <v>727</v>
      </c>
      <c r="AG78" s="270">
        <f t="shared" si="79"/>
        <v>727</v>
      </c>
      <c r="AH78" s="270">
        <f t="shared" si="79"/>
        <v>727</v>
      </c>
      <c r="AI78" s="270">
        <f t="shared" si="79"/>
        <v>727</v>
      </c>
      <c r="AJ78" s="270">
        <f t="shared" si="79"/>
        <v>727</v>
      </c>
      <c r="AK78" s="270">
        <f t="shared" si="79"/>
        <v>727</v>
      </c>
      <c r="AL78" s="270">
        <f t="shared" si="79"/>
        <v>727</v>
      </c>
      <c r="AM78" s="270">
        <f t="shared" si="79"/>
        <v>727</v>
      </c>
    </row>
    <row r="79" spans="2:39" ht="15.75" thickBot="1" x14ac:dyDescent="0.35">
      <c r="B79" s="56" t="str">
        <f>input_names!$B$3</f>
        <v>benzine</v>
      </c>
      <c r="C79" s="61">
        <v>31</v>
      </c>
      <c r="D79" s="270">
        <f t="shared" si="78"/>
        <v>361</v>
      </c>
      <c r="E79" s="270">
        <f t="shared" si="78"/>
        <v>361</v>
      </c>
      <c r="F79" s="270">
        <f t="shared" si="78"/>
        <v>415</v>
      </c>
      <c r="G79" s="270">
        <f t="shared" si="78"/>
        <v>418</v>
      </c>
      <c r="H79" s="270">
        <f t="shared" si="78"/>
        <v>422</v>
      </c>
      <c r="I79" s="270">
        <f t="shared" si="78"/>
        <v>428</v>
      </c>
      <c r="J79" s="270">
        <f t="shared" si="78"/>
        <v>403</v>
      </c>
      <c r="K79" s="270">
        <f t="shared" si="78"/>
        <v>407</v>
      </c>
      <c r="L79" s="270">
        <f t="shared" si="78"/>
        <v>462</v>
      </c>
      <c r="M79" s="270">
        <f t="shared" si="78"/>
        <v>502</v>
      </c>
      <c r="N79" s="270">
        <f t="shared" si="78"/>
        <v>729</v>
      </c>
      <c r="O79" s="270">
        <f t="shared" si="78"/>
        <v>729</v>
      </c>
      <c r="P79" s="270">
        <f t="shared" si="78"/>
        <v>729</v>
      </c>
      <c r="Q79" s="270">
        <f t="shared" si="78"/>
        <v>729</v>
      </c>
      <c r="R79" s="270">
        <f t="shared" si="78"/>
        <v>729</v>
      </c>
      <c r="S79" s="270">
        <f t="shared" si="80"/>
        <v>729</v>
      </c>
      <c r="T79" s="270">
        <f t="shared" si="80"/>
        <v>729</v>
      </c>
      <c r="U79" s="270">
        <f t="shared" si="80"/>
        <v>729</v>
      </c>
      <c r="V79" s="270">
        <f t="shared" si="80"/>
        <v>729</v>
      </c>
      <c r="W79" s="270">
        <f t="shared" si="80"/>
        <v>729</v>
      </c>
      <c r="X79" s="270">
        <f t="shared" si="80"/>
        <v>729</v>
      </c>
      <c r="Y79" s="270">
        <f t="shared" si="80"/>
        <v>729</v>
      </c>
      <c r="Z79" s="270">
        <f t="shared" si="80"/>
        <v>729</v>
      </c>
      <c r="AA79" s="270">
        <f t="shared" si="80"/>
        <v>729</v>
      </c>
      <c r="AB79" s="270">
        <f t="shared" si="80"/>
        <v>729</v>
      </c>
      <c r="AC79" s="270">
        <f t="shared" si="80"/>
        <v>729</v>
      </c>
      <c r="AD79" s="270">
        <f t="shared" si="79"/>
        <v>729</v>
      </c>
      <c r="AE79" s="270">
        <f t="shared" si="79"/>
        <v>729</v>
      </c>
      <c r="AF79" s="270">
        <f t="shared" si="79"/>
        <v>729</v>
      </c>
      <c r="AG79" s="270">
        <f t="shared" si="79"/>
        <v>729</v>
      </c>
      <c r="AH79" s="270">
        <f t="shared" si="79"/>
        <v>729</v>
      </c>
      <c r="AI79" s="270">
        <f t="shared" si="79"/>
        <v>729</v>
      </c>
      <c r="AJ79" s="270">
        <f t="shared" si="79"/>
        <v>729</v>
      </c>
      <c r="AK79" s="270">
        <f t="shared" si="79"/>
        <v>729</v>
      </c>
      <c r="AL79" s="270">
        <f t="shared" si="79"/>
        <v>729</v>
      </c>
      <c r="AM79" s="270">
        <f t="shared" si="79"/>
        <v>729</v>
      </c>
    </row>
    <row r="80" spans="2:39" ht="15.75" thickBot="1" x14ac:dyDescent="0.35">
      <c r="B80" s="56" t="str">
        <f>input_names!$B$3</f>
        <v>benzine</v>
      </c>
      <c r="C80" s="61">
        <v>32</v>
      </c>
      <c r="D80" s="270">
        <f t="shared" ref="D80:AD95" si="81">+MIN(MAX(0,$C80-D$11),D$12-D$11)*D$17
+MIN(MAX(0,$C80-D$12),D$13-D$12)*D$18
+MIN(MAX(0,$C80-D$13),D$14-D$13)*D$19
+MIN(MAX(0,$C80-D$14),D$15-D$14)*D$20
+MAX(0,$C80-D$15)*D$21
+D$26</f>
        <v>367</v>
      </c>
      <c r="E80" s="270">
        <f t="shared" si="81"/>
        <v>367</v>
      </c>
      <c r="F80" s="270">
        <f t="shared" si="81"/>
        <v>417</v>
      </c>
      <c r="G80" s="270">
        <f t="shared" si="81"/>
        <v>420</v>
      </c>
      <c r="H80" s="270">
        <f t="shared" si="81"/>
        <v>424</v>
      </c>
      <c r="I80" s="270">
        <f t="shared" si="81"/>
        <v>430</v>
      </c>
      <c r="J80" s="270">
        <f t="shared" si="81"/>
        <v>404</v>
      </c>
      <c r="K80" s="270">
        <f t="shared" si="81"/>
        <v>408</v>
      </c>
      <c r="L80" s="270">
        <f t="shared" si="81"/>
        <v>464</v>
      </c>
      <c r="M80" s="270">
        <f t="shared" si="81"/>
        <v>504</v>
      </c>
      <c r="N80" s="270">
        <f t="shared" si="81"/>
        <v>731</v>
      </c>
      <c r="O80" s="270">
        <f t="shared" si="81"/>
        <v>731</v>
      </c>
      <c r="P80" s="270">
        <f t="shared" si="81"/>
        <v>731</v>
      </c>
      <c r="Q80" s="270">
        <f t="shared" si="81"/>
        <v>731</v>
      </c>
      <c r="R80" s="270">
        <f t="shared" si="81"/>
        <v>731</v>
      </c>
      <c r="S80" s="270">
        <f t="shared" si="80"/>
        <v>731</v>
      </c>
      <c r="T80" s="270">
        <f t="shared" si="80"/>
        <v>731</v>
      </c>
      <c r="U80" s="270">
        <f t="shared" si="80"/>
        <v>731</v>
      </c>
      <c r="V80" s="270">
        <f t="shared" si="80"/>
        <v>731</v>
      </c>
      <c r="W80" s="270">
        <f t="shared" si="80"/>
        <v>731</v>
      </c>
      <c r="X80" s="270">
        <f t="shared" si="80"/>
        <v>731</v>
      </c>
      <c r="Y80" s="270">
        <f t="shared" si="80"/>
        <v>731</v>
      </c>
      <c r="Z80" s="270">
        <f t="shared" si="80"/>
        <v>731</v>
      </c>
      <c r="AA80" s="270">
        <f t="shared" si="80"/>
        <v>731</v>
      </c>
      <c r="AB80" s="270">
        <f t="shared" si="80"/>
        <v>731</v>
      </c>
      <c r="AC80" s="270">
        <f t="shared" si="80"/>
        <v>731</v>
      </c>
      <c r="AD80" s="270">
        <f t="shared" si="79"/>
        <v>731</v>
      </c>
      <c r="AE80" s="270">
        <f t="shared" si="79"/>
        <v>731</v>
      </c>
      <c r="AF80" s="270">
        <f t="shared" si="79"/>
        <v>731</v>
      </c>
      <c r="AG80" s="270">
        <f t="shared" si="79"/>
        <v>731</v>
      </c>
      <c r="AH80" s="270">
        <f t="shared" si="79"/>
        <v>731</v>
      </c>
      <c r="AI80" s="270">
        <f t="shared" si="79"/>
        <v>731</v>
      </c>
      <c r="AJ80" s="270">
        <f t="shared" si="79"/>
        <v>731</v>
      </c>
      <c r="AK80" s="270">
        <f t="shared" si="79"/>
        <v>731</v>
      </c>
      <c r="AL80" s="270">
        <f t="shared" si="79"/>
        <v>731</v>
      </c>
      <c r="AM80" s="270">
        <f t="shared" si="79"/>
        <v>731</v>
      </c>
    </row>
    <row r="81" spans="2:39" ht="15.75" thickBot="1" x14ac:dyDescent="0.35">
      <c r="B81" s="56" t="str">
        <f>input_names!$B$3</f>
        <v>benzine</v>
      </c>
      <c r="C81" s="61">
        <v>33</v>
      </c>
      <c r="D81" s="270">
        <f t="shared" si="81"/>
        <v>373</v>
      </c>
      <c r="E81" s="270">
        <f t="shared" si="81"/>
        <v>373</v>
      </c>
      <c r="F81" s="270">
        <f t="shared" si="81"/>
        <v>419</v>
      </c>
      <c r="G81" s="270">
        <f t="shared" si="81"/>
        <v>422</v>
      </c>
      <c r="H81" s="270">
        <f t="shared" si="81"/>
        <v>426</v>
      </c>
      <c r="I81" s="270">
        <f t="shared" si="81"/>
        <v>432</v>
      </c>
      <c r="J81" s="270">
        <f t="shared" si="81"/>
        <v>405</v>
      </c>
      <c r="K81" s="270">
        <f t="shared" si="81"/>
        <v>409</v>
      </c>
      <c r="L81" s="270">
        <f t="shared" si="81"/>
        <v>466</v>
      </c>
      <c r="M81" s="270">
        <f t="shared" si="81"/>
        <v>506</v>
      </c>
      <c r="N81" s="270">
        <f t="shared" si="81"/>
        <v>733</v>
      </c>
      <c r="O81" s="270">
        <f t="shared" si="81"/>
        <v>733</v>
      </c>
      <c r="P81" s="270">
        <f t="shared" si="81"/>
        <v>733</v>
      </c>
      <c r="Q81" s="270">
        <f t="shared" si="81"/>
        <v>733</v>
      </c>
      <c r="R81" s="270">
        <f t="shared" si="81"/>
        <v>733</v>
      </c>
      <c r="S81" s="270">
        <f t="shared" si="80"/>
        <v>733</v>
      </c>
      <c r="T81" s="270">
        <f t="shared" si="80"/>
        <v>733</v>
      </c>
      <c r="U81" s="270">
        <f t="shared" si="80"/>
        <v>733</v>
      </c>
      <c r="V81" s="270">
        <f t="shared" si="80"/>
        <v>733</v>
      </c>
      <c r="W81" s="270">
        <f t="shared" si="80"/>
        <v>733</v>
      </c>
      <c r="X81" s="270">
        <f t="shared" si="80"/>
        <v>733</v>
      </c>
      <c r="Y81" s="270">
        <f t="shared" si="80"/>
        <v>733</v>
      </c>
      <c r="Z81" s="270">
        <f t="shared" si="80"/>
        <v>733</v>
      </c>
      <c r="AA81" s="270">
        <f t="shared" si="80"/>
        <v>733</v>
      </c>
      <c r="AB81" s="270">
        <f t="shared" si="80"/>
        <v>733</v>
      </c>
      <c r="AC81" s="270">
        <f t="shared" si="80"/>
        <v>733</v>
      </c>
      <c r="AD81" s="270">
        <f t="shared" si="79"/>
        <v>733</v>
      </c>
      <c r="AE81" s="270">
        <f t="shared" si="79"/>
        <v>733</v>
      </c>
      <c r="AF81" s="270">
        <f t="shared" si="79"/>
        <v>733</v>
      </c>
      <c r="AG81" s="270">
        <f t="shared" si="79"/>
        <v>733</v>
      </c>
      <c r="AH81" s="270">
        <f t="shared" si="79"/>
        <v>733</v>
      </c>
      <c r="AI81" s="270">
        <f t="shared" si="79"/>
        <v>733</v>
      </c>
      <c r="AJ81" s="270">
        <f t="shared" si="79"/>
        <v>733</v>
      </c>
      <c r="AK81" s="270">
        <f t="shared" si="79"/>
        <v>733</v>
      </c>
      <c r="AL81" s="270">
        <f t="shared" si="79"/>
        <v>733</v>
      </c>
      <c r="AM81" s="270">
        <f t="shared" si="79"/>
        <v>733</v>
      </c>
    </row>
    <row r="82" spans="2:39" ht="15.75" thickBot="1" x14ac:dyDescent="0.35">
      <c r="B82" s="56" t="str">
        <f>input_names!$B$3</f>
        <v>benzine</v>
      </c>
      <c r="C82" s="61">
        <v>34</v>
      </c>
      <c r="D82" s="270">
        <f t="shared" si="81"/>
        <v>379</v>
      </c>
      <c r="E82" s="270">
        <f t="shared" si="81"/>
        <v>379</v>
      </c>
      <c r="F82" s="270">
        <f t="shared" si="81"/>
        <v>421</v>
      </c>
      <c r="G82" s="270">
        <f t="shared" si="81"/>
        <v>424</v>
      </c>
      <c r="H82" s="270">
        <f t="shared" si="81"/>
        <v>428</v>
      </c>
      <c r="I82" s="270">
        <f t="shared" si="81"/>
        <v>434</v>
      </c>
      <c r="J82" s="270">
        <f t="shared" si="81"/>
        <v>406</v>
      </c>
      <c r="K82" s="270">
        <f t="shared" si="81"/>
        <v>410</v>
      </c>
      <c r="L82" s="270">
        <f t="shared" si="81"/>
        <v>468</v>
      </c>
      <c r="M82" s="270">
        <f t="shared" si="81"/>
        <v>508</v>
      </c>
      <c r="N82" s="270">
        <f t="shared" si="81"/>
        <v>735</v>
      </c>
      <c r="O82" s="270">
        <f t="shared" si="81"/>
        <v>735</v>
      </c>
      <c r="P82" s="270">
        <f t="shared" si="81"/>
        <v>735</v>
      </c>
      <c r="Q82" s="270">
        <f t="shared" si="81"/>
        <v>735</v>
      </c>
      <c r="R82" s="270">
        <f t="shared" si="81"/>
        <v>735</v>
      </c>
      <c r="S82" s="270">
        <f t="shared" si="80"/>
        <v>735</v>
      </c>
      <c r="T82" s="270">
        <f t="shared" si="80"/>
        <v>735</v>
      </c>
      <c r="U82" s="270">
        <f t="shared" si="80"/>
        <v>735</v>
      </c>
      <c r="V82" s="270">
        <f t="shared" si="80"/>
        <v>735</v>
      </c>
      <c r="W82" s="270">
        <f t="shared" si="80"/>
        <v>735</v>
      </c>
      <c r="X82" s="270">
        <f t="shared" si="80"/>
        <v>735</v>
      </c>
      <c r="Y82" s="270">
        <f t="shared" si="80"/>
        <v>735</v>
      </c>
      <c r="Z82" s="270">
        <f t="shared" si="80"/>
        <v>735</v>
      </c>
      <c r="AA82" s="270">
        <f t="shared" si="80"/>
        <v>735</v>
      </c>
      <c r="AB82" s="270">
        <f t="shared" si="80"/>
        <v>735</v>
      </c>
      <c r="AC82" s="270">
        <f t="shared" si="80"/>
        <v>735</v>
      </c>
      <c r="AD82" s="270">
        <f t="shared" si="79"/>
        <v>735</v>
      </c>
      <c r="AE82" s="270">
        <f t="shared" si="79"/>
        <v>735</v>
      </c>
      <c r="AF82" s="270">
        <f t="shared" si="79"/>
        <v>735</v>
      </c>
      <c r="AG82" s="270">
        <f t="shared" si="79"/>
        <v>735</v>
      </c>
      <c r="AH82" s="270">
        <f t="shared" si="79"/>
        <v>735</v>
      </c>
      <c r="AI82" s="270">
        <f t="shared" si="79"/>
        <v>735</v>
      </c>
      <c r="AJ82" s="270">
        <f t="shared" si="79"/>
        <v>735</v>
      </c>
      <c r="AK82" s="270">
        <f t="shared" si="79"/>
        <v>735</v>
      </c>
      <c r="AL82" s="270">
        <f t="shared" si="79"/>
        <v>735</v>
      </c>
      <c r="AM82" s="270">
        <f t="shared" si="79"/>
        <v>735</v>
      </c>
    </row>
    <row r="83" spans="2:39" ht="15.75" thickBot="1" x14ac:dyDescent="0.35">
      <c r="B83" s="56" t="str">
        <f>input_names!$B$3</f>
        <v>benzine</v>
      </c>
      <c r="C83" s="61">
        <v>35</v>
      </c>
      <c r="D83" s="270">
        <f t="shared" si="81"/>
        <v>385</v>
      </c>
      <c r="E83" s="270">
        <f t="shared" si="81"/>
        <v>385</v>
      </c>
      <c r="F83" s="270">
        <f t="shared" si="81"/>
        <v>423</v>
      </c>
      <c r="G83" s="270">
        <f t="shared" si="81"/>
        <v>426</v>
      </c>
      <c r="H83" s="270">
        <f t="shared" si="81"/>
        <v>430</v>
      </c>
      <c r="I83" s="270">
        <f t="shared" si="81"/>
        <v>436</v>
      </c>
      <c r="J83" s="270">
        <f t="shared" si="81"/>
        <v>407</v>
      </c>
      <c r="K83" s="270">
        <f t="shared" si="81"/>
        <v>411</v>
      </c>
      <c r="L83" s="270">
        <f t="shared" si="81"/>
        <v>470</v>
      </c>
      <c r="M83" s="270">
        <f t="shared" si="81"/>
        <v>510</v>
      </c>
      <c r="N83" s="270">
        <f t="shared" si="81"/>
        <v>737</v>
      </c>
      <c r="O83" s="270">
        <f t="shared" si="81"/>
        <v>737</v>
      </c>
      <c r="P83" s="270">
        <f t="shared" si="81"/>
        <v>737</v>
      </c>
      <c r="Q83" s="270">
        <f t="shared" si="81"/>
        <v>737</v>
      </c>
      <c r="R83" s="270">
        <f t="shared" si="81"/>
        <v>737</v>
      </c>
      <c r="S83" s="270">
        <f t="shared" si="80"/>
        <v>737</v>
      </c>
      <c r="T83" s="270">
        <f t="shared" si="80"/>
        <v>737</v>
      </c>
      <c r="U83" s="270">
        <f t="shared" si="80"/>
        <v>737</v>
      </c>
      <c r="V83" s="270">
        <f t="shared" si="80"/>
        <v>737</v>
      </c>
      <c r="W83" s="270">
        <f t="shared" si="80"/>
        <v>737</v>
      </c>
      <c r="X83" s="270">
        <f t="shared" si="80"/>
        <v>737</v>
      </c>
      <c r="Y83" s="270">
        <f t="shared" si="80"/>
        <v>737</v>
      </c>
      <c r="Z83" s="270">
        <f t="shared" si="80"/>
        <v>737</v>
      </c>
      <c r="AA83" s="270">
        <f t="shared" si="80"/>
        <v>737</v>
      </c>
      <c r="AB83" s="270">
        <f t="shared" si="80"/>
        <v>737</v>
      </c>
      <c r="AC83" s="270">
        <f t="shared" si="80"/>
        <v>737</v>
      </c>
      <c r="AD83" s="270">
        <f t="shared" si="79"/>
        <v>737</v>
      </c>
      <c r="AE83" s="270">
        <f t="shared" si="79"/>
        <v>737</v>
      </c>
      <c r="AF83" s="270">
        <f t="shared" si="79"/>
        <v>737</v>
      </c>
      <c r="AG83" s="270">
        <f t="shared" si="79"/>
        <v>737</v>
      </c>
      <c r="AH83" s="270">
        <f t="shared" si="79"/>
        <v>737</v>
      </c>
      <c r="AI83" s="270">
        <f t="shared" si="79"/>
        <v>737</v>
      </c>
      <c r="AJ83" s="270">
        <f t="shared" si="79"/>
        <v>737</v>
      </c>
      <c r="AK83" s="270">
        <f t="shared" si="79"/>
        <v>737</v>
      </c>
      <c r="AL83" s="270">
        <f t="shared" si="79"/>
        <v>737</v>
      </c>
      <c r="AM83" s="270">
        <f t="shared" si="79"/>
        <v>737</v>
      </c>
    </row>
    <row r="84" spans="2:39" ht="15.75" thickBot="1" x14ac:dyDescent="0.35">
      <c r="B84" s="56" t="str">
        <f>input_names!$B$3</f>
        <v>benzine</v>
      </c>
      <c r="C84" s="61">
        <v>36</v>
      </c>
      <c r="D84" s="270">
        <f t="shared" si="81"/>
        <v>391</v>
      </c>
      <c r="E84" s="270">
        <f t="shared" si="81"/>
        <v>391</v>
      </c>
      <c r="F84" s="270">
        <f t="shared" si="81"/>
        <v>425</v>
      </c>
      <c r="G84" s="270">
        <f t="shared" si="81"/>
        <v>428</v>
      </c>
      <c r="H84" s="270">
        <f t="shared" si="81"/>
        <v>432</v>
      </c>
      <c r="I84" s="270">
        <f t="shared" si="81"/>
        <v>438</v>
      </c>
      <c r="J84" s="270">
        <f t="shared" si="81"/>
        <v>408</v>
      </c>
      <c r="K84" s="270">
        <f t="shared" si="81"/>
        <v>412</v>
      </c>
      <c r="L84" s="270">
        <f t="shared" si="81"/>
        <v>472</v>
      </c>
      <c r="M84" s="270">
        <f t="shared" si="81"/>
        <v>512</v>
      </c>
      <c r="N84" s="270">
        <f t="shared" si="81"/>
        <v>739</v>
      </c>
      <c r="O84" s="270">
        <f t="shared" si="81"/>
        <v>739</v>
      </c>
      <c r="P84" s="270">
        <f t="shared" si="81"/>
        <v>739</v>
      </c>
      <c r="Q84" s="270">
        <f t="shared" si="81"/>
        <v>739</v>
      </c>
      <c r="R84" s="270">
        <f t="shared" si="81"/>
        <v>739</v>
      </c>
      <c r="S84" s="270">
        <f t="shared" si="80"/>
        <v>739</v>
      </c>
      <c r="T84" s="270">
        <f t="shared" si="80"/>
        <v>739</v>
      </c>
      <c r="U84" s="270">
        <f t="shared" si="80"/>
        <v>739</v>
      </c>
      <c r="V84" s="270">
        <f t="shared" si="80"/>
        <v>739</v>
      </c>
      <c r="W84" s="270">
        <f t="shared" si="80"/>
        <v>739</v>
      </c>
      <c r="X84" s="270">
        <f t="shared" si="80"/>
        <v>739</v>
      </c>
      <c r="Y84" s="270">
        <f t="shared" si="80"/>
        <v>739</v>
      </c>
      <c r="Z84" s="270">
        <f t="shared" si="80"/>
        <v>739</v>
      </c>
      <c r="AA84" s="270">
        <f t="shared" si="80"/>
        <v>739</v>
      </c>
      <c r="AB84" s="270">
        <f t="shared" si="80"/>
        <v>739</v>
      </c>
      <c r="AC84" s="270">
        <f t="shared" si="80"/>
        <v>739</v>
      </c>
      <c r="AD84" s="270">
        <f t="shared" si="79"/>
        <v>739</v>
      </c>
      <c r="AE84" s="270">
        <f t="shared" si="79"/>
        <v>739</v>
      </c>
      <c r="AF84" s="270">
        <f t="shared" si="79"/>
        <v>739</v>
      </c>
      <c r="AG84" s="270">
        <f t="shared" si="79"/>
        <v>739</v>
      </c>
      <c r="AH84" s="270">
        <f t="shared" si="79"/>
        <v>739</v>
      </c>
      <c r="AI84" s="270">
        <f t="shared" si="79"/>
        <v>739</v>
      </c>
      <c r="AJ84" s="270">
        <f t="shared" si="79"/>
        <v>739</v>
      </c>
      <c r="AK84" s="270">
        <f t="shared" si="79"/>
        <v>739</v>
      </c>
      <c r="AL84" s="270">
        <f t="shared" si="79"/>
        <v>739</v>
      </c>
      <c r="AM84" s="270">
        <f t="shared" si="79"/>
        <v>739</v>
      </c>
    </row>
    <row r="85" spans="2:39" ht="15.75" thickBot="1" x14ac:dyDescent="0.35">
      <c r="B85" s="56" t="str">
        <f>input_names!$B$3</f>
        <v>benzine</v>
      </c>
      <c r="C85" s="61">
        <v>37</v>
      </c>
      <c r="D85" s="270">
        <f t="shared" si="81"/>
        <v>397</v>
      </c>
      <c r="E85" s="270">
        <f t="shared" si="81"/>
        <v>397</v>
      </c>
      <c r="F85" s="270">
        <f t="shared" si="81"/>
        <v>427</v>
      </c>
      <c r="G85" s="270">
        <f t="shared" si="81"/>
        <v>430</v>
      </c>
      <c r="H85" s="270">
        <f t="shared" si="81"/>
        <v>434</v>
      </c>
      <c r="I85" s="270">
        <f t="shared" si="81"/>
        <v>440</v>
      </c>
      <c r="J85" s="270">
        <f t="shared" si="81"/>
        <v>409</v>
      </c>
      <c r="K85" s="270">
        <f t="shared" si="81"/>
        <v>413</v>
      </c>
      <c r="L85" s="270">
        <f t="shared" si="81"/>
        <v>474</v>
      </c>
      <c r="M85" s="270">
        <f t="shared" si="81"/>
        <v>514</v>
      </c>
      <c r="N85" s="270">
        <f t="shared" si="81"/>
        <v>741</v>
      </c>
      <c r="O85" s="270">
        <f t="shared" si="81"/>
        <v>741</v>
      </c>
      <c r="P85" s="270">
        <f t="shared" si="81"/>
        <v>741</v>
      </c>
      <c r="Q85" s="270">
        <f t="shared" si="81"/>
        <v>741</v>
      </c>
      <c r="R85" s="270">
        <f t="shared" si="81"/>
        <v>741</v>
      </c>
      <c r="S85" s="270">
        <f t="shared" si="80"/>
        <v>741</v>
      </c>
      <c r="T85" s="270">
        <f t="shared" si="80"/>
        <v>741</v>
      </c>
      <c r="U85" s="270">
        <f t="shared" si="80"/>
        <v>741</v>
      </c>
      <c r="V85" s="270">
        <f t="shared" si="80"/>
        <v>741</v>
      </c>
      <c r="W85" s="270">
        <f t="shared" si="80"/>
        <v>741</v>
      </c>
      <c r="X85" s="270">
        <f t="shared" si="80"/>
        <v>741</v>
      </c>
      <c r="Y85" s="270">
        <f t="shared" si="80"/>
        <v>741</v>
      </c>
      <c r="Z85" s="270">
        <f t="shared" si="80"/>
        <v>741</v>
      </c>
      <c r="AA85" s="270">
        <f t="shared" si="80"/>
        <v>741</v>
      </c>
      <c r="AB85" s="270">
        <f t="shared" si="80"/>
        <v>741</v>
      </c>
      <c r="AC85" s="270">
        <f t="shared" si="80"/>
        <v>741</v>
      </c>
      <c r="AD85" s="270">
        <f t="shared" si="79"/>
        <v>741</v>
      </c>
      <c r="AE85" s="270">
        <f t="shared" si="79"/>
        <v>741</v>
      </c>
      <c r="AF85" s="270">
        <f t="shared" si="79"/>
        <v>741</v>
      </c>
      <c r="AG85" s="270">
        <f t="shared" si="79"/>
        <v>741</v>
      </c>
      <c r="AH85" s="270">
        <f t="shared" si="79"/>
        <v>741</v>
      </c>
      <c r="AI85" s="270">
        <f t="shared" si="79"/>
        <v>741</v>
      </c>
      <c r="AJ85" s="270">
        <f t="shared" si="79"/>
        <v>741</v>
      </c>
      <c r="AK85" s="270">
        <f t="shared" si="79"/>
        <v>741</v>
      </c>
      <c r="AL85" s="270">
        <f t="shared" si="79"/>
        <v>741</v>
      </c>
      <c r="AM85" s="270">
        <f t="shared" si="79"/>
        <v>741</v>
      </c>
    </row>
    <row r="86" spans="2:39" ht="15.75" thickBot="1" x14ac:dyDescent="0.35">
      <c r="B86" s="56" t="str">
        <f>input_names!$B$3</f>
        <v>benzine</v>
      </c>
      <c r="C86" s="61">
        <v>38</v>
      </c>
      <c r="D86" s="270">
        <f t="shared" si="81"/>
        <v>403</v>
      </c>
      <c r="E86" s="270">
        <f t="shared" si="81"/>
        <v>403</v>
      </c>
      <c r="F86" s="270">
        <f t="shared" si="81"/>
        <v>429</v>
      </c>
      <c r="G86" s="270">
        <f t="shared" si="81"/>
        <v>432</v>
      </c>
      <c r="H86" s="270">
        <f t="shared" si="81"/>
        <v>436</v>
      </c>
      <c r="I86" s="270">
        <f t="shared" si="81"/>
        <v>442</v>
      </c>
      <c r="J86" s="270">
        <f t="shared" si="81"/>
        <v>410</v>
      </c>
      <c r="K86" s="270">
        <f t="shared" si="81"/>
        <v>414</v>
      </c>
      <c r="L86" s="270">
        <f t="shared" si="81"/>
        <v>476</v>
      </c>
      <c r="M86" s="270">
        <f t="shared" si="81"/>
        <v>516</v>
      </c>
      <c r="N86" s="270">
        <f t="shared" si="81"/>
        <v>743</v>
      </c>
      <c r="O86" s="270">
        <f t="shared" si="81"/>
        <v>743</v>
      </c>
      <c r="P86" s="270">
        <f t="shared" si="81"/>
        <v>743</v>
      </c>
      <c r="Q86" s="270">
        <f t="shared" si="81"/>
        <v>743</v>
      </c>
      <c r="R86" s="270">
        <f t="shared" si="81"/>
        <v>743</v>
      </c>
      <c r="S86" s="270">
        <f t="shared" si="80"/>
        <v>743</v>
      </c>
      <c r="T86" s="270">
        <f t="shared" si="80"/>
        <v>743</v>
      </c>
      <c r="U86" s="270">
        <f t="shared" si="80"/>
        <v>743</v>
      </c>
      <c r="V86" s="270">
        <f t="shared" si="80"/>
        <v>743</v>
      </c>
      <c r="W86" s="270">
        <f t="shared" si="80"/>
        <v>743</v>
      </c>
      <c r="X86" s="270">
        <f t="shared" si="80"/>
        <v>743</v>
      </c>
      <c r="Y86" s="270">
        <f t="shared" si="80"/>
        <v>743</v>
      </c>
      <c r="Z86" s="270">
        <f t="shared" si="80"/>
        <v>743</v>
      </c>
      <c r="AA86" s="270">
        <f t="shared" si="80"/>
        <v>743</v>
      </c>
      <c r="AB86" s="270">
        <f t="shared" si="80"/>
        <v>743</v>
      </c>
      <c r="AC86" s="270">
        <f t="shared" si="80"/>
        <v>743</v>
      </c>
      <c r="AD86" s="270">
        <f t="shared" si="79"/>
        <v>743</v>
      </c>
      <c r="AE86" s="270">
        <f t="shared" si="79"/>
        <v>743</v>
      </c>
      <c r="AF86" s="270">
        <f t="shared" si="79"/>
        <v>743</v>
      </c>
      <c r="AG86" s="270">
        <f t="shared" si="79"/>
        <v>743</v>
      </c>
      <c r="AH86" s="270">
        <f t="shared" si="79"/>
        <v>743</v>
      </c>
      <c r="AI86" s="270">
        <f t="shared" si="79"/>
        <v>743</v>
      </c>
      <c r="AJ86" s="270">
        <f t="shared" si="79"/>
        <v>743</v>
      </c>
      <c r="AK86" s="270">
        <f t="shared" si="79"/>
        <v>743</v>
      </c>
      <c r="AL86" s="270">
        <f t="shared" si="79"/>
        <v>743</v>
      </c>
      <c r="AM86" s="270">
        <f t="shared" si="79"/>
        <v>743</v>
      </c>
    </row>
    <row r="87" spans="2:39" ht="15.75" thickBot="1" x14ac:dyDescent="0.35">
      <c r="B87" s="56" t="str">
        <f>input_names!$B$3</f>
        <v>benzine</v>
      </c>
      <c r="C87" s="61">
        <v>39</v>
      </c>
      <c r="D87" s="270">
        <f t="shared" si="81"/>
        <v>409</v>
      </c>
      <c r="E87" s="270">
        <f t="shared" si="81"/>
        <v>409</v>
      </c>
      <c r="F87" s="270">
        <f t="shared" si="81"/>
        <v>431</v>
      </c>
      <c r="G87" s="270">
        <f t="shared" si="81"/>
        <v>434</v>
      </c>
      <c r="H87" s="270">
        <f t="shared" si="81"/>
        <v>438</v>
      </c>
      <c r="I87" s="270">
        <f t="shared" si="81"/>
        <v>444</v>
      </c>
      <c r="J87" s="270">
        <f t="shared" si="81"/>
        <v>411</v>
      </c>
      <c r="K87" s="270">
        <f t="shared" si="81"/>
        <v>415</v>
      </c>
      <c r="L87" s="270">
        <f t="shared" si="81"/>
        <v>478</v>
      </c>
      <c r="M87" s="270">
        <f t="shared" si="81"/>
        <v>518</v>
      </c>
      <c r="N87" s="270">
        <f t="shared" si="81"/>
        <v>745</v>
      </c>
      <c r="O87" s="270">
        <f t="shared" si="81"/>
        <v>745</v>
      </c>
      <c r="P87" s="270">
        <f t="shared" si="81"/>
        <v>745</v>
      </c>
      <c r="Q87" s="270">
        <f t="shared" si="81"/>
        <v>745</v>
      </c>
      <c r="R87" s="270">
        <f t="shared" si="81"/>
        <v>745</v>
      </c>
      <c r="S87" s="270">
        <f t="shared" si="80"/>
        <v>745</v>
      </c>
      <c r="T87" s="270">
        <f t="shared" si="80"/>
        <v>745</v>
      </c>
      <c r="U87" s="270">
        <f t="shared" si="80"/>
        <v>745</v>
      </c>
      <c r="V87" s="270">
        <f t="shared" si="80"/>
        <v>745</v>
      </c>
      <c r="W87" s="270">
        <f t="shared" si="80"/>
        <v>745</v>
      </c>
      <c r="X87" s="270">
        <f t="shared" si="80"/>
        <v>745</v>
      </c>
      <c r="Y87" s="270">
        <f t="shared" si="80"/>
        <v>745</v>
      </c>
      <c r="Z87" s="270">
        <f t="shared" si="80"/>
        <v>745</v>
      </c>
      <c r="AA87" s="270">
        <f t="shared" si="80"/>
        <v>745</v>
      </c>
      <c r="AB87" s="270">
        <f t="shared" si="80"/>
        <v>745</v>
      </c>
      <c r="AC87" s="270">
        <f t="shared" si="80"/>
        <v>745</v>
      </c>
      <c r="AD87" s="270">
        <f t="shared" si="79"/>
        <v>745</v>
      </c>
      <c r="AE87" s="270">
        <f t="shared" si="79"/>
        <v>745</v>
      </c>
      <c r="AF87" s="270">
        <f t="shared" si="79"/>
        <v>745</v>
      </c>
      <c r="AG87" s="270">
        <f t="shared" si="79"/>
        <v>745</v>
      </c>
      <c r="AH87" s="270">
        <f t="shared" ref="AF87:AM115" si="82">+MIN(MAX(0,$C87-AH$11),AH$12-AH$11)*AH$17
+MIN(MAX(0,$C87-AH$12),AH$13-AH$12)*AH$18
+MIN(MAX(0,$C87-AH$13),AH$14-AH$13)*AH$19
+MIN(MAX(0,$C87-AH$14),AH$15-AH$14)*AH$20
+MAX(0,$C87-AH$15)*AH$21
+AH$26</f>
        <v>745</v>
      </c>
      <c r="AI87" s="270">
        <f t="shared" si="82"/>
        <v>745</v>
      </c>
      <c r="AJ87" s="270">
        <f t="shared" si="82"/>
        <v>745</v>
      </c>
      <c r="AK87" s="270">
        <f t="shared" si="82"/>
        <v>745</v>
      </c>
      <c r="AL87" s="270">
        <f t="shared" si="82"/>
        <v>745</v>
      </c>
      <c r="AM87" s="270">
        <f t="shared" si="82"/>
        <v>745</v>
      </c>
    </row>
    <row r="88" spans="2:39" ht="15.75" thickBot="1" x14ac:dyDescent="0.35">
      <c r="B88" s="56" t="str">
        <f>input_names!$B$3</f>
        <v>benzine</v>
      </c>
      <c r="C88" s="61">
        <v>40</v>
      </c>
      <c r="D88" s="270">
        <f t="shared" si="81"/>
        <v>415</v>
      </c>
      <c r="E88" s="270">
        <f t="shared" si="81"/>
        <v>415</v>
      </c>
      <c r="F88" s="270">
        <f t="shared" si="81"/>
        <v>433</v>
      </c>
      <c r="G88" s="270">
        <f t="shared" si="81"/>
        <v>436</v>
      </c>
      <c r="H88" s="270">
        <f t="shared" si="81"/>
        <v>440</v>
      </c>
      <c r="I88" s="270">
        <f t="shared" si="81"/>
        <v>446</v>
      </c>
      <c r="J88" s="270">
        <f t="shared" si="81"/>
        <v>412</v>
      </c>
      <c r="K88" s="270">
        <f t="shared" si="81"/>
        <v>416</v>
      </c>
      <c r="L88" s="270">
        <f t="shared" si="81"/>
        <v>480</v>
      </c>
      <c r="M88" s="270">
        <f t="shared" si="81"/>
        <v>520</v>
      </c>
      <c r="N88" s="270">
        <f t="shared" si="81"/>
        <v>747</v>
      </c>
      <c r="O88" s="270">
        <f t="shared" si="81"/>
        <v>747</v>
      </c>
      <c r="P88" s="270">
        <f t="shared" si="81"/>
        <v>747</v>
      </c>
      <c r="Q88" s="270">
        <f t="shared" si="81"/>
        <v>747</v>
      </c>
      <c r="R88" s="270">
        <f t="shared" si="81"/>
        <v>747</v>
      </c>
      <c r="S88" s="270">
        <f t="shared" si="80"/>
        <v>747</v>
      </c>
      <c r="T88" s="270">
        <f t="shared" si="80"/>
        <v>747</v>
      </c>
      <c r="U88" s="270">
        <f t="shared" si="80"/>
        <v>747</v>
      </c>
      <c r="V88" s="270">
        <f t="shared" si="80"/>
        <v>747</v>
      </c>
      <c r="W88" s="270">
        <f t="shared" si="80"/>
        <v>747</v>
      </c>
      <c r="X88" s="270">
        <f t="shared" si="80"/>
        <v>747</v>
      </c>
      <c r="Y88" s="270">
        <f t="shared" si="80"/>
        <v>747</v>
      </c>
      <c r="Z88" s="270">
        <f t="shared" si="80"/>
        <v>747</v>
      </c>
      <c r="AA88" s="270">
        <f t="shared" si="80"/>
        <v>747</v>
      </c>
      <c r="AB88" s="270">
        <f t="shared" si="80"/>
        <v>747</v>
      </c>
      <c r="AC88" s="270">
        <f t="shared" si="80"/>
        <v>747</v>
      </c>
      <c r="AD88" s="270">
        <f t="shared" si="81"/>
        <v>747</v>
      </c>
      <c r="AE88" s="270">
        <f t="shared" ref="AE88:AE119" si="83">+MIN(MAX(0,$C88-AE$11),AE$12-AE$11)*AE$17
+MIN(MAX(0,$C88-AE$12),AE$13-AE$12)*AE$18
+MIN(MAX(0,$C88-AE$13),AE$14-AE$13)*AE$19
+MIN(MAX(0,$C88-AE$14),AE$15-AE$14)*AE$20
+MAX(0,$C88-AE$15)*AE$21
+AE$26</f>
        <v>747</v>
      </c>
      <c r="AF88" s="270">
        <f t="shared" si="82"/>
        <v>747</v>
      </c>
      <c r="AG88" s="270">
        <f t="shared" si="82"/>
        <v>747</v>
      </c>
      <c r="AH88" s="270">
        <f t="shared" si="82"/>
        <v>747</v>
      </c>
      <c r="AI88" s="270">
        <f t="shared" si="82"/>
        <v>747</v>
      </c>
      <c r="AJ88" s="270">
        <f t="shared" si="82"/>
        <v>747</v>
      </c>
      <c r="AK88" s="270">
        <f t="shared" si="82"/>
        <v>747</v>
      </c>
      <c r="AL88" s="270">
        <f t="shared" si="82"/>
        <v>747</v>
      </c>
      <c r="AM88" s="270">
        <f t="shared" si="82"/>
        <v>747</v>
      </c>
    </row>
    <row r="89" spans="2:39" ht="15.75" thickBot="1" x14ac:dyDescent="0.35">
      <c r="B89" s="56" t="str">
        <f>input_names!$B$3</f>
        <v>benzine</v>
      </c>
      <c r="C89" s="61">
        <v>41</v>
      </c>
      <c r="D89" s="270">
        <f t="shared" si="81"/>
        <v>421</v>
      </c>
      <c r="E89" s="270">
        <f t="shared" si="81"/>
        <v>421</v>
      </c>
      <c r="F89" s="270">
        <f t="shared" si="81"/>
        <v>435</v>
      </c>
      <c r="G89" s="270">
        <f t="shared" si="81"/>
        <v>438</v>
      </c>
      <c r="H89" s="270">
        <f t="shared" si="81"/>
        <v>442</v>
      </c>
      <c r="I89" s="270">
        <f t="shared" si="81"/>
        <v>448</v>
      </c>
      <c r="J89" s="270">
        <f t="shared" si="81"/>
        <v>413</v>
      </c>
      <c r="K89" s="270">
        <f t="shared" si="81"/>
        <v>417</v>
      </c>
      <c r="L89" s="270">
        <f t="shared" si="81"/>
        <v>482</v>
      </c>
      <c r="M89" s="270">
        <f t="shared" si="81"/>
        <v>522</v>
      </c>
      <c r="N89" s="270">
        <f t="shared" si="81"/>
        <v>749</v>
      </c>
      <c r="O89" s="270">
        <f t="shared" si="81"/>
        <v>749</v>
      </c>
      <c r="P89" s="270">
        <f t="shared" si="81"/>
        <v>749</v>
      </c>
      <c r="Q89" s="270">
        <f t="shared" si="81"/>
        <v>749</v>
      </c>
      <c r="R89" s="270">
        <f t="shared" si="81"/>
        <v>749</v>
      </c>
      <c r="S89" s="270">
        <f t="shared" si="80"/>
        <v>749</v>
      </c>
      <c r="T89" s="270">
        <f t="shared" si="80"/>
        <v>749</v>
      </c>
      <c r="U89" s="270">
        <f t="shared" si="80"/>
        <v>749</v>
      </c>
      <c r="V89" s="270">
        <f t="shared" si="80"/>
        <v>749</v>
      </c>
      <c r="W89" s="270">
        <f t="shared" si="80"/>
        <v>749</v>
      </c>
      <c r="X89" s="270">
        <f t="shared" si="80"/>
        <v>749</v>
      </c>
      <c r="Y89" s="270">
        <f t="shared" si="80"/>
        <v>749</v>
      </c>
      <c r="Z89" s="270">
        <f t="shared" si="80"/>
        <v>749</v>
      </c>
      <c r="AA89" s="270">
        <f t="shared" si="80"/>
        <v>749</v>
      </c>
      <c r="AB89" s="270">
        <f t="shared" si="80"/>
        <v>749</v>
      </c>
      <c r="AC89" s="270">
        <f t="shared" si="80"/>
        <v>749</v>
      </c>
      <c r="AD89" s="270">
        <f t="shared" si="81"/>
        <v>749</v>
      </c>
      <c r="AE89" s="270">
        <f t="shared" si="83"/>
        <v>749</v>
      </c>
      <c r="AF89" s="270">
        <f t="shared" si="82"/>
        <v>749</v>
      </c>
      <c r="AG89" s="270">
        <f t="shared" si="82"/>
        <v>749</v>
      </c>
      <c r="AH89" s="270">
        <f t="shared" si="82"/>
        <v>749</v>
      </c>
      <c r="AI89" s="270">
        <f t="shared" si="82"/>
        <v>749</v>
      </c>
      <c r="AJ89" s="270">
        <f t="shared" si="82"/>
        <v>749</v>
      </c>
      <c r="AK89" s="270">
        <f t="shared" si="82"/>
        <v>749</v>
      </c>
      <c r="AL89" s="270">
        <f t="shared" si="82"/>
        <v>749</v>
      </c>
      <c r="AM89" s="270">
        <f t="shared" si="82"/>
        <v>749</v>
      </c>
    </row>
    <row r="90" spans="2:39" ht="15.75" thickBot="1" x14ac:dyDescent="0.35">
      <c r="B90" s="56" t="str">
        <f>input_names!$B$3</f>
        <v>benzine</v>
      </c>
      <c r="C90" s="61">
        <v>42</v>
      </c>
      <c r="D90" s="270">
        <f t="shared" si="81"/>
        <v>427</v>
      </c>
      <c r="E90" s="270">
        <f t="shared" si="81"/>
        <v>427</v>
      </c>
      <c r="F90" s="270">
        <f t="shared" si="81"/>
        <v>437</v>
      </c>
      <c r="G90" s="270">
        <f t="shared" si="81"/>
        <v>440</v>
      </c>
      <c r="H90" s="270">
        <f t="shared" si="81"/>
        <v>444</v>
      </c>
      <c r="I90" s="270">
        <f t="shared" si="81"/>
        <v>450</v>
      </c>
      <c r="J90" s="270">
        <f t="shared" si="81"/>
        <v>414</v>
      </c>
      <c r="K90" s="270">
        <f t="shared" si="81"/>
        <v>418</v>
      </c>
      <c r="L90" s="270">
        <f t="shared" si="81"/>
        <v>484</v>
      </c>
      <c r="M90" s="270">
        <f t="shared" si="81"/>
        <v>524</v>
      </c>
      <c r="N90" s="270">
        <f t="shared" si="81"/>
        <v>751</v>
      </c>
      <c r="O90" s="270">
        <f t="shared" si="81"/>
        <v>751</v>
      </c>
      <c r="P90" s="270">
        <f t="shared" si="81"/>
        <v>751</v>
      </c>
      <c r="Q90" s="270">
        <f t="shared" si="81"/>
        <v>751</v>
      </c>
      <c r="R90" s="270">
        <f t="shared" si="81"/>
        <v>751</v>
      </c>
      <c r="S90" s="270">
        <f t="shared" si="80"/>
        <v>751</v>
      </c>
      <c r="T90" s="270">
        <f t="shared" si="80"/>
        <v>751</v>
      </c>
      <c r="U90" s="270">
        <f t="shared" si="80"/>
        <v>751</v>
      </c>
      <c r="V90" s="270">
        <f t="shared" si="80"/>
        <v>751</v>
      </c>
      <c r="W90" s="270">
        <f t="shared" si="80"/>
        <v>751</v>
      </c>
      <c r="X90" s="270">
        <f t="shared" si="80"/>
        <v>751</v>
      </c>
      <c r="Y90" s="270">
        <f t="shared" si="80"/>
        <v>751</v>
      </c>
      <c r="Z90" s="270">
        <f t="shared" si="80"/>
        <v>751</v>
      </c>
      <c r="AA90" s="270">
        <f t="shared" si="80"/>
        <v>751</v>
      </c>
      <c r="AB90" s="270">
        <f t="shared" si="80"/>
        <v>751</v>
      </c>
      <c r="AC90" s="270">
        <f t="shared" si="80"/>
        <v>751</v>
      </c>
      <c r="AD90" s="270">
        <f t="shared" si="81"/>
        <v>751</v>
      </c>
      <c r="AE90" s="270">
        <f t="shared" si="83"/>
        <v>751</v>
      </c>
      <c r="AF90" s="270">
        <f t="shared" si="82"/>
        <v>751</v>
      </c>
      <c r="AG90" s="270">
        <f t="shared" si="82"/>
        <v>751</v>
      </c>
      <c r="AH90" s="270">
        <f t="shared" si="82"/>
        <v>751</v>
      </c>
      <c r="AI90" s="270">
        <f t="shared" si="82"/>
        <v>751</v>
      </c>
      <c r="AJ90" s="270">
        <f t="shared" si="82"/>
        <v>751</v>
      </c>
      <c r="AK90" s="270">
        <f t="shared" si="82"/>
        <v>751</v>
      </c>
      <c r="AL90" s="270">
        <f t="shared" si="82"/>
        <v>751</v>
      </c>
      <c r="AM90" s="270">
        <f t="shared" si="82"/>
        <v>751</v>
      </c>
    </row>
    <row r="91" spans="2:39" ht="15.75" thickBot="1" x14ac:dyDescent="0.35">
      <c r="B91" s="56" t="str">
        <f>input_names!$B$3</f>
        <v>benzine</v>
      </c>
      <c r="C91" s="61">
        <v>43</v>
      </c>
      <c r="D91" s="270">
        <f t="shared" si="81"/>
        <v>433</v>
      </c>
      <c r="E91" s="270">
        <f t="shared" si="81"/>
        <v>433</v>
      </c>
      <c r="F91" s="270">
        <f t="shared" si="81"/>
        <v>439</v>
      </c>
      <c r="G91" s="270">
        <f t="shared" si="81"/>
        <v>442</v>
      </c>
      <c r="H91" s="270">
        <f t="shared" si="81"/>
        <v>446</v>
      </c>
      <c r="I91" s="270">
        <f t="shared" si="81"/>
        <v>452</v>
      </c>
      <c r="J91" s="270">
        <f t="shared" si="81"/>
        <v>415</v>
      </c>
      <c r="K91" s="270">
        <f t="shared" si="81"/>
        <v>419</v>
      </c>
      <c r="L91" s="270">
        <f t="shared" si="81"/>
        <v>486</v>
      </c>
      <c r="M91" s="270">
        <f t="shared" si="81"/>
        <v>526</v>
      </c>
      <c r="N91" s="270">
        <f t="shared" si="81"/>
        <v>753</v>
      </c>
      <c r="O91" s="270">
        <f t="shared" si="81"/>
        <v>753</v>
      </c>
      <c r="P91" s="270">
        <f t="shared" si="81"/>
        <v>753</v>
      </c>
      <c r="Q91" s="270">
        <f t="shared" si="81"/>
        <v>753</v>
      </c>
      <c r="R91" s="270">
        <f t="shared" si="81"/>
        <v>753</v>
      </c>
      <c r="S91" s="270">
        <f t="shared" si="80"/>
        <v>753</v>
      </c>
      <c r="T91" s="270">
        <f t="shared" si="80"/>
        <v>753</v>
      </c>
      <c r="U91" s="270">
        <f t="shared" si="80"/>
        <v>753</v>
      </c>
      <c r="V91" s="270">
        <f t="shared" si="80"/>
        <v>753</v>
      </c>
      <c r="W91" s="270">
        <f t="shared" si="80"/>
        <v>753</v>
      </c>
      <c r="X91" s="270">
        <f t="shared" si="80"/>
        <v>753</v>
      </c>
      <c r="Y91" s="270">
        <f t="shared" si="80"/>
        <v>753</v>
      </c>
      <c r="Z91" s="270">
        <f t="shared" si="80"/>
        <v>753</v>
      </c>
      <c r="AA91" s="270">
        <f t="shared" si="80"/>
        <v>753</v>
      </c>
      <c r="AB91" s="270">
        <f t="shared" si="80"/>
        <v>753</v>
      </c>
      <c r="AC91" s="270">
        <f t="shared" si="80"/>
        <v>753</v>
      </c>
      <c r="AD91" s="270">
        <f t="shared" si="81"/>
        <v>753</v>
      </c>
      <c r="AE91" s="270">
        <f t="shared" si="83"/>
        <v>753</v>
      </c>
      <c r="AF91" s="270">
        <f t="shared" si="82"/>
        <v>753</v>
      </c>
      <c r="AG91" s="270">
        <f t="shared" si="82"/>
        <v>753</v>
      </c>
      <c r="AH91" s="270">
        <f t="shared" si="82"/>
        <v>753</v>
      </c>
      <c r="AI91" s="270">
        <f t="shared" si="82"/>
        <v>753</v>
      </c>
      <c r="AJ91" s="270">
        <f t="shared" si="82"/>
        <v>753</v>
      </c>
      <c r="AK91" s="270">
        <f t="shared" si="82"/>
        <v>753</v>
      </c>
      <c r="AL91" s="270">
        <f t="shared" si="82"/>
        <v>753</v>
      </c>
      <c r="AM91" s="270">
        <f t="shared" si="82"/>
        <v>753</v>
      </c>
    </row>
    <row r="92" spans="2:39" ht="15.75" thickBot="1" x14ac:dyDescent="0.35">
      <c r="B92" s="56" t="str">
        <f>input_names!$B$3</f>
        <v>benzine</v>
      </c>
      <c r="C92" s="61">
        <v>44</v>
      </c>
      <c r="D92" s="270">
        <f t="shared" si="81"/>
        <v>439</v>
      </c>
      <c r="E92" s="270">
        <f t="shared" si="81"/>
        <v>439</v>
      </c>
      <c r="F92" s="270">
        <f t="shared" si="81"/>
        <v>441</v>
      </c>
      <c r="G92" s="270">
        <f t="shared" si="81"/>
        <v>444</v>
      </c>
      <c r="H92" s="270">
        <f t="shared" si="81"/>
        <v>448</v>
      </c>
      <c r="I92" s="270">
        <f t="shared" si="81"/>
        <v>454</v>
      </c>
      <c r="J92" s="270">
        <f t="shared" si="81"/>
        <v>416</v>
      </c>
      <c r="K92" s="270">
        <f t="shared" si="81"/>
        <v>420</v>
      </c>
      <c r="L92" s="270">
        <f t="shared" si="81"/>
        <v>488</v>
      </c>
      <c r="M92" s="270">
        <f t="shared" si="81"/>
        <v>528</v>
      </c>
      <c r="N92" s="270">
        <f t="shared" si="81"/>
        <v>755</v>
      </c>
      <c r="O92" s="270">
        <f t="shared" si="81"/>
        <v>755</v>
      </c>
      <c r="P92" s="270">
        <f t="shared" si="81"/>
        <v>755</v>
      </c>
      <c r="Q92" s="270">
        <f t="shared" si="81"/>
        <v>755</v>
      </c>
      <c r="R92" s="270">
        <f t="shared" si="81"/>
        <v>755</v>
      </c>
      <c r="S92" s="270">
        <f t="shared" si="80"/>
        <v>755</v>
      </c>
      <c r="T92" s="270">
        <f t="shared" si="80"/>
        <v>755</v>
      </c>
      <c r="U92" s="270">
        <f t="shared" si="80"/>
        <v>755</v>
      </c>
      <c r="V92" s="270">
        <f t="shared" si="80"/>
        <v>755</v>
      </c>
      <c r="W92" s="270">
        <f t="shared" si="80"/>
        <v>755</v>
      </c>
      <c r="X92" s="270">
        <f t="shared" si="80"/>
        <v>755</v>
      </c>
      <c r="Y92" s="270">
        <f t="shared" si="80"/>
        <v>755</v>
      </c>
      <c r="Z92" s="270">
        <f t="shared" si="80"/>
        <v>755</v>
      </c>
      <c r="AA92" s="270">
        <f t="shared" si="80"/>
        <v>755</v>
      </c>
      <c r="AB92" s="270">
        <f t="shared" si="80"/>
        <v>755</v>
      </c>
      <c r="AC92" s="270">
        <f t="shared" si="80"/>
        <v>755</v>
      </c>
      <c r="AD92" s="270">
        <f t="shared" si="81"/>
        <v>755</v>
      </c>
      <c r="AE92" s="270">
        <f t="shared" si="83"/>
        <v>755</v>
      </c>
      <c r="AF92" s="270">
        <f t="shared" si="82"/>
        <v>755</v>
      </c>
      <c r="AG92" s="270">
        <f t="shared" si="82"/>
        <v>755</v>
      </c>
      <c r="AH92" s="270">
        <f t="shared" si="82"/>
        <v>755</v>
      </c>
      <c r="AI92" s="270">
        <f t="shared" si="82"/>
        <v>755</v>
      </c>
      <c r="AJ92" s="270">
        <f t="shared" si="82"/>
        <v>755</v>
      </c>
      <c r="AK92" s="270">
        <f t="shared" si="82"/>
        <v>755</v>
      </c>
      <c r="AL92" s="270">
        <f t="shared" si="82"/>
        <v>755</v>
      </c>
      <c r="AM92" s="270">
        <f t="shared" si="82"/>
        <v>755</v>
      </c>
    </row>
    <row r="93" spans="2:39" ht="15.75" thickBot="1" x14ac:dyDescent="0.35">
      <c r="B93" s="56" t="str">
        <f>input_names!$B$3</f>
        <v>benzine</v>
      </c>
      <c r="C93" s="61">
        <v>45</v>
      </c>
      <c r="D93" s="270">
        <f t="shared" si="81"/>
        <v>445</v>
      </c>
      <c r="E93" s="270">
        <f t="shared" si="81"/>
        <v>445</v>
      </c>
      <c r="F93" s="270">
        <f t="shared" si="81"/>
        <v>443</v>
      </c>
      <c r="G93" s="270">
        <f t="shared" si="81"/>
        <v>446</v>
      </c>
      <c r="H93" s="270">
        <f t="shared" si="81"/>
        <v>450</v>
      </c>
      <c r="I93" s="270">
        <f t="shared" si="81"/>
        <v>456</v>
      </c>
      <c r="J93" s="270">
        <f t="shared" si="81"/>
        <v>417</v>
      </c>
      <c r="K93" s="270">
        <f t="shared" si="81"/>
        <v>421</v>
      </c>
      <c r="L93" s="270">
        <f t="shared" si="81"/>
        <v>490</v>
      </c>
      <c r="M93" s="270">
        <f t="shared" si="81"/>
        <v>530</v>
      </c>
      <c r="N93" s="270">
        <f t="shared" si="81"/>
        <v>757</v>
      </c>
      <c r="O93" s="270">
        <f t="shared" si="81"/>
        <v>757</v>
      </c>
      <c r="P93" s="270">
        <f t="shared" si="81"/>
        <v>757</v>
      </c>
      <c r="Q93" s="270">
        <f t="shared" si="81"/>
        <v>757</v>
      </c>
      <c r="R93" s="270">
        <f t="shared" si="81"/>
        <v>757</v>
      </c>
      <c r="S93" s="270">
        <f t="shared" ref="S93:AC108" si="84">+MIN(MAX(0,$C93-S$11),S$12-S$11)*S$17
+MIN(MAX(0,$C93-S$12),S$13-S$12)*S$18
+MIN(MAX(0,$C93-S$13),S$14-S$13)*S$19
+MIN(MAX(0,$C93-S$14),S$15-S$14)*S$20
+MAX(0,$C93-S$15)*S$21
+S$26</f>
        <v>757</v>
      </c>
      <c r="T93" s="270">
        <f t="shared" si="84"/>
        <v>757</v>
      </c>
      <c r="U93" s="270">
        <f t="shared" si="84"/>
        <v>757</v>
      </c>
      <c r="V93" s="270">
        <f t="shared" si="84"/>
        <v>757</v>
      </c>
      <c r="W93" s="270">
        <f t="shared" si="84"/>
        <v>757</v>
      </c>
      <c r="X93" s="270">
        <f t="shared" si="84"/>
        <v>757</v>
      </c>
      <c r="Y93" s="270">
        <f t="shared" si="84"/>
        <v>757</v>
      </c>
      <c r="Z93" s="270">
        <f t="shared" si="84"/>
        <v>757</v>
      </c>
      <c r="AA93" s="270">
        <f t="shared" si="84"/>
        <v>757</v>
      </c>
      <c r="AB93" s="270">
        <f t="shared" si="84"/>
        <v>757</v>
      </c>
      <c r="AC93" s="270">
        <f t="shared" si="84"/>
        <v>757</v>
      </c>
      <c r="AD93" s="270">
        <f t="shared" si="81"/>
        <v>757</v>
      </c>
      <c r="AE93" s="270">
        <f t="shared" si="83"/>
        <v>757</v>
      </c>
      <c r="AF93" s="270">
        <f t="shared" si="82"/>
        <v>757</v>
      </c>
      <c r="AG93" s="270">
        <f t="shared" si="82"/>
        <v>757</v>
      </c>
      <c r="AH93" s="270">
        <f t="shared" si="82"/>
        <v>757</v>
      </c>
      <c r="AI93" s="270">
        <f t="shared" si="82"/>
        <v>757</v>
      </c>
      <c r="AJ93" s="270">
        <f t="shared" si="82"/>
        <v>757</v>
      </c>
      <c r="AK93" s="270">
        <f t="shared" si="82"/>
        <v>757</v>
      </c>
      <c r="AL93" s="270">
        <f t="shared" si="82"/>
        <v>757</v>
      </c>
      <c r="AM93" s="270">
        <f t="shared" si="82"/>
        <v>757</v>
      </c>
    </row>
    <row r="94" spans="2:39" ht="15.75" thickBot="1" x14ac:dyDescent="0.35">
      <c r="B94" s="56" t="str">
        <f>input_names!$B$3</f>
        <v>benzine</v>
      </c>
      <c r="C94" s="61">
        <v>46</v>
      </c>
      <c r="D94" s="270">
        <f t="shared" si="81"/>
        <v>451</v>
      </c>
      <c r="E94" s="270">
        <f t="shared" si="81"/>
        <v>451</v>
      </c>
      <c r="F94" s="270">
        <f t="shared" si="81"/>
        <v>445</v>
      </c>
      <c r="G94" s="270">
        <f t="shared" si="81"/>
        <v>448</v>
      </c>
      <c r="H94" s="270">
        <f t="shared" si="81"/>
        <v>452</v>
      </c>
      <c r="I94" s="270">
        <f t="shared" si="81"/>
        <v>458</v>
      </c>
      <c r="J94" s="270">
        <f t="shared" si="81"/>
        <v>418</v>
      </c>
      <c r="K94" s="270">
        <f t="shared" si="81"/>
        <v>422</v>
      </c>
      <c r="L94" s="270">
        <f t="shared" si="81"/>
        <v>492</v>
      </c>
      <c r="M94" s="270">
        <f t="shared" si="81"/>
        <v>532</v>
      </c>
      <c r="N94" s="270">
        <f t="shared" si="81"/>
        <v>759</v>
      </c>
      <c r="O94" s="270">
        <f t="shared" si="81"/>
        <v>759</v>
      </c>
      <c r="P94" s="270">
        <f t="shared" si="81"/>
        <v>759</v>
      </c>
      <c r="Q94" s="270">
        <f t="shared" si="81"/>
        <v>759</v>
      </c>
      <c r="R94" s="270">
        <f t="shared" si="81"/>
        <v>759</v>
      </c>
      <c r="S94" s="270">
        <f t="shared" si="84"/>
        <v>759</v>
      </c>
      <c r="T94" s="270">
        <f t="shared" si="84"/>
        <v>759</v>
      </c>
      <c r="U94" s="270">
        <f t="shared" si="84"/>
        <v>759</v>
      </c>
      <c r="V94" s="270">
        <f t="shared" si="84"/>
        <v>759</v>
      </c>
      <c r="W94" s="270">
        <f t="shared" si="84"/>
        <v>759</v>
      </c>
      <c r="X94" s="270">
        <f t="shared" si="84"/>
        <v>759</v>
      </c>
      <c r="Y94" s="270">
        <f t="shared" si="84"/>
        <v>759</v>
      </c>
      <c r="Z94" s="270">
        <f t="shared" si="84"/>
        <v>759</v>
      </c>
      <c r="AA94" s="270">
        <f t="shared" si="84"/>
        <v>759</v>
      </c>
      <c r="AB94" s="270">
        <f t="shared" si="84"/>
        <v>759</v>
      </c>
      <c r="AC94" s="270">
        <f t="shared" si="84"/>
        <v>759</v>
      </c>
      <c r="AD94" s="270">
        <f t="shared" si="81"/>
        <v>759</v>
      </c>
      <c r="AE94" s="270">
        <f t="shared" si="83"/>
        <v>759</v>
      </c>
      <c r="AF94" s="270">
        <f t="shared" si="82"/>
        <v>759</v>
      </c>
      <c r="AG94" s="270">
        <f t="shared" si="82"/>
        <v>759</v>
      </c>
      <c r="AH94" s="270">
        <f t="shared" si="82"/>
        <v>759</v>
      </c>
      <c r="AI94" s="270">
        <f t="shared" si="82"/>
        <v>759</v>
      </c>
      <c r="AJ94" s="270">
        <f t="shared" si="82"/>
        <v>759</v>
      </c>
      <c r="AK94" s="270">
        <f t="shared" si="82"/>
        <v>759</v>
      </c>
      <c r="AL94" s="270">
        <f t="shared" si="82"/>
        <v>759</v>
      </c>
      <c r="AM94" s="270">
        <f t="shared" si="82"/>
        <v>759</v>
      </c>
    </row>
    <row r="95" spans="2:39" ht="15.75" thickBot="1" x14ac:dyDescent="0.35">
      <c r="B95" s="56" t="str">
        <f>input_names!$B$3</f>
        <v>benzine</v>
      </c>
      <c r="C95" s="61">
        <v>47</v>
      </c>
      <c r="D95" s="270">
        <f t="shared" si="81"/>
        <v>457</v>
      </c>
      <c r="E95" s="270">
        <f t="shared" si="81"/>
        <v>457</v>
      </c>
      <c r="F95" s="270">
        <f t="shared" si="81"/>
        <v>447</v>
      </c>
      <c r="G95" s="270">
        <f t="shared" si="81"/>
        <v>450</v>
      </c>
      <c r="H95" s="270">
        <f t="shared" si="81"/>
        <v>454</v>
      </c>
      <c r="I95" s="270">
        <f t="shared" si="81"/>
        <v>460</v>
      </c>
      <c r="J95" s="270">
        <f t="shared" si="81"/>
        <v>419</v>
      </c>
      <c r="K95" s="270">
        <f t="shared" si="81"/>
        <v>423</v>
      </c>
      <c r="L95" s="270">
        <f t="shared" si="81"/>
        <v>494</v>
      </c>
      <c r="M95" s="270">
        <f t="shared" si="81"/>
        <v>534</v>
      </c>
      <c r="N95" s="270">
        <f t="shared" si="81"/>
        <v>761</v>
      </c>
      <c r="O95" s="270">
        <f t="shared" si="81"/>
        <v>761</v>
      </c>
      <c r="P95" s="270">
        <f t="shared" si="81"/>
        <v>761</v>
      </c>
      <c r="Q95" s="270">
        <f t="shared" si="81"/>
        <v>761</v>
      </c>
      <c r="R95" s="270">
        <f t="shared" si="81"/>
        <v>761</v>
      </c>
      <c r="S95" s="270">
        <f t="shared" si="84"/>
        <v>761</v>
      </c>
      <c r="T95" s="270">
        <f t="shared" si="84"/>
        <v>761</v>
      </c>
      <c r="U95" s="270">
        <f t="shared" si="84"/>
        <v>761</v>
      </c>
      <c r="V95" s="270">
        <f t="shared" si="84"/>
        <v>761</v>
      </c>
      <c r="W95" s="270">
        <f t="shared" si="84"/>
        <v>761</v>
      </c>
      <c r="X95" s="270">
        <f t="shared" si="84"/>
        <v>761</v>
      </c>
      <c r="Y95" s="270">
        <f t="shared" si="84"/>
        <v>761</v>
      </c>
      <c r="Z95" s="270">
        <f t="shared" si="84"/>
        <v>761</v>
      </c>
      <c r="AA95" s="270">
        <f t="shared" si="84"/>
        <v>761</v>
      </c>
      <c r="AB95" s="270">
        <f t="shared" si="84"/>
        <v>761</v>
      </c>
      <c r="AC95" s="270">
        <f t="shared" si="84"/>
        <v>761</v>
      </c>
      <c r="AD95" s="270">
        <f t="shared" si="81"/>
        <v>761</v>
      </c>
      <c r="AE95" s="270">
        <f t="shared" si="83"/>
        <v>761</v>
      </c>
      <c r="AF95" s="270">
        <f t="shared" si="82"/>
        <v>761</v>
      </c>
      <c r="AG95" s="270">
        <f t="shared" si="82"/>
        <v>761</v>
      </c>
      <c r="AH95" s="270">
        <f t="shared" si="82"/>
        <v>761</v>
      </c>
      <c r="AI95" s="270">
        <f t="shared" si="82"/>
        <v>761</v>
      </c>
      <c r="AJ95" s="270">
        <f t="shared" si="82"/>
        <v>761</v>
      </c>
      <c r="AK95" s="270">
        <f t="shared" si="82"/>
        <v>761</v>
      </c>
      <c r="AL95" s="270">
        <f t="shared" si="82"/>
        <v>761</v>
      </c>
      <c r="AM95" s="270">
        <f t="shared" si="82"/>
        <v>761</v>
      </c>
    </row>
    <row r="96" spans="2:39" ht="15.75" thickBot="1" x14ac:dyDescent="0.35">
      <c r="B96" s="56" t="str">
        <f>input_names!$B$3</f>
        <v>benzine</v>
      </c>
      <c r="C96" s="61">
        <v>48</v>
      </c>
      <c r="D96" s="270">
        <f t="shared" ref="D96:AD111" si="85">+MIN(MAX(0,$C96-D$11),D$12-D$11)*D$17
+MIN(MAX(0,$C96-D$12),D$13-D$12)*D$18
+MIN(MAX(0,$C96-D$13),D$14-D$13)*D$19
+MIN(MAX(0,$C96-D$14),D$15-D$14)*D$20
+MAX(0,$C96-D$15)*D$21
+D$26</f>
        <v>463</v>
      </c>
      <c r="E96" s="270">
        <f t="shared" si="85"/>
        <v>463</v>
      </c>
      <c r="F96" s="270">
        <f t="shared" si="85"/>
        <v>449</v>
      </c>
      <c r="G96" s="270">
        <f t="shared" si="85"/>
        <v>452</v>
      </c>
      <c r="H96" s="270">
        <f t="shared" si="85"/>
        <v>456</v>
      </c>
      <c r="I96" s="270">
        <f t="shared" si="85"/>
        <v>462</v>
      </c>
      <c r="J96" s="270">
        <f t="shared" si="85"/>
        <v>420</v>
      </c>
      <c r="K96" s="270">
        <f t="shared" si="85"/>
        <v>424</v>
      </c>
      <c r="L96" s="270">
        <f t="shared" si="85"/>
        <v>496</v>
      </c>
      <c r="M96" s="270">
        <f t="shared" si="85"/>
        <v>536</v>
      </c>
      <c r="N96" s="270">
        <f t="shared" si="85"/>
        <v>763</v>
      </c>
      <c r="O96" s="270">
        <f t="shared" si="85"/>
        <v>763</v>
      </c>
      <c r="P96" s="270">
        <f t="shared" si="85"/>
        <v>763</v>
      </c>
      <c r="Q96" s="270">
        <f t="shared" si="85"/>
        <v>763</v>
      </c>
      <c r="R96" s="270">
        <f t="shared" si="85"/>
        <v>763</v>
      </c>
      <c r="S96" s="270">
        <f t="shared" si="84"/>
        <v>763</v>
      </c>
      <c r="T96" s="270">
        <f t="shared" si="84"/>
        <v>763</v>
      </c>
      <c r="U96" s="270">
        <f t="shared" si="84"/>
        <v>763</v>
      </c>
      <c r="V96" s="270">
        <f t="shared" si="84"/>
        <v>763</v>
      </c>
      <c r="W96" s="270">
        <f t="shared" si="84"/>
        <v>763</v>
      </c>
      <c r="X96" s="270">
        <f t="shared" si="84"/>
        <v>763</v>
      </c>
      <c r="Y96" s="270">
        <f t="shared" si="84"/>
        <v>763</v>
      </c>
      <c r="Z96" s="270">
        <f t="shared" si="84"/>
        <v>763</v>
      </c>
      <c r="AA96" s="270">
        <f t="shared" si="84"/>
        <v>763</v>
      </c>
      <c r="AB96" s="270">
        <f t="shared" si="84"/>
        <v>763</v>
      </c>
      <c r="AC96" s="270">
        <f t="shared" si="84"/>
        <v>763</v>
      </c>
      <c r="AD96" s="270">
        <f t="shared" si="85"/>
        <v>763</v>
      </c>
      <c r="AE96" s="270">
        <f t="shared" si="83"/>
        <v>763</v>
      </c>
      <c r="AF96" s="270">
        <f t="shared" si="82"/>
        <v>763</v>
      </c>
      <c r="AG96" s="270">
        <f t="shared" si="82"/>
        <v>763</v>
      </c>
      <c r="AH96" s="270">
        <f t="shared" si="82"/>
        <v>763</v>
      </c>
      <c r="AI96" s="270">
        <f t="shared" si="82"/>
        <v>763</v>
      </c>
      <c r="AJ96" s="270">
        <f t="shared" si="82"/>
        <v>763</v>
      </c>
      <c r="AK96" s="270">
        <f t="shared" si="82"/>
        <v>763</v>
      </c>
      <c r="AL96" s="270">
        <f t="shared" si="82"/>
        <v>763</v>
      </c>
      <c r="AM96" s="270">
        <f t="shared" si="82"/>
        <v>763</v>
      </c>
    </row>
    <row r="97" spans="2:39" ht="15.75" thickBot="1" x14ac:dyDescent="0.35">
      <c r="B97" s="56" t="str">
        <f>input_names!$B$3</f>
        <v>benzine</v>
      </c>
      <c r="C97" s="61">
        <v>49</v>
      </c>
      <c r="D97" s="270">
        <f t="shared" si="85"/>
        <v>469</v>
      </c>
      <c r="E97" s="270">
        <f t="shared" si="85"/>
        <v>469</v>
      </c>
      <c r="F97" s="270">
        <f t="shared" si="85"/>
        <v>451</v>
      </c>
      <c r="G97" s="270">
        <f t="shared" si="85"/>
        <v>454</v>
      </c>
      <c r="H97" s="270">
        <f t="shared" si="85"/>
        <v>458</v>
      </c>
      <c r="I97" s="270">
        <f t="shared" si="85"/>
        <v>464</v>
      </c>
      <c r="J97" s="270">
        <f t="shared" si="85"/>
        <v>421</v>
      </c>
      <c r="K97" s="270">
        <f t="shared" si="85"/>
        <v>425</v>
      </c>
      <c r="L97" s="270">
        <f t="shared" si="85"/>
        <v>498</v>
      </c>
      <c r="M97" s="270">
        <f t="shared" si="85"/>
        <v>538</v>
      </c>
      <c r="N97" s="270">
        <f t="shared" si="85"/>
        <v>765</v>
      </c>
      <c r="O97" s="270">
        <f t="shared" si="85"/>
        <v>765</v>
      </c>
      <c r="P97" s="270">
        <f t="shared" si="85"/>
        <v>765</v>
      </c>
      <c r="Q97" s="270">
        <f t="shared" si="85"/>
        <v>765</v>
      </c>
      <c r="R97" s="270">
        <f t="shared" si="85"/>
        <v>765</v>
      </c>
      <c r="S97" s="270">
        <f t="shared" si="84"/>
        <v>765</v>
      </c>
      <c r="T97" s="270">
        <f t="shared" si="84"/>
        <v>765</v>
      </c>
      <c r="U97" s="270">
        <f t="shared" si="84"/>
        <v>765</v>
      </c>
      <c r="V97" s="270">
        <f t="shared" si="84"/>
        <v>765</v>
      </c>
      <c r="W97" s="270">
        <f t="shared" si="84"/>
        <v>765</v>
      </c>
      <c r="X97" s="270">
        <f t="shared" si="84"/>
        <v>765</v>
      </c>
      <c r="Y97" s="270">
        <f t="shared" si="84"/>
        <v>765</v>
      </c>
      <c r="Z97" s="270">
        <f t="shared" si="84"/>
        <v>765</v>
      </c>
      <c r="AA97" s="270">
        <f t="shared" si="84"/>
        <v>765</v>
      </c>
      <c r="AB97" s="270">
        <f t="shared" si="84"/>
        <v>765</v>
      </c>
      <c r="AC97" s="270">
        <f t="shared" si="84"/>
        <v>765</v>
      </c>
      <c r="AD97" s="270">
        <f t="shared" si="85"/>
        <v>765</v>
      </c>
      <c r="AE97" s="270">
        <f t="shared" si="83"/>
        <v>765</v>
      </c>
      <c r="AF97" s="270">
        <f t="shared" si="82"/>
        <v>765</v>
      </c>
      <c r="AG97" s="270">
        <f t="shared" si="82"/>
        <v>765</v>
      </c>
      <c r="AH97" s="270">
        <f t="shared" si="82"/>
        <v>765</v>
      </c>
      <c r="AI97" s="270">
        <f t="shared" si="82"/>
        <v>765</v>
      </c>
      <c r="AJ97" s="270">
        <f t="shared" si="82"/>
        <v>765</v>
      </c>
      <c r="AK97" s="270">
        <f t="shared" si="82"/>
        <v>765</v>
      </c>
      <c r="AL97" s="270">
        <f t="shared" si="82"/>
        <v>765</v>
      </c>
      <c r="AM97" s="270">
        <f t="shared" si="82"/>
        <v>765</v>
      </c>
    </row>
    <row r="98" spans="2:39" ht="15.75" thickBot="1" x14ac:dyDescent="0.35">
      <c r="B98" s="56" t="str">
        <f>input_names!$B$3</f>
        <v>benzine</v>
      </c>
      <c r="C98" s="61">
        <v>50</v>
      </c>
      <c r="D98" s="270">
        <f t="shared" si="85"/>
        <v>475</v>
      </c>
      <c r="E98" s="270">
        <f t="shared" si="85"/>
        <v>475</v>
      </c>
      <c r="F98" s="270">
        <f t="shared" si="85"/>
        <v>453</v>
      </c>
      <c r="G98" s="270">
        <f t="shared" si="85"/>
        <v>456</v>
      </c>
      <c r="H98" s="270">
        <f t="shared" si="85"/>
        <v>460</v>
      </c>
      <c r="I98" s="270">
        <f t="shared" si="85"/>
        <v>466</v>
      </c>
      <c r="J98" s="270">
        <f t="shared" si="85"/>
        <v>422</v>
      </c>
      <c r="K98" s="270">
        <f t="shared" si="85"/>
        <v>426</v>
      </c>
      <c r="L98" s="270">
        <f t="shared" si="85"/>
        <v>500</v>
      </c>
      <c r="M98" s="270">
        <f t="shared" si="85"/>
        <v>540</v>
      </c>
      <c r="N98" s="270">
        <f t="shared" si="85"/>
        <v>767</v>
      </c>
      <c r="O98" s="270">
        <f t="shared" si="85"/>
        <v>767</v>
      </c>
      <c r="P98" s="270">
        <f t="shared" si="85"/>
        <v>767</v>
      </c>
      <c r="Q98" s="270">
        <f t="shared" si="85"/>
        <v>767</v>
      </c>
      <c r="R98" s="270">
        <f t="shared" si="85"/>
        <v>767</v>
      </c>
      <c r="S98" s="270">
        <f t="shared" si="84"/>
        <v>767</v>
      </c>
      <c r="T98" s="270">
        <f t="shared" si="84"/>
        <v>767</v>
      </c>
      <c r="U98" s="270">
        <f t="shared" si="84"/>
        <v>767</v>
      </c>
      <c r="V98" s="270">
        <f t="shared" si="84"/>
        <v>767</v>
      </c>
      <c r="W98" s="270">
        <f t="shared" si="84"/>
        <v>767</v>
      </c>
      <c r="X98" s="270">
        <f t="shared" si="84"/>
        <v>767</v>
      </c>
      <c r="Y98" s="270">
        <f t="shared" si="84"/>
        <v>767</v>
      </c>
      <c r="Z98" s="270">
        <f t="shared" si="84"/>
        <v>767</v>
      </c>
      <c r="AA98" s="270">
        <f t="shared" si="84"/>
        <v>767</v>
      </c>
      <c r="AB98" s="270">
        <f t="shared" si="84"/>
        <v>767</v>
      </c>
      <c r="AC98" s="270">
        <f t="shared" si="84"/>
        <v>767</v>
      </c>
      <c r="AD98" s="270">
        <f t="shared" si="85"/>
        <v>767</v>
      </c>
      <c r="AE98" s="270">
        <f t="shared" si="83"/>
        <v>767</v>
      </c>
      <c r="AF98" s="270">
        <f t="shared" si="82"/>
        <v>767</v>
      </c>
      <c r="AG98" s="270">
        <f t="shared" si="82"/>
        <v>767</v>
      </c>
      <c r="AH98" s="270">
        <f t="shared" si="82"/>
        <v>767</v>
      </c>
      <c r="AI98" s="270">
        <f t="shared" si="82"/>
        <v>767</v>
      </c>
      <c r="AJ98" s="270">
        <f t="shared" si="82"/>
        <v>767</v>
      </c>
      <c r="AK98" s="270">
        <f t="shared" si="82"/>
        <v>767</v>
      </c>
      <c r="AL98" s="270">
        <f t="shared" si="82"/>
        <v>767</v>
      </c>
      <c r="AM98" s="270">
        <f t="shared" si="82"/>
        <v>767</v>
      </c>
    </row>
    <row r="99" spans="2:39" ht="15.75" thickBot="1" x14ac:dyDescent="0.35">
      <c r="B99" s="56" t="str">
        <f>input_names!$B$3</f>
        <v>benzine</v>
      </c>
      <c r="C99" s="61">
        <v>51</v>
      </c>
      <c r="D99" s="270">
        <f t="shared" si="85"/>
        <v>481</v>
      </c>
      <c r="E99" s="270">
        <f t="shared" si="85"/>
        <v>481</v>
      </c>
      <c r="F99" s="270">
        <f t="shared" si="85"/>
        <v>455</v>
      </c>
      <c r="G99" s="270">
        <f t="shared" si="85"/>
        <v>458</v>
      </c>
      <c r="H99" s="270">
        <f t="shared" si="85"/>
        <v>462</v>
      </c>
      <c r="I99" s="270">
        <f t="shared" si="85"/>
        <v>468</v>
      </c>
      <c r="J99" s="270">
        <f t="shared" si="85"/>
        <v>423</v>
      </c>
      <c r="K99" s="270">
        <f t="shared" si="85"/>
        <v>427</v>
      </c>
      <c r="L99" s="270">
        <f t="shared" si="85"/>
        <v>502</v>
      </c>
      <c r="M99" s="270">
        <f t="shared" si="85"/>
        <v>542</v>
      </c>
      <c r="N99" s="270">
        <f t="shared" si="85"/>
        <v>769</v>
      </c>
      <c r="O99" s="270">
        <f t="shared" si="85"/>
        <v>769</v>
      </c>
      <c r="P99" s="270">
        <f t="shared" si="85"/>
        <v>769</v>
      </c>
      <c r="Q99" s="270">
        <f t="shared" si="85"/>
        <v>769</v>
      </c>
      <c r="R99" s="270">
        <f t="shared" si="85"/>
        <v>769</v>
      </c>
      <c r="S99" s="270">
        <f t="shared" si="84"/>
        <v>769</v>
      </c>
      <c r="T99" s="270">
        <f t="shared" si="84"/>
        <v>769</v>
      </c>
      <c r="U99" s="270">
        <f t="shared" si="84"/>
        <v>769</v>
      </c>
      <c r="V99" s="270">
        <f t="shared" si="84"/>
        <v>769</v>
      </c>
      <c r="W99" s="270">
        <f t="shared" si="84"/>
        <v>769</v>
      </c>
      <c r="X99" s="270">
        <f t="shared" si="84"/>
        <v>769</v>
      </c>
      <c r="Y99" s="270">
        <f t="shared" si="84"/>
        <v>769</v>
      </c>
      <c r="Z99" s="270">
        <f t="shared" si="84"/>
        <v>769</v>
      </c>
      <c r="AA99" s="270">
        <f t="shared" si="84"/>
        <v>769</v>
      </c>
      <c r="AB99" s="270">
        <f t="shared" si="84"/>
        <v>769</v>
      </c>
      <c r="AC99" s="270">
        <f t="shared" si="84"/>
        <v>769</v>
      </c>
      <c r="AD99" s="270">
        <f t="shared" si="85"/>
        <v>769</v>
      </c>
      <c r="AE99" s="270">
        <f t="shared" si="83"/>
        <v>769</v>
      </c>
      <c r="AF99" s="270">
        <f t="shared" si="82"/>
        <v>769</v>
      </c>
      <c r="AG99" s="270">
        <f t="shared" si="82"/>
        <v>769</v>
      </c>
      <c r="AH99" s="270">
        <f t="shared" si="82"/>
        <v>769</v>
      </c>
      <c r="AI99" s="270">
        <f t="shared" si="82"/>
        <v>769</v>
      </c>
      <c r="AJ99" s="270">
        <f t="shared" si="82"/>
        <v>769</v>
      </c>
      <c r="AK99" s="270">
        <f t="shared" si="82"/>
        <v>769</v>
      </c>
      <c r="AL99" s="270">
        <f t="shared" si="82"/>
        <v>769</v>
      </c>
      <c r="AM99" s="270">
        <f t="shared" si="82"/>
        <v>769</v>
      </c>
    </row>
    <row r="100" spans="2:39" ht="15.75" thickBot="1" x14ac:dyDescent="0.35">
      <c r="B100" s="56" t="str">
        <f>input_names!$B$3</f>
        <v>benzine</v>
      </c>
      <c r="C100" s="61">
        <v>52</v>
      </c>
      <c r="D100" s="270">
        <f t="shared" si="85"/>
        <v>487</v>
      </c>
      <c r="E100" s="270">
        <f t="shared" si="85"/>
        <v>487</v>
      </c>
      <c r="F100" s="270">
        <f t="shared" si="85"/>
        <v>457</v>
      </c>
      <c r="G100" s="270">
        <f t="shared" si="85"/>
        <v>460</v>
      </c>
      <c r="H100" s="270">
        <f t="shared" si="85"/>
        <v>464</v>
      </c>
      <c r="I100" s="270">
        <f t="shared" si="85"/>
        <v>470</v>
      </c>
      <c r="J100" s="270">
        <f t="shared" si="85"/>
        <v>424</v>
      </c>
      <c r="K100" s="270">
        <f t="shared" si="85"/>
        <v>428</v>
      </c>
      <c r="L100" s="270">
        <f t="shared" si="85"/>
        <v>504</v>
      </c>
      <c r="M100" s="270">
        <f t="shared" si="85"/>
        <v>544</v>
      </c>
      <c r="N100" s="270">
        <f t="shared" si="85"/>
        <v>771</v>
      </c>
      <c r="O100" s="270">
        <f t="shared" si="85"/>
        <v>771</v>
      </c>
      <c r="P100" s="270">
        <f t="shared" si="85"/>
        <v>771</v>
      </c>
      <c r="Q100" s="270">
        <f t="shared" si="85"/>
        <v>771</v>
      </c>
      <c r="R100" s="270">
        <f t="shared" si="85"/>
        <v>771</v>
      </c>
      <c r="S100" s="270">
        <f t="shared" si="84"/>
        <v>771</v>
      </c>
      <c r="T100" s="270">
        <f t="shared" si="84"/>
        <v>771</v>
      </c>
      <c r="U100" s="270">
        <f t="shared" si="84"/>
        <v>771</v>
      </c>
      <c r="V100" s="270">
        <f t="shared" si="84"/>
        <v>771</v>
      </c>
      <c r="W100" s="270">
        <f t="shared" si="84"/>
        <v>771</v>
      </c>
      <c r="X100" s="270">
        <f t="shared" si="84"/>
        <v>771</v>
      </c>
      <c r="Y100" s="270">
        <f t="shared" si="84"/>
        <v>771</v>
      </c>
      <c r="Z100" s="270">
        <f t="shared" si="84"/>
        <v>771</v>
      </c>
      <c r="AA100" s="270">
        <f t="shared" si="84"/>
        <v>771</v>
      </c>
      <c r="AB100" s="270">
        <f t="shared" si="84"/>
        <v>771</v>
      </c>
      <c r="AC100" s="270">
        <f t="shared" si="84"/>
        <v>771</v>
      </c>
      <c r="AD100" s="270">
        <f t="shared" si="85"/>
        <v>771</v>
      </c>
      <c r="AE100" s="270">
        <f t="shared" si="83"/>
        <v>771</v>
      </c>
      <c r="AF100" s="270">
        <f t="shared" si="82"/>
        <v>771</v>
      </c>
      <c r="AG100" s="270">
        <f t="shared" si="82"/>
        <v>771</v>
      </c>
      <c r="AH100" s="270">
        <f t="shared" si="82"/>
        <v>771</v>
      </c>
      <c r="AI100" s="270">
        <f t="shared" si="82"/>
        <v>771</v>
      </c>
      <c r="AJ100" s="270">
        <f t="shared" si="82"/>
        <v>771</v>
      </c>
      <c r="AK100" s="270">
        <f t="shared" si="82"/>
        <v>771</v>
      </c>
      <c r="AL100" s="270">
        <f t="shared" si="82"/>
        <v>771</v>
      </c>
      <c r="AM100" s="270">
        <f t="shared" si="82"/>
        <v>771</v>
      </c>
    </row>
    <row r="101" spans="2:39" ht="15.75" thickBot="1" x14ac:dyDescent="0.35">
      <c r="B101" s="56" t="str">
        <f>input_names!$B$3</f>
        <v>benzine</v>
      </c>
      <c r="C101" s="61">
        <v>53</v>
      </c>
      <c r="D101" s="270">
        <f t="shared" si="85"/>
        <v>493</v>
      </c>
      <c r="E101" s="270">
        <f t="shared" si="85"/>
        <v>493</v>
      </c>
      <c r="F101" s="270">
        <f t="shared" si="85"/>
        <v>459</v>
      </c>
      <c r="G101" s="270">
        <f t="shared" si="85"/>
        <v>462</v>
      </c>
      <c r="H101" s="270">
        <f t="shared" si="85"/>
        <v>466</v>
      </c>
      <c r="I101" s="270">
        <f t="shared" si="85"/>
        <v>472</v>
      </c>
      <c r="J101" s="270">
        <f t="shared" si="85"/>
        <v>425</v>
      </c>
      <c r="K101" s="270">
        <f t="shared" si="85"/>
        <v>429</v>
      </c>
      <c r="L101" s="270">
        <f t="shared" si="85"/>
        <v>506</v>
      </c>
      <c r="M101" s="270">
        <f t="shared" si="85"/>
        <v>546</v>
      </c>
      <c r="N101" s="270">
        <f t="shared" si="85"/>
        <v>773</v>
      </c>
      <c r="O101" s="270">
        <f t="shared" si="85"/>
        <v>773</v>
      </c>
      <c r="P101" s="270">
        <f t="shared" si="85"/>
        <v>773</v>
      </c>
      <c r="Q101" s="270">
        <f t="shared" si="85"/>
        <v>773</v>
      </c>
      <c r="R101" s="270">
        <f t="shared" si="85"/>
        <v>773</v>
      </c>
      <c r="S101" s="270">
        <f t="shared" si="84"/>
        <v>773</v>
      </c>
      <c r="T101" s="270">
        <f t="shared" si="84"/>
        <v>773</v>
      </c>
      <c r="U101" s="270">
        <f t="shared" si="84"/>
        <v>773</v>
      </c>
      <c r="V101" s="270">
        <f t="shared" si="84"/>
        <v>773</v>
      </c>
      <c r="W101" s="270">
        <f t="shared" si="84"/>
        <v>773</v>
      </c>
      <c r="X101" s="270">
        <f t="shared" si="84"/>
        <v>773</v>
      </c>
      <c r="Y101" s="270">
        <f t="shared" si="84"/>
        <v>773</v>
      </c>
      <c r="Z101" s="270">
        <f t="shared" si="84"/>
        <v>773</v>
      </c>
      <c r="AA101" s="270">
        <f t="shared" si="84"/>
        <v>773</v>
      </c>
      <c r="AB101" s="270">
        <f t="shared" si="84"/>
        <v>773</v>
      </c>
      <c r="AC101" s="270">
        <f t="shared" si="84"/>
        <v>773</v>
      </c>
      <c r="AD101" s="270">
        <f t="shared" si="85"/>
        <v>773</v>
      </c>
      <c r="AE101" s="270">
        <f t="shared" si="83"/>
        <v>773</v>
      </c>
      <c r="AF101" s="270">
        <f t="shared" si="82"/>
        <v>773</v>
      </c>
      <c r="AG101" s="270">
        <f t="shared" si="82"/>
        <v>773</v>
      </c>
      <c r="AH101" s="270">
        <f t="shared" si="82"/>
        <v>773</v>
      </c>
      <c r="AI101" s="270">
        <f t="shared" si="82"/>
        <v>773</v>
      </c>
      <c r="AJ101" s="270">
        <f t="shared" si="82"/>
        <v>773</v>
      </c>
      <c r="AK101" s="270">
        <f t="shared" si="82"/>
        <v>773</v>
      </c>
      <c r="AL101" s="270">
        <f t="shared" si="82"/>
        <v>773</v>
      </c>
      <c r="AM101" s="270">
        <f t="shared" si="82"/>
        <v>773</v>
      </c>
    </row>
    <row r="102" spans="2:39" ht="15.75" thickBot="1" x14ac:dyDescent="0.35">
      <c r="B102" s="56" t="str">
        <f>input_names!$B$3</f>
        <v>benzine</v>
      </c>
      <c r="C102" s="61">
        <v>54</v>
      </c>
      <c r="D102" s="270">
        <f t="shared" si="85"/>
        <v>499</v>
      </c>
      <c r="E102" s="270">
        <f t="shared" si="85"/>
        <v>499</v>
      </c>
      <c r="F102" s="270">
        <f t="shared" si="85"/>
        <v>461</v>
      </c>
      <c r="G102" s="270">
        <f t="shared" si="85"/>
        <v>464</v>
      </c>
      <c r="H102" s="270">
        <f t="shared" si="85"/>
        <v>468</v>
      </c>
      <c r="I102" s="270">
        <f t="shared" si="85"/>
        <v>474</v>
      </c>
      <c r="J102" s="270">
        <f t="shared" si="85"/>
        <v>426</v>
      </c>
      <c r="K102" s="270">
        <f t="shared" si="85"/>
        <v>430</v>
      </c>
      <c r="L102" s="270">
        <f t="shared" si="85"/>
        <v>508</v>
      </c>
      <c r="M102" s="270">
        <f t="shared" si="85"/>
        <v>548</v>
      </c>
      <c r="N102" s="270">
        <f t="shared" si="85"/>
        <v>775</v>
      </c>
      <c r="O102" s="270">
        <f t="shared" si="85"/>
        <v>775</v>
      </c>
      <c r="P102" s="270">
        <f t="shared" si="85"/>
        <v>775</v>
      </c>
      <c r="Q102" s="270">
        <f t="shared" si="85"/>
        <v>775</v>
      </c>
      <c r="R102" s="270">
        <f t="shared" si="85"/>
        <v>775</v>
      </c>
      <c r="S102" s="270">
        <f t="shared" si="84"/>
        <v>775</v>
      </c>
      <c r="T102" s="270">
        <f t="shared" si="84"/>
        <v>775</v>
      </c>
      <c r="U102" s="270">
        <f t="shared" si="84"/>
        <v>775</v>
      </c>
      <c r="V102" s="270">
        <f t="shared" si="84"/>
        <v>775</v>
      </c>
      <c r="W102" s="270">
        <f t="shared" si="84"/>
        <v>775</v>
      </c>
      <c r="X102" s="270">
        <f t="shared" si="84"/>
        <v>775</v>
      </c>
      <c r="Y102" s="270">
        <f t="shared" si="84"/>
        <v>775</v>
      </c>
      <c r="Z102" s="270">
        <f t="shared" si="84"/>
        <v>775</v>
      </c>
      <c r="AA102" s="270">
        <f t="shared" si="84"/>
        <v>775</v>
      </c>
      <c r="AB102" s="270">
        <f t="shared" si="84"/>
        <v>775</v>
      </c>
      <c r="AC102" s="270">
        <f t="shared" si="84"/>
        <v>775</v>
      </c>
      <c r="AD102" s="270">
        <f t="shared" si="85"/>
        <v>775</v>
      </c>
      <c r="AE102" s="270">
        <f t="shared" si="83"/>
        <v>775</v>
      </c>
      <c r="AF102" s="270">
        <f t="shared" si="82"/>
        <v>775</v>
      </c>
      <c r="AG102" s="270">
        <f t="shared" si="82"/>
        <v>775</v>
      </c>
      <c r="AH102" s="270">
        <f t="shared" si="82"/>
        <v>775</v>
      </c>
      <c r="AI102" s="270">
        <f t="shared" si="82"/>
        <v>775</v>
      </c>
      <c r="AJ102" s="270">
        <f t="shared" si="82"/>
        <v>775</v>
      </c>
      <c r="AK102" s="270">
        <f t="shared" si="82"/>
        <v>775</v>
      </c>
      <c r="AL102" s="270">
        <f t="shared" si="82"/>
        <v>775</v>
      </c>
      <c r="AM102" s="270">
        <f t="shared" si="82"/>
        <v>775</v>
      </c>
    </row>
    <row r="103" spans="2:39" ht="15.75" thickBot="1" x14ac:dyDescent="0.35">
      <c r="B103" s="56" t="str">
        <f>input_names!$B$3</f>
        <v>benzine</v>
      </c>
      <c r="C103" s="61">
        <v>55</v>
      </c>
      <c r="D103" s="270">
        <f t="shared" si="85"/>
        <v>505</v>
      </c>
      <c r="E103" s="270">
        <f t="shared" si="85"/>
        <v>505</v>
      </c>
      <c r="F103" s="270">
        <f t="shared" si="85"/>
        <v>463</v>
      </c>
      <c r="G103" s="270">
        <f t="shared" si="85"/>
        <v>466</v>
      </c>
      <c r="H103" s="270">
        <f t="shared" si="85"/>
        <v>470</v>
      </c>
      <c r="I103" s="270">
        <f t="shared" si="85"/>
        <v>476</v>
      </c>
      <c r="J103" s="270">
        <f t="shared" si="85"/>
        <v>427</v>
      </c>
      <c r="K103" s="270">
        <f t="shared" si="85"/>
        <v>431</v>
      </c>
      <c r="L103" s="270">
        <f t="shared" si="85"/>
        <v>510</v>
      </c>
      <c r="M103" s="270">
        <f t="shared" si="85"/>
        <v>550</v>
      </c>
      <c r="N103" s="270">
        <f t="shared" si="85"/>
        <v>777</v>
      </c>
      <c r="O103" s="270">
        <f t="shared" si="85"/>
        <v>777</v>
      </c>
      <c r="P103" s="270">
        <f t="shared" si="85"/>
        <v>777</v>
      </c>
      <c r="Q103" s="270">
        <f t="shared" si="85"/>
        <v>777</v>
      </c>
      <c r="R103" s="270">
        <f t="shared" si="85"/>
        <v>777</v>
      </c>
      <c r="S103" s="270">
        <f t="shared" si="84"/>
        <v>777</v>
      </c>
      <c r="T103" s="270">
        <f t="shared" si="84"/>
        <v>777</v>
      </c>
      <c r="U103" s="270">
        <f t="shared" si="84"/>
        <v>777</v>
      </c>
      <c r="V103" s="270">
        <f t="shared" si="84"/>
        <v>777</v>
      </c>
      <c r="W103" s="270">
        <f t="shared" si="84"/>
        <v>777</v>
      </c>
      <c r="X103" s="270">
        <f t="shared" si="84"/>
        <v>777</v>
      </c>
      <c r="Y103" s="270">
        <f t="shared" si="84"/>
        <v>777</v>
      </c>
      <c r="Z103" s="270">
        <f t="shared" si="84"/>
        <v>777</v>
      </c>
      <c r="AA103" s="270">
        <f t="shared" si="84"/>
        <v>777</v>
      </c>
      <c r="AB103" s="270">
        <f t="shared" si="84"/>
        <v>777</v>
      </c>
      <c r="AC103" s="270">
        <f t="shared" si="84"/>
        <v>777</v>
      </c>
      <c r="AD103" s="270">
        <f t="shared" si="85"/>
        <v>777</v>
      </c>
      <c r="AE103" s="270">
        <f t="shared" si="83"/>
        <v>777</v>
      </c>
      <c r="AF103" s="270">
        <f t="shared" si="82"/>
        <v>777</v>
      </c>
      <c r="AG103" s="270">
        <f t="shared" si="82"/>
        <v>777</v>
      </c>
      <c r="AH103" s="270">
        <f t="shared" si="82"/>
        <v>777</v>
      </c>
      <c r="AI103" s="270">
        <f t="shared" si="82"/>
        <v>777</v>
      </c>
      <c r="AJ103" s="270">
        <f t="shared" si="82"/>
        <v>777</v>
      </c>
      <c r="AK103" s="270">
        <f t="shared" si="82"/>
        <v>777</v>
      </c>
      <c r="AL103" s="270">
        <f t="shared" si="82"/>
        <v>777</v>
      </c>
      <c r="AM103" s="270">
        <f t="shared" si="82"/>
        <v>777</v>
      </c>
    </row>
    <row r="104" spans="2:39" ht="15.75" thickBot="1" x14ac:dyDescent="0.35">
      <c r="B104" s="56" t="str">
        <f>input_names!$B$3</f>
        <v>benzine</v>
      </c>
      <c r="C104" s="61">
        <v>56</v>
      </c>
      <c r="D104" s="270">
        <f t="shared" si="85"/>
        <v>511</v>
      </c>
      <c r="E104" s="270">
        <f t="shared" si="85"/>
        <v>511</v>
      </c>
      <c r="F104" s="270">
        <f t="shared" si="85"/>
        <v>465</v>
      </c>
      <c r="G104" s="270">
        <f t="shared" si="85"/>
        <v>468</v>
      </c>
      <c r="H104" s="270">
        <f t="shared" si="85"/>
        <v>472</v>
      </c>
      <c r="I104" s="270">
        <f t="shared" si="85"/>
        <v>478</v>
      </c>
      <c r="J104" s="270">
        <f t="shared" si="85"/>
        <v>428</v>
      </c>
      <c r="K104" s="270">
        <f t="shared" si="85"/>
        <v>432</v>
      </c>
      <c r="L104" s="270">
        <f t="shared" si="85"/>
        <v>512</v>
      </c>
      <c r="M104" s="270">
        <f t="shared" si="85"/>
        <v>552</v>
      </c>
      <c r="N104" s="270">
        <f t="shared" si="85"/>
        <v>779</v>
      </c>
      <c r="O104" s="270">
        <f t="shared" si="85"/>
        <v>779</v>
      </c>
      <c r="P104" s="270">
        <f t="shared" si="85"/>
        <v>779</v>
      </c>
      <c r="Q104" s="270">
        <f t="shared" si="85"/>
        <v>779</v>
      </c>
      <c r="R104" s="270">
        <f t="shared" si="85"/>
        <v>779</v>
      </c>
      <c r="S104" s="270">
        <f t="shared" si="84"/>
        <v>779</v>
      </c>
      <c r="T104" s="270">
        <f t="shared" si="84"/>
        <v>779</v>
      </c>
      <c r="U104" s="270">
        <f t="shared" si="84"/>
        <v>779</v>
      </c>
      <c r="V104" s="270">
        <f t="shared" si="84"/>
        <v>779</v>
      </c>
      <c r="W104" s="270">
        <f t="shared" si="84"/>
        <v>779</v>
      </c>
      <c r="X104" s="270">
        <f t="shared" si="84"/>
        <v>779</v>
      </c>
      <c r="Y104" s="270">
        <f t="shared" si="84"/>
        <v>779</v>
      </c>
      <c r="Z104" s="270">
        <f t="shared" si="84"/>
        <v>779</v>
      </c>
      <c r="AA104" s="270">
        <f t="shared" si="84"/>
        <v>779</v>
      </c>
      <c r="AB104" s="270">
        <f t="shared" si="84"/>
        <v>779</v>
      </c>
      <c r="AC104" s="270">
        <f t="shared" si="84"/>
        <v>779</v>
      </c>
      <c r="AD104" s="270">
        <f t="shared" si="85"/>
        <v>779</v>
      </c>
      <c r="AE104" s="270">
        <f t="shared" si="83"/>
        <v>779</v>
      </c>
      <c r="AF104" s="270">
        <f t="shared" si="82"/>
        <v>779</v>
      </c>
      <c r="AG104" s="270">
        <f t="shared" si="82"/>
        <v>779</v>
      </c>
      <c r="AH104" s="270">
        <f t="shared" si="82"/>
        <v>779</v>
      </c>
      <c r="AI104" s="270">
        <f t="shared" si="82"/>
        <v>779</v>
      </c>
      <c r="AJ104" s="270">
        <f t="shared" si="82"/>
        <v>779</v>
      </c>
      <c r="AK104" s="270">
        <f t="shared" si="82"/>
        <v>779</v>
      </c>
      <c r="AL104" s="270">
        <f t="shared" si="82"/>
        <v>779</v>
      </c>
      <c r="AM104" s="270">
        <f t="shared" si="82"/>
        <v>779</v>
      </c>
    </row>
    <row r="105" spans="2:39" ht="15.75" thickBot="1" x14ac:dyDescent="0.35">
      <c r="B105" s="56" t="str">
        <f>input_names!$B$3</f>
        <v>benzine</v>
      </c>
      <c r="C105" s="61">
        <v>57</v>
      </c>
      <c r="D105" s="270">
        <f t="shared" si="85"/>
        <v>517</v>
      </c>
      <c r="E105" s="270">
        <f t="shared" si="85"/>
        <v>517</v>
      </c>
      <c r="F105" s="270">
        <f t="shared" si="85"/>
        <v>467</v>
      </c>
      <c r="G105" s="270">
        <f t="shared" si="85"/>
        <v>470</v>
      </c>
      <c r="H105" s="270">
        <f t="shared" si="85"/>
        <v>474</v>
      </c>
      <c r="I105" s="270">
        <f t="shared" si="85"/>
        <v>480</v>
      </c>
      <c r="J105" s="270">
        <f t="shared" si="85"/>
        <v>429</v>
      </c>
      <c r="K105" s="270">
        <f t="shared" si="85"/>
        <v>433</v>
      </c>
      <c r="L105" s="270">
        <f t="shared" si="85"/>
        <v>514</v>
      </c>
      <c r="M105" s="270">
        <f t="shared" si="85"/>
        <v>554</v>
      </c>
      <c r="N105" s="270">
        <f t="shared" si="85"/>
        <v>781</v>
      </c>
      <c r="O105" s="270">
        <f t="shared" si="85"/>
        <v>781</v>
      </c>
      <c r="P105" s="270">
        <f t="shared" si="85"/>
        <v>781</v>
      </c>
      <c r="Q105" s="270">
        <f t="shared" si="85"/>
        <v>781</v>
      </c>
      <c r="R105" s="270">
        <f t="shared" si="85"/>
        <v>781</v>
      </c>
      <c r="S105" s="270">
        <f t="shared" si="84"/>
        <v>781</v>
      </c>
      <c r="T105" s="270">
        <f t="shared" si="84"/>
        <v>781</v>
      </c>
      <c r="U105" s="270">
        <f t="shared" si="84"/>
        <v>781</v>
      </c>
      <c r="V105" s="270">
        <f t="shared" si="84"/>
        <v>781</v>
      </c>
      <c r="W105" s="270">
        <f t="shared" si="84"/>
        <v>781</v>
      </c>
      <c r="X105" s="270">
        <f t="shared" si="84"/>
        <v>781</v>
      </c>
      <c r="Y105" s="270">
        <f t="shared" si="84"/>
        <v>781</v>
      </c>
      <c r="Z105" s="270">
        <f t="shared" si="84"/>
        <v>781</v>
      </c>
      <c r="AA105" s="270">
        <f t="shared" si="84"/>
        <v>781</v>
      </c>
      <c r="AB105" s="270">
        <f t="shared" si="84"/>
        <v>781</v>
      </c>
      <c r="AC105" s="270">
        <f t="shared" si="84"/>
        <v>781</v>
      </c>
      <c r="AD105" s="270">
        <f t="shared" si="85"/>
        <v>781</v>
      </c>
      <c r="AE105" s="270">
        <f t="shared" si="83"/>
        <v>781</v>
      </c>
      <c r="AF105" s="270">
        <f t="shared" si="82"/>
        <v>781</v>
      </c>
      <c r="AG105" s="270">
        <f t="shared" si="82"/>
        <v>781</v>
      </c>
      <c r="AH105" s="270">
        <f t="shared" si="82"/>
        <v>781</v>
      </c>
      <c r="AI105" s="270">
        <f t="shared" si="82"/>
        <v>781</v>
      </c>
      <c r="AJ105" s="270">
        <f t="shared" si="82"/>
        <v>781</v>
      </c>
      <c r="AK105" s="270">
        <f t="shared" si="82"/>
        <v>781</v>
      </c>
      <c r="AL105" s="270">
        <f t="shared" si="82"/>
        <v>781</v>
      </c>
      <c r="AM105" s="270">
        <f t="shared" si="82"/>
        <v>781</v>
      </c>
    </row>
    <row r="106" spans="2:39" ht="15.75" thickBot="1" x14ac:dyDescent="0.35">
      <c r="B106" s="56" t="str">
        <f>input_names!$B$3</f>
        <v>benzine</v>
      </c>
      <c r="C106" s="61">
        <v>58</v>
      </c>
      <c r="D106" s="270">
        <f t="shared" si="85"/>
        <v>523</v>
      </c>
      <c r="E106" s="270">
        <f t="shared" si="85"/>
        <v>523</v>
      </c>
      <c r="F106" s="270">
        <f t="shared" si="85"/>
        <v>469</v>
      </c>
      <c r="G106" s="270">
        <f t="shared" si="85"/>
        <v>472</v>
      </c>
      <c r="H106" s="270">
        <f t="shared" si="85"/>
        <v>476</v>
      </c>
      <c r="I106" s="270">
        <f t="shared" si="85"/>
        <v>482</v>
      </c>
      <c r="J106" s="270">
        <f t="shared" si="85"/>
        <v>430</v>
      </c>
      <c r="K106" s="270">
        <f t="shared" si="85"/>
        <v>434</v>
      </c>
      <c r="L106" s="270">
        <f t="shared" si="85"/>
        <v>516</v>
      </c>
      <c r="M106" s="270">
        <f t="shared" si="85"/>
        <v>556</v>
      </c>
      <c r="N106" s="270">
        <f t="shared" si="85"/>
        <v>783</v>
      </c>
      <c r="O106" s="270">
        <f t="shared" si="85"/>
        <v>783</v>
      </c>
      <c r="P106" s="270">
        <f t="shared" si="85"/>
        <v>783</v>
      </c>
      <c r="Q106" s="270">
        <f t="shared" si="85"/>
        <v>783</v>
      </c>
      <c r="R106" s="270">
        <f t="shared" si="85"/>
        <v>783</v>
      </c>
      <c r="S106" s="270">
        <f t="shared" si="84"/>
        <v>783</v>
      </c>
      <c r="T106" s="270">
        <f t="shared" si="84"/>
        <v>783</v>
      </c>
      <c r="U106" s="270">
        <f t="shared" si="84"/>
        <v>783</v>
      </c>
      <c r="V106" s="270">
        <f t="shared" si="84"/>
        <v>783</v>
      </c>
      <c r="W106" s="270">
        <f t="shared" si="84"/>
        <v>783</v>
      </c>
      <c r="X106" s="270">
        <f t="shared" si="84"/>
        <v>783</v>
      </c>
      <c r="Y106" s="270">
        <f t="shared" si="84"/>
        <v>783</v>
      </c>
      <c r="Z106" s="270">
        <f t="shared" si="84"/>
        <v>783</v>
      </c>
      <c r="AA106" s="270">
        <f t="shared" si="84"/>
        <v>783</v>
      </c>
      <c r="AB106" s="270">
        <f t="shared" si="84"/>
        <v>783</v>
      </c>
      <c r="AC106" s="270">
        <f t="shared" si="84"/>
        <v>783</v>
      </c>
      <c r="AD106" s="270">
        <f t="shared" si="85"/>
        <v>783</v>
      </c>
      <c r="AE106" s="270">
        <f t="shared" si="83"/>
        <v>783</v>
      </c>
      <c r="AF106" s="270">
        <f t="shared" si="82"/>
        <v>783</v>
      </c>
      <c r="AG106" s="270">
        <f t="shared" si="82"/>
        <v>783</v>
      </c>
      <c r="AH106" s="270">
        <f t="shared" si="82"/>
        <v>783</v>
      </c>
      <c r="AI106" s="270">
        <f t="shared" si="82"/>
        <v>783</v>
      </c>
      <c r="AJ106" s="270">
        <f t="shared" si="82"/>
        <v>783</v>
      </c>
      <c r="AK106" s="270">
        <f t="shared" si="82"/>
        <v>783</v>
      </c>
      <c r="AL106" s="270">
        <f t="shared" si="82"/>
        <v>783</v>
      </c>
      <c r="AM106" s="270">
        <f t="shared" si="82"/>
        <v>783</v>
      </c>
    </row>
    <row r="107" spans="2:39" ht="15.75" thickBot="1" x14ac:dyDescent="0.35">
      <c r="B107" s="56" t="str">
        <f>input_names!$B$3</f>
        <v>benzine</v>
      </c>
      <c r="C107" s="61">
        <v>59</v>
      </c>
      <c r="D107" s="270">
        <f t="shared" si="85"/>
        <v>529</v>
      </c>
      <c r="E107" s="270">
        <f t="shared" si="85"/>
        <v>529</v>
      </c>
      <c r="F107" s="270">
        <f t="shared" si="85"/>
        <v>471</v>
      </c>
      <c r="G107" s="270">
        <f t="shared" si="85"/>
        <v>474</v>
      </c>
      <c r="H107" s="270">
        <f t="shared" si="85"/>
        <v>478</v>
      </c>
      <c r="I107" s="270">
        <f t="shared" si="85"/>
        <v>484</v>
      </c>
      <c r="J107" s="270">
        <f t="shared" si="85"/>
        <v>431</v>
      </c>
      <c r="K107" s="270">
        <f t="shared" si="85"/>
        <v>435</v>
      </c>
      <c r="L107" s="270">
        <f t="shared" si="85"/>
        <v>518</v>
      </c>
      <c r="M107" s="270">
        <f t="shared" si="85"/>
        <v>558</v>
      </c>
      <c r="N107" s="270">
        <f t="shared" si="85"/>
        <v>785</v>
      </c>
      <c r="O107" s="270">
        <f t="shared" si="85"/>
        <v>785</v>
      </c>
      <c r="P107" s="270">
        <f t="shared" si="85"/>
        <v>785</v>
      </c>
      <c r="Q107" s="270">
        <f t="shared" si="85"/>
        <v>785</v>
      </c>
      <c r="R107" s="270">
        <f t="shared" si="85"/>
        <v>785</v>
      </c>
      <c r="S107" s="270">
        <f t="shared" si="84"/>
        <v>785</v>
      </c>
      <c r="T107" s="270">
        <f t="shared" si="84"/>
        <v>785</v>
      </c>
      <c r="U107" s="270">
        <f t="shared" si="84"/>
        <v>785</v>
      </c>
      <c r="V107" s="270">
        <f t="shared" si="84"/>
        <v>785</v>
      </c>
      <c r="W107" s="270">
        <f t="shared" si="84"/>
        <v>785</v>
      </c>
      <c r="X107" s="270">
        <f t="shared" si="84"/>
        <v>785</v>
      </c>
      <c r="Y107" s="270">
        <f t="shared" si="84"/>
        <v>785</v>
      </c>
      <c r="Z107" s="270">
        <f t="shared" si="84"/>
        <v>785</v>
      </c>
      <c r="AA107" s="270">
        <f t="shared" si="84"/>
        <v>785</v>
      </c>
      <c r="AB107" s="270">
        <f t="shared" si="84"/>
        <v>785</v>
      </c>
      <c r="AC107" s="270">
        <f t="shared" si="84"/>
        <v>785</v>
      </c>
      <c r="AD107" s="270">
        <f t="shared" si="85"/>
        <v>785</v>
      </c>
      <c r="AE107" s="270">
        <f t="shared" si="83"/>
        <v>785</v>
      </c>
      <c r="AF107" s="270">
        <f t="shared" si="82"/>
        <v>785</v>
      </c>
      <c r="AG107" s="270">
        <f t="shared" si="82"/>
        <v>785</v>
      </c>
      <c r="AH107" s="270">
        <f t="shared" si="82"/>
        <v>785</v>
      </c>
      <c r="AI107" s="270">
        <f t="shared" si="82"/>
        <v>785</v>
      </c>
      <c r="AJ107" s="270">
        <f t="shared" si="82"/>
        <v>785</v>
      </c>
      <c r="AK107" s="270">
        <f t="shared" si="82"/>
        <v>785</v>
      </c>
      <c r="AL107" s="270">
        <f t="shared" si="82"/>
        <v>785</v>
      </c>
      <c r="AM107" s="270">
        <f t="shared" si="82"/>
        <v>785</v>
      </c>
    </row>
    <row r="108" spans="2:39" ht="15.75" thickBot="1" x14ac:dyDescent="0.35">
      <c r="B108" s="56" t="str">
        <f>input_names!$B$3</f>
        <v>benzine</v>
      </c>
      <c r="C108" s="61">
        <v>60</v>
      </c>
      <c r="D108" s="270">
        <f t="shared" si="85"/>
        <v>535</v>
      </c>
      <c r="E108" s="270">
        <f t="shared" si="85"/>
        <v>535</v>
      </c>
      <c r="F108" s="270">
        <f t="shared" si="85"/>
        <v>473</v>
      </c>
      <c r="G108" s="270">
        <f t="shared" si="85"/>
        <v>476</v>
      </c>
      <c r="H108" s="270">
        <f t="shared" si="85"/>
        <v>480</v>
      </c>
      <c r="I108" s="270">
        <f t="shared" si="85"/>
        <v>486</v>
      </c>
      <c r="J108" s="270">
        <f t="shared" si="85"/>
        <v>432</v>
      </c>
      <c r="K108" s="270">
        <f t="shared" si="85"/>
        <v>436</v>
      </c>
      <c r="L108" s="270">
        <f t="shared" si="85"/>
        <v>520</v>
      </c>
      <c r="M108" s="270">
        <f t="shared" si="85"/>
        <v>560</v>
      </c>
      <c r="N108" s="270">
        <f t="shared" si="85"/>
        <v>787</v>
      </c>
      <c r="O108" s="270">
        <f t="shared" si="85"/>
        <v>787</v>
      </c>
      <c r="P108" s="270">
        <f t="shared" si="85"/>
        <v>787</v>
      </c>
      <c r="Q108" s="270">
        <f t="shared" si="85"/>
        <v>787</v>
      </c>
      <c r="R108" s="270">
        <f t="shared" si="85"/>
        <v>787</v>
      </c>
      <c r="S108" s="270">
        <f t="shared" si="84"/>
        <v>787</v>
      </c>
      <c r="T108" s="270">
        <f t="shared" si="84"/>
        <v>787</v>
      </c>
      <c r="U108" s="270">
        <f t="shared" si="84"/>
        <v>787</v>
      </c>
      <c r="V108" s="270">
        <f t="shared" si="84"/>
        <v>787</v>
      </c>
      <c r="W108" s="270">
        <f t="shared" si="84"/>
        <v>787</v>
      </c>
      <c r="X108" s="270">
        <f t="shared" si="84"/>
        <v>787</v>
      </c>
      <c r="Y108" s="270">
        <f t="shared" si="84"/>
        <v>787</v>
      </c>
      <c r="Z108" s="270">
        <f t="shared" si="84"/>
        <v>787</v>
      </c>
      <c r="AA108" s="270">
        <f t="shared" si="84"/>
        <v>787</v>
      </c>
      <c r="AB108" s="270">
        <f t="shared" si="84"/>
        <v>787</v>
      </c>
      <c r="AC108" s="270">
        <f t="shared" si="84"/>
        <v>787</v>
      </c>
      <c r="AD108" s="270">
        <f t="shared" si="85"/>
        <v>787</v>
      </c>
      <c r="AE108" s="270">
        <f t="shared" si="83"/>
        <v>787</v>
      </c>
      <c r="AF108" s="270">
        <f t="shared" si="82"/>
        <v>787</v>
      </c>
      <c r="AG108" s="270">
        <f t="shared" si="82"/>
        <v>787</v>
      </c>
      <c r="AH108" s="270">
        <f t="shared" si="82"/>
        <v>787</v>
      </c>
      <c r="AI108" s="270">
        <f t="shared" si="82"/>
        <v>787</v>
      </c>
      <c r="AJ108" s="270">
        <f t="shared" si="82"/>
        <v>787</v>
      </c>
      <c r="AK108" s="270">
        <f t="shared" si="82"/>
        <v>787</v>
      </c>
      <c r="AL108" s="270">
        <f t="shared" si="82"/>
        <v>787</v>
      </c>
      <c r="AM108" s="270">
        <f t="shared" si="82"/>
        <v>787</v>
      </c>
    </row>
    <row r="109" spans="2:39" ht="15.75" thickBot="1" x14ac:dyDescent="0.35">
      <c r="B109" s="56" t="str">
        <f>input_names!$B$3</f>
        <v>benzine</v>
      </c>
      <c r="C109" s="61">
        <v>61</v>
      </c>
      <c r="D109" s="270">
        <f t="shared" si="85"/>
        <v>541</v>
      </c>
      <c r="E109" s="270">
        <f t="shared" si="85"/>
        <v>541</v>
      </c>
      <c r="F109" s="270">
        <f t="shared" si="85"/>
        <v>475</v>
      </c>
      <c r="G109" s="270">
        <f t="shared" si="85"/>
        <v>478</v>
      </c>
      <c r="H109" s="270">
        <f t="shared" si="85"/>
        <v>482</v>
      </c>
      <c r="I109" s="270">
        <f t="shared" si="85"/>
        <v>488</v>
      </c>
      <c r="J109" s="270">
        <f t="shared" si="85"/>
        <v>433</v>
      </c>
      <c r="K109" s="270">
        <f t="shared" si="85"/>
        <v>437</v>
      </c>
      <c r="L109" s="270">
        <f t="shared" si="85"/>
        <v>522</v>
      </c>
      <c r="M109" s="270">
        <f t="shared" si="85"/>
        <v>562</v>
      </c>
      <c r="N109" s="270">
        <f t="shared" si="85"/>
        <v>789</v>
      </c>
      <c r="O109" s="270">
        <f t="shared" si="85"/>
        <v>789</v>
      </c>
      <c r="P109" s="270">
        <f t="shared" si="85"/>
        <v>789</v>
      </c>
      <c r="Q109" s="270">
        <f t="shared" si="85"/>
        <v>789</v>
      </c>
      <c r="R109" s="270">
        <f t="shared" si="85"/>
        <v>789</v>
      </c>
      <c r="S109" s="270">
        <f t="shared" ref="S109:AC124" si="86">+MIN(MAX(0,$C109-S$11),S$12-S$11)*S$17
+MIN(MAX(0,$C109-S$12),S$13-S$12)*S$18
+MIN(MAX(0,$C109-S$13),S$14-S$13)*S$19
+MIN(MAX(0,$C109-S$14),S$15-S$14)*S$20
+MAX(0,$C109-S$15)*S$21
+S$26</f>
        <v>789</v>
      </c>
      <c r="T109" s="270">
        <f t="shared" si="86"/>
        <v>789</v>
      </c>
      <c r="U109" s="270">
        <f t="shared" si="86"/>
        <v>789</v>
      </c>
      <c r="V109" s="270">
        <f t="shared" si="86"/>
        <v>789</v>
      </c>
      <c r="W109" s="270">
        <f t="shared" si="86"/>
        <v>789</v>
      </c>
      <c r="X109" s="270">
        <f t="shared" si="86"/>
        <v>789</v>
      </c>
      <c r="Y109" s="270">
        <f t="shared" si="86"/>
        <v>789</v>
      </c>
      <c r="Z109" s="270">
        <f t="shared" si="86"/>
        <v>789</v>
      </c>
      <c r="AA109" s="270">
        <f t="shared" si="86"/>
        <v>789</v>
      </c>
      <c r="AB109" s="270">
        <f t="shared" si="86"/>
        <v>789</v>
      </c>
      <c r="AC109" s="270">
        <f t="shared" si="86"/>
        <v>789</v>
      </c>
      <c r="AD109" s="270">
        <f t="shared" si="85"/>
        <v>789</v>
      </c>
      <c r="AE109" s="270">
        <f t="shared" si="83"/>
        <v>789</v>
      </c>
      <c r="AF109" s="270">
        <f t="shared" si="82"/>
        <v>789</v>
      </c>
      <c r="AG109" s="270">
        <f t="shared" si="82"/>
        <v>789</v>
      </c>
      <c r="AH109" s="270">
        <f t="shared" si="82"/>
        <v>789</v>
      </c>
      <c r="AI109" s="270">
        <f t="shared" si="82"/>
        <v>789</v>
      </c>
      <c r="AJ109" s="270">
        <f t="shared" si="82"/>
        <v>789</v>
      </c>
      <c r="AK109" s="270">
        <f t="shared" si="82"/>
        <v>789</v>
      </c>
      <c r="AL109" s="270">
        <f t="shared" si="82"/>
        <v>789</v>
      </c>
      <c r="AM109" s="270">
        <f t="shared" si="82"/>
        <v>789</v>
      </c>
    </row>
    <row r="110" spans="2:39" ht="15.75" thickBot="1" x14ac:dyDescent="0.35">
      <c r="B110" s="56" t="str">
        <f>input_names!$B$3</f>
        <v>benzine</v>
      </c>
      <c r="C110" s="61">
        <v>62</v>
      </c>
      <c r="D110" s="270">
        <f t="shared" si="85"/>
        <v>547</v>
      </c>
      <c r="E110" s="270">
        <f t="shared" si="85"/>
        <v>547</v>
      </c>
      <c r="F110" s="270">
        <f t="shared" si="85"/>
        <v>477</v>
      </c>
      <c r="G110" s="270">
        <f t="shared" si="85"/>
        <v>480</v>
      </c>
      <c r="H110" s="270">
        <f t="shared" si="85"/>
        <v>484</v>
      </c>
      <c r="I110" s="270">
        <f t="shared" si="85"/>
        <v>490</v>
      </c>
      <c r="J110" s="270">
        <f t="shared" si="85"/>
        <v>434</v>
      </c>
      <c r="K110" s="270">
        <f t="shared" si="85"/>
        <v>438</v>
      </c>
      <c r="L110" s="270">
        <f t="shared" si="85"/>
        <v>524</v>
      </c>
      <c r="M110" s="270">
        <f t="shared" si="85"/>
        <v>564</v>
      </c>
      <c r="N110" s="270">
        <f t="shared" si="85"/>
        <v>791</v>
      </c>
      <c r="O110" s="270">
        <f t="shared" si="85"/>
        <v>791</v>
      </c>
      <c r="P110" s="270">
        <f t="shared" si="85"/>
        <v>791</v>
      </c>
      <c r="Q110" s="270">
        <f t="shared" si="85"/>
        <v>791</v>
      </c>
      <c r="R110" s="270">
        <f t="shared" si="85"/>
        <v>791</v>
      </c>
      <c r="S110" s="270">
        <f t="shared" si="86"/>
        <v>791</v>
      </c>
      <c r="T110" s="270">
        <f t="shared" si="86"/>
        <v>791</v>
      </c>
      <c r="U110" s="270">
        <f t="shared" si="86"/>
        <v>791</v>
      </c>
      <c r="V110" s="270">
        <f t="shared" si="86"/>
        <v>791</v>
      </c>
      <c r="W110" s="270">
        <f t="shared" si="86"/>
        <v>791</v>
      </c>
      <c r="X110" s="270">
        <f t="shared" si="86"/>
        <v>791</v>
      </c>
      <c r="Y110" s="270">
        <f t="shared" si="86"/>
        <v>791</v>
      </c>
      <c r="Z110" s="270">
        <f t="shared" si="86"/>
        <v>791</v>
      </c>
      <c r="AA110" s="270">
        <f t="shared" si="86"/>
        <v>791</v>
      </c>
      <c r="AB110" s="270">
        <f t="shared" si="86"/>
        <v>791</v>
      </c>
      <c r="AC110" s="270">
        <f t="shared" si="86"/>
        <v>791</v>
      </c>
      <c r="AD110" s="270">
        <f t="shared" si="85"/>
        <v>791</v>
      </c>
      <c r="AE110" s="270">
        <f t="shared" si="83"/>
        <v>791</v>
      </c>
      <c r="AF110" s="270">
        <f t="shared" si="82"/>
        <v>791</v>
      </c>
      <c r="AG110" s="270">
        <f t="shared" si="82"/>
        <v>791</v>
      </c>
      <c r="AH110" s="270">
        <f t="shared" si="82"/>
        <v>791</v>
      </c>
      <c r="AI110" s="270">
        <f t="shared" si="82"/>
        <v>791</v>
      </c>
      <c r="AJ110" s="270">
        <f t="shared" si="82"/>
        <v>791</v>
      </c>
      <c r="AK110" s="270">
        <f t="shared" si="82"/>
        <v>791</v>
      </c>
      <c r="AL110" s="270">
        <f t="shared" si="82"/>
        <v>791</v>
      </c>
      <c r="AM110" s="270">
        <f t="shared" si="82"/>
        <v>791</v>
      </c>
    </row>
    <row r="111" spans="2:39" ht="15.75" thickBot="1" x14ac:dyDescent="0.35">
      <c r="B111" s="56" t="str">
        <f>input_names!$B$3</f>
        <v>benzine</v>
      </c>
      <c r="C111" s="61">
        <v>63</v>
      </c>
      <c r="D111" s="270">
        <f t="shared" si="85"/>
        <v>553</v>
      </c>
      <c r="E111" s="270">
        <f t="shared" si="85"/>
        <v>553</v>
      </c>
      <c r="F111" s="270">
        <f t="shared" si="85"/>
        <v>479</v>
      </c>
      <c r="G111" s="270">
        <f t="shared" si="85"/>
        <v>482</v>
      </c>
      <c r="H111" s="270">
        <f t="shared" si="85"/>
        <v>486</v>
      </c>
      <c r="I111" s="270">
        <f t="shared" si="85"/>
        <v>492</v>
      </c>
      <c r="J111" s="270">
        <f t="shared" si="85"/>
        <v>435</v>
      </c>
      <c r="K111" s="270">
        <f t="shared" si="85"/>
        <v>439</v>
      </c>
      <c r="L111" s="270">
        <f t="shared" si="85"/>
        <v>526</v>
      </c>
      <c r="M111" s="270">
        <f t="shared" si="85"/>
        <v>566</v>
      </c>
      <c r="N111" s="270">
        <f t="shared" si="85"/>
        <v>793</v>
      </c>
      <c r="O111" s="270">
        <f t="shared" si="85"/>
        <v>793</v>
      </c>
      <c r="P111" s="270">
        <f t="shared" si="85"/>
        <v>793</v>
      </c>
      <c r="Q111" s="270">
        <f t="shared" si="85"/>
        <v>793</v>
      </c>
      <c r="R111" s="270">
        <f t="shared" si="85"/>
        <v>793</v>
      </c>
      <c r="S111" s="270">
        <f t="shared" si="86"/>
        <v>793</v>
      </c>
      <c r="T111" s="270">
        <f t="shared" si="86"/>
        <v>793</v>
      </c>
      <c r="U111" s="270">
        <f t="shared" si="86"/>
        <v>793</v>
      </c>
      <c r="V111" s="270">
        <f t="shared" si="86"/>
        <v>793</v>
      </c>
      <c r="W111" s="270">
        <f t="shared" si="86"/>
        <v>793</v>
      </c>
      <c r="X111" s="270">
        <f t="shared" si="86"/>
        <v>793</v>
      </c>
      <c r="Y111" s="270">
        <f t="shared" si="86"/>
        <v>793</v>
      </c>
      <c r="Z111" s="270">
        <f t="shared" si="86"/>
        <v>793</v>
      </c>
      <c r="AA111" s="270">
        <f t="shared" si="86"/>
        <v>793</v>
      </c>
      <c r="AB111" s="270">
        <f t="shared" si="86"/>
        <v>793</v>
      </c>
      <c r="AC111" s="270">
        <f t="shared" si="86"/>
        <v>793</v>
      </c>
      <c r="AD111" s="270">
        <f t="shared" ref="AD111:AD142" si="87">+MIN(MAX(0,$C111-AD$11),AD$12-AD$11)*AD$17
+MIN(MAX(0,$C111-AD$12),AD$13-AD$12)*AD$18
+MIN(MAX(0,$C111-AD$13),AD$14-AD$13)*AD$19
+MIN(MAX(0,$C111-AD$14),AD$15-AD$14)*AD$20
+MAX(0,$C111-AD$15)*AD$21
+AD$26</f>
        <v>793</v>
      </c>
      <c r="AE111" s="270">
        <f t="shared" si="83"/>
        <v>793</v>
      </c>
      <c r="AF111" s="270">
        <f t="shared" si="82"/>
        <v>793</v>
      </c>
      <c r="AG111" s="270">
        <f t="shared" si="82"/>
        <v>793</v>
      </c>
      <c r="AH111" s="270">
        <f t="shared" si="82"/>
        <v>793</v>
      </c>
      <c r="AI111" s="270">
        <f t="shared" si="82"/>
        <v>793</v>
      </c>
      <c r="AJ111" s="270">
        <f t="shared" si="82"/>
        <v>793</v>
      </c>
      <c r="AK111" s="270">
        <f t="shared" si="82"/>
        <v>793</v>
      </c>
      <c r="AL111" s="270">
        <f t="shared" si="82"/>
        <v>793</v>
      </c>
      <c r="AM111" s="270">
        <f t="shared" si="82"/>
        <v>793</v>
      </c>
    </row>
    <row r="112" spans="2:39" ht="15.75" thickBot="1" x14ac:dyDescent="0.35">
      <c r="B112" s="56" t="str">
        <f>input_names!$B$3</f>
        <v>benzine</v>
      </c>
      <c r="C112" s="61">
        <v>64</v>
      </c>
      <c r="D112" s="270">
        <f t="shared" ref="D112:S127" si="88">+MIN(MAX(0,$C112-D$11),D$12-D$11)*D$17
+MIN(MAX(0,$C112-D$12),D$13-D$12)*D$18
+MIN(MAX(0,$C112-D$13),D$14-D$13)*D$19
+MIN(MAX(0,$C112-D$14),D$15-D$14)*D$20
+MAX(0,$C112-D$15)*D$21
+D$26</f>
        <v>559</v>
      </c>
      <c r="E112" s="270">
        <f t="shared" si="88"/>
        <v>559</v>
      </c>
      <c r="F112" s="270">
        <f t="shared" si="88"/>
        <v>481</v>
      </c>
      <c r="G112" s="270">
        <f t="shared" si="88"/>
        <v>484</v>
      </c>
      <c r="H112" s="270">
        <f t="shared" si="88"/>
        <v>488</v>
      </c>
      <c r="I112" s="270">
        <f t="shared" si="88"/>
        <v>494</v>
      </c>
      <c r="J112" s="270">
        <f t="shared" si="88"/>
        <v>436</v>
      </c>
      <c r="K112" s="270">
        <f t="shared" si="88"/>
        <v>440</v>
      </c>
      <c r="L112" s="270">
        <f t="shared" si="88"/>
        <v>528</v>
      </c>
      <c r="M112" s="270">
        <f t="shared" si="88"/>
        <v>568</v>
      </c>
      <c r="N112" s="270">
        <f t="shared" si="88"/>
        <v>795</v>
      </c>
      <c r="O112" s="270">
        <f t="shared" si="88"/>
        <v>795</v>
      </c>
      <c r="P112" s="270">
        <f t="shared" si="88"/>
        <v>795</v>
      </c>
      <c r="Q112" s="270">
        <f t="shared" si="88"/>
        <v>795</v>
      </c>
      <c r="R112" s="270">
        <f t="shared" si="88"/>
        <v>795</v>
      </c>
      <c r="S112" s="270">
        <f t="shared" si="86"/>
        <v>795</v>
      </c>
      <c r="T112" s="270">
        <f t="shared" si="86"/>
        <v>795</v>
      </c>
      <c r="U112" s="270">
        <f t="shared" si="86"/>
        <v>795</v>
      </c>
      <c r="V112" s="270">
        <f t="shared" si="86"/>
        <v>795</v>
      </c>
      <c r="W112" s="270">
        <f t="shared" si="86"/>
        <v>795</v>
      </c>
      <c r="X112" s="270">
        <f t="shared" si="86"/>
        <v>795</v>
      </c>
      <c r="Y112" s="270">
        <f t="shared" si="86"/>
        <v>795</v>
      </c>
      <c r="Z112" s="270">
        <f t="shared" si="86"/>
        <v>795</v>
      </c>
      <c r="AA112" s="270">
        <f t="shared" si="86"/>
        <v>795</v>
      </c>
      <c r="AB112" s="270">
        <f t="shared" si="86"/>
        <v>795</v>
      </c>
      <c r="AC112" s="270">
        <f t="shared" si="86"/>
        <v>795</v>
      </c>
      <c r="AD112" s="270">
        <f t="shared" si="87"/>
        <v>795</v>
      </c>
      <c r="AE112" s="270">
        <f t="shared" si="83"/>
        <v>795</v>
      </c>
      <c r="AF112" s="270">
        <f t="shared" si="82"/>
        <v>795</v>
      </c>
      <c r="AG112" s="270">
        <f t="shared" si="82"/>
        <v>795</v>
      </c>
      <c r="AH112" s="270">
        <f t="shared" si="82"/>
        <v>795</v>
      </c>
      <c r="AI112" s="270">
        <f t="shared" si="82"/>
        <v>795</v>
      </c>
      <c r="AJ112" s="270">
        <f t="shared" si="82"/>
        <v>795</v>
      </c>
      <c r="AK112" s="270">
        <f t="shared" si="82"/>
        <v>795</v>
      </c>
      <c r="AL112" s="270">
        <f t="shared" si="82"/>
        <v>795</v>
      </c>
      <c r="AM112" s="270">
        <f t="shared" si="82"/>
        <v>795</v>
      </c>
    </row>
    <row r="113" spans="2:39" ht="15.75" thickBot="1" x14ac:dyDescent="0.35">
      <c r="B113" s="56" t="str">
        <f>input_names!$B$3</f>
        <v>benzine</v>
      </c>
      <c r="C113" s="61">
        <v>65</v>
      </c>
      <c r="D113" s="270">
        <f t="shared" si="88"/>
        <v>565</v>
      </c>
      <c r="E113" s="270">
        <f t="shared" si="88"/>
        <v>565</v>
      </c>
      <c r="F113" s="270">
        <f t="shared" si="88"/>
        <v>483</v>
      </c>
      <c r="G113" s="270">
        <f t="shared" si="88"/>
        <v>486</v>
      </c>
      <c r="H113" s="270">
        <f t="shared" si="88"/>
        <v>490</v>
      </c>
      <c r="I113" s="270">
        <f t="shared" si="88"/>
        <v>496</v>
      </c>
      <c r="J113" s="270">
        <f t="shared" si="88"/>
        <v>437</v>
      </c>
      <c r="K113" s="270">
        <f t="shared" si="88"/>
        <v>441</v>
      </c>
      <c r="L113" s="270">
        <f t="shared" si="88"/>
        <v>530</v>
      </c>
      <c r="M113" s="270">
        <f t="shared" si="88"/>
        <v>570</v>
      </c>
      <c r="N113" s="270">
        <f t="shared" si="88"/>
        <v>797</v>
      </c>
      <c r="O113" s="270">
        <f t="shared" si="88"/>
        <v>797</v>
      </c>
      <c r="P113" s="270">
        <f t="shared" si="88"/>
        <v>797</v>
      </c>
      <c r="Q113" s="270">
        <f t="shared" si="88"/>
        <v>797</v>
      </c>
      <c r="R113" s="270">
        <f t="shared" si="88"/>
        <v>797</v>
      </c>
      <c r="S113" s="270">
        <f t="shared" si="86"/>
        <v>797</v>
      </c>
      <c r="T113" s="270">
        <f t="shared" si="86"/>
        <v>797</v>
      </c>
      <c r="U113" s="270">
        <f t="shared" si="86"/>
        <v>797</v>
      </c>
      <c r="V113" s="270">
        <f t="shared" si="86"/>
        <v>797</v>
      </c>
      <c r="W113" s="270">
        <f t="shared" si="86"/>
        <v>797</v>
      </c>
      <c r="X113" s="270">
        <f t="shared" si="86"/>
        <v>797</v>
      </c>
      <c r="Y113" s="270">
        <f t="shared" si="86"/>
        <v>797</v>
      </c>
      <c r="Z113" s="270">
        <f t="shared" si="86"/>
        <v>797</v>
      </c>
      <c r="AA113" s="270">
        <f t="shared" si="86"/>
        <v>797</v>
      </c>
      <c r="AB113" s="270">
        <f t="shared" si="86"/>
        <v>797</v>
      </c>
      <c r="AC113" s="270">
        <f t="shared" si="86"/>
        <v>797</v>
      </c>
      <c r="AD113" s="270">
        <f t="shared" si="87"/>
        <v>797</v>
      </c>
      <c r="AE113" s="270">
        <f t="shared" si="83"/>
        <v>797</v>
      </c>
      <c r="AF113" s="270">
        <f t="shared" si="82"/>
        <v>797</v>
      </c>
      <c r="AG113" s="270">
        <f t="shared" si="82"/>
        <v>797</v>
      </c>
      <c r="AH113" s="270">
        <f t="shared" si="82"/>
        <v>797</v>
      </c>
      <c r="AI113" s="270">
        <f t="shared" si="82"/>
        <v>797</v>
      </c>
      <c r="AJ113" s="270">
        <f t="shared" si="82"/>
        <v>797</v>
      </c>
      <c r="AK113" s="270">
        <f t="shared" si="82"/>
        <v>797</v>
      </c>
      <c r="AL113" s="270">
        <f t="shared" si="82"/>
        <v>797</v>
      </c>
      <c r="AM113" s="270">
        <f t="shared" si="82"/>
        <v>797</v>
      </c>
    </row>
    <row r="114" spans="2:39" ht="15.75" thickBot="1" x14ac:dyDescent="0.35">
      <c r="B114" s="56" t="str">
        <f>input_names!$B$3</f>
        <v>benzine</v>
      </c>
      <c r="C114" s="61">
        <v>66</v>
      </c>
      <c r="D114" s="270">
        <f t="shared" si="88"/>
        <v>571</v>
      </c>
      <c r="E114" s="270">
        <f t="shared" si="88"/>
        <v>571</v>
      </c>
      <c r="F114" s="270">
        <f t="shared" si="88"/>
        <v>485</v>
      </c>
      <c r="G114" s="270">
        <f t="shared" si="88"/>
        <v>488</v>
      </c>
      <c r="H114" s="270">
        <f t="shared" si="88"/>
        <v>492</v>
      </c>
      <c r="I114" s="270">
        <f t="shared" si="88"/>
        <v>498</v>
      </c>
      <c r="J114" s="270">
        <f t="shared" si="88"/>
        <v>438</v>
      </c>
      <c r="K114" s="270">
        <f t="shared" si="88"/>
        <v>442</v>
      </c>
      <c r="L114" s="270">
        <f t="shared" si="88"/>
        <v>532</v>
      </c>
      <c r="M114" s="270">
        <f t="shared" si="88"/>
        <v>572</v>
      </c>
      <c r="N114" s="270">
        <f t="shared" si="88"/>
        <v>799</v>
      </c>
      <c r="O114" s="270">
        <f t="shared" si="88"/>
        <v>799</v>
      </c>
      <c r="P114" s="270">
        <f t="shared" si="88"/>
        <v>799</v>
      </c>
      <c r="Q114" s="270">
        <f t="shared" si="88"/>
        <v>799</v>
      </c>
      <c r="R114" s="270">
        <f t="shared" si="88"/>
        <v>799</v>
      </c>
      <c r="S114" s="270">
        <f t="shared" si="86"/>
        <v>799</v>
      </c>
      <c r="T114" s="270">
        <f t="shared" si="86"/>
        <v>799</v>
      </c>
      <c r="U114" s="270">
        <f t="shared" si="86"/>
        <v>799</v>
      </c>
      <c r="V114" s="270">
        <f t="shared" si="86"/>
        <v>799</v>
      </c>
      <c r="W114" s="270">
        <f t="shared" si="86"/>
        <v>799</v>
      </c>
      <c r="X114" s="270">
        <f t="shared" si="86"/>
        <v>799</v>
      </c>
      <c r="Y114" s="270">
        <f t="shared" si="86"/>
        <v>799</v>
      </c>
      <c r="Z114" s="270">
        <f t="shared" si="86"/>
        <v>799</v>
      </c>
      <c r="AA114" s="270">
        <f t="shared" si="86"/>
        <v>799</v>
      </c>
      <c r="AB114" s="270">
        <f t="shared" si="86"/>
        <v>799</v>
      </c>
      <c r="AC114" s="270">
        <f t="shared" si="86"/>
        <v>799</v>
      </c>
      <c r="AD114" s="270">
        <f t="shared" si="87"/>
        <v>799</v>
      </c>
      <c r="AE114" s="270">
        <f t="shared" si="83"/>
        <v>799</v>
      </c>
      <c r="AF114" s="270">
        <f t="shared" si="82"/>
        <v>799</v>
      </c>
      <c r="AG114" s="270">
        <f t="shared" si="82"/>
        <v>799</v>
      </c>
      <c r="AH114" s="270">
        <f t="shared" si="82"/>
        <v>799</v>
      </c>
      <c r="AI114" s="270">
        <f t="shared" si="82"/>
        <v>799</v>
      </c>
      <c r="AJ114" s="270">
        <f t="shared" si="82"/>
        <v>799</v>
      </c>
      <c r="AK114" s="270">
        <f t="shared" si="82"/>
        <v>799</v>
      </c>
      <c r="AL114" s="270">
        <f t="shared" si="82"/>
        <v>799</v>
      </c>
      <c r="AM114" s="270">
        <f t="shared" si="82"/>
        <v>799</v>
      </c>
    </row>
    <row r="115" spans="2:39" ht="15.75" thickBot="1" x14ac:dyDescent="0.35">
      <c r="B115" s="56" t="str">
        <f>input_names!$B$3</f>
        <v>benzine</v>
      </c>
      <c r="C115" s="61">
        <v>67</v>
      </c>
      <c r="D115" s="270">
        <f t="shared" si="88"/>
        <v>577</v>
      </c>
      <c r="E115" s="270">
        <f t="shared" si="88"/>
        <v>577</v>
      </c>
      <c r="F115" s="270">
        <f t="shared" si="88"/>
        <v>487</v>
      </c>
      <c r="G115" s="270">
        <f t="shared" si="88"/>
        <v>490</v>
      </c>
      <c r="H115" s="270">
        <f t="shared" si="88"/>
        <v>494</v>
      </c>
      <c r="I115" s="270">
        <f t="shared" si="88"/>
        <v>500</v>
      </c>
      <c r="J115" s="270">
        <f t="shared" si="88"/>
        <v>439</v>
      </c>
      <c r="K115" s="270">
        <f t="shared" si="88"/>
        <v>443</v>
      </c>
      <c r="L115" s="270">
        <f t="shared" si="88"/>
        <v>534</v>
      </c>
      <c r="M115" s="270">
        <f t="shared" si="88"/>
        <v>574</v>
      </c>
      <c r="N115" s="270">
        <f t="shared" si="88"/>
        <v>801</v>
      </c>
      <c r="O115" s="270">
        <f t="shared" si="88"/>
        <v>801</v>
      </c>
      <c r="P115" s="270">
        <f t="shared" si="88"/>
        <v>801</v>
      </c>
      <c r="Q115" s="270">
        <f t="shared" si="88"/>
        <v>801</v>
      </c>
      <c r="R115" s="270">
        <f t="shared" si="88"/>
        <v>801</v>
      </c>
      <c r="S115" s="270">
        <f t="shared" si="86"/>
        <v>801</v>
      </c>
      <c r="T115" s="270">
        <f t="shared" si="86"/>
        <v>801</v>
      </c>
      <c r="U115" s="270">
        <f t="shared" si="86"/>
        <v>801</v>
      </c>
      <c r="V115" s="270">
        <f t="shared" si="86"/>
        <v>801</v>
      </c>
      <c r="W115" s="270">
        <f t="shared" si="86"/>
        <v>801</v>
      </c>
      <c r="X115" s="270">
        <f t="shared" si="86"/>
        <v>801</v>
      </c>
      <c r="Y115" s="270">
        <f t="shared" si="86"/>
        <v>801</v>
      </c>
      <c r="Z115" s="270">
        <f t="shared" si="86"/>
        <v>801</v>
      </c>
      <c r="AA115" s="270">
        <f t="shared" si="86"/>
        <v>801</v>
      </c>
      <c r="AB115" s="270">
        <f t="shared" si="86"/>
        <v>801</v>
      </c>
      <c r="AC115" s="270">
        <f t="shared" si="86"/>
        <v>801</v>
      </c>
      <c r="AD115" s="270">
        <f t="shared" si="87"/>
        <v>801</v>
      </c>
      <c r="AE115" s="270">
        <f t="shared" si="83"/>
        <v>801</v>
      </c>
      <c r="AF115" s="270">
        <f t="shared" si="82"/>
        <v>801</v>
      </c>
      <c r="AG115" s="270">
        <f t="shared" si="82"/>
        <v>801</v>
      </c>
      <c r="AH115" s="270">
        <f t="shared" si="82"/>
        <v>801</v>
      </c>
      <c r="AI115" s="270">
        <f t="shared" si="82"/>
        <v>801</v>
      </c>
      <c r="AJ115" s="270">
        <f t="shared" si="82"/>
        <v>801</v>
      </c>
      <c r="AK115" s="270">
        <f t="shared" ref="AF115:AM143" si="89">+MIN(MAX(0,$C115-AK$11),AK$12-AK$11)*AK$17
+MIN(MAX(0,$C115-AK$12),AK$13-AK$12)*AK$18
+MIN(MAX(0,$C115-AK$13),AK$14-AK$13)*AK$19
+MIN(MAX(0,$C115-AK$14),AK$15-AK$14)*AK$20
+MAX(0,$C115-AK$15)*AK$21
+AK$26</f>
        <v>801</v>
      </c>
      <c r="AL115" s="270">
        <f t="shared" si="89"/>
        <v>801</v>
      </c>
      <c r="AM115" s="270">
        <f t="shared" si="89"/>
        <v>801</v>
      </c>
    </row>
    <row r="116" spans="2:39" ht="15.75" thickBot="1" x14ac:dyDescent="0.35">
      <c r="B116" s="56" t="str">
        <f>input_names!$B$3</f>
        <v>benzine</v>
      </c>
      <c r="C116" s="61">
        <v>68</v>
      </c>
      <c r="D116" s="270">
        <f t="shared" si="88"/>
        <v>583</v>
      </c>
      <c r="E116" s="270">
        <f t="shared" si="88"/>
        <v>583</v>
      </c>
      <c r="F116" s="270">
        <f t="shared" si="88"/>
        <v>489</v>
      </c>
      <c r="G116" s="270">
        <f t="shared" si="88"/>
        <v>492</v>
      </c>
      <c r="H116" s="270">
        <f t="shared" si="88"/>
        <v>496</v>
      </c>
      <c r="I116" s="270">
        <f t="shared" si="88"/>
        <v>502</v>
      </c>
      <c r="J116" s="270">
        <f t="shared" si="88"/>
        <v>440</v>
      </c>
      <c r="K116" s="270">
        <f t="shared" si="88"/>
        <v>444</v>
      </c>
      <c r="L116" s="270">
        <f t="shared" si="88"/>
        <v>536</v>
      </c>
      <c r="M116" s="270">
        <f t="shared" si="88"/>
        <v>576</v>
      </c>
      <c r="N116" s="270">
        <f t="shared" si="88"/>
        <v>803</v>
      </c>
      <c r="O116" s="270">
        <f t="shared" si="88"/>
        <v>803</v>
      </c>
      <c r="P116" s="270">
        <f t="shared" si="88"/>
        <v>803</v>
      </c>
      <c r="Q116" s="270">
        <f t="shared" si="88"/>
        <v>803</v>
      </c>
      <c r="R116" s="270">
        <f t="shared" si="88"/>
        <v>803</v>
      </c>
      <c r="S116" s="270">
        <f t="shared" si="86"/>
        <v>803</v>
      </c>
      <c r="T116" s="270">
        <f t="shared" si="86"/>
        <v>803</v>
      </c>
      <c r="U116" s="270">
        <f t="shared" si="86"/>
        <v>803</v>
      </c>
      <c r="V116" s="270">
        <f t="shared" si="86"/>
        <v>803</v>
      </c>
      <c r="W116" s="270">
        <f t="shared" si="86"/>
        <v>803</v>
      </c>
      <c r="X116" s="270">
        <f t="shared" si="86"/>
        <v>803</v>
      </c>
      <c r="Y116" s="270">
        <f t="shared" si="86"/>
        <v>803</v>
      </c>
      <c r="Z116" s="270">
        <f t="shared" si="86"/>
        <v>803</v>
      </c>
      <c r="AA116" s="270">
        <f t="shared" si="86"/>
        <v>803</v>
      </c>
      <c r="AB116" s="270">
        <f t="shared" si="86"/>
        <v>803</v>
      </c>
      <c r="AC116" s="270">
        <f t="shared" si="86"/>
        <v>803</v>
      </c>
      <c r="AD116" s="270">
        <f t="shared" si="87"/>
        <v>803</v>
      </c>
      <c r="AE116" s="270">
        <f t="shared" si="83"/>
        <v>803</v>
      </c>
      <c r="AF116" s="270">
        <f t="shared" si="89"/>
        <v>803</v>
      </c>
      <c r="AG116" s="270">
        <f t="shared" si="89"/>
        <v>803</v>
      </c>
      <c r="AH116" s="270">
        <f t="shared" si="89"/>
        <v>803</v>
      </c>
      <c r="AI116" s="270">
        <f t="shared" si="89"/>
        <v>803</v>
      </c>
      <c r="AJ116" s="270">
        <f t="shared" si="89"/>
        <v>803</v>
      </c>
      <c r="AK116" s="270">
        <f t="shared" si="89"/>
        <v>803</v>
      </c>
      <c r="AL116" s="270">
        <f t="shared" si="89"/>
        <v>803</v>
      </c>
      <c r="AM116" s="270">
        <f t="shared" si="89"/>
        <v>803</v>
      </c>
    </row>
    <row r="117" spans="2:39" ht="15.75" thickBot="1" x14ac:dyDescent="0.35">
      <c r="B117" s="56" t="str">
        <f>input_names!$B$3</f>
        <v>benzine</v>
      </c>
      <c r="C117" s="61">
        <v>69</v>
      </c>
      <c r="D117" s="270">
        <f t="shared" si="88"/>
        <v>589</v>
      </c>
      <c r="E117" s="270">
        <f t="shared" si="88"/>
        <v>589</v>
      </c>
      <c r="F117" s="270">
        <f t="shared" si="88"/>
        <v>491</v>
      </c>
      <c r="G117" s="270">
        <f t="shared" si="88"/>
        <v>494</v>
      </c>
      <c r="H117" s="270">
        <f t="shared" si="88"/>
        <v>498</v>
      </c>
      <c r="I117" s="270">
        <f t="shared" si="88"/>
        <v>560</v>
      </c>
      <c r="J117" s="270">
        <f t="shared" si="88"/>
        <v>441</v>
      </c>
      <c r="K117" s="270">
        <f t="shared" si="88"/>
        <v>445</v>
      </c>
      <c r="L117" s="270">
        <f t="shared" si="88"/>
        <v>538</v>
      </c>
      <c r="M117" s="270">
        <f t="shared" si="88"/>
        <v>578</v>
      </c>
      <c r="N117" s="270">
        <f t="shared" si="88"/>
        <v>805</v>
      </c>
      <c r="O117" s="270">
        <f t="shared" si="88"/>
        <v>805</v>
      </c>
      <c r="P117" s="270">
        <f t="shared" si="88"/>
        <v>805</v>
      </c>
      <c r="Q117" s="270">
        <f t="shared" si="88"/>
        <v>805</v>
      </c>
      <c r="R117" s="270">
        <f t="shared" si="88"/>
        <v>805</v>
      </c>
      <c r="S117" s="270">
        <f t="shared" si="86"/>
        <v>805</v>
      </c>
      <c r="T117" s="270">
        <f t="shared" si="86"/>
        <v>805</v>
      </c>
      <c r="U117" s="270">
        <f t="shared" si="86"/>
        <v>805</v>
      </c>
      <c r="V117" s="270">
        <f t="shared" si="86"/>
        <v>805</v>
      </c>
      <c r="W117" s="270">
        <f t="shared" si="86"/>
        <v>805</v>
      </c>
      <c r="X117" s="270">
        <f t="shared" si="86"/>
        <v>805</v>
      </c>
      <c r="Y117" s="270">
        <f t="shared" si="86"/>
        <v>805</v>
      </c>
      <c r="Z117" s="270">
        <f t="shared" si="86"/>
        <v>805</v>
      </c>
      <c r="AA117" s="270">
        <f t="shared" si="86"/>
        <v>805</v>
      </c>
      <c r="AB117" s="270">
        <f t="shared" si="86"/>
        <v>805</v>
      </c>
      <c r="AC117" s="270">
        <f t="shared" si="86"/>
        <v>805</v>
      </c>
      <c r="AD117" s="270">
        <f t="shared" si="87"/>
        <v>805</v>
      </c>
      <c r="AE117" s="270">
        <f t="shared" si="83"/>
        <v>805</v>
      </c>
      <c r="AF117" s="270">
        <f t="shared" si="89"/>
        <v>805</v>
      </c>
      <c r="AG117" s="270">
        <f t="shared" si="89"/>
        <v>805</v>
      </c>
      <c r="AH117" s="270">
        <f t="shared" si="89"/>
        <v>805</v>
      </c>
      <c r="AI117" s="270">
        <f t="shared" si="89"/>
        <v>805</v>
      </c>
      <c r="AJ117" s="270">
        <f t="shared" si="89"/>
        <v>805</v>
      </c>
      <c r="AK117" s="270">
        <f t="shared" si="89"/>
        <v>805</v>
      </c>
      <c r="AL117" s="270">
        <f t="shared" si="89"/>
        <v>805</v>
      </c>
      <c r="AM117" s="270">
        <f t="shared" si="89"/>
        <v>805</v>
      </c>
    </row>
    <row r="118" spans="2:39" ht="15.75" thickBot="1" x14ac:dyDescent="0.35">
      <c r="B118" s="56" t="str">
        <f>input_names!$B$3</f>
        <v>benzine</v>
      </c>
      <c r="C118" s="61">
        <v>70</v>
      </c>
      <c r="D118" s="270">
        <f t="shared" si="88"/>
        <v>595</v>
      </c>
      <c r="E118" s="270">
        <f t="shared" si="88"/>
        <v>595</v>
      </c>
      <c r="F118" s="270">
        <f t="shared" si="88"/>
        <v>493</v>
      </c>
      <c r="G118" s="270">
        <f t="shared" si="88"/>
        <v>496</v>
      </c>
      <c r="H118" s="270">
        <f t="shared" si="88"/>
        <v>500</v>
      </c>
      <c r="I118" s="270">
        <f t="shared" si="88"/>
        <v>618</v>
      </c>
      <c r="J118" s="270">
        <f t="shared" si="88"/>
        <v>442</v>
      </c>
      <c r="K118" s="270">
        <f t="shared" si="88"/>
        <v>446</v>
      </c>
      <c r="L118" s="270">
        <f t="shared" si="88"/>
        <v>540</v>
      </c>
      <c r="M118" s="270">
        <f t="shared" si="88"/>
        <v>580</v>
      </c>
      <c r="N118" s="270">
        <f t="shared" si="88"/>
        <v>807</v>
      </c>
      <c r="O118" s="270">
        <f t="shared" si="88"/>
        <v>807</v>
      </c>
      <c r="P118" s="270">
        <f t="shared" si="88"/>
        <v>807</v>
      </c>
      <c r="Q118" s="270">
        <f t="shared" si="88"/>
        <v>807</v>
      </c>
      <c r="R118" s="270">
        <f t="shared" si="88"/>
        <v>807</v>
      </c>
      <c r="S118" s="270">
        <f t="shared" si="86"/>
        <v>807</v>
      </c>
      <c r="T118" s="270">
        <f t="shared" si="86"/>
        <v>807</v>
      </c>
      <c r="U118" s="270">
        <f t="shared" si="86"/>
        <v>807</v>
      </c>
      <c r="V118" s="270">
        <f t="shared" si="86"/>
        <v>807</v>
      </c>
      <c r="W118" s="270">
        <f t="shared" si="86"/>
        <v>807</v>
      </c>
      <c r="X118" s="270">
        <f t="shared" si="86"/>
        <v>807</v>
      </c>
      <c r="Y118" s="270">
        <f t="shared" si="86"/>
        <v>807</v>
      </c>
      <c r="Z118" s="270">
        <f t="shared" si="86"/>
        <v>807</v>
      </c>
      <c r="AA118" s="270">
        <f t="shared" si="86"/>
        <v>807</v>
      </c>
      <c r="AB118" s="270">
        <f t="shared" si="86"/>
        <v>807</v>
      </c>
      <c r="AC118" s="270">
        <f t="shared" si="86"/>
        <v>807</v>
      </c>
      <c r="AD118" s="270">
        <f t="shared" si="87"/>
        <v>807</v>
      </c>
      <c r="AE118" s="270">
        <f t="shared" si="83"/>
        <v>807</v>
      </c>
      <c r="AF118" s="270">
        <f t="shared" si="89"/>
        <v>807</v>
      </c>
      <c r="AG118" s="270">
        <f t="shared" si="89"/>
        <v>807</v>
      </c>
      <c r="AH118" s="270">
        <f t="shared" si="89"/>
        <v>807</v>
      </c>
      <c r="AI118" s="270">
        <f t="shared" si="89"/>
        <v>807</v>
      </c>
      <c r="AJ118" s="270">
        <f t="shared" si="89"/>
        <v>807</v>
      </c>
      <c r="AK118" s="270">
        <f t="shared" si="89"/>
        <v>807</v>
      </c>
      <c r="AL118" s="270">
        <f t="shared" si="89"/>
        <v>807</v>
      </c>
      <c r="AM118" s="270">
        <f t="shared" si="89"/>
        <v>807</v>
      </c>
    </row>
    <row r="119" spans="2:39" ht="15.75" thickBot="1" x14ac:dyDescent="0.35">
      <c r="B119" s="56" t="str">
        <f>input_names!$B$3</f>
        <v>benzine</v>
      </c>
      <c r="C119" s="61">
        <v>71</v>
      </c>
      <c r="D119" s="270">
        <f t="shared" si="88"/>
        <v>601</v>
      </c>
      <c r="E119" s="270">
        <f t="shared" si="88"/>
        <v>601</v>
      </c>
      <c r="F119" s="270">
        <f t="shared" si="88"/>
        <v>495</v>
      </c>
      <c r="G119" s="270">
        <f t="shared" si="88"/>
        <v>498</v>
      </c>
      <c r="H119" s="270">
        <f t="shared" si="88"/>
        <v>502</v>
      </c>
      <c r="I119" s="270">
        <f t="shared" si="88"/>
        <v>676</v>
      </c>
      <c r="J119" s="270">
        <f t="shared" si="88"/>
        <v>443</v>
      </c>
      <c r="K119" s="270">
        <f t="shared" si="88"/>
        <v>447</v>
      </c>
      <c r="L119" s="270">
        <f t="shared" si="88"/>
        <v>542</v>
      </c>
      <c r="M119" s="270">
        <f t="shared" si="88"/>
        <v>582</v>
      </c>
      <c r="N119" s="270">
        <f t="shared" si="88"/>
        <v>809</v>
      </c>
      <c r="O119" s="270">
        <f t="shared" si="88"/>
        <v>809</v>
      </c>
      <c r="P119" s="270">
        <f t="shared" si="88"/>
        <v>809</v>
      </c>
      <c r="Q119" s="270">
        <f t="shared" si="88"/>
        <v>809</v>
      </c>
      <c r="R119" s="270">
        <f t="shared" si="88"/>
        <v>809</v>
      </c>
      <c r="S119" s="270">
        <f t="shared" si="86"/>
        <v>809</v>
      </c>
      <c r="T119" s="270">
        <f t="shared" si="86"/>
        <v>809</v>
      </c>
      <c r="U119" s="270">
        <f t="shared" si="86"/>
        <v>809</v>
      </c>
      <c r="V119" s="270">
        <f t="shared" si="86"/>
        <v>809</v>
      </c>
      <c r="W119" s="270">
        <f t="shared" si="86"/>
        <v>809</v>
      </c>
      <c r="X119" s="270">
        <f t="shared" si="86"/>
        <v>809</v>
      </c>
      <c r="Y119" s="270">
        <f t="shared" si="86"/>
        <v>809</v>
      </c>
      <c r="Z119" s="270">
        <f t="shared" si="86"/>
        <v>809</v>
      </c>
      <c r="AA119" s="270">
        <f t="shared" si="86"/>
        <v>809</v>
      </c>
      <c r="AB119" s="270">
        <f t="shared" si="86"/>
        <v>809</v>
      </c>
      <c r="AC119" s="270">
        <f t="shared" si="86"/>
        <v>809</v>
      </c>
      <c r="AD119" s="270">
        <f t="shared" si="87"/>
        <v>809</v>
      </c>
      <c r="AE119" s="270">
        <f t="shared" si="83"/>
        <v>809</v>
      </c>
      <c r="AF119" s="270">
        <f t="shared" si="89"/>
        <v>809</v>
      </c>
      <c r="AG119" s="270">
        <f t="shared" si="89"/>
        <v>809</v>
      </c>
      <c r="AH119" s="270">
        <f t="shared" si="89"/>
        <v>809</v>
      </c>
      <c r="AI119" s="270">
        <f t="shared" si="89"/>
        <v>809</v>
      </c>
      <c r="AJ119" s="270">
        <f t="shared" si="89"/>
        <v>809</v>
      </c>
      <c r="AK119" s="270">
        <f t="shared" si="89"/>
        <v>809</v>
      </c>
      <c r="AL119" s="270">
        <f t="shared" si="89"/>
        <v>809</v>
      </c>
      <c r="AM119" s="270">
        <f t="shared" si="89"/>
        <v>809</v>
      </c>
    </row>
    <row r="120" spans="2:39" ht="15.75" thickBot="1" x14ac:dyDescent="0.35">
      <c r="B120" s="56" t="str">
        <f>input_names!$B$3</f>
        <v>benzine</v>
      </c>
      <c r="C120" s="61">
        <v>72</v>
      </c>
      <c r="D120" s="270">
        <f t="shared" si="88"/>
        <v>607</v>
      </c>
      <c r="E120" s="270">
        <f t="shared" si="88"/>
        <v>607</v>
      </c>
      <c r="F120" s="270">
        <f t="shared" si="88"/>
        <v>497</v>
      </c>
      <c r="G120" s="270">
        <f t="shared" si="88"/>
        <v>500</v>
      </c>
      <c r="H120" s="270">
        <f t="shared" si="88"/>
        <v>561</v>
      </c>
      <c r="I120" s="270">
        <f t="shared" si="88"/>
        <v>734</v>
      </c>
      <c r="J120" s="270">
        <f t="shared" si="88"/>
        <v>444</v>
      </c>
      <c r="K120" s="270">
        <f t="shared" si="88"/>
        <v>448</v>
      </c>
      <c r="L120" s="270">
        <f t="shared" si="88"/>
        <v>544</v>
      </c>
      <c r="M120" s="270">
        <f t="shared" si="88"/>
        <v>584</v>
      </c>
      <c r="N120" s="270">
        <f t="shared" si="88"/>
        <v>811</v>
      </c>
      <c r="O120" s="270">
        <f t="shared" si="88"/>
        <v>811</v>
      </c>
      <c r="P120" s="270">
        <f t="shared" si="88"/>
        <v>811</v>
      </c>
      <c r="Q120" s="270">
        <f t="shared" si="88"/>
        <v>811</v>
      </c>
      <c r="R120" s="270">
        <f t="shared" si="88"/>
        <v>811</v>
      </c>
      <c r="S120" s="270">
        <f t="shared" si="86"/>
        <v>811</v>
      </c>
      <c r="T120" s="270">
        <f t="shared" si="86"/>
        <v>811</v>
      </c>
      <c r="U120" s="270">
        <f t="shared" si="86"/>
        <v>811</v>
      </c>
      <c r="V120" s="270">
        <f t="shared" si="86"/>
        <v>811</v>
      </c>
      <c r="W120" s="270">
        <f t="shared" si="86"/>
        <v>811</v>
      </c>
      <c r="X120" s="270">
        <f t="shared" si="86"/>
        <v>811</v>
      </c>
      <c r="Y120" s="270">
        <f t="shared" si="86"/>
        <v>811</v>
      </c>
      <c r="Z120" s="270">
        <f t="shared" si="86"/>
        <v>811</v>
      </c>
      <c r="AA120" s="270">
        <f t="shared" si="86"/>
        <v>811</v>
      </c>
      <c r="AB120" s="270">
        <f t="shared" si="86"/>
        <v>811</v>
      </c>
      <c r="AC120" s="270">
        <f t="shared" si="86"/>
        <v>811</v>
      </c>
      <c r="AD120" s="270">
        <f t="shared" si="87"/>
        <v>811</v>
      </c>
      <c r="AE120" s="270">
        <f t="shared" ref="AE120:AE151" si="90">+MIN(MAX(0,$C120-AE$11),AE$12-AE$11)*AE$17
+MIN(MAX(0,$C120-AE$12),AE$13-AE$12)*AE$18
+MIN(MAX(0,$C120-AE$13),AE$14-AE$13)*AE$19
+MIN(MAX(0,$C120-AE$14),AE$15-AE$14)*AE$20
+MAX(0,$C120-AE$15)*AE$21
+AE$26</f>
        <v>811</v>
      </c>
      <c r="AF120" s="270">
        <f t="shared" si="89"/>
        <v>811</v>
      </c>
      <c r="AG120" s="270">
        <f t="shared" si="89"/>
        <v>811</v>
      </c>
      <c r="AH120" s="270">
        <f t="shared" si="89"/>
        <v>811</v>
      </c>
      <c r="AI120" s="270">
        <f t="shared" si="89"/>
        <v>811</v>
      </c>
      <c r="AJ120" s="270">
        <f t="shared" si="89"/>
        <v>811</v>
      </c>
      <c r="AK120" s="270">
        <f t="shared" si="89"/>
        <v>811</v>
      </c>
      <c r="AL120" s="270">
        <f t="shared" si="89"/>
        <v>811</v>
      </c>
      <c r="AM120" s="270">
        <f t="shared" si="89"/>
        <v>811</v>
      </c>
    </row>
    <row r="121" spans="2:39" ht="15.75" thickBot="1" x14ac:dyDescent="0.35">
      <c r="B121" s="56" t="str">
        <f>input_names!$B$3</f>
        <v>benzine</v>
      </c>
      <c r="C121" s="61">
        <v>73</v>
      </c>
      <c r="D121" s="270">
        <f t="shared" si="88"/>
        <v>613</v>
      </c>
      <c r="E121" s="270">
        <f t="shared" si="88"/>
        <v>613</v>
      </c>
      <c r="F121" s="270">
        <f t="shared" si="88"/>
        <v>499</v>
      </c>
      <c r="G121" s="270">
        <f t="shared" si="88"/>
        <v>502</v>
      </c>
      <c r="H121" s="270">
        <f t="shared" si="88"/>
        <v>620</v>
      </c>
      <c r="I121" s="270">
        <f t="shared" si="88"/>
        <v>792</v>
      </c>
      <c r="J121" s="270">
        <f t="shared" si="88"/>
        <v>445</v>
      </c>
      <c r="K121" s="270">
        <f t="shared" si="88"/>
        <v>449</v>
      </c>
      <c r="L121" s="270">
        <f t="shared" si="88"/>
        <v>546</v>
      </c>
      <c r="M121" s="270">
        <f t="shared" si="88"/>
        <v>586</v>
      </c>
      <c r="N121" s="270">
        <f t="shared" si="88"/>
        <v>813</v>
      </c>
      <c r="O121" s="270">
        <f t="shared" si="88"/>
        <v>813</v>
      </c>
      <c r="P121" s="270">
        <f t="shared" si="88"/>
        <v>813</v>
      </c>
      <c r="Q121" s="270">
        <f t="shared" si="88"/>
        <v>813</v>
      </c>
      <c r="R121" s="270">
        <f t="shared" si="88"/>
        <v>813</v>
      </c>
      <c r="S121" s="270">
        <f t="shared" si="86"/>
        <v>813</v>
      </c>
      <c r="T121" s="270">
        <f t="shared" si="86"/>
        <v>813</v>
      </c>
      <c r="U121" s="270">
        <f t="shared" si="86"/>
        <v>813</v>
      </c>
      <c r="V121" s="270">
        <f t="shared" si="86"/>
        <v>813</v>
      </c>
      <c r="W121" s="270">
        <f t="shared" si="86"/>
        <v>813</v>
      </c>
      <c r="X121" s="270">
        <f t="shared" si="86"/>
        <v>813</v>
      </c>
      <c r="Y121" s="270">
        <f t="shared" si="86"/>
        <v>813</v>
      </c>
      <c r="Z121" s="270">
        <f t="shared" si="86"/>
        <v>813</v>
      </c>
      <c r="AA121" s="270">
        <f t="shared" si="86"/>
        <v>813</v>
      </c>
      <c r="AB121" s="270">
        <f t="shared" si="86"/>
        <v>813</v>
      </c>
      <c r="AC121" s="270">
        <f t="shared" si="86"/>
        <v>813</v>
      </c>
      <c r="AD121" s="270">
        <f t="shared" si="87"/>
        <v>813</v>
      </c>
      <c r="AE121" s="270">
        <f t="shared" si="90"/>
        <v>813</v>
      </c>
      <c r="AF121" s="270">
        <f t="shared" si="89"/>
        <v>813</v>
      </c>
      <c r="AG121" s="270">
        <f t="shared" si="89"/>
        <v>813</v>
      </c>
      <c r="AH121" s="270">
        <f t="shared" si="89"/>
        <v>813</v>
      </c>
      <c r="AI121" s="270">
        <f t="shared" si="89"/>
        <v>813</v>
      </c>
      <c r="AJ121" s="270">
        <f t="shared" si="89"/>
        <v>813</v>
      </c>
      <c r="AK121" s="270">
        <f t="shared" si="89"/>
        <v>813</v>
      </c>
      <c r="AL121" s="270">
        <f t="shared" si="89"/>
        <v>813</v>
      </c>
      <c r="AM121" s="270">
        <f t="shared" si="89"/>
        <v>813</v>
      </c>
    </row>
    <row r="122" spans="2:39" ht="15.75" thickBot="1" x14ac:dyDescent="0.35">
      <c r="B122" s="56" t="str">
        <f>input_names!$B$3</f>
        <v>benzine</v>
      </c>
      <c r="C122" s="61">
        <v>74</v>
      </c>
      <c r="D122" s="270">
        <f t="shared" si="88"/>
        <v>619</v>
      </c>
      <c r="E122" s="270">
        <f t="shared" si="88"/>
        <v>619</v>
      </c>
      <c r="F122" s="270">
        <f t="shared" si="88"/>
        <v>501</v>
      </c>
      <c r="G122" s="270">
        <f t="shared" si="88"/>
        <v>565</v>
      </c>
      <c r="H122" s="270">
        <f t="shared" si="88"/>
        <v>679</v>
      </c>
      <c r="I122" s="270">
        <f t="shared" si="88"/>
        <v>850</v>
      </c>
      <c r="J122" s="270">
        <f t="shared" si="88"/>
        <v>446</v>
      </c>
      <c r="K122" s="270">
        <f t="shared" si="88"/>
        <v>450</v>
      </c>
      <c r="L122" s="270">
        <f t="shared" si="88"/>
        <v>548</v>
      </c>
      <c r="M122" s="270">
        <f t="shared" si="88"/>
        <v>588</v>
      </c>
      <c r="N122" s="270">
        <f t="shared" si="88"/>
        <v>815</v>
      </c>
      <c r="O122" s="270">
        <f t="shared" si="88"/>
        <v>815</v>
      </c>
      <c r="P122" s="270">
        <f t="shared" si="88"/>
        <v>815</v>
      </c>
      <c r="Q122" s="270">
        <f t="shared" si="88"/>
        <v>815</v>
      </c>
      <c r="R122" s="270">
        <f t="shared" si="88"/>
        <v>815</v>
      </c>
      <c r="S122" s="270">
        <f t="shared" si="86"/>
        <v>815</v>
      </c>
      <c r="T122" s="270">
        <f t="shared" si="86"/>
        <v>815</v>
      </c>
      <c r="U122" s="270">
        <f t="shared" si="86"/>
        <v>815</v>
      </c>
      <c r="V122" s="270">
        <f t="shared" si="86"/>
        <v>815</v>
      </c>
      <c r="W122" s="270">
        <f t="shared" si="86"/>
        <v>815</v>
      </c>
      <c r="X122" s="270">
        <f t="shared" si="86"/>
        <v>815</v>
      </c>
      <c r="Y122" s="270">
        <f t="shared" si="86"/>
        <v>815</v>
      </c>
      <c r="Z122" s="270">
        <f t="shared" si="86"/>
        <v>815</v>
      </c>
      <c r="AA122" s="270">
        <f t="shared" si="86"/>
        <v>815</v>
      </c>
      <c r="AB122" s="270">
        <f t="shared" si="86"/>
        <v>815</v>
      </c>
      <c r="AC122" s="270">
        <f t="shared" si="86"/>
        <v>815</v>
      </c>
      <c r="AD122" s="270">
        <f t="shared" si="87"/>
        <v>815</v>
      </c>
      <c r="AE122" s="270">
        <f t="shared" si="90"/>
        <v>815</v>
      </c>
      <c r="AF122" s="270">
        <f t="shared" si="89"/>
        <v>815</v>
      </c>
      <c r="AG122" s="270">
        <f t="shared" si="89"/>
        <v>815</v>
      </c>
      <c r="AH122" s="270">
        <f t="shared" si="89"/>
        <v>815</v>
      </c>
      <c r="AI122" s="270">
        <f t="shared" si="89"/>
        <v>815</v>
      </c>
      <c r="AJ122" s="270">
        <f t="shared" si="89"/>
        <v>815</v>
      </c>
      <c r="AK122" s="270">
        <f t="shared" si="89"/>
        <v>815</v>
      </c>
      <c r="AL122" s="270">
        <f t="shared" si="89"/>
        <v>815</v>
      </c>
      <c r="AM122" s="270">
        <f t="shared" si="89"/>
        <v>815</v>
      </c>
    </row>
    <row r="123" spans="2:39" ht="15.75" thickBot="1" x14ac:dyDescent="0.35">
      <c r="B123" s="56" t="str">
        <f>input_names!$B$3</f>
        <v>benzine</v>
      </c>
      <c r="C123" s="61">
        <v>75</v>
      </c>
      <c r="D123" s="270">
        <f t="shared" si="88"/>
        <v>625</v>
      </c>
      <c r="E123" s="270">
        <f t="shared" si="88"/>
        <v>625</v>
      </c>
      <c r="F123" s="270">
        <f t="shared" si="88"/>
        <v>503</v>
      </c>
      <c r="G123" s="270">
        <f t="shared" si="88"/>
        <v>628</v>
      </c>
      <c r="H123" s="270">
        <f t="shared" si="88"/>
        <v>738</v>
      </c>
      <c r="I123" s="270">
        <f t="shared" si="88"/>
        <v>908</v>
      </c>
      <c r="J123" s="270">
        <f t="shared" si="88"/>
        <v>447</v>
      </c>
      <c r="K123" s="270">
        <f t="shared" si="88"/>
        <v>451</v>
      </c>
      <c r="L123" s="270">
        <f t="shared" si="88"/>
        <v>550</v>
      </c>
      <c r="M123" s="270">
        <f t="shared" si="88"/>
        <v>590</v>
      </c>
      <c r="N123" s="270">
        <f t="shared" si="88"/>
        <v>817</v>
      </c>
      <c r="O123" s="270">
        <f t="shared" si="88"/>
        <v>817</v>
      </c>
      <c r="P123" s="270">
        <f t="shared" si="88"/>
        <v>817</v>
      </c>
      <c r="Q123" s="270">
        <f t="shared" si="88"/>
        <v>817</v>
      </c>
      <c r="R123" s="270">
        <f t="shared" si="88"/>
        <v>817</v>
      </c>
      <c r="S123" s="270">
        <f t="shared" si="86"/>
        <v>817</v>
      </c>
      <c r="T123" s="270">
        <f t="shared" si="86"/>
        <v>817</v>
      </c>
      <c r="U123" s="270">
        <f t="shared" si="86"/>
        <v>817</v>
      </c>
      <c r="V123" s="270">
        <f t="shared" si="86"/>
        <v>817</v>
      </c>
      <c r="W123" s="270">
        <f t="shared" si="86"/>
        <v>817</v>
      </c>
      <c r="X123" s="270">
        <f t="shared" si="86"/>
        <v>817</v>
      </c>
      <c r="Y123" s="270">
        <f t="shared" si="86"/>
        <v>817</v>
      </c>
      <c r="Z123" s="270">
        <f t="shared" si="86"/>
        <v>817</v>
      </c>
      <c r="AA123" s="270">
        <f t="shared" si="86"/>
        <v>817</v>
      </c>
      <c r="AB123" s="270">
        <f t="shared" si="86"/>
        <v>817</v>
      </c>
      <c r="AC123" s="270">
        <f t="shared" si="86"/>
        <v>817</v>
      </c>
      <c r="AD123" s="270">
        <f t="shared" si="87"/>
        <v>817</v>
      </c>
      <c r="AE123" s="270">
        <f t="shared" si="90"/>
        <v>817</v>
      </c>
      <c r="AF123" s="270">
        <f t="shared" si="89"/>
        <v>817</v>
      </c>
      <c r="AG123" s="270">
        <f t="shared" si="89"/>
        <v>817</v>
      </c>
      <c r="AH123" s="270">
        <f t="shared" si="89"/>
        <v>817</v>
      </c>
      <c r="AI123" s="270">
        <f t="shared" si="89"/>
        <v>817</v>
      </c>
      <c r="AJ123" s="270">
        <f t="shared" si="89"/>
        <v>817</v>
      </c>
      <c r="AK123" s="270">
        <f t="shared" si="89"/>
        <v>817</v>
      </c>
      <c r="AL123" s="270">
        <f t="shared" si="89"/>
        <v>817</v>
      </c>
      <c r="AM123" s="270">
        <f t="shared" si="89"/>
        <v>817</v>
      </c>
    </row>
    <row r="124" spans="2:39" ht="15.75" thickBot="1" x14ac:dyDescent="0.35">
      <c r="B124" s="56" t="str">
        <f>input_names!$B$3</f>
        <v>benzine</v>
      </c>
      <c r="C124" s="61">
        <v>76</v>
      </c>
      <c r="D124" s="270">
        <f t="shared" si="88"/>
        <v>631</v>
      </c>
      <c r="E124" s="270">
        <f t="shared" si="88"/>
        <v>631</v>
      </c>
      <c r="F124" s="270">
        <f t="shared" si="88"/>
        <v>505</v>
      </c>
      <c r="G124" s="270">
        <f t="shared" si="88"/>
        <v>691</v>
      </c>
      <c r="H124" s="270">
        <f t="shared" si="88"/>
        <v>797</v>
      </c>
      <c r="I124" s="270">
        <f t="shared" si="88"/>
        <v>966</v>
      </c>
      <c r="J124" s="270">
        <f t="shared" si="88"/>
        <v>448</v>
      </c>
      <c r="K124" s="270">
        <f t="shared" si="88"/>
        <v>452</v>
      </c>
      <c r="L124" s="270">
        <f t="shared" si="88"/>
        <v>552</v>
      </c>
      <c r="M124" s="270">
        <f t="shared" si="88"/>
        <v>592</v>
      </c>
      <c r="N124" s="270">
        <f t="shared" si="88"/>
        <v>819</v>
      </c>
      <c r="O124" s="270">
        <f t="shared" si="88"/>
        <v>819</v>
      </c>
      <c r="P124" s="270">
        <f t="shared" si="88"/>
        <v>819</v>
      </c>
      <c r="Q124" s="270">
        <f t="shared" si="88"/>
        <v>819</v>
      </c>
      <c r="R124" s="270">
        <f t="shared" si="88"/>
        <v>819</v>
      </c>
      <c r="S124" s="270">
        <f t="shared" si="86"/>
        <v>819</v>
      </c>
      <c r="T124" s="270">
        <f t="shared" si="86"/>
        <v>819</v>
      </c>
      <c r="U124" s="270">
        <f t="shared" si="86"/>
        <v>819</v>
      </c>
      <c r="V124" s="270">
        <f t="shared" si="86"/>
        <v>819</v>
      </c>
      <c r="W124" s="270">
        <f t="shared" si="86"/>
        <v>819</v>
      </c>
      <c r="X124" s="270">
        <f t="shared" si="86"/>
        <v>819</v>
      </c>
      <c r="Y124" s="270">
        <f t="shared" si="86"/>
        <v>819</v>
      </c>
      <c r="Z124" s="270">
        <f t="shared" si="86"/>
        <v>819</v>
      </c>
      <c r="AA124" s="270">
        <f t="shared" si="86"/>
        <v>819</v>
      </c>
      <c r="AB124" s="270">
        <f t="shared" si="86"/>
        <v>819</v>
      </c>
      <c r="AC124" s="270">
        <f t="shared" si="86"/>
        <v>819</v>
      </c>
      <c r="AD124" s="270">
        <f t="shared" si="87"/>
        <v>819</v>
      </c>
      <c r="AE124" s="270">
        <f t="shared" si="90"/>
        <v>819</v>
      </c>
      <c r="AF124" s="270">
        <f t="shared" si="89"/>
        <v>819</v>
      </c>
      <c r="AG124" s="270">
        <f t="shared" si="89"/>
        <v>819</v>
      </c>
      <c r="AH124" s="270">
        <f t="shared" si="89"/>
        <v>819</v>
      </c>
      <c r="AI124" s="270">
        <f t="shared" si="89"/>
        <v>819</v>
      </c>
      <c r="AJ124" s="270">
        <f t="shared" si="89"/>
        <v>819</v>
      </c>
      <c r="AK124" s="270">
        <f t="shared" si="89"/>
        <v>819</v>
      </c>
      <c r="AL124" s="270">
        <f t="shared" si="89"/>
        <v>819</v>
      </c>
      <c r="AM124" s="270">
        <f t="shared" si="89"/>
        <v>819</v>
      </c>
    </row>
    <row r="125" spans="2:39" ht="15.75" thickBot="1" x14ac:dyDescent="0.35">
      <c r="B125" s="56" t="str">
        <f>input_names!$B$3</f>
        <v>benzine</v>
      </c>
      <c r="C125" s="61">
        <v>77</v>
      </c>
      <c r="D125" s="270">
        <f t="shared" si="88"/>
        <v>637</v>
      </c>
      <c r="E125" s="270">
        <f t="shared" si="88"/>
        <v>637</v>
      </c>
      <c r="F125" s="270">
        <f t="shared" si="88"/>
        <v>570</v>
      </c>
      <c r="G125" s="270">
        <f t="shared" si="88"/>
        <v>754</v>
      </c>
      <c r="H125" s="270">
        <f t="shared" si="88"/>
        <v>856</v>
      </c>
      <c r="I125" s="270">
        <f t="shared" si="88"/>
        <v>1024</v>
      </c>
      <c r="J125" s="270">
        <f t="shared" si="88"/>
        <v>449</v>
      </c>
      <c r="K125" s="270">
        <f t="shared" si="88"/>
        <v>453</v>
      </c>
      <c r="L125" s="270">
        <f t="shared" si="88"/>
        <v>554</v>
      </c>
      <c r="M125" s="270">
        <f t="shared" si="88"/>
        <v>594</v>
      </c>
      <c r="N125" s="270">
        <f t="shared" si="88"/>
        <v>821</v>
      </c>
      <c r="O125" s="270">
        <f t="shared" si="88"/>
        <v>821</v>
      </c>
      <c r="P125" s="270">
        <f t="shared" si="88"/>
        <v>821</v>
      </c>
      <c r="Q125" s="270">
        <f t="shared" si="88"/>
        <v>821</v>
      </c>
      <c r="R125" s="270">
        <f t="shared" si="88"/>
        <v>821</v>
      </c>
      <c r="S125" s="270">
        <f t="shared" si="88"/>
        <v>821</v>
      </c>
      <c r="T125" s="270">
        <f t="shared" ref="T125:AC150" si="91">+MIN(MAX(0,$C125-T$11),T$12-T$11)*T$17
+MIN(MAX(0,$C125-T$12),T$13-T$12)*T$18
+MIN(MAX(0,$C125-T$13),T$14-T$13)*T$19
+MIN(MAX(0,$C125-T$14),T$15-T$14)*T$20
+MAX(0,$C125-T$15)*T$21
+T$26</f>
        <v>821</v>
      </c>
      <c r="U125" s="270">
        <f t="shared" si="91"/>
        <v>821</v>
      </c>
      <c r="V125" s="270">
        <f t="shared" si="91"/>
        <v>821</v>
      </c>
      <c r="W125" s="270">
        <f t="shared" si="91"/>
        <v>821</v>
      </c>
      <c r="X125" s="270">
        <f t="shared" si="91"/>
        <v>821</v>
      </c>
      <c r="Y125" s="270">
        <f t="shared" si="91"/>
        <v>821</v>
      </c>
      <c r="Z125" s="270">
        <f t="shared" si="91"/>
        <v>821</v>
      </c>
      <c r="AA125" s="270">
        <f t="shared" si="91"/>
        <v>821</v>
      </c>
      <c r="AB125" s="270">
        <f t="shared" si="91"/>
        <v>821</v>
      </c>
      <c r="AC125" s="270">
        <f t="shared" si="91"/>
        <v>821</v>
      </c>
      <c r="AD125" s="270">
        <f t="shared" si="87"/>
        <v>821</v>
      </c>
      <c r="AE125" s="270">
        <f t="shared" si="90"/>
        <v>821</v>
      </c>
      <c r="AF125" s="270">
        <f t="shared" si="89"/>
        <v>821</v>
      </c>
      <c r="AG125" s="270">
        <f t="shared" si="89"/>
        <v>821</v>
      </c>
      <c r="AH125" s="270">
        <f t="shared" si="89"/>
        <v>821</v>
      </c>
      <c r="AI125" s="270">
        <f t="shared" si="89"/>
        <v>821</v>
      </c>
      <c r="AJ125" s="270">
        <f t="shared" si="89"/>
        <v>821</v>
      </c>
      <c r="AK125" s="270">
        <f t="shared" si="89"/>
        <v>821</v>
      </c>
      <c r="AL125" s="270">
        <f t="shared" si="89"/>
        <v>821</v>
      </c>
      <c r="AM125" s="270">
        <f t="shared" si="89"/>
        <v>821</v>
      </c>
    </row>
    <row r="126" spans="2:39" ht="15.75" thickBot="1" x14ac:dyDescent="0.35">
      <c r="B126" s="56" t="str">
        <f>input_names!$B$3</f>
        <v>benzine</v>
      </c>
      <c r="C126" s="61">
        <v>78</v>
      </c>
      <c r="D126" s="270">
        <f t="shared" si="88"/>
        <v>643</v>
      </c>
      <c r="E126" s="270">
        <f t="shared" si="88"/>
        <v>643</v>
      </c>
      <c r="F126" s="270">
        <f t="shared" si="88"/>
        <v>635</v>
      </c>
      <c r="G126" s="270">
        <f t="shared" si="88"/>
        <v>817</v>
      </c>
      <c r="H126" s="270">
        <f t="shared" si="88"/>
        <v>915</v>
      </c>
      <c r="I126" s="270">
        <f t="shared" si="88"/>
        <v>1082</v>
      </c>
      <c r="J126" s="270">
        <f t="shared" si="88"/>
        <v>450</v>
      </c>
      <c r="K126" s="270">
        <f t="shared" si="88"/>
        <v>454</v>
      </c>
      <c r="L126" s="270">
        <f t="shared" si="88"/>
        <v>556</v>
      </c>
      <c r="M126" s="270">
        <f t="shared" si="88"/>
        <v>596</v>
      </c>
      <c r="N126" s="270">
        <f t="shared" si="88"/>
        <v>823</v>
      </c>
      <c r="O126" s="270">
        <f t="shared" si="88"/>
        <v>823</v>
      </c>
      <c r="P126" s="270">
        <f t="shared" si="88"/>
        <v>823</v>
      </c>
      <c r="Q126" s="270">
        <f t="shared" si="88"/>
        <v>823</v>
      </c>
      <c r="R126" s="270">
        <f t="shared" si="88"/>
        <v>823</v>
      </c>
      <c r="S126" s="270">
        <f t="shared" si="88"/>
        <v>823</v>
      </c>
      <c r="T126" s="270">
        <f t="shared" si="91"/>
        <v>823</v>
      </c>
      <c r="U126" s="270">
        <f t="shared" si="91"/>
        <v>823</v>
      </c>
      <c r="V126" s="270">
        <f t="shared" si="91"/>
        <v>823</v>
      </c>
      <c r="W126" s="270">
        <f t="shared" si="91"/>
        <v>823</v>
      </c>
      <c r="X126" s="270">
        <f t="shared" si="91"/>
        <v>823</v>
      </c>
      <c r="Y126" s="270">
        <f t="shared" si="91"/>
        <v>823</v>
      </c>
      <c r="Z126" s="270">
        <f t="shared" si="91"/>
        <v>823</v>
      </c>
      <c r="AA126" s="270">
        <f t="shared" si="91"/>
        <v>823</v>
      </c>
      <c r="AB126" s="270">
        <f t="shared" si="91"/>
        <v>823</v>
      </c>
      <c r="AC126" s="270">
        <f t="shared" si="91"/>
        <v>823</v>
      </c>
      <c r="AD126" s="270">
        <f t="shared" si="87"/>
        <v>823</v>
      </c>
      <c r="AE126" s="270">
        <f t="shared" si="90"/>
        <v>823</v>
      </c>
      <c r="AF126" s="270">
        <f t="shared" si="89"/>
        <v>823</v>
      </c>
      <c r="AG126" s="270">
        <f t="shared" si="89"/>
        <v>823</v>
      </c>
      <c r="AH126" s="270">
        <f t="shared" si="89"/>
        <v>823</v>
      </c>
      <c r="AI126" s="270">
        <f t="shared" si="89"/>
        <v>823</v>
      </c>
      <c r="AJ126" s="270">
        <f t="shared" si="89"/>
        <v>823</v>
      </c>
      <c r="AK126" s="270">
        <f t="shared" si="89"/>
        <v>823</v>
      </c>
      <c r="AL126" s="270">
        <f t="shared" si="89"/>
        <v>823</v>
      </c>
      <c r="AM126" s="270">
        <f t="shared" si="89"/>
        <v>823</v>
      </c>
    </row>
    <row r="127" spans="2:39" ht="15.75" thickBot="1" x14ac:dyDescent="0.35">
      <c r="B127" s="56" t="str">
        <f>input_names!$B$3</f>
        <v>benzine</v>
      </c>
      <c r="C127" s="61">
        <v>79</v>
      </c>
      <c r="D127" s="270">
        <f t="shared" si="88"/>
        <v>649</v>
      </c>
      <c r="E127" s="270">
        <f t="shared" si="88"/>
        <v>649</v>
      </c>
      <c r="F127" s="270">
        <f t="shared" si="88"/>
        <v>700</v>
      </c>
      <c r="G127" s="270">
        <f t="shared" si="88"/>
        <v>880</v>
      </c>
      <c r="H127" s="270">
        <f t="shared" si="88"/>
        <v>974</v>
      </c>
      <c r="I127" s="270">
        <f t="shared" si="88"/>
        <v>1140</v>
      </c>
      <c r="J127" s="270">
        <f t="shared" si="88"/>
        <v>451</v>
      </c>
      <c r="K127" s="270">
        <f t="shared" si="88"/>
        <v>455</v>
      </c>
      <c r="L127" s="270">
        <f t="shared" si="88"/>
        <v>558</v>
      </c>
      <c r="M127" s="270">
        <f t="shared" si="88"/>
        <v>598</v>
      </c>
      <c r="N127" s="270">
        <f t="shared" si="88"/>
        <v>825</v>
      </c>
      <c r="O127" s="270">
        <f t="shared" si="88"/>
        <v>825</v>
      </c>
      <c r="P127" s="270">
        <f t="shared" si="88"/>
        <v>825</v>
      </c>
      <c r="Q127" s="270">
        <f t="shared" si="88"/>
        <v>825</v>
      </c>
      <c r="R127" s="270">
        <f t="shared" si="88"/>
        <v>825</v>
      </c>
      <c r="S127" s="270">
        <f t="shared" si="88"/>
        <v>825</v>
      </c>
      <c r="T127" s="270">
        <f t="shared" si="91"/>
        <v>825</v>
      </c>
      <c r="U127" s="270">
        <f t="shared" si="91"/>
        <v>825</v>
      </c>
      <c r="V127" s="270">
        <f t="shared" si="91"/>
        <v>825</v>
      </c>
      <c r="W127" s="270">
        <f t="shared" si="91"/>
        <v>825</v>
      </c>
      <c r="X127" s="270">
        <f t="shared" si="91"/>
        <v>825</v>
      </c>
      <c r="Y127" s="270">
        <f t="shared" si="91"/>
        <v>825</v>
      </c>
      <c r="Z127" s="270">
        <f t="shared" si="91"/>
        <v>825</v>
      </c>
      <c r="AA127" s="270">
        <f t="shared" si="91"/>
        <v>825</v>
      </c>
      <c r="AB127" s="270">
        <f t="shared" si="91"/>
        <v>825</v>
      </c>
      <c r="AC127" s="270">
        <f t="shared" si="91"/>
        <v>825</v>
      </c>
      <c r="AD127" s="270">
        <f t="shared" si="87"/>
        <v>825</v>
      </c>
      <c r="AE127" s="270">
        <f t="shared" si="90"/>
        <v>825</v>
      </c>
      <c r="AF127" s="270">
        <f t="shared" si="89"/>
        <v>825</v>
      </c>
      <c r="AG127" s="270">
        <f t="shared" si="89"/>
        <v>825</v>
      </c>
      <c r="AH127" s="270">
        <f t="shared" si="89"/>
        <v>825</v>
      </c>
      <c r="AI127" s="270">
        <f t="shared" si="89"/>
        <v>825</v>
      </c>
      <c r="AJ127" s="270">
        <f t="shared" si="89"/>
        <v>825</v>
      </c>
      <c r="AK127" s="270">
        <f t="shared" si="89"/>
        <v>825</v>
      </c>
      <c r="AL127" s="270">
        <f t="shared" si="89"/>
        <v>825</v>
      </c>
      <c r="AM127" s="270">
        <f t="shared" si="89"/>
        <v>825</v>
      </c>
    </row>
    <row r="128" spans="2:39" ht="15.75" thickBot="1" x14ac:dyDescent="0.35">
      <c r="B128" s="56" t="str">
        <f>input_names!$B$3</f>
        <v>benzine</v>
      </c>
      <c r="C128" s="61">
        <v>80</v>
      </c>
      <c r="D128" s="270">
        <f t="shared" ref="D128:S143" si="92">+MIN(MAX(0,$C128-D$11),D$12-D$11)*D$17
+MIN(MAX(0,$C128-D$12),D$13-D$12)*D$18
+MIN(MAX(0,$C128-D$13),D$14-D$13)*D$19
+MIN(MAX(0,$C128-D$14),D$15-D$14)*D$20
+MAX(0,$C128-D$15)*D$21
+D$26</f>
        <v>655</v>
      </c>
      <c r="E128" s="270">
        <f t="shared" si="92"/>
        <v>718</v>
      </c>
      <c r="F128" s="270">
        <f t="shared" si="92"/>
        <v>765</v>
      </c>
      <c r="G128" s="270">
        <f t="shared" si="92"/>
        <v>943</v>
      </c>
      <c r="H128" s="270">
        <f t="shared" si="92"/>
        <v>1033</v>
      </c>
      <c r="I128" s="270">
        <f t="shared" si="92"/>
        <v>1198</v>
      </c>
      <c r="J128" s="270">
        <f t="shared" si="92"/>
        <v>452</v>
      </c>
      <c r="K128" s="270">
        <f t="shared" si="92"/>
        <v>456</v>
      </c>
      <c r="L128" s="270">
        <f t="shared" si="92"/>
        <v>560</v>
      </c>
      <c r="M128" s="270">
        <f t="shared" si="92"/>
        <v>600</v>
      </c>
      <c r="N128" s="270">
        <f t="shared" si="92"/>
        <v>904</v>
      </c>
      <c r="O128" s="270">
        <f t="shared" si="92"/>
        <v>904</v>
      </c>
      <c r="P128" s="270">
        <f t="shared" si="92"/>
        <v>904</v>
      </c>
      <c r="Q128" s="270">
        <f t="shared" si="92"/>
        <v>904</v>
      </c>
      <c r="R128" s="270">
        <f t="shared" si="92"/>
        <v>904</v>
      </c>
      <c r="S128" s="270">
        <f t="shared" si="92"/>
        <v>904</v>
      </c>
      <c r="T128" s="270">
        <f t="shared" si="91"/>
        <v>904</v>
      </c>
      <c r="U128" s="270">
        <f t="shared" si="91"/>
        <v>904</v>
      </c>
      <c r="V128" s="270">
        <f t="shared" si="91"/>
        <v>904</v>
      </c>
      <c r="W128" s="270">
        <f t="shared" si="91"/>
        <v>904</v>
      </c>
      <c r="X128" s="270">
        <f t="shared" si="91"/>
        <v>904</v>
      </c>
      <c r="Y128" s="270">
        <f t="shared" si="91"/>
        <v>904</v>
      </c>
      <c r="Z128" s="270">
        <f t="shared" si="91"/>
        <v>904</v>
      </c>
      <c r="AA128" s="270">
        <f t="shared" si="91"/>
        <v>904</v>
      </c>
      <c r="AB128" s="270">
        <f t="shared" si="91"/>
        <v>904</v>
      </c>
      <c r="AC128" s="270">
        <f t="shared" si="91"/>
        <v>904</v>
      </c>
      <c r="AD128" s="270">
        <f t="shared" si="87"/>
        <v>904</v>
      </c>
      <c r="AE128" s="270">
        <f t="shared" si="90"/>
        <v>904</v>
      </c>
      <c r="AF128" s="270">
        <f t="shared" si="89"/>
        <v>904</v>
      </c>
      <c r="AG128" s="270">
        <f t="shared" si="89"/>
        <v>904</v>
      </c>
      <c r="AH128" s="270">
        <f t="shared" si="89"/>
        <v>904</v>
      </c>
      <c r="AI128" s="270">
        <f t="shared" si="89"/>
        <v>904</v>
      </c>
      <c r="AJ128" s="270">
        <f t="shared" si="89"/>
        <v>904</v>
      </c>
      <c r="AK128" s="270">
        <f t="shared" si="89"/>
        <v>904</v>
      </c>
      <c r="AL128" s="270">
        <f t="shared" si="89"/>
        <v>904</v>
      </c>
      <c r="AM128" s="270">
        <f t="shared" si="89"/>
        <v>904</v>
      </c>
    </row>
    <row r="129" spans="2:39" ht="15.75" thickBot="1" x14ac:dyDescent="0.35">
      <c r="B129" s="56" t="str">
        <f>input_names!$B$3</f>
        <v>benzine</v>
      </c>
      <c r="C129" s="61">
        <v>81</v>
      </c>
      <c r="D129" s="270">
        <f t="shared" si="92"/>
        <v>661</v>
      </c>
      <c r="E129" s="270">
        <f t="shared" si="92"/>
        <v>787</v>
      </c>
      <c r="F129" s="270">
        <f t="shared" si="92"/>
        <v>830</v>
      </c>
      <c r="G129" s="270">
        <f t="shared" si="92"/>
        <v>1006</v>
      </c>
      <c r="H129" s="270">
        <f t="shared" si="92"/>
        <v>1092</v>
      </c>
      <c r="I129" s="270">
        <f t="shared" si="92"/>
        <v>1256</v>
      </c>
      <c r="J129" s="270">
        <f t="shared" si="92"/>
        <v>453</v>
      </c>
      <c r="K129" s="270">
        <f t="shared" si="92"/>
        <v>457</v>
      </c>
      <c r="L129" s="270">
        <f t="shared" si="92"/>
        <v>562</v>
      </c>
      <c r="M129" s="270">
        <f t="shared" si="92"/>
        <v>676</v>
      </c>
      <c r="N129" s="270">
        <f t="shared" si="92"/>
        <v>983</v>
      </c>
      <c r="O129" s="270">
        <f t="shared" si="92"/>
        <v>983</v>
      </c>
      <c r="P129" s="270">
        <f t="shared" si="92"/>
        <v>983</v>
      </c>
      <c r="Q129" s="270">
        <f t="shared" si="92"/>
        <v>983</v>
      </c>
      <c r="R129" s="270">
        <f t="shared" si="92"/>
        <v>983</v>
      </c>
      <c r="S129" s="270">
        <f t="shared" si="92"/>
        <v>983</v>
      </c>
      <c r="T129" s="270">
        <f t="shared" si="91"/>
        <v>983</v>
      </c>
      <c r="U129" s="270">
        <f t="shared" si="91"/>
        <v>983</v>
      </c>
      <c r="V129" s="270">
        <f t="shared" si="91"/>
        <v>983</v>
      </c>
      <c r="W129" s="270">
        <f t="shared" si="91"/>
        <v>983</v>
      </c>
      <c r="X129" s="270">
        <f t="shared" si="91"/>
        <v>983</v>
      </c>
      <c r="Y129" s="270">
        <f t="shared" si="91"/>
        <v>983</v>
      </c>
      <c r="Z129" s="270">
        <f t="shared" si="91"/>
        <v>983</v>
      </c>
      <c r="AA129" s="270">
        <f t="shared" si="91"/>
        <v>983</v>
      </c>
      <c r="AB129" s="270">
        <f t="shared" si="91"/>
        <v>983</v>
      </c>
      <c r="AC129" s="270">
        <f t="shared" si="91"/>
        <v>983</v>
      </c>
      <c r="AD129" s="270">
        <f t="shared" si="87"/>
        <v>983</v>
      </c>
      <c r="AE129" s="270">
        <f t="shared" si="90"/>
        <v>983</v>
      </c>
      <c r="AF129" s="270">
        <f t="shared" si="89"/>
        <v>983</v>
      </c>
      <c r="AG129" s="270">
        <f t="shared" si="89"/>
        <v>983</v>
      </c>
      <c r="AH129" s="270">
        <f t="shared" si="89"/>
        <v>983</v>
      </c>
      <c r="AI129" s="270">
        <f t="shared" si="89"/>
        <v>983</v>
      </c>
      <c r="AJ129" s="270">
        <f t="shared" si="89"/>
        <v>983</v>
      </c>
      <c r="AK129" s="270">
        <f t="shared" si="89"/>
        <v>983</v>
      </c>
      <c r="AL129" s="270">
        <f t="shared" si="89"/>
        <v>983</v>
      </c>
      <c r="AM129" s="270">
        <f t="shared" si="89"/>
        <v>983</v>
      </c>
    </row>
    <row r="130" spans="2:39" ht="15.75" thickBot="1" x14ac:dyDescent="0.35">
      <c r="B130" s="56" t="str">
        <f>input_names!$B$3</f>
        <v>benzine</v>
      </c>
      <c r="C130" s="61">
        <v>82</v>
      </c>
      <c r="D130" s="270">
        <f t="shared" si="92"/>
        <v>667</v>
      </c>
      <c r="E130" s="270">
        <f t="shared" si="92"/>
        <v>856</v>
      </c>
      <c r="F130" s="270">
        <f t="shared" si="92"/>
        <v>895</v>
      </c>
      <c r="G130" s="270">
        <f t="shared" si="92"/>
        <v>1069</v>
      </c>
      <c r="H130" s="270">
        <f t="shared" si="92"/>
        <v>1151</v>
      </c>
      <c r="I130" s="270">
        <f t="shared" si="92"/>
        <v>1314</v>
      </c>
      <c r="J130" s="270">
        <f t="shared" si="92"/>
        <v>454</v>
      </c>
      <c r="K130" s="270">
        <f t="shared" si="92"/>
        <v>458</v>
      </c>
      <c r="L130" s="270">
        <f t="shared" si="92"/>
        <v>564</v>
      </c>
      <c r="M130" s="270">
        <f t="shared" si="92"/>
        <v>752</v>
      </c>
      <c r="N130" s="270">
        <f t="shared" si="92"/>
        <v>1062</v>
      </c>
      <c r="O130" s="270">
        <f t="shared" si="92"/>
        <v>1062</v>
      </c>
      <c r="P130" s="270">
        <f t="shared" si="92"/>
        <v>1062</v>
      </c>
      <c r="Q130" s="270">
        <f t="shared" si="92"/>
        <v>1062</v>
      </c>
      <c r="R130" s="270">
        <f t="shared" si="92"/>
        <v>1062</v>
      </c>
      <c r="S130" s="270">
        <f t="shared" si="92"/>
        <v>1062</v>
      </c>
      <c r="T130" s="270">
        <f t="shared" si="91"/>
        <v>1062</v>
      </c>
      <c r="U130" s="270">
        <f t="shared" si="91"/>
        <v>1062</v>
      </c>
      <c r="V130" s="270">
        <f t="shared" si="91"/>
        <v>1062</v>
      </c>
      <c r="W130" s="270">
        <f t="shared" si="91"/>
        <v>1062</v>
      </c>
      <c r="X130" s="270">
        <f t="shared" si="91"/>
        <v>1062</v>
      </c>
      <c r="Y130" s="270">
        <f t="shared" si="91"/>
        <v>1062</v>
      </c>
      <c r="Z130" s="270">
        <f t="shared" si="91"/>
        <v>1062</v>
      </c>
      <c r="AA130" s="270">
        <f t="shared" si="91"/>
        <v>1062</v>
      </c>
      <c r="AB130" s="270">
        <f t="shared" si="91"/>
        <v>1062</v>
      </c>
      <c r="AC130" s="270">
        <f t="shared" si="91"/>
        <v>1062</v>
      </c>
      <c r="AD130" s="270">
        <f t="shared" si="87"/>
        <v>1062</v>
      </c>
      <c r="AE130" s="270">
        <f t="shared" si="90"/>
        <v>1062</v>
      </c>
      <c r="AF130" s="270">
        <f t="shared" si="89"/>
        <v>1062</v>
      </c>
      <c r="AG130" s="270">
        <f t="shared" si="89"/>
        <v>1062</v>
      </c>
      <c r="AH130" s="270">
        <f t="shared" si="89"/>
        <v>1062</v>
      </c>
      <c r="AI130" s="270">
        <f t="shared" si="89"/>
        <v>1062</v>
      </c>
      <c r="AJ130" s="270">
        <f t="shared" si="89"/>
        <v>1062</v>
      </c>
      <c r="AK130" s="270">
        <f t="shared" si="89"/>
        <v>1062</v>
      </c>
      <c r="AL130" s="270">
        <f t="shared" si="89"/>
        <v>1062</v>
      </c>
      <c r="AM130" s="270">
        <f t="shared" si="89"/>
        <v>1062</v>
      </c>
    </row>
    <row r="131" spans="2:39" ht="15.75" thickBot="1" x14ac:dyDescent="0.35">
      <c r="B131" s="56" t="str">
        <f>input_names!$B$3</f>
        <v>benzine</v>
      </c>
      <c r="C131" s="61">
        <v>83</v>
      </c>
      <c r="D131" s="270">
        <f t="shared" si="92"/>
        <v>736</v>
      </c>
      <c r="E131" s="270">
        <f t="shared" si="92"/>
        <v>925</v>
      </c>
      <c r="F131" s="270">
        <f t="shared" si="92"/>
        <v>960</v>
      </c>
      <c r="G131" s="270">
        <f t="shared" si="92"/>
        <v>1132</v>
      </c>
      <c r="H131" s="270">
        <f t="shared" si="92"/>
        <v>1210</v>
      </c>
      <c r="I131" s="270">
        <f t="shared" si="92"/>
        <v>1372</v>
      </c>
      <c r="J131" s="270">
        <f t="shared" si="92"/>
        <v>455</v>
      </c>
      <c r="K131" s="270">
        <f t="shared" si="92"/>
        <v>459</v>
      </c>
      <c r="L131" s="270">
        <f t="shared" si="92"/>
        <v>632</v>
      </c>
      <c r="M131" s="270">
        <f t="shared" si="92"/>
        <v>828</v>
      </c>
      <c r="N131" s="270">
        <f t="shared" si="92"/>
        <v>1141</v>
      </c>
      <c r="O131" s="270">
        <f t="shared" si="92"/>
        <v>1141</v>
      </c>
      <c r="P131" s="270">
        <f t="shared" si="92"/>
        <v>1141</v>
      </c>
      <c r="Q131" s="270">
        <f t="shared" si="92"/>
        <v>1141</v>
      </c>
      <c r="R131" s="270">
        <f t="shared" si="92"/>
        <v>1141</v>
      </c>
      <c r="S131" s="270">
        <f t="shared" si="92"/>
        <v>1141</v>
      </c>
      <c r="T131" s="270">
        <f t="shared" si="91"/>
        <v>1141</v>
      </c>
      <c r="U131" s="270">
        <f t="shared" si="91"/>
        <v>1141</v>
      </c>
      <c r="V131" s="270">
        <f t="shared" si="91"/>
        <v>1141</v>
      </c>
      <c r="W131" s="270">
        <f t="shared" si="91"/>
        <v>1141</v>
      </c>
      <c r="X131" s="270">
        <f t="shared" si="91"/>
        <v>1141</v>
      </c>
      <c r="Y131" s="270">
        <f t="shared" si="91"/>
        <v>1141</v>
      </c>
      <c r="Z131" s="270">
        <f t="shared" si="91"/>
        <v>1141</v>
      </c>
      <c r="AA131" s="270">
        <f t="shared" si="91"/>
        <v>1141</v>
      </c>
      <c r="AB131" s="270">
        <f t="shared" si="91"/>
        <v>1141</v>
      </c>
      <c r="AC131" s="270">
        <f t="shared" si="91"/>
        <v>1141</v>
      </c>
      <c r="AD131" s="270">
        <f t="shared" si="87"/>
        <v>1141</v>
      </c>
      <c r="AE131" s="270">
        <f t="shared" si="90"/>
        <v>1141</v>
      </c>
      <c r="AF131" s="270">
        <f t="shared" si="89"/>
        <v>1141</v>
      </c>
      <c r="AG131" s="270">
        <f t="shared" si="89"/>
        <v>1141</v>
      </c>
      <c r="AH131" s="270">
        <f t="shared" si="89"/>
        <v>1141</v>
      </c>
      <c r="AI131" s="270">
        <f t="shared" si="89"/>
        <v>1141</v>
      </c>
      <c r="AJ131" s="270">
        <f t="shared" si="89"/>
        <v>1141</v>
      </c>
      <c r="AK131" s="270">
        <f t="shared" si="89"/>
        <v>1141</v>
      </c>
      <c r="AL131" s="270">
        <f t="shared" si="89"/>
        <v>1141</v>
      </c>
      <c r="AM131" s="270">
        <f t="shared" si="89"/>
        <v>1141</v>
      </c>
    </row>
    <row r="132" spans="2:39" ht="15.75" thickBot="1" x14ac:dyDescent="0.35">
      <c r="B132" s="56" t="str">
        <f>input_names!$B$3</f>
        <v>benzine</v>
      </c>
      <c r="C132" s="61">
        <v>84</v>
      </c>
      <c r="D132" s="270">
        <f t="shared" si="92"/>
        <v>805</v>
      </c>
      <c r="E132" s="270">
        <f t="shared" si="92"/>
        <v>994</v>
      </c>
      <c r="F132" s="270">
        <f t="shared" si="92"/>
        <v>1025</v>
      </c>
      <c r="G132" s="270">
        <f t="shared" si="92"/>
        <v>1195</v>
      </c>
      <c r="H132" s="270">
        <f t="shared" si="92"/>
        <v>1269</v>
      </c>
      <c r="I132" s="270">
        <f t="shared" si="92"/>
        <v>1430</v>
      </c>
      <c r="J132" s="270">
        <f t="shared" si="92"/>
        <v>456</v>
      </c>
      <c r="K132" s="270">
        <f t="shared" si="92"/>
        <v>460</v>
      </c>
      <c r="L132" s="270">
        <f t="shared" si="92"/>
        <v>700</v>
      </c>
      <c r="M132" s="270">
        <f t="shared" si="92"/>
        <v>904</v>
      </c>
      <c r="N132" s="270">
        <f t="shared" si="92"/>
        <v>1220</v>
      </c>
      <c r="O132" s="270">
        <f t="shared" si="92"/>
        <v>1220</v>
      </c>
      <c r="P132" s="270">
        <f t="shared" si="92"/>
        <v>1220</v>
      </c>
      <c r="Q132" s="270">
        <f t="shared" si="92"/>
        <v>1220</v>
      </c>
      <c r="R132" s="270">
        <f t="shared" si="92"/>
        <v>1220</v>
      </c>
      <c r="S132" s="270">
        <f t="shared" si="92"/>
        <v>1220</v>
      </c>
      <c r="T132" s="270">
        <f t="shared" si="91"/>
        <v>1220</v>
      </c>
      <c r="U132" s="270">
        <f t="shared" si="91"/>
        <v>1220</v>
      </c>
      <c r="V132" s="270">
        <f t="shared" si="91"/>
        <v>1220</v>
      </c>
      <c r="W132" s="270">
        <f t="shared" si="91"/>
        <v>1220</v>
      </c>
      <c r="X132" s="270">
        <f t="shared" si="91"/>
        <v>1220</v>
      </c>
      <c r="Y132" s="270">
        <f t="shared" si="91"/>
        <v>1220</v>
      </c>
      <c r="Z132" s="270">
        <f t="shared" si="91"/>
        <v>1220</v>
      </c>
      <c r="AA132" s="270">
        <f t="shared" si="91"/>
        <v>1220</v>
      </c>
      <c r="AB132" s="270">
        <f t="shared" si="91"/>
        <v>1220</v>
      </c>
      <c r="AC132" s="270">
        <f t="shared" si="91"/>
        <v>1220</v>
      </c>
      <c r="AD132" s="270">
        <f t="shared" si="87"/>
        <v>1220</v>
      </c>
      <c r="AE132" s="270">
        <f t="shared" si="90"/>
        <v>1220</v>
      </c>
      <c r="AF132" s="270">
        <f t="shared" si="89"/>
        <v>1220</v>
      </c>
      <c r="AG132" s="270">
        <f t="shared" si="89"/>
        <v>1220</v>
      </c>
      <c r="AH132" s="270">
        <f t="shared" si="89"/>
        <v>1220</v>
      </c>
      <c r="AI132" s="270">
        <f t="shared" si="89"/>
        <v>1220</v>
      </c>
      <c r="AJ132" s="270">
        <f t="shared" si="89"/>
        <v>1220</v>
      </c>
      <c r="AK132" s="270">
        <f t="shared" si="89"/>
        <v>1220</v>
      </c>
      <c r="AL132" s="270">
        <f t="shared" si="89"/>
        <v>1220</v>
      </c>
      <c r="AM132" s="270">
        <f t="shared" si="89"/>
        <v>1220</v>
      </c>
    </row>
    <row r="133" spans="2:39" ht="15.75" thickBot="1" x14ac:dyDescent="0.35">
      <c r="B133" s="56" t="str">
        <f>input_names!$B$3</f>
        <v>benzine</v>
      </c>
      <c r="C133" s="61">
        <v>85</v>
      </c>
      <c r="D133" s="270">
        <f t="shared" si="92"/>
        <v>874</v>
      </c>
      <c r="E133" s="270">
        <f t="shared" si="92"/>
        <v>1063</v>
      </c>
      <c r="F133" s="270">
        <f t="shared" si="92"/>
        <v>1090</v>
      </c>
      <c r="G133" s="270">
        <f t="shared" si="92"/>
        <v>1258</v>
      </c>
      <c r="H133" s="270">
        <f t="shared" si="92"/>
        <v>1328</v>
      </c>
      <c r="I133" s="270">
        <f t="shared" si="92"/>
        <v>1488</v>
      </c>
      <c r="J133" s="270">
        <f t="shared" si="92"/>
        <v>457</v>
      </c>
      <c r="K133" s="270">
        <f t="shared" si="92"/>
        <v>522</v>
      </c>
      <c r="L133" s="270">
        <f t="shared" si="92"/>
        <v>768</v>
      </c>
      <c r="M133" s="270">
        <f t="shared" si="92"/>
        <v>980</v>
      </c>
      <c r="N133" s="270">
        <f t="shared" si="92"/>
        <v>1299</v>
      </c>
      <c r="O133" s="270">
        <f t="shared" si="92"/>
        <v>1299</v>
      </c>
      <c r="P133" s="270">
        <f t="shared" si="92"/>
        <v>1299</v>
      </c>
      <c r="Q133" s="270">
        <f t="shared" si="92"/>
        <v>1299</v>
      </c>
      <c r="R133" s="270">
        <f t="shared" si="92"/>
        <v>1299</v>
      </c>
      <c r="S133" s="270">
        <f t="shared" si="92"/>
        <v>1299</v>
      </c>
      <c r="T133" s="270">
        <f t="shared" si="91"/>
        <v>1299</v>
      </c>
      <c r="U133" s="270">
        <f t="shared" si="91"/>
        <v>1299</v>
      </c>
      <c r="V133" s="270">
        <f t="shared" si="91"/>
        <v>1299</v>
      </c>
      <c r="W133" s="270">
        <f t="shared" si="91"/>
        <v>1299</v>
      </c>
      <c r="X133" s="270">
        <f t="shared" si="91"/>
        <v>1299</v>
      </c>
      <c r="Y133" s="270">
        <f t="shared" si="91"/>
        <v>1299</v>
      </c>
      <c r="Z133" s="270">
        <f t="shared" si="91"/>
        <v>1299</v>
      </c>
      <c r="AA133" s="270">
        <f t="shared" si="91"/>
        <v>1299</v>
      </c>
      <c r="AB133" s="270">
        <f t="shared" si="91"/>
        <v>1299</v>
      </c>
      <c r="AC133" s="270">
        <f t="shared" si="91"/>
        <v>1299</v>
      </c>
      <c r="AD133" s="270">
        <f t="shared" si="87"/>
        <v>1299</v>
      </c>
      <c r="AE133" s="270">
        <f t="shared" si="90"/>
        <v>1299</v>
      </c>
      <c r="AF133" s="270">
        <f t="shared" si="89"/>
        <v>1299</v>
      </c>
      <c r="AG133" s="270">
        <f t="shared" si="89"/>
        <v>1299</v>
      </c>
      <c r="AH133" s="270">
        <f t="shared" si="89"/>
        <v>1299</v>
      </c>
      <c r="AI133" s="270">
        <f t="shared" si="89"/>
        <v>1299</v>
      </c>
      <c r="AJ133" s="270">
        <f t="shared" si="89"/>
        <v>1299</v>
      </c>
      <c r="AK133" s="270">
        <f t="shared" si="89"/>
        <v>1299</v>
      </c>
      <c r="AL133" s="270">
        <f t="shared" si="89"/>
        <v>1299</v>
      </c>
      <c r="AM133" s="270">
        <f t="shared" si="89"/>
        <v>1299</v>
      </c>
    </row>
    <row r="134" spans="2:39" ht="15.75" thickBot="1" x14ac:dyDescent="0.35">
      <c r="B134" s="56" t="str">
        <f>input_names!$B$3</f>
        <v>benzine</v>
      </c>
      <c r="C134" s="61">
        <v>86</v>
      </c>
      <c r="D134" s="270">
        <f t="shared" si="92"/>
        <v>943</v>
      </c>
      <c r="E134" s="270">
        <f t="shared" si="92"/>
        <v>1132</v>
      </c>
      <c r="F134" s="270">
        <f t="shared" si="92"/>
        <v>1155</v>
      </c>
      <c r="G134" s="270">
        <f t="shared" si="92"/>
        <v>1321</v>
      </c>
      <c r="H134" s="270">
        <f t="shared" si="92"/>
        <v>1387</v>
      </c>
      <c r="I134" s="270">
        <f t="shared" si="92"/>
        <v>1546</v>
      </c>
      <c r="J134" s="270">
        <f t="shared" si="92"/>
        <v>458</v>
      </c>
      <c r="K134" s="270">
        <f t="shared" si="92"/>
        <v>584</v>
      </c>
      <c r="L134" s="270">
        <f t="shared" si="92"/>
        <v>836</v>
      </c>
      <c r="M134" s="270">
        <f t="shared" si="92"/>
        <v>1056</v>
      </c>
      <c r="N134" s="270">
        <f t="shared" si="92"/>
        <v>1378</v>
      </c>
      <c r="O134" s="270">
        <f t="shared" si="92"/>
        <v>1378</v>
      </c>
      <c r="P134" s="270">
        <f t="shared" si="92"/>
        <v>1378</v>
      </c>
      <c r="Q134" s="270">
        <f t="shared" si="92"/>
        <v>1378</v>
      </c>
      <c r="R134" s="270">
        <f t="shared" si="92"/>
        <v>1378</v>
      </c>
      <c r="S134" s="270">
        <f t="shared" ref="S134:T165" si="93">+MIN(MAX(0,$C134-S$11),S$12-S$11)*S$17
+MIN(MAX(0,$C134-S$12),S$13-S$12)*S$18
+MIN(MAX(0,$C134-S$13),S$14-S$13)*S$19
+MIN(MAX(0,$C134-S$14),S$15-S$14)*S$20
+MAX(0,$C134-S$15)*S$21
+S$26</f>
        <v>1378</v>
      </c>
      <c r="T134" s="270">
        <f t="shared" si="91"/>
        <v>1378</v>
      </c>
      <c r="U134" s="270">
        <f t="shared" si="91"/>
        <v>1378</v>
      </c>
      <c r="V134" s="270">
        <f t="shared" si="91"/>
        <v>1378</v>
      </c>
      <c r="W134" s="270">
        <f t="shared" si="91"/>
        <v>1378</v>
      </c>
      <c r="X134" s="270">
        <f t="shared" si="91"/>
        <v>1378</v>
      </c>
      <c r="Y134" s="270">
        <f t="shared" si="91"/>
        <v>1378</v>
      </c>
      <c r="Z134" s="270">
        <f t="shared" si="91"/>
        <v>1378</v>
      </c>
      <c r="AA134" s="270">
        <f t="shared" si="91"/>
        <v>1378</v>
      </c>
      <c r="AB134" s="270">
        <f t="shared" si="91"/>
        <v>1378</v>
      </c>
      <c r="AC134" s="270">
        <f t="shared" si="91"/>
        <v>1378</v>
      </c>
      <c r="AD134" s="270">
        <f t="shared" si="87"/>
        <v>1378</v>
      </c>
      <c r="AE134" s="270">
        <f t="shared" si="90"/>
        <v>1378</v>
      </c>
      <c r="AF134" s="270">
        <f t="shared" si="89"/>
        <v>1378</v>
      </c>
      <c r="AG134" s="270">
        <f t="shared" si="89"/>
        <v>1378</v>
      </c>
      <c r="AH134" s="270">
        <f t="shared" si="89"/>
        <v>1378</v>
      </c>
      <c r="AI134" s="270">
        <f t="shared" si="89"/>
        <v>1378</v>
      </c>
      <c r="AJ134" s="270">
        <f t="shared" si="89"/>
        <v>1378</v>
      </c>
      <c r="AK134" s="270">
        <f t="shared" si="89"/>
        <v>1378</v>
      </c>
      <c r="AL134" s="270">
        <f t="shared" si="89"/>
        <v>1378</v>
      </c>
      <c r="AM134" s="270">
        <f t="shared" si="89"/>
        <v>1378</v>
      </c>
    </row>
    <row r="135" spans="2:39" ht="15.75" thickBot="1" x14ac:dyDescent="0.35">
      <c r="B135" s="56" t="str">
        <f>input_names!$B$3</f>
        <v>benzine</v>
      </c>
      <c r="C135" s="61">
        <v>87</v>
      </c>
      <c r="D135" s="270">
        <f t="shared" si="92"/>
        <v>1012</v>
      </c>
      <c r="E135" s="270">
        <f t="shared" si="92"/>
        <v>1201</v>
      </c>
      <c r="F135" s="270">
        <f t="shared" si="92"/>
        <v>1220</v>
      </c>
      <c r="G135" s="270">
        <f t="shared" si="92"/>
        <v>1384</v>
      </c>
      <c r="H135" s="270">
        <f t="shared" si="92"/>
        <v>1446</v>
      </c>
      <c r="I135" s="270">
        <f t="shared" si="92"/>
        <v>1604</v>
      </c>
      <c r="J135" s="270">
        <f t="shared" si="92"/>
        <v>518</v>
      </c>
      <c r="K135" s="270">
        <f t="shared" si="92"/>
        <v>646</v>
      </c>
      <c r="L135" s="270">
        <f t="shared" si="92"/>
        <v>904</v>
      </c>
      <c r="M135" s="270">
        <f t="shared" si="92"/>
        <v>1132</v>
      </c>
      <c r="N135" s="270">
        <f t="shared" si="92"/>
        <v>1457</v>
      </c>
      <c r="O135" s="270">
        <f t="shared" si="92"/>
        <v>1457</v>
      </c>
      <c r="P135" s="270">
        <f t="shared" si="92"/>
        <v>1457</v>
      </c>
      <c r="Q135" s="270">
        <f t="shared" si="92"/>
        <v>1457</v>
      </c>
      <c r="R135" s="270">
        <f t="shared" si="92"/>
        <v>1457</v>
      </c>
      <c r="S135" s="270">
        <f t="shared" si="93"/>
        <v>1457</v>
      </c>
      <c r="T135" s="270">
        <f t="shared" si="91"/>
        <v>1457</v>
      </c>
      <c r="U135" s="270">
        <f t="shared" si="91"/>
        <v>1457</v>
      </c>
      <c r="V135" s="270">
        <f t="shared" si="91"/>
        <v>1457</v>
      </c>
      <c r="W135" s="270">
        <f t="shared" si="91"/>
        <v>1457</v>
      </c>
      <c r="X135" s="270">
        <f t="shared" si="91"/>
        <v>1457</v>
      </c>
      <c r="Y135" s="270">
        <f t="shared" si="91"/>
        <v>1457</v>
      </c>
      <c r="Z135" s="270">
        <f t="shared" si="91"/>
        <v>1457</v>
      </c>
      <c r="AA135" s="270">
        <f t="shared" si="91"/>
        <v>1457</v>
      </c>
      <c r="AB135" s="270">
        <f t="shared" si="91"/>
        <v>1457</v>
      </c>
      <c r="AC135" s="270">
        <f t="shared" si="91"/>
        <v>1457</v>
      </c>
      <c r="AD135" s="270">
        <f t="shared" si="87"/>
        <v>1457</v>
      </c>
      <c r="AE135" s="270">
        <f t="shared" si="90"/>
        <v>1457</v>
      </c>
      <c r="AF135" s="270">
        <f t="shared" si="89"/>
        <v>1457</v>
      </c>
      <c r="AG135" s="270">
        <f t="shared" si="89"/>
        <v>1457</v>
      </c>
      <c r="AH135" s="270">
        <f t="shared" si="89"/>
        <v>1457</v>
      </c>
      <c r="AI135" s="270">
        <f t="shared" si="89"/>
        <v>1457</v>
      </c>
      <c r="AJ135" s="270">
        <f t="shared" si="89"/>
        <v>1457</v>
      </c>
      <c r="AK135" s="270">
        <f t="shared" si="89"/>
        <v>1457</v>
      </c>
      <c r="AL135" s="270">
        <f t="shared" si="89"/>
        <v>1457</v>
      </c>
      <c r="AM135" s="270">
        <f t="shared" si="89"/>
        <v>1457</v>
      </c>
    </row>
    <row r="136" spans="2:39" ht="15.75" thickBot="1" x14ac:dyDescent="0.35">
      <c r="B136" s="56" t="str">
        <f>input_names!$B$3</f>
        <v>benzine</v>
      </c>
      <c r="C136" s="61">
        <v>88</v>
      </c>
      <c r="D136" s="270">
        <f t="shared" si="92"/>
        <v>1081</v>
      </c>
      <c r="E136" s="270">
        <f t="shared" si="92"/>
        <v>1270</v>
      </c>
      <c r="F136" s="270">
        <f t="shared" si="92"/>
        <v>1285</v>
      </c>
      <c r="G136" s="270">
        <f t="shared" si="92"/>
        <v>1447</v>
      </c>
      <c r="H136" s="270">
        <f t="shared" si="92"/>
        <v>1505</v>
      </c>
      <c r="I136" s="270">
        <f t="shared" si="92"/>
        <v>1662</v>
      </c>
      <c r="J136" s="270">
        <f t="shared" si="92"/>
        <v>578</v>
      </c>
      <c r="K136" s="270">
        <f t="shared" si="92"/>
        <v>708</v>
      </c>
      <c r="L136" s="270">
        <f t="shared" si="92"/>
        <v>972</v>
      </c>
      <c r="M136" s="270">
        <f t="shared" si="92"/>
        <v>1208</v>
      </c>
      <c r="N136" s="270">
        <f t="shared" si="92"/>
        <v>1536</v>
      </c>
      <c r="O136" s="270">
        <f t="shared" si="92"/>
        <v>1536</v>
      </c>
      <c r="P136" s="270">
        <f t="shared" si="92"/>
        <v>1536</v>
      </c>
      <c r="Q136" s="270">
        <f t="shared" si="92"/>
        <v>1536</v>
      </c>
      <c r="R136" s="270">
        <f t="shared" si="92"/>
        <v>1536</v>
      </c>
      <c r="S136" s="270">
        <f t="shared" si="93"/>
        <v>1536</v>
      </c>
      <c r="T136" s="270">
        <f t="shared" si="91"/>
        <v>1536</v>
      </c>
      <c r="U136" s="270">
        <f t="shared" si="91"/>
        <v>1536</v>
      </c>
      <c r="V136" s="270">
        <f t="shared" si="91"/>
        <v>1536</v>
      </c>
      <c r="W136" s="270">
        <f t="shared" si="91"/>
        <v>1536</v>
      </c>
      <c r="X136" s="270">
        <f t="shared" si="91"/>
        <v>1536</v>
      </c>
      <c r="Y136" s="270">
        <f t="shared" si="91"/>
        <v>1536</v>
      </c>
      <c r="Z136" s="270">
        <f t="shared" si="91"/>
        <v>1536</v>
      </c>
      <c r="AA136" s="270">
        <f t="shared" si="91"/>
        <v>1536</v>
      </c>
      <c r="AB136" s="270">
        <f t="shared" si="91"/>
        <v>1536</v>
      </c>
      <c r="AC136" s="270">
        <f t="shared" si="91"/>
        <v>1536</v>
      </c>
      <c r="AD136" s="270">
        <f t="shared" si="87"/>
        <v>1536</v>
      </c>
      <c r="AE136" s="270">
        <f t="shared" si="90"/>
        <v>1536</v>
      </c>
      <c r="AF136" s="270">
        <f t="shared" si="89"/>
        <v>1536</v>
      </c>
      <c r="AG136" s="270">
        <f t="shared" si="89"/>
        <v>1536</v>
      </c>
      <c r="AH136" s="270">
        <f t="shared" si="89"/>
        <v>1536</v>
      </c>
      <c r="AI136" s="270">
        <f t="shared" si="89"/>
        <v>1536</v>
      </c>
      <c r="AJ136" s="270">
        <f t="shared" si="89"/>
        <v>1536</v>
      </c>
      <c r="AK136" s="270">
        <f t="shared" si="89"/>
        <v>1536</v>
      </c>
      <c r="AL136" s="270">
        <f t="shared" si="89"/>
        <v>1536</v>
      </c>
      <c r="AM136" s="270">
        <f t="shared" si="89"/>
        <v>1536</v>
      </c>
    </row>
    <row r="137" spans="2:39" ht="15.75" thickBot="1" x14ac:dyDescent="0.35">
      <c r="B137" s="56" t="str">
        <f>input_names!$B$3</f>
        <v>benzine</v>
      </c>
      <c r="C137" s="61">
        <v>89</v>
      </c>
      <c r="D137" s="270">
        <f t="shared" si="92"/>
        <v>1150</v>
      </c>
      <c r="E137" s="270">
        <f t="shared" si="92"/>
        <v>1339</v>
      </c>
      <c r="F137" s="270">
        <f t="shared" si="92"/>
        <v>1350</v>
      </c>
      <c r="G137" s="270">
        <f t="shared" si="92"/>
        <v>1510</v>
      </c>
      <c r="H137" s="270">
        <f t="shared" si="92"/>
        <v>1564</v>
      </c>
      <c r="I137" s="270">
        <f t="shared" si="92"/>
        <v>1720</v>
      </c>
      <c r="J137" s="270">
        <f t="shared" si="92"/>
        <v>638</v>
      </c>
      <c r="K137" s="270">
        <f t="shared" si="92"/>
        <v>770</v>
      </c>
      <c r="L137" s="270">
        <f t="shared" si="92"/>
        <v>1040</v>
      </c>
      <c r="M137" s="270">
        <f t="shared" si="92"/>
        <v>1284</v>
      </c>
      <c r="N137" s="270">
        <f t="shared" si="92"/>
        <v>1615</v>
      </c>
      <c r="O137" s="270">
        <f t="shared" si="92"/>
        <v>1615</v>
      </c>
      <c r="P137" s="270">
        <f t="shared" si="92"/>
        <v>1615</v>
      </c>
      <c r="Q137" s="270">
        <f t="shared" si="92"/>
        <v>1615</v>
      </c>
      <c r="R137" s="270">
        <f t="shared" si="92"/>
        <v>1615</v>
      </c>
      <c r="S137" s="270">
        <f t="shared" si="93"/>
        <v>1615</v>
      </c>
      <c r="T137" s="270">
        <f t="shared" si="91"/>
        <v>1615</v>
      </c>
      <c r="U137" s="270">
        <f t="shared" si="91"/>
        <v>1615</v>
      </c>
      <c r="V137" s="270">
        <f t="shared" si="91"/>
        <v>1615</v>
      </c>
      <c r="W137" s="270">
        <f t="shared" si="91"/>
        <v>1615</v>
      </c>
      <c r="X137" s="270">
        <f t="shared" si="91"/>
        <v>1615</v>
      </c>
      <c r="Y137" s="270">
        <f t="shared" si="91"/>
        <v>1615</v>
      </c>
      <c r="Z137" s="270">
        <f t="shared" si="91"/>
        <v>1615</v>
      </c>
      <c r="AA137" s="270">
        <f t="shared" si="91"/>
        <v>1615</v>
      </c>
      <c r="AB137" s="270">
        <f t="shared" si="91"/>
        <v>1615</v>
      </c>
      <c r="AC137" s="270">
        <f t="shared" si="91"/>
        <v>1615</v>
      </c>
      <c r="AD137" s="270">
        <f t="shared" si="87"/>
        <v>1615</v>
      </c>
      <c r="AE137" s="270">
        <f t="shared" si="90"/>
        <v>1615</v>
      </c>
      <c r="AF137" s="270">
        <f t="shared" si="89"/>
        <v>1615</v>
      </c>
      <c r="AG137" s="270">
        <f t="shared" si="89"/>
        <v>1615</v>
      </c>
      <c r="AH137" s="270">
        <f t="shared" si="89"/>
        <v>1615</v>
      </c>
      <c r="AI137" s="270">
        <f t="shared" si="89"/>
        <v>1615</v>
      </c>
      <c r="AJ137" s="270">
        <f t="shared" si="89"/>
        <v>1615</v>
      </c>
      <c r="AK137" s="270">
        <f t="shared" si="89"/>
        <v>1615</v>
      </c>
      <c r="AL137" s="270">
        <f t="shared" si="89"/>
        <v>1615</v>
      </c>
      <c r="AM137" s="270">
        <f t="shared" si="89"/>
        <v>1615</v>
      </c>
    </row>
    <row r="138" spans="2:39" ht="15.75" thickBot="1" x14ac:dyDescent="0.35">
      <c r="B138" s="56" t="str">
        <f>input_names!$B$3</f>
        <v>benzine</v>
      </c>
      <c r="C138" s="61">
        <v>90</v>
      </c>
      <c r="D138" s="270">
        <f t="shared" si="92"/>
        <v>1219</v>
      </c>
      <c r="E138" s="270">
        <f t="shared" si="92"/>
        <v>1408</v>
      </c>
      <c r="F138" s="270">
        <f t="shared" si="92"/>
        <v>1415</v>
      </c>
      <c r="G138" s="270">
        <f t="shared" si="92"/>
        <v>1573</v>
      </c>
      <c r="H138" s="270">
        <f t="shared" si="92"/>
        <v>1623</v>
      </c>
      <c r="I138" s="270">
        <f t="shared" si="92"/>
        <v>1778</v>
      </c>
      <c r="J138" s="270">
        <f t="shared" si="92"/>
        <v>698</v>
      </c>
      <c r="K138" s="270">
        <f t="shared" si="92"/>
        <v>832</v>
      </c>
      <c r="L138" s="270">
        <f t="shared" si="92"/>
        <v>1108</v>
      </c>
      <c r="M138" s="270">
        <f t="shared" si="92"/>
        <v>1360</v>
      </c>
      <c r="N138" s="270">
        <f t="shared" si="92"/>
        <v>1694</v>
      </c>
      <c r="O138" s="270">
        <f t="shared" si="92"/>
        <v>1694</v>
      </c>
      <c r="P138" s="270">
        <f t="shared" si="92"/>
        <v>1694</v>
      </c>
      <c r="Q138" s="270">
        <f t="shared" si="92"/>
        <v>1694</v>
      </c>
      <c r="R138" s="270">
        <f t="shared" si="92"/>
        <v>1694</v>
      </c>
      <c r="S138" s="270">
        <f t="shared" si="93"/>
        <v>1694</v>
      </c>
      <c r="T138" s="270">
        <f t="shared" si="91"/>
        <v>1694</v>
      </c>
      <c r="U138" s="270">
        <f t="shared" si="91"/>
        <v>1694</v>
      </c>
      <c r="V138" s="270">
        <f t="shared" si="91"/>
        <v>1694</v>
      </c>
      <c r="W138" s="270">
        <f t="shared" si="91"/>
        <v>1694</v>
      </c>
      <c r="X138" s="270">
        <f t="shared" si="91"/>
        <v>1694</v>
      </c>
      <c r="Y138" s="270">
        <f t="shared" si="91"/>
        <v>1694</v>
      </c>
      <c r="Z138" s="270">
        <f t="shared" si="91"/>
        <v>1694</v>
      </c>
      <c r="AA138" s="270">
        <f t="shared" si="91"/>
        <v>1694</v>
      </c>
      <c r="AB138" s="270">
        <f t="shared" si="91"/>
        <v>1694</v>
      </c>
      <c r="AC138" s="270">
        <f t="shared" si="91"/>
        <v>1694</v>
      </c>
      <c r="AD138" s="270">
        <f t="shared" si="87"/>
        <v>1694</v>
      </c>
      <c r="AE138" s="270">
        <f t="shared" si="90"/>
        <v>1694</v>
      </c>
      <c r="AF138" s="270">
        <f t="shared" si="89"/>
        <v>1694</v>
      </c>
      <c r="AG138" s="270">
        <f t="shared" si="89"/>
        <v>1694</v>
      </c>
      <c r="AH138" s="270">
        <f t="shared" si="89"/>
        <v>1694</v>
      </c>
      <c r="AI138" s="270">
        <f t="shared" si="89"/>
        <v>1694</v>
      </c>
      <c r="AJ138" s="270">
        <f t="shared" si="89"/>
        <v>1694</v>
      </c>
      <c r="AK138" s="270">
        <f t="shared" si="89"/>
        <v>1694</v>
      </c>
      <c r="AL138" s="270">
        <f t="shared" si="89"/>
        <v>1694</v>
      </c>
      <c r="AM138" s="270">
        <f t="shared" si="89"/>
        <v>1694</v>
      </c>
    </row>
    <row r="139" spans="2:39" ht="15.75" thickBot="1" x14ac:dyDescent="0.35">
      <c r="B139" s="56" t="str">
        <f>input_names!$B$3</f>
        <v>benzine</v>
      </c>
      <c r="C139" s="61">
        <v>91</v>
      </c>
      <c r="D139" s="270">
        <f t="shared" si="92"/>
        <v>1288</v>
      </c>
      <c r="E139" s="270">
        <f t="shared" si="92"/>
        <v>1477</v>
      </c>
      <c r="F139" s="270">
        <f t="shared" si="92"/>
        <v>1480</v>
      </c>
      <c r="G139" s="270">
        <f t="shared" si="92"/>
        <v>1636</v>
      </c>
      <c r="H139" s="270">
        <f t="shared" si="92"/>
        <v>1682</v>
      </c>
      <c r="I139" s="270">
        <f t="shared" si="92"/>
        <v>1836</v>
      </c>
      <c r="J139" s="270">
        <f t="shared" si="92"/>
        <v>758</v>
      </c>
      <c r="K139" s="270">
        <f t="shared" si="92"/>
        <v>894</v>
      </c>
      <c r="L139" s="270">
        <f t="shared" si="92"/>
        <v>1176</v>
      </c>
      <c r="M139" s="270">
        <f t="shared" si="92"/>
        <v>1436</v>
      </c>
      <c r="N139" s="270">
        <f t="shared" si="92"/>
        <v>1773</v>
      </c>
      <c r="O139" s="270">
        <f t="shared" si="92"/>
        <v>1773</v>
      </c>
      <c r="P139" s="270">
        <f t="shared" si="92"/>
        <v>1773</v>
      </c>
      <c r="Q139" s="270">
        <f t="shared" si="92"/>
        <v>1773</v>
      </c>
      <c r="R139" s="270">
        <f t="shared" si="92"/>
        <v>1773</v>
      </c>
      <c r="S139" s="270">
        <f t="shared" si="93"/>
        <v>1773</v>
      </c>
      <c r="T139" s="270">
        <f t="shared" si="91"/>
        <v>1773</v>
      </c>
      <c r="U139" s="270">
        <f t="shared" si="91"/>
        <v>1773</v>
      </c>
      <c r="V139" s="270">
        <f t="shared" si="91"/>
        <v>1773</v>
      </c>
      <c r="W139" s="270">
        <f t="shared" si="91"/>
        <v>1773</v>
      </c>
      <c r="X139" s="270">
        <f t="shared" si="91"/>
        <v>1773</v>
      </c>
      <c r="Y139" s="270">
        <f t="shared" si="91"/>
        <v>1773</v>
      </c>
      <c r="Z139" s="270">
        <f t="shared" si="91"/>
        <v>1773</v>
      </c>
      <c r="AA139" s="270">
        <f t="shared" si="91"/>
        <v>1773</v>
      </c>
      <c r="AB139" s="270">
        <f t="shared" si="91"/>
        <v>1773</v>
      </c>
      <c r="AC139" s="270">
        <f t="shared" si="91"/>
        <v>1773</v>
      </c>
      <c r="AD139" s="270">
        <f t="shared" si="87"/>
        <v>1773</v>
      </c>
      <c r="AE139" s="270">
        <f t="shared" si="90"/>
        <v>1773</v>
      </c>
      <c r="AF139" s="270">
        <f t="shared" si="89"/>
        <v>1773</v>
      </c>
      <c r="AG139" s="270">
        <f t="shared" si="89"/>
        <v>1773</v>
      </c>
      <c r="AH139" s="270">
        <f t="shared" si="89"/>
        <v>1773</v>
      </c>
      <c r="AI139" s="270">
        <f t="shared" si="89"/>
        <v>1773</v>
      </c>
      <c r="AJ139" s="270">
        <f t="shared" si="89"/>
        <v>1773</v>
      </c>
      <c r="AK139" s="270">
        <f t="shared" si="89"/>
        <v>1773</v>
      </c>
      <c r="AL139" s="270">
        <f t="shared" si="89"/>
        <v>1773</v>
      </c>
      <c r="AM139" s="270">
        <f t="shared" si="89"/>
        <v>1773</v>
      </c>
    </row>
    <row r="140" spans="2:39" ht="15.75" thickBot="1" x14ac:dyDescent="0.35">
      <c r="B140" s="56" t="str">
        <f>input_names!$B$3</f>
        <v>benzine</v>
      </c>
      <c r="C140" s="61">
        <v>92</v>
      </c>
      <c r="D140" s="270">
        <f t="shared" si="92"/>
        <v>1357</v>
      </c>
      <c r="E140" s="270">
        <f t="shared" si="92"/>
        <v>1546</v>
      </c>
      <c r="F140" s="270">
        <f t="shared" si="92"/>
        <v>1545</v>
      </c>
      <c r="G140" s="270">
        <f t="shared" si="92"/>
        <v>1699</v>
      </c>
      <c r="H140" s="270">
        <f t="shared" si="92"/>
        <v>1741</v>
      </c>
      <c r="I140" s="270">
        <f t="shared" si="92"/>
        <v>1963</v>
      </c>
      <c r="J140" s="270">
        <f t="shared" si="92"/>
        <v>818</v>
      </c>
      <c r="K140" s="270">
        <f t="shared" si="92"/>
        <v>956</v>
      </c>
      <c r="L140" s="270">
        <f t="shared" si="92"/>
        <v>1244</v>
      </c>
      <c r="M140" s="270">
        <f t="shared" si="92"/>
        <v>1512</v>
      </c>
      <c r="N140" s="270">
        <f t="shared" si="92"/>
        <v>1852</v>
      </c>
      <c r="O140" s="270">
        <f t="shared" si="92"/>
        <v>1852</v>
      </c>
      <c r="P140" s="270">
        <f t="shared" si="92"/>
        <v>1852</v>
      </c>
      <c r="Q140" s="270">
        <f t="shared" si="92"/>
        <v>1852</v>
      </c>
      <c r="R140" s="270">
        <f t="shared" si="92"/>
        <v>1852</v>
      </c>
      <c r="S140" s="270">
        <f t="shared" si="93"/>
        <v>1852</v>
      </c>
      <c r="T140" s="270">
        <f t="shared" si="91"/>
        <v>1852</v>
      </c>
      <c r="U140" s="270">
        <f t="shared" si="91"/>
        <v>1852</v>
      </c>
      <c r="V140" s="270">
        <f t="shared" si="91"/>
        <v>1852</v>
      </c>
      <c r="W140" s="270">
        <f t="shared" si="91"/>
        <v>1852</v>
      </c>
      <c r="X140" s="270">
        <f t="shared" si="91"/>
        <v>1852</v>
      </c>
      <c r="Y140" s="270">
        <f t="shared" si="91"/>
        <v>1852</v>
      </c>
      <c r="Z140" s="270">
        <f t="shared" si="91"/>
        <v>1852</v>
      </c>
      <c r="AA140" s="270">
        <f t="shared" si="91"/>
        <v>1852</v>
      </c>
      <c r="AB140" s="270">
        <f t="shared" si="91"/>
        <v>1852</v>
      </c>
      <c r="AC140" s="270">
        <f t="shared" si="91"/>
        <v>1852</v>
      </c>
      <c r="AD140" s="270">
        <f t="shared" si="87"/>
        <v>1852</v>
      </c>
      <c r="AE140" s="270">
        <f t="shared" si="90"/>
        <v>1852</v>
      </c>
      <c r="AF140" s="270">
        <f t="shared" si="89"/>
        <v>1852</v>
      </c>
      <c r="AG140" s="270">
        <f t="shared" si="89"/>
        <v>1852</v>
      </c>
      <c r="AH140" s="270">
        <f t="shared" si="89"/>
        <v>1852</v>
      </c>
      <c r="AI140" s="270">
        <f t="shared" si="89"/>
        <v>1852</v>
      </c>
      <c r="AJ140" s="270">
        <f t="shared" si="89"/>
        <v>1852</v>
      </c>
      <c r="AK140" s="270">
        <f t="shared" si="89"/>
        <v>1852</v>
      </c>
      <c r="AL140" s="270">
        <f t="shared" si="89"/>
        <v>1852</v>
      </c>
      <c r="AM140" s="270">
        <f t="shared" si="89"/>
        <v>1852</v>
      </c>
    </row>
    <row r="141" spans="2:39" ht="15.75" thickBot="1" x14ac:dyDescent="0.35">
      <c r="B141" s="56" t="str">
        <f>input_names!$B$3</f>
        <v>benzine</v>
      </c>
      <c r="C141" s="61">
        <v>93</v>
      </c>
      <c r="D141" s="270">
        <f t="shared" si="92"/>
        <v>1426</v>
      </c>
      <c r="E141" s="270">
        <f t="shared" si="92"/>
        <v>1615</v>
      </c>
      <c r="F141" s="270">
        <f t="shared" si="92"/>
        <v>1610</v>
      </c>
      <c r="G141" s="270">
        <f t="shared" si="92"/>
        <v>1762</v>
      </c>
      <c r="H141" s="270">
        <f t="shared" si="92"/>
        <v>1800</v>
      </c>
      <c r="I141" s="270">
        <f t="shared" si="92"/>
        <v>2090</v>
      </c>
      <c r="J141" s="270">
        <f t="shared" si="92"/>
        <v>878</v>
      </c>
      <c r="K141" s="270">
        <f t="shared" si="92"/>
        <v>1018</v>
      </c>
      <c r="L141" s="270">
        <f t="shared" si="92"/>
        <v>1312</v>
      </c>
      <c r="M141" s="270">
        <f t="shared" si="92"/>
        <v>1588</v>
      </c>
      <c r="N141" s="270">
        <f t="shared" si="92"/>
        <v>1931</v>
      </c>
      <c r="O141" s="270">
        <f t="shared" si="92"/>
        <v>1931</v>
      </c>
      <c r="P141" s="270">
        <f t="shared" si="92"/>
        <v>1931</v>
      </c>
      <c r="Q141" s="270">
        <f t="shared" si="92"/>
        <v>1931</v>
      </c>
      <c r="R141" s="270">
        <f t="shared" si="92"/>
        <v>1931</v>
      </c>
      <c r="S141" s="270">
        <f t="shared" si="93"/>
        <v>1931</v>
      </c>
      <c r="T141" s="270">
        <f t="shared" si="91"/>
        <v>1931</v>
      </c>
      <c r="U141" s="270">
        <f t="shared" si="91"/>
        <v>1931</v>
      </c>
      <c r="V141" s="270">
        <f t="shared" si="91"/>
        <v>1931</v>
      </c>
      <c r="W141" s="270">
        <f t="shared" si="91"/>
        <v>1931</v>
      </c>
      <c r="X141" s="270">
        <f t="shared" si="91"/>
        <v>1931</v>
      </c>
      <c r="Y141" s="270">
        <f t="shared" si="91"/>
        <v>1931</v>
      </c>
      <c r="Z141" s="270">
        <f t="shared" si="91"/>
        <v>1931</v>
      </c>
      <c r="AA141" s="270">
        <f t="shared" si="91"/>
        <v>1931</v>
      </c>
      <c r="AB141" s="270">
        <f t="shared" si="91"/>
        <v>1931</v>
      </c>
      <c r="AC141" s="270">
        <f t="shared" si="91"/>
        <v>1931</v>
      </c>
      <c r="AD141" s="270">
        <f t="shared" si="87"/>
        <v>1931</v>
      </c>
      <c r="AE141" s="270">
        <f t="shared" si="90"/>
        <v>1931</v>
      </c>
      <c r="AF141" s="270">
        <f t="shared" si="89"/>
        <v>1931</v>
      </c>
      <c r="AG141" s="270">
        <f t="shared" si="89"/>
        <v>1931</v>
      </c>
      <c r="AH141" s="270">
        <f t="shared" si="89"/>
        <v>1931</v>
      </c>
      <c r="AI141" s="270">
        <f t="shared" si="89"/>
        <v>1931</v>
      </c>
      <c r="AJ141" s="270">
        <f t="shared" si="89"/>
        <v>1931</v>
      </c>
      <c r="AK141" s="270">
        <f t="shared" si="89"/>
        <v>1931</v>
      </c>
      <c r="AL141" s="270">
        <f t="shared" si="89"/>
        <v>1931</v>
      </c>
      <c r="AM141" s="270">
        <f t="shared" si="89"/>
        <v>1931</v>
      </c>
    </row>
    <row r="142" spans="2:39" ht="15.75" thickBot="1" x14ac:dyDescent="0.35">
      <c r="B142" s="56" t="str">
        <f>input_names!$B$3</f>
        <v>benzine</v>
      </c>
      <c r="C142" s="61">
        <v>94</v>
      </c>
      <c r="D142" s="270">
        <f t="shared" si="92"/>
        <v>1495</v>
      </c>
      <c r="E142" s="270">
        <f t="shared" si="92"/>
        <v>1684</v>
      </c>
      <c r="F142" s="270">
        <f t="shared" si="92"/>
        <v>1675</v>
      </c>
      <c r="G142" s="270">
        <f t="shared" si="92"/>
        <v>1825</v>
      </c>
      <c r="H142" s="270">
        <f t="shared" si="92"/>
        <v>1859</v>
      </c>
      <c r="I142" s="270">
        <f t="shared" si="92"/>
        <v>2217</v>
      </c>
      <c r="J142" s="270">
        <f t="shared" si="92"/>
        <v>938</v>
      </c>
      <c r="K142" s="270">
        <f t="shared" si="92"/>
        <v>1080</v>
      </c>
      <c r="L142" s="270">
        <f t="shared" si="92"/>
        <v>1380</v>
      </c>
      <c r="M142" s="270">
        <f t="shared" si="92"/>
        <v>1664</v>
      </c>
      <c r="N142" s="270">
        <f t="shared" si="92"/>
        <v>2010</v>
      </c>
      <c r="O142" s="270">
        <f t="shared" si="92"/>
        <v>2010</v>
      </c>
      <c r="P142" s="270">
        <f t="shared" si="92"/>
        <v>2010</v>
      </c>
      <c r="Q142" s="270">
        <f t="shared" si="92"/>
        <v>2010</v>
      </c>
      <c r="R142" s="270">
        <f t="shared" si="92"/>
        <v>2010</v>
      </c>
      <c r="S142" s="270">
        <f t="shared" si="93"/>
        <v>2010</v>
      </c>
      <c r="T142" s="270">
        <f t="shared" si="91"/>
        <v>2010</v>
      </c>
      <c r="U142" s="270">
        <f t="shared" si="91"/>
        <v>2010</v>
      </c>
      <c r="V142" s="270">
        <f t="shared" si="91"/>
        <v>2010</v>
      </c>
      <c r="W142" s="270">
        <f t="shared" si="91"/>
        <v>2010</v>
      </c>
      <c r="X142" s="270">
        <f t="shared" si="91"/>
        <v>2010</v>
      </c>
      <c r="Y142" s="270">
        <f t="shared" si="91"/>
        <v>2010</v>
      </c>
      <c r="Z142" s="270">
        <f t="shared" si="91"/>
        <v>2010</v>
      </c>
      <c r="AA142" s="270">
        <f t="shared" si="91"/>
        <v>2010</v>
      </c>
      <c r="AB142" s="270">
        <f t="shared" si="91"/>
        <v>2010</v>
      </c>
      <c r="AC142" s="270">
        <f t="shared" si="91"/>
        <v>2010</v>
      </c>
      <c r="AD142" s="270">
        <f t="shared" si="87"/>
        <v>2010</v>
      </c>
      <c r="AE142" s="270">
        <f t="shared" si="90"/>
        <v>2010</v>
      </c>
      <c r="AF142" s="270">
        <f t="shared" si="89"/>
        <v>2010</v>
      </c>
      <c r="AG142" s="270">
        <f t="shared" si="89"/>
        <v>2010</v>
      </c>
      <c r="AH142" s="270">
        <f t="shared" si="89"/>
        <v>2010</v>
      </c>
      <c r="AI142" s="270">
        <f t="shared" si="89"/>
        <v>2010</v>
      </c>
      <c r="AJ142" s="270">
        <f t="shared" si="89"/>
        <v>2010</v>
      </c>
      <c r="AK142" s="270">
        <f t="shared" si="89"/>
        <v>2010</v>
      </c>
      <c r="AL142" s="270">
        <f t="shared" si="89"/>
        <v>2010</v>
      </c>
      <c r="AM142" s="270">
        <f t="shared" si="89"/>
        <v>2010</v>
      </c>
    </row>
    <row r="143" spans="2:39" ht="15.75" thickBot="1" x14ac:dyDescent="0.35">
      <c r="B143" s="56" t="str">
        <f>input_names!$B$3</f>
        <v>benzine</v>
      </c>
      <c r="C143" s="61">
        <v>95</v>
      </c>
      <c r="D143" s="270">
        <f t="shared" si="92"/>
        <v>1564</v>
      </c>
      <c r="E143" s="270">
        <f t="shared" si="92"/>
        <v>1753</v>
      </c>
      <c r="F143" s="270">
        <f t="shared" si="92"/>
        <v>1740</v>
      </c>
      <c r="G143" s="270">
        <f t="shared" si="92"/>
        <v>1888</v>
      </c>
      <c r="H143" s="270">
        <f t="shared" si="92"/>
        <v>1918</v>
      </c>
      <c r="I143" s="270">
        <f t="shared" si="92"/>
        <v>2344</v>
      </c>
      <c r="J143" s="270">
        <f t="shared" si="92"/>
        <v>998</v>
      </c>
      <c r="K143" s="270">
        <f t="shared" si="92"/>
        <v>1142</v>
      </c>
      <c r="L143" s="270">
        <f t="shared" si="92"/>
        <v>1448</v>
      </c>
      <c r="M143" s="270">
        <f t="shared" si="92"/>
        <v>1740</v>
      </c>
      <c r="N143" s="270">
        <f t="shared" si="92"/>
        <v>2089</v>
      </c>
      <c r="O143" s="270">
        <f t="shared" si="92"/>
        <v>2089</v>
      </c>
      <c r="P143" s="270">
        <f t="shared" si="92"/>
        <v>2089</v>
      </c>
      <c r="Q143" s="270">
        <f t="shared" si="92"/>
        <v>2089</v>
      </c>
      <c r="R143" s="270">
        <f t="shared" si="92"/>
        <v>2089</v>
      </c>
      <c r="S143" s="270">
        <f t="shared" si="93"/>
        <v>2089</v>
      </c>
      <c r="T143" s="270">
        <f t="shared" si="91"/>
        <v>2089</v>
      </c>
      <c r="U143" s="270">
        <f t="shared" si="91"/>
        <v>2089</v>
      </c>
      <c r="V143" s="270">
        <f t="shared" si="91"/>
        <v>2089</v>
      </c>
      <c r="W143" s="270">
        <f t="shared" si="91"/>
        <v>2089</v>
      </c>
      <c r="X143" s="270">
        <f t="shared" si="91"/>
        <v>2089</v>
      </c>
      <c r="Y143" s="270">
        <f t="shared" si="91"/>
        <v>2089</v>
      </c>
      <c r="Z143" s="270">
        <f t="shared" si="91"/>
        <v>2089</v>
      </c>
      <c r="AA143" s="270">
        <f t="shared" si="91"/>
        <v>2089</v>
      </c>
      <c r="AB143" s="270">
        <f t="shared" si="91"/>
        <v>2089</v>
      </c>
      <c r="AC143" s="270">
        <f t="shared" si="91"/>
        <v>2089</v>
      </c>
      <c r="AD143" s="270">
        <f t="shared" ref="AD143:AD171" si="94">+MIN(MAX(0,$C143-AD$11),AD$12-AD$11)*AD$17
+MIN(MAX(0,$C143-AD$12),AD$13-AD$12)*AD$18
+MIN(MAX(0,$C143-AD$13),AD$14-AD$13)*AD$19
+MIN(MAX(0,$C143-AD$14),AD$15-AD$14)*AD$20
+MAX(0,$C143-AD$15)*AD$21
+AD$26</f>
        <v>2089</v>
      </c>
      <c r="AE143" s="270">
        <f t="shared" si="90"/>
        <v>2089</v>
      </c>
      <c r="AF143" s="270">
        <f t="shared" si="89"/>
        <v>2089</v>
      </c>
      <c r="AG143" s="270">
        <f t="shared" si="89"/>
        <v>2089</v>
      </c>
      <c r="AH143" s="270">
        <f t="shared" si="89"/>
        <v>2089</v>
      </c>
      <c r="AI143" s="270">
        <f t="shared" si="89"/>
        <v>2089</v>
      </c>
      <c r="AJ143" s="270">
        <f t="shared" si="89"/>
        <v>2089</v>
      </c>
      <c r="AK143" s="270">
        <f t="shared" si="89"/>
        <v>2089</v>
      </c>
      <c r="AL143" s="270">
        <f t="shared" si="89"/>
        <v>2089</v>
      </c>
      <c r="AM143" s="270">
        <f t="shared" si="89"/>
        <v>2089</v>
      </c>
    </row>
    <row r="144" spans="2:39" ht="15.75" thickBot="1" x14ac:dyDescent="0.35">
      <c r="B144" s="56" t="str">
        <f>input_names!$B$3</f>
        <v>benzine</v>
      </c>
      <c r="C144" s="61">
        <v>96</v>
      </c>
      <c r="D144" s="270">
        <f t="shared" ref="D144:R159" si="95">+MIN(MAX(0,$C144-D$11),D$12-D$11)*D$17
+MIN(MAX(0,$C144-D$12),D$13-D$12)*D$18
+MIN(MAX(0,$C144-D$13),D$14-D$13)*D$19
+MIN(MAX(0,$C144-D$14),D$15-D$14)*D$20
+MAX(0,$C144-D$15)*D$21
+D$26</f>
        <v>1633</v>
      </c>
      <c r="E144" s="270">
        <f t="shared" si="95"/>
        <v>1822</v>
      </c>
      <c r="F144" s="270">
        <f t="shared" si="95"/>
        <v>1805</v>
      </c>
      <c r="G144" s="270">
        <f t="shared" si="95"/>
        <v>1951</v>
      </c>
      <c r="H144" s="270">
        <f t="shared" si="95"/>
        <v>2048</v>
      </c>
      <c r="I144" s="270">
        <f t="shared" si="95"/>
        <v>2471</v>
      </c>
      <c r="J144" s="270">
        <f t="shared" si="95"/>
        <v>1058</v>
      </c>
      <c r="K144" s="270">
        <f t="shared" si="95"/>
        <v>1204</v>
      </c>
      <c r="L144" s="270">
        <f t="shared" si="95"/>
        <v>1516</v>
      </c>
      <c r="M144" s="270">
        <f t="shared" si="95"/>
        <v>1816</v>
      </c>
      <c r="N144" s="270">
        <f t="shared" si="95"/>
        <v>2168</v>
      </c>
      <c r="O144" s="270">
        <f t="shared" si="95"/>
        <v>2168</v>
      </c>
      <c r="P144" s="270">
        <f t="shared" si="95"/>
        <v>2168</v>
      </c>
      <c r="Q144" s="270">
        <f t="shared" si="95"/>
        <v>2168</v>
      </c>
      <c r="R144" s="270">
        <f t="shared" si="95"/>
        <v>2168</v>
      </c>
      <c r="S144" s="270">
        <f t="shared" si="93"/>
        <v>2168</v>
      </c>
      <c r="T144" s="270">
        <f t="shared" si="91"/>
        <v>2168</v>
      </c>
      <c r="U144" s="270">
        <f t="shared" si="91"/>
        <v>2168</v>
      </c>
      <c r="V144" s="270">
        <f t="shared" si="91"/>
        <v>2168</v>
      </c>
      <c r="W144" s="270">
        <f t="shared" si="91"/>
        <v>2168</v>
      </c>
      <c r="X144" s="270">
        <f t="shared" si="91"/>
        <v>2168</v>
      </c>
      <c r="Y144" s="270">
        <f t="shared" si="91"/>
        <v>2168</v>
      </c>
      <c r="Z144" s="270">
        <f t="shared" si="91"/>
        <v>2168</v>
      </c>
      <c r="AA144" s="270">
        <f t="shared" si="91"/>
        <v>2168</v>
      </c>
      <c r="AB144" s="270">
        <f t="shared" si="91"/>
        <v>2168</v>
      </c>
      <c r="AC144" s="270">
        <f t="shared" si="91"/>
        <v>2168</v>
      </c>
      <c r="AD144" s="270">
        <f t="shared" si="94"/>
        <v>2168</v>
      </c>
      <c r="AE144" s="270">
        <f t="shared" si="90"/>
        <v>2168</v>
      </c>
      <c r="AF144" s="270">
        <f t="shared" ref="AF144:AM153" si="96">+MIN(MAX(0,$C144-AF$11),AF$12-AF$11)*AF$17
+MIN(MAX(0,$C144-AF$12),AF$13-AF$12)*AF$18
+MIN(MAX(0,$C144-AF$13),AF$14-AF$13)*AF$19
+MIN(MAX(0,$C144-AF$14),AF$15-AF$14)*AF$20
+MAX(0,$C144-AF$15)*AF$21
+AF$26</f>
        <v>2168</v>
      </c>
      <c r="AG144" s="270">
        <f t="shared" si="96"/>
        <v>2168</v>
      </c>
      <c r="AH144" s="270">
        <f t="shared" si="96"/>
        <v>2168</v>
      </c>
      <c r="AI144" s="270">
        <f t="shared" si="96"/>
        <v>2168</v>
      </c>
      <c r="AJ144" s="270">
        <f t="shared" si="96"/>
        <v>2168</v>
      </c>
      <c r="AK144" s="270">
        <f t="shared" si="96"/>
        <v>2168</v>
      </c>
      <c r="AL144" s="270">
        <f t="shared" si="96"/>
        <v>2168</v>
      </c>
      <c r="AM144" s="270">
        <f t="shared" si="96"/>
        <v>2168</v>
      </c>
    </row>
    <row r="145" spans="2:39" ht="15.75" thickBot="1" x14ac:dyDescent="0.35">
      <c r="B145" s="56" t="str">
        <f>input_names!$B$3</f>
        <v>benzine</v>
      </c>
      <c r="C145" s="61">
        <v>97</v>
      </c>
      <c r="D145" s="270">
        <f t="shared" si="95"/>
        <v>1702</v>
      </c>
      <c r="E145" s="270">
        <f t="shared" si="95"/>
        <v>1891</v>
      </c>
      <c r="F145" s="270">
        <f t="shared" si="95"/>
        <v>1870</v>
      </c>
      <c r="G145" s="270">
        <f t="shared" si="95"/>
        <v>2014</v>
      </c>
      <c r="H145" s="270">
        <f t="shared" si="95"/>
        <v>2178</v>
      </c>
      <c r="I145" s="270">
        <f t="shared" si="95"/>
        <v>2598</v>
      </c>
      <c r="J145" s="270">
        <f t="shared" si="95"/>
        <v>1118</v>
      </c>
      <c r="K145" s="270">
        <f t="shared" si="95"/>
        <v>1266</v>
      </c>
      <c r="L145" s="270">
        <f t="shared" si="95"/>
        <v>1584</v>
      </c>
      <c r="M145" s="270">
        <f t="shared" si="95"/>
        <v>1892</v>
      </c>
      <c r="N145" s="270">
        <f t="shared" si="95"/>
        <v>2247</v>
      </c>
      <c r="O145" s="270">
        <f t="shared" si="95"/>
        <v>2247</v>
      </c>
      <c r="P145" s="270">
        <f t="shared" si="95"/>
        <v>2247</v>
      </c>
      <c r="Q145" s="270">
        <f t="shared" si="95"/>
        <v>2247</v>
      </c>
      <c r="R145" s="270">
        <f t="shared" si="95"/>
        <v>2247</v>
      </c>
      <c r="S145" s="270">
        <f t="shared" si="93"/>
        <v>2247</v>
      </c>
      <c r="T145" s="270">
        <f t="shared" si="91"/>
        <v>2247</v>
      </c>
      <c r="U145" s="270">
        <f t="shared" si="91"/>
        <v>2247</v>
      </c>
      <c r="V145" s="270">
        <f t="shared" si="91"/>
        <v>2247</v>
      </c>
      <c r="W145" s="270">
        <f t="shared" si="91"/>
        <v>2247</v>
      </c>
      <c r="X145" s="270">
        <f t="shared" si="91"/>
        <v>2247</v>
      </c>
      <c r="Y145" s="270">
        <f t="shared" si="91"/>
        <v>2247</v>
      </c>
      <c r="Z145" s="270">
        <f t="shared" si="91"/>
        <v>2247</v>
      </c>
      <c r="AA145" s="270">
        <f t="shared" si="91"/>
        <v>2247</v>
      </c>
      <c r="AB145" s="270">
        <f t="shared" si="91"/>
        <v>2247</v>
      </c>
      <c r="AC145" s="270">
        <f t="shared" si="91"/>
        <v>2247</v>
      </c>
      <c r="AD145" s="270">
        <f t="shared" si="94"/>
        <v>2247</v>
      </c>
      <c r="AE145" s="270">
        <f t="shared" si="90"/>
        <v>2247</v>
      </c>
      <c r="AF145" s="270">
        <f t="shared" si="96"/>
        <v>2247</v>
      </c>
      <c r="AG145" s="270">
        <f t="shared" si="96"/>
        <v>2247</v>
      </c>
      <c r="AH145" s="270">
        <f t="shared" si="96"/>
        <v>2247</v>
      </c>
      <c r="AI145" s="270">
        <f t="shared" si="96"/>
        <v>2247</v>
      </c>
      <c r="AJ145" s="270">
        <f t="shared" si="96"/>
        <v>2247</v>
      </c>
      <c r="AK145" s="270">
        <f t="shared" si="96"/>
        <v>2247</v>
      </c>
      <c r="AL145" s="270">
        <f t="shared" si="96"/>
        <v>2247</v>
      </c>
      <c r="AM145" s="270">
        <f t="shared" si="96"/>
        <v>2247</v>
      </c>
    </row>
    <row r="146" spans="2:39" ht="15.75" thickBot="1" x14ac:dyDescent="0.35">
      <c r="B146" s="56" t="str">
        <f>input_names!$B$3</f>
        <v>benzine</v>
      </c>
      <c r="C146" s="61">
        <v>98</v>
      </c>
      <c r="D146" s="270">
        <f t="shared" si="95"/>
        <v>1771</v>
      </c>
      <c r="E146" s="270">
        <f t="shared" si="95"/>
        <v>1960</v>
      </c>
      <c r="F146" s="270">
        <f t="shared" si="95"/>
        <v>1935</v>
      </c>
      <c r="G146" s="270">
        <f t="shared" si="95"/>
        <v>2077</v>
      </c>
      <c r="H146" s="270">
        <f t="shared" si="95"/>
        <v>2308</v>
      </c>
      <c r="I146" s="270">
        <f t="shared" si="95"/>
        <v>2725</v>
      </c>
      <c r="J146" s="270">
        <f t="shared" si="95"/>
        <v>1178</v>
      </c>
      <c r="K146" s="270">
        <f t="shared" si="95"/>
        <v>1328</v>
      </c>
      <c r="L146" s="270">
        <f t="shared" si="95"/>
        <v>1652</v>
      </c>
      <c r="M146" s="270">
        <f t="shared" si="95"/>
        <v>1968</v>
      </c>
      <c r="N146" s="270">
        <f t="shared" si="95"/>
        <v>2326</v>
      </c>
      <c r="O146" s="270">
        <f t="shared" si="95"/>
        <v>2326</v>
      </c>
      <c r="P146" s="270">
        <f t="shared" si="95"/>
        <v>2326</v>
      </c>
      <c r="Q146" s="270">
        <f t="shared" si="95"/>
        <v>2326</v>
      </c>
      <c r="R146" s="270">
        <f t="shared" si="95"/>
        <v>2326</v>
      </c>
      <c r="S146" s="270">
        <f t="shared" si="93"/>
        <v>2326</v>
      </c>
      <c r="T146" s="270">
        <f t="shared" si="91"/>
        <v>2326</v>
      </c>
      <c r="U146" s="270">
        <f t="shared" si="91"/>
        <v>2326</v>
      </c>
      <c r="V146" s="270">
        <f t="shared" si="91"/>
        <v>2326</v>
      </c>
      <c r="W146" s="270">
        <f t="shared" si="91"/>
        <v>2326</v>
      </c>
      <c r="X146" s="270">
        <f t="shared" si="91"/>
        <v>2326</v>
      </c>
      <c r="Y146" s="270">
        <f t="shared" si="91"/>
        <v>2326</v>
      </c>
      <c r="Z146" s="270">
        <f t="shared" si="91"/>
        <v>2326</v>
      </c>
      <c r="AA146" s="270">
        <f t="shared" si="91"/>
        <v>2326</v>
      </c>
      <c r="AB146" s="270">
        <f t="shared" si="91"/>
        <v>2326</v>
      </c>
      <c r="AC146" s="270">
        <f t="shared" si="91"/>
        <v>2326</v>
      </c>
      <c r="AD146" s="270">
        <f t="shared" si="94"/>
        <v>2326</v>
      </c>
      <c r="AE146" s="270">
        <f t="shared" si="90"/>
        <v>2326</v>
      </c>
      <c r="AF146" s="270">
        <f t="shared" si="96"/>
        <v>2326</v>
      </c>
      <c r="AG146" s="270">
        <f t="shared" si="96"/>
        <v>2326</v>
      </c>
      <c r="AH146" s="270">
        <f t="shared" si="96"/>
        <v>2326</v>
      </c>
      <c r="AI146" s="270">
        <f t="shared" si="96"/>
        <v>2326</v>
      </c>
      <c r="AJ146" s="270">
        <f t="shared" si="96"/>
        <v>2326</v>
      </c>
      <c r="AK146" s="270">
        <f t="shared" si="96"/>
        <v>2326</v>
      </c>
      <c r="AL146" s="270">
        <f t="shared" si="96"/>
        <v>2326</v>
      </c>
      <c r="AM146" s="270">
        <f t="shared" si="96"/>
        <v>2326</v>
      </c>
    </row>
    <row r="147" spans="2:39" ht="15.75" thickBot="1" x14ac:dyDescent="0.35">
      <c r="B147" s="56" t="str">
        <f>input_names!$B$3</f>
        <v>benzine</v>
      </c>
      <c r="C147" s="61">
        <v>99</v>
      </c>
      <c r="D147" s="270">
        <f t="shared" si="95"/>
        <v>1840</v>
      </c>
      <c r="E147" s="270">
        <f t="shared" si="95"/>
        <v>2029</v>
      </c>
      <c r="F147" s="270">
        <f t="shared" si="95"/>
        <v>2000</v>
      </c>
      <c r="G147" s="270">
        <f t="shared" si="95"/>
        <v>2216</v>
      </c>
      <c r="H147" s="270">
        <f t="shared" si="95"/>
        <v>2438</v>
      </c>
      <c r="I147" s="270">
        <f t="shared" si="95"/>
        <v>2852</v>
      </c>
      <c r="J147" s="270">
        <f t="shared" si="95"/>
        <v>1238</v>
      </c>
      <c r="K147" s="270">
        <f t="shared" si="95"/>
        <v>1390</v>
      </c>
      <c r="L147" s="270">
        <f t="shared" si="95"/>
        <v>1720</v>
      </c>
      <c r="M147" s="270">
        <f t="shared" si="95"/>
        <v>2044</v>
      </c>
      <c r="N147" s="270">
        <f t="shared" si="95"/>
        <v>2405</v>
      </c>
      <c r="O147" s="270">
        <f t="shared" si="95"/>
        <v>2405</v>
      </c>
      <c r="P147" s="270">
        <f t="shared" si="95"/>
        <v>2405</v>
      </c>
      <c r="Q147" s="270">
        <f t="shared" si="95"/>
        <v>2405</v>
      </c>
      <c r="R147" s="270">
        <f t="shared" si="95"/>
        <v>2405</v>
      </c>
      <c r="S147" s="270">
        <f t="shared" si="93"/>
        <v>2405</v>
      </c>
      <c r="T147" s="270">
        <f t="shared" si="91"/>
        <v>2405</v>
      </c>
      <c r="U147" s="270">
        <f t="shared" si="91"/>
        <v>2405</v>
      </c>
      <c r="V147" s="270">
        <f t="shared" si="91"/>
        <v>2405</v>
      </c>
      <c r="W147" s="270">
        <f t="shared" si="91"/>
        <v>2405</v>
      </c>
      <c r="X147" s="270">
        <f t="shared" si="91"/>
        <v>2405</v>
      </c>
      <c r="Y147" s="270">
        <f t="shared" si="91"/>
        <v>2405</v>
      </c>
      <c r="Z147" s="270">
        <f t="shared" si="91"/>
        <v>2405</v>
      </c>
      <c r="AA147" s="270">
        <f t="shared" si="91"/>
        <v>2405</v>
      </c>
      <c r="AB147" s="270">
        <f t="shared" si="91"/>
        <v>2405</v>
      </c>
      <c r="AC147" s="270">
        <f t="shared" si="91"/>
        <v>2405</v>
      </c>
      <c r="AD147" s="270">
        <f t="shared" si="94"/>
        <v>2405</v>
      </c>
      <c r="AE147" s="270">
        <f t="shared" si="90"/>
        <v>2405</v>
      </c>
      <c r="AF147" s="270">
        <f t="shared" si="96"/>
        <v>2405</v>
      </c>
      <c r="AG147" s="270">
        <f t="shared" si="96"/>
        <v>2405</v>
      </c>
      <c r="AH147" s="270">
        <f t="shared" si="96"/>
        <v>2405</v>
      </c>
      <c r="AI147" s="270">
        <f t="shared" si="96"/>
        <v>2405</v>
      </c>
      <c r="AJ147" s="270">
        <f t="shared" si="96"/>
        <v>2405</v>
      </c>
      <c r="AK147" s="270">
        <f t="shared" si="96"/>
        <v>2405</v>
      </c>
      <c r="AL147" s="270">
        <f t="shared" si="96"/>
        <v>2405</v>
      </c>
      <c r="AM147" s="270">
        <f t="shared" si="96"/>
        <v>2405</v>
      </c>
    </row>
    <row r="148" spans="2:39" ht="15.75" thickBot="1" x14ac:dyDescent="0.35">
      <c r="B148" s="56" t="str">
        <f>input_names!$B$3</f>
        <v>benzine</v>
      </c>
      <c r="C148" s="61">
        <v>100</v>
      </c>
      <c r="D148" s="270">
        <f t="shared" si="95"/>
        <v>1909</v>
      </c>
      <c r="E148" s="270">
        <f t="shared" si="95"/>
        <v>2098</v>
      </c>
      <c r="F148" s="270">
        <f t="shared" si="95"/>
        <v>2065</v>
      </c>
      <c r="G148" s="270">
        <f t="shared" si="95"/>
        <v>2355</v>
      </c>
      <c r="H148" s="270">
        <f t="shared" si="95"/>
        <v>2568</v>
      </c>
      <c r="I148" s="270">
        <f t="shared" si="95"/>
        <v>2979</v>
      </c>
      <c r="J148" s="270">
        <f t="shared" si="95"/>
        <v>1298</v>
      </c>
      <c r="K148" s="270">
        <f t="shared" si="95"/>
        <v>1452</v>
      </c>
      <c r="L148" s="270">
        <f t="shared" si="95"/>
        <v>1788</v>
      </c>
      <c r="M148" s="270">
        <f t="shared" si="95"/>
        <v>2120</v>
      </c>
      <c r="N148" s="270">
        <f t="shared" si="95"/>
        <v>2484</v>
      </c>
      <c r="O148" s="270">
        <f t="shared" si="95"/>
        <v>2484</v>
      </c>
      <c r="P148" s="270">
        <f t="shared" si="95"/>
        <v>2484</v>
      </c>
      <c r="Q148" s="270">
        <f t="shared" si="95"/>
        <v>2484</v>
      </c>
      <c r="R148" s="270">
        <f t="shared" si="95"/>
        <v>2484</v>
      </c>
      <c r="S148" s="270">
        <f t="shared" si="93"/>
        <v>2484</v>
      </c>
      <c r="T148" s="270">
        <f t="shared" si="91"/>
        <v>2484</v>
      </c>
      <c r="U148" s="270">
        <f t="shared" si="91"/>
        <v>2484</v>
      </c>
      <c r="V148" s="270">
        <f t="shared" si="91"/>
        <v>2484</v>
      </c>
      <c r="W148" s="270">
        <f t="shared" si="91"/>
        <v>2484</v>
      </c>
      <c r="X148" s="270">
        <f t="shared" si="91"/>
        <v>2484</v>
      </c>
      <c r="Y148" s="270">
        <f t="shared" si="91"/>
        <v>2484</v>
      </c>
      <c r="Z148" s="270">
        <f t="shared" si="91"/>
        <v>2484</v>
      </c>
      <c r="AA148" s="270">
        <f t="shared" si="91"/>
        <v>2484</v>
      </c>
      <c r="AB148" s="270">
        <f t="shared" si="91"/>
        <v>2484</v>
      </c>
      <c r="AC148" s="270">
        <f t="shared" si="91"/>
        <v>2484</v>
      </c>
      <c r="AD148" s="270">
        <f t="shared" si="94"/>
        <v>2484</v>
      </c>
      <c r="AE148" s="270">
        <f t="shared" si="90"/>
        <v>2484</v>
      </c>
      <c r="AF148" s="270">
        <f t="shared" si="96"/>
        <v>2484</v>
      </c>
      <c r="AG148" s="270">
        <f t="shared" si="96"/>
        <v>2484</v>
      </c>
      <c r="AH148" s="270">
        <f t="shared" si="96"/>
        <v>2484</v>
      </c>
      <c r="AI148" s="270">
        <f t="shared" si="96"/>
        <v>2484</v>
      </c>
      <c r="AJ148" s="270">
        <f t="shared" si="96"/>
        <v>2484</v>
      </c>
      <c r="AK148" s="270">
        <f t="shared" si="96"/>
        <v>2484</v>
      </c>
      <c r="AL148" s="270">
        <f t="shared" si="96"/>
        <v>2484</v>
      </c>
      <c r="AM148" s="270">
        <f t="shared" si="96"/>
        <v>2484</v>
      </c>
    </row>
    <row r="149" spans="2:39" ht="15.75" thickBot="1" x14ac:dyDescent="0.35">
      <c r="B149" s="56" t="str">
        <f>input_names!$B$3</f>
        <v>benzine</v>
      </c>
      <c r="C149" s="61">
        <v>101</v>
      </c>
      <c r="D149" s="270">
        <f t="shared" si="95"/>
        <v>1978</v>
      </c>
      <c r="E149" s="270">
        <f t="shared" si="95"/>
        <v>2167</v>
      </c>
      <c r="F149" s="270">
        <f t="shared" si="95"/>
        <v>2130</v>
      </c>
      <c r="G149" s="270">
        <f t="shared" si="95"/>
        <v>2494</v>
      </c>
      <c r="H149" s="270">
        <f t="shared" si="95"/>
        <v>2698</v>
      </c>
      <c r="I149" s="270">
        <f t="shared" si="95"/>
        <v>3106</v>
      </c>
      <c r="J149" s="270">
        <f t="shared" si="95"/>
        <v>1358</v>
      </c>
      <c r="K149" s="270">
        <f t="shared" si="95"/>
        <v>1514</v>
      </c>
      <c r="L149" s="270">
        <f t="shared" si="95"/>
        <v>1856</v>
      </c>
      <c r="M149" s="270">
        <f t="shared" si="95"/>
        <v>2196</v>
      </c>
      <c r="N149" s="270">
        <f t="shared" si="95"/>
        <v>2563</v>
      </c>
      <c r="O149" s="270">
        <f t="shared" si="95"/>
        <v>2563</v>
      </c>
      <c r="P149" s="270">
        <f t="shared" si="95"/>
        <v>2563</v>
      </c>
      <c r="Q149" s="270">
        <f t="shared" si="95"/>
        <v>2563</v>
      </c>
      <c r="R149" s="270">
        <f t="shared" si="95"/>
        <v>2563</v>
      </c>
      <c r="S149" s="270">
        <f t="shared" si="93"/>
        <v>2563</v>
      </c>
      <c r="T149" s="270">
        <f t="shared" si="91"/>
        <v>2563</v>
      </c>
      <c r="U149" s="270">
        <f t="shared" si="91"/>
        <v>2563</v>
      </c>
      <c r="V149" s="270">
        <f t="shared" si="91"/>
        <v>2563</v>
      </c>
      <c r="W149" s="270">
        <f t="shared" si="91"/>
        <v>2563</v>
      </c>
      <c r="X149" s="270">
        <f t="shared" si="91"/>
        <v>2563</v>
      </c>
      <c r="Y149" s="270">
        <f t="shared" si="91"/>
        <v>2563</v>
      </c>
      <c r="Z149" s="270">
        <f t="shared" si="91"/>
        <v>2563</v>
      </c>
      <c r="AA149" s="270">
        <f t="shared" si="91"/>
        <v>2563</v>
      </c>
      <c r="AB149" s="270">
        <f t="shared" si="91"/>
        <v>2563</v>
      </c>
      <c r="AC149" s="270">
        <f t="shared" si="91"/>
        <v>2563</v>
      </c>
      <c r="AD149" s="270">
        <f t="shared" si="94"/>
        <v>2563</v>
      </c>
      <c r="AE149" s="270">
        <f t="shared" si="90"/>
        <v>2563</v>
      </c>
      <c r="AF149" s="270">
        <f t="shared" si="96"/>
        <v>2563</v>
      </c>
      <c r="AG149" s="270">
        <f t="shared" si="96"/>
        <v>2563</v>
      </c>
      <c r="AH149" s="270">
        <f t="shared" si="96"/>
        <v>2563</v>
      </c>
      <c r="AI149" s="270">
        <f t="shared" si="96"/>
        <v>2563</v>
      </c>
      <c r="AJ149" s="270">
        <f t="shared" si="96"/>
        <v>2563</v>
      </c>
      <c r="AK149" s="270">
        <f t="shared" si="96"/>
        <v>2563</v>
      </c>
      <c r="AL149" s="270">
        <f t="shared" si="96"/>
        <v>2563</v>
      </c>
      <c r="AM149" s="270">
        <f t="shared" si="96"/>
        <v>2563</v>
      </c>
    </row>
    <row r="150" spans="2:39" ht="15.75" thickBot="1" x14ac:dyDescent="0.35">
      <c r="B150" s="56" t="str">
        <f>input_names!$B$3</f>
        <v>benzine</v>
      </c>
      <c r="C150" s="61">
        <v>102</v>
      </c>
      <c r="D150" s="270">
        <f t="shared" si="95"/>
        <v>2047</v>
      </c>
      <c r="E150" s="270">
        <f t="shared" si="95"/>
        <v>2236</v>
      </c>
      <c r="F150" s="270">
        <f t="shared" si="95"/>
        <v>2195</v>
      </c>
      <c r="G150" s="270">
        <f t="shared" si="95"/>
        <v>2633</v>
      </c>
      <c r="H150" s="270">
        <f t="shared" si="95"/>
        <v>2828</v>
      </c>
      <c r="I150" s="270">
        <f t="shared" si="95"/>
        <v>3233</v>
      </c>
      <c r="J150" s="270">
        <f t="shared" si="95"/>
        <v>1418</v>
      </c>
      <c r="K150" s="270">
        <f t="shared" si="95"/>
        <v>1576</v>
      </c>
      <c r="L150" s="270">
        <f t="shared" si="95"/>
        <v>1924</v>
      </c>
      <c r="M150" s="270">
        <f t="shared" si="95"/>
        <v>2272</v>
      </c>
      <c r="N150" s="270">
        <f t="shared" si="95"/>
        <v>2736</v>
      </c>
      <c r="O150" s="270">
        <f t="shared" si="95"/>
        <v>2736</v>
      </c>
      <c r="P150" s="270">
        <f t="shared" si="95"/>
        <v>2736</v>
      </c>
      <c r="Q150" s="270">
        <f t="shared" si="95"/>
        <v>2736</v>
      </c>
      <c r="R150" s="270">
        <f t="shared" si="95"/>
        <v>2736</v>
      </c>
      <c r="S150" s="270">
        <f t="shared" si="93"/>
        <v>2736</v>
      </c>
      <c r="T150" s="270">
        <f t="shared" si="91"/>
        <v>2736</v>
      </c>
      <c r="U150" s="270">
        <f t="shared" si="91"/>
        <v>2736</v>
      </c>
      <c r="V150" s="270">
        <f t="shared" si="91"/>
        <v>2736</v>
      </c>
      <c r="W150" s="270">
        <f t="shared" si="91"/>
        <v>2736</v>
      </c>
      <c r="X150" s="270">
        <f t="shared" si="91"/>
        <v>2736</v>
      </c>
      <c r="Y150" s="270">
        <f t="shared" ref="U150:AC165" si="97">+MIN(MAX(0,$C150-Y$11),Y$12-Y$11)*Y$17
+MIN(MAX(0,$C150-Y$12),Y$13-Y$12)*Y$18
+MIN(MAX(0,$C150-Y$13),Y$14-Y$13)*Y$19
+MIN(MAX(0,$C150-Y$14),Y$15-Y$14)*Y$20
+MAX(0,$C150-Y$15)*Y$21
+Y$26</f>
        <v>2736</v>
      </c>
      <c r="Z150" s="270">
        <f t="shared" si="97"/>
        <v>2736</v>
      </c>
      <c r="AA150" s="270">
        <f t="shared" si="97"/>
        <v>2736</v>
      </c>
      <c r="AB150" s="270">
        <f t="shared" si="97"/>
        <v>2736</v>
      </c>
      <c r="AC150" s="270">
        <f t="shared" si="97"/>
        <v>2736</v>
      </c>
      <c r="AD150" s="270">
        <f t="shared" si="94"/>
        <v>2736</v>
      </c>
      <c r="AE150" s="270">
        <f t="shared" si="90"/>
        <v>2736</v>
      </c>
      <c r="AF150" s="270">
        <f t="shared" si="96"/>
        <v>2736</v>
      </c>
      <c r="AG150" s="270">
        <f t="shared" si="96"/>
        <v>2736</v>
      </c>
      <c r="AH150" s="270">
        <f t="shared" si="96"/>
        <v>2736</v>
      </c>
      <c r="AI150" s="270">
        <f t="shared" si="96"/>
        <v>2736</v>
      </c>
      <c r="AJ150" s="270">
        <f t="shared" si="96"/>
        <v>2736</v>
      </c>
      <c r="AK150" s="270">
        <f t="shared" si="96"/>
        <v>2736</v>
      </c>
      <c r="AL150" s="270">
        <f t="shared" si="96"/>
        <v>2736</v>
      </c>
      <c r="AM150" s="270">
        <f t="shared" si="96"/>
        <v>2736</v>
      </c>
    </row>
    <row r="151" spans="2:39" ht="15.75" thickBot="1" x14ac:dyDescent="0.35">
      <c r="B151" s="56" t="str">
        <f>input_names!$B$3</f>
        <v>benzine</v>
      </c>
      <c r="C151" s="61">
        <v>103</v>
      </c>
      <c r="D151" s="270">
        <f t="shared" si="95"/>
        <v>2116</v>
      </c>
      <c r="E151" s="270">
        <f t="shared" si="95"/>
        <v>2305</v>
      </c>
      <c r="F151" s="270">
        <f t="shared" si="95"/>
        <v>2339</v>
      </c>
      <c r="G151" s="270">
        <f t="shared" si="95"/>
        <v>2772</v>
      </c>
      <c r="H151" s="270">
        <f t="shared" si="95"/>
        <v>2958</v>
      </c>
      <c r="I151" s="270">
        <f t="shared" si="95"/>
        <v>3360</v>
      </c>
      <c r="J151" s="270">
        <f t="shared" si="95"/>
        <v>1478</v>
      </c>
      <c r="K151" s="270">
        <f t="shared" si="95"/>
        <v>1638</v>
      </c>
      <c r="L151" s="270">
        <f t="shared" si="95"/>
        <v>1992</v>
      </c>
      <c r="M151" s="270">
        <f t="shared" si="95"/>
        <v>2348</v>
      </c>
      <c r="N151" s="270">
        <f t="shared" si="95"/>
        <v>2909</v>
      </c>
      <c r="O151" s="270">
        <f t="shared" si="95"/>
        <v>2909</v>
      </c>
      <c r="P151" s="270">
        <f t="shared" si="95"/>
        <v>2909</v>
      </c>
      <c r="Q151" s="270">
        <f t="shared" si="95"/>
        <v>2909</v>
      </c>
      <c r="R151" s="270">
        <f t="shared" si="95"/>
        <v>2909</v>
      </c>
      <c r="S151" s="270">
        <f t="shared" si="93"/>
        <v>2909</v>
      </c>
      <c r="T151" s="270">
        <f t="shared" si="93"/>
        <v>2909</v>
      </c>
      <c r="U151" s="270">
        <f t="shared" si="97"/>
        <v>2909</v>
      </c>
      <c r="V151" s="270">
        <f t="shared" si="97"/>
        <v>2909</v>
      </c>
      <c r="W151" s="270">
        <f t="shared" si="97"/>
        <v>2909</v>
      </c>
      <c r="X151" s="270">
        <f t="shared" si="97"/>
        <v>2909</v>
      </c>
      <c r="Y151" s="270">
        <f t="shared" si="97"/>
        <v>2909</v>
      </c>
      <c r="Z151" s="270">
        <f t="shared" si="97"/>
        <v>2909</v>
      </c>
      <c r="AA151" s="270">
        <f t="shared" si="97"/>
        <v>2909</v>
      </c>
      <c r="AB151" s="270">
        <f t="shared" si="97"/>
        <v>2909</v>
      </c>
      <c r="AC151" s="270">
        <f t="shared" si="97"/>
        <v>2909</v>
      </c>
      <c r="AD151" s="270">
        <f t="shared" si="94"/>
        <v>2909</v>
      </c>
      <c r="AE151" s="270">
        <f t="shared" si="90"/>
        <v>2909</v>
      </c>
      <c r="AF151" s="270">
        <f t="shared" si="96"/>
        <v>2909</v>
      </c>
      <c r="AG151" s="270">
        <f t="shared" si="96"/>
        <v>2909</v>
      </c>
      <c r="AH151" s="270">
        <f t="shared" si="96"/>
        <v>2909</v>
      </c>
      <c r="AI151" s="270">
        <f t="shared" si="96"/>
        <v>2909</v>
      </c>
      <c r="AJ151" s="270">
        <f t="shared" si="96"/>
        <v>2909</v>
      </c>
      <c r="AK151" s="270">
        <f t="shared" si="96"/>
        <v>2909</v>
      </c>
      <c r="AL151" s="270">
        <f t="shared" si="96"/>
        <v>2909</v>
      </c>
      <c r="AM151" s="270">
        <f t="shared" si="96"/>
        <v>2909</v>
      </c>
    </row>
    <row r="152" spans="2:39" ht="15.75" thickBot="1" x14ac:dyDescent="0.35">
      <c r="B152" s="56" t="str">
        <f>input_names!$B$3</f>
        <v>benzine</v>
      </c>
      <c r="C152" s="61">
        <v>104</v>
      </c>
      <c r="D152" s="270">
        <f t="shared" si="95"/>
        <v>2185</v>
      </c>
      <c r="E152" s="270">
        <f t="shared" si="95"/>
        <v>2374</v>
      </c>
      <c r="F152" s="270">
        <f t="shared" si="95"/>
        <v>2483</v>
      </c>
      <c r="G152" s="270">
        <f t="shared" si="95"/>
        <v>2911</v>
      </c>
      <c r="H152" s="270">
        <f t="shared" si="95"/>
        <v>3088</v>
      </c>
      <c r="I152" s="270">
        <f t="shared" si="95"/>
        <v>3487</v>
      </c>
      <c r="J152" s="270">
        <f t="shared" si="95"/>
        <v>1538</v>
      </c>
      <c r="K152" s="270">
        <f t="shared" si="95"/>
        <v>1700</v>
      </c>
      <c r="L152" s="270">
        <f t="shared" si="95"/>
        <v>2060</v>
      </c>
      <c r="M152" s="270">
        <f t="shared" si="95"/>
        <v>2424</v>
      </c>
      <c r="N152" s="270">
        <f t="shared" si="95"/>
        <v>3082</v>
      </c>
      <c r="O152" s="270">
        <f t="shared" si="95"/>
        <v>3082</v>
      </c>
      <c r="P152" s="270">
        <f t="shared" si="95"/>
        <v>3082</v>
      </c>
      <c r="Q152" s="270">
        <f t="shared" si="95"/>
        <v>3082</v>
      </c>
      <c r="R152" s="270">
        <f t="shared" si="95"/>
        <v>3082</v>
      </c>
      <c r="S152" s="270">
        <f t="shared" si="93"/>
        <v>3082</v>
      </c>
      <c r="T152" s="270">
        <f t="shared" si="93"/>
        <v>3082</v>
      </c>
      <c r="U152" s="270">
        <f t="shared" si="97"/>
        <v>3082</v>
      </c>
      <c r="V152" s="270">
        <f t="shared" si="97"/>
        <v>3082</v>
      </c>
      <c r="W152" s="270">
        <f t="shared" si="97"/>
        <v>3082</v>
      </c>
      <c r="X152" s="270">
        <f t="shared" si="97"/>
        <v>3082</v>
      </c>
      <c r="Y152" s="270">
        <f t="shared" si="97"/>
        <v>3082</v>
      </c>
      <c r="Z152" s="270">
        <f t="shared" si="97"/>
        <v>3082</v>
      </c>
      <c r="AA152" s="270">
        <f t="shared" si="97"/>
        <v>3082</v>
      </c>
      <c r="AB152" s="270">
        <f t="shared" si="97"/>
        <v>3082</v>
      </c>
      <c r="AC152" s="270">
        <f t="shared" si="97"/>
        <v>3082</v>
      </c>
      <c r="AD152" s="270">
        <f t="shared" si="94"/>
        <v>3082</v>
      </c>
      <c r="AE152" s="270">
        <f t="shared" ref="AE152:AE170" si="98">+MIN(MAX(0,$C152-AE$11),AE$12-AE$11)*AE$17
+MIN(MAX(0,$C152-AE$12),AE$13-AE$12)*AE$18
+MIN(MAX(0,$C152-AE$13),AE$14-AE$13)*AE$19
+MIN(MAX(0,$C152-AE$14),AE$15-AE$14)*AE$20
+MAX(0,$C152-AE$15)*AE$21
+AE$26</f>
        <v>3082</v>
      </c>
      <c r="AF152" s="270">
        <f t="shared" si="96"/>
        <v>3082</v>
      </c>
      <c r="AG152" s="270">
        <f t="shared" si="96"/>
        <v>3082</v>
      </c>
      <c r="AH152" s="270">
        <f t="shared" si="96"/>
        <v>3082</v>
      </c>
      <c r="AI152" s="270">
        <f t="shared" si="96"/>
        <v>3082</v>
      </c>
      <c r="AJ152" s="270">
        <f t="shared" si="96"/>
        <v>3082</v>
      </c>
      <c r="AK152" s="270">
        <f t="shared" si="96"/>
        <v>3082</v>
      </c>
      <c r="AL152" s="270">
        <f t="shared" si="96"/>
        <v>3082</v>
      </c>
      <c r="AM152" s="270">
        <f t="shared" si="96"/>
        <v>3082</v>
      </c>
    </row>
    <row r="153" spans="2:39" ht="15.75" thickBot="1" x14ac:dyDescent="0.35">
      <c r="B153" s="56" t="str">
        <f>input_names!$B$3</f>
        <v>benzine</v>
      </c>
      <c r="C153" s="61">
        <v>105</v>
      </c>
      <c r="D153" s="270">
        <f t="shared" si="95"/>
        <v>2254</v>
      </c>
      <c r="E153" s="270">
        <f t="shared" si="95"/>
        <v>2443</v>
      </c>
      <c r="F153" s="270">
        <f t="shared" si="95"/>
        <v>2627</v>
      </c>
      <c r="G153" s="270">
        <f t="shared" si="95"/>
        <v>3050</v>
      </c>
      <c r="H153" s="270">
        <f t="shared" si="95"/>
        <v>3218</v>
      </c>
      <c r="I153" s="270">
        <f t="shared" si="95"/>
        <v>3614</v>
      </c>
      <c r="J153" s="270">
        <f t="shared" si="95"/>
        <v>1598</v>
      </c>
      <c r="K153" s="270">
        <f t="shared" si="95"/>
        <v>1762</v>
      </c>
      <c r="L153" s="270">
        <f t="shared" si="95"/>
        <v>2128</v>
      </c>
      <c r="M153" s="270">
        <f t="shared" si="95"/>
        <v>2591</v>
      </c>
      <c r="N153" s="270">
        <f t="shared" si="95"/>
        <v>3255</v>
      </c>
      <c r="O153" s="270">
        <f t="shared" si="95"/>
        <v>3255</v>
      </c>
      <c r="P153" s="270">
        <f t="shared" si="95"/>
        <v>3255</v>
      </c>
      <c r="Q153" s="270">
        <f t="shared" si="95"/>
        <v>3255</v>
      </c>
      <c r="R153" s="270">
        <f t="shared" si="95"/>
        <v>3255</v>
      </c>
      <c r="S153" s="270">
        <f t="shared" si="93"/>
        <v>3255</v>
      </c>
      <c r="T153" s="270">
        <f t="shared" si="93"/>
        <v>3255</v>
      </c>
      <c r="U153" s="270">
        <f t="shared" si="97"/>
        <v>3255</v>
      </c>
      <c r="V153" s="270">
        <f t="shared" si="97"/>
        <v>3255</v>
      </c>
      <c r="W153" s="270">
        <f t="shared" si="97"/>
        <v>3255</v>
      </c>
      <c r="X153" s="270">
        <f t="shared" si="97"/>
        <v>3255</v>
      </c>
      <c r="Y153" s="270">
        <f t="shared" si="97"/>
        <v>3255</v>
      </c>
      <c r="Z153" s="270">
        <f t="shared" si="97"/>
        <v>3255</v>
      </c>
      <c r="AA153" s="270">
        <f t="shared" si="97"/>
        <v>3255</v>
      </c>
      <c r="AB153" s="270">
        <f t="shared" si="97"/>
        <v>3255</v>
      </c>
      <c r="AC153" s="270">
        <f t="shared" si="97"/>
        <v>3255</v>
      </c>
      <c r="AD153" s="270">
        <f t="shared" si="94"/>
        <v>3255</v>
      </c>
      <c r="AE153" s="270">
        <f t="shared" si="98"/>
        <v>3255</v>
      </c>
      <c r="AF153" s="270">
        <f t="shared" si="96"/>
        <v>3255</v>
      </c>
      <c r="AG153" s="270">
        <f t="shared" si="96"/>
        <v>3255</v>
      </c>
      <c r="AH153" s="270">
        <f t="shared" si="96"/>
        <v>3255</v>
      </c>
      <c r="AI153" s="270">
        <f t="shared" si="96"/>
        <v>3255</v>
      </c>
      <c r="AJ153" s="270">
        <f t="shared" si="96"/>
        <v>3255</v>
      </c>
      <c r="AK153" s="270">
        <f t="shared" si="96"/>
        <v>3255</v>
      </c>
      <c r="AL153" s="270">
        <f t="shared" si="96"/>
        <v>3255</v>
      </c>
      <c r="AM153" s="270">
        <f t="shared" si="96"/>
        <v>3255</v>
      </c>
    </row>
    <row r="154" spans="2:39" ht="15.75" thickBot="1" x14ac:dyDescent="0.35">
      <c r="B154" s="56" t="str">
        <f>input_names!$B$3</f>
        <v>benzine</v>
      </c>
      <c r="C154" s="61">
        <v>106</v>
      </c>
      <c r="D154" s="270">
        <f t="shared" si="95"/>
        <v>2323</v>
      </c>
      <c r="E154" s="270">
        <f t="shared" si="95"/>
        <v>2512</v>
      </c>
      <c r="F154" s="270">
        <f t="shared" si="95"/>
        <v>2771</v>
      </c>
      <c r="G154" s="270">
        <f t="shared" si="95"/>
        <v>3189</v>
      </c>
      <c r="H154" s="270">
        <f t="shared" si="95"/>
        <v>3348</v>
      </c>
      <c r="I154" s="270">
        <f t="shared" si="95"/>
        <v>3741</v>
      </c>
      <c r="J154" s="270">
        <f t="shared" si="95"/>
        <v>1658</v>
      </c>
      <c r="K154" s="270">
        <f t="shared" si="95"/>
        <v>1824</v>
      </c>
      <c r="L154" s="270">
        <f t="shared" si="95"/>
        <v>2196</v>
      </c>
      <c r="M154" s="270">
        <f t="shared" si="95"/>
        <v>2758</v>
      </c>
      <c r="N154" s="270">
        <f t="shared" si="95"/>
        <v>3428</v>
      </c>
      <c r="O154" s="270">
        <f t="shared" si="95"/>
        <v>3428</v>
      </c>
      <c r="P154" s="270">
        <f t="shared" si="95"/>
        <v>3428</v>
      </c>
      <c r="Q154" s="270">
        <f t="shared" si="95"/>
        <v>3428</v>
      </c>
      <c r="R154" s="270">
        <f t="shared" si="95"/>
        <v>3428</v>
      </c>
      <c r="S154" s="270">
        <f t="shared" si="93"/>
        <v>3428</v>
      </c>
      <c r="T154" s="270">
        <f t="shared" si="93"/>
        <v>3428</v>
      </c>
      <c r="U154" s="270">
        <f t="shared" si="97"/>
        <v>3428</v>
      </c>
      <c r="V154" s="270">
        <f t="shared" si="97"/>
        <v>3428</v>
      </c>
      <c r="W154" s="270">
        <f t="shared" si="97"/>
        <v>3428</v>
      </c>
      <c r="X154" s="270">
        <f t="shared" si="97"/>
        <v>3428</v>
      </c>
      <c r="Y154" s="270">
        <f t="shared" si="97"/>
        <v>3428</v>
      </c>
      <c r="Z154" s="270">
        <f t="shared" si="97"/>
        <v>3428</v>
      </c>
      <c r="AA154" s="270">
        <f t="shared" si="97"/>
        <v>3428</v>
      </c>
      <c r="AB154" s="270">
        <f t="shared" si="97"/>
        <v>3428</v>
      </c>
      <c r="AC154" s="270">
        <f t="shared" si="97"/>
        <v>3428</v>
      </c>
      <c r="AD154" s="270">
        <f t="shared" si="94"/>
        <v>3428</v>
      </c>
      <c r="AE154" s="270">
        <f t="shared" si="98"/>
        <v>3428</v>
      </c>
      <c r="AF154" s="270">
        <f t="shared" ref="AF154:AM163" si="99">+MIN(MAX(0,$C154-AF$11),AF$12-AF$11)*AF$17
+MIN(MAX(0,$C154-AF$12),AF$13-AF$12)*AF$18
+MIN(MAX(0,$C154-AF$13),AF$14-AF$13)*AF$19
+MIN(MAX(0,$C154-AF$14),AF$15-AF$14)*AF$20
+MAX(0,$C154-AF$15)*AF$21
+AF$26</f>
        <v>3428</v>
      </c>
      <c r="AG154" s="270">
        <f t="shared" si="99"/>
        <v>3428</v>
      </c>
      <c r="AH154" s="270">
        <f t="shared" si="99"/>
        <v>3428</v>
      </c>
      <c r="AI154" s="270">
        <f t="shared" si="99"/>
        <v>3428</v>
      </c>
      <c r="AJ154" s="270">
        <f t="shared" si="99"/>
        <v>3428</v>
      </c>
      <c r="AK154" s="270">
        <f t="shared" si="99"/>
        <v>3428</v>
      </c>
      <c r="AL154" s="270">
        <f t="shared" si="99"/>
        <v>3428</v>
      </c>
      <c r="AM154" s="270">
        <f t="shared" si="99"/>
        <v>3428</v>
      </c>
    </row>
    <row r="155" spans="2:39" ht="15.75" thickBot="1" x14ac:dyDescent="0.35">
      <c r="B155" s="56" t="str">
        <f>input_names!$B$3</f>
        <v>benzine</v>
      </c>
      <c r="C155" s="61">
        <v>107</v>
      </c>
      <c r="D155" s="270">
        <f t="shared" si="95"/>
        <v>2392</v>
      </c>
      <c r="E155" s="270">
        <f t="shared" si="95"/>
        <v>2635</v>
      </c>
      <c r="F155" s="270">
        <f t="shared" si="95"/>
        <v>2915</v>
      </c>
      <c r="G155" s="270">
        <f t="shared" si="95"/>
        <v>3328</v>
      </c>
      <c r="H155" s="270">
        <f t="shared" si="95"/>
        <v>3478</v>
      </c>
      <c r="I155" s="270">
        <f t="shared" si="95"/>
        <v>3868</v>
      </c>
      <c r="J155" s="270">
        <f t="shared" si="95"/>
        <v>1718</v>
      </c>
      <c r="K155" s="270">
        <f t="shared" si="95"/>
        <v>1886</v>
      </c>
      <c r="L155" s="270">
        <f t="shared" si="95"/>
        <v>2345</v>
      </c>
      <c r="M155" s="270">
        <f t="shared" si="95"/>
        <v>2925</v>
      </c>
      <c r="N155" s="270">
        <f t="shared" si="95"/>
        <v>3601</v>
      </c>
      <c r="O155" s="270">
        <f t="shared" si="95"/>
        <v>3601</v>
      </c>
      <c r="P155" s="270">
        <f t="shared" si="95"/>
        <v>3601</v>
      </c>
      <c r="Q155" s="270">
        <f t="shared" si="95"/>
        <v>3601</v>
      </c>
      <c r="R155" s="270">
        <f t="shared" si="95"/>
        <v>3601</v>
      </c>
      <c r="S155" s="270">
        <f t="shared" si="93"/>
        <v>3601</v>
      </c>
      <c r="T155" s="270">
        <f t="shared" si="93"/>
        <v>3601</v>
      </c>
      <c r="U155" s="270">
        <f t="shared" si="97"/>
        <v>3601</v>
      </c>
      <c r="V155" s="270">
        <f t="shared" si="97"/>
        <v>3601</v>
      </c>
      <c r="W155" s="270">
        <f t="shared" si="97"/>
        <v>3601</v>
      </c>
      <c r="X155" s="270">
        <f t="shared" si="97"/>
        <v>3601</v>
      </c>
      <c r="Y155" s="270">
        <f t="shared" si="97"/>
        <v>3601</v>
      </c>
      <c r="Z155" s="270">
        <f t="shared" si="97"/>
        <v>3601</v>
      </c>
      <c r="AA155" s="270">
        <f t="shared" si="97"/>
        <v>3601</v>
      </c>
      <c r="AB155" s="270">
        <f t="shared" si="97"/>
        <v>3601</v>
      </c>
      <c r="AC155" s="270">
        <f t="shared" si="97"/>
        <v>3601</v>
      </c>
      <c r="AD155" s="270">
        <f t="shared" si="94"/>
        <v>3601</v>
      </c>
      <c r="AE155" s="270">
        <f t="shared" si="98"/>
        <v>3601</v>
      </c>
      <c r="AF155" s="270">
        <f t="shared" si="99"/>
        <v>3601</v>
      </c>
      <c r="AG155" s="270">
        <f t="shared" si="99"/>
        <v>3601</v>
      </c>
      <c r="AH155" s="270">
        <f t="shared" si="99"/>
        <v>3601</v>
      </c>
      <c r="AI155" s="270">
        <f t="shared" si="99"/>
        <v>3601</v>
      </c>
      <c r="AJ155" s="270">
        <f t="shared" si="99"/>
        <v>3601</v>
      </c>
      <c r="AK155" s="270">
        <f t="shared" si="99"/>
        <v>3601</v>
      </c>
      <c r="AL155" s="270">
        <f t="shared" si="99"/>
        <v>3601</v>
      </c>
      <c r="AM155" s="270">
        <f t="shared" si="99"/>
        <v>3601</v>
      </c>
    </row>
    <row r="156" spans="2:39" ht="15.75" thickBot="1" x14ac:dyDescent="0.35">
      <c r="B156" s="56" t="str">
        <f>input_names!$B$3</f>
        <v>benzine</v>
      </c>
      <c r="C156" s="61">
        <v>108</v>
      </c>
      <c r="D156" s="270">
        <f t="shared" si="95"/>
        <v>2461</v>
      </c>
      <c r="E156" s="270">
        <f t="shared" si="95"/>
        <v>2758</v>
      </c>
      <c r="F156" s="270">
        <f t="shared" si="95"/>
        <v>3059</v>
      </c>
      <c r="G156" s="270">
        <f t="shared" si="95"/>
        <v>3467</v>
      </c>
      <c r="H156" s="270">
        <f t="shared" si="95"/>
        <v>3608</v>
      </c>
      <c r="I156" s="270">
        <f t="shared" si="95"/>
        <v>3995</v>
      </c>
      <c r="J156" s="270">
        <f t="shared" si="95"/>
        <v>1778</v>
      </c>
      <c r="K156" s="270">
        <f t="shared" si="95"/>
        <v>1948</v>
      </c>
      <c r="L156" s="270">
        <f t="shared" si="95"/>
        <v>2494</v>
      </c>
      <c r="M156" s="270">
        <f t="shared" si="95"/>
        <v>3092</v>
      </c>
      <c r="N156" s="270">
        <f t="shared" si="95"/>
        <v>3774</v>
      </c>
      <c r="O156" s="270">
        <f t="shared" si="95"/>
        <v>3774</v>
      </c>
      <c r="P156" s="270">
        <f t="shared" si="95"/>
        <v>3774</v>
      </c>
      <c r="Q156" s="270">
        <f t="shared" si="95"/>
        <v>3774</v>
      </c>
      <c r="R156" s="270">
        <f t="shared" si="95"/>
        <v>3774</v>
      </c>
      <c r="S156" s="270">
        <f t="shared" si="93"/>
        <v>3774</v>
      </c>
      <c r="T156" s="270">
        <f t="shared" si="93"/>
        <v>3774</v>
      </c>
      <c r="U156" s="270">
        <f t="shared" si="97"/>
        <v>3774</v>
      </c>
      <c r="V156" s="270">
        <f t="shared" si="97"/>
        <v>3774</v>
      </c>
      <c r="W156" s="270">
        <f t="shared" si="97"/>
        <v>3774</v>
      </c>
      <c r="X156" s="270">
        <f t="shared" si="97"/>
        <v>3774</v>
      </c>
      <c r="Y156" s="270">
        <f t="shared" si="97"/>
        <v>3774</v>
      </c>
      <c r="Z156" s="270">
        <f t="shared" si="97"/>
        <v>3774</v>
      </c>
      <c r="AA156" s="270">
        <f t="shared" si="97"/>
        <v>3774</v>
      </c>
      <c r="AB156" s="270">
        <f t="shared" si="97"/>
        <v>3774</v>
      </c>
      <c r="AC156" s="270">
        <f t="shared" si="97"/>
        <v>3774</v>
      </c>
      <c r="AD156" s="270">
        <f t="shared" si="94"/>
        <v>3774</v>
      </c>
      <c r="AE156" s="270">
        <f t="shared" si="98"/>
        <v>3774</v>
      </c>
      <c r="AF156" s="270">
        <f t="shared" si="99"/>
        <v>3774</v>
      </c>
      <c r="AG156" s="270">
        <f t="shared" si="99"/>
        <v>3774</v>
      </c>
      <c r="AH156" s="270">
        <f t="shared" si="99"/>
        <v>3774</v>
      </c>
      <c r="AI156" s="270">
        <f t="shared" si="99"/>
        <v>3774</v>
      </c>
      <c r="AJ156" s="270">
        <f t="shared" si="99"/>
        <v>3774</v>
      </c>
      <c r="AK156" s="270">
        <f t="shared" si="99"/>
        <v>3774</v>
      </c>
      <c r="AL156" s="270">
        <f t="shared" si="99"/>
        <v>3774</v>
      </c>
      <c r="AM156" s="270">
        <f t="shared" si="99"/>
        <v>3774</v>
      </c>
    </row>
    <row r="157" spans="2:39" ht="15.75" thickBot="1" x14ac:dyDescent="0.35">
      <c r="B157" s="56" t="str">
        <f>input_names!$B$3</f>
        <v>benzine</v>
      </c>
      <c r="C157" s="61">
        <v>109</v>
      </c>
      <c r="D157" s="270">
        <f t="shared" si="95"/>
        <v>2530</v>
      </c>
      <c r="E157" s="270">
        <f t="shared" si="95"/>
        <v>2881</v>
      </c>
      <c r="F157" s="270">
        <f t="shared" si="95"/>
        <v>3203</v>
      </c>
      <c r="G157" s="270">
        <f t="shared" si="95"/>
        <v>3606</v>
      </c>
      <c r="H157" s="270">
        <f t="shared" si="95"/>
        <v>3738</v>
      </c>
      <c r="I157" s="270">
        <f t="shared" si="95"/>
        <v>4122</v>
      </c>
      <c r="J157" s="270">
        <f t="shared" si="95"/>
        <v>1838</v>
      </c>
      <c r="K157" s="270">
        <f t="shared" si="95"/>
        <v>2010</v>
      </c>
      <c r="L157" s="270">
        <f t="shared" si="95"/>
        <v>2643</v>
      </c>
      <c r="M157" s="270">
        <f t="shared" si="95"/>
        <v>3259</v>
      </c>
      <c r="N157" s="270">
        <f t="shared" si="95"/>
        <v>3947</v>
      </c>
      <c r="O157" s="270">
        <f t="shared" si="95"/>
        <v>3947</v>
      </c>
      <c r="P157" s="270">
        <f t="shared" si="95"/>
        <v>3947</v>
      </c>
      <c r="Q157" s="270">
        <f t="shared" si="95"/>
        <v>3947</v>
      </c>
      <c r="R157" s="270">
        <f t="shared" si="95"/>
        <v>3947</v>
      </c>
      <c r="S157" s="270">
        <f t="shared" si="93"/>
        <v>3947</v>
      </c>
      <c r="T157" s="270">
        <f t="shared" si="93"/>
        <v>3947</v>
      </c>
      <c r="U157" s="270">
        <f t="shared" si="97"/>
        <v>3947</v>
      </c>
      <c r="V157" s="270">
        <f t="shared" si="97"/>
        <v>3947</v>
      </c>
      <c r="W157" s="270">
        <f t="shared" si="97"/>
        <v>3947</v>
      </c>
      <c r="X157" s="270">
        <f t="shared" si="97"/>
        <v>3947</v>
      </c>
      <c r="Y157" s="270">
        <f t="shared" si="97"/>
        <v>3947</v>
      </c>
      <c r="Z157" s="270">
        <f t="shared" si="97"/>
        <v>3947</v>
      </c>
      <c r="AA157" s="270">
        <f t="shared" si="97"/>
        <v>3947</v>
      </c>
      <c r="AB157" s="270">
        <f t="shared" si="97"/>
        <v>3947</v>
      </c>
      <c r="AC157" s="270">
        <f t="shared" si="97"/>
        <v>3947</v>
      </c>
      <c r="AD157" s="270">
        <f t="shared" si="94"/>
        <v>3947</v>
      </c>
      <c r="AE157" s="270">
        <f t="shared" si="98"/>
        <v>3947</v>
      </c>
      <c r="AF157" s="270">
        <f t="shared" si="99"/>
        <v>3947</v>
      </c>
      <c r="AG157" s="270">
        <f t="shared" si="99"/>
        <v>3947</v>
      </c>
      <c r="AH157" s="270">
        <f t="shared" si="99"/>
        <v>3947</v>
      </c>
      <c r="AI157" s="270">
        <f t="shared" si="99"/>
        <v>3947</v>
      </c>
      <c r="AJ157" s="270">
        <f t="shared" si="99"/>
        <v>3947</v>
      </c>
      <c r="AK157" s="270">
        <f t="shared" si="99"/>
        <v>3947</v>
      </c>
      <c r="AL157" s="270">
        <f t="shared" si="99"/>
        <v>3947</v>
      </c>
      <c r="AM157" s="270">
        <f t="shared" si="99"/>
        <v>3947</v>
      </c>
    </row>
    <row r="158" spans="2:39" ht="15.75" thickBot="1" x14ac:dyDescent="0.35">
      <c r="B158" s="56" t="str">
        <f>input_names!$B$3</f>
        <v>benzine</v>
      </c>
      <c r="C158" s="61">
        <v>110</v>
      </c>
      <c r="D158" s="270">
        <f t="shared" si="95"/>
        <v>2599</v>
      </c>
      <c r="E158" s="270">
        <f t="shared" si="95"/>
        <v>3004</v>
      </c>
      <c r="F158" s="270">
        <f t="shared" si="95"/>
        <v>3347</v>
      </c>
      <c r="G158" s="270">
        <f t="shared" si="95"/>
        <v>3745</v>
      </c>
      <c r="H158" s="270">
        <f t="shared" si="95"/>
        <v>3868</v>
      </c>
      <c r="I158" s="270">
        <f t="shared" si="95"/>
        <v>4249</v>
      </c>
      <c r="J158" s="270">
        <f t="shared" si="95"/>
        <v>1898</v>
      </c>
      <c r="K158" s="270">
        <f t="shared" si="95"/>
        <v>2147</v>
      </c>
      <c r="L158" s="270">
        <f t="shared" si="95"/>
        <v>2792</v>
      </c>
      <c r="M158" s="270">
        <f t="shared" si="95"/>
        <v>3426</v>
      </c>
      <c r="N158" s="270">
        <f t="shared" si="95"/>
        <v>4120</v>
      </c>
      <c r="O158" s="270">
        <f t="shared" si="95"/>
        <v>4120</v>
      </c>
      <c r="P158" s="270">
        <f t="shared" si="95"/>
        <v>4120</v>
      </c>
      <c r="Q158" s="270">
        <f t="shared" si="95"/>
        <v>4120</v>
      </c>
      <c r="R158" s="270">
        <f t="shared" si="95"/>
        <v>4120</v>
      </c>
      <c r="S158" s="270">
        <f t="shared" si="93"/>
        <v>4120</v>
      </c>
      <c r="T158" s="270">
        <f t="shared" si="93"/>
        <v>4120</v>
      </c>
      <c r="U158" s="270">
        <f t="shared" si="97"/>
        <v>4120</v>
      </c>
      <c r="V158" s="270">
        <f t="shared" si="97"/>
        <v>4120</v>
      </c>
      <c r="W158" s="270">
        <f t="shared" si="97"/>
        <v>4120</v>
      </c>
      <c r="X158" s="270">
        <f t="shared" si="97"/>
        <v>4120</v>
      </c>
      <c r="Y158" s="270">
        <f t="shared" si="97"/>
        <v>4120</v>
      </c>
      <c r="Z158" s="270">
        <f t="shared" si="97"/>
        <v>4120</v>
      </c>
      <c r="AA158" s="270">
        <f t="shared" si="97"/>
        <v>4120</v>
      </c>
      <c r="AB158" s="270">
        <f t="shared" si="97"/>
        <v>4120</v>
      </c>
      <c r="AC158" s="270">
        <f t="shared" si="97"/>
        <v>4120</v>
      </c>
      <c r="AD158" s="270">
        <f t="shared" si="94"/>
        <v>4120</v>
      </c>
      <c r="AE158" s="270">
        <f t="shared" si="98"/>
        <v>4120</v>
      </c>
      <c r="AF158" s="270">
        <f t="shared" si="99"/>
        <v>4120</v>
      </c>
      <c r="AG158" s="270">
        <f t="shared" si="99"/>
        <v>4120</v>
      </c>
      <c r="AH158" s="270">
        <f t="shared" si="99"/>
        <v>4120</v>
      </c>
      <c r="AI158" s="270">
        <f t="shared" si="99"/>
        <v>4120</v>
      </c>
      <c r="AJ158" s="270">
        <f t="shared" si="99"/>
        <v>4120</v>
      </c>
      <c r="AK158" s="270">
        <f t="shared" si="99"/>
        <v>4120</v>
      </c>
      <c r="AL158" s="270">
        <f t="shared" si="99"/>
        <v>4120</v>
      </c>
      <c r="AM158" s="270">
        <f t="shared" si="99"/>
        <v>4120</v>
      </c>
    </row>
    <row r="159" spans="2:39" ht="15.75" thickBot="1" x14ac:dyDescent="0.35">
      <c r="B159" s="56" t="str">
        <f>input_names!$B$3</f>
        <v>benzine</v>
      </c>
      <c r="C159" s="61">
        <v>111</v>
      </c>
      <c r="D159" s="270">
        <f t="shared" si="95"/>
        <v>2711</v>
      </c>
      <c r="E159" s="270">
        <f t="shared" si="95"/>
        <v>3127</v>
      </c>
      <c r="F159" s="270">
        <f t="shared" si="95"/>
        <v>3491</v>
      </c>
      <c r="G159" s="270">
        <f t="shared" si="95"/>
        <v>3884</v>
      </c>
      <c r="H159" s="270">
        <f t="shared" si="95"/>
        <v>3998</v>
      </c>
      <c r="I159" s="270">
        <f t="shared" si="95"/>
        <v>4376</v>
      </c>
      <c r="J159" s="270">
        <f t="shared" si="95"/>
        <v>1958</v>
      </c>
      <c r="K159" s="270">
        <f t="shared" si="95"/>
        <v>2284</v>
      </c>
      <c r="L159" s="270">
        <f t="shared" si="95"/>
        <v>2941</v>
      </c>
      <c r="M159" s="270">
        <f t="shared" si="95"/>
        <v>3593</v>
      </c>
      <c r="N159" s="270">
        <f t="shared" si="95"/>
        <v>4293</v>
      </c>
      <c r="O159" s="270">
        <f t="shared" si="95"/>
        <v>4293</v>
      </c>
      <c r="P159" s="270">
        <f t="shared" si="95"/>
        <v>4293</v>
      </c>
      <c r="Q159" s="270">
        <f t="shared" si="95"/>
        <v>4293</v>
      </c>
      <c r="R159" s="270">
        <f t="shared" si="95"/>
        <v>4293</v>
      </c>
      <c r="S159" s="270">
        <f t="shared" si="93"/>
        <v>4293</v>
      </c>
      <c r="T159" s="270">
        <f t="shared" si="93"/>
        <v>4293</v>
      </c>
      <c r="U159" s="270">
        <f t="shared" si="97"/>
        <v>4293</v>
      </c>
      <c r="V159" s="270">
        <f t="shared" si="97"/>
        <v>4293</v>
      </c>
      <c r="W159" s="270">
        <f t="shared" si="97"/>
        <v>4293</v>
      </c>
      <c r="X159" s="270">
        <f t="shared" si="97"/>
        <v>4293</v>
      </c>
      <c r="Y159" s="270">
        <f t="shared" si="97"/>
        <v>4293</v>
      </c>
      <c r="Z159" s="270">
        <f t="shared" si="97"/>
        <v>4293</v>
      </c>
      <c r="AA159" s="270">
        <f t="shared" si="97"/>
        <v>4293</v>
      </c>
      <c r="AB159" s="270">
        <f t="shared" si="97"/>
        <v>4293</v>
      </c>
      <c r="AC159" s="270">
        <f t="shared" si="97"/>
        <v>4293</v>
      </c>
      <c r="AD159" s="270">
        <f t="shared" si="94"/>
        <v>4293</v>
      </c>
      <c r="AE159" s="270">
        <f t="shared" si="98"/>
        <v>4293</v>
      </c>
      <c r="AF159" s="270">
        <f t="shared" si="99"/>
        <v>4293</v>
      </c>
      <c r="AG159" s="270">
        <f t="shared" si="99"/>
        <v>4293</v>
      </c>
      <c r="AH159" s="270">
        <f t="shared" si="99"/>
        <v>4293</v>
      </c>
      <c r="AI159" s="270">
        <f t="shared" si="99"/>
        <v>4293</v>
      </c>
      <c r="AJ159" s="270">
        <f t="shared" si="99"/>
        <v>4293</v>
      </c>
      <c r="AK159" s="270">
        <f t="shared" si="99"/>
        <v>4293</v>
      </c>
      <c r="AL159" s="270">
        <f t="shared" si="99"/>
        <v>4293</v>
      </c>
      <c r="AM159" s="270">
        <f t="shared" si="99"/>
        <v>4293</v>
      </c>
    </row>
    <row r="160" spans="2:39" ht="15.75" thickBot="1" x14ac:dyDescent="0.35">
      <c r="B160" s="56" t="str">
        <f>input_names!$B$3</f>
        <v>benzine</v>
      </c>
      <c r="C160" s="61">
        <v>112</v>
      </c>
      <c r="D160" s="270">
        <f t="shared" ref="D160:S175" si="100">+MIN(MAX(0,$C160-D$11),D$12-D$11)*D$17
+MIN(MAX(0,$C160-D$12),D$13-D$12)*D$18
+MIN(MAX(0,$C160-D$13),D$14-D$13)*D$19
+MIN(MAX(0,$C160-D$14),D$15-D$14)*D$20
+MAX(0,$C160-D$15)*D$21
+D$26</f>
        <v>2823</v>
      </c>
      <c r="E160" s="270">
        <f t="shared" si="100"/>
        <v>3250</v>
      </c>
      <c r="F160" s="270">
        <f t="shared" si="100"/>
        <v>3635</v>
      </c>
      <c r="G160" s="270">
        <f t="shared" si="100"/>
        <v>4023</v>
      </c>
      <c r="H160" s="270">
        <f t="shared" si="100"/>
        <v>4128</v>
      </c>
      <c r="I160" s="270">
        <f t="shared" si="100"/>
        <v>4503</v>
      </c>
      <c r="J160" s="270">
        <f t="shared" si="100"/>
        <v>2090</v>
      </c>
      <c r="K160" s="270">
        <f t="shared" si="100"/>
        <v>2421</v>
      </c>
      <c r="L160" s="270">
        <f t="shared" si="100"/>
        <v>3090</v>
      </c>
      <c r="M160" s="270">
        <f t="shared" si="100"/>
        <v>3760</v>
      </c>
      <c r="N160" s="270">
        <f t="shared" si="100"/>
        <v>4466</v>
      </c>
      <c r="O160" s="270">
        <f t="shared" si="100"/>
        <v>4466</v>
      </c>
      <c r="P160" s="270">
        <f t="shared" si="100"/>
        <v>4466</v>
      </c>
      <c r="Q160" s="270">
        <f t="shared" si="100"/>
        <v>4466</v>
      </c>
      <c r="R160" s="270">
        <f t="shared" si="100"/>
        <v>4466</v>
      </c>
      <c r="S160" s="270">
        <f t="shared" si="93"/>
        <v>4466</v>
      </c>
      <c r="T160" s="270">
        <f t="shared" si="93"/>
        <v>4466</v>
      </c>
      <c r="U160" s="270">
        <f t="shared" si="97"/>
        <v>4466</v>
      </c>
      <c r="V160" s="270">
        <f t="shared" si="97"/>
        <v>4466</v>
      </c>
      <c r="W160" s="270">
        <f t="shared" si="97"/>
        <v>4466</v>
      </c>
      <c r="X160" s="270">
        <f t="shared" si="97"/>
        <v>4466</v>
      </c>
      <c r="Y160" s="270">
        <f t="shared" si="97"/>
        <v>4466</v>
      </c>
      <c r="Z160" s="270">
        <f t="shared" si="97"/>
        <v>4466</v>
      </c>
      <c r="AA160" s="270">
        <f t="shared" si="97"/>
        <v>4466</v>
      </c>
      <c r="AB160" s="270">
        <f t="shared" si="97"/>
        <v>4466</v>
      </c>
      <c r="AC160" s="270">
        <f t="shared" si="97"/>
        <v>4466</v>
      </c>
      <c r="AD160" s="270">
        <f t="shared" si="94"/>
        <v>4466</v>
      </c>
      <c r="AE160" s="270">
        <f t="shared" si="98"/>
        <v>4466</v>
      </c>
      <c r="AF160" s="270">
        <f t="shared" si="99"/>
        <v>4466</v>
      </c>
      <c r="AG160" s="270">
        <f t="shared" si="99"/>
        <v>4466</v>
      </c>
      <c r="AH160" s="270">
        <f t="shared" si="99"/>
        <v>4466</v>
      </c>
      <c r="AI160" s="270">
        <f t="shared" si="99"/>
        <v>4466</v>
      </c>
      <c r="AJ160" s="270">
        <f t="shared" si="99"/>
        <v>4466</v>
      </c>
      <c r="AK160" s="270">
        <f t="shared" si="99"/>
        <v>4466</v>
      </c>
      <c r="AL160" s="270">
        <f t="shared" si="99"/>
        <v>4466</v>
      </c>
      <c r="AM160" s="270">
        <f t="shared" si="99"/>
        <v>4466</v>
      </c>
    </row>
    <row r="161" spans="1:39" ht="15.75" thickBot="1" x14ac:dyDescent="0.35">
      <c r="B161" s="56" t="str">
        <f>input_names!$B$3</f>
        <v>benzine</v>
      </c>
      <c r="C161" s="61">
        <v>113</v>
      </c>
      <c r="D161" s="270">
        <f t="shared" si="100"/>
        <v>2935</v>
      </c>
      <c r="E161" s="270">
        <f t="shared" si="100"/>
        <v>3373</v>
      </c>
      <c r="F161" s="270">
        <f t="shared" si="100"/>
        <v>3779</v>
      </c>
      <c r="G161" s="270">
        <f t="shared" si="100"/>
        <v>4162</v>
      </c>
      <c r="H161" s="270">
        <f t="shared" si="100"/>
        <v>4258</v>
      </c>
      <c r="I161" s="270">
        <f t="shared" si="100"/>
        <v>4630</v>
      </c>
      <c r="J161" s="270">
        <f t="shared" si="100"/>
        <v>2222</v>
      </c>
      <c r="K161" s="270">
        <f t="shared" si="100"/>
        <v>2558</v>
      </c>
      <c r="L161" s="270">
        <f t="shared" si="100"/>
        <v>3239</v>
      </c>
      <c r="M161" s="270">
        <f t="shared" si="100"/>
        <v>3927</v>
      </c>
      <c r="N161" s="270">
        <f t="shared" si="100"/>
        <v>4639</v>
      </c>
      <c r="O161" s="270">
        <f t="shared" si="100"/>
        <v>4639</v>
      </c>
      <c r="P161" s="270">
        <f t="shared" si="100"/>
        <v>4639</v>
      </c>
      <c r="Q161" s="270">
        <f t="shared" si="100"/>
        <v>4639</v>
      </c>
      <c r="R161" s="270">
        <f t="shared" si="100"/>
        <v>4639</v>
      </c>
      <c r="S161" s="270">
        <f t="shared" si="93"/>
        <v>4639</v>
      </c>
      <c r="T161" s="270">
        <f t="shared" si="93"/>
        <v>4639</v>
      </c>
      <c r="U161" s="270">
        <f t="shared" si="97"/>
        <v>4639</v>
      </c>
      <c r="V161" s="270">
        <f t="shared" si="97"/>
        <v>4639</v>
      </c>
      <c r="W161" s="270">
        <f t="shared" si="97"/>
        <v>4639</v>
      </c>
      <c r="X161" s="270">
        <f t="shared" si="97"/>
        <v>4639</v>
      </c>
      <c r="Y161" s="270">
        <f t="shared" si="97"/>
        <v>4639</v>
      </c>
      <c r="Z161" s="270">
        <f t="shared" si="97"/>
        <v>4639</v>
      </c>
      <c r="AA161" s="270">
        <f t="shared" si="97"/>
        <v>4639</v>
      </c>
      <c r="AB161" s="270">
        <f t="shared" si="97"/>
        <v>4639</v>
      </c>
      <c r="AC161" s="270">
        <f t="shared" si="97"/>
        <v>4639</v>
      </c>
      <c r="AD161" s="270">
        <f t="shared" si="94"/>
        <v>4639</v>
      </c>
      <c r="AE161" s="270">
        <f t="shared" si="98"/>
        <v>4639</v>
      </c>
      <c r="AF161" s="270">
        <f t="shared" si="99"/>
        <v>4639</v>
      </c>
      <c r="AG161" s="270">
        <f t="shared" si="99"/>
        <v>4639</v>
      </c>
      <c r="AH161" s="270">
        <f t="shared" si="99"/>
        <v>4639</v>
      </c>
      <c r="AI161" s="270">
        <f t="shared" si="99"/>
        <v>4639</v>
      </c>
      <c r="AJ161" s="270">
        <f t="shared" si="99"/>
        <v>4639</v>
      </c>
      <c r="AK161" s="270">
        <f t="shared" si="99"/>
        <v>4639</v>
      </c>
      <c r="AL161" s="270">
        <f t="shared" si="99"/>
        <v>4639</v>
      </c>
      <c r="AM161" s="270">
        <f t="shared" si="99"/>
        <v>4639</v>
      </c>
    </row>
    <row r="162" spans="1:39" ht="15.75" thickBot="1" x14ac:dyDescent="0.35">
      <c r="B162" s="56" t="str">
        <f>input_names!$B$3</f>
        <v>benzine</v>
      </c>
      <c r="C162" s="61">
        <v>114</v>
      </c>
      <c r="D162" s="270">
        <f t="shared" si="100"/>
        <v>3047</v>
      </c>
      <c r="E162" s="270">
        <f t="shared" si="100"/>
        <v>3496</v>
      </c>
      <c r="F162" s="270">
        <f t="shared" si="100"/>
        <v>3923</v>
      </c>
      <c r="G162" s="270">
        <f t="shared" si="100"/>
        <v>4301</v>
      </c>
      <c r="H162" s="270">
        <f t="shared" si="100"/>
        <v>4388</v>
      </c>
      <c r="I162" s="270">
        <f t="shared" si="100"/>
        <v>4757</v>
      </c>
      <c r="J162" s="270">
        <f t="shared" si="100"/>
        <v>2354</v>
      </c>
      <c r="K162" s="270">
        <f t="shared" si="100"/>
        <v>2695</v>
      </c>
      <c r="L162" s="270">
        <f t="shared" si="100"/>
        <v>3388</v>
      </c>
      <c r="M162" s="270">
        <f t="shared" si="100"/>
        <v>4094</v>
      </c>
      <c r="N162" s="270">
        <f t="shared" si="100"/>
        <v>4812</v>
      </c>
      <c r="O162" s="270">
        <f t="shared" si="100"/>
        <v>4812</v>
      </c>
      <c r="P162" s="270">
        <f t="shared" si="100"/>
        <v>4812</v>
      </c>
      <c r="Q162" s="270">
        <f t="shared" si="100"/>
        <v>4812</v>
      </c>
      <c r="R162" s="270">
        <f t="shared" si="100"/>
        <v>4812</v>
      </c>
      <c r="S162" s="270">
        <f t="shared" si="93"/>
        <v>4812</v>
      </c>
      <c r="T162" s="270">
        <f t="shared" si="93"/>
        <v>4812</v>
      </c>
      <c r="U162" s="270">
        <f t="shared" si="97"/>
        <v>4812</v>
      </c>
      <c r="V162" s="270">
        <f t="shared" si="97"/>
        <v>4812</v>
      </c>
      <c r="W162" s="270">
        <f t="shared" si="97"/>
        <v>4812</v>
      </c>
      <c r="X162" s="270">
        <f t="shared" si="97"/>
        <v>4812</v>
      </c>
      <c r="Y162" s="270">
        <f t="shared" si="97"/>
        <v>4812</v>
      </c>
      <c r="Z162" s="270">
        <f t="shared" si="97"/>
        <v>4812</v>
      </c>
      <c r="AA162" s="270">
        <f t="shared" si="97"/>
        <v>4812</v>
      </c>
      <c r="AB162" s="270">
        <f t="shared" si="97"/>
        <v>4812</v>
      </c>
      <c r="AC162" s="270">
        <f t="shared" si="97"/>
        <v>4812</v>
      </c>
      <c r="AD162" s="270">
        <f t="shared" si="94"/>
        <v>4812</v>
      </c>
      <c r="AE162" s="270">
        <f t="shared" si="98"/>
        <v>4812</v>
      </c>
      <c r="AF162" s="270">
        <f t="shared" si="99"/>
        <v>4812</v>
      </c>
      <c r="AG162" s="270">
        <f t="shared" si="99"/>
        <v>4812</v>
      </c>
      <c r="AH162" s="270">
        <f t="shared" si="99"/>
        <v>4812</v>
      </c>
      <c r="AI162" s="270">
        <f t="shared" si="99"/>
        <v>4812</v>
      </c>
      <c r="AJ162" s="270">
        <f t="shared" si="99"/>
        <v>4812</v>
      </c>
      <c r="AK162" s="270">
        <f t="shared" si="99"/>
        <v>4812</v>
      </c>
      <c r="AL162" s="270">
        <f t="shared" si="99"/>
        <v>4812</v>
      </c>
      <c r="AM162" s="270">
        <f t="shared" si="99"/>
        <v>4812</v>
      </c>
    </row>
    <row r="163" spans="1:39" ht="15.75" thickBot="1" x14ac:dyDescent="0.35">
      <c r="B163" s="56" t="str">
        <f>input_names!$B$3</f>
        <v>benzine</v>
      </c>
      <c r="C163" s="61">
        <v>115</v>
      </c>
      <c r="D163" s="270">
        <f t="shared" si="100"/>
        <v>3159</v>
      </c>
      <c r="E163" s="270">
        <f t="shared" si="100"/>
        <v>3619</v>
      </c>
      <c r="F163" s="270">
        <f t="shared" si="100"/>
        <v>4067</v>
      </c>
      <c r="G163" s="270">
        <f t="shared" si="100"/>
        <v>4440</v>
      </c>
      <c r="H163" s="270">
        <f t="shared" si="100"/>
        <v>4518</v>
      </c>
      <c r="I163" s="270">
        <f t="shared" si="100"/>
        <v>4884</v>
      </c>
      <c r="J163" s="270">
        <f t="shared" si="100"/>
        <v>2486</v>
      </c>
      <c r="K163" s="270">
        <f t="shared" si="100"/>
        <v>2832</v>
      </c>
      <c r="L163" s="270">
        <f t="shared" si="100"/>
        <v>3537</v>
      </c>
      <c r="M163" s="270">
        <f t="shared" si="100"/>
        <v>4261</v>
      </c>
      <c r="N163" s="270">
        <f t="shared" si="100"/>
        <v>4985</v>
      </c>
      <c r="O163" s="270">
        <f t="shared" si="100"/>
        <v>4985</v>
      </c>
      <c r="P163" s="270">
        <f t="shared" si="100"/>
        <v>4985</v>
      </c>
      <c r="Q163" s="270">
        <f t="shared" si="100"/>
        <v>4985</v>
      </c>
      <c r="R163" s="270">
        <f t="shared" si="100"/>
        <v>4985</v>
      </c>
      <c r="S163" s="270">
        <f t="shared" si="93"/>
        <v>4985</v>
      </c>
      <c r="T163" s="270">
        <f t="shared" si="93"/>
        <v>4985</v>
      </c>
      <c r="U163" s="270">
        <f t="shared" si="97"/>
        <v>4985</v>
      </c>
      <c r="V163" s="270">
        <f t="shared" si="97"/>
        <v>4985</v>
      </c>
      <c r="W163" s="270">
        <f t="shared" si="97"/>
        <v>4985</v>
      </c>
      <c r="X163" s="270">
        <f t="shared" si="97"/>
        <v>4985</v>
      </c>
      <c r="Y163" s="270">
        <f t="shared" si="97"/>
        <v>4985</v>
      </c>
      <c r="Z163" s="270">
        <f t="shared" si="97"/>
        <v>4985</v>
      </c>
      <c r="AA163" s="270">
        <f t="shared" si="97"/>
        <v>4985</v>
      </c>
      <c r="AB163" s="270">
        <f t="shared" si="97"/>
        <v>4985</v>
      </c>
      <c r="AC163" s="270">
        <f t="shared" si="97"/>
        <v>4985</v>
      </c>
      <c r="AD163" s="270">
        <f t="shared" si="94"/>
        <v>4985</v>
      </c>
      <c r="AE163" s="270">
        <f t="shared" si="98"/>
        <v>4985</v>
      </c>
      <c r="AF163" s="270">
        <f t="shared" si="99"/>
        <v>4985</v>
      </c>
      <c r="AG163" s="270">
        <f t="shared" si="99"/>
        <v>4985</v>
      </c>
      <c r="AH163" s="270">
        <f t="shared" si="99"/>
        <v>4985</v>
      </c>
      <c r="AI163" s="270">
        <f t="shared" si="99"/>
        <v>4985</v>
      </c>
      <c r="AJ163" s="270">
        <f t="shared" si="99"/>
        <v>4985</v>
      </c>
      <c r="AK163" s="270">
        <f t="shared" si="99"/>
        <v>4985</v>
      </c>
      <c r="AL163" s="270">
        <f t="shared" si="99"/>
        <v>4985</v>
      </c>
      <c r="AM163" s="270">
        <f t="shared" si="99"/>
        <v>4985</v>
      </c>
    </row>
    <row r="164" spans="1:39" ht="15.75" thickBot="1" x14ac:dyDescent="0.35">
      <c r="A164" s="311"/>
      <c r="B164" s="56" t="str">
        <f>input_names!$B$3</f>
        <v>benzine</v>
      </c>
      <c r="C164" s="61">
        <v>116</v>
      </c>
      <c r="D164" s="270">
        <f t="shared" si="100"/>
        <v>3271</v>
      </c>
      <c r="E164" s="270">
        <f t="shared" si="100"/>
        <v>3742</v>
      </c>
      <c r="F164" s="270">
        <f t="shared" si="100"/>
        <v>4211</v>
      </c>
      <c r="G164" s="270">
        <f t="shared" si="100"/>
        <v>4579</v>
      </c>
      <c r="H164" s="270">
        <f t="shared" si="100"/>
        <v>4648</v>
      </c>
      <c r="I164" s="270">
        <f t="shared" si="100"/>
        <v>5011</v>
      </c>
      <c r="J164" s="270">
        <f t="shared" si="100"/>
        <v>2618</v>
      </c>
      <c r="K164" s="270">
        <f t="shared" si="100"/>
        <v>2969</v>
      </c>
      <c r="L164" s="270">
        <f t="shared" si="100"/>
        <v>3686</v>
      </c>
      <c r="M164" s="270">
        <f t="shared" si="100"/>
        <v>4428</v>
      </c>
      <c r="N164" s="270">
        <f t="shared" si="100"/>
        <v>5158</v>
      </c>
      <c r="O164" s="270">
        <f t="shared" si="100"/>
        <v>5158</v>
      </c>
      <c r="P164" s="270">
        <f t="shared" si="100"/>
        <v>5158</v>
      </c>
      <c r="Q164" s="270">
        <f t="shared" si="100"/>
        <v>5158</v>
      </c>
      <c r="R164" s="270">
        <f t="shared" si="100"/>
        <v>5158</v>
      </c>
      <c r="S164" s="270">
        <f t="shared" si="93"/>
        <v>5158</v>
      </c>
      <c r="T164" s="270">
        <f t="shared" si="93"/>
        <v>5158</v>
      </c>
      <c r="U164" s="270">
        <f t="shared" si="97"/>
        <v>5158</v>
      </c>
      <c r="V164" s="270">
        <f t="shared" si="97"/>
        <v>5158</v>
      </c>
      <c r="W164" s="270">
        <f t="shared" si="97"/>
        <v>5158</v>
      </c>
      <c r="X164" s="270">
        <f t="shared" si="97"/>
        <v>5158</v>
      </c>
      <c r="Y164" s="270">
        <f t="shared" si="97"/>
        <v>5158</v>
      </c>
      <c r="Z164" s="270">
        <f t="shared" si="97"/>
        <v>5158</v>
      </c>
      <c r="AA164" s="270">
        <f t="shared" si="97"/>
        <v>5158</v>
      </c>
      <c r="AB164" s="270">
        <f t="shared" si="97"/>
        <v>5158</v>
      </c>
      <c r="AC164" s="270">
        <f t="shared" si="97"/>
        <v>5158</v>
      </c>
      <c r="AD164" s="270">
        <f t="shared" si="94"/>
        <v>5158</v>
      </c>
      <c r="AE164" s="270">
        <f t="shared" si="98"/>
        <v>5158</v>
      </c>
      <c r="AF164" s="270">
        <f t="shared" ref="AF164:AM170" si="101">+MIN(MAX(0,$C164-AF$11),AF$12-AF$11)*AF$17
+MIN(MAX(0,$C164-AF$12),AF$13-AF$12)*AF$18
+MIN(MAX(0,$C164-AF$13),AF$14-AF$13)*AF$19
+MIN(MAX(0,$C164-AF$14),AF$15-AF$14)*AF$20
+MAX(0,$C164-AF$15)*AF$21
+AF$26</f>
        <v>5158</v>
      </c>
      <c r="AG164" s="270">
        <f t="shared" si="101"/>
        <v>5158</v>
      </c>
      <c r="AH164" s="270">
        <f t="shared" si="101"/>
        <v>5158</v>
      </c>
      <c r="AI164" s="270">
        <f t="shared" si="101"/>
        <v>5158</v>
      </c>
      <c r="AJ164" s="270">
        <f t="shared" si="101"/>
        <v>5158</v>
      </c>
      <c r="AK164" s="270">
        <f t="shared" si="101"/>
        <v>5158</v>
      </c>
      <c r="AL164" s="270">
        <f t="shared" si="101"/>
        <v>5158</v>
      </c>
      <c r="AM164" s="270">
        <f t="shared" si="101"/>
        <v>5158</v>
      </c>
    </row>
    <row r="165" spans="1:39" ht="15.75" thickBot="1" x14ac:dyDescent="0.35">
      <c r="B165" s="56" t="str">
        <f>input_names!$B$3</f>
        <v>benzine</v>
      </c>
      <c r="C165" s="61">
        <v>117</v>
      </c>
      <c r="D165" s="270">
        <f t="shared" si="100"/>
        <v>3383</v>
      </c>
      <c r="E165" s="270">
        <f t="shared" si="100"/>
        <v>3865</v>
      </c>
      <c r="F165" s="270">
        <f t="shared" si="100"/>
        <v>4355</v>
      </c>
      <c r="G165" s="270">
        <f t="shared" si="100"/>
        <v>4718</v>
      </c>
      <c r="H165" s="270">
        <f t="shared" si="100"/>
        <v>4778</v>
      </c>
      <c r="I165" s="270">
        <f t="shared" si="100"/>
        <v>5138</v>
      </c>
      <c r="J165" s="270">
        <f t="shared" si="100"/>
        <v>2750</v>
      </c>
      <c r="K165" s="270">
        <f t="shared" si="100"/>
        <v>3106</v>
      </c>
      <c r="L165" s="270">
        <f t="shared" si="100"/>
        <v>3835</v>
      </c>
      <c r="M165" s="270">
        <f t="shared" si="100"/>
        <v>4595</v>
      </c>
      <c r="N165" s="270">
        <f t="shared" si="100"/>
        <v>5331</v>
      </c>
      <c r="O165" s="270">
        <f t="shared" si="100"/>
        <v>5331</v>
      </c>
      <c r="P165" s="270">
        <f t="shared" si="100"/>
        <v>5331</v>
      </c>
      <c r="Q165" s="270">
        <f t="shared" si="100"/>
        <v>5331</v>
      </c>
      <c r="R165" s="270">
        <f t="shared" si="100"/>
        <v>5331</v>
      </c>
      <c r="S165" s="270">
        <f t="shared" si="93"/>
        <v>5331</v>
      </c>
      <c r="T165" s="270">
        <f t="shared" si="93"/>
        <v>5331</v>
      </c>
      <c r="U165" s="270">
        <f t="shared" si="97"/>
        <v>5331</v>
      </c>
      <c r="V165" s="270">
        <f t="shared" si="97"/>
        <v>5331</v>
      </c>
      <c r="W165" s="270">
        <f t="shared" si="97"/>
        <v>5331</v>
      </c>
      <c r="X165" s="270">
        <f t="shared" si="97"/>
        <v>5331</v>
      </c>
      <c r="Y165" s="270">
        <f t="shared" si="97"/>
        <v>5331</v>
      </c>
      <c r="Z165" s="270">
        <f t="shared" si="97"/>
        <v>5331</v>
      </c>
      <c r="AA165" s="270">
        <f t="shared" si="97"/>
        <v>5331</v>
      </c>
      <c r="AB165" s="270">
        <f t="shared" si="97"/>
        <v>5331</v>
      </c>
      <c r="AC165" s="270">
        <f t="shared" si="97"/>
        <v>5331</v>
      </c>
      <c r="AD165" s="270">
        <f t="shared" si="94"/>
        <v>5331</v>
      </c>
      <c r="AE165" s="270">
        <f t="shared" si="98"/>
        <v>5331</v>
      </c>
      <c r="AF165" s="270">
        <f t="shared" si="101"/>
        <v>5331</v>
      </c>
      <c r="AG165" s="270">
        <f t="shared" si="101"/>
        <v>5331</v>
      </c>
      <c r="AH165" s="270">
        <f t="shared" si="101"/>
        <v>5331</v>
      </c>
      <c r="AI165" s="270">
        <f t="shared" si="101"/>
        <v>5331</v>
      </c>
      <c r="AJ165" s="270">
        <f t="shared" si="101"/>
        <v>5331</v>
      </c>
      <c r="AK165" s="270">
        <f t="shared" si="101"/>
        <v>5331</v>
      </c>
      <c r="AL165" s="270">
        <f t="shared" si="101"/>
        <v>5331</v>
      </c>
      <c r="AM165" s="270">
        <f t="shared" si="101"/>
        <v>5331</v>
      </c>
    </row>
    <row r="166" spans="1:39" ht="15.75" thickBot="1" x14ac:dyDescent="0.35">
      <c r="B166" s="56" t="str">
        <f>input_names!$B$3</f>
        <v>benzine</v>
      </c>
      <c r="C166" s="61">
        <v>118</v>
      </c>
      <c r="D166" s="270">
        <f t="shared" si="100"/>
        <v>3495</v>
      </c>
      <c r="E166" s="270">
        <f t="shared" si="100"/>
        <v>3988</v>
      </c>
      <c r="F166" s="270">
        <f t="shared" si="100"/>
        <v>4499</v>
      </c>
      <c r="G166" s="270">
        <f t="shared" si="100"/>
        <v>4857</v>
      </c>
      <c r="H166" s="270">
        <f t="shared" si="100"/>
        <v>4908</v>
      </c>
      <c r="I166" s="270">
        <f t="shared" si="100"/>
        <v>5265</v>
      </c>
      <c r="J166" s="270">
        <f t="shared" si="100"/>
        <v>2882</v>
      </c>
      <c r="K166" s="270">
        <f t="shared" si="100"/>
        <v>3243</v>
      </c>
      <c r="L166" s="270">
        <f t="shared" si="100"/>
        <v>3984</v>
      </c>
      <c r="M166" s="270">
        <f t="shared" si="100"/>
        <v>4762</v>
      </c>
      <c r="N166" s="270">
        <f t="shared" si="100"/>
        <v>5504</v>
      </c>
      <c r="O166" s="270">
        <f t="shared" si="100"/>
        <v>5504</v>
      </c>
      <c r="P166" s="270">
        <f t="shared" si="100"/>
        <v>5504</v>
      </c>
      <c r="Q166" s="270">
        <f t="shared" si="100"/>
        <v>5504</v>
      </c>
      <c r="R166" s="270">
        <f t="shared" si="100"/>
        <v>5504</v>
      </c>
      <c r="S166" s="270">
        <f t="shared" si="100"/>
        <v>5504</v>
      </c>
      <c r="T166" s="270">
        <f t="shared" ref="S166:AC184" si="102">+MIN(MAX(0,$C166-T$11),T$12-T$11)*T$17
+MIN(MAX(0,$C166-T$12),T$13-T$12)*T$18
+MIN(MAX(0,$C166-T$13),T$14-T$13)*T$19
+MIN(MAX(0,$C166-T$14),T$15-T$14)*T$20
+MAX(0,$C166-T$15)*T$21
+T$26</f>
        <v>5504</v>
      </c>
      <c r="U166" s="270">
        <f t="shared" si="102"/>
        <v>5504</v>
      </c>
      <c r="V166" s="270">
        <f t="shared" si="102"/>
        <v>5504</v>
      </c>
      <c r="W166" s="270">
        <f t="shared" si="102"/>
        <v>5504</v>
      </c>
      <c r="X166" s="270">
        <f t="shared" si="102"/>
        <v>5504</v>
      </c>
      <c r="Y166" s="270">
        <f t="shared" si="102"/>
        <v>5504</v>
      </c>
      <c r="Z166" s="270">
        <f t="shared" si="102"/>
        <v>5504</v>
      </c>
      <c r="AA166" s="270">
        <f t="shared" si="102"/>
        <v>5504</v>
      </c>
      <c r="AB166" s="270">
        <f t="shared" si="102"/>
        <v>5504</v>
      </c>
      <c r="AC166" s="270">
        <f t="shared" si="102"/>
        <v>5504</v>
      </c>
      <c r="AD166" s="270">
        <f t="shared" si="94"/>
        <v>5504</v>
      </c>
      <c r="AE166" s="270">
        <f t="shared" si="98"/>
        <v>5504</v>
      </c>
      <c r="AF166" s="270">
        <f t="shared" si="101"/>
        <v>5504</v>
      </c>
      <c r="AG166" s="270">
        <f t="shared" si="101"/>
        <v>5504</v>
      </c>
      <c r="AH166" s="270">
        <f t="shared" si="101"/>
        <v>5504</v>
      </c>
      <c r="AI166" s="270">
        <f t="shared" si="101"/>
        <v>5504</v>
      </c>
      <c r="AJ166" s="270">
        <f t="shared" si="101"/>
        <v>5504</v>
      </c>
      <c r="AK166" s="270">
        <f t="shared" si="101"/>
        <v>5504</v>
      </c>
      <c r="AL166" s="270">
        <f t="shared" si="101"/>
        <v>5504</v>
      </c>
      <c r="AM166" s="270">
        <f t="shared" si="101"/>
        <v>5504</v>
      </c>
    </row>
    <row r="167" spans="1:39" ht="15.75" thickBot="1" x14ac:dyDescent="0.35">
      <c r="B167" s="56" t="str">
        <f>input_names!$B$3</f>
        <v>benzine</v>
      </c>
      <c r="C167" s="61">
        <v>119</v>
      </c>
      <c r="D167" s="270">
        <f t="shared" si="100"/>
        <v>3607</v>
      </c>
      <c r="E167" s="270">
        <f t="shared" si="100"/>
        <v>4111</v>
      </c>
      <c r="F167" s="270">
        <f t="shared" si="100"/>
        <v>4643</v>
      </c>
      <c r="G167" s="270">
        <f t="shared" si="100"/>
        <v>4996</v>
      </c>
      <c r="H167" s="270">
        <f t="shared" si="100"/>
        <v>5038</v>
      </c>
      <c r="I167" s="270">
        <f t="shared" si="100"/>
        <v>5392</v>
      </c>
      <c r="J167" s="270">
        <f t="shared" si="100"/>
        <v>3014</v>
      </c>
      <c r="K167" s="270">
        <f t="shared" si="100"/>
        <v>3380</v>
      </c>
      <c r="L167" s="270">
        <f t="shared" si="100"/>
        <v>4133</v>
      </c>
      <c r="M167" s="270">
        <f t="shared" si="100"/>
        <v>4929</v>
      </c>
      <c r="N167" s="270">
        <f t="shared" si="100"/>
        <v>5677</v>
      </c>
      <c r="O167" s="270">
        <f t="shared" si="100"/>
        <v>5677</v>
      </c>
      <c r="P167" s="270">
        <f t="shared" si="100"/>
        <v>5677</v>
      </c>
      <c r="Q167" s="270">
        <f t="shared" si="100"/>
        <v>5677</v>
      </c>
      <c r="R167" s="270">
        <f t="shared" si="100"/>
        <v>5677</v>
      </c>
      <c r="S167" s="270">
        <f t="shared" si="100"/>
        <v>5677</v>
      </c>
      <c r="T167" s="270">
        <f t="shared" si="102"/>
        <v>5677</v>
      </c>
      <c r="U167" s="270">
        <f t="shared" si="102"/>
        <v>5677</v>
      </c>
      <c r="V167" s="270">
        <f t="shared" si="102"/>
        <v>5677</v>
      </c>
      <c r="W167" s="270">
        <f t="shared" si="102"/>
        <v>5677</v>
      </c>
      <c r="X167" s="270">
        <f t="shared" si="102"/>
        <v>5677</v>
      </c>
      <c r="Y167" s="270">
        <f t="shared" si="102"/>
        <v>5677</v>
      </c>
      <c r="Z167" s="270">
        <f t="shared" si="102"/>
        <v>5677</v>
      </c>
      <c r="AA167" s="270">
        <f t="shared" si="102"/>
        <v>5677</v>
      </c>
      <c r="AB167" s="270">
        <f t="shared" si="102"/>
        <v>5677</v>
      </c>
      <c r="AC167" s="270">
        <f t="shared" si="102"/>
        <v>5677</v>
      </c>
      <c r="AD167" s="270">
        <f t="shared" si="94"/>
        <v>5677</v>
      </c>
      <c r="AE167" s="270">
        <f t="shared" si="98"/>
        <v>5677</v>
      </c>
      <c r="AF167" s="270">
        <f t="shared" si="101"/>
        <v>5677</v>
      </c>
      <c r="AG167" s="270">
        <f t="shared" si="101"/>
        <v>5677</v>
      </c>
      <c r="AH167" s="270">
        <f t="shared" si="101"/>
        <v>5677</v>
      </c>
      <c r="AI167" s="270">
        <f t="shared" si="101"/>
        <v>5677</v>
      </c>
      <c r="AJ167" s="270">
        <f t="shared" si="101"/>
        <v>5677</v>
      </c>
      <c r="AK167" s="270">
        <f t="shared" si="101"/>
        <v>5677</v>
      </c>
      <c r="AL167" s="270">
        <f t="shared" si="101"/>
        <v>5677</v>
      </c>
      <c r="AM167" s="270">
        <f t="shared" si="101"/>
        <v>5677</v>
      </c>
    </row>
    <row r="168" spans="1:39" ht="15.75" thickBot="1" x14ac:dyDescent="0.35">
      <c r="B168" s="56" t="str">
        <f>input_names!$B$3</f>
        <v>benzine</v>
      </c>
      <c r="C168" s="61">
        <v>120</v>
      </c>
      <c r="D168" s="270">
        <f t="shared" si="100"/>
        <v>3719</v>
      </c>
      <c r="E168" s="270">
        <f t="shared" si="100"/>
        <v>4234</v>
      </c>
      <c r="F168" s="270">
        <f t="shared" si="100"/>
        <v>4787</v>
      </c>
      <c r="G168" s="270">
        <f t="shared" si="100"/>
        <v>5135</v>
      </c>
      <c r="H168" s="270">
        <f t="shared" si="100"/>
        <v>5168</v>
      </c>
      <c r="I168" s="270">
        <f t="shared" si="100"/>
        <v>5519</v>
      </c>
      <c r="J168" s="270">
        <f t="shared" si="100"/>
        <v>3146</v>
      </c>
      <c r="K168" s="270">
        <f t="shared" si="100"/>
        <v>3517</v>
      </c>
      <c r="L168" s="270">
        <f t="shared" si="100"/>
        <v>4282</v>
      </c>
      <c r="M168" s="270">
        <f t="shared" si="100"/>
        <v>5096</v>
      </c>
      <c r="N168" s="270">
        <f t="shared" si="100"/>
        <v>5850</v>
      </c>
      <c r="O168" s="270">
        <f t="shared" si="100"/>
        <v>5850</v>
      </c>
      <c r="P168" s="270">
        <f t="shared" si="100"/>
        <v>5850</v>
      </c>
      <c r="Q168" s="270">
        <f t="shared" si="100"/>
        <v>5850</v>
      </c>
      <c r="R168" s="270">
        <f t="shared" si="100"/>
        <v>5850</v>
      </c>
      <c r="S168" s="270">
        <f t="shared" si="100"/>
        <v>5850</v>
      </c>
      <c r="T168" s="270">
        <f t="shared" si="102"/>
        <v>5850</v>
      </c>
      <c r="U168" s="270">
        <f t="shared" si="102"/>
        <v>5850</v>
      </c>
      <c r="V168" s="270">
        <f t="shared" si="102"/>
        <v>5850</v>
      </c>
      <c r="W168" s="270">
        <f t="shared" si="102"/>
        <v>5850</v>
      </c>
      <c r="X168" s="270">
        <f t="shared" si="102"/>
        <v>5850</v>
      </c>
      <c r="Y168" s="270">
        <f t="shared" si="102"/>
        <v>5850</v>
      </c>
      <c r="Z168" s="270">
        <f t="shared" si="102"/>
        <v>5850</v>
      </c>
      <c r="AA168" s="270">
        <f t="shared" si="102"/>
        <v>5850</v>
      </c>
      <c r="AB168" s="270">
        <f t="shared" si="102"/>
        <v>5850</v>
      </c>
      <c r="AC168" s="270">
        <f t="shared" si="102"/>
        <v>5850</v>
      </c>
      <c r="AD168" s="270">
        <f t="shared" si="94"/>
        <v>5850</v>
      </c>
      <c r="AE168" s="270">
        <f t="shared" si="98"/>
        <v>5850</v>
      </c>
      <c r="AF168" s="270">
        <f t="shared" si="101"/>
        <v>5850</v>
      </c>
      <c r="AG168" s="270">
        <f t="shared" si="101"/>
        <v>5850</v>
      </c>
      <c r="AH168" s="270">
        <f t="shared" si="101"/>
        <v>5850</v>
      </c>
      <c r="AI168" s="270">
        <f t="shared" si="101"/>
        <v>5850</v>
      </c>
      <c r="AJ168" s="270">
        <f t="shared" si="101"/>
        <v>5850</v>
      </c>
      <c r="AK168" s="270">
        <f t="shared" si="101"/>
        <v>5850</v>
      </c>
      <c r="AL168" s="270">
        <f t="shared" si="101"/>
        <v>5850</v>
      </c>
      <c r="AM168" s="270">
        <f t="shared" si="101"/>
        <v>5850</v>
      </c>
    </row>
    <row r="169" spans="1:39" ht="15.75" thickBot="1" x14ac:dyDescent="0.35">
      <c r="B169" s="56" t="str">
        <f>input_names!$B$3</f>
        <v>benzine</v>
      </c>
      <c r="C169" s="61">
        <v>121</v>
      </c>
      <c r="D169" s="270">
        <f t="shared" si="100"/>
        <v>3831</v>
      </c>
      <c r="E169" s="270">
        <f t="shared" si="100"/>
        <v>4357</v>
      </c>
      <c r="F169" s="270">
        <f t="shared" si="100"/>
        <v>4931</v>
      </c>
      <c r="G169" s="270">
        <f t="shared" si="100"/>
        <v>5274</v>
      </c>
      <c r="H169" s="270">
        <f t="shared" si="100"/>
        <v>5298</v>
      </c>
      <c r="I169" s="270">
        <f t="shared" si="100"/>
        <v>5646</v>
      </c>
      <c r="J169" s="270">
        <f t="shared" si="100"/>
        <v>3278</v>
      </c>
      <c r="K169" s="270">
        <f t="shared" si="100"/>
        <v>3654</v>
      </c>
      <c r="L169" s="270">
        <f t="shared" si="100"/>
        <v>4431</v>
      </c>
      <c r="M169" s="270">
        <f t="shared" si="100"/>
        <v>5263</v>
      </c>
      <c r="N169" s="270">
        <f t="shared" si="100"/>
        <v>6023</v>
      </c>
      <c r="O169" s="270">
        <f t="shared" si="100"/>
        <v>6023</v>
      </c>
      <c r="P169" s="270">
        <f t="shared" si="100"/>
        <v>6023</v>
      </c>
      <c r="Q169" s="270">
        <f t="shared" si="100"/>
        <v>6023</v>
      </c>
      <c r="R169" s="270">
        <f t="shared" si="100"/>
        <v>6023</v>
      </c>
      <c r="S169" s="270">
        <f t="shared" si="100"/>
        <v>6023</v>
      </c>
      <c r="T169" s="270">
        <f t="shared" si="102"/>
        <v>6023</v>
      </c>
      <c r="U169" s="270">
        <f t="shared" si="102"/>
        <v>6023</v>
      </c>
      <c r="V169" s="270">
        <f t="shared" si="102"/>
        <v>6023</v>
      </c>
      <c r="W169" s="270">
        <f t="shared" si="102"/>
        <v>6023</v>
      </c>
      <c r="X169" s="270">
        <f t="shared" si="102"/>
        <v>6023</v>
      </c>
      <c r="Y169" s="270">
        <f t="shared" si="102"/>
        <v>6023</v>
      </c>
      <c r="Z169" s="270">
        <f t="shared" si="102"/>
        <v>6023</v>
      </c>
      <c r="AA169" s="270">
        <f t="shared" si="102"/>
        <v>6023</v>
      </c>
      <c r="AB169" s="270">
        <f t="shared" si="102"/>
        <v>6023</v>
      </c>
      <c r="AC169" s="270">
        <f t="shared" si="102"/>
        <v>6023</v>
      </c>
      <c r="AD169" s="270">
        <f t="shared" si="94"/>
        <v>6023</v>
      </c>
      <c r="AE169" s="270">
        <f t="shared" si="98"/>
        <v>6023</v>
      </c>
      <c r="AF169" s="270">
        <f t="shared" si="101"/>
        <v>6023</v>
      </c>
      <c r="AG169" s="270">
        <f t="shared" si="101"/>
        <v>6023</v>
      </c>
      <c r="AH169" s="270">
        <f t="shared" si="101"/>
        <v>6023</v>
      </c>
      <c r="AI169" s="270">
        <f t="shared" si="101"/>
        <v>6023</v>
      </c>
      <c r="AJ169" s="270">
        <f t="shared" si="101"/>
        <v>6023</v>
      </c>
      <c r="AK169" s="270">
        <f t="shared" si="101"/>
        <v>6023</v>
      </c>
      <c r="AL169" s="270">
        <f t="shared" si="101"/>
        <v>6023</v>
      </c>
      <c r="AM169" s="270">
        <f t="shared" si="101"/>
        <v>6023</v>
      </c>
    </row>
    <row r="170" spans="1:39" ht="15.75" thickBot="1" x14ac:dyDescent="0.35">
      <c r="B170" s="56" t="str">
        <f>input_names!$B$3</f>
        <v>benzine</v>
      </c>
      <c r="C170" s="61">
        <v>122</v>
      </c>
      <c r="D170" s="270">
        <f t="shared" si="100"/>
        <v>3943</v>
      </c>
      <c r="E170" s="270">
        <f t="shared" si="100"/>
        <v>4480</v>
      </c>
      <c r="F170" s="270">
        <f t="shared" si="100"/>
        <v>5075</v>
      </c>
      <c r="G170" s="270">
        <f t="shared" si="100"/>
        <v>5413</v>
      </c>
      <c r="H170" s="270">
        <f t="shared" si="100"/>
        <v>5428</v>
      </c>
      <c r="I170" s="270">
        <f t="shared" si="100"/>
        <v>5773</v>
      </c>
      <c r="J170" s="270">
        <f t="shared" si="100"/>
        <v>3410</v>
      </c>
      <c r="K170" s="270">
        <f t="shared" si="100"/>
        <v>3791</v>
      </c>
      <c r="L170" s="270">
        <f t="shared" si="100"/>
        <v>4580</v>
      </c>
      <c r="M170" s="270">
        <f t="shared" si="100"/>
        <v>5430</v>
      </c>
      <c r="N170" s="270">
        <f t="shared" si="100"/>
        <v>6196</v>
      </c>
      <c r="O170" s="270">
        <f t="shared" si="100"/>
        <v>6196</v>
      </c>
      <c r="P170" s="270">
        <f t="shared" si="100"/>
        <v>6196</v>
      </c>
      <c r="Q170" s="270">
        <f t="shared" si="100"/>
        <v>6196</v>
      </c>
      <c r="R170" s="270">
        <f t="shared" si="100"/>
        <v>6196</v>
      </c>
      <c r="S170" s="270">
        <f t="shared" si="100"/>
        <v>6196</v>
      </c>
      <c r="T170" s="270">
        <f t="shared" si="102"/>
        <v>6196</v>
      </c>
      <c r="U170" s="270">
        <f t="shared" si="102"/>
        <v>6196</v>
      </c>
      <c r="V170" s="270">
        <f t="shared" si="102"/>
        <v>6196</v>
      </c>
      <c r="W170" s="270">
        <f t="shared" si="102"/>
        <v>6196</v>
      </c>
      <c r="X170" s="270">
        <f t="shared" si="102"/>
        <v>6196</v>
      </c>
      <c r="Y170" s="270">
        <f t="shared" si="102"/>
        <v>6196</v>
      </c>
      <c r="Z170" s="270">
        <f t="shared" si="102"/>
        <v>6196</v>
      </c>
      <c r="AA170" s="270">
        <f t="shared" si="102"/>
        <v>6196</v>
      </c>
      <c r="AB170" s="270">
        <f t="shared" si="102"/>
        <v>6196</v>
      </c>
      <c r="AC170" s="270">
        <f t="shared" si="102"/>
        <v>6196</v>
      </c>
      <c r="AD170" s="270">
        <f t="shared" si="94"/>
        <v>6196</v>
      </c>
      <c r="AE170" s="270">
        <f t="shared" si="98"/>
        <v>6196</v>
      </c>
      <c r="AF170" s="270">
        <f t="shared" si="101"/>
        <v>6196</v>
      </c>
      <c r="AG170" s="270">
        <f t="shared" si="101"/>
        <v>6196</v>
      </c>
      <c r="AH170" s="270">
        <f t="shared" si="101"/>
        <v>6196</v>
      </c>
      <c r="AI170" s="270">
        <f t="shared" si="101"/>
        <v>6196</v>
      </c>
      <c r="AJ170" s="270">
        <f t="shared" si="101"/>
        <v>6196</v>
      </c>
      <c r="AK170" s="270">
        <f t="shared" si="101"/>
        <v>6196</v>
      </c>
      <c r="AL170" s="270">
        <f t="shared" si="101"/>
        <v>6196</v>
      </c>
      <c r="AM170" s="270">
        <f t="shared" si="101"/>
        <v>6196</v>
      </c>
    </row>
    <row r="171" spans="1:39" ht="15.75" thickBot="1" x14ac:dyDescent="0.35">
      <c r="B171" s="56" t="str">
        <f>input_names!$B$3</f>
        <v>benzine</v>
      </c>
      <c r="C171" s="61">
        <v>123</v>
      </c>
      <c r="D171" s="270">
        <f t="shared" si="100"/>
        <v>4055</v>
      </c>
      <c r="E171" s="270">
        <f t="shared" si="100"/>
        <v>4603</v>
      </c>
      <c r="F171" s="270">
        <f t="shared" si="100"/>
        <v>5219</v>
      </c>
      <c r="G171" s="270">
        <f t="shared" si="100"/>
        <v>5552</v>
      </c>
      <c r="H171" s="270">
        <f t="shared" si="100"/>
        <v>5558</v>
      </c>
      <c r="I171" s="270">
        <f t="shared" si="100"/>
        <v>5900</v>
      </c>
      <c r="J171" s="270">
        <f t="shared" si="100"/>
        <v>3542</v>
      </c>
      <c r="K171" s="270">
        <f t="shared" si="100"/>
        <v>3928</v>
      </c>
      <c r="L171" s="270">
        <f t="shared" si="100"/>
        <v>4729</v>
      </c>
      <c r="M171" s="270">
        <f t="shared" si="100"/>
        <v>5597</v>
      </c>
      <c r="N171" s="270">
        <f t="shared" si="100"/>
        <v>6369</v>
      </c>
      <c r="O171" s="270">
        <f t="shared" si="100"/>
        <v>6369</v>
      </c>
      <c r="P171" s="270">
        <f t="shared" si="100"/>
        <v>6369</v>
      </c>
      <c r="Q171" s="270">
        <f t="shared" si="100"/>
        <v>6369</v>
      </c>
      <c r="R171" s="270">
        <f t="shared" si="100"/>
        <v>6369</v>
      </c>
      <c r="S171" s="270">
        <f t="shared" si="100"/>
        <v>6369</v>
      </c>
      <c r="T171" s="270">
        <f t="shared" si="102"/>
        <v>6369</v>
      </c>
      <c r="U171" s="270">
        <f t="shared" si="102"/>
        <v>6369</v>
      </c>
      <c r="V171" s="270">
        <f t="shared" si="102"/>
        <v>6369</v>
      </c>
      <c r="W171" s="270">
        <f t="shared" si="102"/>
        <v>6369</v>
      </c>
      <c r="X171" s="270">
        <f t="shared" si="102"/>
        <v>6369</v>
      </c>
      <c r="Y171" s="270">
        <f t="shared" si="102"/>
        <v>6369</v>
      </c>
      <c r="Z171" s="270">
        <f t="shared" si="102"/>
        <v>6369</v>
      </c>
      <c r="AA171" s="270">
        <f t="shared" si="102"/>
        <v>6369</v>
      </c>
      <c r="AB171" s="270">
        <f t="shared" si="102"/>
        <v>6369</v>
      </c>
      <c r="AC171" s="270">
        <f t="shared" si="102"/>
        <v>6369</v>
      </c>
      <c r="AD171" s="270">
        <f t="shared" si="94"/>
        <v>6369</v>
      </c>
      <c r="AE171" s="270">
        <f t="shared" ref="AD171:AM194" si="103">+MIN(MAX(0,$C171-AE$11),AE$12-AE$11)*AE$17
+MIN(MAX(0,$C171-AE$12),AE$13-AE$12)*AE$18
+MIN(MAX(0,$C171-AE$13),AE$14-AE$13)*AE$19
+MIN(MAX(0,$C171-AE$14),AE$15-AE$14)*AE$20
+MAX(0,$C171-AE$15)*AE$21
+AE$26</f>
        <v>6369</v>
      </c>
      <c r="AF171" s="270">
        <f t="shared" si="103"/>
        <v>6369</v>
      </c>
      <c r="AG171" s="270">
        <f t="shared" si="103"/>
        <v>6369</v>
      </c>
      <c r="AH171" s="270">
        <f t="shared" si="103"/>
        <v>6369</v>
      </c>
      <c r="AI171" s="270">
        <f t="shared" si="103"/>
        <v>6369</v>
      </c>
      <c r="AJ171" s="270">
        <f t="shared" si="103"/>
        <v>6369</v>
      </c>
      <c r="AK171" s="270">
        <f t="shared" si="103"/>
        <v>6369</v>
      </c>
      <c r="AL171" s="270">
        <f t="shared" si="103"/>
        <v>6369</v>
      </c>
      <c r="AM171" s="270">
        <f t="shared" si="103"/>
        <v>6369</v>
      </c>
    </row>
    <row r="172" spans="1:39" ht="15.75" thickBot="1" x14ac:dyDescent="0.35">
      <c r="B172" s="56" t="str">
        <f>input_names!$B$3</f>
        <v>benzine</v>
      </c>
      <c r="C172" s="61">
        <v>124</v>
      </c>
      <c r="D172" s="270">
        <f t="shared" si="100"/>
        <v>4167</v>
      </c>
      <c r="E172" s="270">
        <f t="shared" si="100"/>
        <v>4726</v>
      </c>
      <c r="F172" s="270">
        <f t="shared" si="100"/>
        <v>5363</v>
      </c>
      <c r="G172" s="270">
        <f t="shared" si="100"/>
        <v>5691</v>
      </c>
      <c r="H172" s="270">
        <f t="shared" si="100"/>
        <v>5688</v>
      </c>
      <c r="I172" s="270">
        <f t="shared" si="100"/>
        <v>6027</v>
      </c>
      <c r="J172" s="270">
        <f t="shared" si="100"/>
        <v>3674</v>
      </c>
      <c r="K172" s="270">
        <f t="shared" si="100"/>
        <v>4065</v>
      </c>
      <c r="L172" s="270">
        <f t="shared" si="100"/>
        <v>4878</v>
      </c>
      <c r="M172" s="270">
        <f t="shared" si="100"/>
        <v>5764</v>
      </c>
      <c r="N172" s="270">
        <f t="shared" si="100"/>
        <v>6542</v>
      </c>
      <c r="O172" s="270">
        <f t="shared" si="100"/>
        <v>6542</v>
      </c>
      <c r="P172" s="270">
        <f t="shared" si="100"/>
        <v>6542</v>
      </c>
      <c r="Q172" s="270">
        <f t="shared" si="100"/>
        <v>6542</v>
      </c>
      <c r="R172" s="270">
        <f t="shared" si="100"/>
        <v>6542</v>
      </c>
      <c r="S172" s="270">
        <f t="shared" si="102"/>
        <v>6542</v>
      </c>
      <c r="T172" s="270">
        <f t="shared" si="102"/>
        <v>6542</v>
      </c>
      <c r="U172" s="270">
        <f t="shared" si="102"/>
        <v>6542</v>
      </c>
      <c r="V172" s="270">
        <f t="shared" si="102"/>
        <v>6542</v>
      </c>
      <c r="W172" s="270">
        <f t="shared" si="102"/>
        <v>6542</v>
      </c>
      <c r="X172" s="270">
        <f t="shared" si="102"/>
        <v>6542</v>
      </c>
      <c r="Y172" s="270">
        <f t="shared" si="102"/>
        <v>6542</v>
      </c>
      <c r="Z172" s="270">
        <f t="shared" si="102"/>
        <v>6542</v>
      </c>
      <c r="AA172" s="270">
        <f t="shared" si="102"/>
        <v>6542</v>
      </c>
      <c r="AB172" s="270">
        <f t="shared" si="102"/>
        <v>6542</v>
      </c>
      <c r="AC172" s="270">
        <f t="shared" si="102"/>
        <v>6542</v>
      </c>
      <c r="AD172" s="270">
        <f t="shared" si="103"/>
        <v>6542</v>
      </c>
      <c r="AE172" s="270">
        <f t="shared" si="103"/>
        <v>6542</v>
      </c>
      <c r="AF172" s="270">
        <f t="shared" si="103"/>
        <v>6542</v>
      </c>
      <c r="AG172" s="270">
        <f t="shared" si="103"/>
        <v>6542</v>
      </c>
      <c r="AH172" s="270">
        <f t="shared" si="103"/>
        <v>6542</v>
      </c>
      <c r="AI172" s="270">
        <f t="shared" si="103"/>
        <v>6542</v>
      </c>
      <c r="AJ172" s="270">
        <f t="shared" si="103"/>
        <v>6542</v>
      </c>
      <c r="AK172" s="270">
        <f t="shared" si="103"/>
        <v>6542</v>
      </c>
      <c r="AL172" s="270">
        <f t="shared" si="103"/>
        <v>6542</v>
      </c>
      <c r="AM172" s="270">
        <f t="shared" si="103"/>
        <v>6542</v>
      </c>
    </row>
    <row r="173" spans="1:39" ht="15.75" thickBot="1" x14ac:dyDescent="0.35">
      <c r="B173" s="56" t="str">
        <f>input_names!$B$3</f>
        <v>benzine</v>
      </c>
      <c r="C173" s="61">
        <v>125</v>
      </c>
      <c r="D173" s="270">
        <f t="shared" si="100"/>
        <v>4279</v>
      </c>
      <c r="E173" s="270">
        <f t="shared" si="100"/>
        <v>4849</v>
      </c>
      <c r="F173" s="270">
        <f t="shared" si="100"/>
        <v>5507</v>
      </c>
      <c r="G173" s="270">
        <f t="shared" si="100"/>
        <v>5830</v>
      </c>
      <c r="H173" s="270">
        <f t="shared" si="100"/>
        <v>5818</v>
      </c>
      <c r="I173" s="270">
        <f t="shared" si="100"/>
        <v>6154</v>
      </c>
      <c r="J173" s="270">
        <f t="shared" si="100"/>
        <v>3806</v>
      </c>
      <c r="K173" s="270">
        <f t="shared" si="100"/>
        <v>4202</v>
      </c>
      <c r="L173" s="270">
        <f t="shared" si="100"/>
        <v>5027</v>
      </c>
      <c r="M173" s="270">
        <f t="shared" si="100"/>
        <v>5931</v>
      </c>
      <c r="N173" s="270">
        <f t="shared" si="100"/>
        <v>6715</v>
      </c>
      <c r="O173" s="270">
        <f t="shared" si="100"/>
        <v>6715</v>
      </c>
      <c r="P173" s="270">
        <f t="shared" si="100"/>
        <v>6715</v>
      </c>
      <c r="Q173" s="270">
        <f t="shared" si="100"/>
        <v>6715</v>
      </c>
      <c r="R173" s="270">
        <f t="shared" si="100"/>
        <v>6715</v>
      </c>
      <c r="S173" s="270">
        <f t="shared" si="102"/>
        <v>6715</v>
      </c>
      <c r="T173" s="270">
        <f t="shared" si="102"/>
        <v>6715</v>
      </c>
      <c r="U173" s="270">
        <f t="shared" si="102"/>
        <v>6715</v>
      </c>
      <c r="V173" s="270">
        <f t="shared" si="102"/>
        <v>6715</v>
      </c>
      <c r="W173" s="270">
        <f t="shared" si="102"/>
        <v>6715</v>
      </c>
      <c r="X173" s="270">
        <f t="shared" si="102"/>
        <v>6715</v>
      </c>
      <c r="Y173" s="270">
        <f t="shared" si="102"/>
        <v>6715</v>
      </c>
      <c r="Z173" s="270">
        <f t="shared" si="102"/>
        <v>6715</v>
      </c>
      <c r="AA173" s="270">
        <f t="shared" si="102"/>
        <v>6715</v>
      </c>
      <c r="AB173" s="270">
        <f t="shared" si="102"/>
        <v>6715</v>
      </c>
      <c r="AC173" s="270">
        <f t="shared" si="102"/>
        <v>6715</v>
      </c>
      <c r="AD173" s="270">
        <f t="shared" si="103"/>
        <v>6715</v>
      </c>
      <c r="AE173" s="270">
        <f t="shared" si="103"/>
        <v>6715</v>
      </c>
      <c r="AF173" s="270">
        <f t="shared" si="103"/>
        <v>6715</v>
      </c>
      <c r="AG173" s="270">
        <f t="shared" si="103"/>
        <v>6715</v>
      </c>
      <c r="AH173" s="270">
        <f t="shared" si="103"/>
        <v>6715</v>
      </c>
      <c r="AI173" s="270">
        <f t="shared" si="103"/>
        <v>6715</v>
      </c>
      <c r="AJ173" s="270">
        <f t="shared" si="103"/>
        <v>6715</v>
      </c>
      <c r="AK173" s="270">
        <f t="shared" si="103"/>
        <v>6715</v>
      </c>
      <c r="AL173" s="270">
        <f t="shared" si="103"/>
        <v>6715</v>
      </c>
      <c r="AM173" s="270">
        <f t="shared" si="103"/>
        <v>6715</v>
      </c>
    </row>
    <row r="174" spans="1:39" ht="15.75" thickBot="1" x14ac:dyDescent="0.35">
      <c r="B174" s="56" t="str">
        <f>input_names!$B$3</f>
        <v>benzine</v>
      </c>
      <c r="C174" s="61">
        <v>126</v>
      </c>
      <c r="D174" s="270">
        <f t="shared" si="100"/>
        <v>4391</v>
      </c>
      <c r="E174" s="270">
        <f t="shared" si="100"/>
        <v>4972</v>
      </c>
      <c r="F174" s="270">
        <f t="shared" si="100"/>
        <v>5651</v>
      </c>
      <c r="G174" s="270">
        <f t="shared" si="100"/>
        <v>5969</v>
      </c>
      <c r="H174" s="270">
        <f t="shared" si="100"/>
        <v>5948</v>
      </c>
      <c r="I174" s="270">
        <f t="shared" si="100"/>
        <v>6281</v>
      </c>
      <c r="J174" s="270">
        <f t="shared" si="100"/>
        <v>3938</v>
      </c>
      <c r="K174" s="270">
        <f t="shared" si="100"/>
        <v>4339</v>
      </c>
      <c r="L174" s="270">
        <f t="shared" si="100"/>
        <v>5176</v>
      </c>
      <c r="M174" s="270">
        <f t="shared" si="100"/>
        <v>6098</v>
      </c>
      <c r="N174" s="270">
        <f t="shared" si="100"/>
        <v>6888</v>
      </c>
      <c r="O174" s="270">
        <f t="shared" si="100"/>
        <v>6888</v>
      </c>
      <c r="P174" s="270">
        <f t="shared" si="100"/>
        <v>6888</v>
      </c>
      <c r="Q174" s="270">
        <f t="shared" si="100"/>
        <v>6888</v>
      </c>
      <c r="R174" s="270">
        <f t="shared" si="100"/>
        <v>6888</v>
      </c>
      <c r="S174" s="270">
        <f t="shared" si="102"/>
        <v>6888</v>
      </c>
      <c r="T174" s="270">
        <f t="shared" si="102"/>
        <v>6888</v>
      </c>
      <c r="U174" s="270">
        <f t="shared" si="102"/>
        <v>6888</v>
      </c>
      <c r="V174" s="270">
        <f t="shared" si="102"/>
        <v>6888</v>
      </c>
      <c r="W174" s="270">
        <f t="shared" si="102"/>
        <v>6888</v>
      </c>
      <c r="X174" s="270">
        <f t="shared" si="102"/>
        <v>6888</v>
      </c>
      <c r="Y174" s="270">
        <f t="shared" si="102"/>
        <v>6888</v>
      </c>
      <c r="Z174" s="270">
        <f t="shared" si="102"/>
        <v>6888</v>
      </c>
      <c r="AA174" s="270">
        <f t="shared" si="102"/>
        <v>6888</v>
      </c>
      <c r="AB174" s="270">
        <f t="shared" si="102"/>
        <v>6888</v>
      </c>
      <c r="AC174" s="270">
        <f t="shared" si="102"/>
        <v>6888</v>
      </c>
      <c r="AD174" s="270">
        <f t="shared" si="103"/>
        <v>6888</v>
      </c>
      <c r="AE174" s="270">
        <f t="shared" si="103"/>
        <v>6888</v>
      </c>
      <c r="AF174" s="270">
        <f t="shared" si="103"/>
        <v>6888</v>
      </c>
      <c r="AG174" s="270">
        <f t="shared" si="103"/>
        <v>6888</v>
      </c>
      <c r="AH174" s="270">
        <f t="shared" si="103"/>
        <v>6888</v>
      </c>
      <c r="AI174" s="270">
        <f t="shared" si="103"/>
        <v>6888</v>
      </c>
      <c r="AJ174" s="270">
        <f t="shared" si="103"/>
        <v>6888</v>
      </c>
      <c r="AK174" s="270">
        <f t="shared" si="103"/>
        <v>6888</v>
      </c>
      <c r="AL174" s="270">
        <f t="shared" si="103"/>
        <v>6888</v>
      </c>
      <c r="AM174" s="270">
        <f t="shared" si="103"/>
        <v>6888</v>
      </c>
    </row>
    <row r="175" spans="1:39" ht="15.75" thickBot="1" x14ac:dyDescent="0.35">
      <c r="B175" s="56" t="str">
        <f>input_names!$B$3</f>
        <v>benzine</v>
      </c>
      <c r="C175" s="61">
        <v>127</v>
      </c>
      <c r="D175" s="270">
        <f t="shared" si="100"/>
        <v>4503</v>
      </c>
      <c r="E175" s="270">
        <f t="shared" si="100"/>
        <v>5095</v>
      </c>
      <c r="F175" s="270">
        <f t="shared" si="100"/>
        <v>5795</v>
      </c>
      <c r="G175" s="270">
        <f t="shared" si="100"/>
        <v>6108</v>
      </c>
      <c r="H175" s="270">
        <f t="shared" si="100"/>
        <v>6078</v>
      </c>
      <c r="I175" s="270">
        <f t="shared" si="100"/>
        <v>6408</v>
      </c>
      <c r="J175" s="270">
        <f t="shared" si="100"/>
        <v>4070</v>
      </c>
      <c r="K175" s="270">
        <f t="shared" si="100"/>
        <v>4476</v>
      </c>
      <c r="L175" s="270">
        <f t="shared" si="100"/>
        <v>5325</v>
      </c>
      <c r="M175" s="270">
        <f t="shared" si="100"/>
        <v>6265</v>
      </c>
      <c r="N175" s="270">
        <f t="shared" si="100"/>
        <v>7061</v>
      </c>
      <c r="O175" s="270">
        <f t="shared" si="100"/>
        <v>7061</v>
      </c>
      <c r="P175" s="270">
        <f t="shared" si="100"/>
        <v>7061</v>
      </c>
      <c r="Q175" s="270">
        <f t="shared" si="100"/>
        <v>7061</v>
      </c>
      <c r="R175" s="270">
        <f t="shared" si="100"/>
        <v>7061</v>
      </c>
      <c r="S175" s="270">
        <f t="shared" si="102"/>
        <v>7061</v>
      </c>
      <c r="T175" s="270">
        <f t="shared" si="102"/>
        <v>7061</v>
      </c>
      <c r="U175" s="270">
        <f t="shared" si="102"/>
        <v>7061</v>
      </c>
      <c r="V175" s="270">
        <f t="shared" si="102"/>
        <v>7061</v>
      </c>
      <c r="W175" s="270">
        <f t="shared" si="102"/>
        <v>7061</v>
      </c>
      <c r="X175" s="270">
        <f t="shared" si="102"/>
        <v>7061</v>
      </c>
      <c r="Y175" s="270">
        <f t="shared" si="102"/>
        <v>7061</v>
      </c>
      <c r="Z175" s="270">
        <f t="shared" si="102"/>
        <v>7061</v>
      </c>
      <c r="AA175" s="270">
        <f t="shared" si="102"/>
        <v>7061</v>
      </c>
      <c r="AB175" s="270">
        <f t="shared" si="102"/>
        <v>7061</v>
      </c>
      <c r="AC175" s="270">
        <f t="shared" si="102"/>
        <v>7061</v>
      </c>
      <c r="AD175" s="270">
        <f t="shared" si="103"/>
        <v>7061</v>
      </c>
      <c r="AE175" s="270">
        <f t="shared" si="103"/>
        <v>7061</v>
      </c>
      <c r="AF175" s="270">
        <f t="shared" si="103"/>
        <v>7061</v>
      </c>
      <c r="AG175" s="270">
        <f t="shared" si="103"/>
        <v>7061</v>
      </c>
      <c r="AH175" s="270">
        <f t="shared" si="103"/>
        <v>7061</v>
      </c>
      <c r="AI175" s="270">
        <f t="shared" si="103"/>
        <v>7061</v>
      </c>
      <c r="AJ175" s="270">
        <f t="shared" si="103"/>
        <v>7061</v>
      </c>
      <c r="AK175" s="270">
        <f t="shared" si="103"/>
        <v>7061</v>
      </c>
      <c r="AL175" s="270">
        <f t="shared" si="103"/>
        <v>7061</v>
      </c>
      <c r="AM175" s="270">
        <f t="shared" si="103"/>
        <v>7061</v>
      </c>
    </row>
    <row r="176" spans="1:39" ht="15.75" thickBot="1" x14ac:dyDescent="0.35">
      <c r="B176" s="56" t="str">
        <f>input_names!$B$3</f>
        <v>benzine</v>
      </c>
      <c r="C176" s="61">
        <v>128</v>
      </c>
      <c r="D176" s="270">
        <f t="shared" ref="D176:S191" si="104">+MIN(MAX(0,$C176-D$11),D$12-D$11)*D$17
+MIN(MAX(0,$C176-D$12),D$13-D$12)*D$18
+MIN(MAX(0,$C176-D$13),D$14-D$13)*D$19
+MIN(MAX(0,$C176-D$14),D$15-D$14)*D$20
+MAX(0,$C176-D$15)*D$21
+D$26</f>
        <v>4615</v>
      </c>
      <c r="E176" s="270">
        <f t="shared" si="104"/>
        <v>5218</v>
      </c>
      <c r="F176" s="270">
        <f t="shared" si="104"/>
        <v>5939</v>
      </c>
      <c r="G176" s="270">
        <f t="shared" si="104"/>
        <v>6247</v>
      </c>
      <c r="H176" s="270">
        <f t="shared" si="104"/>
        <v>6208</v>
      </c>
      <c r="I176" s="270">
        <f t="shared" si="104"/>
        <v>6535</v>
      </c>
      <c r="J176" s="270">
        <f t="shared" si="104"/>
        <v>4202</v>
      </c>
      <c r="K176" s="270">
        <f t="shared" si="104"/>
        <v>4613</v>
      </c>
      <c r="L176" s="270">
        <f t="shared" si="104"/>
        <v>5474</v>
      </c>
      <c r="M176" s="270">
        <f t="shared" si="104"/>
        <v>6432</v>
      </c>
      <c r="N176" s="270">
        <f t="shared" si="104"/>
        <v>7234</v>
      </c>
      <c r="O176" s="270">
        <f t="shared" si="104"/>
        <v>7234</v>
      </c>
      <c r="P176" s="270">
        <f t="shared" si="104"/>
        <v>7234</v>
      </c>
      <c r="Q176" s="270">
        <f t="shared" si="104"/>
        <v>7234</v>
      </c>
      <c r="R176" s="270">
        <f t="shared" si="104"/>
        <v>7234</v>
      </c>
      <c r="S176" s="270">
        <f t="shared" si="102"/>
        <v>7234</v>
      </c>
      <c r="T176" s="270">
        <f t="shared" si="102"/>
        <v>7234</v>
      </c>
      <c r="U176" s="270">
        <f t="shared" si="102"/>
        <v>7234</v>
      </c>
      <c r="V176" s="270">
        <f t="shared" si="102"/>
        <v>7234</v>
      </c>
      <c r="W176" s="270">
        <f t="shared" si="102"/>
        <v>7234</v>
      </c>
      <c r="X176" s="270">
        <f t="shared" si="102"/>
        <v>7234</v>
      </c>
      <c r="Y176" s="270">
        <f t="shared" si="102"/>
        <v>7234</v>
      </c>
      <c r="Z176" s="270">
        <f t="shared" si="102"/>
        <v>7234</v>
      </c>
      <c r="AA176" s="270">
        <f t="shared" si="102"/>
        <v>7234</v>
      </c>
      <c r="AB176" s="270">
        <f t="shared" si="102"/>
        <v>7234</v>
      </c>
      <c r="AC176" s="270">
        <f t="shared" si="102"/>
        <v>7234</v>
      </c>
      <c r="AD176" s="270">
        <f t="shared" si="103"/>
        <v>7234</v>
      </c>
      <c r="AE176" s="270">
        <f t="shared" si="103"/>
        <v>7234</v>
      </c>
      <c r="AF176" s="270">
        <f t="shared" si="103"/>
        <v>7234</v>
      </c>
      <c r="AG176" s="270">
        <f t="shared" si="103"/>
        <v>7234</v>
      </c>
      <c r="AH176" s="270">
        <f t="shared" si="103"/>
        <v>7234</v>
      </c>
      <c r="AI176" s="270">
        <f t="shared" si="103"/>
        <v>7234</v>
      </c>
      <c r="AJ176" s="270">
        <f t="shared" si="103"/>
        <v>7234</v>
      </c>
      <c r="AK176" s="270">
        <f t="shared" si="103"/>
        <v>7234</v>
      </c>
      <c r="AL176" s="270">
        <f t="shared" si="103"/>
        <v>7234</v>
      </c>
      <c r="AM176" s="270">
        <f t="shared" si="103"/>
        <v>7234</v>
      </c>
    </row>
    <row r="177" spans="2:39" ht="15.75" thickBot="1" x14ac:dyDescent="0.35">
      <c r="B177" s="56" t="str">
        <f>input_names!$B$3</f>
        <v>benzine</v>
      </c>
      <c r="C177" s="61">
        <v>129</v>
      </c>
      <c r="D177" s="270">
        <f t="shared" si="104"/>
        <v>4727</v>
      </c>
      <c r="E177" s="270">
        <f t="shared" si="104"/>
        <v>5341</v>
      </c>
      <c r="F177" s="270">
        <f t="shared" si="104"/>
        <v>6083</v>
      </c>
      <c r="G177" s="270">
        <f t="shared" si="104"/>
        <v>6386</v>
      </c>
      <c r="H177" s="270">
        <f t="shared" si="104"/>
        <v>6338</v>
      </c>
      <c r="I177" s="270">
        <f t="shared" si="104"/>
        <v>6662</v>
      </c>
      <c r="J177" s="270">
        <f t="shared" si="104"/>
        <v>4334</v>
      </c>
      <c r="K177" s="270">
        <f t="shared" si="104"/>
        <v>4750</v>
      </c>
      <c r="L177" s="270">
        <f t="shared" si="104"/>
        <v>5623</v>
      </c>
      <c r="M177" s="270">
        <f t="shared" si="104"/>
        <v>6599</v>
      </c>
      <c r="N177" s="270">
        <f t="shared" si="104"/>
        <v>7407</v>
      </c>
      <c r="O177" s="270">
        <f t="shared" si="104"/>
        <v>7407</v>
      </c>
      <c r="P177" s="270">
        <f t="shared" si="104"/>
        <v>7407</v>
      </c>
      <c r="Q177" s="270">
        <f t="shared" si="104"/>
        <v>7407</v>
      </c>
      <c r="R177" s="270">
        <f t="shared" si="104"/>
        <v>7407</v>
      </c>
      <c r="S177" s="270">
        <f t="shared" si="102"/>
        <v>7407</v>
      </c>
      <c r="T177" s="270">
        <f t="shared" si="102"/>
        <v>7407</v>
      </c>
      <c r="U177" s="270">
        <f t="shared" si="102"/>
        <v>7407</v>
      </c>
      <c r="V177" s="270">
        <f t="shared" si="102"/>
        <v>7407</v>
      </c>
      <c r="W177" s="270">
        <f t="shared" si="102"/>
        <v>7407</v>
      </c>
      <c r="X177" s="270">
        <f t="shared" si="102"/>
        <v>7407</v>
      </c>
      <c r="Y177" s="270">
        <f t="shared" si="102"/>
        <v>7407</v>
      </c>
      <c r="Z177" s="270">
        <f t="shared" si="102"/>
        <v>7407</v>
      </c>
      <c r="AA177" s="270">
        <f t="shared" si="102"/>
        <v>7407</v>
      </c>
      <c r="AB177" s="270">
        <f t="shared" si="102"/>
        <v>7407</v>
      </c>
      <c r="AC177" s="270">
        <f t="shared" si="102"/>
        <v>7407</v>
      </c>
      <c r="AD177" s="270">
        <f t="shared" si="103"/>
        <v>7407</v>
      </c>
      <c r="AE177" s="270">
        <f t="shared" si="103"/>
        <v>7407</v>
      </c>
      <c r="AF177" s="270">
        <f t="shared" si="103"/>
        <v>7407</v>
      </c>
      <c r="AG177" s="270">
        <f t="shared" si="103"/>
        <v>7407</v>
      </c>
      <c r="AH177" s="270">
        <f t="shared" si="103"/>
        <v>7407</v>
      </c>
      <c r="AI177" s="270">
        <f t="shared" si="103"/>
        <v>7407</v>
      </c>
      <c r="AJ177" s="270">
        <f t="shared" si="103"/>
        <v>7407</v>
      </c>
      <c r="AK177" s="270">
        <f t="shared" si="103"/>
        <v>7407</v>
      </c>
      <c r="AL177" s="270">
        <f t="shared" si="103"/>
        <v>7407</v>
      </c>
      <c r="AM177" s="270">
        <f t="shared" si="103"/>
        <v>7407</v>
      </c>
    </row>
    <row r="178" spans="2:39" ht="15.75" thickBot="1" x14ac:dyDescent="0.35">
      <c r="B178" s="56" t="str">
        <f>input_names!$B$3</f>
        <v>benzine</v>
      </c>
      <c r="C178" s="61">
        <v>130</v>
      </c>
      <c r="D178" s="270">
        <f t="shared" si="104"/>
        <v>4839</v>
      </c>
      <c r="E178" s="270">
        <f t="shared" si="104"/>
        <v>5464</v>
      </c>
      <c r="F178" s="270">
        <f t="shared" si="104"/>
        <v>6227</v>
      </c>
      <c r="G178" s="270">
        <f t="shared" si="104"/>
        <v>6525</v>
      </c>
      <c r="H178" s="270">
        <f t="shared" si="104"/>
        <v>6468</v>
      </c>
      <c r="I178" s="270">
        <f t="shared" si="104"/>
        <v>6789</v>
      </c>
      <c r="J178" s="270">
        <f t="shared" si="104"/>
        <v>4466</v>
      </c>
      <c r="K178" s="270">
        <f t="shared" si="104"/>
        <v>4887</v>
      </c>
      <c r="L178" s="270">
        <f t="shared" si="104"/>
        <v>5772</v>
      </c>
      <c r="M178" s="270">
        <f t="shared" si="104"/>
        <v>6766</v>
      </c>
      <c r="N178" s="270">
        <f t="shared" si="104"/>
        <v>7580</v>
      </c>
      <c r="O178" s="270">
        <f t="shared" si="104"/>
        <v>7580</v>
      </c>
      <c r="P178" s="270">
        <f t="shared" si="104"/>
        <v>7580</v>
      </c>
      <c r="Q178" s="270">
        <f t="shared" si="104"/>
        <v>7580</v>
      </c>
      <c r="R178" s="270">
        <f t="shared" si="104"/>
        <v>7580</v>
      </c>
      <c r="S178" s="270">
        <f t="shared" si="102"/>
        <v>7580</v>
      </c>
      <c r="T178" s="270">
        <f t="shared" si="102"/>
        <v>7580</v>
      </c>
      <c r="U178" s="270">
        <f t="shared" si="102"/>
        <v>7580</v>
      </c>
      <c r="V178" s="270">
        <f t="shared" si="102"/>
        <v>7580</v>
      </c>
      <c r="W178" s="270">
        <f t="shared" si="102"/>
        <v>7580</v>
      </c>
      <c r="X178" s="270">
        <f t="shared" si="102"/>
        <v>7580</v>
      </c>
      <c r="Y178" s="270">
        <f t="shared" si="102"/>
        <v>7580</v>
      </c>
      <c r="Z178" s="270">
        <f t="shared" si="102"/>
        <v>7580</v>
      </c>
      <c r="AA178" s="270">
        <f t="shared" si="102"/>
        <v>7580</v>
      </c>
      <c r="AB178" s="270">
        <f t="shared" si="102"/>
        <v>7580</v>
      </c>
      <c r="AC178" s="270">
        <f t="shared" si="102"/>
        <v>7580</v>
      </c>
      <c r="AD178" s="270">
        <f t="shared" si="103"/>
        <v>7580</v>
      </c>
      <c r="AE178" s="270">
        <f t="shared" si="103"/>
        <v>7580</v>
      </c>
      <c r="AF178" s="270">
        <f t="shared" si="103"/>
        <v>7580</v>
      </c>
      <c r="AG178" s="270">
        <f t="shared" si="103"/>
        <v>7580</v>
      </c>
      <c r="AH178" s="270">
        <f t="shared" si="103"/>
        <v>7580</v>
      </c>
      <c r="AI178" s="270">
        <f t="shared" si="103"/>
        <v>7580</v>
      </c>
      <c r="AJ178" s="270">
        <f t="shared" si="103"/>
        <v>7580</v>
      </c>
      <c r="AK178" s="270">
        <f t="shared" si="103"/>
        <v>7580</v>
      </c>
      <c r="AL178" s="270">
        <f t="shared" si="103"/>
        <v>7580</v>
      </c>
      <c r="AM178" s="270">
        <f t="shared" si="103"/>
        <v>7580</v>
      </c>
    </row>
    <row r="179" spans="2:39" ht="15.75" thickBot="1" x14ac:dyDescent="0.35">
      <c r="B179" s="56" t="str">
        <f>input_names!$B$3</f>
        <v>benzine</v>
      </c>
      <c r="C179" s="61">
        <v>131</v>
      </c>
      <c r="D179" s="270">
        <f t="shared" si="104"/>
        <v>4951</v>
      </c>
      <c r="E179" s="270">
        <f t="shared" si="104"/>
        <v>5587</v>
      </c>
      <c r="F179" s="270">
        <f t="shared" si="104"/>
        <v>6371</v>
      </c>
      <c r="G179" s="270">
        <f t="shared" si="104"/>
        <v>6664</v>
      </c>
      <c r="H179" s="270">
        <f t="shared" si="104"/>
        <v>6598</v>
      </c>
      <c r="I179" s="270">
        <f t="shared" si="104"/>
        <v>6916</v>
      </c>
      <c r="J179" s="270">
        <f t="shared" si="104"/>
        <v>4598</v>
      </c>
      <c r="K179" s="270">
        <f t="shared" si="104"/>
        <v>5024</v>
      </c>
      <c r="L179" s="270">
        <f t="shared" si="104"/>
        <v>5921</v>
      </c>
      <c r="M179" s="270">
        <f t="shared" si="104"/>
        <v>6933</v>
      </c>
      <c r="N179" s="270">
        <f t="shared" si="104"/>
        <v>7753</v>
      </c>
      <c r="O179" s="270">
        <f t="shared" si="104"/>
        <v>7753</v>
      </c>
      <c r="P179" s="270">
        <f t="shared" si="104"/>
        <v>7753</v>
      </c>
      <c r="Q179" s="270">
        <f t="shared" si="104"/>
        <v>7753</v>
      </c>
      <c r="R179" s="270">
        <f t="shared" si="104"/>
        <v>7753</v>
      </c>
      <c r="S179" s="270">
        <f t="shared" si="102"/>
        <v>7753</v>
      </c>
      <c r="T179" s="270">
        <f t="shared" si="102"/>
        <v>7753</v>
      </c>
      <c r="U179" s="270">
        <f t="shared" si="102"/>
        <v>7753</v>
      </c>
      <c r="V179" s="270">
        <f t="shared" si="102"/>
        <v>7753</v>
      </c>
      <c r="W179" s="270">
        <f t="shared" si="102"/>
        <v>7753</v>
      </c>
      <c r="X179" s="270">
        <f t="shared" si="102"/>
        <v>7753</v>
      </c>
      <c r="Y179" s="270">
        <f t="shared" si="102"/>
        <v>7753</v>
      </c>
      <c r="Z179" s="270">
        <f t="shared" si="102"/>
        <v>7753</v>
      </c>
      <c r="AA179" s="270">
        <f t="shared" si="102"/>
        <v>7753</v>
      </c>
      <c r="AB179" s="270">
        <f t="shared" si="102"/>
        <v>7753</v>
      </c>
      <c r="AC179" s="270">
        <f t="shared" si="102"/>
        <v>7753</v>
      </c>
      <c r="AD179" s="270">
        <f t="shared" si="103"/>
        <v>7753</v>
      </c>
      <c r="AE179" s="270">
        <f t="shared" si="103"/>
        <v>7753</v>
      </c>
      <c r="AF179" s="270">
        <f t="shared" si="103"/>
        <v>7753</v>
      </c>
      <c r="AG179" s="270">
        <f t="shared" si="103"/>
        <v>7753</v>
      </c>
      <c r="AH179" s="270">
        <f t="shared" si="103"/>
        <v>7753</v>
      </c>
      <c r="AI179" s="270">
        <f t="shared" si="103"/>
        <v>7753</v>
      </c>
      <c r="AJ179" s="270">
        <f t="shared" si="103"/>
        <v>7753</v>
      </c>
      <c r="AK179" s="270">
        <f t="shared" si="103"/>
        <v>7753</v>
      </c>
      <c r="AL179" s="270">
        <f t="shared" si="103"/>
        <v>7753</v>
      </c>
      <c r="AM179" s="270">
        <f t="shared" si="103"/>
        <v>7753</v>
      </c>
    </row>
    <row r="180" spans="2:39" ht="15.75" thickBot="1" x14ac:dyDescent="0.35">
      <c r="B180" s="56" t="str">
        <f>input_names!$B$3</f>
        <v>benzine</v>
      </c>
      <c r="C180" s="61">
        <v>132</v>
      </c>
      <c r="D180" s="270">
        <f t="shared" si="104"/>
        <v>5063</v>
      </c>
      <c r="E180" s="270">
        <f t="shared" si="104"/>
        <v>5710</v>
      </c>
      <c r="F180" s="270">
        <f t="shared" si="104"/>
        <v>6515</v>
      </c>
      <c r="G180" s="270">
        <f t="shared" si="104"/>
        <v>6803</v>
      </c>
      <c r="H180" s="270">
        <f t="shared" si="104"/>
        <v>6728</v>
      </c>
      <c r="I180" s="270">
        <f t="shared" si="104"/>
        <v>7043</v>
      </c>
      <c r="J180" s="270">
        <f t="shared" si="104"/>
        <v>4730</v>
      </c>
      <c r="K180" s="270">
        <f t="shared" si="104"/>
        <v>5161</v>
      </c>
      <c r="L180" s="270">
        <f t="shared" si="104"/>
        <v>6070</v>
      </c>
      <c r="M180" s="270">
        <f t="shared" si="104"/>
        <v>7100</v>
      </c>
      <c r="N180" s="270">
        <f t="shared" si="104"/>
        <v>7926</v>
      </c>
      <c r="O180" s="270">
        <f t="shared" si="104"/>
        <v>7926</v>
      </c>
      <c r="P180" s="270">
        <f t="shared" si="104"/>
        <v>7926</v>
      </c>
      <c r="Q180" s="270">
        <f t="shared" si="104"/>
        <v>7926</v>
      </c>
      <c r="R180" s="270">
        <f t="shared" si="104"/>
        <v>7926</v>
      </c>
      <c r="S180" s="270">
        <f t="shared" si="102"/>
        <v>7926</v>
      </c>
      <c r="T180" s="270">
        <f t="shared" si="102"/>
        <v>7926</v>
      </c>
      <c r="U180" s="270">
        <f t="shared" si="102"/>
        <v>7926</v>
      </c>
      <c r="V180" s="270">
        <f t="shared" si="102"/>
        <v>7926</v>
      </c>
      <c r="W180" s="270">
        <f t="shared" si="102"/>
        <v>7926</v>
      </c>
      <c r="X180" s="270">
        <f t="shared" si="102"/>
        <v>7926</v>
      </c>
      <c r="Y180" s="270">
        <f t="shared" si="102"/>
        <v>7926</v>
      </c>
      <c r="Z180" s="270">
        <f t="shared" si="102"/>
        <v>7926</v>
      </c>
      <c r="AA180" s="270">
        <f t="shared" si="102"/>
        <v>7926</v>
      </c>
      <c r="AB180" s="270">
        <f t="shared" si="102"/>
        <v>7926</v>
      </c>
      <c r="AC180" s="270">
        <f t="shared" si="102"/>
        <v>7926</v>
      </c>
      <c r="AD180" s="270">
        <f t="shared" si="103"/>
        <v>7926</v>
      </c>
      <c r="AE180" s="270">
        <f t="shared" si="103"/>
        <v>7926</v>
      </c>
      <c r="AF180" s="270">
        <f t="shared" si="103"/>
        <v>7926</v>
      </c>
      <c r="AG180" s="270">
        <f t="shared" si="103"/>
        <v>7926</v>
      </c>
      <c r="AH180" s="270">
        <f t="shared" si="103"/>
        <v>7926</v>
      </c>
      <c r="AI180" s="270">
        <f t="shared" si="103"/>
        <v>7926</v>
      </c>
      <c r="AJ180" s="270">
        <f t="shared" si="103"/>
        <v>7926</v>
      </c>
      <c r="AK180" s="270">
        <f t="shared" si="103"/>
        <v>7926</v>
      </c>
      <c r="AL180" s="270">
        <f t="shared" si="103"/>
        <v>7926</v>
      </c>
      <c r="AM180" s="270">
        <f t="shared" si="103"/>
        <v>7926</v>
      </c>
    </row>
    <row r="181" spans="2:39" ht="15.75" thickBot="1" x14ac:dyDescent="0.35">
      <c r="B181" s="56" t="str">
        <f>input_names!$B$3</f>
        <v>benzine</v>
      </c>
      <c r="C181" s="61">
        <v>133</v>
      </c>
      <c r="D181" s="270">
        <f t="shared" si="104"/>
        <v>5175</v>
      </c>
      <c r="E181" s="270">
        <f t="shared" si="104"/>
        <v>5833</v>
      </c>
      <c r="F181" s="270">
        <f t="shared" si="104"/>
        <v>6659</v>
      </c>
      <c r="G181" s="270">
        <f t="shared" si="104"/>
        <v>6942</v>
      </c>
      <c r="H181" s="270">
        <f t="shared" si="104"/>
        <v>6858</v>
      </c>
      <c r="I181" s="270">
        <f t="shared" si="104"/>
        <v>7170</v>
      </c>
      <c r="J181" s="270">
        <f t="shared" si="104"/>
        <v>4862</v>
      </c>
      <c r="K181" s="270">
        <f t="shared" si="104"/>
        <v>5298</v>
      </c>
      <c r="L181" s="270">
        <f t="shared" si="104"/>
        <v>6219</v>
      </c>
      <c r="M181" s="270">
        <f t="shared" si="104"/>
        <v>7267</v>
      </c>
      <c r="N181" s="270">
        <f t="shared" si="104"/>
        <v>8099</v>
      </c>
      <c r="O181" s="270">
        <f t="shared" si="104"/>
        <v>8099</v>
      </c>
      <c r="P181" s="270">
        <f t="shared" si="104"/>
        <v>8099</v>
      </c>
      <c r="Q181" s="270">
        <f t="shared" si="104"/>
        <v>8099</v>
      </c>
      <c r="R181" s="270">
        <f t="shared" si="104"/>
        <v>8099</v>
      </c>
      <c r="S181" s="270">
        <f t="shared" si="102"/>
        <v>8099</v>
      </c>
      <c r="T181" s="270">
        <f t="shared" si="102"/>
        <v>8099</v>
      </c>
      <c r="U181" s="270">
        <f t="shared" si="102"/>
        <v>8099</v>
      </c>
      <c r="V181" s="270">
        <f t="shared" si="102"/>
        <v>8099</v>
      </c>
      <c r="W181" s="270">
        <f t="shared" si="102"/>
        <v>8099</v>
      </c>
      <c r="X181" s="270">
        <f t="shared" si="102"/>
        <v>8099</v>
      </c>
      <c r="Y181" s="270">
        <f t="shared" si="102"/>
        <v>8099</v>
      </c>
      <c r="Z181" s="270">
        <f t="shared" si="102"/>
        <v>8099</v>
      </c>
      <c r="AA181" s="270">
        <f t="shared" si="102"/>
        <v>8099</v>
      </c>
      <c r="AB181" s="270">
        <f t="shared" si="102"/>
        <v>8099</v>
      </c>
      <c r="AC181" s="270">
        <f t="shared" si="102"/>
        <v>8099</v>
      </c>
      <c r="AD181" s="270">
        <f t="shared" si="103"/>
        <v>8099</v>
      </c>
      <c r="AE181" s="270">
        <f t="shared" si="103"/>
        <v>8099</v>
      </c>
      <c r="AF181" s="270">
        <f t="shared" si="103"/>
        <v>8099</v>
      </c>
      <c r="AG181" s="270">
        <f t="shared" si="103"/>
        <v>8099</v>
      </c>
      <c r="AH181" s="270">
        <f t="shared" si="103"/>
        <v>8099</v>
      </c>
      <c r="AI181" s="270">
        <f t="shared" si="103"/>
        <v>8099</v>
      </c>
      <c r="AJ181" s="270">
        <f t="shared" si="103"/>
        <v>8099</v>
      </c>
      <c r="AK181" s="270">
        <f t="shared" si="103"/>
        <v>8099</v>
      </c>
      <c r="AL181" s="270">
        <f t="shared" si="103"/>
        <v>8099</v>
      </c>
      <c r="AM181" s="270">
        <f t="shared" si="103"/>
        <v>8099</v>
      </c>
    </row>
    <row r="182" spans="2:39" ht="15.75" thickBot="1" x14ac:dyDescent="0.35">
      <c r="B182" s="56" t="str">
        <f>input_names!$B$3</f>
        <v>benzine</v>
      </c>
      <c r="C182" s="61">
        <v>134</v>
      </c>
      <c r="D182" s="270">
        <f t="shared" si="104"/>
        <v>5287</v>
      </c>
      <c r="E182" s="270">
        <f t="shared" si="104"/>
        <v>5956</v>
      </c>
      <c r="F182" s="270">
        <f t="shared" si="104"/>
        <v>6803</v>
      </c>
      <c r="G182" s="270">
        <f t="shared" si="104"/>
        <v>7081</v>
      </c>
      <c r="H182" s="270">
        <f t="shared" si="104"/>
        <v>6988</v>
      </c>
      <c r="I182" s="270">
        <f t="shared" si="104"/>
        <v>7379</v>
      </c>
      <c r="J182" s="270">
        <f t="shared" si="104"/>
        <v>4994</v>
      </c>
      <c r="K182" s="270">
        <f t="shared" si="104"/>
        <v>5435</v>
      </c>
      <c r="L182" s="270">
        <f t="shared" si="104"/>
        <v>6368</v>
      </c>
      <c r="M182" s="270">
        <f t="shared" si="104"/>
        <v>7434</v>
      </c>
      <c r="N182" s="270">
        <f t="shared" si="104"/>
        <v>8272</v>
      </c>
      <c r="O182" s="270">
        <f t="shared" si="104"/>
        <v>8272</v>
      </c>
      <c r="P182" s="270">
        <f t="shared" si="104"/>
        <v>8272</v>
      </c>
      <c r="Q182" s="270">
        <f t="shared" si="104"/>
        <v>8272</v>
      </c>
      <c r="R182" s="270">
        <f t="shared" si="104"/>
        <v>8272</v>
      </c>
      <c r="S182" s="270">
        <f t="shared" si="102"/>
        <v>8272</v>
      </c>
      <c r="T182" s="270">
        <f t="shared" si="102"/>
        <v>8272</v>
      </c>
      <c r="U182" s="270">
        <f t="shared" si="102"/>
        <v>8272</v>
      </c>
      <c r="V182" s="270">
        <f t="shared" si="102"/>
        <v>8272</v>
      </c>
      <c r="W182" s="270">
        <f t="shared" si="102"/>
        <v>8272</v>
      </c>
      <c r="X182" s="270">
        <f t="shared" si="102"/>
        <v>8272</v>
      </c>
      <c r="Y182" s="270">
        <f t="shared" si="102"/>
        <v>8272</v>
      </c>
      <c r="Z182" s="270">
        <f t="shared" si="102"/>
        <v>8272</v>
      </c>
      <c r="AA182" s="270">
        <f t="shared" si="102"/>
        <v>8272</v>
      </c>
      <c r="AB182" s="270">
        <f t="shared" si="102"/>
        <v>8272</v>
      </c>
      <c r="AC182" s="270">
        <f t="shared" si="102"/>
        <v>8272</v>
      </c>
      <c r="AD182" s="270">
        <f t="shared" si="103"/>
        <v>8272</v>
      </c>
      <c r="AE182" s="270">
        <f t="shared" si="103"/>
        <v>8272</v>
      </c>
      <c r="AF182" s="270">
        <f t="shared" si="103"/>
        <v>8272</v>
      </c>
      <c r="AG182" s="270">
        <f t="shared" si="103"/>
        <v>8272</v>
      </c>
      <c r="AH182" s="270">
        <f t="shared" si="103"/>
        <v>8272</v>
      </c>
      <c r="AI182" s="270">
        <f t="shared" si="103"/>
        <v>8272</v>
      </c>
      <c r="AJ182" s="270">
        <f t="shared" si="103"/>
        <v>8272</v>
      </c>
      <c r="AK182" s="270">
        <f t="shared" si="103"/>
        <v>8272</v>
      </c>
      <c r="AL182" s="270">
        <f t="shared" si="103"/>
        <v>8272</v>
      </c>
      <c r="AM182" s="270">
        <f t="shared" si="103"/>
        <v>8272</v>
      </c>
    </row>
    <row r="183" spans="2:39" ht="15.75" thickBot="1" x14ac:dyDescent="0.35">
      <c r="B183" s="56" t="str">
        <f>input_names!$B$3</f>
        <v>benzine</v>
      </c>
      <c r="C183" s="61">
        <v>135</v>
      </c>
      <c r="D183" s="270">
        <f t="shared" si="104"/>
        <v>5399</v>
      </c>
      <c r="E183" s="270">
        <f t="shared" si="104"/>
        <v>6079</v>
      </c>
      <c r="F183" s="270">
        <f t="shared" si="104"/>
        <v>6947</v>
      </c>
      <c r="G183" s="270">
        <f t="shared" si="104"/>
        <v>7220</v>
      </c>
      <c r="H183" s="270">
        <f t="shared" si="104"/>
        <v>7118</v>
      </c>
      <c r="I183" s="270">
        <f t="shared" si="104"/>
        <v>7588</v>
      </c>
      <c r="J183" s="270">
        <f t="shared" si="104"/>
        <v>5126</v>
      </c>
      <c r="K183" s="270">
        <f t="shared" si="104"/>
        <v>5572</v>
      </c>
      <c r="L183" s="270">
        <f t="shared" si="104"/>
        <v>6517</v>
      </c>
      <c r="M183" s="270">
        <f t="shared" si="104"/>
        <v>7601</v>
      </c>
      <c r="N183" s="270">
        <f t="shared" si="104"/>
        <v>8445</v>
      </c>
      <c r="O183" s="270">
        <f t="shared" si="104"/>
        <v>8445</v>
      </c>
      <c r="P183" s="270">
        <f t="shared" si="104"/>
        <v>8445</v>
      </c>
      <c r="Q183" s="270">
        <f t="shared" si="104"/>
        <v>8445</v>
      </c>
      <c r="R183" s="270">
        <f t="shared" si="104"/>
        <v>8445</v>
      </c>
      <c r="S183" s="270">
        <f t="shared" si="102"/>
        <v>8445</v>
      </c>
      <c r="T183" s="270">
        <f t="shared" si="102"/>
        <v>8445</v>
      </c>
      <c r="U183" s="270">
        <f t="shared" si="102"/>
        <v>8445</v>
      </c>
      <c r="V183" s="270">
        <f t="shared" si="102"/>
        <v>8445</v>
      </c>
      <c r="W183" s="270">
        <f t="shared" si="102"/>
        <v>8445</v>
      </c>
      <c r="X183" s="270">
        <f t="shared" si="102"/>
        <v>8445</v>
      </c>
      <c r="Y183" s="270">
        <f t="shared" si="102"/>
        <v>8445</v>
      </c>
      <c r="Z183" s="270">
        <f t="shared" si="102"/>
        <v>8445</v>
      </c>
      <c r="AA183" s="270">
        <f t="shared" si="102"/>
        <v>8445</v>
      </c>
      <c r="AB183" s="270">
        <f t="shared" si="102"/>
        <v>8445</v>
      </c>
      <c r="AC183" s="270">
        <f t="shared" si="102"/>
        <v>8445</v>
      </c>
      <c r="AD183" s="270">
        <f t="shared" si="103"/>
        <v>8445</v>
      </c>
      <c r="AE183" s="270">
        <f t="shared" si="103"/>
        <v>8445</v>
      </c>
      <c r="AF183" s="270">
        <f t="shared" si="103"/>
        <v>8445</v>
      </c>
      <c r="AG183" s="270">
        <f t="shared" si="103"/>
        <v>8445</v>
      </c>
      <c r="AH183" s="270">
        <f t="shared" si="103"/>
        <v>8445</v>
      </c>
      <c r="AI183" s="270">
        <f t="shared" si="103"/>
        <v>8445</v>
      </c>
      <c r="AJ183" s="270">
        <f t="shared" si="103"/>
        <v>8445</v>
      </c>
      <c r="AK183" s="270">
        <f t="shared" si="103"/>
        <v>8445</v>
      </c>
      <c r="AL183" s="270">
        <f t="shared" si="103"/>
        <v>8445</v>
      </c>
      <c r="AM183" s="270">
        <f t="shared" si="103"/>
        <v>8445</v>
      </c>
    </row>
    <row r="184" spans="2:39" ht="15.75" thickBot="1" x14ac:dyDescent="0.35">
      <c r="B184" s="56" t="str">
        <f>input_names!$B$3</f>
        <v>benzine</v>
      </c>
      <c r="C184" s="61">
        <v>136</v>
      </c>
      <c r="D184" s="270">
        <f t="shared" si="104"/>
        <v>5511</v>
      </c>
      <c r="E184" s="270">
        <f t="shared" si="104"/>
        <v>6202</v>
      </c>
      <c r="F184" s="270">
        <f t="shared" si="104"/>
        <v>7091</v>
      </c>
      <c r="G184" s="270">
        <f t="shared" si="104"/>
        <v>7359</v>
      </c>
      <c r="H184" s="270">
        <f t="shared" si="104"/>
        <v>7248</v>
      </c>
      <c r="I184" s="270">
        <f t="shared" si="104"/>
        <v>7797</v>
      </c>
      <c r="J184" s="270">
        <f t="shared" si="104"/>
        <v>5258</v>
      </c>
      <c r="K184" s="270">
        <f t="shared" si="104"/>
        <v>5709</v>
      </c>
      <c r="L184" s="270">
        <f t="shared" si="104"/>
        <v>6666</v>
      </c>
      <c r="M184" s="270">
        <f t="shared" si="104"/>
        <v>7768</v>
      </c>
      <c r="N184" s="270">
        <f t="shared" si="104"/>
        <v>8618</v>
      </c>
      <c r="O184" s="270">
        <f t="shared" si="104"/>
        <v>8618</v>
      </c>
      <c r="P184" s="270">
        <f t="shared" si="104"/>
        <v>8618</v>
      </c>
      <c r="Q184" s="270">
        <f t="shared" si="104"/>
        <v>8618</v>
      </c>
      <c r="R184" s="270">
        <f t="shared" si="104"/>
        <v>8618</v>
      </c>
      <c r="S184" s="270">
        <f t="shared" si="102"/>
        <v>8618</v>
      </c>
      <c r="T184" s="270">
        <f t="shared" si="102"/>
        <v>8618</v>
      </c>
      <c r="U184" s="270">
        <f t="shared" si="102"/>
        <v>8618</v>
      </c>
      <c r="V184" s="270">
        <f t="shared" si="102"/>
        <v>8618</v>
      </c>
      <c r="W184" s="270">
        <f t="shared" si="102"/>
        <v>8618</v>
      </c>
      <c r="X184" s="270">
        <f t="shared" si="102"/>
        <v>8618</v>
      </c>
      <c r="Y184" s="270">
        <f t="shared" si="102"/>
        <v>8618</v>
      </c>
      <c r="Z184" s="270">
        <f t="shared" si="102"/>
        <v>8618</v>
      </c>
      <c r="AA184" s="270">
        <f t="shared" si="102"/>
        <v>8618</v>
      </c>
      <c r="AB184" s="270">
        <f t="shared" si="102"/>
        <v>8618</v>
      </c>
      <c r="AC184" s="270">
        <f t="shared" si="102"/>
        <v>8618</v>
      </c>
      <c r="AD184" s="270">
        <f t="shared" si="103"/>
        <v>8618</v>
      </c>
      <c r="AE184" s="270">
        <f t="shared" si="103"/>
        <v>8618</v>
      </c>
      <c r="AF184" s="270">
        <f t="shared" si="103"/>
        <v>8618</v>
      </c>
      <c r="AG184" s="270">
        <f t="shared" si="103"/>
        <v>8618</v>
      </c>
      <c r="AH184" s="270">
        <f t="shared" si="103"/>
        <v>8618</v>
      </c>
      <c r="AI184" s="270">
        <f t="shared" si="103"/>
        <v>8618</v>
      </c>
      <c r="AJ184" s="270">
        <f t="shared" si="103"/>
        <v>8618</v>
      </c>
      <c r="AK184" s="270">
        <f t="shared" si="103"/>
        <v>8618</v>
      </c>
      <c r="AL184" s="270">
        <f t="shared" si="103"/>
        <v>8618</v>
      </c>
      <c r="AM184" s="270">
        <f t="shared" si="103"/>
        <v>8618</v>
      </c>
    </row>
    <row r="185" spans="2:39" ht="15.75" thickBot="1" x14ac:dyDescent="0.35">
      <c r="B185" s="56" t="str">
        <f>input_names!$B$3</f>
        <v>benzine</v>
      </c>
      <c r="C185" s="61">
        <v>137</v>
      </c>
      <c r="D185" s="270">
        <f t="shared" si="104"/>
        <v>5623</v>
      </c>
      <c r="E185" s="270">
        <f t="shared" si="104"/>
        <v>6325</v>
      </c>
      <c r="F185" s="270">
        <f t="shared" si="104"/>
        <v>7235</v>
      </c>
      <c r="G185" s="270">
        <f t="shared" si="104"/>
        <v>7498</v>
      </c>
      <c r="H185" s="270">
        <f t="shared" si="104"/>
        <v>7378</v>
      </c>
      <c r="I185" s="270">
        <f t="shared" si="104"/>
        <v>8006</v>
      </c>
      <c r="J185" s="270">
        <f t="shared" si="104"/>
        <v>5390</v>
      </c>
      <c r="K185" s="270">
        <f t="shared" si="104"/>
        <v>5846</v>
      </c>
      <c r="L185" s="270">
        <f t="shared" si="104"/>
        <v>6815</v>
      </c>
      <c r="M185" s="270">
        <f t="shared" si="104"/>
        <v>7935</v>
      </c>
      <c r="N185" s="270">
        <f t="shared" si="104"/>
        <v>8791</v>
      </c>
      <c r="O185" s="270">
        <f t="shared" si="104"/>
        <v>8791</v>
      </c>
      <c r="P185" s="270">
        <f t="shared" si="104"/>
        <v>8791</v>
      </c>
      <c r="Q185" s="270">
        <f t="shared" si="104"/>
        <v>8791</v>
      </c>
      <c r="R185" s="270">
        <f t="shared" si="104"/>
        <v>8791</v>
      </c>
      <c r="S185" s="270">
        <f t="shared" si="104"/>
        <v>8791</v>
      </c>
      <c r="T185" s="270">
        <f t="shared" ref="S185:AC208" si="105">+MIN(MAX(0,$C185-T$11),T$12-T$11)*T$17
+MIN(MAX(0,$C185-T$12),T$13-T$12)*T$18
+MIN(MAX(0,$C185-T$13),T$14-T$13)*T$19
+MIN(MAX(0,$C185-T$14),T$15-T$14)*T$20
+MAX(0,$C185-T$15)*T$21
+T$26</f>
        <v>8791</v>
      </c>
      <c r="U185" s="270">
        <f t="shared" si="105"/>
        <v>8791</v>
      </c>
      <c r="V185" s="270">
        <f t="shared" si="105"/>
        <v>8791</v>
      </c>
      <c r="W185" s="270">
        <f t="shared" si="105"/>
        <v>8791</v>
      </c>
      <c r="X185" s="270">
        <f t="shared" si="105"/>
        <v>8791</v>
      </c>
      <c r="Y185" s="270">
        <f t="shared" si="105"/>
        <v>8791</v>
      </c>
      <c r="Z185" s="270">
        <f t="shared" si="105"/>
        <v>8791</v>
      </c>
      <c r="AA185" s="270">
        <f t="shared" si="105"/>
        <v>8791</v>
      </c>
      <c r="AB185" s="270">
        <f t="shared" si="105"/>
        <v>8791</v>
      </c>
      <c r="AC185" s="270">
        <f t="shared" si="105"/>
        <v>8791</v>
      </c>
      <c r="AD185" s="270">
        <f t="shared" si="103"/>
        <v>8791</v>
      </c>
      <c r="AE185" s="270">
        <f t="shared" si="103"/>
        <v>8791</v>
      </c>
      <c r="AF185" s="270">
        <f t="shared" si="103"/>
        <v>8791</v>
      </c>
      <c r="AG185" s="270">
        <f t="shared" si="103"/>
        <v>8791</v>
      </c>
      <c r="AH185" s="270">
        <f t="shared" si="103"/>
        <v>8791</v>
      </c>
      <c r="AI185" s="270">
        <f t="shared" si="103"/>
        <v>8791</v>
      </c>
      <c r="AJ185" s="270">
        <f t="shared" si="103"/>
        <v>8791</v>
      </c>
      <c r="AK185" s="270">
        <f t="shared" si="103"/>
        <v>8791</v>
      </c>
      <c r="AL185" s="270">
        <f t="shared" si="103"/>
        <v>8791</v>
      </c>
      <c r="AM185" s="270">
        <f t="shared" si="103"/>
        <v>8791</v>
      </c>
    </row>
    <row r="186" spans="2:39" ht="15.75" thickBot="1" x14ac:dyDescent="0.35">
      <c r="B186" s="56" t="str">
        <f>input_names!$B$3</f>
        <v>benzine</v>
      </c>
      <c r="C186" s="61">
        <v>138</v>
      </c>
      <c r="D186" s="270">
        <f t="shared" si="104"/>
        <v>5735</v>
      </c>
      <c r="E186" s="270">
        <f t="shared" si="104"/>
        <v>6448</v>
      </c>
      <c r="F186" s="270">
        <f t="shared" si="104"/>
        <v>7379</v>
      </c>
      <c r="G186" s="270">
        <f t="shared" si="104"/>
        <v>7637</v>
      </c>
      <c r="H186" s="270">
        <f t="shared" si="104"/>
        <v>7508</v>
      </c>
      <c r="I186" s="270">
        <f t="shared" si="104"/>
        <v>8215</v>
      </c>
      <c r="J186" s="270">
        <f t="shared" si="104"/>
        <v>5522</v>
      </c>
      <c r="K186" s="270">
        <f t="shared" si="104"/>
        <v>5983</v>
      </c>
      <c r="L186" s="270">
        <f t="shared" si="104"/>
        <v>6964</v>
      </c>
      <c r="M186" s="270">
        <f t="shared" si="104"/>
        <v>8102</v>
      </c>
      <c r="N186" s="270">
        <f t="shared" si="104"/>
        <v>8964</v>
      </c>
      <c r="O186" s="270">
        <f t="shared" si="104"/>
        <v>8964</v>
      </c>
      <c r="P186" s="270">
        <f t="shared" si="104"/>
        <v>8964</v>
      </c>
      <c r="Q186" s="270">
        <f t="shared" si="104"/>
        <v>8964</v>
      </c>
      <c r="R186" s="270">
        <f t="shared" si="104"/>
        <v>8964</v>
      </c>
      <c r="S186" s="270">
        <f t="shared" si="105"/>
        <v>8964</v>
      </c>
      <c r="T186" s="270">
        <f t="shared" si="105"/>
        <v>8964</v>
      </c>
      <c r="U186" s="270">
        <f t="shared" si="105"/>
        <v>8964</v>
      </c>
      <c r="V186" s="270">
        <f t="shared" si="105"/>
        <v>8964</v>
      </c>
      <c r="W186" s="270">
        <f t="shared" si="105"/>
        <v>8964</v>
      </c>
      <c r="X186" s="270">
        <f t="shared" si="105"/>
        <v>8964</v>
      </c>
      <c r="Y186" s="270">
        <f t="shared" si="105"/>
        <v>8964</v>
      </c>
      <c r="Z186" s="270">
        <f t="shared" si="105"/>
        <v>8964</v>
      </c>
      <c r="AA186" s="270">
        <f t="shared" si="105"/>
        <v>8964</v>
      </c>
      <c r="AB186" s="270">
        <f t="shared" si="105"/>
        <v>8964</v>
      </c>
      <c r="AC186" s="270">
        <f t="shared" si="105"/>
        <v>8964</v>
      </c>
      <c r="AD186" s="270">
        <f t="shared" si="103"/>
        <v>8964</v>
      </c>
      <c r="AE186" s="270">
        <f t="shared" si="103"/>
        <v>8964</v>
      </c>
      <c r="AF186" s="270">
        <f t="shared" si="103"/>
        <v>8964</v>
      </c>
      <c r="AG186" s="270">
        <f t="shared" si="103"/>
        <v>8964</v>
      </c>
      <c r="AH186" s="270">
        <f t="shared" si="103"/>
        <v>8964</v>
      </c>
      <c r="AI186" s="270">
        <f t="shared" si="103"/>
        <v>8964</v>
      </c>
      <c r="AJ186" s="270">
        <f t="shared" si="103"/>
        <v>8964</v>
      </c>
      <c r="AK186" s="270">
        <f t="shared" si="103"/>
        <v>8964</v>
      </c>
      <c r="AL186" s="270">
        <f t="shared" si="103"/>
        <v>8964</v>
      </c>
      <c r="AM186" s="270">
        <f t="shared" si="103"/>
        <v>8964</v>
      </c>
    </row>
    <row r="187" spans="2:39" ht="15.75" thickBot="1" x14ac:dyDescent="0.35">
      <c r="B187" s="56" t="str">
        <f>input_names!$B$3</f>
        <v>benzine</v>
      </c>
      <c r="C187" s="61">
        <v>139</v>
      </c>
      <c r="D187" s="270">
        <f t="shared" si="104"/>
        <v>5847</v>
      </c>
      <c r="E187" s="270">
        <f t="shared" si="104"/>
        <v>6571</v>
      </c>
      <c r="F187" s="270">
        <f t="shared" si="104"/>
        <v>7523</v>
      </c>
      <c r="G187" s="270">
        <f t="shared" si="104"/>
        <v>7776</v>
      </c>
      <c r="H187" s="270">
        <f t="shared" si="104"/>
        <v>7638</v>
      </c>
      <c r="I187" s="270">
        <f t="shared" si="104"/>
        <v>8424</v>
      </c>
      <c r="J187" s="270">
        <f t="shared" si="104"/>
        <v>5654</v>
      </c>
      <c r="K187" s="270">
        <f t="shared" si="104"/>
        <v>6120</v>
      </c>
      <c r="L187" s="270">
        <f t="shared" si="104"/>
        <v>7113</v>
      </c>
      <c r="M187" s="270">
        <f t="shared" si="104"/>
        <v>8269</v>
      </c>
      <c r="N187" s="270">
        <f t="shared" si="104"/>
        <v>9137</v>
      </c>
      <c r="O187" s="270">
        <f t="shared" si="104"/>
        <v>9137</v>
      </c>
      <c r="P187" s="270">
        <f t="shared" si="104"/>
        <v>9137</v>
      </c>
      <c r="Q187" s="270">
        <f t="shared" si="104"/>
        <v>9137</v>
      </c>
      <c r="R187" s="270">
        <f t="shared" si="104"/>
        <v>9137</v>
      </c>
      <c r="S187" s="270">
        <f t="shared" si="105"/>
        <v>9137</v>
      </c>
      <c r="T187" s="270">
        <f t="shared" si="105"/>
        <v>9137</v>
      </c>
      <c r="U187" s="270">
        <f t="shared" si="105"/>
        <v>9137</v>
      </c>
      <c r="V187" s="270">
        <f t="shared" si="105"/>
        <v>9137</v>
      </c>
      <c r="W187" s="270">
        <f t="shared" si="105"/>
        <v>9137</v>
      </c>
      <c r="X187" s="270">
        <f t="shared" si="105"/>
        <v>9137</v>
      </c>
      <c r="Y187" s="270">
        <f t="shared" si="105"/>
        <v>9137</v>
      </c>
      <c r="Z187" s="270">
        <f t="shared" si="105"/>
        <v>9137</v>
      </c>
      <c r="AA187" s="270">
        <f t="shared" si="105"/>
        <v>9137</v>
      </c>
      <c r="AB187" s="270">
        <f t="shared" si="105"/>
        <v>9137</v>
      </c>
      <c r="AC187" s="270">
        <f t="shared" si="105"/>
        <v>9137</v>
      </c>
      <c r="AD187" s="270">
        <f t="shared" si="103"/>
        <v>9137</v>
      </c>
      <c r="AE187" s="270">
        <f t="shared" si="103"/>
        <v>9137</v>
      </c>
      <c r="AF187" s="270">
        <f t="shared" si="103"/>
        <v>9137</v>
      </c>
      <c r="AG187" s="270">
        <f t="shared" si="103"/>
        <v>9137</v>
      </c>
      <c r="AH187" s="270">
        <f t="shared" si="103"/>
        <v>9137</v>
      </c>
      <c r="AI187" s="270">
        <f t="shared" si="103"/>
        <v>9137</v>
      </c>
      <c r="AJ187" s="270">
        <f t="shared" si="103"/>
        <v>9137</v>
      </c>
      <c r="AK187" s="270">
        <f t="shared" si="103"/>
        <v>9137</v>
      </c>
      <c r="AL187" s="270">
        <f t="shared" si="103"/>
        <v>9137</v>
      </c>
      <c r="AM187" s="270">
        <f t="shared" si="103"/>
        <v>9137</v>
      </c>
    </row>
    <row r="188" spans="2:39" ht="15.75" thickBot="1" x14ac:dyDescent="0.35">
      <c r="B188" s="56" t="str">
        <f>input_names!$B$3</f>
        <v>benzine</v>
      </c>
      <c r="C188" s="61">
        <v>140</v>
      </c>
      <c r="D188" s="270">
        <f t="shared" si="104"/>
        <v>5959</v>
      </c>
      <c r="E188" s="270">
        <f t="shared" si="104"/>
        <v>6694</v>
      </c>
      <c r="F188" s="270">
        <f t="shared" si="104"/>
        <v>7667</v>
      </c>
      <c r="G188" s="270">
        <f t="shared" si="104"/>
        <v>7915</v>
      </c>
      <c r="H188" s="270">
        <f t="shared" si="104"/>
        <v>7852</v>
      </c>
      <c r="I188" s="270">
        <f t="shared" si="104"/>
        <v>8633</v>
      </c>
      <c r="J188" s="270">
        <f t="shared" si="104"/>
        <v>5786</v>
      </c>
      <c r="K188" s="270">
        <f t="shared" si="104"/>
        <v>6257</v>
      </c>
      <c r="L188" s="270">
        <f t="shared" si="104"/>
        <v>7262</v>
      </c>
      <c r="M188" s="270">
        <f t="shared" si="104"/>
        <v>8436</v>
      </c>
      <c r="N188" s="270">
        <f t="shared" si="104"/>
        <v>9310</v>
      </c>
      <c r="O188" s="270">
        <f t="shared" si="104"/>
        <v>9310</v>
      </c>
      <c r="P188" s="270">
        <f t="shared" si="104"/>
        <v>9310</v>
      </c>
      <c r="Q188" s="270">
        <f t="shared" si="104"/>
        <v>9310</v>
      </c>
      <c r="R188" s="270">
        <f t="shared" si="104"/>
        <v>9310</v>
      </c>
      <c r="S188" s="270">
        <f t="shared" si="105"/>
        <v>9310</v>
      </c>
      <c r="T188" s="270">
        <f t="shared" si="105"/>
        <v>9310</v>
      </c>
      <c r="U188" s="270">
        <f t="shared" si="105"/>
        <v>9310</v>
      </c>
      <c r="V188" s="270">
        <f t="shared" si="105"/>
        <v>9310</v>
      </c>
      <c r="W188" s="270">
        <f t="shared" si="105"/>
        <v>9310</v>
      </c>
      <c r="X188" s="270">
        <f t="shared" si="105"/>
        <v>9310</v>
      </c>
      <c r="Y188" s="270">
        <f t="shared" si="105"/>
        <v>9310</v>
      </c>
      <c r="Z188" s="270">
        <f t="shared" si="105"/>
        <v>9310</v>
      </c>
      <c r="AA188" s="270">
        <f t="shared" si="105"/>
        <v>9310</v>
      </c>
      <c r="AB188" s="270">
        <f t="shared" si="105"/>
        <v>9310</v>
      </c>
      <c r="AC188" s="270">
        <f t="shared" si="105"/>
        <v>9310</v>
      </c>
      <c r="AD188" s="270">
        <f t="shared" si="103"/>
        <v>9310</v>
      </c>
      <c r="AE188" s="270">
        <f t="shared" si="103"/>
        <v>9310</v>
      </c>
      <c r="AF188" s="270">
        <f t="shared" si="103"/>
        <v>9310</v>
      </c>
      <c r="AG188" s="270">
        <f t="shared" si="103"/>
        <v>9310</v>
      </c>
      <c r="AH188" s="270">
        <f t="shared" si="103"/>
        <v>9310</v>
      </c>
      <c r="AI188" s="270">
        <f t="shared" si="103"/>
        <v>9310</v>
      </c>
      <c r="AJ188" s="270">
        <f t="shared" si="103"/>
        <v>9310</v>
      </c>
      <c r="AK188" s="270">
        <f t="shared" si="103"/>
        <v>9310</v>
      </c>
      <c r="AL188" s="270">
        <f t="shared" si="103"/>
        <v>9310</v>
      </c>
      <c r="AM188" s="270">
        <f t="shared" si="103"/>
        <v>9310</v>
      </c>
    </row>
    <row r="189" spans="2:39" ht="15.75" thickBot="1" x14ac:dyDescent="0.35">
      <c r="B189" s="56" t="str">
        <f>input_names!$B$3</f>
        <v>benzine</v>
      </c>
      <c r="C189" s="61">
        <v>141</v>
      </c>
      <c r="D189" s="270">
        <f t="shared" si="104"/>
        <v>6071</v>
      </c>
      <c r="E189" s="270">
        <f t="shared" si="104"/>
        <v>6817</v>
      </c>
      <c r="F189" s="270">
        <f t="shared" si="104"/>
        <v>7811</v>
      </c>
      <c r="G189" s="270">
        <f t="shared" si="104"/>
        <v>8054</v>
      </c>
      <c r="H189" s="270">
        <f t="shared" si="104"/>
        <v>8066</v>
      </c>
      <c r="I189" s="270">
        <f t="shared" si="104"/>
        <v>8842</v>
      </c>
      <c r="J189" s="270">
        <f t="shared" si="104"/>
        <v>5918</v>
      </c>
      <c r="K189" s="270">
        <f t="shared" si="104"/>
        <v>6394</v>
      </c>
      <c r="L189" s="270">
        <f t="shared" si="104"/>
        <v>7411</v>
      </c>
      <c r="M189" s="270">
        <f t="shared" si="104"/>
        <v>8603</v>
      </c>
      <c r="N189" s="270">
        <f t="shared" si="104"/>
        <v>9483</v>
      </c>
      <c r="O189" s="270">
        <f t="shared" si="104"/>
        <v>9483</v>
      </c>
      <c r="P189" s="270">
        <f t="shared" si="104"/>
        <v>9483</v>
      </c>
      <c r="Q189" s="270">
        <f t="shared" si="104"/>
        <v>9483</v>
      </c>
      <c r="R189" s="270">
        <f t="shared" si="104"/>
        <v>9483</v>
      </c>
      <c r="S189" s="270">
        <f t="shared" si="105"/>
        <v>9483</v>
      </c>
      <c r="T189" s="270">
        <f t="shared" si="105"/>
        <v>9483</v>
      </c>
      <c r="U189" s="270">
        <f t="shared" si="105"/>
        <v>9483</v>
      </c>
      <c r="V189" s="270">
        <f t="shared" si="105"/>
        <v>9483</v>
      </c>
      <c r="W189" s="270">
        <f t="shared" si="105"/>
        <v>9483</v>
      </c>
      <c r="X189" s="270">
        <f t="shared" si="105"/>
        <v>9483</v>
      </c>
      <c r="Y189" s="270">
        <f t="shared" si="105"/>
        <v>9483</v>
      </c>
      <c r="Z189" s="270">
        <f t="shared" si="105"/>
        <v>9483</v>
      </c>
      <c r="AA189" s="270">
        <f t="shared" si="105"/>
        <v>9483</v>
      </c>
      <c r="AB189" s="270">
        <f t="shared" si="105"/>
        <v>9483</v>
      </c>
      <c r="AC189" s="270">
        <f t="shared" si="105"/>
        <v>9483</v>
      </c>
      <c r="AD189" s="270">
        <f t="shared" si="103"/>
        <v>9483</v>
      </c>
      <c r="AE189" s="270">
        <f t="shared" si="103"/>
        <v>9483</v>
      </c>
      <c r="AF189" s="270">
        <f t="shared" si="103"/>
        <v>9483</v>
      </c>
      <c r="AG189" s="270">
        <f t="shared" si="103"/>
        <v>9483</v>
      </c>
      <c r="AH189" s="270">
        <f t="shared" si="103"/>
        <v>9483</v>
      </c>
      <c r="AI189" s="270">
        <f t="shared" si="103"/>
        <v>9483</v>
      </c>
      <c r="AJ189" s="270">
        <f t="shared" si="103"/>
        <v>9483</v>
      </c>
      <c r="AK189" s="270">
        <f t="shared" si="103"/>
        <v>9483</v>
      </c>
      <c r="AL189" s="270">
        <f t="shared" si="103"/>
        <v>9483</v>
      </c>
      <c r="AM189" s="270">
        <f t="shared" si="103"/>
        <v>9483</v>
      </c>
    </row>
    <row r="190" spans="2:39" ht="15.75" thickBot="1" x14ac:dyDescent="0.35">
      <c r="B190" s="56" t="str">
        <f>input_names!$B$3</f>
        <v>benzine</v>
      </c>
      <c r="C190" s="61">
        <v>142</v>
      </c>
      <c r="D190" s="270">
        <f t="shared" si="104"/>
        <v>6183</v>
      </c>
      <c r="E190" s="270">
        <f t="shared" si="104"/>
        <v>6940</v>
      </c>
      <c r="F190" s="270">
        <f t="shared" si="104"/>
        <v>7955</v>
      </c>
      <c r="G190" s="270">
        <f t="shared" si="104"/>
        <v>8193</v>
      </c>
      <c r="H190" s="270">
        <f t="shared" si="104"/>
        <v>8280</v>
      </c>
      <c r="I190" s="270">
        <f t="shared" si="104"/>
        <v>9051</v>
      </c>
      <c r="J190" s="270">
        <f t="shared" si="104"/>
        <v>6050</v>
      </c>
      <c r="K190" s="270">
        <f t="shared" si="104"/>
        <v>6531</v>
      </c>
      <c r="L190" s="270">
        <f t="shared" si="104"/>
        <v>7560</v>
      </c>
      <c r="M190" s="270">
        <f t="shared" si="104"/>
        <v>8770</v>
      </c>
      <c r="N190" s="270">
        <f t="shared" si="104"/>
        <v>9767</v>
      </c>
      <c r="O190" s="270">
        <f t="shared" si="104"/>
        <v>9767</v>
      </c>
      <c r="P190" s="270">
        <f t="shared" si="104"/>
        <v>9767</v>
      </c>
      <c r="Q190" s="270">
        <f t="shared" si="104"/>
        <v>9767</v>
      </c>
      <c r="R190" s="270">
        <f t="shared" si="104"/>
        <v>9767</v>
      </c>
      <c r="S190" s="270">
        <f t="shared" si="105"/>
        <v>9767</v>
      </c>
      <c r="T190" s="270">
        <f t="shared" si="105"/>
        <v>9767</v>
      </c>
      <c r="U190" s="270">
        <f t="shared" si="105"/>
        <v>9767</v>
      </c>
      <c r="V190" s="270">
        <f t="shared" si="105"/>
        <v>9767</v>
      </c>
      <c r="W190" s="270">
        <f t="shared" si="105"/>
        <v>9767</v>
      </c>
      <c r="X190" s="270">
        <f t="shared" si="105"/>
        <v>9767</v>
      </c>
      <c r="Y190" s="270">
        <f t="shared" si="105"/>
        <v>9767</v>
      </c>
      <c r="Z190" s="270">
        <f t="shared" si="105"/>
        <v>9767</v>
      </c>
      <c r="AA190" s="270">
        <f t="shared" si="105"/>
        <v>9767</v>
      </c>
      <c r="AB190" s="270">
        <f t="shared" si="105"/>
        <v>9767</v>
      </c>
      <c r="AC190" s="270">
        <f t="shared" si="105"/>
        <v>9767</v>
      </c>
      <c r="AD190" s="270">
        <f t="shared" si="103"/>
        <v>9767</v>
      </c>
      <c r="AE190" s="270">
        <f t="shared" si="103"/>
        <v>9767</v>
      </c>
      <c r="AF190" s="270">
        <f t="shared" si="103"/>
        <v>9767</v>
      </c>
      <c r="AG190" s="270">
        <f t="shared" si="103"/>
        <v>9767</v>
      </c>
      <c r="AH190" s="270">
        <f t="shared" si="103"/>
        <v>9767</v>
      </c>
      <c r="AI190" s="270">
        <f t="shared" si="103"/>
        <v>9767</v>
      </c>
      <c r="AJ190" s="270">
        <f t="shared" si="103"/>
        <v>9767</v>
      </c>
      <c r="AK190" s="270">
        <f t="shared" si="103"/>
        <v>9767</v>
      </c>
      <c r="AL190" s="270">
        <f t="shared" si="103"/>
        <v>9767</v>
      </c>
      <c r="AM190" s="270">
        <f t="shared" si="103"/>
        <v>9767</v>
      </c>
    </row>
    <row r="191" spans="2:39" ht="15.75" thickBot="1" x14ac:dyDescent="0.35">
      <c r="B191" s="56" t="str">
        <f>input_names!$B$3</f>
        <v>benzine</v>
      </c>
      <c r="C191" s="61">
        <v>143</v>
      </c>
      <c r="D191" s="270">
        <f t="shared" si="104"/>
        <v>6295</v>
      </c>
      <c r="E191" s="270">
        <f t="shared" si="104"/>
        <v>7063</v>
      </c>
      <c r="F191" s="270">
        <f t="shared" si="104"/>
        <v>8099</v>
      </c>
      <c r="G191" s="270">
        <f t="shared" si="104"/>
        <v>8332</v>
      </c>
      <c r="H191" s="270">
        <f t="shared" si="104"/>
        <v>8494</v>
      </c>
      <c r="I191" s="270">
        <f t="shared" si="104"/>
        <v>9260</v>
      </c>
      <c r="J191" s="270">
        <f t="shared" si="104"/>
        <v>6182</v>
      </c>
      <c r="K191" s="270">
        <f t="shared" si="104"/>
        <v>6668</v>
      </c>
      <c r="L191" s="270">
        <f t="shared" si="104"/>
        <v>7709</v>
      </c>
      <c r="M191" s="270">
        <f t="shared" si="104"/>
        <v>8937</v>
      </c>
      <c r="N191" s="270">
        <f t="shared" si="104"/>
        <v>10051</v>
      </c>
      <c r="O191" s="270">
        <f t="shared" si="104"/>
        <v>10051</v>
      </c>
      <c r="P191" s="270">
        <f t="shared" si="104"/>
        <v>10051</v>
      </c>
      <c r="Q191" s="270">
        <f t="shared" si="104"/>
        <v>10051</v>
      </c>
      <c r="R191" s="270">
        <f t="shared" si="104"/>
        <v>10051</v>
      </c>
      <c r="S191" s="270">
        <f t="shared" si="105"/>
        <v>10051</v>
      </c>
      <c r="T191" s="270">
        <f t="shared" si="105"/>
        <v>10051</v>
      </c>
      <c r="U191" s="270">
        <f t="shared" si="105"/>
        <v>10051</v>
      </c>
      <c r="V191" s="270">
        <f t="shared" si="105"/>
        <v>10051</v>
      </c>
      <c r="W191" s="270">
        <f t="shared" si="105"/>
        <v>10051</v>
      </c>
      <c r="X191" s="270">
        <f t="shared" si="105"/>
        <v>10051</v>
      </c>
      <c r="Y191" s="270">
        <f t="shared" si="105"/>
        <v>10051</v>
      </c>
      <c r="Z191" s="270">
        <f t="shared" si="105"/>
        <v>10051</v>
      </c>
      <c r="AA191" s="270">
        <f t="shared" si="105"/>
        <v>10051</v>
      </c>
      <c r="AB191" s="270">
        <f t="shared" si="105"/>
        <v>10051</v>
      </c>
      <c r="AC191" s="270">
        <f t="shared" si="105"/>
        <v>10051</v>
      </c>
      <c r="AD191" s="270">
        <f t="shared" si="103"/>
        <v>10051</v>
      </c>
      <c r="AE191" s="270">
        <f t="shared" si="103"/>
        <v>10051</v>
      </c>
      <c r="AF191" s="270">
        <f t="shared" si="103"/>
        <v>10051</v>
      </c>
      <c r="AG191" s="270">
        <f t="shared" si="103"/>
        <v>10051</v>
      </c>
      <c r="AH191" s="270">
        <f t="shared" si="103"/>
        <v>10051</v>
      </c>
      <c r="AI191" s="270">
        <f t="shared" si="103"/>
        <v>10051</v>
      </c>
      <c r="AJ191" s="270">
        <f t="shared" si="103"/>
        <v>10051</v>
      </c>
      <c r="AK191" s="270">
        <f t="shared" si="103"/>
        <v>10051</v>
      </c>
      <c r="AL191" s="270">
        <f t="shared" si="103"/>
        <v>10051</v>
      </c>
      <c r="AM191" s="270">
        <f t="shared" si="103"/>
        <v>10051</v>
      </c>
    </row>
    <row r="192" spans="2:39" ht="15.75" thickBot="1" x14ac:dyDescent="0.35">
      <c r="B192" s="56" t="str">
        <f>input_names!$B$3</f>
        <v>benzine</v>
      </c>
      <c r="C192" s="61">
        <v>144</v>
      </c>
      <c r="D192" s="270">
        <f t="shared" ref="D192:R207" si="106">+MIN(MAX(0,$C192-D$11),D$12-D$11)*D$17
+MIN(MAX(0,$C192-D$12),D$13-D$12)*D$18
+MIN(MAX(0,$C192-D$13),D$14-D$13)*D$19
+MIN(MAX(0,$C192-D$14),D$15-D$14)*D$20
+MAX(0,$C192-D$15)*D$21
+D$26</f>
        <v>6407</v>
      </c>
      <c r="E192" s="270">
        <f t="shared" si="106"/>
        <v>7186</v>
      </c>
      <c r="F192" s="270">
        <f t="shared" si="106"/>
        <v>8243</v>
      </c>
      <c r="G192" s="270">
        <f t="shared" si="106"/>
        <v>8471</v>
      </c>
      <c r="H192" s="270">
        <f t="shared" si="106"/>
        <v>8708</v>
      </c>
      <c r="I192" s="270">
        <f t="shared" si="106"/>
        <v>9469</v>
      </c>
      <c r="J192" s="270">
        <f t="shared" si="106"/>
        <v>6314</v>
      </c>
      <c r="K192" s="270">
        <f t="shared" si="106"/>
        <v>6805</v>
      </c>
      <c r="L192" s="270">
        <f t="shared" si="106"/>
        <v>7858</v>
      </c>
      <c r="M192" s="270">
        <f t="shared" si="106"/>
        <v>9104</v>
      </c>
      <c r="N192" s="270">
        <f t="shared" si="106"/>
        <v>10335</v>
      </c>
      <c r="O192" s="270">
        <f t="shared" si="106"/>
        <v>10335</v>
      </c>
      <c r="P192" s="270">
        <f t="shared" si="106"/>
        <v>10335</v>
      </c>
      <c r="Q192" s="270">
        <f t="shared" si="106"/>
        <v>10335</v>
      </c>
      <c r="R192" s="270">
        <f t="shared" si="106"/>
        <v>10335</v>
      </c>
      <c r="S192" s="270">
        <f t="shared" si="105"/>
        <v>10335</v>
      </c>
      <c r="T192" s="270">
        <f t="shared" si="105"/>
        <v>10335</v>
      </c>
      <c r="U192" s="270">
        <f t="shared" si="105"/>
        <v>10335</v>
      </c>
      <c r="V192" s="270">
        <f t="shared" si="105"/>
        <v>10335</v>
      </c>
      <c r="W192" s="270">
        <f t="shared" si="105"/>
        <v>10335</v>
      </c>
      <c r="X192" s="270">
        <f t="shared" si="105"/>
        <v>10335</v>
      </c>
      <c r="Y192" s="270">
        <f t="shared" si="105"/>
        <v>10335</v>
      </c>
      <c r="Z192" s="270">
        <f t="shared" si="105"/>
        <v>10335</v>
      </c>
      <c r="AA192" s="270">
        <f t="shared" si="105"/>
        <v>10335</v>
      </c>
      <c r="AB192" s="270">
        <f t="shared" si="105"/>
        <v>10335</v>
      </c>
      <c r="AC192" s="270">
        <f t="shared" si="105"/>
        <v>10335</v>
      </c>
      <c r="AD192" s="270">
        <f t="shared" si="103"/>
        <v>10335</v>
      </c>
      <c r="AE192" s="270">
        <f t="shared" si="103"/>
        <v>10335</v>
      </c>
      <c r="AF192" s="270">
        <f t="shared" si="103"/>
        <v>10335</v>
      </c>
      <c r="AG192" s="270">
        <f t="shared" si="103"/>
        <v>10335</v>
      </c>
      <c r="AH192" s="270">
        <f t="shared" si="103"/>
        <v>10335</v>
      </c>
      <c r="AI192" s="270">
        <f t="shared" si="103"/>
        <v>10335</v>
      </c>
      <c r="AJ192" s="270">
        <f t="shared" si="103"/>
        <v>10335</v>
      </c>
      <c r="AK192" s="270">
        <f t="shared" si="103"/>
        <v>10335</v>
      </c>
      <c r="AL192" s="270">
        <f t="shared" si="103"/>
        <v>10335</v>
      </c>
      <c r="AM192" s="270">
        <f t="shared" si="103"/>
        <v>10335</v>
      </c>
    </row>
    <row r="193" spans="2:39" ht="15.75" thickBot="1" x14ac:dyDescent="0.35">
      <c r="B193" s="56" t="str">
        <f>input_names!$B$3</f>
        <v>benzine</v>
      </c>
      <c r="C193" s="61">
        <v>145</v>
      </c>
      <c r="D193" s="270">
        <f t="shared" si="106"/>
        <v>6519</v>
      </c>
      <c r="E193" s="270">
        <f t="shared" si="106"/>
        <v>7309</v>
      </c>
      <c r="F193" s="270">
        <f t="shared" si="106"/>
        <v>8387</v>
      </c>
      <c r="G193" s="270">
        <f t="shared" si="106"/>
        <v>8699</v>
      </c>
      <c r="H193" s="270">
        <f t="shared" si="106"/>
        <v>8922</v>
      </c>
      <c r="I193" s="270">
        <f t="shared" si="106"/>
        <v>9678</v>
      </c>
      <c r="J193" s="270">
        <f t="shared" si="106"/>
        <v>6446</v>
      </c>
      <c r="K193" s="270">
        <f t="shared" si="106"/>
        <v>6942</v>
      </c>
      <c r="L193" s="270">
        <f t="shared" si="106"/>
        <v>8007</v>
      </c>
      <c r="M193" s="270">
        <f t="shared" si="106"/>
        <v>9271</v>
      </c>
      <c r="N193" s="270">
        <f t="shared" si="106"/>
        <v>10619</v>
      </c>
      <c r="O193" s="270">
        <f t="shared" si="106"/>
        <v>10619</v>
      </c>
      <c r="P193" s="270">
        <f t="shared" si="106"/>
        <v>10619</v>
      </c>
      <c r="Q193" s="270">
        <f t="shared" si="106"/>
        <v>10619</v>
      </c>
      <c r="R193" s="270">
        <f t="shared" si="106"/>
        <v>10619</v>
      </c>
      <c r="S193" s="270">
        <f t="shared" si="105"/>
        <v>10619</v>
      </c>
      <c r="T193" s="270">
        <f t="shared" si="105"/>
        <v>10619</v>
      </c>
      <c r="U193" s="270">
        <f t="shared" si="105"/>
        <v>10619</v>
      </c>
      <c r="V193" s="270">
        <f t="shared" si="105"/>
        <v>10619</v>
      </c>
      <c r="W193" s="270">
        <f t="shared" si="105"/>
        <v>10619</v>
      </c>
      <c r="X193" s="270">
        <f t="shared" si="105"/>
        <v>10619</v>
      </c>
      <c r="Y193" s="270">
        <f t="shared" si="105"/>
        <v>10619</v>
      </c>
      <c r="Z193" s="270">
        <f t="shared" si="105"/>
        <v>10619</v>
      </c>
      <c r="AA193" s="270">
        <f t="shared" si="105"/>
        <v>10619</v>
      </c>
      <c r="AB193" s="270">
        <f t="shared" si="105"/>
        <v>10619</v>
      </c>
      <c r="AC193" s="270">
        <f t="shared" si="105"/>
        <v>10619</v>
      </c>
      <c r="AD193" s="270">
        <f t="shared" si="103"/>
        <v>10619</v>
      </c>
      <c r="AE193" s="270">
        <f t="shared" si="103"/>
        <v>10619</v>
      </c>
      <c r="AF193" s="270">
        <f t="shared" si="103"/>
        <v>10619</v>
      </c>
      <c r="AG193" s="270">
        <f t="shared" si="103"/>
        <v>10619</v>
      </c>
      <c r="AH193" s="270">
        <f t="shared" si="103"/>
        <v>10619</v>
      </c>
      <c r="AI193" s="270">
        <f t="shared" si="103"/>
        <v>10619</v>
      </c>
      <c r="AJ193" s="270">
        <f t="shared" si="103"/>
        <v>10619</v>
      </c>
      <c r="AK193" s="270">
        <f t="shared" si="103"/>
        <v>10619</v>
      </c>
      <c r="AL193" s="270">
        <f t="shared" si="103"/>
        <v>10619</v>
      </c>
      <c r="AM193" s="270">
        <f t="shared" si="103"/>
        <v>10619</v>
      </c>
    </row>
    <row r="194" spans="2:39" ht="15.75" thickBot="1" x14ac:dyDescent="0.35">
      <c r="B194" s="56" t="str">
        <f>input_names!$B$3</f>
        <v>benzine</v>
      </c>
      <c r="C194" s="61">
        <v>146</v>
      </c>
      <c r="D194" s="270">
        <f t="shared" si="106"/>
        <v>6631</v>
      </c>
      <c r="E194" s="270">
        <f t="shared" si="106"/>
        <v>7432</v>
      </c>
      <c r="F194" s="270">
        <f t="shared" si="106"/>
        <v>8531</v>
      </c>
      <c r="G194" s="270">
        <f t="shared" si="106"/>
        <v>8927</v>
      </c>
      <c r="H194" s="270">
        <f t="shared" si="106"/>
        <v>9136</v>
      </c>
      <c r="I194" s="270">
        <f t="shared" si="106"/>
        <v>9887</v>
      </c>
      <c r="J194" s="270">
        <f t="shared" si="106"/>
        <v>6578</v>
      </c>
      <c r="K194" s="270">
        <f t="shared" si="106"/>
        <v>7079</v>
      </c>
      <c r="L194" s="270">
        <f t="shared" si="106"/>
        <v>8156</v>
      </c>
      <c r="M194" s="270">
        <f t="shared" si="106"/>
        <v>9545</v>
      </c>
      <c r="N194" s="270">
        <f t="shared" si="106"/>
        <v>10903</v>
      </c>
      <c r="O194" s="270">
        <f t="shared" si="106"/>
        <v>10903</v>
      </c>
      <c r="P194" s="270">
        <f t="shared" si="106"/>
        <v>10903</v>
      </c>
      <c r="Q194" s="270">
        <f t="shared" si="106"/>
        <v>10903</v>
      </c>
      <c r="R194" s="270">
        <f t="shared" si="106"/>
        <v>10903</v>
      </c>
      <c r="S194" s="270">
        <f t="shared" si="105"/>
        <v>10903</v>
      </c>
      <c r="T194" s="270">
        <f t="shared" si="105"/>
        <v>10903</v>
      </c>
      <c r="U194" s="270">
        <f t="shared" si="105"/>
        <v>10903</v>
      </c>
      <c r="V194" s="270">
        <f t="shared" si="105"/>
        <v>10903</v>
      </c>
      <c r="W194" s="270">
        <f t="shared" si="105"/>
        <v>10903</v>
      </c>
      <c r="X194" s="270">
        <f t="shared" si="105"/>
        <v>10903</v>
      </c>
      <c r="Y194" s="270">
        <f t="shared" si="105"/>
        <v>10903</v>
      </c>
      <c r="Z194" s="270">
        <f t="shared" si="105"/>
        <v>10903</v>
      </c>
      <c r="AA194" s="270">
        <f t="shared" si="105"/>
        <v>10903</v>
      </c>
      <c r="AB194" s="270">
        <f t="shared" si="105"/>
        <v>10903</v>
      </c>
      <c r="AC194" s="270">
        <f t="shared" si="105"/>
        <v>10903</v>
      </c>
      <c r="AD194" s="270">
        <f t="shared" si="103"/>
        <v>10903</v>
      </c>
      <c r="AE194" s="270">
        <f t="shared" si="103"/>
        <v>10903</v>
      </c>
      <c r="AF194" s="270">
        <f t="shared" si="103"/>
        <v>10903</v>
      </c>
      <c r="AG194" s="270">
        <f t="shared" ref="AD194:AM217" si="107">+MIN(MAX(0,$C194-AG$11),AG$12-AG$11)*AG$17
+MIN(MAX(0,$C194-AG$12),AG$13-AG$12)*AG$18
+MIN(MAX(0,$C194-AG$13),AG$14-AG$13)*AG$19
+MIN(MAX(0,$C194-AG$14),AG$15-AG$14)*AG$20
+MAX(0,$C194-AG$15)*AG$21
+AG$26</f>
        <v>10903</v>
      </c>
      <c r="AH194" s="270">
        <f t="shared" si="107"/>
        <v>10903</v>
      </c>
      <c r="AI194" s="270">
        <f t="shared" si="107"/>
        <v>10903</v>
      </c>
      <c r="AJ194" s="270">
        <f t="shared" si="107"/>
        <v>10903</v>
      </c>
      <c r="AK194" s="270">
        <f t="shared" si="107"/>
        <v>10903</v>
      </c>
      <c r="AL194" s="270">
        <f t="shared" si="107"/>
        <v>10903</v>
      </c>
      <c r="AM194" s="270">
        <f t="shared" si="107"/>
        <v>10903</v>
      </c>
    </row>
    <row r="195" spans="2:39" ht="15.75" thickBot="1" x14ac:dyDescent="0.35">
      <c r="B195" s="56" t="str">
        <f>input_names!$B$3</f>
        <v>benzine</v>
      </c>
      <c r="C195" s="61">
        <v>147</v>
      </c>
      <c r="D195" s="270">
        <f t="shared" si="106"/>
        <v>6743</v>
      </c>
      <c r="E195" s="270">
        <f t="shared" si="106"/>
        <v>7555</v>
      </c>
      <c r="F195" s="270">
        <f t="shared" si="106"/>
        <v>8675</v>
      </c>
      <c r="G195" s="270">
        <f t="shared" si="106"/>
        <v>9155</v>
      </c>
      <c r="H195" s="270">
        <f t="shared" si="106"/>
        <v>9350</v>
      </c>
      <c r="I195" s="270">
        <f t="shared" si="106"/>
        <v>10096</v>
      </c>
      <c r="J195" s="270">
        <f t="shared" si="106"/>
        <v>6710</v>
      </c>
      <c r="K195" s="270">
        <f t="shared" si="106"/>
        <v>7216</v>
      </c>
      <c r="L195" s="270">
        <f t="shared" si="106"/>
        <v>8305</v>
      </c>
      <c r="M195" s="270">
        <f t="shared" si="106"/>
        <v>9819</v>
      </c>
      <c r="N195" s="270">
        <f t="shared" si="106"/>
        <v>11187</v>
      </c>
      <c r="O195" s="270">
        <f t="shared" si="106"/>
        <v>11187</v>
      </c>
      <c r="P195" s="270">
        <f t="shared" si="106"/>
        <v>11187</v>
      </c>
      <c r="Q195" s="270">
        <f t="shared" si="106"/>
        <v>11187</v>
      </c>
      <c r="R195" s="270">
        <f t="shared" si="106"/>
        <v>11187</v>
      </c>
      <c r="S195" s="270">
        <f t="shared" si="105"/>
        <v>11187</v>
      </c>
      <c r="T195" s="270">
        <f t="shared" si="105"/>
        <v>11187</v>
      </c>
      <c r="U195" s="270">
        <f t="shared" si="105"/>
        <v>11187</v>
      </c>
      <c r="V195" s="270">
        <f t="shared" si="105"/>
        <v>11187</v>
      </c>
      <c r="W195" s="270">
        <f t="shared" si="105"/>
        <v>11187</v>
      </c>
      <c r="X195" s="270">
        <f t="shared" si="105"/>
        <v>11187</v>
      </c>
      <c r="Y195" s="270">
        <f t="shared" si="105"/>
        <v>11187</v>
      </c>
      <c r="Z195" s="270">
        <f t="shared" si="105"/>
        <v>11187</v>
      </c>
      <c r="AA195" s="270">
        <f t="shared" si="105"/>
        <v>11187</v>
      </c>
      <c r="AB195" s="270">
        <f t="shared" si="105"/>
        <v>11187</v>
      </c>
      <c r="AC195" s="270">
        <f t="shared" si="105"/>
        <v>11187</v>
      </c>
      <c r="AD195" s="270">
        <f t="shared" si="107"/>
        <v>11187</v>
      </c>
      <c r="AE195" s="270">
        <f t="shared" si="107"/>
        <v>11187</v>
      </c>
      <c r="AF195" s="270">
        <f t="shared" si="107"/>
        <v>11187</v>
      </c>
      <c r="AG195" s="270">
        <f t="shared" si="107"/>
        <v>11187</v>
      </c>
      <c r="AH195" s="270">
        <f t="shared" si="107"/>
        <v>11187</v>
      </c>
      <c r="AI195" s="270">
        <f t="shared" si="107"/>
        <v>11187</v>
      </c>
      <c r="AJ195" s="270">
        <f t="shared" si="107"/>
        <v>11187</v>
      </c>
      <c r="AK195" s="270">
        <f t="shared" si="107"/>
        <v>11187</v>
      </c>
      <c r="AL195" s="270">
        <f t="shared" si="107"/>
        <v>11187</v>
      </c>
      <c r="AM195" s="270">
        <f t="shared" si="107"/>
        <v>11187</v>
      </c>
    </row>
    <row r="196" spans="2:39" ht="15.75" thickBot="1" x14ac:dyDescent="0.35">
      <c r="B196" s="56" t="str">
        <f>input_names!$B$3</f>
        <v>benzine</v>
      </c>
      <c r="C196" s="61">
        <v>148</v>
      </c>
      <c r="D196" s="270">
        <f t="shared" si="106"/>
        <v>6855</v>
      </c>
      <c r="E196" s="270">
        <f t="shared" si="106"/>
        <v>7678</v>
      </c>
      <c r="F196" s="270">
        <f t="shared" si="106"/>
        <v>8819</v>
      </c>
      <c r="G196" s="270">
        <f t="shared" si="106"/>
        <v>9383</v>
      </c>
      <c r="H196" s="270">
        <f t="shared" si="106"/>
        <v>9564</v>
      </c>
      <c r="I196" s="270">
        <f t="shared" si="106"/>
        <v>10305</v>
      </c>
      <c r="J196" s="270">
        <f t="shared" si="106"/>
        <v>6842</v>
      </c>
      <c r="K196" s="270">
        <f t="shared" si="106"/>
        <v>7353</v>
      </c>
      <c r="L196" s="270">
        <f t="shared" si="106"/>
        <v>8454</v>
      </c>
      <c r="M196" s="270">
        <f t="shared" si="106"/>
        <v>10093</v>
      </c>
      <c r="N196" s="270">
        <f t="shared" si="106"/>
        <v>11471</v>
      </c>
      <c r="O196" s="270">
        <f t="shared" si="106"/>
        <v>11471</v>
      </c>
      <c r="P196" s="270">
        <f t="shared" si="106"/>
        <v>11471</v>
      </c>
      <c r="Q196" s="270">
        <f t="shared" si="106"/>
        <v>11471</v>
      </c>
      <c r="R196" s="270">
        <f t="shared" si="106"/>
        <v>11471</v>
      </c>
      <c r="S196" s="270">
        <f t="shared" si="105"/>
        <v>11471</v>
      </c>
      <c r="T196" s="270">
        <f t="shared" si="105"/>
        <v>11471</v>
      </c>
      <c r="U196" s="270">
        <f t="shared" si="105"/>
        <v>11471</v>
      </c>
      <c r="V196" s="270">
        <f t="shared" si="105"/>
        <v>11471</v>
      </c>
      <c r="W196" s="270">
        <f t="shared" si="105"/>
        <v>11471</v>
      </c>
      <c r="X196" s="270">
        <f t="shared" si="105"/>
        <v>11471</v>
      </c>
      <c r="Y196" s="270">
        <f t="shared" si="105"/>
        <v>11471</v>
      </c>
      <c r="Z196" s="270">
        <f t="shared" si="105"/>
        <v>11471</v>
      </c>
      <c r="AA196" s="270">
        <f t="shared" si="105"/>
        <v>11471</v>
      </c>
      <c r="AB196" s="270">
        <f t="shared" si="105"/>
        <v>11471</v>
      </c>
      <c r="AC196" s="270">
        <f t="shared" si="105"/>
        <v>11471</v>
      </c>
      <c r="AD196" s="270">
        <f t="shared" si="107"/>
        <v>11471</v>
      </c>
      <c r="AE196" s="270">
        <f t="shared" si="107"/>
        <v>11471</v>
      </c>
      <c r="AF196" s="270">
        <f t="shared" si="107"/>
        <v>11471</v>
      </c>
      <c r="AG196" s="270">
        <f t="shared" si="107"/>
        <v>11471</v>
      </c>
      <c r="AH196" s="270">
        <f t="shared" si="107"/>
        <v>11471</v>
      </c>
      <c r="AI196" s="270">
        <f t="shared" si="107"/>
        <v>11471</v>
      </c>
      <c r="AJ196" s="270">
        <f t="shared" si="107"/>
        <v>11471</v>
      </c>
      <c r="AK196" s="270">
        <f t="shared" si="107"/>
        <v>11471</v>
      </c>
      <c r="AL196" s="270">
        <f t="shared" si="107"/>
        <v>11471</v>
      </c>
      <c r="AM196" s="270">
        <f t="shared" si="107"/>
        <v>11471</v>
      </c>
    </row>
    <row r="197" spans="2:39" ht="15.75" thickBot="1" x14ac:dyDescent="0.35">
      <c r="B197" s="56" t="str">
        <f>input_names!$B$3</f>
        <v>benzine</v>
      </c>
      <c r="C197" s="61">
        <v>149</v>
      </c>
      <c r="D197" s="270">
        <f t="shared" si="106"/>
        <v>6967</v>
      </c>
      <c r="E197" s="270">
        <f t="shared" si="106"/>
        <v>7801</v>
      </c>
      <c r="F197" s="270">
        <f t="shared" si="106"/>
        <v>8963</v>
      </c>
      <c r="G197" s="270">
        <f t="shared" si="106"/>
        <v>9611</v>
      </c>
      <c r="H197" s="270">
        <f t="shared" si="106"/>
        <v>9778</v>
      </c>
      <c r="I197" s="270">
        <f t="shared" si="106"/>
        <v>10514</v>
      </c>
      <c r="J197" s="270">
        <f t="shared" si="106"/>
        <v>6974</v>
      </c>
      <c r="K197" s="270">
        <f t="shared" si="106"/>
        <v>7490</v>
      </c>
      <c r="L197" s="270">
        <f t="shared" si="106"/>
        <v>8698</v>
      </c>
      <c r="M197" s="270">
        <f t="shared" si="106"/>
        <v>10367</v>
      </c>
      <c r="N197" s="270">
        <f t="shared" si="106"/>
        <v>11755</v>
      </c>
      <c r="O197" s="270">
        <f t="shared" si="106"/>
        <v>11755</v>
      </c>
      <c r="P197" s="270">
        <f t="shared" si="106"/>
        <v>11755</v>
      </c>
      <c r="Q197" s="270">
        <f t="shared" si="106"/>
        <v>11755</v>
      </c>
      <c r="R197" s="270">
        <f t="shared" si="106"/>
        <v>11755</v>
      </c>
      <c r="S197" s="270">
        <f t="shared" si="105"/>
        <v>11755</v>
      </c>
      <c r="T197" s="270">
        <f t="shared" si="105"/>
        <v>11755</v>
      </c>
      <c r="U197" s="270">
        <f t="shared" si="105"/>
        <v>11755</v>
      </c>
      <c r="V197" s="270">
        <f t="shared" si="105"/>
        <v>11755</v>
      </c>
      <c r="W197" s="270">
        <f t="shared" si="105"/>
        <v>11755</v>
      </c>
      <c r="X197" s="270">
        <f t="shared" si="105"/>
        <v>11755</v>
      </c>
      <c r="Y197" s="270">
        <f t="shared" si="105"/>
        <v>11755</v>
      </c>
      <c r="Z197" s="270">
        <f t="shared" si="105"/>
        <v>11755</v>
      </c>
      <c r="AA197" s="270">
        <f t="shared" si="105"/>
        <v>11755</v>
      </c>
      <c r="AB197" s="270">
        <f t="shared" si="105"/>
        <v>11755</v>
      </c>
      <c r="AC197" s="270">
        <f t="shared" si="105"/>
        <v>11755</v>
      </c>
      <c r="AD197" s="270">
        <f t="shared" si="107"/>
        <v>11755</v>
      </c>
      <c r="AE197" s="270">
        <f t="shared" si="107"/>
        <v>11755</v>
      </c>
      <c r="AF197" s="270">
        <f t="shared" si="107"/>
        <v>11755</v>
      </c>
      <c r="AG197" s="270">
        <f t="shared" si="107"/>
        <v>11755</v>
      </c>
      <c r="AH197" s="270">
        <f t="shared" si="107"/>
        <v>11755</v>
      </c>
      <c r="AI197" s="270">
        <f t="shared" si="107"/>
        <v>11755</v>
      </c>
      <c r="AJ197" s="270">
        <f t="shared" si="107"/>
        <v>11755</v>
      </c>
      <c r="AK197" s="270">
        <f t="shared" si="107"/>
        <v>11755</v>
      </c>
      <c r="AL197" s="270">
        <f t="shared" si="107"/>
        <v>11755</v>
      </c>
      <c r="AM197" s="270">
        <f t="shared" si="107"/>
        <v>11755</v>
      </c>
    </row>
    <row r="198" spans="2:39" ht="15.75" thickBot="1" x14ac:dyDescent="0.35">
      <c r="B198" s="56" t="str">
        <f>input_names!$B$3</f>
        <v>benzine</v>
      </c>
      <c r="C198" s="61">
        <v>150</v>
      </c>
      <c r="D198" s="270">
        <f t="shared" si="106"/>
        <v>7079</v>
      </c>
      <c r="E198" s="270">
        <f t="shared" si="106"/>
        <v>7924</v>
      </c>
      <c r="F198" s="270">
        <f t="shared" si="106"/>
        <v>9107</v>
      </c>
      <c r="G198" s="270">
        <f t="shared" si="106"/>
        <v>9839</v>
      </c>
      <c r="H198" s="270">
        <f t="shared" si="106"/>
        <v>9992</v>
      </c>
      <c r="I198" s="270">
        <f t="shared" si="106"/>
        <v>10723</v>
      </c>
      <c r="J198" s="270">
        <f t="shared" si="106"/>
        <v>7106</v>
      </c>
      <c r="K198" s="270">
        <f t="shared" si="106"/>
        <v>7627</v>
      </c>
      <c r="L198" s="270">
        <f t="shared" si="106"/>
        <v>8942</v>
      </c>
      <c r="M198" s="270">
        <f t="shared" si="106"/>
        <v>10641</v>
      </c>
      <c r="N198" s="270">
        <f t="shared" si="106"/>
        <v>12039</v>
      </c>
      <c r="O198" s="270">
        <f t="shared" si="106"/>
        <v>12039</v>
      </c>
      <c r="P198" s="270">
        <f t="shared" si="106"/>
        <v>12039</v>
      </c>
      <c r="Q198" s="270">
        <f t="shared" si="106"/>
        <v>12039</v>
      </c>
      <c r="R198" s="270">
        <f t="shared" si="106"/>
        <v>12039</v>
      </c>
      <c r="S198" s="270">
        <f t="shared" si="105"/>
        <v>12039</v>
      </c>
      <c r="T198" s="270">
        <f t="shared" si="105"/>
        <v>12039</v>
      </c>
      <c r="U198" s="270">
        <f t="shared" si="105"/>
        <v>12039</v>
      </c>
      <c r="V198" s="270">
        <f t="shared" si="105"/>
        <v>12039</v>
      </c>
      <c r="W198" s="270">
        <f t="shared" si="105"/>
        <v>12039</v>
      </c>
      <c r="X198" s="270">
        <f t="shared" si="105"/>
        <v>12039</v>
      </c>
      <c r="Y198" s="270">
        <f t="shared" si="105"/>
        <v>12039</v>
      </c>
      <c r="Z198" s="270">
        <f t="shared" si="105"/>
        <v>12039</v>
      </c>
      <c r="AA198" s="270">
        <f t="shared" si="105"/>
        <v>12039</v>
      </c>
      <c r="AB198" s="270">
        <f t="shared" si="105"/>
        <v>12039</v>
      </c>
      <c r="AC198" s="270">
        <f t="shared" si="105"/>
        <v>12039</v>
      </c>
      <c r="AD198" s="270">
        <f t="shared" si="107"/>
        <v>12039</v>
      </c>
      <c r="AE198" s="270">
        <f t="shared" si="107"/>
        <v>12039</v>
      </c>
      <c r="AF198" s="270">
        <f t="shared" si="107"/>
        <v>12039</v>
      </c>
      <c r="AG198" s="270">
        <f t="shared" si="107"/>
        <v>12039</v>
      </c>
      <c r="AH198" s="270">
        <f t="shared" si="107"/>
        <v>12039</v>
      </c>
      <c r="AI198" s="270">
        <f t="shared" si="107"/>
        <v>12039</v>
      </c>
      <c r="AJ198" s="270">
        <f t="shared" si="107"/>
        <v>12039</v>
      </c>
      <c r="AK198" s="270">
        <f t="shared" si="107"/>
        <v>12039</v>
      </c>
      <c r="AL198" s="270">
        <f t="shared" si="107"/>
        <v>12039</v>
      </c>
      <c r="AM198" s="270">
        <f t="shared" si="107"/>
        <v>12039</v>
      </c>
    </row>
    <row r="199" spans="2:39" ht="15.75" thickBot="1" x14ac:dyDescent="0.35">
      <c r="B199" s="56" t="str">
        <f>input_names!$B$3</f>
        <v>benzine</v>
      </c>
      <c r="C199" s="61">
        <v>151</v>
      </c>
      <c r="D199" s="270">
        <f t="shared" si="106"/>
        <v>7191</v>
      </c>
      <c r="E199" s="270">
        <f t="shared" si="106"/>
        <v>8047</v>
      </c>
      <c r="F199" s="270">
        <f t="shared" si="106"/>
        <v>9343</v>
      </c>
      <c r="G199" s="270">
        <f t="shared" si="106"/>
        <v>10067</v>
      </c>
      <c r="H199" s="270">
        <f t="shared" si="106"/>
        <v>10206</v>
      </c>
      <c r="I199" s="270">
        <f t="shared" si="106"/>
        <v>11141</v>
      </c>
      <c r="J199" s="270">
        <f t="shared" si="106"/>
        <v>7238</v>
      </c>
      <c r="K199" s="270">
        <f t="shared" si="106"/>
        <v>7764</v>
      </c>
      <c r="L199" s="270">
        <f t="shared" si="106"/>
        <v>9186</v>
      </c>
      <c r="M199" s="270">
        <f t="shared" si="106"/>
        <v>10915</v>
      </c>
      <c r="N199" s="270">
        <f t="shared" si="106"/>
        <v>12323</v>
      </c>
      <c r="O199" s="270">
        <f t="shared" si="106"/>
        <v>12323</v>
      </c>
      <c r="P199" s="270">
        <f t="shared" si="106"/>
        <v>12323</v>
      </c>
      <c r="Q199" s="270">
        <f t="shared" si="106"/>
        <v>12323</v>
      </c>
      <c r="R199" s="270">
        <f t="shared" si="106"/>
        <v>12323</v>
      </c>
      <c r="S199" s="270">
        <f t="shared" si="105"/>
        <v>12323</v>
      </c>
      <c r="T199" s="270">
        <f t="shared" si="105"/>
        <v>12323</v>
      </c>
      <c r="U199" s="270">
        <f t="shared" si="105"/>
        <v>12323</v>
      </c>
      <c r="V199" s="270">
        <f t="shared" si="105"/>
        <v>12323</v>
      </c>
      <c r="W199" s="270">
        <f t="shared" si="105"/>
        <v>12323</v>
      </c>
      <c r="X199" s="270">
        <f t="shared" si="105"/>
        <v>12323</v>
      </c>
      <c r="Y199" s="270">
        <f t="shared" si="105"/>
        <v>12323</v>
      </c>
      <c r="Z199" s="270">
        <f t="shared" si="105"/>
        <v>12323</v>
      </c>
      <c r="AA199" s="270">
        <f t="shared" si="105"/>
        <v>12323</v>
      </c>
      <c r="AB199" s="270">
        <f t="shared" si="105"/>
        <v>12323</v>
      </c>
      <c r="AC199" s="270">
        <f t="shared" si="105"/>
        <v>12323</v>
      </c>
      <c r="AD199" s="270">
        <f t="shared" si="107"/>
        <v>12323</v>
      </c>
      <c r="AE199" s="270">
        <f t="shared" si="107"/>
        <v>12323</v>
      </c>
      <c r="AF199" s="270">
        <f t="shared" si="107"/>
        <v>12323</v>
      </c>
      <c r="AG199" s="270">
        <f t="shared" si="107"/>
        <v>12323</v>
      </c>
      <c r="AH199" s="270">
        <f t="shared" si="107"/>
        <v>12323</v>
      </c>
      <c r="AI199" s="270">
        <f t="shared" si="107"/>
        <v>12323</v>
      </c>
      <c r="AJ199" s="270">
        <f t="shared" si="107"/>
        <v>12323</v>
      </c>
      <c r="AK199" s="270">
        <f t="shared" si="107"/>
        <v>12323</v>
      </c>
      <c r="AL199" s="270">
        <f t="shared" si="107"/>
        <v>12323</v>
      </c>
      <c r="AM199" s="270">
        <f t="shared" si="107"/>
        <v>12323</v>
      </c>
    </row>
    <row r="200" spans="2:39" ht="15.75" thickBot="1" x14ac:dyDescent="0.35">
      <c r="B200" s="56" t="str">
        <f>input_names!$B$3</f>
        <v>benzine</v>
      </c>
      <c r="C200" s="61">
        <v>152</v>
      </c>
      <c r="D200" s="270">
        <f t="shared" si="106"/>
        <v>7303</v>
      </c>
      <c r="E200" s="270">
        <f t="shared" si="106"/>
        <v>8170</v>
      </c>
      <c r="F200" s="270">
        <f t="shared" si="106"/>
        <v>9579</v>
      </c>
      <c r="G200" s="270">
        <f t="shared" si="106"/>
        <v>10295</v>
      </c>
      <c r="H200" s="270">
        <f t="shared" si="106"/>
        <v>10420</v>
      </c>
      <c r="I200" s="270">
        <f t="shared" si="106"/>
        <v>11559</v>
      </c>
      <c r="J200" s="270">
        <f t="shared" si="106"/>
        <v>7370</v>
      </c>
      <c r="K200" s="270">
        <f t="shared" si="106"/>
        <v>7901</v>
      </c>
      <c r="L200" s="270">
        <f t="shared" si="106"/>
        <v>9430</v>
      </c>
      <c r="M200" s="270">
        <f t="shared" si="106"/>
        <v>11189</v>
      </c>
      <c r="N200" s="270">
        <f t="shared" si="106"/>
        <v>12607</v>
      </c>
      <c r="O200" s="270">
        <f t="shared" si="106"/>
        <v>12607</v>
      </c>
      <c r="P200" s="270">
        <f t="shared" si="106"/>
        <v>12607</v>
      </c>
      <c r="Q200" s="270">
        <f t="shared" si="106"/>
        <v>12607</v>
      </c>
      <c r="R200" s="270">
        <f t="shared" si="106"/>
        <v>12607</v>
      </c>
      <c r="S200" s="270">
        <f t="shared" si="105"/>
        <v>12607</v>
      </c>
      <c r="T200" s="270">
        <f t="shared" si="105"/>
        <v>12607</v>
      </c>
      <c r="U200" s="270">
        <f t="shared" si="105"/>
        <v>12607</v>
      </c>
      <c r="V200" s="270">
        <f t="shared" si="105"/>
        <v>12607</v>
      </c>
      <c r="W200" s="270">
        <f t="shared" si="105"/>
        <v>12607</v>
      </c>
      <c r="X200" s="270">
        <f t="shared" si="105"/>
        <v>12607</v>
      </c>
      <c r="Y200" s="270">
        <f t="shared" si="105"/>
        <v>12607</v>
      </c>
      <c r="Z200" s="270">
        <f t="shared" si="105"/>
        <v>12607</v>
      </c>
      <c r="AA200" s="270">
        <f t="shared" si="105"/>
        <v>12607</v>
      </c>
      <c r="AB200" s="270">
        <f t="shared" si="105"/>
        <v>12607</v>
      </c>
      <c r="AC200" s="270">
        <f t="shared" si="105"/>
        <v>12607</v>
      </c>
      <c r="AD200" s="270">
        <f t="shared" si="107"/>
        <v>12607</v>
      </c>
      <c r="AE200" s="270">
        <f t="shared" si="107"/>
        <v>12607</v>
      </c>
      <c r="AF200" s="270">
        <f t="shared" si="107"/>
        <v>12607</v>
      </c>
      <c r="AG200" s="270">
        <f t="shared" si="107"/>
        <v>12607</v>
      </c>
      <c r="AH200" s="270">
        <f t="shared" si="107"/>
        <v>12607</v>
      </c>
      <c r="AI200" s="270">
        <f t="shared" si="107"/>
        <v>12607</v>
      </c>
      <c r="AJ200" s="270">
        <f t="shared" si="107"/>
        <v>12607</v>
      </c>
      <c r="AK200" s="270">
        <f t="shared" si="107"/>
        <v>12607</v>
      </c>
      <c r="AL200" s="270">
        <f t="shared" si="107"/>
        <v>12607</v>
      </c>
      <c r="AM200" s="270">
        <f t="shared" si="107"/>
        <v>12607</v>
      </c>
    </row>
    <row r="201" spans="2:39" ht="15.75" thickBot="1" x14ac:dyDescent="0.35">
      <c r="B201" s="56" t="str">
        <f>input_names!$B$3</f>
        <v>benzine</v>
      </c>
      <c r="C201" s="61">
        <v>153</v>
      </c>
      <c r="D201" s="270">
        <f t="shared" si="106"/>
        <v>7415</v>
      </c>
      <c r="E201" s="270">
        <f t="shared" si="106"/>
        <v>8293</v>
      </c>
      <c r="F201" s="270">
        <f t="shared" si="106"/>
        <v>9815</v>
      </c>
      <c r="G201" s="270">
        <f t="shared" si="106"/>
        <v>10523</v>
      </c>
      <c r="H201" s="270">
        <f t="shared" si="106"/>
        <v>10634</v>
      </c>
      <c r="I201" s="270">
        <f t="shared" si="106"/>
        <v>11977</v>
      </c>
      <c r="J201" s="270">
        <f t="shared" si="106"/>
        <v>7502</v>
      </c>
      <c r="K201" s="270">
        <f t="shared" si="106"/>
        <v>8125</v>
      </c>
      <c r="L201" s="270">
        <f t="shared" si="106"/>
        <v>9674</v>
      </c>
      <c r="M201" s="270">
        <f t="shared" si="106"/>
        <v>11463</v>
      </c>
      <c r="N201" s="270">
        <f t="shared" si="106"/>
        <v>12891</v>
      </c>
      <c r="O201" s="270">
        <f t="shared" si="106"/>
        <v>12891</v>
      </c>
      <c r="P201" s="270">
        <f t="shared" si="106"/>
        <v>12891</v>
      </c>
      <c r="Q201" s="270">
        <f t="shared" si="106"/>
        <v>12891</v>
      </c>
      <c r="R201" s="270">
        <f t="shared" si="106"/>
        <v>12891</v>
      </c>
      <c r="S201" s="270">
        <f t="shared" si="105"/>
        <v>12891</v>
      </c>
      <c r="T201" s="270">
        <f t="shared" si="105"/>
        <v>12891</v>
      </c>
      <c r="U201" s="270">
        <f t="shared" si="105"/>
        <v>12891</v>
      </c>
      <c r="V201" s="270">
        <f t="shared" si="105"/>
        <v>12891</v>
      </c>
      <c r="W201" s="270">
        <f t="shared" si="105"/>
        <v>12891</v>
      </c>
      <c r="X201" s="270">
        <f t="shared" si="105"/>
        <v>12891</v>
      </c>
      <c r="Y201" s="270">
        <f t="shared" si="105"/>
        <v>12891</v>
      </c>
      <c r="Z201" s="270">
        <f t="shared" si="105"/>
        <v>12891</v>
      </c>
      <c r="AA201" s="270">
        <f t="shared" si="105"/>
        <v>12891</v>
      </c>
      <c r="AB201" s="270">
        <f t="shared" si="105"/>
        <v>12891</v>
      </c>
      <c r="AC201" s="270">
        <f t="shared" si="105"/>
        <v>12891</v>
      </c>
      <c r="AD201" s="270">
        <f t="shared" si="107"/>
        <v>12891</v>
      </c>
      <c r="AE201" s="270">
        <f t="shared" si="107"/>
        <v>12891</v>
      </c>
      <c r="AF201" s="270">
        <f t="shared" si="107"/>
        <v>12891</v>
      </c>
      <c r="AG201" s="270">
        <f t="shared" si="107"/>
        <v>12891</v>
      </c>
      <c r="AH201" s="270">
        <f t="shared" si="107"/>
        <v>12891</v>
      </c>
      <c r="AI201" s="270">
        <f t="shared" si="107"/>
        <v>12891</v>
      </c>
      <c r="AJ201" s="270">
        <f t="shared" si="107"/>
        <v>12891</v>
      </c>
      <c r="AK201" s="270">
        <f t="shared" si="107"/>
        <v>12891</v>
      </c>
      <c r="AL201" s="270">
        <f t="shared" si="107"/>
        <v>12891</v>
      </c>
      <c r="AM201" s="270">
        <f t="shared" si="107"/>
        <v>12891</v>
      </c>
    </row>
    <row r="202" spans="2:39" ht="15.75" thickBot="1" x14ac:dyDescent="0.35">
      <c r="B202" s="56" t="str">
        <f>input_names!$B$3</f>
        <v>benzine</v>
      </c>
      <c r="C202" s="61">
        <v>154</v>
      </c>
      <c r="D202" s="270">
        <f t="shared" si="106"/>
        <v>7527</v>
      </c>
      <c r="E202" s="270">
        <f t="shared" si="106"/>
        <v>8416</v>
      </c>
      <c r="F202" s="270">
        <f t="shared" si="106"/>
        <v>10051</v>
      </c>
      <c r="G202" s="270">
        <f t="shared" si="106"/>
        <v>10751</v>
      </c>
      <c r="H202" s="270">
        <f t="shared" si="106"/>
        <v>10848</v>
      </c>
      <c r="I202" s="270">
        <f t="shared" si="106"/>
        <v>12395</v>
      </c>
      <c r="J202" s="270">
        <f t="shared" si="106"/>
        <v>7634</v>
      </c>
      <c r="K202" s="270">
        <f t="shared" si="106"/>
        <v>8349</v>
      </c>
      <c r="L202" s="270">
        <f t="shared" si="106"/>
        <v>9918</v>
      </c>
      <c r="M202" s="270">
        <f t="shared" si="106"/>
        <v>11737</v>
      </c>
      <c r="N202" s="270">
        <f t="shared" si="106"/>
        <v>13175</v>
      </c>
      <c r="O202" s="270">
        <f t="shared" si="106"/>
        <v>13175</v>
      </c>
      <c r="P202" s="270">
        <f t="shared" si="106"/>
        <v>13175</v>
      </c>
      <c r="Q202" s="270">
        <f t="shared" si="106"/>
        <v>13175</v>
      </c>
      <c r="R202" s="270">
        <f t="shared" si="106"/>
        <v>13175</v>
      </c>
      <c r="S202" s="270">
        <f t="shared" si="105"/>
        <v>13175</v>
      </c>
      <c r="T202" s="270">
        <f t="shared" si="105"/>
        <v>13175</v>
      </c>
      <c r="U202" s="270">
        <f t="shared" si="105"/>
        <v>13175</v>
      </c>
      <c r="V202" s="270">
        <f t="shared" si="105"/>
        <v>13175</v>
      </c>
      <c r="W202" s="270">
        <f t="shared" si="105"/>
        <v>13175</v>
      </c>
      <c r="X202" s="270">
        <f t="shared" si="105"/>
        <v>13175</v>
      </c>
      <c r="Y202" s="270">
        <f t="shared" si="105"/>
        <v>13175</v>
      </c>
      <c r="Z202" s="270">
        <f t="shared" si="105"/>
        <v>13175</v>
      </c>
      <c r="AA202" s="270">
        <f t="shared" si="105"/>
        <v>13175</v>
      </c>
      <c r="AB202" s="270">
        <f t="shared" si="105"/>
        <v>13175</v>
      </c>
      <c r="AC202" s="270">
        <f t="shared" si="105"/>
        <v>13175</v>
      </c>
      <c r="AD202" s="270">
        <f t="shared" si="107"/>
        <v>13175</v>
      </c>
      <c r="AE202" s="270">
        <f t="shared" si="107"/>
        <v>13175</v>
      </c>
      <c r="AF202" s="270">
        <f t="shared" si="107"/>
        <v>13175</v>
      </c>
      <c r="AG202" s="270">
        <f t="shared" si="107"/>
        <v>13175</v>
      </c>
      <c r="AH202" s="270">
        <f t="shared" si="107"/>
        <v>13175</v>
      </c>
      <c r="AI202" s="270">
        <f t="shared" si="107"/>
        <v>13175</v>
      </c>
      <c r="AJ202" s="270">
        <f t="shared" si="107"/>
        <v>13175</v>
      </c>
      <c r="AK202" s="270">
        <f t="shared" si="107"/>
        <v>13175</v>
      </c>
      <c r="AL202" s="270">
        <f t="shared" si="107"/>
        <v>13175</v>
      </c>
      <c r="AM202" s="270">
        <f t="shared" si="107"/>
        <v>13175</v>
      </c>
    </row>
    <row r="203" spans="2:39" ht="15.75" thickBot="1" x14ac:dyDescent="0.35">
      <c r="B203" s="56" t="str">
        <f>input_names!$B$3</f>
        <v>benzine</v>
      </c>
      <c r="C203" s="61">
        <v>155</v>
      </c>
      <c r="D203" s="270">
        <f t="shared" si="106"/>
        <v>7639</v>
      </c>
      <c r="E203" s="270">
        <f t="shared" si="106"/>
        <v>8539</v>
      </c>
      <c r="F203" s="270">
        <f t="shared" si="106"/>
        <v>10287</v>
      </c>
      <c r="G203" s="270">
        <f t="shared" si="106"/>
        <v>10979</v>
      </c>
      <c r="H203" s="270">
        <f t="shared" si="106"/>
        <v>11062</v>
      </c>
      <c r="I203" s="270">
        <f t="shared" si="106"/>
        <v>12813</v>
      </c>
      <c r="J203" s="270">
        <f t="shared" si="106"/>
        <v>7766</v>
      </c>
      <c r="K203" s="270">
        <f t="shared" si="106"/>
        <v>8573</v>
      </c>
      <c r="L203" s="270">
        <f t="shared" si="106"/>
        <v>10162</v>
      </c>
      <c r="M203" s="270">
        <f t="shared" si="106"/>
        <v>12011</v>
      </c>
      <c r="N203" s="270">
        <f t="shared" si="106"/>
        <v>13459</v>
      </c>
      <c r="O203" s="270">
        <f t="shared" si="106"/>
        <v>13459</v>
      </c>
      <c r="P203" s="270">
        <f t="shared" si="106"/>
        <v>13459</v>
      </c>
      <c r="Q203" s="270">
        <f t="shared" si="106"/>
        <v>13459</v>
      </c>
      <c r="R203" s="270">
        <f t="shared" si="106"/>
        <v>13459</v>
      </c>
      <c r="S203" s="270">
        <f t="shared" si="105"/>
        <v>13459</v>
      </c>
      <c r="T203" s="270">
        <f t="shared" si="105"/>
        <v>13459</v>
      </c>
      <c r="U203" s="270">
        <f t="shared" si="105"/>
        <v>13459</v>
      </c>
      <c r="V203" s="270">
        <f t="shared" si="105"/>
        <v>13459</v>
      </c>
      <c r="W203" s="270">
        <f t="shared" si="105"/>
        <v>13459</v>
      </c>
      <c r="X203" s="270">
        <f t="shared" si="105"/>
        <v>13459</v>
      </c>
      <c r="Y203" s="270">
        <f t="shared" si="105"/>
        <v>13459</v>
      </c>
      <c r="Z203" s="270">
        <f t="shared" si="105"/>
        <v>13459</v>
      </c>
      <c r="AA203" s="270">
        <f t="shared" si="105"/>
        <v>13459</v>
      </c>
      <c r="AB203" s="270">
        <f t="shared" si="105"/>
        <v>13459</v>
      </c>
      <c r="AC203" s="270">
        <f t="shared" si="105"/>
        <v>13459</v>
      </c>
      <c r="AD203" s="270">
        <f t="shared" si="107"/>
        <v>13459</v>
      </c>
      <c r="AE203" s="270">
        <f t="shared" si="107"/>
        <v>13459</v>
      </c>
      <c r="AF203" s="270">
        <f t="shared" si="107"/>
        <v>13459</v>
      </c>
      <c r="AG203" s="270">
        <f t="shared" si="107"/>
        <v>13459</v>
      </c>
      <c r="AH203" s="270">
        <f t="shared" si="107"/>
        <v>13459</v>
      </c>
      <c r="AI203" s="270">
        <f t="shared" si="107"/>
        <v>13459</v>
      </c>
      <c r="AJ203" s="270">
        <f t="shared" si="107"/>
        <v>13459</v>
      </c>
      <c r="AK203" s="270">
        <f t="shared" si="107"/>
        <v>13459</v>
      </c>
      <c r="AL203" s="270">
        <f t="shared" si="107"/>
        <v>13459</v>
      </c>
      <c r="AM203" s="270">
        <f t="shared" si="107"/>
        <v>13459</v>
      </c>
    </row>
    <row r="204" spans="2:39" ht="15.75" thickBot="1" x14ac:dyDescent="0.35">
      <c r="B204" s="56" t="str">
        <f>input_names!$B$3</f>
        <v>benzine</v>
      </c>
      <c r="C204" s="61">
        <v>156</v>
      </c>
      <c r="D204" s="270">
        <f t="shared" si="106"/>
        <v>7751</v>
      </c>
      <c r="E204" s="270">
        <f t="shared" si="106"/>
        <v>8777</v>
      </c>
      <c r="F204" s="270">
        <f t="shared" si="106"/>
        <v>10523</v>
      </c>
      <c r="G204" s="270">
        <f t="shared" si="106"/>
        <v>11207</v>
      </c>
      <c r="H204" s="270">
        <f t="shared" si="106"/>
        <v>11276</v>
      </c>
      <c r="I204" s="270">
        <f t="shared" si="106"/>
        <v>13231</v>
      </c>
      <c r="J204" s="270">
        <f t="shared" si="106"/>
        <v>7982</v>
      </c>
      <c r="K204" s="270">
        <f t="shared" si="106"/>
        <v>8797</v>
      </c>
      <c r="L204" s="270">
        <f t="shared" si="106"/>
        <v>10406</v>
      </c>
      <c r="M204" s="270">
        <f t="shared" si="106"/>
        <v>12285</v>
      </c>
      <c r="N204" s="270">
        <f t="shared" si="106"/>
        <v>13743</v>
      </c>
      <c r="O204" s="270">
        <f t="shared" si="106"/>
        <v>13743</v>
      </c>
      <c r="P204" s="270">
        <f t="shared" si="106"/>
        <v>13743</v>
      </c>
      <c r="Q204" s="270">
        <f t="shared" si="106"/>
        <v>13743</v>
      </c>
      <c r="R204" s="270">
        <f t="shared" si="106"/>
        <v>13743</v>
      </c>
      <c r="S204" s="270">
        <f t="shared" si="105"/>
        <v>13743</v>
      </c>
      <c r="T204" s="270">
        <f t="shared" si="105"/>
        <v>13743</v>
      </c>
      <c r="U204" s="270">
        <f t="shared" si="105"/>
        <v>13743</v>
      </c>
      <c r="V204" s="270">
        <f t="shared" si="105"/>
        <v>13743</v>
      </c>
      <c r="W204" s="270">
        <f t="shared" si="105"/>
        <v>13743</v>
      </c>
      <c r="X204" s="270">
        <f t="shared" si="105"/>
        <v>13743</v>
      </c>
      <c r="Y204" s="270">
        <f t="shared" si="105"/>
        <v>13743</v>
      </c>
      <c r="Z204" s="270">
        <f t="shared" si="105"/>
        <v>13743</v>
      </c>
      <c r="AA204" s="270">
        <f t="shared" si="105"/>
        <v>13743</v>
      </c>
      <c r="AB204" s="270">
        <f t="shared" si="105"/>
        <v>13743</v>
      </c>
      <c r="AC204" s="270">
        <f t="shared" si="105"/>
        <v>13743</v>
      </c>
      <c r="AD204" s="270">
        <f t="shared" si="107"/>
        <v>13743</v>
      </c>
      <c r="AE204" s="270">
        <f t="shared" si="107"/>
        <v>13743</v>
      </c>
      <c r="AF204" s="270">
        <f t="shared" si="107"/>
        <v>13743</v>
      </c>
      <c r="AG204" s="270">
        <f t="shared" si="107"/>
        <v>13743</v>
      </c>
      <c r="AH204" s="270">
        <f t="shared" si="107"/>
        <v>13743</v>
      </c>
      <c r="AI204" s="270">
        <f t="shared" si="107"/>
        <v>13743</v>
      </c>
      <c r="AJ204" s="270">
        <f t="shared" si="107"/>
        <v>13743</v>
      </c>
      <c r="AK204" s="270">
        <f t="shared" si="107"/>
        <v>13743</v>
      </c>
      <c r="AL204" s="270">
        <f t="shared" si="107"/>
        <v>13743</v>
      </c>
      <c r="AM204" s="270">
        <f t="shared" si="107"/>
        <v>13743</v>
      </c>
    </row>
    <row r="205" spans="2:39" ht="15.75" thickBot="1" x14ac:dyDescent="0.35">
      <c r="B205" s="56" t="str">
        <f>input_names!$B$3</f>
        <v>benzine</v>
      </c>
      <c r="C205" s="61">
        <v>157</v>
      </c>
      <c r="D205" s="270">
        <f t="shared" si="106"/>
        <v>7863</v>
      </c>
      <c r="E205" s="270">
        <f t="shared" si="106"/>
        <v>9015</v>
      </c>
      <c r="F205" s="270">
        <f t="shared" si="106"/>
        <v>10759</v>
      </c>
      <c r="G205" s="270">
        <f t="shared" si="106"/>
        <v>11435</v>
      </c>
      <c r="H205" s="270">
        <f t="shared" si="106"/>
        <v>11704</v>
      </c>
      <c r="I205" s="270">
        <f t="shared" si="106"/>
        <v>13649</v>
      </c>
      <c r="J205" s="270">
        <f t="shared" si="106"/>
        <v>8198</v>
      </c>
      <c r="K205" s="270">
        <f t="shared" si="106"/>
        <v>9021</v>
      </c>
      <c r="L205" s="270">
        <f t="shared" si="106"/>
        <v>10650</v>
      </c>
      <c r="M205" s="270">
        <f t="shared" si="106"/>
        <v>12559</v>
      </c>
      <c r="N205" s="270">
        <f t="shared" si="106"/>
        <v>14027</v>
      </c>
      <c r="O205" s="270">
        <f t="shared" si="106"/>
        <v>14027</v>
      </c>
      <c r="P205" s="270">
        <f t="shared" si="106"/>
        <v>14027</v>
      </c>
      <c r="Q205" s="270">
        <f t="shared" si="106"/>
        <v>14027</v>
      </c>
      <c r="R205" s="270">
        <f t="shared" si="106"/>
        <v>14027</v>
      </c>
      <c r="S205" s="270">
        <f t="shared" si="105"/>
        <v>14027</v>
      </c>
      <c r="T205" s="270">
        <f t="shared" si="105"/>
        <v>14027</v>
      </c>
      <c r="U205" s="270">
        <f t="shared" si="105"/>
        <v>14027</v>
      </c>
      <c r="V205" s="270">
        <f t="shared" si="105"/>
        <v>14027</v>
      </c>
      <c r="W205" s="270">
        <f t="shared" si="105"/>
        <v>14027</v>
      </c>
      <c r="X205" s="270">
        <f t="shared" si="105"/>
        <v>14027</v>
      </c>
      <c r="Y205" s="270">
        <f t="shared" si="105"/>
        <v>14027</v>
      </c>
      <c r="Z205" s="270">
        <f t="shared" si="105"/>
        <v>14027</v>
      </c>
      <c r="AA205" s="270">
        <f t="shared" si="105"/>
        <v>14027</v>
      </c>
      <c r="AB205" s="270">
        <f t="shared" si="105"/>
        <v>14027</v>
      </c>
      <c r="AC205" s="270">
        <f t="shared" si="105"/>
        <v>14027</v>
      </c>
      <c r="AD205" s="270">
        <f t="shared" si="107"/>
        <v>14027</v>
      </c>
      <c r="AE205" s="270">
        <f t="shared" si="107"/>
        <v>14027</v>
      </c>
      <c r="AF205" s="270">
        <f t="shared" si="107"/>
        <v>14027</v>
      </c>
      <c r="AG205" s="270">
        <f t="shared" si="107"/>
        <v>14027</v>
      </c>
      <c r="AH205" s="270">
        <f t="shared" si="107"/>
        <v>14027</v>
      </c>
      <c r="AI205" s="270">
        <f t="shared" si="107"/>
        <v>14027</v>
      </c>
      <c r="AJ205" s="270">
        <f t="shared" si="107"/>
        <v>14027</v>
      </c>
      <c r="AK205" s="270">
        <f t="shared" si="107"/>
        <v>14027</v>
      </c>
      <c r="AL205" s="270">
        <f t="shared" si="107"/>
        <v>14027</v>
      </c>
      <c r="AM205" s="270">
        <f t="shared" si="107"/>
        <v>14027</v>
      </c>
    </row>
    <row r="206" spans="2:39" ht="15.75" thickBot="1" x14ac:dyDescent="0.35">
      <c r="B206" s="56" t="str">
        <f>input_names!$B$3</f>
        <v>benzine</v>
      </c>
      <c r="C206" s="61">
        <v>158</v>
      </c>
      <c r="D206" s="270">
        <f t="shared" si="106"/>
        <v>7975</v>
      </c>
      <c r="E206" s="270">
        <f t="shared" si="106"/>
        <v>9253</v>
      </c>
      <c r="F206" s="270">
        <f t="shared" si="106"/>
        <v>10995</v>
      </c>
      <c r="G206" s="270">
        <f t="shared" si="106"/>
        <v>11663</v>
      </c>
      <c r="H206" s="270">
        <f t="shared" si="106"/>
        <v>12132</v>
      </c>
      <c r="I206" s="270">
        <f t="shared" si="106"/>
        <v>14067</v>
      </c>
      <c r="J206" s="270">
        <f t="shared" si="106"/>
        <v>8414</v>
      </c>
      <c r="K206" s="270">
        <f t="shared" si="106"/>
        <v>9245</v>
      </c>
      <c r="L206" s="270">
        <f t="shared" si="106"/>
        <v>10894</v>
      </c>
      <c r="M206" s="270">
        <f t="shared" si="106"/>
        <v>12833</v>
      </c>
      <c r="N206" s="270">
        <f t="shared" si="106"/>
        <v>14595</v>
      </c>
      <c r="O206" s="270">
        <f t="shared" si="106"/>
        <v>14595</v>
      </c>
      <c r="P206" s="270">
        <f t="shared" si="106"/>
        <v>14595</v>
      </c>
      <c r="Q206" s="270">
        <f t="shared" si="106"/>
        <v>14595</v>
      </c>
      <c r="R206" s="270">
        <f t="shared" si="106"/>
        <v>14595</v>
      </c>
      <c r="S206" s="270">
        <f t="shared" si="105"/>
        <v>14595</v>
      </c>
      <c r="T206" s="270">
        <f t="shared" si="105"/>
        <v>14595</v>
      </c>
      <c r="U206" s="270">
        <f t="shared" si="105"/>
        <v>14595</v>
      </c>
      <c r="V206" s="270">
        <f t="shared" si="105"/>
        <v>14595</v>
      </c>
      <c r="W206" s="270">
        <f t="shared" si="105"/>
        <v>14595</v>
      </c>
      <c r="X206" s="270">
        <f t="shared" si="105"/>
        <v>14595</v>
      </c>
      <c r="Y206" s="270">
        <f t="shared" si="105"/>
        <v>14595</v>
      </c>
      <c r="Z206" s="270">
        <f t="shared" si="105"/>
        <v>14595</v>
      </c>
      <c r="AA206" s="270">
        <f t="shared" si="105"/>
        <v>14595</v>
      </c>
      <c r="AB206" s="270">
        <f t="shared" si="105"/>
        <v>14595</v>
      </c>
      <c r="AC206" s="270">
        <f t="shared" si="105"/>
        <v>14595</v>
      </c>
      <c r="AD206" s="270">
        <f t="shared" si="107"/>
        <v>14595</v>
      </c>
      <c r="AE206" s="270">
        <f t="shared" si="107"/>
        <v>14595</v>
      </c>
      <c r="AF206" s="270">
        <f t="shared" si="107"/>
        <v>14595</v>
      </c>
      <c r="AG206" s="270">
        <f t="shared" si="107"/>
        <v>14595</v>
      </c>
      <c r="AH206" s="270">
        <f t="shared" si="107"/>
        <v>14595</v>
      </c>
      <c r="AI206" s="270">
        <f t="shared" si="107"/>
        <v>14595</v>
      </c>
      <c r="AJ206" s="270">
        <f t="shared" si="107"/>
        <v>14595</v>
      </c>
      <c r="AK206" s="270">
        <f t="shared" si="107"/>
        <v>14595</v>
      </c>
      <c r="AL206" s="270">
        <f t="shared" si="107"/>
        <v>14595</v>
      </c>
      <c r="AM206" s="270">
        <f t="shared" si="107"/>
        <v>14595</v>
      </c>
    </row>
    <row r="207" spans="2:39" ht="15.75" thickBot="1" x14ac:dyDescent="0.35">
      <c r="B207" s="56" t="str">
        <f>input_names!$B$3</f>
        <v>benzine</v>
      </c>
      <c r="C207" s="61">
        <v>159</v>
      </c>
      <c r="D207" s="270">
        <f t="shared" si="106"/>
        <v>8087</v>
      </c>
      <c r="E207" s="270">
        <f t="shared" si="106"/>
        <v>9491</v>
      </c>
      <c r="F207" s="270">
        <f t="shared" si="106"/>
        <v>11231</v>
      </c>
      <c r="G207" s="270">
        <f t="shared" si="106"/>
        <v>11891</v>
      </c>
      <c r="H207" s="270">
        <f t="shared" si="106"/>
        <v>12560</v>
      </c>
      <c r="I207" s="270">
        <f t="shared" si="106"/>
        <v>14485</v>
      </c>
      <c r="J207" s="270">
        <f t="shared" si="106"/>
        <v>8630</v>
      </c>
      <c r="K207" s="270">
        <f t="shared" si="106"/>
        <v>9469</v>
      </c>
      <c r="L207" s="270">
        <f t="shared" si="106"/>
        <v>11138</v>
      </c>
      <c r="M207" s="270">
        <f t="shared" si="106"/>
        <v>13107</v>
      </c>
      <c r="N207" s="270">
        <f t="shared" si="106"/>
        <v>15163</v>
      </c>
      <c r="O207" s="270">
        <f t="shared" si="106"/>
        <v>15163</v>
      </c>
      <c r="P207" s="270">
        <f t="shared" si="106"/>
        <v>15163</v>
      </c>
      <c r="Q207" s="270">
        <f t="shared" si="106"/>
        <v>15163</v>
      </c>
      <c r="R207" s="270">
        <f t="shared" si="106"/>
        <v>15163</v>
      </c>
      <c r="S207" s="270">
        <f t="shared" si="105"/>
        <v>15163</v>
      </c>
      <c r="T207" s="270">
        <f t="shared" si="105"/>
        <v>15163</v>
      </c>
      <c r="U207" s="270">
        <f t="shared" si="105"/>
        <v>15163</v>
      </c>
      <c r="V207" s="270">
        <f t="shared" si="105"/>
        <v>15163</v>
      </c>
      <c r="W207" s="270">
        <f t="shared" si="105"/>
        <v>15163</v>
      </c>
      <c r="X207" s="270">
        <f t="shared" si="105"/>
        <v>15163</v>
      </c>
      <c r="Y207" s="270">
        <f t="shared" si="105"/>
        <v>15163</v>
      </c>
      <c r="Z207" s="270">
        <f t="shared" si="105"/>
        <v>15163</v>
      </c>
      <c r="AA207" s="270">
        <f t="shared" si="105"/>
        <v>15163</v>
      </c>
      <c r="AB207" s="270">
        <f t="shared" si="105"/>
        <v>15163</v>
      </c>
      <c r="AC207" s="270">
        <f t="shared" si="105"/>
        <v>15163</v>
      </c>
      <c r="AD207" s="270">
        <f t="shared" si="107"/>
        <v>15163</v>
      </c>
      <c r="AE207" s="270">
        <f t="shared" si="107"/>
        <v>15163</v>
      </c>
      <c r="AF207" s="270">
        <f t="shared" si="107"/>
        <v>15163</v>
      </c>
      <c r="AG207" s="270">
        <f t="shared" si="107"/>
        <v>15163</v>
      </c>
      <c r="AH207" s="270">
        <f t="shared" si="107"/>
        <v>15163</v>
      </c>
      <c r="AI207" s="270">
        <f t="shared" si="107"/>
        <v>15163</v>
      </c>
      <c r="AJ207" s="270">
        <f t="shared" si="107"/>
        <v>15163</v>
      </c>
      <c r="AK207" s="270">
        <f t="shared" si="107"/>
        <v>15163</v>
      </c>
      <c r="AL207" s="270">
        <f t="shared" si="107"/>
        <v>15163</v>
      </c>
      <c r="AM207" s="270">
        <f t="shared" si="107"/>
        <v>15163</v>
      </c>
    </row>
    <row r="208" spans="2:39" ht="15.75" thickBot="1" x14ac:dyDescent="0.35">
      <c r="B208" s="56" t="str">
        <f>input_names!$B$3</f>
        <v>benzine</v>
      </c>
      <c r="C208" s="61">
        <v>160</v>
      </c>
      <c r="D208" s="270">
        <f t="shared" ref="D208:AD223" si="108">+MIN(MAX(0,$C208-D$11),D$12-D$11)*D$17
+MIN(MAX(0,$C208-D$12),D$13-D$12)*D$18
+MIN(MAX(0,$C208-D$13),D$14-D$13)*D$19
+MIN(MAX(0,$C208-D$14),D$15-D$14)*D$20
+MAX(0,$C208-D$15)*D$21
+D$26</f>
        <v>8199</v>
      </c>
      <c r="E208" s="270">
        <f t="shared" si="108"/>
        <v>9729</v>
      </c>
      <c r="F208" s="270">
        <f t="shared" si="108"/>
        <v>11467</v>
      </c>
      <c r="G208" s="270">
        <f t="shared" si="108"/>
        <v>12119</v>
      </c>
      <c r="H208" s="270">
        <f t="shared" si="108"/>
        <v>12988</v>
      </c>
      <c r="I208" s="270">
        <f t="shared" si="108"/>
        <v>14903</v>
      </c>
      <c r="J208" s="270">
        <f t="shared" si="108"/>
        <v>8846</v>
      </c>
      <c r="K208" s="270">
        <f t="shared" si="108"/>
        <v>9693</v>
      </c>
      <c r="L208" s="270">
        <f t="shared" si="108"/>
        <v>11382</v>
      </c>
      <c r="M208" s="270">
        <f t="shared" si="108"/>
        <v>13381</v>
      </c>
      <c r="N208" s="270">
        <f t="shared" si="108"/>
        <v>15731</v>
      </c>
      <c r="O208" s="270">
        <f t="shared" si="108"/>
        <v>15731</v>
      </c>
      <c r="P208" s="270">
        <f t="shared" si="108"/>
        <v>15731</v>
      </c>
      <c r="Q208" s="270">
        <f t="shared" si="108"/>
        <v>15731</v>
      </c>
      <c r="R208" s="270">
        <f t="shared" si="108"/>
        <v>15731</v>
      </c>
      <c r="S208" s="270">
        <f t="shared" si="105"/>
        <v>15731</v>
      </c>
      <c r="T208" s="270">
        <f t="shared" si="105"/>
        <v>15731</v>
      </c>
      <c r="U208" s="270">
        <f t="shared" si="105"/>
        <v>15731</v>
      </c>
      <c r="V208" s="270">
        <f t="shared" ref="S208:AC231" si="109">+MIN(MAX(0,$C208-V$11),V$12-V$11)*V$17
+MIN(MAX(0,$C208-V$12),V$13-V$12)*V$18
+MIN(MAX(0,$C208-V$13),V$14-V$13)*V$19
+MIN(MAX(0,$C208-V$14),V$15-V$14)*V$20
+MAX(0,$C208-V$15)*V$21
+V$26</f>
        <v>15731</v>
      </c>
      <c r="W208" s="270">
        <f t="shared" si="109"/>
        <v>15731</v>
      </c>
      <c r="X208" s="270">
        <f t="shared" si="109"/>
        <v>15731</v>
      </c>
      <c r="Y208" s="270">
        <f t="shared" si="109"/>
        <v>15731</v>
      </c>
      <c r="Z208" s="270">
        <f t="shared" si="109"/>
        <v>15731</v>
      </c>
      <c r="AA208" s="270">
        <f t="shared" si="109"/>
        <v>15731</v>
      </c>
      <c r="AB208" s="270">
        <f t="shared" si="109"/>
        <v>15731</v>
      </c>
      <c r="AC208" s="270">
        <f t="shared" si="109"/>
        <v>15731</v>
      </c>
      <c r="AD208" s="270">
        <f t="shared" si="107"/>
        <v>15731</v>
      </c>
      <c r="AE208" s="270">
        <f t="shared" si="107"/>
        <v>15731</v>
      </c>
      <c r="AF208" s="270">
        <f t="shared" si="107"/>
        <v>15731</v>
      </c>
      <c r="AG208" s="270">
        <f t="shared" si="107"/>
        <v>15731</v>
      </c>
      <c r="AH208" s="270">
        <f t="shared" si="107"/>
        <v>15731</v>
      </c>
      <c r="AI208" s="270">
        <f t="shared" si="107"/>
        <v>15731</v>
      </c>
      <c r="AJ208" s="270">
        <f t="shared" si="107"/>
        <v>15731</v>
      </c>
      <c r="AK208" s="270">
        <f t="shared" si="107"/>
        <v>15731</v>
      </c>
      <c r="AL208" s="270">
        <f t="shared" si="107"/>
        <v>15731</v>
      </c>
      <c r="AM208" s="270">
        <f t="shared" si="107"/>
        <v>15731</v>
      </c>
    </row>
    <row r="209" spans="2:39" ht="15.75" thickBot="1" x14ac:dyDescent="0.35">
      <c r="B209" s="56" t="str">
        <f>input_names!$B$3</f>
        <v>benzine</v>
      </c>
      <c r="C209" s="61">
        <v>161</v>
      </c>
      <c r="D209" s="270">
        <f t="shared" si="108"/>
        <v>8416</v>
      </c>
      <c r="E209" s="270">
        <f t="shared" si="108"/>
        <v>9967</v>
      </c>
      <c r="F209" s="270">
        <f t="shared" si="108"/>
        <v>11703</v>
      </c>
      <c r="G209" s="270">
        <f t="shared" si="108"/>
        <v>12347</v>
      </c>
      <c r="H209" s="270">
        <f t="shared" si="108"/>
        <v>13416</v>
      </c>
      <c r="I209" s="270">
        <f t="shared" si="108"/>
        <v>15321</v>
      </c>
      <c r="J209" s="270">
        <f t="shared" si="108"/>
        <v>9062</v>
      </c>
      <c r="K209" s="270">
        <f t="shared" si="108"/>
        <v>9917</v>
      </c>
      <c r="L209" s="270">
        <f t="shared" si="108"/>
        <v>11626</v>
      </c>
      <c r="M209" s="270">
        <f t="shared" si="108"/>
        <v>13655</v>
      </c>
      <c r="N209" s="270">
        <f t="shared" si="108"/>
        <v>16299</v>
      </c>
      <c r="O209" s="270">
        <f t="shared" si="108"/>
        <v>16299</v>
      </c>
      <c r="P209" s="270">
        <f t="shared" si="108"/>
        <v>16299</v>
      </c>
      <c r="Q209" s="270">
        <f t="shared" si="108"/>
        <v>16299</v>
      </c>
      <c r="R209" s="270">
        <f t="shared" si="108"/>
        <v>16299</v>
      </c>
      <c r="S209" s="270">
        <f t="shared" si="109"/>
        <v>16299</v>
      </c>
      <c r="T209" s="270">
        <f t="shared" si="109"/>
        <v>16299</v>
      </c>
      <c r="U209" s="270">
        <f t="shared" si="109"/>
        <v>16299</v>
      </c>
      <c r="V209" s="270">
        <f t="shared" si="109"/>
        <v>16299</v>
      </c>
      <c r="W209" s="270">
        <f t="shared" si="109"/>
        <v>16299</v>
      </c>
      <c r="X209" s="270">
        <f t="shared" si="109"/>
        <v>16299</v>
      </c>
      <c r="Y209" s="270">
        <f t="shared" si="109"/>
        <v>16299</v>
      </c>
      <c r="Z209" s="270">
        <f t="shared" si="109"/>
        <v>16299</v>
      </c>
      <c r="AA209" s="270">
        <f t="shared" si="109"/>
        <v>16299</v>
      </c>
      <c r="AB209" s="270">
        <f t="shared" si="109"/>
        <v>16299</v>
      </c>
      <c r="AC209" s="270">
        <f t="shared" si="109"/>
        <v>16299</v>
      </c>
      <c r="AD209" s="270">
        <f t="shared" si="107"/>
        <v>16299</v>
      </c>
      <c r="AE209" s="270">
        <f t="shared" si="107"/>
        <v>16299</v>
      </c>
      <c r="AF209" s="270">
        <f t="shared" si="107"/>
        <v>16299</v>
      </c>
      <c r="AG209" s="270">
        <f t="shared" si="107"/>
        <v>16299</v>
      </c>
      <c r="AH209" s="270">
        <f t="shared" si="107"/>
        <v>16299</v>
      </c>
      <c r="AI209" s="270">
        <f t="shared" si="107"/>
        <v>16299</v>
      </c>
      <c r="AJ209" s="270">
        <f t="shared" si="107"/>
        <v>16299</v>
      </c>
      <c r="AK209" s="270">
        <f t="shared" si="107"/>
        <v>16299</v>
      </c>
      <c r="AL209" s="270">
        <f t="shared" si="107"/>
        <v>16299</v>
      </c>
      <c r="AM209" s="270">
        <f t="shared" si="107"/>
        <v>16299</v>
      </c>
    </row>
    <row r="210" spans="2:39" ht="15.75" thickBot="1" x14ac:dyDescent="0.35">
      <c r="B210" s="56" t="str">
        <f>input_names!$B$3</f>
        <v>benzine</v>
      </c>
      <c r="C210" s="61">
        <v>162</v>
      </c>
      <c r="D210" s="270">
        <f t="shared" si="108"/>
        <v>8633</v>
      </c>
      <c r="E210" s="270">
        <f t="shared" si="108"/>
        <v>10205</v>
      </c>
      <c r="F210" s="270">
        <f t="shared" si="108"/>
        <v>11939</v>
      </c>
      <c r="G210" s="270">
        <f t="shared" si="108"/>
        <v>12575</v>
      </c>
      <c r="H210" s="270">
        <f t="shared" si="108"/>
        <v>13844</v>
      </c>
      <c r="I210" s="270">
        <f t="shared" si="108"/>
        <v>15739</v>
      </c>
      <c r="J210" s="270">
        <f t="shared" si="108"/>
        <v>9278</v>
      </c>
      <c r="K210" s="270">
        <f t="shared" si="108"/>
        <v>10141</v>
      </c>
      <c r="L210" s="270">
        <f t="shared" si="108"/>
        <v>11870</v>
      </c>
      <c r="M210" s="270">
        <f t="shared" si="108"/>
        <v>14204</v>
      </c>
      <c r="N210" s="270">
        <f t="shared" si="108"/>
        <v>16867</v>
      </c>
      <c r="O210" s="270">
        <f t="shared" si="108"/>
        <v>16867</v>
      </c>
      <c r="P210" s="270">
        <f t="shared" si="108"/>
        <v>16867</v>
      </c>
      <c r="Q210" s="270">
        <f t="shared" si="108"/>
        <v>16867</v>
      </c>
      <c r="R210" s="270">
        <f t="shared" si="108"/>
        <v>16867</v>
      </c>
      <c r="S210" s="270">
        <f t="shared" si="109"/>
        <v>16867</v>
      </c>
      <c r="T210" s="270">
        <f t="shared" si="109"/>
        <v>16867</v>
      </c>
      <c r="U210" s="270">
        <f t="shared" si="109"/>
        <v>16867</v>
      </c>
      <c r="V210" s="270">
        <f t="shared" si="109"/>
        <v>16867</v>
      </c>
      <c r="W210" s="270">
        <f t="shared" si="109"/>
        <v>16867</v>
      </c>
      <c r="X210" s="270">
        <f t="shared" si="109"/>
        <v>16867</v>
      </c>
      <c r="Y210" s="270">
        <f t="shared" si="109"/>
        <v>16867</v>
      </c>
      <c r="Z210" s="270">
        <f t="shared" si="109"/>
        <v>16867</v>
      </c>
      <c r="AA210" s="270">
        <f t="shared" si="109"/>
        <v>16867</v>
      </c>
      <c r="AB210" s="270">
        <f t="shared" si="109"/>
        <v>16867</v>
      </c>
      <c r="AC210" s="270">
        <f t="shared" si="109"/>
        <v>16867</v>
      </c>
      <c r="AD210" s="270">
        <f t="shared" si="107"/>
        <v>16867</v>
      </c>
      <c r="AE210" s="270">
        <f t="shared" si="107"/>
        <v>16867</v>
      </c>
      <c r="AF210" s="270">
        <f t="shared" si="107"/>
        <v>16867</v>
      </c>
      <c r="AG210" s="270">
        <f t="shared" si="107"/>
        <v>16867</v>
      </c>
      <c r="AH210" s="270">
        <f t="shared" si="107"/>
        <v>16867</v>
      </c>
      <c r="AI210" s="270">
        <f t="shared" si="107"/>
        <v>16867</v>
      </c>
      <c r="AJ210" s="270">
        <f t="shared" si="107"/>
        <v>16867</v>
      </c>
      <c r="AK210" s="270">
        <f t="shared" si="107"/>
        <v>16867</v>
      </c>
      <c r="AL210" s="270">
        <f t="shared" si="107"/>
        <v>16867</v>
      </c>
      <c r="AM210" s="270">
        <f t="shared" si="107"/>
        <v>16867</v>
      </c>
    </row>
    <row r="211" spans="2:39" ht="15.75" thickBot="1" x14ac:dyDescent="0.35">
      <c r="B211" s="56" t="str">
        <f>input_names!$B$3</f>
        <v>benzine</v>
      </c>
      <c r="C211" s="61">
        <v>163</v>
      </c>
      <c r="D211" s="270">
        <f t="shared" si="108"/>
        <v>8850</v>
      </c>
      <c r="E211" s="270">
        <f t="shared" si="108"/>
        <v>10443</v>
      </c>
      <c r="F211" s="270">
        <f t="shared" si="108"/>
        <v>12175</v>
      </c>
      <c r="G211" s="270">
        <f t="shared" si="108"/>
        <v>13030</v>
      </c>
      <c r="H211" s="270">
        <f t="shared" si="108"/>
        <v>14272</v>
      </c>
      <c r="I211" s="270">
        <f t="shared" si="108"/>
        <v>16157</v>
      </c>
      <c r="J211" s="270">
        <f t="shared" si="108"/>
        <v>9494</v>
      </c>
      <c r="K211" s="270">
        <f t="shared" si="108"/>
        <v>10365</v>
      </c>
      <c r="L211" s="270">
        <f t="shared" si="108"/>
        <v>12114</v>
      </c>
      <c r="M211" s="270">
        <f t="shared" si="108"/>
        <v>14753</v>
      </c>
      <c r="N211" s="270">
        <f t="shared" si="108"/>
        <v>17435</v>
      </c>
      <c r="O211" s="270">
        <f t="shared" si="108"/>
        <v>17435</v>
      </c>
      <c r="P211" s="270">
        <f t="shared" si="108"/>
        <v>17435</v>
      </c>
      <c r="Q211" s="270">
        <f t="shared" si="108"/>
        <v>17435</v>
      </c>
      <c r="R211" s="270">
        <f t="shared" si="108"/>
        <v>17435</v>
      </c>
      <c r="S211" s="270">
        <f t="shared" si="109"/>
        <v>17435</v>
      </c>
      <c r="T211" s="270">
        <f t="shared" si="109"/>
        <v>17435</v>
      </c>
      <c r="U211" s="270">
        <f t="shared" si="109"/>
        <v>17435</v>
      </c>
      <c r="V211" s="270">
        <f t="shared" si="109"/>
        <v>17435</v>
      </c>
      <c r="W211" s="270">
        <f t="shared" si="109"/>
        <v>17435</v>
      </c>
      <c r="X211" s="270">
        <f t="shared" si="109"/>
        <v>17435</v>
      </c>
      <c r="Y211" s="270">
        <f t="shared" si="109"/>
        <v>17435</v>
      </c>
      <c r="Z211" s="270">
        <f t="shared" si="109"/>
        <v>17435</v>
      </c>
      <c r="AA211" s="270">
        <f t="shared" si="109"/>
        <v>17435</v>
      </c>
      <c r="AB211" s="270">
        <f t="shared" si="109"/>
        <v>17435</v>
      </c>
      <c r="AC211" s="270">
        <f t="shared" si="109"/>
        <v>17435</v>
      </c>
      <c r="AD211" s="270">
        <f t="shared" si="107"/>
        <v>17435</v>
      </c>
      <c r="AE211" s="270">
        <f t="shared" si="107"/>
        <v>17435</v>
      </c>
      <c r="AF211" s="270">
        <f t="shared" si="107"/>
        <v>17435</v>
      </c>
      <c r="AG211" s="270">
        <f t="shared" si="107"/>
        <v>17435</v>
      </c>
      <c r="AH211" s="270">
        <f t="shared" si="107"/>
        <v>17435</v>
      </c>
      <c r="AI211" s="270">
        <f t="shared" si="107"/>
        <v>17435</v>
      </c>
      <c r="AJ211" s="270">
        <f t="shared" si="107"/>
        <v>17435</v>
      </c>
      <c r="AK211" s="270">
        <f t="shared" si="107"/>
        <v>17435</v>
      </c>
      <c r="AL211" s="270">
        <f t="shared" si="107"/>
        <v>17435</v>
      </c>
      <c r="AM211" s="270">
        <f t="shared" si="107"/>
        <v>17435</v>
      </c>
    </row>
    <row r="212" spans="2:39" ht="15.75" thickBot="1" x14ac:dyDescent="0.35">
      <c r="B212" s="56" t="str">
        <f>input_names!$B$3</f>
        <v>benzine</v>
      </c>
      <c r="C212" s="61">
        <v>164</v>
      </c>
      <c r="D212" s="270">
        <f t="shared" si="108"/>
        <v>9067</v>
      </c>
      <c r="E212" s="270">
        <f t="shared" si="108"/>
        <v>10681</v>
      </c>
      <c r="F212" s="270">
        <f t="shared" si="108"/>
        <v>12411</v>
      </c>
      <c r="G212" s="270">
        <f t="shared" si="108"/>
        <v>13485</v>
      </c>
      <c r="H212" s="270">
        <f t="shared" si="108"/>
        <v>14700</v>
      </c>
      <c r="I212" s="270">
        <f t="shared" si="108"/>
        <v>16575</v>
      </c>
      <c r="J212" s="270">
        <f t="shared" si="108"/>
        <v>9710</v>
      </c>
      <c r="K212" s="270">
        <f t="shared" si="108"/>
        <v>10589</v>
      </c>
      <c r="L212" s="270">
        <f t="shared" si="108"/>
        <v>12358</v>
      </c>
      <c r="M212" s="270">
        <f t="shared" si="108"/>
        <v>15302</v>
      </c>
      <c r="N212" s="270">
        <f t="shared" si="108"/>
        <v>18003</v>
      </c>
      <c r="O212" s="270">
        <f t="shared" si="108"/>
        <v>18003</v>
      </c>
      <c r="P212" s="270">
        <f t="shared" si="108"/>
        <v>18003</v>
      </c>
      <c r="Q212" s="270">
        <f t="shared" si="108"/>
        <v>18003</v>
      </c>
      <c r="R212" s="270">
        <f t="shared" si="108"/>
        <v>18003</v>
      </c>
      <c r="S212" s="270">
        <f t="shared" si="109"/>
        <v>18003</v>
      </c>
      <c r="T212" s="270">
        <f t="shared" si="109"/>
        <v>18003</v>
      </c>
      <c r="U212" s="270">
        <f t="shared" si="109"/>
        <v>18003</v>
      </c>
      <c r="V212" s="270">
        <f t="shared" si="109"/>
        <v>18003</v>
      </c>
      <c r="W212" s="270">
        <f t="shared" si="109"/>
        <v>18003</v>
      </c>
      <c r="X212" s="270">
        <f t="shared" si="109"/>
        <v>18003</v>
      </c>
      <c r="Y212" s="270">
        <f t="shared" si="109"/>
        <v>18003</v>
      </c>
      <c r="Z212" s="270">
        <f t="shared" si="109"/>
        <v>18003</v>
      </c>
      <c r="AA212" s="270">
        <f t="shared" si="109"/>
        <v>18003</v>
      </c>
      <c r="AB212" s="270">
        <f t="shared" si="109"/>
        <v>18003</v>
      </c>
      <c r="AC212" s="270">
        <f t="shared" si="109"/>
        <v>18003</v>
      </c>
      <c r="AD212" s="270">
        <f t="shared" si="107"/>
        <v>18003</v>
      </c>
      <c r="AE212" s="270">
        <f t="shared" si="107"/>
        <v>18003</v>
      </c>
      <c r="AF212" s="270">
        <f t="shared" si="107"/>
        <v>18003</v>
      </c>
      <c r="AG212" s="270">
        <f t="shared" si="107"/>
        <v>18003</v>
      </c>
      <c r="AH212" s="270">
        <f t="shared" si="107"/>
        <v>18003</v>
      </c>
      <c r="AI212" s="270">
        <f t="shared" si="107"/>
        <v>18003</v>
      </c>
      <c r="AJ212" s="270">
        <f t="shared" si="107"/>
        <v>18003</v>
      </c>
      <c r="AK212" s="270">
        <f t="shared" si="107"/>
        <v>18003</v>
      </c>
      <c r="AL212" s="270">
        <f t="shared" si="107"/>
        <v>18003</v>
      </c>
      <c r="AM212" s="270">
        <f t="shared" si="107"/>
        <v>18003</v>
      </c>
    </row>
    <row r="213" spans="2:39" ht="15.75" thickBot="1" x14ac:dyDescent="0.35">
      <c r="B213" s="56" t="str">
        <f>input_names!$B$3</f>
        <v>benzine</v>
      </c>
      <c r="C213" s="61">
        <v>165</v>
      </c>
      <c r="D213" s="270">
        <f t="shared" si="108"/>
        <v>9284</v>
      </c>
      <c r="E213" s="270">
        <f t="shared" si="108"/>
        <v>10919</v>
      </c>
      <c r="F213" s="270">
        <f t="shared" si="108"/>
        <v>12647</v>
      </c>
      <c r="G213" s="270">
        <f t="shared" si="108"/>
        <v>13940</v>
      </c>
      <c r="H213" s="270">
        <f t="shared" si="108"/>
        <v>15128</v>
      </c>
      <c r="I213" s="270">
        <f t="shared" si="108"/>
        <v>16993</v>
      </c>
      <c r="J213" s="270">
        <f t="shared" si="108"/>
        <v>9926</v>
      </c>
      <c r="K213" s="270">
        <f t="shared" si="108"/>
        <v>10813</v>
      </c>
      <c r="L213" s="270">
        <f t="shared" si="108"/>
        <v>12602</v>
      </c>
      <c r="M213" s="270">
        <f t="shared" si="108"/>
        <v>15851</v>
      </c>
      <c r="N213" s="270">
        <f t="shared" si="108"/>
        <v>18571</v>
      </c>
      <c r="O213" s="270">
        <f t="shared" si="108"/>
        <v>18571</v>
      </c>
      <c r="P213" s="270">
        <f t="shared" si="108"/>
        <v>18571</v>
      </c>
      <c r="Q213" s="270">
        <f t="shared" si="108"/>
        <v>18571</v>
      </c>
      <c r="R213" s="270">
        <f t="shared" si="108"/>
        <v>18571</v>
      </c>
      <c r="S213" s="270">
        <f t="shared" si="109"/>
        <v>18571</v>
      </c>
      <c r="T213" s="270">
        <f t="shared" si="109"/>
        <v>18571</v>
      </c>
      <c r="U213" s="270">
        <f t="shared" si="109"/>
        <v>18571</v>
      </c>
      <c r="V213" s="270">
        <f t="shared" si="109"/>
        <v>18571</v>
      </c>
      <c r="W213" s="270">
        <f t="shared" si="109"/>
        <v>18571</v>
      </c>
      <c r="X213" s="270">
        <f t="shared" si="109"/>
        <v>18571</v>
      </c>
      <c r="Y213" s="270">
        <f t="shared" si="109"/>
        <v>18571</v>
      </c>
      <c r="Z213" s="270">
        <f t="shared" si="109"/>
        <v>18571</v>
      </c>
      <c r="AA213" s="270">
        <f t="shared" si="109"/>
        <v>18571</v>
      </c>
      <c r="AB213" s="270">
        <f t="shared" si="109"/>
        <v>18571</v>
      </c>
      <c r="AC213" s="270">
        <f t="shared" si="109"/>
        <v>18571</v>
      </c>
      <c r="AD213" s="270">
        <f t="shared" si="107"/>
        <v>18571</v>
      </c>
      <c r="AE213" s="270">
        <f t="shared" si="107"/>
        <v>18571</v>
      </c>
      <c r="AF213" s="270">
        <f t="shared" si="107"/>
        <v>18571</v>
      </c>
      <c r="AG213" s="270">
        <f t="shared" si="107"/>
        <v>18571</v>
      </c>
      <c r="AH213" s="270">
        <f t="shared" si="107"/>
        <v>18571</v>
      </c>
      <c r="AI213" s="270">
        <f t="shared" si="107"/>
        <v>18571</v>
      </c>
      <c r="AJ213" s="270">
        <f t="shared" si="107"/>
        <v>18571</v>
      </c>
      <c r="AK213" s="270">
        <f t="shared" si="107"/>
        <v>18571</v>
      </c>
      <c r="AL213" s="270">
        <f t="shared" si="107"/>
        <v>18571</v>
      </c>
      <c r="AM213" s="270">
        <f t="shared" si="107"/>
        <v>18571</v>
      </c>
    </row>
    <row r="214" spans="2:39" ht="15.75" thickBot="1" x14ac:dyDescent="0.35">
      <c r="B214" s="56" t="str">
        <f>input_names!$B$3</f>
        <v>benzine</v>
      </c>
      <c r="C214" s="61">
        <v>166</v>
      </c>
      <c r="D214" s="270">
        <f t="shared" si="108"/>
        <v>9501</v>
      </c>
      <c r="E214" s="270">
        <f t="shared" si="108"/>
        <v>11157</v>
      </c>
      <c r="F214" s="270">
        <f t="shared" si="108"/>
        <v>12883</v>
      </c>
      <c r="G214" s="270">
        <f t="shared" si="108"/>
        <v>14395</v>
      </c>
      <c r="H214" s="270">
        <f t="shared" si="108"/>
        <v>15556</v>
      </c>
      <c r="I214" s="270">
        <f t="shared" si="108"/>
        <v>17411</v>
      </c>
      <c r="J214" s="270">
        <f t="shared" si="108"/>
        <v>10142</v>
      </c>
      <c r="K214" s="270">
        <f t="shared" si="108"/>
        <v>11037</v>
      </c>
      <c r="L214" s="270">
        <f t="shared" si="108"/>
        <v>13050</v>
      </c>
      <c r="M214" s="270">
        <f t="shared" si="108"/>
        <v>16400</v>
      </c>
      <c r="N214" s="270">
        <f t="shared" si="108"/>
        <v>19139</v>
      </c>
      <c r="O214" s="270">
        <f t="shared" si="108"/>
        <v>19139</v>
      </c>
      <c r="P214" s="270">
        <f t="shared" si="108"/>
        <v>19139</v>
      </c>
      <c r="Q214" s="270">
        <f t="shared" si="108"/>
        <v>19139</v>
      </c>
      <c r="R214" s="270">
        <f t="shared" si="108"/>
        <v>19139</v>
      </c>
      <c r="S214" s="270">
        <f t="shared" si="109"/>
        <v>19139</v>
      </c>
      <c r="T214" s="270">
        <f t="shared" si="109"/>
        <v>19139</v>
      </c>
      <c r="U214" s="270">
        <f t="shared" si="109"/>
        <v>19139</v>
      </c>
      <c r="V214" s="270">
        <f t="shared" si="109"/>
        <v>19139</v>
      </c>
      <c r="W214" s="270">
        <f t="shared" si="109"/>
        <v>19139</v>
      </c>
      <c r="X214" s="270">
        <f t="shared" si="109"/>
        <v>19139</v>
      </c>
      <c r="Y214" s="270">
        <f t="shared" si="109"/>
        <v>19139</v>
      </c>
      <c r="Z214" s="270">
        <f t="shared" si="109"/>
        <v>19139</v>
      </c>
      <c r="AA214" s="270">
        <f t="shared" si="109"/>
        <v>19139</v>
      </c>
      <c r="AB214" s="270">
        <f t="shared" si="109"/>
        <v>19139</v>
      </c>
      <c r="AC214" s="270">
        <f t="shared" si="109"/>
        <v>19139</v>
      </c>
      <c r="AD214" s="270">
        <f t="shared" si="107"/>
        <v>19139</v>
      </c>
      <c r="AE214" s="270">
        <f t="shared" si="107"/>
        <v>19139</v>
      </c>
      <c r="AF214" s="270">
        <f t="shared" si="107"/>
        <v>19139</v>
      </c>
      <c r="AG214" s="270">
        <f t="shared" si="107"/>
        <v>19139</v>
      </c>
      <c r="AH214" s="270">
        <f t="shared" si="107"/>
        <v>19139</v>
      </c>
      <c r="AI214" s="270">
        <f t="shared" si="107"/>
        <v>19139</v>
      </c>
      <c r="AJ214" s="270">
        <f t="shared" si="107"/>
        <v>19139</v>
      </c>
      <c r="AK214" s="270">
        <f t="shared" si="107"/>
        <v>19139</v>
      </c>
      <c r="AL214" s="270">
        <f t="shared" si="107"/>
        <v>19139</v>
      </c>
      <c r="AM214" s="270">
        <f t="shared" si="107"/>
        <v>19139</v>
      </c>
    </row>
    <row r="215" spans="2:39" ht="15.75" thickBot="1" x14ac:dyDescent="0.35">
      <c r="B215" s="56" t="str">
        <f>input_names!$B$3</f>
        <v>benzine</v>
      </c>
      <c r="C215" s="61">
        <v>167</v>
      </c>
      <c r="D215" s="270">
        <f t="shared" si="108"/>
        <v>9718</v>
      </c>
      <c r="E215" s="270">
        <f t="shared" si="108"/>
        <v>11395</v>
      </c>
      <c r="F215" s="270">
        <f t="shared" si="108"/>
        <v>13119</v>
      </c>
      <c r="G215" s="270">
        <f t="shared" si="108"/>
        <v>14850</v>
      </c>
      <c r="H215" s="270">
        <f t="shared" si="108"/>
        <v>15984</v>
      </c>
      <c r="I215" s="270">
        <f t="shared" si="108"/>
        <v>17829</v>
      </c>
      <c r="J215" s="270">
        <f t="shared" si="108"/>
        <v>10358</v>
      </c>
      <c r="K215" s="270">
        <f t="shared" si="108"/>
        <v>11261</v>
      </c>
      <c r="L215" s="270">
        <f t="shared" si="108"/>
        <v>13498</v>
      </c>
      <c r="M215" s="270">
        <f t="shared" si="108"/>
        <v>16949</v>
      </c>
      <c r="N215" s="270">
        <f t="shared" si="108"/>
        <v>19707</v>
      </c>
      <c r="O215" s="270">
        <f t="shared" si="108"/>
        <v>19707</v>
      </c>
      <c r="P215" s="270">
        <f t="shared" si="108"/>
        <v>19707</v>
      </c>
      <c r="Q215" s="270">
        <f t="shared" si="108"/>
        <v>19707</v>
      </c>
      <c r="R215" s="270">
        <f t="shared" si="108"/>
        <v>19707</v>
      </c>
      <c r="S215" s="270">
        <f t="shared" si="109"/>
        <v>19707</v>
      </c>
      <c r="T215" s="270">
        <f t="shared" si="109"/>
        <v>19707</v>
      </c>
      <c r="U215" s="270">
        <f t="shared" si="109"/>
        <v>19707</v>
      </c>
      <c r="V215" s="270">
        <f t="shared" si="109"/>
        <v>19707</v>
      </c>
      <c r="W215" s="270">
        <f t="shared" si="109"/>
        <v>19707</v>
      </c>
      <c r="X215" s="270">
        <f t="shared" si="109"/>
        <v>19707</v>
      </c>
      <c r="Y215" s="270">
        <f t="shared" si="109"/>
        <v>19707</v>
      </c>
      <c r="Z215" s="270">
        <f t="shared" si="109"/>
        <v>19707</v>
      </c>
      <c r="AA215" s="270">
        <f t="shared" si="109"/>
        <v>19707</v>
      </c>
      <c r="AB215" s="270">
        <f t="shared" si="109"/>
        <v>19707</v>
      </c>
      <c r="AC215" s="270">
        <f t="shared" si="109"/>
        <v>19707</v>
      </c>
      <c r="AD215" s="270">
        <f t="shared" si="107"/>
        <v>19707</v>
      </c>
      <c r="AE215" s="270">
        <f t="shared" si="107"/>
        <v>19707</v>
      </c>
      <c r="AF215" s="270">
        <f t="shared" si="107"/>
        <v>19707</v>
      </c>
      <c r="AG215" s="270">
        <f t="shared" si="107"/>
        <v>19707</v>
      </c>
      <c r="AH215" s="270">
        <f t="shared" si="107"/>
        <v>19707</v>
      </c>
      <c r="AI215" s="270">
        <f t="shared" si="107"/>
        <v>19707</v>
      </c>
      <c r="AJ215" s="270">
        <f t="shared" si="107"/>
        <v>19707</v>
      </c>
      <c r="AK215" s="270">
        <f t="shared" si="107"/>
        <v>19707</v>
      </c>
      <c r="AL215" s="270">
        <f t="shared" si="107"/>
        <v>19707</v>
      </c>
      <c r="AM215" s="270">
        <f t="shared" si="107"/>
        <v>19707</v>
      </c>
    </row>
    <row r="216" spans="2:39" ht="15.75" thickBot="1" x14ac:dyDescent="0.35">
      <c r="B216" s="56" t="str">
        <f>input_names!$B$3</f>
        <v>benzine</v>
      </c>
      <c r="C216" s="61">
        <v>168</v>
      </c>
      <c r="D216" s="270">
        <f t="shared" si="108"/>
        <v>9935</v>
      </c>
      <c r="E216" s="270">
        <f t="shared" si="108"/>
        <v>11633</v>
      </c>
      <c r="F216" s="270">
        <f t="shared" si="108"/>
        <v>13355</v>
      </c>
      <c r="G216" s="270">
        <f t="shared" si="108"/>
        <v>15305</v>
      </c>
      <c r="H216" s="270">
        <f t="shared" si="108"/>
        <v>16412</v>
      </c>
      <c r="I216" s="270">
        <f t="shared" si="108"/>
        <v>18247</v>
      </c>
      <c r="J216" s="270">
        <f t="shared" si="108"/>
        <v>10574</v>
      </c>
      <c r="K216" s="270">
        <f t="shared" si="108"/>
        <v>11485</v>
      </c>
      <c r="L216" s="270">
        <f t="shared" si="108"/>
        <v>13946</v>
      </c>
      <c r="M216" s="270">
        <f t="shared" si="108"/>
        <v>17498</v>
      </c>
      <c r="N216" s="270">
        <f t="shared" si="108"/>
        <v>20275</v>
      </c>
      <c r="O216" s="270">
        <f t="shared" si="108"/>
        <v>20275</v>
      </c>
      <c r="P216" s="270">
        <f t="shared" si="108"/>
        <v>20275</v>
      </c>
      <c r="Q216" s="270">
        <f t="shared" si="108"/>
        <v>20275</v>
      </c>
      <c r="R216" s="270">
        <f t="shared" si="108"/>
        <v>20275</v>
      </c>
      <c r="S216" s="270">
        <f t="shared" si="109"/>
        <v>20275</v>
      </c>
      <c r="T216" s="270">
        <f t="shared" si="109"/>
        <v>20275</v>
      </c>
      <c r="U216" s="270">
        <f t="shared" si="109"/>
        <v>20275</v>
      </c>
      <c r="V216" s="270">
        <f t="shared" si="109"/>
        <v>20275</v>
      </c>
      <c r="W216" s="270">
        <f t="shared" si="109"/>
        <v>20275</v>
      </c>
      <c r="X216" s="270">
        <f t="shared" si="109"/>
        <v>20275</v>
      </c>
      <c r="Y216" s="270">
        <f t="shared" si="109"/>
        <v>20275</v>
      </c>
      <c r="Z216" s="270">
        <f t="shared" si="109"/>
        <v>20275</v>
      </c>
      <c r="AA216" s="270">
        <f t="shared" si="109"/>
        <v>20275</v>
      </c>
      <c r="AB216" s="270">
        <f t="shared" si="109"/>
        <v>20275</v>
      </c>
      <c r="AC216" s="270">
        <f t="shared" si="109"/>
        <v>20275</v>
      </c>
      <c r="AD216" s="270">
        <f t="shared" si="107"/>
        <v>20275</v>
      </c>
      <c r="AE216" s="270">
        <f t="shared" si="107"/>
        <v>20275</v>
      </c>
      <c r="AF216" s="270">
        <f t="shared" si="107"/>
        <v>20275</v>
      </c>
      <c r="AG216" s="270">
        <f t="shared" si="107"/>
        <v>20275</v>
      </c>
      <c r="AH216" s="270">
        <f t="shared" si="107"/>
        <v>20275</v>
      </c>
      <c r="AI216" s="270">
        <f t="shared" si="107"/>
        <v>20275</v>
      </c>
      <c r="AJ216" s="270">
        <f t="shared" si="107"/>
        <v>20275</v>
      </c>
      <c r="AK216" s="270">
        <f t="shared" si="107"/>
        <v>20275</v>
      </c>
      <c r="AL216" s="270">
        <f t="shared" si="107"/>
        <v>20275</v>
      </c>
      <c r="AM216" s="270">
        <f t="shared" si="107"/>
        <v>20275</v>
      </c>
    </row>
    <row r="217" spans="2:39" ht="15.75" thickBot="1" x14ac:dyDescent="0.35">
      <c r="B217" s="56" t="str">
        <f>input_names!$B$3</f>
        <v>benzine</v>
      </c>
      <c r="C217" s="61">
        <v>169</v>
      </c>
      <c r="D217" s="270">
        <f t="shared" si="108"/>
        <v>10152</v>
      </c>
      <c r="E217" s="270">
        <f t="shared" si="108"/>
        <v>11871</v>
      </c>
      <c r="F217" s="270">
        <f t="shared" si="108"/>
        <v>13827</v>
      </c>
      <c r="G217" s="270">
        <f t="shared" si="108"/>
        <v>15760</v>
      </c>
      <c r="H217" s="270">
        <f t="shared" si="108"/>
        <v>16840</v>
      </c>
      <c r="I217" s="270">
        <f t="shared" si="108"/>
        <v>18665</v>
      </c>
      <c r="J217" s="270">
        <f t="shared" si="108"/>
        <v>10790</v>
      </c>
      <c r="K217" s="270">
        <f t="shared" si="108"/>
        <v>11933</v>
      </c>
      <c r="L217" s="270">
        <f t="shared" si="108"/>
        <v>14394</v>
      </c>
      <c r="M217" s="270">
        <f t="shared" si="108"/>
        <v>18047</v>
      </c>
      <c r="N217" s="270">
        <f t="shared" si="108"/>
        <v>20843</v>
      </c>
      <c r="O217" s="270">
        <f t="shared" si="108"/>
        <v>20843</v>
      </c>
      <c r="P217" s="270">
        <f t="shared" si="108"/>
        <v>20843</v>
      </c>
      <c r="Q217" s="270">
        <f t="shared" si="108"/>
        <v>20843</v>
      </c>
      <c r="R217" s="270">
        <f t="shared" si="108"/>
        <v>20843</v>
      </c>
      <c r="S217" s="270">
        <f t="shared" si="109"/>
        <v>20843</v>
      </c>
      <c r="T217" s="270">
        <f t="shared" si="109"/>
        <v>20843</v>
      </c>
      <c r="U217" s="270">
        <f t="shared" si="109"/>
        <v>20843</v>
      </c>
      <c r="V217" s="270">
        <f t="shared" si="109"/>
        <v>20843</v>
      </c>
      <c r="W217" s="270">
        <f t="shared" si="109"/>
        <v>20843</v>
      </c>
      <c r="X217" s="270">
        <f t="shared" si="109"/>
        <v>20843</v>
      </c>
      <c r="Y217" s="270">
        <f t="shared" si="109"/>
        <v>20843</v>
      </c>
      <c r="Z217" s="270">
        <f t="shared" si="109"/>
        <v>20843</v>
      </c>
      <c r="AA217" s="270">
        <f t="shared" si="109"/>
        <v>20843</v>
      </c>
      <c r="AB217" s="270">
        <f t="shared" si="109"/>
        <v>20843</v>
      </c>
      <c r="AC217" s="270">
        <f t="shared" si="109"/>
        <v>20843</v>
      </c>
      <c r="AD217" s="270">
        <f t="shared" si="107"/>
        <v>20843</v>
      </c>
      <c r="AE217" s="270">
        <f t="shared" si="107"/>
        <v>20843</v>
      </c>
      <c r="AF217" s="270">
        <f t="shared" si="107"/>
        <v>20843</v>
      </c>
      <c r="AG217" s="270">
        <f t="shared" si="107"/>
        <v>20843</v>
      </c>
      <c r="AH217" s="270">
        <f t="shared" si="107"/>
        <v>20843</v>
      </c>
      <c r="AI217" s="270">
        <f t="shared" ref="AF217:AM245" si="110">+MIN(MAX(0,$C217-AI$11),AI$12-AI$11)*AI$17
+MIN(MAX(0,$C217-AI$12),AI$13-AI$12)*AI$18
+MIN(MAX(0,$C217-AI$13),AI$14-AI$13)*AI$19
+MIN(MAX(0,$C217-AI$14),AI$15-AI$14)*AI$20
+MAX(0,$C217-AI$15)*AI$21
+AI$26</f>
        <v>20843</v>
      </c>
      <c r="AJ217" s="270">
        <f t="shared" si="110"/>
        <v>20843</v>
      </c>
      <c r="AK217" s="270">
        <f t="shared" si="110"/>
        <v>20843</v>
      </c>
      <c r="AL217" s="270">
        <f t="shared" si="110"/>
        <v>20843</v>
      </c>
      <c r="AM217" s="270">
        <f t="shared" si="110"/>
        <v>20843</v>
      </c>
    </row>
    <row r="218" spans="2:39" ht="15.75" thickBot="1" x14ac:dyDescent="0.35">
      <c r="B218" s="56" t="str">
        <f>input_names!$B$3</f>
        <v>benzine</v>
      </c>
      <c r="C218" s="61">
        <v>170</v>
      </c>
      <c r="D218" s="270">
        <f t="shared" si="108"/>
        <v>10369</v>
      </c>
      <c r="E218" s="270">
        <f t="shared" si="108"/>
        <v>12109</v>
      </c>
      <c r="F218" s="270">
        <f t="shared" si="108"/>
        <v>14299</v>
      </c>
      <c r="G218" s="270">
        <f t="shared" si="108"/>
        <v>16215</v>
      </c>
      <c r="H218" s="270">
        <f t="shared" si="108"/>
        <v>17268</v>
      </c>
      <c r="I218" s="270">
        <f t="shared" si="108"/>
        <v>19083</v>
      </c>
      <c r="J218" s="270">
        <f t="shared" si="108"/>
        <v>11006</v>
      </c>
      <c r="K218" s="270">
        <f t="shared" si="108"/>
        <v>12381</v>
      </c>
      <c r="L218" s="270">
        <f t="shared" si="108"/>
        <v>14842</v>
      </c>
      <c r="M218" s="270">
        <f t="shared" si="108"/>
        <v>18596</v>
      </c>
      <c r="N218" s="270">
        <f t="shared" si="108"/>
        <v>21411</v>
      </c>
      <c r="O218" s="270">
        <f t="shared" si="108"/>
        <v>21411</v>
      </c>
      <c r="P218" s="270">
        <f t="shared" si="108"/>
        <v>21411</v>
      </c>
      <c r="Q218" s="270">
        <f t="shared" si="108"/>
        <v>21411</v>
      </c>
      <c r="R218" s="270">
        <f t="shared" si="108"/>
        <v>21411</v>
      </c>
      <c r="S218" s="270">
        <f t="shared" si="109"/>
        <v>21411</v>
      </c>
      <c r="T218" s="270">
        <f t="shared" si="109"/>
        <v>21411</v>
      </c>
      <c r="U218" s="270">
        <f t="shared" si="109"/>
        <v>21411</v>
      </c>
      <c r="V218" s="270">
        <f t="shared" si="109"/>
        <v>21411</v>
      </c>
      <c r="W218" s="270">
        <f t="shared" si="109"/>
        <v>21411</v>
      </c>
      <c r="X218" s="270">
        <f t="shared" si="109"/>
        <v>21411</v>
      </c>
      <c r="Y218" s="270">
        <f t="shared" si="109"/>
        <v>21411</v>
      </c>
      <c r="Z218" s="270">
        <f t="shared" si="109"/>
        <v>21411</v>
      </c>
      <c r="AA218" s="270">
        <f t="shared" si="109"/>
        <v>21411</v>
      </c>
      <c r="AB218" s="270">
        <f t="shared" si="109"/>
        <v>21411</v>
      </c>
      <c r="AC218" s="270">
        <f t="shared" si="109"/>
        <v>21411</v>
      </c>
      <c r="AD218" s="270">
        <f t="shared" si="108"/>
        <v>21411</v>
      </c>
      <c r="AE218" s="270">
        <f t="shared" ref="AE218:AE259" si="111">+MIN(MAX(0,$C218-AE$11),AE$12-AE$11)*AE$17
+MIN(MAX(0,$C218-AE$12),AE$13-AE$12)*AE$18
+MIN(MAX(0,$C218-AE$13),AE$14-AE$13)*AE$19
+MIN(MAX(0,$C218-AE$14),AE$15-AE$14)*AE$20
+MAX(0,$C218-AE$15)*AE$21
+AE$26</f>
        <v>21411</v>
      </c>
      <c r="AF218" s="270">
        <f t="shared" si="110"/>
        <v>21411</v>
      </c>
      <c r="AG218" s="270">
        <f t="shared" si="110"/>
        <v>21411</v>
      </c>
      <c r="AH218" s="270">
        <f t="shared" si="110"/>
        <v>21411</v>
      </c>
      <c r="AI218" s="270">
        <f t="shared" si="110"/>
        <v>21411</v>
      </c>
      <c r="AJ218" s="270">
        <f t="shared" si="110"/>
        <v>21411</v>
      </c>
      <c r="AK218" s="270">
        <f t="shared" si="110"/>
        <v>21411</v>
      </c>
      <c r="AL218" s="270">
        <f t="shared" si="110"/>
        <v>21411</v>
      </c>
      <c r="AM218" s="270">
        <f t="shared" si="110"/>
        <v>21411</v>
      </c>
    </row>
    <row r="219" spans="2:39" ht="15.75" thickBot="1" x14ac:dyDescent="0.35">
      <c r="B219" s="56" t="str">
        <f>input_names!$B$3</f>
        <v>benzine</v>
      </c>
      <c r="C219" s="61">
        <v>171</v>
      </c>
      <c r="D219" s="270">
        <f t="shared" si="108"/>
        <v>10586</v>
      </c>
      <c r="E219" s="270">
        <f t="shared" si="108"/>
        <v>12347</v>
      </c>
      <c r="F219" s="270">
        <f t="shared" si="108"/>
        <v>14771</v>
      </c>
      <c r="G219" s="270">
        <f t="shared" si="108"/>
        <v>16670</v>
      </c>
      <c r="H219" s="270">
        <f t="shared" si="108"/>
        <v>17696</v>
      </c>
      <c r="I219" s="270">
        <f t="shared" si="108"/>
        <v>19501</v>
      </c>
      <c r="J219" s="270">
        <f t="shared" si="108"/>
        <v>11222</v>
      </c>
      <c r="K219" s="270">
        <f t="shared" si="108"/>
        <v>12829</v>
      </c>
      <c r="L219" s="270">
        <f t="shared" si="108"/>
        <v>15290</v>
      </c>
      <c r="M219" s="270">
        <f t="shared" si="108"/>
        <v>19145</v>
      </c>
      <c r="N219" s="270">
        <f t="shared" si="108"/>
        <v>21979</v>
      </c>
      <c r="O219" s="270">
        <f t="shared" si="108"/>
        <v>21979</v>
      </c>
      <c r="P219" s="270">
        <f t="shared" si="108"/>
        <v>21979</v>
      </c>
      <c r="Q219" s="270">
        <f t="shared" si="108"/>
        <v>21979</v>
      </c>
      <c r="R219" s="270">
        <f t="shared" si="108"/>
        <v>21979</v>
      </c>
      <c r="S219" s="270">
        <f t="shared" si="109"/>
        <v>21979</v>
      </c>
      <c r="T219" s="270">
        <f t="shared" si="109"/>
        <v>21979</v>
      </c>
      <c r="U219" s="270">
        <f t="shared" si="109"/>
        <v>21979</v>
      </c>
      <c r="V219" s="270">
        <f t="shared" si="109"/>
        <v>21979</v>
      </c>
      <c r="W219" s="270">
        <f t="shared" si="109"/>
        <v>21979</v>
      </c>
      <c r="X219" s="270">
        <f t="shared" si="109"/>
        <v>21979</v>
      </c>
      <c r="Y219" s="270">
        <f t="shared" si="109"/>
        <v>21979</v>
      </c>
      <c r="Z219" s="270">
        <f t="shared" si="109"/>
        <v>21979</v>
      </c>
      <c r="AA219" s="270">
        <f t="shared" si="109"/>
        <v>21979</v>
      </c>
      <c r="AB219" s="270">
        <f t="shared" si="109"/>
        <v>21979</v>
      </c>
      <c r="AC219" s="270">
        <f t="shared" si="109"/>
        <v>21979</v>
      </c>
      <c r="AD219" s="270">
        <f t="shared" si="108"/>
        <v>21979</v>
      </c>
      <c r="AE219" s="270">
        <f t="shared" si="111"/>
        <v>21979</v>
      </c>
      <c r="AF219" s="270">
        <f t="shared" si="110"/>
        <v>21979</v>
      </c>
      <c r="AG219" s="270">
        <f t="shared" si="110"/>
        <v>21979</v>
      </c>
      <c r="AH219" s="270">
        <f t="shared" si="110"/>
        <v>21979</v>
      </c>
      <c r="AI219" s="270">
        <f t="shared" si="110"/>
        <v>21979</v>
      </c>
      <c r="AJ219" s="270">
        <f t="shared" si="110"/>
        <v>21979</v>
      </c>
      <c r="AK219" s="270">
        <f t="shared" si="110"/>
        <v>21979</v>
      </c>
      <c r="AL219" s="270">
        <f t="shared" si="110"/>
        <v>21979</v>
      </c>
      <c r="AM219" s="270">
        <f t="shared" si="110"/>
        <v>21979</v>
      </c>
    </row>
    <row r="220" spans="2:39" ht="15.75" thickBot="1" x14ac:dyDescent="0.35">
      <c r="B220" s="56" t="str">
        <f>input_names!$B$3</f>
        <v>benzine</v>
      </c>
      <c r="C220" s="61">
        <v>172</v>
      </c>
      <c r="D220" s="270">
        <f t="shared" si="108"/>
        <v>10803</v>
      </c>
      <c r="E220" s="270">
        <f t="shared" si="108"/>
        <v>12585</v>
      </c>
      <c r="F220" s="270">
        <f t="shared" si="108"/>
        <v>15243</v>
      </c>
      <c r="G220" s="270">
        <f t="shared" si="108"/>
        <v>17125</v>
      </c>
      <c r="H220" s="270">
        <f t="shared" si="108"/>
        <v>18124</v>
      </c>
      <c r="I220" s="270">
        <f t="shared" si="108"/>
        <v>19919</v>
      </c>
      <c r="J220" s="270">
        <f t="shared" si="108"/>
        <v>11438</v>
      </c>
      <c r="K220" s="270">
        <f t="shared" si="108"/>
        <v>13277</v>
      </c>
      <c r="L220" s="270">
        <f t="shared" si="108"/>
        <v>15738</v>
      </c>
      <c r="M220" s="270">
        <f t="shared" si="108"/>
        <v>19694</v>
      </c>
      <c r="N220" s="270">
        <f t="shared" si="108"/>
        <v>22547</v>
      </c>
      <c r="O220" s="270">
        <f t="shared" si="108"/>
        <v>22547</v>
      </c>
      <c r="P220" s="270">
        <f t="shared" si="108"/>
        <v>22547</v>
      </c>
      <c r="Q220" s="270">
        <f t="shared" si="108"/>
        <v>22547</v>
      </c>
      <c r="R220" s="270">
        <f t="shared" si="108"/>
        <v>22547</v>
      </c>
      <c r="S220" s="270">
        <f t="shared" si="109"/>
        <v>22547</v>
      </c>
      <c r="T220" s="270">
        <f t="shared" si="109"/>
        <v>22547</v>
      </c>
      <c r="U220" s="270">
        <f t="shared" si="109"/>
        <v>22547</v>
      </c>
      <c r="V220" s="270">
        <f t="shared" si="109"/>
        <v>22547</v>
      </c>
      <c r="W220" s="270">
        <f t="shared" si="109"/>
        <v>22547</v>
      </c>
      <c r="X220" s="270">
        <f t="shared" si="109"/>
        <v>22547</v>
      </c>
      <c r="Y220" s="270">
        <f t="shared" si="109"/>
        <v>22547</v>
      </c>
      <c r="Z220" s="270">
        <f t="shared" si="109"/>
        <v>22547</v>
      </c>
      <c r="AA220" s="270">
        <f t="shared" si="109"/>
        <v>22547</v>
      </c>
      <c r="AB220" s="270">
        <f t="shared" si="109"/>
        <v>22547</v>
      </c>
      <c r="AC220" s="270">
        <f t="shared" si="109"/>
        <v>22547</v>
      </c>
      <c r="AD220" s="270">
        <f t="shared" si="108"/>
        <v>22547</v>
      </c>
      <c r="AE220" s="270">
        <f t="shared" si="111"/>
        <v>22547</v>
      </c>
      <c r="AF220" s="270">
        <f t="shared" si="110"/>
        <v>22547</v>
      </c>
      <c r="AG220" s="270">
        <f t="shared" si="110"/>
        <v>22547</v>
      </c>
      <c r="AH220" s="270">
        <f t="shared" si="110"/>
        <v>22547</v>
      </c>
      <c r="AI220" s="270">
        <f t="shared" si="110"/>
        <v>22547</v>
      </c>
      <c r="AJ220" s="270">
        <f t="shared" si="110"/>
        <v>22547</v>
      </c>
      <c r="AK220" s="270">
        <f t="shared" si="110"/>
        <v>22547</v>
      </c>
      <c r="AL220" s="270">
        <f t="shared" si="110"/>
        <v>22547</v>
      </c>
      <c r="AM220" s="270">
        <f t="shared" si="110"/>
        <v>22547</v>
      </c>
    </row>
    <row r="221" spans="2:39" ht="15.75" thickBot="1" x14ac:dyDescent="0.35">
      <c r="B221" s="56" t="str">
        <f>input_names!$B$3</f>
        <v>benzine</v>
      </c>
      <c r="C221" s="61">
        <v>173</v>
      </c>
      <c r="D221" s="270">
        <f t="shared" si="108"/>
        <v>11020</v>
      </c>
      <c r="E221" s="270">
        <f t="shared" si="108"/>
        <v>12823</v>
      </c>
      <c r="F221" s="270">
        <f t="shared" si="108"/>
        <v>15715</v>
      </c>
      <c r="G221" s="270">
        <f t="shared" si="108"/>
        <v>17580</v>
      </c>
      <c r="H221" s="270">
        <f t="shared" si="108"/>
        <v>18552</v>
      </c>
      <c r="I221" s="270">
        <f t="shared" si="108"/>
        <v>20337</v>
      </c>
      <c r="J221" s="270">
        <f t="shared" si="108"/>
        <v>11870</v>
      </c>
      <c r="K221" s="270">
        <f t="shared" si="108"/>
        <v>13725</v>
      </c>
      <c r="L221" s="270">
        <f t="shared" si="108"/>
        <v>16186</v>
      </c>
      <c r="M221" s="270">
        <f t="shared" si="108"/>
        <v>20243</v>
      </c>
      <c r="N221" s="270">
        <f t="shared" si="108"/>
        <v>23115</v>
      </c>
      <c r="O221" s="270">
        <f t="shared" si="108"/>
        <v>23115</v>
      </c>
      <c r="P221" s="270">
        <f t="shared" si="108"/>
        <v>23115</v>
      </c>
      <c r="Q221" s="270">
        <f t="shared" si="108"/>
        <v>23115</v>
      </c>
      <c r="R221" s="270">
        <f t="shared" si="108"/>
        <v>23115</v>
      </c>
      <c r="S221" s="270">
        <f t="shared" si="109"/>
        <v>23115</v>
      </c>
      <c r="T221" s="270">
        <f t="shared" si="109"/>
        <v>23115</v>
      </c>
      <c r="U221" s="270">
        <f t="shared" si="109"/>
        <v>23115</v>
      </c>
      <c r="V221" s="270">
        <f t="shared" si="109"/>
        <v>23115</v>
      </c>
      <c r="W221" s="270">
        <f t="shared" si="109"/>
        <v>23115</v>
      </c>
      <c r="X221" s="270">
        <f t="shared" si="109"/>
        <v>23115</v>
      </c>
      <c r="Y221" s="270">
        <f t="shared" si="109"/>
        <v>23115</v>
      </c>
      <c r="Z221" s="270">
        <f t="shared" si="109"/>
        <v>23115</v>
      </c>
      <c r="AA221" s="270">
        <f t="shared" si="109"/>
        <v>23115</v>
      </c>
      <c r="AB221" s="270">
        <f t="shared" si="109"/>
        <v>23115</v>
      </c>
      <c r="AC221" s="270">
        <f t="shared" si="109"/>
        <v>23115</v>
      </c>
      <c r="AD221" s="270">
        <f t="shared" si="108"/>
        <v>23115</v>
      </c>
      <c r="AE221" s="270">
        <f t="shared" si="111"/>
        <v>23115</v>
      </c>
      <c r="AF221" s="270">
        <f t="shared" si="110"/>
        <v>23115</v>
      </c>
      <c r="AG221" s="270">
        <f t="shared" si="110"/>
        <v>23115</v>
      </c>
      <c r="AH221" s="270">
        <f t="shared" si="110"/>
        <v>23115</v>
      </c>
      <c r="AI221" s="270">
        <f t="shared" si="110"/>
        <v>23115</v>
      </c>
      <c r="AJ221" s="270">
        <f t="shared" si="110"/>
        <v>23115</v>
      </c>
      <c r="AK221" s="270">
        <f t="shared" si="110"/>
        <v>23115</v>
      </c>
      <c r="AL221" s="270">
        <f t="shared" si="110"/>
        <v>23115</v>
      </c>
      <c r="AM221" s="270">
        <f t="shared" si="110"/>
        <v>23115</v>
      </c>
    </row>
    <row r="222" spans="2:39" ht="15.75" thickBot="1" x14ac:dyDescent="0.35">
      <c r="B222" s="56" t="str">
        <f>input_names!$B$3</f>
        <v>benzine</v>
      </c>
      <c r="C222" s="61">
        <v>174</v>
      </c>
      <c r="D222" s="270">
        <f t="shared" si="108"/>
        <v>11237</v>
      </c>
      <c r="E222" s="270">
        <f t="shared" si="108"/>
        <v>13061</v>
      </c>
      <c r="F222" s="270">
        <f t="shared" si="108"/>
        <v>16187</v>
      </c>
      <c r="G222" s="270">
        <f t="shared" si="108"/>
        <v>18035</v>
      </c>
      <c r="H222" s="270">
        <f t="shared" si="108"/>
        <v>18980</v>
      </c>
      <c r="I222" s="270">
        <f t="shared" si="108"/>
        <v>20755</v>
      </c>
      <c r="J222" s="270">
        <f t="shared" si="108"/>
        <v>12302</v>
      </c>
      <c r="K222" s="270">
        <f t="shared" si="108"/>
        <v>14173</v>
      </c>
      <c r="L222" s="270">
        <f t="shared" si="108"/>
        <v>16634</v>
      </c>
      <c r="M222" s="270">
        <f t="shared" si="108"/>
        <v>20792</v>
      </c>
      <c r="N222" s="270">
        <f t="shared" si="108"/>
        <v>23683</v>
      </c>
      <c r="O222" s="270">
        <f t="shared" si="108"/>
        <v>23683</v>
      </c>
      <c r="P222" s="270">
        <f t="shared" si="108"/>
        <v>23683</v>
      </c>
      <c r="Q222" s="270">
        <f t="shared" si="108"/>
        <v>23683</v>
      </c>
      <c r="R222" s="270">
        <f t="shared" si="108"/>
        <v>23683</v>
      </c>
      <c r="S222" s="270">
        <f t="shared" si="109"/>
        <v>23683</v>
      </c>
      <c r="T222" s="270">
        <f t="shared" si="109"/>
        <v>23683</v>
      </c>
      <c r="U222" s="270">
        <f t="shared" si="109"/>
        <v>23683</v>
      </c>
      <c r="V222" s="270">
        <f t="shared" si="109"/>
        <v>23683</v>
      </c>
      <c r="W222" s="270">
        <f t="shared" si="109"/>
        <v>23683</v>
      </c>
      <c r="X222" s="270">
        <f t="shared" si="109"/>
        <v>23683</v>
      </c>
      <c r="Y222" s="270">
        <f t="shared" si="109"/>
        <v>23683</v>
      </c>
      <c r="Z222" s="270">
        <f t="shared" si="109"/>
        <v>23683</v>
      </c>
      <c r="AA222" s="270">
        <f t="shared" si="109"/>
        <v>23683</v>
      </c>
      <c r="AB222" s="270">
        <f t="shared" si="109"/>
        <v>23683</v>
      </c>
      <c r="AC222" s="270">
        <f t="shared" si="109"/>
        <v>23683</v>
      </c>
      <c r="AD222" s="270">
        <f t="shared" si="108"/>
        <v>23683</v>
      </c>
      <c r="AE222" s="270">
        <f t="shared" si="111"/>
        <v>23683</v>
      </c>
      <c r="AF222" s="270">
        <f t="shared" si="110"/>
        <v>23683</v>
      </c>
      <c r="AG222" s="270">
        <f t="shared" si="110"/>
        <v>23683</v>
      </c>
      <c r="AH222" s="270">
        <f t="shared" si="110"/>
        <v>23683</v>
      </c>
      <c r="AI222" s="270">
        <f t="shared" si="110"/>
        <v>23683</v>
      </c>
      <c r="AJ222" s="270">
        <f t="shared" si="110"/>
        <v>23683</v>
      </c>
      <c r="AK222" s="270">
        <f t="shared" si="110"/>
        <v>23683</v>
      </c>
      <c r="AL222" s="270">
        <f t="shared" si="110"/>
        <v>23683</v>
      </c>
      <c r="AM222" s="270">
        <f t="shared" si="110"/>
        <v>23683</v>
      </c>
    </row>
    <row r="223" spans="2:39" ht="15.75" thickBot="1" x14ac:dyDescent="0.35">
      <c r="B223" s="56" t="str">
        <f>input_names!$B$3</f>
        <v>benzine</v>
      </c>
      <c r="C223" s="61">
        <v>175</v>
      </c>
      <c r="D223" s="270">
        <f t="shared" si="108"/>
        <v>11454</v>
      </c>
      <c r="E223" s="270">
        <f t="shared" si="108"/>
        <v>13537</v>
      </c>
      <c r="F223" s="270">
        <f t="shared" si="108"/>
        <v>16659</v>
      </c>
      <c r="G223" s="270">
        <f t="shared" si="108"/>
        <v>18490</v>
      </c>
      <c r="H223" s="270">
        <f t="shared" si="108"/>
        <v>19408</v>
      </c>
      <c r="I223" s="270">
        <f t="shared" si="108"/>
        <v>21173</v>
      </c>
      <c r="J223" s="270">
        <f t="shared" si="108"/>
        <v>12734</v>
      </c>
      <c r="K223" s="270">
        <f t="shared" si="108"/>
        <v>14621</v>
      </c>
      <c r="L223" s="270">
        <f t="shared" si="108"/>
        <v>17082</v>
      </c>
      <c r="M223" s="270">
        <f t="shared" si="108"/>
        <v>21341</v>
      </c>
      <c r="N223" s="270">
        <f t="shared" si="108"/>
        <v>24251</v>
      </c>
      <c r="O223" s="270">
        <f t="shared" si="108"/>
        <v>24251</v>
      </c>
      <c r="P223" s="270">
        <f t="shared" si="108"/>
        <v>24251</v>
      </c>
      <c r="Q223" s="270">
        <f t="shared" si="108"/>
        <v>24251</v>
      </c>
      <c r="R223" s="270">
        <f t="shared" si="108"/>
        <v>24251</v>
      </c>
      <c r="S223" s="270">
        <f t="shared" si="109"/>
        <v>24251</v>
      </c>
      <c r="T223" s="270">
        <f t="shared" si="109"/>
        <v>24251</v>
      </c>
      <c r="U223" s="270">
        <f t="shared" si="109"/>
        <v>24251</v>
      </c>
      <c r="V223" s="270">
        <f t="shared" si="109"/>
        <v>24251</v>
      </c>
      <c r="W223" s="270">
        <f t="shared" si="109"/>
        <v>24251</v>
      </c>
      <c r="X223" s="270">
        <f t="shared" si="109"/>
        <v>24251</v>
      </c>
      <c r="Y223" s="270">
        <f t="shared" si="109"/>
        <v>24251</v>
      </c>
      <c r="Z223" s="270">
        <f t="shared" si="109"/>
        <v>24251</v>
      </c>
      <c r="AA223" s="270">
        <f t="shared" si="109"/>
        <v>24251</v>
      </c>
      <c r="AB223" s="270">
        <f t="shared" si="109"/>
        <v>24251</v>
      </c>
      <c r="AC223" s="270">
        <f t="shared" si="109"/>
        <v>24251</v>
      </c>
      <c r="AD223" s="270">
        <f t="shared" si="108"/>
        <v>24251</v>
      </c>
      <c r="AE223" s="270">
        <f t="shared" si="111"/>
        <v>24251</v>
      </c>
      <c r="AF223" s="270">
        <f t="shared" si="110"/>
        <v>24251</v>
      </c>
      <c r="AG223" s="270">
        <f t="shared" si="110"/>
        <v>24251</v>
      </c>
      <c r="AH223" s="270">
        <f t="shared" si="110"/>
        <v>24251</v>
      </c>
      <c r="AI223" s="270">
        <f t="shared" si="110"/>
        <v>24251</v>
      </c>
      <c r="AJ223" s="270">
        <f t="shared" si="110"/>
        <v>24251</v>
      </c>
      <c r="AK223" s="270">
        <f t="shared" si="110"/>
        <v>24251</v>
      </c>
      <c r="AL223" s="270">
        <f t="shared" si="110"/>
        <v>24251</v>
      </c>
      <c r="AM223" s="270">
        <f t="shared" si="110"/>
        <v>24251</v>
      </c>
    </row>
    <row r="224" spans="2:39" ht="15.75" thickBot="1" x14ac:dyDescent="0.35">
      <c r="B224" s="56" t="str">
        <f>input_names!$B$3</f>
        <v>benzine</v>
      </c>
      <c r="C224" s="61">
        <v>176</v>
      </c>
      <c r="D224" s="270">
        <f t="shared" ref="D224:AD239" si="112">+MIN(MAX(0,$C224-D$11),D$12-D$11)*D$17
+MIN(MAX(0,$C224-D$12),D$13-D$12)*D$18
+MIN(MAX(0,$C224-D$13),D$14-D$13)*D$19
+MIN(MAX(0,$C224-D$14),D$15-D$14)*D$20
+MAX(0,$C224-D$15)*D$21
+D$26</f>
        <v>11671</v>
      </c>
      <c r="E224" s="270">
        <f t="shared" si="112"/>
        <v>14013</v>
      </c>
      <c r="F224" s="270">
        <f t="shared" si="112"/>
        <v>17131</v>
      </c>
      <c r="G224" s="270">
        <f t="shared" si="112"/>
        <v>18945</v>
      </c>
      <c r="H224" s="270">
        <f t="shared" si="112"/>
        <v>19836</v>
      </c>
      <c r="I224" s="270">
        <f t="shared" si="112"/>
        <v>21591</v>
      </c>
      <c r="J224" s="270">
        <f t="shared" si="112"/>
        <v>13166</v>
      </c>
      <c r="K224" s="270">
        <f t="shared" si="112"/>
        <v>15069</v>
      </c>
      <c r="L224" s="270">
        <f t="shared" si="112"/>
        <v>17530</v>
      </c>
      <c r="M224" s="270">
        <f t="shared" si="112"/>
        <v>21890</v>
      </c>
      <c r="N224" s="270">
        <f t="shared" si="112"/>
        <v>24819</v>
      </c>
      <c r="O224" s="270">
        <f t="shared" si="112"/>
        <v>24819</v>
      </c>
      <c r="P224" s="270">
        <f t="shared" si="112"/>
        <v>24819</v>
      </c>
      <c r="Q224" s="270">
        <f t="shared" si="112"/>
        <v>24819</v>
      </c>
      <c r="R224" s="270">
        <f t="shared" si="112"/>
        <v>24819</v>
      </c>
      <c r="S224" s="270">
        <f t="shared" si="109"/>
        <v>24819</v>
      </c>
      <c r="T224" s="270">
        <f t="shared" si="109"/>
        <v>24819</v>
      </c>
      <c r="U224" s="270">
        <f t="shared" si="109"/>
        <v>24819</v>
      </c>
      <c r="V224" s="270">
        <f t="shared" si="109"/>
        <v>24819</v>
      </c>
      <c r="W224" s="270">
        <f t="shared" si="109"/>
        <v>24819</v>
      </c>
      <c r="X224" s="270">
        <f t="shared" si="109"/>
        <v>24819</v>
      </c>
      <c r="Y224" s="270">
        <f t="shared" si="109"/>
        <v>24819</v>
      </c>
      <c r="Z224" s="270">
        <f t="shared" si="109"/>
        <v>24819</v>
      </c>
      <c r="AA224" s="270">
        <f t="shared" si="109"/>
        <v>24819</v>
      </c>
      <c r="AB224" s="270">
        <f t="shared" si="109"/>
        <v>24819</v>
      </c>
      <c r="AC224" s="270">
        <f t="shared" si="109"/>
        <v>24819</v>
      </c>
      <c r="AD224" s="270">
        <f t="shared" si="112"/>
        <v>24819</v>
      </c>
      <c r="AE224" s="270">
        <f t="shared" si="111"/>
        <v>24819</v>
      </c>
      <c r="AF224" s="270">
        <f t="shared" si="110"/>
        <v>24819</v>
      </c>
      <c r="AG224" s="270">
        <f t="shared" si="110"/>
        <v>24819</v>
      </c>
      <c r="AH224" s="270">
        <f t="shared" si="110"/>
        <v>24819</v>
      </c>
      <c r="AI224" s="270">
        <f t="shared" si="110"/>
        <v>24819</v>
      </c>
      <c r="AJ224" s="270">
        <f t="shared" si="110"/>
        <v>24819</v>
      </c>
      <c r="AK224" s="270">
        <f t="shared" si="110"/>
        <v>24819</v>
      </c>
      <c r="AL224" s="270">
        <f t="shared" si="110"/>
        <v>24819</v>
      </c>
      <c r="AM224" s="270">
        <f t="shared" si="110"/>
        <v>24819</v>
      </c>
    </row>
    <row r="225" spans="2:39" ht="15.75" thickBot="1" x14ac:dyDescent="0.35">
      <c r="B225" s="56" t="str">
        <f>input_names!$B$3</f>
        <v>benzine</v>
      </c>
      <c r="C225" s="61">
        <v>177</v>
      </c>
      <c r="D225" s="270">
        <f t="shared" si="112"/>
        <v>11888</v>
      </c>
      <c r="E225" s="270">
        <f t="shared" si="112"/>
        <v>14489</v>
      </c>
      <c r="F225" s="270">
        <f t="shared" si="112"/>
        <v>17603</v>
      </c>
      <c r="G225" s="270">
        <f t="shared" si="112"/>
        <v>19400</v>
      </c>
      <c r="H225" s="270">
        <f t="shared" si="112"/>
        <v>20264</v>
      </c>
      <c r="I225" s="270">
        <f t="shared" si="112"/>
        <v>22009</v>
      </c>
      <c r="J225" s="270">
        <f t="shared" si="112"/>
        <v>13598</v>
      </c>
      <c r="K225" s="270">
        <f t="shared" si="112"/>
        <v>15517</v>
      </c>
      <c r="L225" s="270">
        <f t="shared" si="112"/>
        <v>17978</v>
      </c>
      <c r="M225" s="270">
        <f t="shared" si="112"/>
        <v>22439</v>
      </c>
      <c r="N225" s="270">
        <f t="shared" si="112"/>
        <v>25387</v>
      </c>
      <c r="O225" s="270">
        <f t="shared" si="112"/>
        <v>25387</v>
      </c>
      <c r="P225" s="270">
        <f t="shared" si="112"/>
        <v>25387</v>
      </c>
      <c r="Q225" s="270">
        <f t="shared" si="112"/>
        <v>25387</v>
      </c>
      <c r="R225" s="270">
        <f t="shared" si="112"/>
        <v>25387</v>
      </c>
      <c r="S225" s="270">
        <f t="shared" si="109"/>
        <v>25387</v>
      </c>
      <c r="T225" s="270">
        <f t="shared" si="109"/>
        <v>25387</v>
      </c>
      <c r="U225" s="270">
        <f t="shared" si="109"/>
        <v>25387</v>
      </c>
      <c r="V225" s="270">
        <f t="shared" si="109"/>
        <v>25387</v>
      </c>
      <c r="W225" s="270">
        <f t="shared" si="109"/>
        <v>25387</v>
      </c>
      <c r="X225" s="270">
        <f t="shared" si="109"/>
        <v>25387</v>
      </c>
      <c r="Y225" s="270">
        <f t="shared" si="109"/>
        <v>25387</v>
      </c>
      <c r="Z225" s="270">
        <f t="shared" si="109"/>
        <v>25387</v>
      </c>
      <c r="AA225" s="270">
        <f t="shared" si="109"/>
        <v>25387</v>
      </c>
      <c r="AB225" s="270">
        <f t="shared" si="109"/>
        <v>25387</v>
      </c>
      <c r="AC225" s="270">
        <f t="shared" si="109"/>
        <v>25387</v>
      </c>
      <c r="AD225" s="270">
        <f t="shared" si="112"/>
        <v>25387</v>
      </c>
      <c r="AE225" s="270">
        <f t="shared" si="111"/>
        <v>25387</v>
      </c>
      <c r="AF225" s="270">
        <f t="shared" si="110"/>
        <v>25387</v>
      </c>
      <c r="AG225" s="270">
        <f t="shared" si="110"/>
        <v>25387</v>
      </c>
      <c r="AH225" s="270">
        <f t="shared" si="110"/>
        <v>25387</v>
      </c>
      <c r="AI225" s="270">
        <f t="shared" si="110"/>
        <v>25387</v>
      </c>
      <c r="AJ225" s="270">
        <f t="shared" si="110"/>
        <v>25387</v>
      </c>
      <c r="AK225" s="270">
        <f t="shared" si="110"/>
        <v>25387</v>
      </c>
      <c r="AL225" s="270">
        <f t="shared" si="110"/>
        <v>25387</v>
      </c>
      <c r="AM225" s="270">
        <f t="shared" si="110"/>
        <v>25387</v>
      </c>
    </row>
    <row r="226" spans="2:39" ht="15.75" thickBot="1" x14ac:dyDescent="0.35">
      <c r="B226" s="56" t="str">
        <f>input_names!$B$3</f>
        <v>benzine</v>
      </c>
      <c r="C226" s="61">
        <v>178</v>
      </c>
      <c r="D226" s="270">
        <f t="shared" si="112"/>
        <v>12105</v>
      </c>
      <c r="E226" s="270">
        <f t="shared" si="112"/>
        <v>14965</v>
      </c>
      <c r="F226" s="270">
        <f t="shared" si="112"/>
        <v>18075</v>
      </c>
      <c r="G226" s="270">
        <f t="shared" si="112"/>
        <v>19855</v>
      </c>
      <c r="H226" s="270">
        <f t="shared" si="112"/>
        <v>20692</v>
      </c>
      <c r="I226" s="270">
        <f t="shared" si="112"/>
        <v>22427</v>
      </c>
      <c r="J226" s="270">
        <f t="shared" si="112"/>
        <v>14030</v>
      </c>
      <c r="K226" s="270">
        <f t="shared" si="112"/>
        <v>15965</v>
      </c>
      <c r="L226" s="270">
        <f t="shared" si="112"/>
        <v>18426</v>
      </c>
      <c r="M226" s="270">
        <f t="shared" si="112"/>
        <v>22988</v>
      </c>
      <c r="N226" s="270">
        <f t="shared" si="112"/>
        <v>25955</v>
      </c>
      <c r="O226" s="270">
        <f t="shared" si="112"/>
        <v>25955</v>
      </c>
      <c r="P226" s="270">
        <f t="shared" si="112"/>
        <v>25955</v>
      </c>
      <c r="Q226" s="270">
        <f t="shared" si="112"/>
        <v>25955</v>
      </c>
      <c r="R226" s="270">
        <f t="shared" si="112"/>
        <v>25955</v>
      </c>
      <c r="S226" s="270">
        <f t="shared" si="109"/>
        <v>25955</v>
      </c>
      <c r="T226" s="270">
        <f t="shared" si="109"/>
        <v>25955</v>
      </c>
      <c r="U226" s="270">
        <f t="shared" si="109"/>
        <v>25955</v>
      </c>
      <c r="V226" s="270">
        <f t="shared" si="109"/>
        <v>25955</v>
      </c>
      <c r="W226" s="270">
        <f t="shared" si="109"/>
        <v>25955</v>
      </c>
      <c r="X226" s="270">
        <f t="shared" si="109"/>
        <v>25955</v>
      </c>
      <c r="Y226" s="270">
        <f t="shared" si="109"/>
        <v>25955</v>
      </c>
      <c r="Z226" s="270">
        <f t="shared" si="109"/>
        <v>25955</v>
      </c>
      <c r="AA226" s="270">
        <f t="shared" si="109"/>
        <v>25955</v>
      </c>
      <c r="AB226" s="270">
        <f t="shared" si="109"/>
        <v>25955</v>
      </c>
      <c r="AC226" s="270">
        <f t="shared" si="109"/>
        <v>25955</v>
      </c>
      <c r="AD226" s="270">
        <f t="shared" si="112"/>
        <v>25955</v>
      </c>
      <c r="AE226" s="270">
        <f t="shared" si="111"/>
        <v>25955</v>
      </c>
      <c r="AF226" s="270">
        <f t="shared" si="110"/>
        <v>25955</v>
      </c>
      <c r="AG226" s="270">
        <f t="shared" si="110"/>
        <v>25955</v>
      </c>
      <c r="AH226" s="270">
        <f t="shared" si="110"/>
        <v>25955</v>
      </c>
      <c r="AI226" s="270">
        <f t="shared" si="110"/>
        <v>25955</v>
      </c>
      <c r="AJ226" s="270">
        <f t="shared" si="110"/>
        <v>25955</v>
      </c>
      <c r="AK226" s="270">
        <f t="shared" si="110"/>
        <v>25955</v>
      </c>
      <c r="AL226" s="270">
        <f t="shared" si="110"/>
        <v>25955</v>
      </c>
      <c r="AM226" s="270">
        <f t="shared" si="110"/>
        <v>25955</v>
      </c>
    </row>
    <row r="227" spans="2:39" ht="15.75" thickBot="1" x14ac:dyDescent="0.35">
      <c r="B227" s="56" t="str">
        <f>input_names!$B$3</f>
        <v>benzine</v>
      </c>
      <c r="C227" s="61">
        <v>179</v>
      </c>
      <c r="D227" s="270">
        <f t="shared" si="112"/>
        <v>12322</v>
      </c>
      <c r="E227" s="270">
        <f t="shared" si="112"/>
        <v>15441</v>
      </c>
      <c r="F227" s="270">
        <f t="shared" si="112"/>
        <v>18547</v>
      </c>
      <c r="G227" s="270">
        <f t="shared" si="112"/>
        <v>20310</v>
      </c>
      <c r="H227" s="270">
        <f t="shared" si="112"/>
        <v>21120</v>
      </c>
      <c r="I227" s="270">
        <f t="shared" si="112"/>
        <v>22845</v>
      </c>
      <c r="J227" s="270">
        <f t="shared" si="112"/>
        <v>14462</v>
      </c>
      <c r="K227" s="270">
        <f t="shared" si="112"/>
        <v>16413</v>
      </c>
      <c r="L227" s="270">
        <f t="shared" si="112"/>
        <v>18874</v>
      </c>
      <c r="M227" s="270">
        <f t="shared" si="112"/>
        <v>23537</v>
      </c>
      <c r="N227" s="270">
        <f t="shared" si="112"/>
        <v>26523</v>
      </c>
      <c r="O227" s="270">
        <f t="shared" si="112"/>
        <v>26523</v>
      </c>
      <c r="P227" s="270">
        <f t="shared" si="112"/>
        <v>26523</v>
      </c>
      <c r="Q227" s="270">
        <f t="shared" si="112"/>
        <v>26523</v>
      </c>
      <c r="R227" s="270">
        <f t="shared" si="112"/>
        <v>26523</v>
      </c>
      <c r="S227" s="270">
        <f t="shared" si="109"/>
        <v>26523</v>
      </c>
      <c r="T227" s="270">
        <f t="shared" si="109"/>
        <v>26523</v>
      </c>
      <c r="U227" s="270">
        <f t="shared" si="109"/>
        <v>26523</v>
      </c>
      <c r="V227" s="270">
        <f t="shared" si="109"/>
        <v>26523</v>
      </c>
      <c r="W227" s="270">
        <f t="shared" si="109"/>
        <v>26523</v>
      </c>
      <c r="X227" s="270">
        <f t="shared" si="109"/>
        <v>26523</v>
      </c>
      <c r="Y227" s="270">
        <f t="shared" si="109"/>
        <v>26523</v>
      </c>
      <c r="Z227" s="270">
        <f t="shared" si="109"/>
        <v>26523</v>
      </c>
      <c r="AA227" s="270">
        <f t="shared" si="109"/>
        <v>26523</v>
      </c>
      <c r="AB227" s="270">
        <f t="shared" si="109"/>
        <v>26523</v>
      </c>
      <c r="AC227" s="270">
        <f t="shared" si="109"/>
        <v>26523</v>
      </c>
      <c r="AD227" s="270">
        <f t="shared" si="112"/>
        <v>26523</v>
      </c>
      <c r="AE227" s="270">
        <f t="shared" si="111"/>
        <v>26523</v>
      </c>
      <c r="AF227" s="270">
        <f t="shared" si="110"/>
        <v>26523</v>
      </c>
      <c r="AG227" s="270">
        <f t="shared" si="110"/>
        <v>26523</v>
      </c>
      <c r="AH227" s="270">
        <f t="shared" si="110"/>
        <v>26523</v>
      </c>
      <c r="AI227" s="270">
        <f t="shared" si="110"/>
        <v>26523</v>
      </c>
      <c r="AJ227" s="270">
        <f t="shared" si="110"/>
        <v>26523</v>
      </c>
      <c r="AK227" s="270">
        <f t="shared" si="110"/>
        <v>26523</v>
      </c>
      <c r="AL227" s="270">
        <f t="shared" si="110"/>
        <v>26523</v>
      </c>
      <c r="AM227" s="270">
        <f t="shared" si="110"/>
        <v>26523</v>
      </c>
    </row>
    <row r="228" spans="2:39" ht="15.75" thickBot="1" x14ac:dyDescent="0.35">
      <c r="B228" s="56" t="str">
        <f>input_names!$B$3</f>
        <v>benzine</v>
      </c>
      <c r="C228" s="61">
        <v>180</v>
      </c>
      <c r="D228" s="270">
        <f t="shared" si="112"/>
        <v>12539</v>
      </c>
      <c r="E228" s="270">
        <f t="shared" si="112"/>
        <v>15917</v>
      </c>
      <c r="F228" s="270">
        <f t="shared" si="112"/>
        <v>19019</v>
      </c>
      <c r="G228" s="270">
        <f t="shared" si="112"/>
        <v>20765</v>
      </c>
      <c r="H228" s="270">
        <f t="shared" si="112"/>
        <v>21548</v>
      </c>
      <c r="I228" s="270">
        <f t="shared" si="112"/>
        <v>23263</v>
      </c>
      <c r="J228" s="270">
        <f t="shared" si="112"/>
        <v>14894</v>
      </c>
      <c r="K228" s="270">
        <f t="shared" si="112"/>
        <v>16861</v>
      </c>
      <c r="L228" s="270">
        <f t="shared" si="112"/>
        <v>19322</v>
      </c>
      <c r="M228" s="270">
        <f t="shared" si="112"/>
        <v>24086</v>
      </c>
      <c r="N228" s="270">
        <f t="shared" si="112"/>
        <v>27091</v>
      </c>
      <c r="O228" s="270">
        <f t="shared" si="112"/>
        <v>27091</v>
      </c>
      <c r="P228" s="270">
        <f t="shared" si="112"/>
        <v>27091</v>
      </c>
      <c r="Q228" s="270">
        <f t="shared" si="112"/>
        <v>27091</v>
      </c>
      <c r="R228" s="270">
        <f t="shared" si="112"/>
        <v>27091</v>
      </c>
      <c r="S228" s="270">
        <f t="shared" si="109"/>
        <v>27091</v>
      </c>
      <c r="T228" s="270">
        <f t="shared" si="109"/>
        <v>27091</v>
      </c>
      <c r="U228" s="270">
        <f t="shared" si="109"/>
        <v>27091</v>
      </c>
      <c r="V228" s="270">
        <f t="shared" si="109"/>
        <v>27091</v>
      </c>
      <c r="W228" s="270">
        <f t="shared" si="109"/>
        <v>27091</v>
      </c>
      <c r="X228" s="270">
        <f t="shared" si="109"/>
        <v>27091</v>
      </c>
      <c r="Y228" s="270">
        <f t="shared" si="109"/>
        <v>27091</v>
      </c>
      <c r="Z228" s="270">
        <f t="shared" si="109"/>
        <v>27091</v>
      </c>
      <c r="AA228" s="270">
        <f t="shared" si="109"/>
        <v>27091</v>
      </c>
      <c r="AB228" s="270">
        <f t="shared" si="109"/>
        <v>27091</v>
      </c>
      <c r="AC228" s="270">
        <f t="shared" si="109"/>
        <v>27091</v>
      </c>
      <c r="AD228" s="270">
        <f t="shared" si="112"/>
        <v>27091</v>
      </c>
      <c r="AE228" s="270">
        <f t="shared" si="111"/>
        <v>27091</v>
      </c>
      <c r="AF228" s="270">
        <f t="shared" si="110"/>
        <v>27091</v>
      </c>
      <c r="AG228" s="270">
        <f t="shared" si="110"/>
        <v>27091</v>
      </c>
      <c r="AH228" s="270">
        <f t="shared" si="110"/>
        <v>27091</v>
      </c>
      <c r="AI228" s="270">
        <f t="shared" si="110"/>
        <v>27091</v>
      </c>
      <c r="AJ228" s="270">
        <f t="shared" si="110"/>
        <v>27091</v>
      </c>
      <c r="AK228" s="270">
        <f t="shared" si="110"/>
        <v>27091</v>
      </c>
      <c r="AL228" s="270">
        <f t="shared" si="110"/>
        <v>27091</v>
      </c>
      <c r="AM228" s="270">
        <f t="shared" si="110"/>
        <v>27091</v>
      </c>
    </row>
    <row r="229" spans="2:39" ht="15.75" thickBot="1" x14ac:dyDescent="0.35">
      <c r="B229" s="56" t="str">
        <f>input_names!$B$3</f>
        <v>benzine</v>
      </c>
      <c r="C229" s="61">
        <v>181</v>
      </c>
      <c r="D229" s="270">
        <f t="shared" si="112"/>
        <v>12973</v>
      </c>
      <c r="E229" s="270">
        <f t="shared" si="112"/>
        <v>16393</v>
      </c>
      <c r="F229" s="270">
        <f t="shared" si="112"/>
        <v>19491</v>
      </c>
      <c r="G229" s="270">
        <f t="shared" si="112"/>
        <v>21220</v>
      </c>
      <c r="H229" s="270">
        <f t="shared" si="112"/>
        <v>21976</v>
      </c>
      <c r="I229" s="270">
        <f t="shared" si="112"/>
        <v>23681</v>
      </c>
      <c r="J229" s="270">
        <f t="shared" si="112"/>
        <v>15326</v>
      </c>
      <c r="K229" s="270">
        <f t="shared" si="112"/>
        <v>17309</v>
      </c>
      <c r="L229" s="270">
        <f t="shared" si="112"/>
        <v>19770</v>
      </c>
      <c r="M229" s="270">
        <f t="shared" si="112"/>
        <v>24635</v>
      </c>
      <c r="N229" s="270">
        <f t="shared" si="112"/>
        <v>27659</v>
      </c>
      <c r="O229" s="270">
        <f t="shared" si="112"/>
        <v>27659</v>
      </c>
      <c r="P229" s="270">
        <f t="shared" si="112"/>
        <v>27659</v>
      </c>
      <c r="Q229" s="270">
        <f t="shared" si="112"/>
        <v>27659</v>
      </c>
      <c r="R229" s="270">
        <f t="shared" si="112"/>
        <v>27659</v>
      </c>
      <c r="S229" s="270">
        <f t="shared" si="109"/>
        <v>27659</v>
      </c>
      <c r="T229" s="270">
        <f t="shared" si="109"/>
        <v>27659</v>
      </c>
      <c r="U229" s="270">
        <f t="shared" si="109"/>
        <v>27659</v>
      </c>
      <c r="V229" s="270">
        <f t="shared" si="109"/>
        <v>27659</v>
      </c>
      <c r="W229" s="270">
        <f t="shared" si="109"/>
        <v>27659</v>
      </c>
      <c r="X229" s="270">
        <f t="shared" si="109"/>
        <v>27659</v>
      </c>
      <c r="Y229" s="270">
        <f t="shared" si="109"/>
        <v>27659</v>
      </c>
      <c r="Z229" s="270">
        <f t="shared" si="109"/>
        <v>27659</v>
      </c>
      <c r="AA229" s="270">
        <f t="shared" si="109"/>
        <v>27659</v>
      </c>
      <c r="AB229" s="270">
        <f t="shared" si="109"/>
        <v>27659</v>
      </c>
      <c r="AC229" s="270">
        <f t="shared" si="109"/>
        <v>27659</v>
      </c>
      <c r="AD229" s="270">
        <f t="shared" si="112"/>
        <v>27659</v>
      </c>
      <c r="AE229" s="270">
        <f t="shared" si="111"/>
        <v>27659</v>
      </c>
      <c r="AF229" s="270">
        <f t="shared" si="110"/>
        <v>27659</v>
      </c>
      <c r="AG229" s="270">
        <f t="shared" si="110"/>
        <v>27659</v>
      </c>
      <c r="AH229" s="270">
        <f t="shared" si="110"/>
        <v>27659</v>
      </c>
      <c r="AI229" s="270">
        <f t="shared" si="110"/>
        <v>27659</v>
      </c>
      <c r="AJ229" s="270">
        <f t="shared" si="110"/>
        <v>27659</v>
      </c>
      <c r="AK229" s="270">
        <f t="shared" si="110"/>
        <v>27659</v>
      </c>
      <c r="AL229" s="270">
        <f t="shared" si="110"/>
        <v>27659</v>
      </c>
      <c r="AM229" s="270">
        <f t="shared" si="110"/>
        <v>27659</v>
      </c>
    </row>
    <row r="230" spans="2:39" ht="15.75" thickBot="1" x14ac:dyDescent="0.35">
      <c r="B230" s="56" t="str">
        <f>input_names!$B$3</f>
        <v>benzine</v>
      </c>
      <c r="C230" s="61">
        <v>182</v>
      </c>
      <c r="D230" s="270">
        <f t="shared" si="112"/>
        <v>13407</v>
      </c>
      <c r="E230" s="270">
        <f t="shared" si="112"/>
        <v>16869</v>
      </c>
      <c r="F230" s="270">
        <f t="shared" si="112"/>
        <v>19963</v>
      </c>
      <c r="G230" s="270">
        <f t="shared" si="112"/>
        <v>21675</v>
      </c>
      <c r="H230" s="270">
        <f t="shared" si="112"/>
        <v>22404</v>
      </c>
      <c r="I230" s="270">
        <f t="shared" si="112"/>
        <v>24099</v>
      </c>
      <c r="J230" s="270">
        <f t="shared" si="112"/>
        <v>15758</v>
      </c>
      <c r="K230" s="270">
        <f t="shared" si="112"/>
        <v>17757</v>
      </c>
      <c r="L230" s="270">
        <f t="shared" si="112"/>
        <v>20218</v>
      </c>
      <c r="M230" s="270">
        <f t="shared" si="112"/>
        <v>25184</v>
      </c>
      <c r="N230" s="270">
        <f t="shared" si="112"/>
        <v>28227</v>
      </c>
      <c r="O230" s="270">
        <f t="shared" si="112"/>
        <v>28227</v>
      </c>
      <c r="P230" s="270">
        <f t="shared" si="112"/>
        <v>28227</v>
      </c>
      <c r="Q230" s="270">
        <f t="shared" si="112"/>
        <v>28227</v>
      </c>
      <c r="R230" s="270">
        <f t="shared" si="112"/>
        <v>28227</v>
      </c>
      <c r="S230" s="270">
        <f t="shared" si="109"/>
        <v>28227</v>
      </c>
      <c r="T230" s="270">
        <f t="shared" si="109"/>
        <v>28227</v>
      </c>
      <c r="U230" s="270">
        <f t="shared" si="109"/>
        <v>28227</v>
      </c>
      <c r="V230" s="270">
        <f t="shared" si="109"/>
        <v>28227</v>
      </c>
      <c r="W230" s="270">
        <f t="shared" si="109"/>
        <v>28227</v>
      </c>
      <c r="X230" s="270">
        <f t="shared" si="109"/>
        <v>28227</v>
      </c>
      <c r="Y230" s="270">
        <f t="shared" si="109"/>
        <v>28227</v>
      </c>
      <c r="Z230" s="270">
        <f t="shared" si="109"/>
        <v>28227</v>
      </c>
      <c r="AA230" s="270">
        <f t="shared" si="109"/>
        <v>28227</v>
      </c>
      <c r="AB230" s="270">
        <f t="shared" si="109"/>
        <v>28227</v>
      </c>
      <c r="AC230" s="270">
        <f t="shared" si="109"/>
        <v>28227</v>
      </c>
      <c r="AD230" s="270">
        <f t="shared" si="112"/>
        <v>28227</v>
      </c>
      <c r="AE230" s="270">
        <f t="shared" si="111"/>
        <v>28227</v>
      </c>
      <c r="AF230" s="270">
        <f t="shared" si="110"/>
        <v>28227</v>
      </c>
      <c r="AG230" s="270">
        <f t="shared" si="110"/>
        <v>28227</v>
      </c>
      <c r="AH230" s="270">
        <f t="shared" si="110"/>
        <v>28227</v>
      </c>
      <c r="AI230" s="270">
        <f t="shared" si="110"/>
        <v>28227</v>
      </c>
      <c r="AJ230" s="270">
        <f t="shared" si="110"/>
        <v>28227</v>
      </c>
      <c r="AK230" s="270">
        <f t="shared" si="110"/>
        <v>28227</v>
      </c>
      <c r="AL230" s="270">
        <f t="shared" si="110"/>
        <v>28227</v>
      </c>
      <c r="AM230" s="270">
        <f t="shared" si="110"/>
        <v>28227</v>
      </c>
    </row>
    <row r="231" spans="2:39" ht="15.75" thickBot="1" x14ac:dyDescent="0.35">
      <c r="B231" s="56" t="str">
        <f>input_names!$B$3</f>
        <v>benzine</v>
      </c>
      <c r="C231" s="61">
        <v>183</v>
      </c>
      <c r="D231" s="270">
        <f t="shared" si="112"/>
        <v>13841</v>
      </c>
      <c r="E231" s="270">
        <f t="shared" si="112"/>
        <v>17345</v>
      </c>
      <c r="F231" s="270">
        <f t="shared" si="112"/>
        <v>20435</v>
      </c>
      <c r="G231" s="270">
        <f t="shared" si="112"/>
        <v>22130</v>
      </c>
      <c r="H231" s="270">
        <f t="shared" si="112"/>
        <v>22832</v>
      </c>
      <c r="I231" s="270">
        <f t="shared" si="112"/>
        <v>24517</v>
      </c>
      <c r="J231" s="270">
        <f t="shared" si="112"/>
        <v>16190</v>
      </c>
      <c r="K231" s="270">
        <f t="shared" si="112"/>
        <v>18205</v>
      </c>
      <c r="L231" s="270">
        <f t="shared" si="112"/>
        <v>20666</v>
      </c>
      <c r="M231" s="270">
        <f t="shared" si="112"/>
        <v>25733</v>
      </c>
      <c r="N231" s="270">
        <f t="shared" si="112"/>
        <v>28795</v>
      </c>
      <c r="O231" s="270">
        <f t="shared" si="112"/>
        <v>28795</v>
      </c>
      <c r="P231" s="270">
        <f t="shared" si="112"/>
        <v>28795</v>
      </c>
      <c r="Q231" s="270">
        <f t="shared" si="112"/>
        <v>28795</v>
      </c>
      <c r="R231" s="270">
        <f t="shared" si="112"/>
        <v>28795</v>
      </c>
      <c r="S231" s="270">
        <f t="shared" si="109"/>
        <v>28795</v>
      </c>
      <c r="T231" s="270">
        <f t="shared" si="109"/>
        <v>28795</v>
      </c>
      <c r="U231" s="270">
        <f t="shared" si="109"/>
        <v>28795</v>
      </c>
      <c r="V231" s="270">
        <f t="shared" si="109"/>
        <v>28795</v>
      </c>
      <c r="W231" s="270">
        <f t="shared" si="109"/>
        <v>28795</v>
      </c>
      <c r="X231" s="270">
        <f t="shared" ref="U231:AC259" si="113">+MIN(MAX(0,$C231-X$11),X$12-X$11)*X$17
+MIN(MAX(0,$C231-X$12),X$13-X$12)*X$18
+MIN(MAX(0,$C231-X$13),X$14-X$13)*X$19
+MIN(MAX(0,$C231-X$14),X$15-X$14)*X$20
+MAX(0,$C231-X$15)*X$21
+X$26</f>
        <v>28795</v>
      </c>
      <c r="Y231" s="270">
        <f t="shared" si="113"/>
        <v>28795</v>
      </c>
      <c r="Z231" s="270">
        <f t="shared" si="113"/>
        <v>28795</v>
      </c>
      <c r="AA231" s="270">
        <f t="shared" si="113"/>
        <v>28795</v>
      </c>
      <c r="AB231" s="270">
        <f t="shared" si="113"/>
        <v>28795</v>
      </c>
      <c r="AC231" s="270">
        <f t="shared" si="113"/>
        <v>28795</v>
      </c>
      <c r="AD231" s="270">
        <f t="shared" si="112"/>
        <v>28795</v>
      </c>
      <c r="AE231" s="270">
        <f t="shared" si="111"/>
        <v>28795</v>
      </c>
      <c r="AF231" s="270">
        <f t="shared" si="110"/>
        <v>28795</v>
      </c>
      <c r="AG231" s="270">
        <f t="shared" si="110"/>
        <v>28795</v>
      </c>
      <c r="AH231" s="270">
        <f t="shared" si="110"/>
        <v>28795</v>
      </c>
      <c r="AI231" s="270">
        <f t="shared" si="110"/>
        <v>28795</v>
      </c>
      <c r="AJ231" s="270">
        <f t="shared" si="110"/>
        <v>28795</v>
      </c>
      <c r="AK231" s="270">
        <f t="shared" si="110"/>
        <v>28795</v>
      </c>
      <c r="AL231" s="270">
        <f t="shared" si="110"/>
        <v>28795</v>
      </c>
      <c r="AM231" s="270">
        <f t="shared" si="110"/>
        <v>28795</v>
      </c>
    </row>
    <row r="232" spans="2:39" ht="15.75" thickBot="1" x14ac:dyDescent="0.35">
      <c r="B232" s="56" t="str">
        <f>input_names!$B$3</f>
        <v>benzine</v>
      </c>
      <c r="C232" s="61">
        <v>184</v>
      </c>
      <c r="D232" s="270">
        <f t="shared" si="112"/>
        <v>14275</v>
      </c>
      <c r="E232" s="270">
        <f t="shared" si="112"/>
        <v>17821</v>
      </c>
      <c r="F232" s="270">
        <f t="shared" si="112"/>
        <v>20907</v>
      </c>
      <c r="G232" s="270">
        <f t="shared" si="112"/>
        <v>22585</v>
      </c>
      <c r="H232" s="270">
        <f t="shared" si="112"/>
        <v>23260</v>
      </c>
      <c r="I232" s="270">
        <f t="shared" si="112"/>
        <v>24935</v>
      </c>
      <c r="J232" s="270">
        <f t="shared" si="112"/>
        <v>16622</v>
      </c>
      <c r="K232" s="270">
        <f t="shared" si="112"/>
        <v>18653</v>
      </c>
      <c r="L232" s="270">
        <f t="shared" si="112"/>
        <v>21114</v>
      </c>
      <c r="M232" s="270">
        <f t="shared" si="112"/>
        <v>26282</v>
      </c>
      <c r="N232" s="270">
        <f t="shared" si="112"/>
        <v>29363</v>
      </c>
      <c r="O232" s="270">
        <f t="shared" si="112"/>
        <v>29363</v>
      </c>
      <c r="P232" s="270">
        <f t="shared" si="112"/>
        <v>29363</v>
      </c>
      <c r="Q232" s="270">
        <f t="shared" si="112"/>
        <v>29363</v>
      </c>
      <c r="R232" s="270">
        <f t="shared" si="112"/>
        <v>29363</v>
      </c>
      <c r="S232" s="270">
        <f t="shared" ref="S232:T247" si="114">+MIN(MAX(0,$C232-S$11),S$12-S$11)*S$17
+MIN(MAX(0,$C232-S$12),S$13-S$12)*S$18
+MIN(MAX(0,$C232-S$13),S$14-S$13)*S$19
+MIN(MAX(0,$C232-S$14),S$15-S$14)*S$20
+MAX(0,$C232-S$15)*S$21
+S$26</f>
        <v>29363</v>
      </c>
      <c r="T232" s="270">
        <f t="shared" si="114"/>
        <v>29363</v>
      </c>
      <c r="U232" s="270">
        <f t="shared" si="113"/>
        <v>29363</v>
      </c>
      <c r="V232" s="270">
        <f t="shared" si="113"/>
        <v>29363</v>
      </c>
      <c r="W232" s="270">
        <f t="shared" si="113"/>
        <v>29363</v>
      </c>
      <c r="X232" s="270">
        <f t="shared" si="113"/>
        <v>29363</v>
      </c>
      <c r="Y232" s="270">
        <f t="shared" si="113"/>
        <v>29363</v>
      </c>
      <c r="Z232" s="270">
        <f t="shared" si="113"/>
        <v>29363</v>
      </c>
      <c r="AA232" s="270">
        <f t="shared" si="113"/>
        <v>29363</v>
      </c>
      <c r="AB232" s="270">
        <f t="shared" si="113"/>
        <v>29363</v>
      </c>
      <c r="AC232" s="270">
        <f t="shared" si="113"/>
        <v>29363</v>
      </c>
      <c r="AD232" s="270">
        <f t="shared" si="112"/>
        <v>29363</v>
      </c>
      <c r="AE232" s="270">
        <f t="shared" si="111"/>
        <v>29363</v>
      </c>
      <c r="AF232" s="270">
        <f t="shared" si="110"/>
        <v>29363</v>
      </c>
      <c r="AG232" s="270">
        <f t="shared" si="110"/>
        <v>29363</v>
      </c>
      <c r="AH232" s="270">
        <f t="shared" si="110"/>
        <v>29363</v>
      </c>
      <c r="AI232" s="270">
        <f t="shared" si="110"/>
        <v>29363</v>
      </c>
      <c r="AJ232" s="270">
        <f t="shared" si="110"/>
        <v>29363</v>
      </c>
      <c r="AK232" s="270">
        <f t="shared" si="110"/>
        <v>29363</v>
      </c>
      <c r="AL232" s="270">
        <f t="shared" si="110"/>
        <v>29363</v>
      </c>
      <c r="AM232" s="270">
        <f t="shared" si="110"/>
        <v>29363</v>
      </c>
    </row>
    <row r="233" spans="2:39" ht="15.75" thickBot="1" x14ac:dyDescent="0.35">
      <c r="B233" s="56" t="str">
        <f>input_names!$B$3</f>
        <v>benzine</v>
      </c>
      <c r="C233" s="61">
        <v>185</v>
      </c>
      <c r="D233" s="270">
        <f t="shared" si="112"/>
        <v>14709</v>
      </c>
      <c r="E233" s="270">
        <f t="shared" si="112"/>
        <v>18297</v>
      </c>
      <c r="F233" s="270">
        <f t="shared" si="112"/>
        <v>21379</v>
      </c>
      <c r="G233" s="270">
        <f t="shared" si="112"/>
        <v>23040</v>
      </c>
      <c r="H233" s="270">
        <f t="shared" si="112"/>
        <v>23688</v>
      </c>
      <c r="I233" s="270">
        <f t="shared" si="112"/>
        <v>25353</v>
      </c>
      <c r="J233" s="270">
        <f t="shared" si="112"/>
        <v>17054</v>
      </c>
      <c r="K233" s="270">
        <f t="shared" si="112"/>
        <v>19101</v>
      </c>
      <c r="L233" s="270">
        <f t="shared" si="112"/>
        <v>21562</v>
      </c>
      <c r="M233" s="270">
        <f t="shared" si="112"/>
        <v>26831</v>
      </c>
      <c r="N233" s="270">
        <f t="shared" si="112"/>
        <v>29931</v>
      </c>
      <c r="O233" s="270">
        <f t="shared" si="112"/>
        <v>29931</v>
      </c>
      <c r="P233" s="270">
        <f t="shared" si="112"/>
        <v>29931</v>
      </c>
      <c r="Q233" s="270">
        <f t="shared" si="112"/>
        <v>29931</v>
      </c>
      <c r="R233" s="270">
        <f t="shared" si="112"/>
        <v>29931</v>
      </c>
      <c r="S233" s="270">
        <f t="shared" si="114"/>
        <v>29931</v>
      </c>
      <c r="T233" s="270">
        <f t="shared" si="114"/>
        <v>29931</v>
      </c>
      <c r="U233" s="270">
        <f t="shared" si="113"/>
        <v>29931</v>
      </c>
      <c r="V233" s="270">
        <f t="shared" si="113"/>
        <v>29931</v>
      </c>
      <c r="W233" s="270">
        <f t="shared" si="113"/>
        <v>29931</v>
      </c>
      <c r="X233" s="270">
        <f t="shared" si="113"/>
        <v>29931</v>
      </c>
      <c r="Y233" s="270">
        <f t="shared" si="113"/>
        <v>29931</v>
      </c>
      <c r="Z233" s="270">
        <f t="shared" si="113"/>
        <v>29931</v>
      </c>
      <c r="AA233" s="270">
        <f t="shared" si="113"/>
        <v>29931</v>
      </c>
      <c r="AB233" s="270">
        <f t="shared" si="113"/>
        <v>29931</v>
      </c>
      <c r="AC233" s="270">
        <f t="shared" si="113"/>
        <v>29931</v>
      </c>
      <c r="AD233" s="270">
        <f t="shared" si="112"/>
        <v>29931</v>
      </c>
      <c r="AE233" s="270">
        <f t="shared" si="111"/>
        <v>29931</v>
      </c>
      <c r="AF233" s="270">
        <f t="shared" si="110"/>
        <v>29931</v>
      </c>
      <c r="AG233" s="270">
        <f t="shared" si="110"/>
        <v>29931</v>
      </c>
      <c r="AH233" s="270">
        <f t="shared" si="110"/>
        <v>29931</v>
      </c>
      <c r="AI233" s="270">
        <f t="shared" si="110"/>
        <v>29931</v>
      </c>
      <c r="AJ233" s="270">
        <f t="shared" si="110"/>
        <v>29931</v>
      </c>
      <c r="AK233" s="270">
        <f t="shared" si="110"/>
        <v>29931</v>
      </c>
      <c r="AL233" s="270">
        <f t="shared" si="110"/>
        <v>29931</v>
      </c>
      <c r="AM233" s="270">
        <f t="shared" si="110"/>
        <v>29931</v>
      </c>
    </row>
    <row r="234" spans="2:39" ht="15.75" thickBot="1" x14ac:dyDescent="0.35">
      <c r="B234" s="56" t="str">
        <f>input_names!$B$3</f>
        <v>benzine</v>
      </c>
      <c r="C234" s="61">
        <v>186</v>
      </c>
      <c r="D234" s="270">
        <f t="shared" si="112"/>
        <v>15143</v>
      </c>
      <c r="E234" s="270">
        <f t="shared" si="112"/>
        <v>18773</v>
      </c>
      <c r="F234" s="270">
        <f t="shared" si="112"/>
        <v>21851</v>
      </c>
      <c r="G234" s="270">
        <f t="shared" si="112"/>
        <v>23495</v>
      </c>
      <c r="H234" s="270">
        <f t="shared" si="112"/>
        <v>24116</v>
      </c>
      <c r="I234" s="270">
        <f t="shared" si="112"/>
        <v>25771</v>
      </c>
      <c r="J234" s="270">
        <f t="shared" si="112"/>
        <v>17486</v>
      </c>
      <c r="K234" s="270">
        <f t="shared" si="112"/>
        <v>19549</v>
      </c>
      <c r="L234" s="270">
        <f t="shared" si="112"/>
        <v>22010</v>
      </c>
      <c r="M234" s="270">
        <f t="shared" si="112"/>
        <v>27380</v>
      </c>
      <c r="N234" s="270">
        <f t="shared" si="112"/>
        <v>30499</v>
      </c>
      <c r="O234" s="270">
        <f t="shared" si="112"/>
        <v>30499</v>
      </c>
      <c r="P234" s="270">
        <f t="shared" si="112"/>
        <v>30499</v>
      </c>
      <c r="Q234" s="270">
        <f t="shared" si="112"/>
        <v>30499</v>
      </c>
      <c r="R234" s="270">
        <f t="shared" si="112"/>
        <v>30499</v>
      </c>
      <c r="S234" s="270">
        <f t="shared" si="114"/>
        <v>30499</v>
      </c>
      <c r="T234" s="270">
        <f t="shared" si="114"/>
        <v>30499</v>
      </c>
      <c r="U234" s="270">
        <f t="shared" si="113"/>
        <v>30499</v>
      </c>
      <c r="V234" s="270">
        <f t="shared" si="113"/>
        <v>30499</v>
      </c>
      <c r="W234" s="270">
        <f t="shared" si="113"/>
        <v>30499</v>
      </c>
      <c r="X234" s="270">
        <f t="shared" si="113"/>
        <v>30499</v>
      </c>
      <c r="Y234" s="270">
        <f t="shared" si="113"/>
        <v>30499</v>
      </c>
      <c r="Z234" s="270">
        <f t="shared" si="113"/>
        <v>30499</v>
      </c>
      <c r="AA234" s="270">
        <f t="shared" si="113"/>
        <v>30499</v>
      </c>
      <c r="AB234" s="270">
        <f t="shared" si="113"/>
        <v>30499</v>
      </c>
      <c r="AC234" s="270">
        <f t="shared" si="113"/>
        <v>30499</v>
      </c>
      <c r="AD234" s="270">
        <f t="shared" si="112"/>
        <v>30499</v>
      </c>
      <c r="AE234" s="270">
        <f t="shared" si="111"/>
        <v>30499</v>
      </c>
      <c r="AF234" s="270">
        <f t="shared" si="110"/>
        <v>30499</v>
      </c>
      <c r="AG234" s="270">
        <f t="shared" si="110"/>
        <v>30499</v>
      </c>
      <c r="AH234" s="270">
        <f t="shared" si="110"/>
        <v>30499</v>
      </c>
      <c r="AI234" s="270">
        <f t="shared" si="110"/>
        <v>30499</v>
      </c>
      <c r="AJ234" s="270">
        <f t="shared" si="110"/>
        <v>30499</v>
      </c>
      <c r="AK234" s="270">
        <f t="shared" si="110"/>
        <v>30499</v>
      </c>
      <c r="AL234" s="270">
        <f t="shared" si="110"/>
        <v>30499</v>
      </c>
      <c r="AM234" s="270">
        <f t="shared" si="110"/>
        <v>30499</v>
      </c>
    </row>
    <row r="235" spans="2:39" ht="15.75" thickBot="1" x14ac:dyDescent="0.35">
      <c r="B235" s="56" t="str">
        <f>input_names!$B$3</f>
        <v>benzine</v>
      </c>
      <c r="C235" s="61">
        <v>187</v>
      </c>
      <c r="D235" s="270">
        <f t="shared" si="112"/>
        <v>15577</v>
      </c>
      <c r="E235" s="270">
        <f t="shared" si="112"/>
        <v>19249</v>
      </c>
      <c r="F235" s="270">
        <f t="shared" si="112"/>
        <v>22323</v>
      </c>
      <c r="G235" s="270">
        <f t="shared" si="112"/>
        <v>23950</v>
      </c>
      <c r="H235" s="270">
        <f t="shared" si="112"/>
        <v>24544</v>
      </c>
      <c r="I235" s="270">
        <f t="shared" si="112"/>
        <v>26189</v>
      </c>
      <c r="J235" s="270">
        <f t="shared" si="112"/>
        <v>17918</v>
      </c>
      <c r="K235" s="270">
        <f t="shared" si="112"/>
        <v>19997</v>
      </c>
      <c r="L235" s="270">
        <f t="shared" si="112"/>
        <v>22458</v>
      </c>
      <c r="M235" s="270">
        <f t="shared" si="112"/>
        <v>27929</v>
      </c>
      <c r="N235" s="270">
        <f t="shared" si="112"/>
        <v>31067</v>
      </c>
      <c r="O235" s="270">
        <f t="shared" si="112"/>
        <v>31067</v>
      </c>
      <c r="P235" s="270">
        <f t="shared" si="112"/>
        <v>31067</v>
      </c>
      <c r="Q235" s="270">
        <f t="shared" si="112"/>
        <v>31067</v>
      </c>
      <c r="R235" s="270">
        <f t="shared" si="112"/>
        <v>31067</v>
      </c>
      <c r="S235" s="270">
        <f t="shared" si="114"/>
        <v>31067</v>
      </c>
      <c r="T235" s="270">
        <f t="shared" si="114"/>
        <v>31067</v>
      </c>
      <c r="U235" s="270">
        <f t="shared" si="113"/>
        <v>31067</v>
      </c>
      <c r="V235" s="270">
        <f t="shared" si="113"/>
        <v>31067</v>
      </c>
      <c r="W235" s="270">
        <f t="shared" si="113"/>
        <v>31067</v>
      </c>
      <c r="X235" s="270">
        <f t="shared" si="113"/>
        <v>31067</v>
      </c>
      <c r="Y235" s="270">
        <f t="shared" si="113"/>
        <v>31067</v>
      </c>
      <c r="Z235" s="270">
        <f t="shared" si="113"/>
        <v>31067</v>
      </c>
      <c r="AA235" s="270">
        <f t="shared" si="113"/>
        <v>31067</v>
      </c>
      <c r="AB235" s="270">
        <f t="shared" si="113"/>
        <v>31067</v>
      </c>
      <c r="AC235" s="270">
        <f t="shared" si="113"/>
        <v>31067</v>
      </c>
      <c r="AD235" s="270">
        <f t="shared" si="112"/>
        <v>31067</v>
      </c>
      <c r="AE235" s="270">
        <f t="shared" si="111"/>
        <v>31067</v>
      </c>
      <c r="AF235" s="270">
        <f t="shared" si="110"/>
        <v>31067</v>
      </c>
      <c r="AG235" s="270">
        <f t="shared" si="110"/>
        <v>31067</v>
      </c>
      <c r="AH235" s="270">
        <f t="shared" si="110"/>
        <v>31067</v>
      </c>
      <c r="AI235" s="270">
        <f t="shared" si="110"/>
        <v>31067</v>
      </c>
      <c r="AJ235" s="270">
        <f t="shared" si="110"/>
        <v>31067</v>
      </c>
      <c r="AK235" s="270">
        <f t="shared" si="110"/>
        <v>31067</v>
      </c>
      <c r="AL235" s="270">
        <f t="shared" si="110"/>
        <v>31067</v>
      </c>
      <c r="AM235" s="270">
        <f t="shared" si="110"/>
        <v>31067</v>
      </c>
    </row>
    <row r="236" spans="2:39" ht="15.75" thickBot="1" x14ac:dyDescent="0.35">
      <c r="B236" s="56" t="str">
        <f>input_names!$B$3</f>
        <v>benzine</v>
      </c>
      <c r="C236" s="61">
        <v>188</v>
      </c>
      <c r="D236" s="270">
        <f t="shared" si="112"/>
        <v>16011</v>
      </c>
      <c r="E236" s="270">
        <f t="shared" si="112"/>
        <v>19725</v>
      </c>
      <c r="F236" s="270">
        <f t="shared" si="112"/>
        <v>22795</v>
      </c>
      <c r="G236" s="270">
        <f t="shared" si="112"/>
        <v>24405</v>
      </c>
      <c r="H236" s="270">
        <f t="shared" si="112"/>
        <v>24972</v>
      </c>
      <c r="I236" s="270">
        <f t="shared" si="112"/>
        <v>26607</v>
      </c>
      <c r="J236" s="270">
        <f t="shared" si="112"/>
        <v>18350</v>
      </c>
      <c r="K236" s="270">
        <f t="shared" si="112"/>
        <v>20445</v>
      </c>
      <c r="L236" s="270">
        <f t="shared" si="112"/>
        <v>22906</v>
      </c>
      <c r="M236" s="270">
        <f t="shared" si="112"/>
        <v>28478</v>
      </c>
      <c r="N236" s="270">
        <f t="shared" si="112"/>
        <v>31635</v>
      </c>
      <c r="O236" s="270">
        <f t="shared" si="112"/>
        <v>31635</v>
      </c>
      <c r="P236" s="270">
        <f t="shared" si="112"/>
        <v>31635</v>
      </c>
      <c r="Q236" s="270">
        <f t="shared" si="112"/>
        <v>31635</v>
      </c>
      <c r="R236" s="270">
        <f t="shared" si="112"/>
        <v>31635</v>
      </c>
      <c r="S236" s="270">
        <f t="shared" si="114"/>
        <v>31635</v>
      </c>
      <c r="T236" s="270">
        <f t="shared" si="114"/>
        <v>31635</v>
      </c>
      <c r="U236" s="270">
        <f t="shared" si="113"/>
        <v>31635</v>
      </c>
      <c r="V236" s="270">
        <f t="shared" si="113"/>
        <v>31635</v>
      </c>
      <c r="W236" s="270">
        <f t="shared" si="113"/>
        <v>31635</v>
      </c>
      <c r="X236" s="270">
        <f t="shared" si="113"/>
        <v>31635</v>
      </c>
      <c r="Y236" s="270">
        <f t="shared" si="113"/>
        <v>31635</v>
      </c>
      <c r="Z236" s="270">
        <f t="shared" si="113"/>
        <v>31635</v>
      </c>
      <c r="AA236" s="270">
        <f t="shared" si="113"/>
        <v>31635</v>
      </c>
      <c r="AB236" s="270">
        <f t="shared" si="113"/>
        <v>31635</v>
      </c>
      <c r="AC236" s="270">
        <f t="shared" si="113"/>
        <v>31635</v>
      </c>
      <c r="AD236" s="270">
        <f t="shared" si="112"/>
        <v>31635</v>
      </c>
      <c r="AE236" s="270">
        <f t="shared" si="111"/>
        <v>31635</v>
      </c>
      <c r="AF236" s="270">
        <f t="shared" si="110"/>
        <v>31635</v>
      </c>
      <c r="AG236" s="270">
        <f t="shared" si="110"/>
        <v>31635</v>
      </c>
      <c r="AH236" s="270">
        <f t="shared" si="110"/>
        <v>31635</v>
      </c>
      <c r="AI236" s="270">
        <f t="shared" si="110"/>
        <v>31635</v>
      </c>
      <c r="AJ236" s="270">
        <f t="shared" si="110"/>
        <v>31635</v>
      </c>
      <c r="AK236" s="270">
        <f t="shared" si="110"/>
        <v>31635</v>
      </c>
      <c r="AL236" s="270">
        <f t="shared" si="110"/>
        <v>31635</v>
      </c>
      <c r="AM236" s="270">
        <f t="shared" si="110"/>
        <v>31635</v>
      </c>
    </row>
    <row r="237" spans="2:39" ht="15.75" thickBot="1" x14ac:dyDescent="0.35">
      <c r="B237" s="56" t="str">
        <f>input_names!$B$3</f>
        <v>benzine</v>
      </c>
      <c r="C237" s="61">
        <v>189</v>
      </c>
      <c r="D237" s="270">
        <f t="shared" si="112"/>
        <v>16445</v>
      </c>
      <c r="E237" s="270">
        <f t="shared" si="112"/>
        <v>20201</v>
      </c>
      <c r="F237" s="270">
        <f t="shared" si="112"/>
        <v>23267</v>
      </c>
      <c r="G237" s="270">
        <f t="shared" si="112"/>
        <v>24860</v>
      </c>
      <c r="H237" s="270">
        <f t="shared" si="112"/>
        <v>25400</v>
      </c>
      <c r="I237" s="270">
        <f t="shared" si="112"/>
        <v>27025</v>
      </c>
      <c r="J237" s="270">
        <f t="shared" si="112"/>
        <v>18782</v>
      </c>
      <c r="K237" s="270">
        <f t="shared" si="112"/>
        <v>20893</v>
      </c>
      <c r="L237" s="270">
        <f t="shared" si="112"/>
        <v>23354</v>
      </c>
      <c r="M237" s="270">
        <f t="shared" si="112"/>
        <v>29027</v>
      </c>
      <c r="N237" s="270">
        <f t="shared" si="112"/>
        <v>32203</v>
      </c>
      <c r="O237" s="270">
        <f t="shared" si="112"/>
        <v>32203</v>
      </c>
      <c r="P237" s="270">
        <f t="shared" si="112"/>
        <v>32203</v>
      </c>
      <c r="Q237" s="270">
        <f t="shared" si="112"/>
        <v>32203</v>
      </c>
      <c r="R237" s="270">
        <f t="shared" si="112"/>
        <v>32203</v>
      </c>
      <c r="S237" s="270">
        <f t="shared" si="114"/>
        <v>32203</v>
      </c>
      <c r="T237" s="270">
        <f t="shared" si="114"/>
        <v>32203</v>
      </c>
      <c r="U237" s="270">
        <f t="shared" si="113"/>
        <v>32203</v>
      </c>
      <c r="V237" s="270">
        <f t="shared" si="113"/>
        <v>32203</v>
      </c>
      <c r="W237" s="270">
        <f t="shared" si="113"/>
        <v>32203</v>
      </c>
      <c r="X237" s="270">
        <f t="shared" si="113"/>
        <v>32203</v>
      </c>
      <c r="Y237" s="270">
        <f t="shared" si="113"/>
        <v>32203</v>
      </c>
      <c r="Z237" s="270">
        <f t="shared" si="113"/>
        <v>32203</v>
      </c>
      <c r="AA237" s="270">
        <f t="shared" si="113"/>
        <v>32203</v>
      </c>
      <c r="AB237" s="270">
        <f t="shared" si="113"/>
        <v>32203</v>
      </c>
      <c r="AC237" s="270">
        <f t="shared" si="113"/>
        <v>32203</v>
      </c>
      <c r="AD237" s="270">
        <f t="shared" si="112"/>
        <v>32203</v>
      </c>
      <c r="AE237" s="270">
        <f t="shared" si="111"/>
        <v>32203</v>
      </c>
      <c r="AF237" s="270">
        <f t="shared" si="110"/>
        <v>32203</v>
      </c>
      <c r="AG237" s="270">
        <f t="shared" si="110"/>
        <v>32203</v>
      </c>
      <c r="AH237" s="270">
        <f t="shared" si="110"/>
        <v>32203</v>
      </c>
      <c r="AI237" s="270">
        <f t="shared" si="110"/>
        <v>32203</v>
      </c>
      <c r="AJ237" s="270">
        <f t="shared" si="110"/>
        <v>32203</v>
      </c>
      <c r="AK237" s="270">
        <f t="shared" si="110"/>
        <v>32203</v>
      </c>
      <c r="AL237" s="270">
        <f t="shared" si="110"/>
        <v>32203</v>
      </c>
      <c r="AM237" s="270">
        <f t="shared" si="110"/>
        <v>32203</v>
      </c>
    </row>
    <row r="238" spans="2:39" ht="15.75" thickBot="1" x14ac:dyDescent="0.35">
      <c r="B238" s="56" t="str">
        <f>input_names!$B$3</f>
        <v>benzine</v>
      </c>
      <c r="C238" s="61">
        <v>190</v>
      </c>
      <c r="D238" s="270">
        <f t="shared" si="112"/>
        <v>16879</v>
      </c>
      <c r="E238" s="270">
        <f t="shared" si="112"/>
        <v>20677</v>
      </c>
      <c r="F238" s="270">
        <f t="shared" si="112"/>
        <v>23739</v>
      </c>
      <c r="G238" s="270">
        <f t="shared" si="112"/>
        <v>25315</v>
      </c>
      <c r="H238" s="270">
        <f t="shared" si="112"/>
        <v>25828</v>
      </c>
      <c r="I238" s="270">
        <f t="shared" si="112"/>
        <v>27443</v>
      </c>
      <c r="J238" s="270">
        <f t="shared" si="112"/>
        <v>19214</v>
      </c>
      <c r="K238" s="270">
        <f t="shared" si="112"/>
        <v>21341</v>
      </c>
      <c r="L238" s="270">
        <f t="shared" si="112"/>
        <v>23802</v>
      </c>
      <c r="M238" s="270">
        <f t="shared" si="112"/>
        <v>29576</v>
      </c>
      <c r="N238" s="270">
        <f t="shared" si="112"/>
        <v>32771</v>
      </c>
      <c r="O238" s="270">
        <f t="shared" si="112"/>
        <v>32771</v>
      </c>
      <c r="P238" s="270">
        <f t="shared" si="112"/>
        <v>32771</v>
      </c>
      <c r="Q238" s="270">
        <f t="shared" si="112"/>
        <v>32771</v>
      </c>
      <c r="R238" s="270">
        <f t="shared" si="112"/>
        <v>32771</v>
      </c>
      <c r="S238" s="270">
        <f t="shared" si="114"/>
        <v>32771</v>
      </c>
      <c r="T238" s="270">
        <f t="shared" si="114"/>
        <v>32771</v>
      </c>
      <c r="U238" s="270">
        <f t="shared" si="113"/>
        <v>32771</v>
      </c>
      <c r="V238" s="270">
        <f t="shared" si="113"/>
        <v>32771</v>
      </c>
      <c r="W238" s="270">
        <f t="shared" si="113"/>
        <v>32771</v>
      </c>
      <c r="X238" s="270">
        <f t="shared" si="113"/>
        <v>32771</v>
      </c>
      <c r="Y238" s="270">
        <f t="shared" si="113"/>
        <v>32771</v>
      </c>
      <c r="Z238" s="270">
        <f t="shared" si="113"/>
        <v>32771</v>
      </c>
      <c r="AA238" s="270">
        <f t="shared" si="113"/>
        <v>32771</v>
      </c>
      <c r="AB238" s="270">
        <f t="shared" si="113"/>
        <v>32771</v>
      </c>
      <c r="AC238" s="270">
        <f t="shared" si="113"/>
        <v>32771</v>
      </c>
      <c r="AD238" s="270">
        <f t="shared" si="112"/>
        <v>32771</v>
      </c>
      <c r="AE238" s="270">
        <f t="shared" si="111"/>
        <v>32771</v>
      </c>
      <c r="AF238" s="270">
        <f t="shared" si="110"/>
        <v>32771</v>
      </c>
      <c r="AG238" s="270">
        <f t="shared" si="110"/>
        <v>32771</v>
      </c>
      <c r="AH238" s="270">
        <f t="shared" si="110"/>
        <v>32771</v>
      </c>
      <c r="AI238" s="270">
        <f t="shared" si="110"/>
        <v>32771</v>
      </c>
      <c r="AJ238" s="270">
        <f t="shared" si="110"/>
        <v>32771</v>
      </c>
      <c r="AK238" s="270">
        <f t="shared" si="110"/>
        <v>32771</v>
      </c>
      <c r="AL238" s="270">
        <f t="shared" si="110"/>
        <v>32771</v>
      </c>
      <c r="AM238" s="270">
        <f t="shared" si="110"/>
        <v>32771</v>
      </c>
    </row>
    <row r="239" spans="2:39" ht="15.75" thickBot="1" x14ac:dyDescent="0.35">
      <c r="B239" s="56" t="str">
        <f>input_names!$B$3</f>
        <v>benzine</v>
      </c>
      <c r="C239" s="61">
        <v>191</v>
      </c>
      <c r="D239" s="270">
        <f t="shared" si="112"/>
        <v>17313</v>
      </c>
      <c r="E239" s="270">
        <f t="shared" si="112"/>
        <v>21153</v>
      </c>
      <c r="F239" s="270">
        <f t="shared" si="112"/>
        <v>24211</v>
      </c>
      <c r="G239" s="270">
        <f t="shared" si="112"/>
        <v>25770</v>
      </c>
      <c r="H239" s="270">
        <f t="shared" si="112"/>
        <v>26256</v>
      </c>
      <c r="I239" s="270">
        <f t="shared" si="112"/>
        <v>27861</v>
      </c>
      <c r="J239" s="270">
        <f t="shared" si="112"/>
        <v>19646</v>
      </c>
      <c r="K239" s="270">
        <f t="shared" si="112"/>
        <v>21789</v>
      </c>
      <c r="L239" s="270">
        <f t="shared" si="112"/>
        <v>24250</v>
      </c>
      <c r="M239" s="270">
        <f t="shared" si="112"/>
        <v>30125</v>
      </c>
      <c r="N239" s="270">
        <f t="shared" si="112"/>
        <v>33339</v>
      </c>
      <c r="O239" s="270">
        <f t="shared" si="112"/>
        <v>33339</v>
      </c>
      <c r="P239" s="270">
        <f t="shared" si="112"/>
        <v>33339</v>
      </c>
      <c r="Q239" s="270">
        <f t="shared" si="112"/>
        <v>33339</v>
      </c>
      <c r="R239" s="270">
        <f t="shared" si="112"/>
        <v>33339</v>
      </c>
      <c r="S239" s="270">
        <f t="shared" si="114"/>
        <v>33339</v>
      </c>
      <c r="T239" s="270">
        <f t="shared" si="114"/>
        <v>33339</v>
      </c>
      <c r="U239" s="270">
        <f t="shared" si="113"/>
        <v>33339</v>
      </c>
      <c r="V239" s="270">
        <f t="shared" si="113"/>
        <v>33339</v>
      </c>
      <c r="W239" s="270">
        <f t="shared" si="113"/>
        <v>33339</v>
      </c>
      <c r="X239" s="270">
        <f t="shared" si="113"/>
        <v>33339</v>
      </c>
      <c r="Y239" s="270">
        <f t="shared" si="113"/>
        <v>33339</v>
      </c>
      <c r="Z239" s="270">
        <f t="shared" si="113"/>
        <v>33339</v>
      </c>
      <c r="AA239" s="270">
        <f t="shared" si="113"/>
        <v>33339</v>
      </c>
      <c r="AB239" s="270">
        <f t="shared" si="113"/>
        <v>33339</v>
      </c>
      <c r="AC239" s="270">
        <f t="shared" si="113"/>
        <v>33339</v>
      </c>
      <c r="AD239" s="270">
        <f t="shared" ref="AD239:AD270" si="115">+MIN(MAX(0,$C239-AD$11),AD$12-AD$11)*AD$17
+MIN(MAX(0,$C239-AD$12),AD$13-AD$12)*AD$18
+MIN(MAX(0,$C239-AD$13),AD$14-AD$13)*AD$19
+MIN(MAX(0,$C239-AD$14),AD$15-AD$14)*AD$20
+MAX(0,$C239-AD$15)*AD$21
+AD$26</f>
        <v>33339</v>
      </c>
      <c r="AE239" s="270">
        <f t="shared" si="111"/>
        <v>33339</v>
      </c>
      <c r="AF239" s="270">
        <f t="shared" si="110"/>
        <v>33339</v>
      </c>
      <c r="AG239" s="270">
        <f t="shared" si="110"/>
        <v>33339</v>
      </c>
      <c r="AH239" s="270">
        <f t="shared" si="110"/>
        <v>33339</v>
      </c>
      <c r="AI239" s="270">
        <f t="shared" si="110"/>
        <v>33339</v>
      </c>
      <c r="AJ239" s="270">
        <f t="shared" si="110"/>
        <v>33339</v>
      </c>
      <c r="AK239" s="270">
        <f t="shared" si="110"/>
        <v>33339</v>
      </c>
      <c r="AL239" s="270">
        <f t="shared" si="110"/>
        <v>33339</v>
      </c>
      <c r="AM239" s="270">
        <f t="shared" si="110"/>
        <v>33339</v>
      </c>
    </row>
    <row r="240" spans="2:39" ht="15.75" thickBot="1" x14ac:dyDescent="0.35">
      <c r="B240" s="56" t="str">
        <f>input_names!$B$3</f>
        <v>benzine</v>
      </c>
      <c r="C240" s="61">
        <v>192</v>
      </c>
      <c r="D240" s="270">
        <f t="shared" ref="D240:R255" si="116">+MIN(MAX(0,$C240-D$11),D$12-D$11)*D$17
+MIN(MAX(0,$C240-D$12),D$13-D$12)*D$18
+MIN(MAX(0,$C240-D$13),D$14-D$13)*D$19
+MIN(MAX(0,$C240-D$14),D$15-D$14)*D$20
+MAX(0,$C240-D$15)*D$21
+D$26</f>
        <v>17747</v>
      </c>
      <c r="E240" s="270">
        <f t="shared" si="116"/>
        <v>21629</v>
      </c>
      <c r="F240" s="270">
        <f t="shared" si="116"/>
        <v>24683</v>
      </c>
      <c r="G240" s="270">
        <f t="shared" si="116"/>
        <v>26225</v>
      </c>
      <c r="H240" s="270">
        <f t="shared" si="116"/>
        <v>26684</v>
      </c>
      <c r="I240" s="270">
        <f t="shared" si="116"/>
        <v>28279</v>
      </c>
      <c r="J240" s="270">
        <f t="shared" si="116"/>
        <v>20078</v>
      </c>
      <c r="K240" s="270">
        <f t="shared" si="116"/>
        <v>22237</v>
      </c>
      <c r="L240" s="270">
        <f t="shared" si="116"/>
        <v>24698</v>
      </c>
      <c r="M240" s="270">
        <f t="shared" si="116"/>
        <v>30674</v>
      </c>
      <c r="N240" s="270">
        <f t="shared" si="116"/>
        <v>33907</v>
      </c>
      <c r="O240" s="270">
        <f t="shared" si="116"/>
        <v>33907</v>
      </c>
      <c r="P240" s="270">
        <f t="shared" si="116"/>
        <v>33907</v>
      </c>
      <c r="Q240" s="270">
        <f t="shared" si="116"/>
        <v>33907</v>
      </c>
      <c r="R240" s="270">
        <f t="shared" si="116"/>
        <v>33907</v>
      </c>
      <c r="S240" s="270">
        <f t="shared" si="114"/>
        <v>33907</v>
      </c>
      <c r="T240" s="270">
        <f t="shared" si="114"/>
        <v>33907</v>
      </c>
      <c r="U240" s="270">
        <f t="shared" si="113"/>
        <v>33907</v>
      </c>
      <c r="V240" s="270">
        <f t="shared" si="113"/>
        <v>33907</v>
      </c>
      <c r="W240" s="270">
        <f t="shared" si="113"/>
        <v>33907</v>
      </c>
      <c r="X240" s="270">
        <f t="shared" si="113"/>
        <v>33907</v>
      </c>
      <c r="Y240" s="270">
        <f t="shared" si="113"/>
        <v>33907</v>
      </c>
      <c r="Z240" s="270">
        <f t="shared" si="113"/>
        <v>33907</v>
      </c>
      <c r="AA240" s="270">
        <f t="shared" si="113"/>
        <v>33907</v>
      </c>
      <c r="AB240" s="270">
        <f t="shared" si="113"/>
        <v>33907</v>
      </c>
      <c r="AC240" s="270">
        <f t="shared" si="113"/>
        <v>33907</v>
      </c>
      <c r="AD240" s="270">
        <f t="shared" si="115"/>
        <v>33907</v>
      </c>
      <c r="AE240" s="270">
        <f t="shared" si="111"/>
        <v>33907</v>
      </c>
      <c r="AF240" s="270">
        <f t="shared" si="110"/>
        <v>33907</v>
      </c>
      <c r="AG240" s="270">
        <f t="shared" si="110"/>
        <v>33907</v>
      </c>
      <c r="AH240" s="270">
        <f t="shared" si="110"/>
        <v>33907</v>
      </c>
      <c r="AI240" s="270">
        <f t="shared" si="110"/>
        <v>33907</v>
      </c>
      <c r="AJ240" s="270">
        <f t="shared" si="110"/>
        <v>33907</v>
      </c>
      <c r="AK240" s="270">
        <f t="shared" si="110"/>
        <v>33907</v>
      </c>
      <c r="AL240" s="270">
        <f t="shared" si="110"/>
        <v>33907</v>
      </c>
      <c r="AM240" s="270">
        <f t="shared" si="110"/>
        <v>33907</v>
      </c>
    </row>
    <row r="241" spans="2:39" ht="15.75" thickBot="1" x14ac:dyDescent="0.35">
      <c r="B241" s="56" t="str">
        <f>input_names!$B$3</f>
        <v>benzine</v>
      </c>
      <c r="C241" s="61">
        <v>193</v>
      </c>
      <c r="D241" s="270">
        <f t="shared" si="116"/>
        <v>18181</v>
      </c>
      <c r="E241" s="270">
        <f t="shared" si="116"/>
        <v>22105</v>
      </c>
      <c r="F241" s="270">
        <f t="shared" si="116"/>
        <v>25155</v>
      </c>
      <c r="G241" s="270">
        <f t="shared" si="116"/>
        <v>26680</v>
      </c>
      <c r="H241" s="270">
        <f t="shared" si="116"/>
        <v>27112</v>
      </c>
      <c r="I241" s="270">
        <f t="shared" si="116"/>
        <v>28697</v>
      </c>
      <c r="J241" s="270">
        <f t="shared" si="116"/>
        <v>20510</v>
      </c>
      <c r="K241" s="270">
        <f t="shared" si="116"/>
        <v>22685</v>
      </c>
      <c r="L241" s="270">
        <f t="shared" si="116"/>
        <v>25146</v>
      </c>
      <c r="M241" s="270">
        <f t="shared" si="116"/>
        <v>31223</v>
      </c>
      <c r="N241" s="270">
        <f t="shared" si="116"/>
        <v>34475</v>
      </c>
      <c r="O241" s="270">
        <f t="shared" si="116"/>
        <v>34475</v>
      </c>
      <c r="P241" s="270">
        <f t="shared" si="116"/>
        <v>34475</v>
      </c>
      <c r="Q241" s="270">
        <f t="shared" si="116"/>
        <v>34475</v>
      </c>
      <c r="R241" s="270">
        <f t="shared" si="116"/>
        <v>34475</v>
      </c>
      <c r="S241" s="270">
        <f t="shared" si="114"/>
        <v>34475</v>
      </c>
      <c r="T241" s="270">
        <f t="shared" si="114"/>
        <v>34475</v>
      </c>
      <c r="U241" s="270">
        <f t="shared" si="113"/>
        <v>34475</v>
      </c>
      <c r="V241" s="270">
        <f t="shared" si="113"/>
        <v>34475</v>
      </c>
      <c r="W241" s="270">
        <f t="shared" si="113"/>
        <v>34475</v>
      </c>
      <c r="X241" s="270">
        <f t="shared" si="113"/>
        <v>34475</v>
      </c>
      <c r="Y241" s="270">
        <f t="shared" si="113"/>
        <v>34475</v>
      </c>
      <c r="Z241" s="270">
        <f t="shared" si="113"/>
        <v>34475</v>
      </c>
      <c r="AA241" s="270">
        <f t="shared" si="113"/>
        <v>34475</v>
      </c>
      <c r="AB241" s="270">
        <f t="shared" si="113"/>
        <v>34475</v>
      </c>
      <c r="AC241" s="270">
        <f t="shared" si="113"/>
        <v>34475</v>
      </c>
      <c r="AD241" s="270">
        <f t="shared" si="115"/>
        <v>34475</v>
      </c>
      <c r="AE241" s="270">
        <f t="shared" si="111"/>
        <v>34475</v>
      </c>
      <c r="AF241" s="270">
        <f t="shared" si="110"/>
        <v>34475</v>
      </c>
      <c r="AG241" s="270">
        <f t="shared" si="110"/>
        <v>34475</v>
      </c>
      <c r="AH241" s="270">
        <f t="shared" si="110"/>
        <v>34475</v>
      </c>
      <c r="AI241" s="270">
        <f t="shared" si="110"/>
        <v>34475</v>
      </c>
      <c r="AJ241" s="270">
        <f t="shared" si="110"/>
        <v>34475</v>
      </c>
      <c r="AK241" s="270">
        <f t="shared" si="110"/>
        <v>34475</v>
      </c>
      <c r="AL241" s="270">
        <f t="shared" si="110"/>
        <v>34475</v>
      </c>
      <c r="AM241" s="270">
        <f t="shared" si="110"/>
        <v>34475</v>
      </c>
    </row>
    <row r="242" spans="2:39" ht="15.75" thickBot="1" x14ac:dyDescent="0.35">
      <c r="B242" s="56" t="str">
        <f>input_names!$B$3</f>
        <v>benzine</v>
      </c>
      <c r="C242" s="61">
        <v>194</v>
      </c>
      <c r="D242" s="270">
        <f t="shared" si="116"/>
        <v>18615</v>
      </c>
      <c r="E242" s="270">
        <f t="shared" si="116"/>
        <v>22581</v>
      </c>
      <c r="F242" s="270">
        <f t="shared" si="116"/>
        <v>25627</v>
      </c>
      <c r="G242" s="270">
        <f t="shared" si="116"/>
        <v>27135</v>
      </c>
      <c r="H242" s="270">
        <f t="shared" si="116"/>
        <v>27540</v>
      </c>
      <c r="I242" s="270">
        <f t="shared" si="116"/>
        <v>29115</v>
      </c>
      <c r="J242" s="270">
        <f t="shared" si="116"/>
        <v>20942</v>
      </c>
      <c r="K242" s="270">
        <f t="shared" si="116"/>
        <v>23133</v>
      </c>
      <c r="L242" s="270">
        <f t="shared" si="116"/>
        <v>25594</v>
      </c>
      <c r="M242" s="270">
        <f t="shared" si="116"/>
        <v>31772</v>
      </c>
      <c r="N242" s="270">
        <f t="shared" si="116"/>
        <v>35043</v>
      </c>
      <c r="O242" s="270">
        <f t="shared" si="116"/>
        <v>35043</v>
      </c>
      <c r="P242" s="270">
        <f t="shared" si="116"/>
        <v>35043</v>
      </c>
      <c r="Q242" s="270">
        <f t="shared" si="116"/>
        <v>35043</v>
      </c>
      <c r="R242" s="270">
        <f t="shared" si="116"/>
        <v>35043</v>
      </c>
      <c r="S242" s="270">
        <f t="shared" si="114"/>
        <v>35043</v>
      </c>
      <c r="T242" s="270">
        <f t="shared" si="114"/>
        <v>35043</v>
      </c>
      <c r="U242" s="270">
        <f t="shared" si="113"/>
        <v>35043</v>
      </c>
      <c r="V242" s="270">
        <f t="shared" si="113"/>
        <v>35043</v>
      </c>
      <c r="W242" s="270">
        <f t="shared" si="113"/>
        <v>35043</v>
      </c>
      <c r="X242" s="270">
        <f t="shared" si="113"/>
        <v>35043</v>
      </c>
      <c r="Y242" s="270">
        <f t="shared" si="113"/>
        <v>35043</v>
      </c>
      <c r="Z242" s="270">
        <f t="shared" si="113"/>
        <v>35043</v>
      </c>
      <c r="AA242" s="270">
        <f t="shared" si="113"/>
        <v>35043</v>
      </c>
      <c r="AB242" s="270">
        <f t="shared" si="113"/>
        <v>35043</v>
      </c>
      <c r="AC242" s="270">
        <f t="shared" si="113"/>
        <v>35043</v>
      </c>
      <c r="AD242" s="270">
        <f t="shared" si="115"/>
        <v>35043</v>
      </c>
      <c r="AE242" s="270">
        <f t="shared" si="111"/>
        <v>35043</v>
      </c>
      <c r="AF242" s="270">
        <f t="shared" si="110"/>
        <v>35043</v>
      </c>
      <c r="AG242" s="270">
        <f t="shared" si="110"/>
        <v>35043</v>
      </c>
      <c r="AH242" s="270">
        <f t="shared" si="110"/>
        <v>35043</v>
      </c>
      <c r="AI242" s="270">
        <f t="shared" si="110"/>
        <v>35043</v>
      </c>
      <c r="AJ242" s="270">
        <f t="shared" si="110"/>
        <v>35043</v>
      </c>
      <c r="AK242" s="270">
        <f t="shared" si="110"/>
        <v>35043</v>
      </c>
      <c r="AL242" s="270">
        <f t="shared" si="110"/>
        <v>35043</v>
      </c>
      <c r="AM242" s="270">
        <f t="shared" si="110"/>
        <v>35043</v>
      </c>
    </row>
    <row r="243" spans="2:39" ht="15.75" thickBot="1" x14ac:dyDescent="0.35">
      <c r="B243" s="56" t="str">
        <f>input_names!$B$3</f>
        <v>benzine</v>
      </c>
      <c r="C243" s="61">
        <v>195</v>
      </c>
      <c r="D243" s="270">
        <f t="shared" si="116"/>
        <v>19049</v>
      </c>
      <c r="E243" s="270">
        <f t="shared" si="116"/>
        <v>23057</v>
      </c>
      <c r="F243" s="270">
        <f t="shared" si="116"/>
        <v>26099</v>
      </c>
      <c r="G243" s="270">
        <f t="shared" si="116"/>
        <v>27590</v>
      </c>
      <c r="H243" s="270">
        <f t="shared" si="116"/>
        <v>27968</v>
      </c>
      <c r="I243" s="270">
        <f t="shared" si="116"/>
        <v>29533</v>
      </c>
      <c r="J243" s="270">
        <f t="shared" si="116"/>
        <v>21374</v>
      </c>
      <c r="K243" s="270">
        <f t="shared" si="116"/>
        <v>23581</v>
      </c>
      <c r="L243" s="270">
        <f t="shared" si="116"/>
        <v>26042</v>
      </c>
      <c r="M243" s="270">
        <f t="shared" si="116"/>
        <v>32321</v>
      </c>
      <c r="N243" s="270">
        <f t="shared" si="116"/>
        <v>35611</v>
      </c>
      <c r="O243" s="270">
        <f t="shared" si="116"/>
        <v>35611</v>
      </c>
      <c r="P243" s="270">
        <f t="shared" si="116"/>
        <v>35611</v>
      </c>
      <c r="Q243" s="270">
        <f t="shared" si="116"/>
        <v>35611</v>
      </c>
      <c r="R243" s="270">
        <f t="shared" si="116"/>
        <v>35611</v>
      </c>
      <c r="S243" s="270">
        <f t="shared" si="114"/>
        <v>35611</v>
      </c>
      <c r="T243" s="270">
        <f t="shared" si="114"/>
        <v>35611</v>
      </c>
      <c r="U243" s="270">
        <f t="shared" si="113"/>
        <v>35611</v>
      </c>
      <c r="V243" s="270">
        <f t="shared" si="113"/>
        <v>35611</v>
      </c>
      <c r="W243" s="270">
        <f t="shared" si="113"/>
        <v>35611</v>
      </c>
      <c r="X243" s="270">
        <f t="shared" si="113"/>
        <v>35611</v>
      </c>
      <c r="Y243" s="270">
        <f t="shared" si="113"/>
        <v>35611</v>
      </c>
      <c r="Z243" s="270">
        <f t="shared" si="113"/>
        <v>35611</v>
      </c>
      <c r="AA243" s="270">
        <f t="shared" si="113"/>
        <v>35611</v>
      </c>
      <c r="AB243" s="270">
        <f t="shared" si="113"/>
        <v>35611</v>
      </c>
      <c r="AC243" s="270">
        <f t="shared" si="113"/>
        <v>35611</v>
      </c>
      <c r="AD243" s="270">
        <f t="shared" si="115"/>
        <v>35611</v>
      </c>
      <c r="AE243" s="270">
        <f t="shared" si="111"/>
        <v>35611</v>
      </c>
      <c r="AF243" s="270">
        <f t="shared" si="110"/>
        <v>35611</v>
      </c>
      <c r="AG243" s="270">
        <f t="shared" si="110"/>
        <v>35611</v>
      </c>
      <c r="AH243" s="270">
        <f t="shared" si="110"/>
        <v>35611</v>
      </c>
      <c r="AI243" s="270">
        <f t="shared" si="110"/>
        <v>35611</v>
      </c>
      <c r="AJ243" s="270">
        <f t="shared" si="110"/>
        <v>35611</v>
      </c>
      <c r="AK243" s="270">
        <f t="shared" si="110"/>
        <v>35611</v>
      </c>
      <c r="AL243" s="270">
        <f t="shared" si="110"/>
        <v>35611</v>
      </c>
      <c r="AM243" s="270">
        <f t="shared" si="110"/>
        <v>35611</v>
      </c>
    </row>
    <row r="244" spans="2:39" ht="15.75" thickBot="1" x14ac:dyDescent="0.35">
      <c r="B244" s="56" t="str">
        <f>input_names!$B$3</f>
        <v>benzine</v>
      </c>
      <c r="C244" s="61">
        <v>196</v>
      </c>
      <c r="D244" s="270">
        <f t="shared" si="116"/>
        <v>19483</v>
      </c>
      <c r="E244" s="270">
        <f t="shared" si="116"/>
        <v>23533</v>
      </c>
      <c r="F244" s="270">
        <f t="shared" si="116"/>
        <v>26571</v>
      </c>
      <c r="G244" s="270">
        <f t="shared" si="116"/>
        <v>28045</v>
      </c>
      <c r="H244" s="270">
        <f t="shared" si="116"/>
        <v>28396</v>
      </c>
      <c r="I244" s="270">
        <f t="shared" si="116"/>
        <v>29951</v>
      </c>
      <c r="J244" s="270">
        <f t="shared" si="116"/>
        <v>21806</v>
      </c>
      <c r="K244" s="270">
        <f t="shared" si="116"/>
        <v>24029</v>
      </c>
      <c r="L244" s="270">
        <f t="shared" si="116"/>
        <v>26490</v>
      </c>
      <c r="M244" s="270">
        <f t="shared" si="116"/>
        <v>32870</v>
      </c>
      <c r="N244" s="270">
        <f t="shared" si="116"/>
        <v>36179</v>
      </c>
      <c r="O244" s="270">
        <f t="shared" si="116"/>
        <v>36179</v>
      </c>
      <c r="P244" s="270">
        <f t="shared" si="116"/>
        <v>36179</v>
      </c>
      <c r="Q244" s="270">
        <f t="shared" si="116"/>
        <v>36179</v>
      </c>
      <c r="R244" s="270">
        <f t="shared" si="116"/>
        <v>36179</v>
      </c>
      <c r="S244" s="270">
        <f t="shared" si="114"/>
        <v>36179</v>
      </c>
      <c r="T244" s="270">
        <f t="shared" si="114"/>
        <v>36179</v>
      </c>
      <c r="U244" s="270">
        <f t="shared" si="113"/>
        <v>36179</v>
      </c>
      <c r="V244" s="270">
        <f t="shared" si="113"/>
        <v>36179</v>
      </c>
      <c r="W244" s="270">
        <f t="shared" si="113"/>
        <v>36179</v>
      </c>
      <c r="X244" s="270">
        <f t="shared" si="113"/>
        <v>36179</v>
      </c>
      <c r="Y244" s="270">
        <f t="shared" si="113"/>
        <v>36179</v>
      </c>
      <c r="Z244" s="270">
        <f t="shared" si="113"/>
        <v>36179</v>
      </c>
      <c r="AA244" s="270">
        <f t="shared" si="113"/>
        <v>36179</v>
      </c>
      <c r="AB244" s="270">
        <f t="shared" si="113"/>
        <v>36179</v>
      </c>
      <c r="AC244" s="270">
        <f t="shared" si="113"/>
        <v>36179</v>
      </c>
      <c r="AD244" s="270">
        <f t="shared" si="115"/>
        <v>36179</v>
      </c>
      <c r="AE244" s="270">
        <f t="shared" si="111"/>
        <v>36179</v>
      </c>
      <c r="AF244" s="270">
        <f t="shared" si="110"/>
        <v>36179</v>
      </c>
      <c r="AG244" s="270">
        <f t="shared" si="110"/>
        <v>36179</v>
      </c>
      <c r="AH244" s="270">
        <f t="shared" si="110"/>
        <v>36179</v>
      </c>
      <c r="AI244" s="270">
        <f t="shared" si="110"/>
        <v>36179</v>
      </c>
      <c r="AJ244" s="270">
        <f t="shared" si="110"/>
        <v>36179</v>
      </c>
      <c r="AK244" s="270">
        <f t="shared" si="110"/>
        <v>36179</v>
      </c>
      <c r="AL244" s="270">
        <f t="shared" si="110"/>
        <v>36179</v>
      </c>
      <c r="AM244" s="270">
        <f t="shared" si="110"/>
        <v>36179</v>
      </c>
    </row>
    <row r="245" spans="2:39" ht="15.75" thickBot="1" x14ac:dyDescent="0.35">
      <c r="B245" s="56" t="str">
        <f>input_names!$B$3</f>
        <v>benzine</v>
      </c>
      <c r="C245" s="61">
        <v>197</v>
      </c>
      <c r="D245" s="270">
        <f t="shared" si="116"/>
        <v>19917</v>
      </c>
      <c r="E245" s="270">
        <f t="shared" si="116"/>
        <v>24009</v>
      </c>
      <c r="F245" s="270">
        <f t="shared" si="116"/>
        <v>27043</v>
      </c>
      <c r="G245" s="270">
        <f t="shared" si="116"/>
        <v>28500</v>
      </c>
      <c r="H245" s="270">
        <f t="shared" si="116"/>
        <v>28824</v>
      </c>
      <c r="I245" s="270">
        <f t="shared" si="116"/>
        <v>30369</v>
      </c>
      <c r="J245" s="270">
        <f t="shared" si="116"/>
        <v>22238</v>
      </c>
      <c r="K245" s="270">
        <f t="shared" si="116"/>
        <v>24477</v>
      </c>
      <c r="L245" s="270">
        <f t="shared" si="116"/>
        <v>26938</v>
      </c>
      <c r="M245" s="270">
        <f t="shared" si="116"/>
        <v>33419</v>
      </c>
      <c r="N245" s="270">
        <f t="shared" si="116"/>
        <v>36747</v>
      </c>
      <c r="O245" s="270">
        <f t="shared" si="116"/>
        <v>36747</v>
      </c>
      <c r="P245" s="270">
        <f t="shared" si="116"/>
        <v>36747</v>
      </c>
      <c r="Q245" s="270">
        <f t="shared" si="116"/>
        <v>36747</v>
      </c>
      <c r="R245" s="270">
        <f t="shared" si="116"/>
        <v>36747</v>
      </c>
      <c r="S245" s="270">
        <f t="shared" si="114"/>
        <v>36747</v>
      </c>
      <c r="T245" s="270">
        <f t="shared" si="114"/>
        <v>36747</v>
      </c>
      <c r="U245" s="270">
        <f t="shared" si="113"/>
        <v>36747</v>
      </c>
      <c r="V245" s="270">
        <f t="shared" si="113"/>
        <v>36747</v>
      </c>
      <c r="W245" s="270">
        <f t="shared" si="113"/>
        <v>36747</v>
      </c>
      <c r="X245" s="270">
        <f t="shared" si="113"/>
        <v>36747</v>
      </c>
      <c r="Y245" s="270">
        <f t="shared" si="113"/>
        <v>36747</v>
      </c>
      <c r="Z245" s="270">
        <f t="shared" si="113"/>
        <v>36747</v>
      </c>
      <c r="AA245" s="270">
        <f t="shared" si="113"/>
        <v>36747</v>
      </c>
      <c r="AB245" s="270">
        <f t="shared" si="113"/>
        <v>36747</v>
      </c>
      <c r="AC245" s="270">
        <f t="shared" si="113"/>
        <v>36747</v>
      </c>
      <c r="AD245" s="270">
        <f t="shared" si="115"/>
        <v>36747</v>
      </c>
      <c r="AE245" s="270">
        <f t="shared" si="111"/>
        <v>36747</v>
      </c>
      <c r="AF245" s="270">
        <f t="shared" si="110"/>
        <v>36747</v>
      </c>
      <c r="AG245" s="270">
        <f t="shared" si="110"/>
        <v>36747</v>
      </c>
      <c r="AH245" s="270">
        <f t="shared" si="110"/>
        <v>36747</v>
      </c>
      <c r="AI245" s="270">
        <f t="shared" si="110"/>
        <v>36747</v>
      </c>
      <c r="AJ245" s="270">
        <f t="shared" si="110"/>
        <v>36747</v>
      </c>
      <c r="AK245" s="270">
        <f t="shared" si="110"/>
        <v>36747</v>
      </c>
      <c r="AL245" s="270">
        <f t="shared" ref="AF245:AM273" si="117">+MIN(MAX(0,$C245-AL$11),AL$12-AL$11)*AL$17
+MIN(MAX(0,$C245-AL$12),AL$13-AL$12)*AL$18
+MIN(MAX(0,$C245-AL$13),AL$14-AL$13)*AL$19
+MIN(MAX(0,$C245-AL$14),AL$15-AL$14)*AL$20
+MAX(0,$C245-AL$15)*AL$21
+AL$26</f>
        <v>36747</v>
      </c>
      <c r="AM245" s="270">
        <f t="shared" si="117"/>
        <v>36747</v>
      </c>
    </row>
    <row r="246" spans="2:39" ht="15.75" thickBot="1" x14ac:dyDescent="0.35">
      <c r="B246" s="56" t="str">
        <f>input_names!$B$3</f>
        <v>benzine</v>
      </c>
      <c r="C246" s="61">
        <v>198</v>
      </c>
      <c r="D246" s="270">
        <f t="shared" si="116"/>
        <v>20351</v>
      </c>
      <c r="E246" s="270">
        <f t="shared" si="116"/>
        <v>24485</v>
      </c>
      <c r="F246" s="270">
        <f t="shared" si="116"/>
        <v>27515</v>
      </c>
      <c r="G246" s="270">
        <f t="shared" si="116"/>
        <v>28955</v>
      </c>
      <c r="H246" s="270">
        <f t="shared" si="116"/>
        <v>29252</v>
      </c>
      <c r="I246" s="270">
        <f t="shared" si="116"/>
        <v>30787</v>
      </c>
      <c r="J246" s="270">
        <f t="shared" si="116"/>
        <v>22670</v>
      </c>
      <c r="K246" s="270">
        <f t="shared" si="116"/>
        <v>24925</v>
      </c>
      <c r="L246" s="270">
        <f t="shared" si="116"/>
        <v>27386</v>
      </c>
      <c r="M246" s="270">
        <f t="shared" si="116"/>
        <v>33968</v>
      </c>
      <c r="N246" s="270">
        <f t="shared" si="116"/>
        <v>37315</v>
      </c>
      <c r="O246" s="270">
        <f t="shared" si="116"/>
        <v>37315</v>
      </c>
      <c r="P246" s="270">
        <f t="shared" si="116"/>
        <v>37315</v>
      </c>
      <c r="Q246" s="270">
        <f t="shared" si="116"/>
        <v>37315</v>
      </c>
      <c r="R246" s="270">
        <f t="shared" si="116"/>
        <v>37315</v>
      </c>
      <c r="S246" s="270">
        <f t="shared" si="114"/>
        <v>37315</v>
      </c>
      <c r="T246" s="270">
        <f t="shared" si="114"/>
        <v>37315</v>
      </c>
      <c r="U246" s="270">
        <f t="shared" si="113"/>
        <v>37315</v>
      </c>
      <c r="V246" s="270">
        <f t="shared" si="113"/>
        <v>37315</v>
      </c>
      <c r="W246" s="270">
        <f t="shared" si="113"/>
        <v>37315</v>
      </c>
      <c r="X246" s="270">
        <f t="shared" si="113"/>
        <v>37315</v>
      </c>
      <c r="Y246" s="270">
        <f t="shared" si="113"/>
        <v>37315</v>
      </c>
      <c r="Z246" s="270">
        <f t="shared" si="113"/>
        <v>37315</v>
      </c>
      <c r="AA246" s="270">
        <f t="shared" si="113"/>
        <v>37315</v>
      </c>
      <c r="AB246" s="270">
        <f t="shared" si="113"/>
        <v>37315</v>
      </c>
      <c r="AC246" s="270">
        <f t="shared" si="113"/>
        <v>37315</v>
      </c>
      <c r="AD246" s="270">
        <f t="shared" si="115"/>
        <v>37315</v>
      </c>
      <c r="AE246" s="270">
        <f t="shared" si="111"/>
        <v>37315</v>
      </c>
      <c r="AF246" s="270">
        <f t="shared" si="117"/>
        <v>37315</v>
      </c>
      <c r="AG246" s="270">
        <f t="shared" si="117"/>
        <v>37315</v>
      </c>
      <c r="AH246" s="270">
        <f t="shared" si="117"/>
        <v>37315</v>
      </c>
      <c r="AI246" s="270">
        <f t="shared" si="117"/>
        <v>37315</v>
      </c>
      <c r="AJ246" s="270">
        <f t="shared" si="117"/>
        <v>37315</v>
      </c>
      <c r="AK246" s="270">
        <f t="shared" si="117"/>
        <v>37315</v>
      </c>
      <c r="AL246" s="270">
        <f t="shared" si="117"/>
        <v>37315</v>
      </c>
      <c r="AM246" s="270">
        <f t="shared" si="117"/>
        <v>37315</v>
      </c>
    </row>
    <row r="247" spans="2:39" ht="15.75" thickBot="1" x14ac:dyDescent="0.35">
      <c r="B247" s="56" t="str">
        <f>input_names!$B$3</f>
        <v>benzine</v>
      </c>
      <c r="C247" s="61">
        <v>199</v>
      </c>
      <c r="D247" s="270">
        <f t="shared" si="116"/>
        <v>20785</v>
      </c>
      <c r="E247" s="270">
        <f t="shared" si="116"/>
        <v>24961</v>
      </c>
      <c r="F247" s="270">
        <f t="shared" si="116"/>
        <v>27987</v>
      </c>
      <c r="G247" s="270">
        <f t="shared" si="116"/>
        <v>29410</v>
      </c>
      <c r="H247" s="270">
        <f t="shared" si="116"/>
        <v>29680</v>
      </c>
      <c r="I247" s="270">
        <f t="shared" si="116"/>
        <v>31205</v>
      </c>
      <c r="J247" s="270">
        <f t="shared" si="116"/>
        <v>23102</v>
      </c>
      <c r="K247" s="270">
        <f t="shared" si="116"/>
        <v>25373</v>
      </c>
      <c r="L247" s="270">
        <f t="shared" si="116"/>
        <v>27834</v>
      </c>
      <c r="M247" s="270">
        <f t="shared" si="116"/>
        <v>34517</v>
      </c>
      <c r="N247" s="270">
        <f t="shared" si="116"/>
        <v>37883</v>
      </c>
      <c r="O247" s="270">
        <f t="shared" si="116"/>
        <v>37883</v>
      </c>
      <c r="P247" s="270">
        <f t="shared" si="116"/>
        <v>37883</v>
      </c>
      <c r="Q247" s="270">
        <f t="shared" si="116"/>
        <v>37883</v>
      </c>
      <c r="R247" s="270">
        <f t="shared" si="116"/>
        <v>37883</v>
      </c>
      <c r="S247" s="270">
        <f t="shared" si="114"/>
        <v>37883</v>
      </c>
      <c r="T247" s="270">
        <f t="shared" si="114"/>
        <v>37883</v>
      </c>
      <c r="U247" s="270">
        <f t="shared" si="113"/>
        <v>37883</v>
      </c>
      <c r="V247" s="270">
        <f t="shared" si="113"/>
        <v>37883</v>
      </c>
      <c r="W247" s="270">
        <f t="shared" si="113"/>
        <v>37883</v>
      </c>
      <c r="X247" s="270">
        <f t="shared" si="113"/>
        <v>37883</v>
      </c>
      <c r="Y247" s="270">
        <f t="shared" si="113"/>
        <v>37883</v>
      </c>
      <c r="Z247" s="270">
        <f t="shared" si="113"/>
        <v>37883</v>
      </c>
      <c r="AA247" s="270">
        <f t="shared" si="113"/>
        <v>37883</v>
      </c>
      <c r="AB247" s="270">
        <f t="shared" si="113"/>
        <v>37883</v>
      </c>
      <c r="AC247" s="270">
        <f t="shared" si="113"/>
        <v>37883</v>
      </c>
      <c r="AD247" s="270">
        <f t="shared" si="115"/>
        <v>37883</v>
      </c>
      <c r="AE247" s="270">
        <f t="shared" si="111"/>
        <v>37883</v>
      </c>
      <c r="AF247" s="270">
        <f t="shared" si="117"/>
        <v>37883</v>
      </c>
      <c r="AG247" s="270">
        <f t="shared" si="117"/>
        <v>37883</v>
      </c>
      <c r="AH247" s="270">
        <f t="shared" si="117"/>
        <v>37883</v>
      </c>
      <c r="AI247" s="270">
        <f t="shared" si="117"/>
        <v>37883</v>
      </c>
      <c r="AJ247" s="270">
        <f t="shared" si="117"/>
        <v>37883</v>
      </c>
      <c r="AK247" s="270">
        <f t="shared" si="117"/>
        <v>37883</v>
      </c>
      <c r="AL247" s="270">
        <f t="shared" si="117"/>
        <v>37883</v>
      </c>
      <c r="AM247" s="270">
        <f t="shared" si="117"/>
        <v>37883</v>
      </c>
    </row>
    <row r="248" spans="2:39" ht="15.75" thickBot="1" x14ac:dyDescent="0.35">
      <c r="B248" s="56" t="str">
        <f>input_names!$B$3</f>
        <v>benzine</v>
      </c>
      <c r="C248" s="61">
        <v>200</v>
      </c>
      <c r="D248" s="270">
        <f t="shared" si="116"/>
        <v>21219</v>
      </c>
      <c r="E248" s="270">
        <f t="shared" si="116"/>
        <v>25437</v>
      </c>
      <c r="F248" s="270">
        <f t="shared" si="116"/>
        <v>28459</v>
      </c>
      <c r="G248" s="270">
        <f t="shared" si="116"/>
        <v>29865</v>
      </c>
      <c r="H248" s="270">
        <f t="shared" si="116"/>
        <v>30108</v>
      </c>
      <c r="I248" s="270">
        <f t="shared" si="116"/>
        <v>31623</v>
      </c>
      <c r="J248" s="270">
        <f t="shared" si="116"/>
        <v>23534</v>
      </c>
      <c r="K248" s="270">
        <f t="shared" si="116"/>
        <v>25821</v>
      </c>
      <c r="L248" s="270">
        <f t="shared" si="116"/>
        <v>28282</v>
      </c>
      <c r="M248" s="270">
        <f t="shared" si="116"/>
        <v>35066</v>
      </c>
      <c r="N248" s="270">
        <f t="shared" si="116"/>
        <v>38451</v>
      </c>
      <c r="O248" s="270">
        <f t="shared" si="116"/>
        <v>38451</v>
      </c>
      <c r="P248" s="270">
        <f t="shared" si="116"/>
        <v>38451</v>
      </c>
      <c r="Q248" s="270">
        <f t="shared" si="116"/>
        <v>38451</v>
      </c>
      <c r="R248" s="270">
        <f t="shared" si="116"/>
        <v>38451</v>
      </c>
      <c r="S248" s="270">
        <f t="shared" ref="S248:T279" si="118">+MIN(MAX(0,$C248-S$11),S$12-S$11)*S$17
+MIN(MAX(0,$C248-S$12),S$13-S$12)*S$18
+MIN(MAX(0,$C248-S$13),S$14-S$13)*S$19
+MIN(MAX(0,$C248-S$14),S$15-S$14)*S$20
+MAX(0,$C248-S$15)*S$21
+S$26</f>
        <v>38451</v>
      </c>
      <c r="T248" s="270">
        <f t="shared" si="118"/>
        <v>38451</v>
      </c>
      <c r="U248" s="270">
        <f t="shared" si="113"/>
        <v>38451</v>
      </c>
      <c r="V248" s="270">
        <f t="shared" si="113"/>
        <v>38451</v>
      </c>
      <c r="W248" s="270">
        <f t="shared" si="113"/>
        <v>38451</v>
      </c>
      <c r="X248" s="270">
        <f t="shared" si="113"/>
        <v>38451</v>
      </c>
      <c r="Y248" s="270">
        <f t="shared" si="113"/>
        <v>38451</v>
      </c>
      <c r="Z248" s="270">
        <f t="shared" si="113"/>
        <v>38451</v>
      </c>
      <c r="AA248" s="270">
        <f t="shared" si="113"/>
        <v>38451</v>
      </c>
      <c r="AB248" s="270">
        <f t="shared" si="113"/>
        <v>38451</v>
      </c>
      <c r="AC248" s="270">
        <f t="shared" si="113"/>
        <v>38451</v>
      </c>
      <c r="AD248" s="270">
        <f t="shared" si="115"/>
        <v>38451</v>
      </c>
      <c r="AE248" s="270">
        <f t="shared" si="111"/>
        <v>38451</v>
      </c>
      <c r="AF248" s="270">
        <f t="shared" si="117"/>
        <v>38451</v>
      </c>
      <c r="AG248" s="270">
        <f t="shared" si="117"/>
        <v>38451</v>
      </c>
      <c r="AH248" s="270">
        <f t="shared" si="117"/>
        <v>38451</v>
      </c>
      <c r="AI248" s="270">
        <f t="shared" si="117"/>
        <v>38451</v>
      </c>
      <c r="AJ248" s="270">
        <f t="shared" si="117"/>
        <v>38451</v>
      </c>
      <c r="AK248" s="270">
        <f t="shared" si="117"/>
        <v>38451</v>
      </c>
      <c r="AL248" s="270">
        <f t="shared" si="117"/>
        <v>38451</v>
      </c>
      <c r="AM248" s="270">
        <f t="shared" si="117"/>
        <v>38451</v>
      </c>
    </row>
    <row r="249" spans="2:39" ht="15.75" thickBot="1" x14ac:dyDescent="0.35">
      <c r="B249" s="56" t="str">
        <f>input_names!$B$3</f>
        <v>benzine</v>
      </c>
      <c r="C249" s="61">
        <v>201</v>
      </c>
      <c r="D249" s="270">
        <f t="shared" si="116"/>
        <v>21653</v>
      </c>
      <c r="E249" s="270">
        <f t="shared" si="116"/>
        <v>25913</v>
      </c>
      <c r="F249" s="270">
        <f t="shared" si="116"/>
        <v>28931</v>
      </c>
      <c r="G249" s="270">
        <f t="shared" si="116"/>
        <v>30320</v>
      </c>
      <c r="H249" s="270">
        <f t="shared" si="116"/>
        <v>30536</v>
      </c>
      <c r="I249" s="270">
        <f t="shared" si="116"/>
        <v>32041</v>
      </c>
      <c r="J249" s="270">
        <f t="shared" si="116"/>
        <v>23966</v>
      </c>
      <c r="K249" s="270">
        <f t="shared" si="116"/>
        <v>26269</v>
      </c>
      <c r="L249" s="270">
        <f t="shared" si="116"/>
        <v>28730</v>
      </c>
      <c r="M249" s="270">
        <f t="shared" si="116"/>
        <v>35615</v>
      </c>
      <c r="N249" s="270">
        <f t="shared" si="116"/>
        <v>39019</v>
      </c>
      <c r="O249" s="270">
        <f t="shared" si="116"/>
        <v>39019</v>
      </c>
      <c r="P249" s="270">
        <f t="shared" si="116"/>
        <v>39019</v>
      </c>
      <c r="Q249" s="270">
        <f t="shared" si="116"/>
        <v>39019</v>
      </c>
      <c r="R249" s="270">
        <f t="shared" si="116"/>
        <v>39019</v>
      </c>
      <c r="S249" s="270">
        <f t="shared" si="118"/>
        <v>39019</v>
      </c>
      <c r="T249" s="270">
        <f t="shared" si="118"/>
        <v>39019</v>
      </c>
      <c r="U249" s="270">
        <f t="shared" si="113"/>
        <v>39019</v>
      </c>
      <c r="V249" s="270">
        <f t="shared" si="113"/>
        <v>39019</v>
      </c>
      <c r="W249" s="270">
        <f t="shared" si="113"/>
        <v>39019</v>
      </c>
      <c r="X249" s="270">
        <f t="shared" si="113"/>
        <v>39019</v>
      </c>
      <c r="Y249" s="270">
        <f t="shared" si="113"/>
        <v>39019</v>
      </c>
      <c r="Z249" s="270">
        <f t="shared" si="113"/>
        <v>39019</v>
      </c>
      <c r="AA249" s="270">
        <f t="shared" si="113"/>
        <v>39019</v>
      </c>
      <c r="AB249" s="270">
        <f t="shared" si="113"/>
        <v>39019</v>
      </c>
      <c r="AC249" s="270">
        <f t="shared" si="113"/>
        <v>39019</v>
      </c>
      <c r="AD249" s="270">
        <f t="shared" si="115"/>
        <v>39019</v>
      </c>
      <c r="AE249" s="270">
        <f t="shared" si="111"/>
        <v>39019</v>
      </c>
      <c r="AF249" s="270">
        <f t="shared" si="117"/>
        <v>39019</v>
      </c>
      <c r="AG249" s="270">
        <f t="shared" si="117"/>
        <v>39019</v>
      </c>
      <c r="AH249" s="270">
        <f t="shared" si="117"/>
        <v>39019</v>
      </c>
      <c r="AI249" s="270">
        <f t="shared" si="117"/>
        <v>39019</v>
      </c>
      <c r="AJ249" s="270">
        <f t="shared" si="117"/>
        <v>39019</v>
      </c>
      <c r="AK249" s="270">
        <f t="shared" si="117"/>
        <v>39019</v>
      </c>
      <c r="AL249" s="270">
        <f t="shared" si="117"/>
        <v>39019</v>
      </c>
      <c r="AM249" s="270">
        <f t="shared" si="117"/>
        <v>39019</v>
      </c>
    </row>
    <row r="250" spans="2:39" ht="15.75" thickBot="1" x14ac:dyDescent="0.35">
      <c r="B250" s="56" t="str">
        <f>input_names!$B$3</f>
        <v>benzine</v>
      </c>
      <c r="C250" s="61">
        <v>202</v>
      </c>
      <c r="D250" s="270">
        <f t="shared" si="116"/>
        <v>22087</v>
      </c>
      <c r="E250" s="270">
        <f t="shared" si="116"/>
        <v>26389</v>
      </c>
      <c r="F250" s="270">
        <f t="shared" si="116"/>
        <v>29403</v>
      </c>
      <c r="G250" s="270">
        <f t="shared" si="116"/>
        <v>30775</v>
      </c>
      <c r="H250" s="270">
        <f t="shared" si="116"/>
        <v>30964</v>
      </c>
      <c r="I250" s="270">
        <f t="shared" si="116"/>
        <v>32459</v>
      </c>
      <c r="J250" s="270">
        <f t="shared" si="116"/>
        <v>24398</v>
      </c>
      <c r="K250" s="270">
        <f t="shared" si="116"/>
        <v>26717</v>
      </c>
      <c r="L250" s="270">
        <f t="shared" si="116"/>
        <v>29178</v>
      </c>
      <c r="M250" s="270">
        <f t="shared" si="116"/>
        <v>36164</v>
      </c>
      <c r="N250" s="270">
        <f t="shared" si="116"/>
        <v>39587</v>
      </c>
      <c r="O250" s="270">
        <f t="shared" si="116"/>
        <v>39587</v>
      </c>
      <c r="P250" s="270">
        <f t="shared" si="116"/>
        <v>39587</v>
      </c>
      <c r="Q250" s="270">
        <f t="shared" si="116"/>
        <v>39587</v>
      </c>
      <c r="R250" s="270">
        <f t="shared" si="116"/>
        <v>39587</v>
      </c>
      <c r="S250" s="270">
        <f t="shared" si="118"/>
        <v>39587</v>
      </c>
      <c r="T250" s="270">
        <f t="shared" si="118"/>
        <v>39587</v>
      </c>
      <c r="U250" s="270">
        <f t="shared" si="113"/>
        <v>39587</v>
      </c>
      <c r="V250" s="270">
        <f t="shared" si="113"/>
        <v>39587</v>
      </c>
      <c r="W250" s="270">
        <f t="shared" si="113"/>
        <v>39587</v>
      </c>
      <c r="X250" s="270">
        <f t="shared" si="113"/>
        <v>39587</v>
      </c>
      <c r="Y250" s="270">
        <f t="shared" si="113"/>
        <v>39587</v>
      </c>
      <c r="Z250" s="270">
        <f t="shared" si="113"/>
        <v>39587</v>
      </c>
      <c r="AA250" s="270">
        <f t="shared" si="113"/>
        <v>39587</v>
      </c>
      <c r="AB250" s="270">
        <f t="shared" si="113"/>
        <v>39587</v>
      </c>
      <c r="AC250" s="270">
        <f t="shared" si="113"/>
        <v>39587</v>
      </c>
      <c r="AD250" s="270">
        <f t="shared" si="115"/>
        <v>39587</v>
      </c>
      <c r="AE250" s="270">
        <f t="shared" si="111"/>
        <v>39587</v>
      </c>
      <c r="AF250" s="270">
        <f t="shared" si="117"/>
        <v>39587</v>
      </c>
      <c r="AG250" s="270">
        <f t="shared" si="117"/>
        <v>39587</v>
      </c>
      <c r="AH250" s="270">
        <f t="shared" si="117"/>
        <v>39587</v>
      </c>
      <c r="AI250" s="270">
        <f t="shared" si="117"/>
        <v>39587</v>
      </c>
      <c r="AJ250" s="270">
        <f t="shared" si="117"/>
        <v>39587</v>
      </c>
      <c r="AK250" s="270">
        <f t="shared" si="117"/>
        <v>39587</v>
      </c>
      <c r="AL250" s="270">
        <f t="shared" si="117"/>
        <v>39587</v>
      </c>
      <c r="AM250" s="270">
        <f t="shared" si="117"/>
        <v>39587</v>
      </c>
    </row>
    <row r="251" spans="2:39" ht="15.75" thickBot="1" x14ac:dyDescent="0.35">
      <c r="B251" s="56" t="str">
        <f>input_names!$B$3</f>
        <v>benzine</v>
      </c>
      <c r="C251" s="61">
        <v>203</v>
      </c>
      <c r="D251" s="270">
        <f t="shared" si="116"/>
        <v>22521</v>
      </c>
      <c r="E251" s="270">
        <f t="shared" si="116"/>
        <v>26865</v>
      </c>
      <c r="F251" s="270">
        <f t="shared" si="116"/>
        <v>29875</v>
      </c>
      <c r="G251" s="270">
        <f t="shared" si="116"/>
        <v>31230</v>
      </c>
      <c r="H251" s="270">
        <f t="shared" si="116"/>
        <v>31392</v>
      </c>
      <c r="I251" s="270">
        <f t="shared" si="116"/>
        <v>32877</v>
      </c>
      <c r="J251" s="270">
        <f t="shared" si="116"/>
        <v>24830</v>
      </c>
      <c r="K251" s="270">
        <f t="shared" si="116"/>
        <v>27165</v>
      </c>
      <c r="L251" s="270">
        <f t="shared" si="116"/>
        <v>29626</v>
      </c>
      <c r="M251" s="270">
        <f t="shared" si="116"/>
        <v>36713</v>
      </c>
      <c r="N251" s="270">
        <f t="shared" si="116"/>
        <v>40155</v>
      </c>
      <c r="O251" s="270">
        <f t="shared" si="116"/>
        <v>40155</v>
      </c>
      <c r="P251" s="270">
        <f t="shared" si="116"/>
        <v>40155</v>
      </c>
      <c r="Q251" s="270">
        <f t="shared" si="116"/>
        <v>40155</v>
      </c>
      <c r="R251" s="270">
        <f t="shared" si="116"/>
        <v>40155</v>
      </c>
      <c r="S251" s="270">
        <f t="shared" si="118"/>
        <v>40155</v>
      </c>
      <c r="T251" s="270">
        <f t="shared" si="118"/>
        <v>40155</v>
      </c>
      <c r="U251" s="270">
        <f t="shared" si="113"/>
        <v>40155</v>
      </c>
      <c r="V251" s="270">
        <f t="shared" si="113"/>
        <v>40155</v>
      </c>
      <c r="W251" s="270">
        <f t="shared" si="113"/>
        <v>40155</v>
      </c>
      <c r="X251" s="270">
        <f t="shared" si="113"/>
        <v>40155</v>
      </c>
      <c r="Y251" s="270">
        <f t="shared" si="113"/>
        <v>40155</v>
      </c>
      <c r="Z251" s="270">
        <f t="shared" si="113"/>
        <v>40155</v>
      </c>
      <c r="AA251" s="270">
        <f t="shared" si="113"/>
        <v>40155</v>
      </c>
      <c r="AB251" s="270">
        <f t="shared" si="113"/>
        <v>40155</v>
      </c>
      <c r="AC251" s="270">
        <f t="shared" si="113"/>
        <v>40155</v>
      </c>
      <c r="AD251" s="270">
        <f t="shared" si="115"/>
        <v>40155</v>
      </c>
      <c r="AE251" s="270">
        <f t="shared" si="111"/>
        <v>40155</v>
      </c>
      <c r="AF251" s="270">
        <f t="shared" si="117"/>
        <v>40155</v>
      </c>
      <c r="AG251" s="270">
        <f t="shared" si="117"/>
        <v>40155</v>
      </c>
      <c r="AH251" s="270">
        <f t="shared" si="117"/>
        <v>40155</v>
      </c>
      <c r="AI251" s="270">
        <f t="shared" si="117"/>
        <v>40155</v>
      </c>
      <c r="AJ251" s="270">
        <f t="shared" si="117"/>
        <v>40155</v>
      </c>
      <c r="AK251" s="270">
        <f t="shared" si="117"/>
        <v>40155</v>
      </c>
      <c r="AL251" s="270">
        <f t="shared" si="117"/>
        <v>40155</v>
      </c>
      <c r="AM251" s="270">
        <f t="shared" si="117"/>
        <v>40155</v>
      </c>
    </row>
    <row r="252" spans="2:39" ht="15.75" thickBot="1" x14ac:dyDescent="0.35">
      <c r="B252" s="56" t="str">
        <f>input_names!$B$3</f>
        <v>benzine</v>
      </c>
      <c r="C252" s="61">
        <v>204</v>
      </c>
      <c r="D252" s="270">
        <f t="shared" si="116"/>
        <v>22955</v>
      </c>
      <c r="E252" s="270">
        <f t="shared" si="116"/>
        <v>27341</v>
      </c>
      <c r="F252" s="270">
        <f t="shared" si="116"/>
        <v>30347</v>
      </c>
      <c r="G252" s="270">
        <f t="shared" si="116"/>
        <v>31685</v>
      </c>
      <c r="H252" s="270">
        <f t="shared" si="116"/>
        <v>31820</v>
      </c>
      <c r="I252" s="270">
        <f t="shared" si="116"/>
        <v>33295</v>
      </c>
      <c r="J252" s="270">
        <f t="shared" si="116"/>
        <v>25262</v>
      </c>
      <c r="K252" s="270">
        <f t="shared" si="116"/>
        <v>27613</v>
      </c>
      <c r="L252" s="270">
        <f t="shared" si="116"/>
        <v>30074</v>
      </c>
      <c r="M252" s="270">
        <f t="shared" si="116"/>
        <v>37262</v>
      </c>
      <c r="N252" s="270">
        <f t="shared" si="116"/>
        <v>40723</v>
      </c>
      <c r="O252" s="270">
        <f t="shared" si="116"/>
        <v>40723</v>
      </c>
      <c r="P252" s="270">
        <f t="shared" si="116"/>
        <v>40723</v>
      </c>
      <c r="Q252" s="270">
        <f t="shared" si="116"/>
        <v>40723</v>
      </c>
      <c r="R252" s="270">
        <f t="shared" si="116"/>
        <v>40723</v>
      </c>
      <c r="S252" s="270">
        <f t="shared" si="118"/>
        <v>40723</v>
      </c>
      <c r="T252" s="270">
        <f t="shared" si="118"/>
        <v>40723</v>
      </c>
      <c r="U252" s="270">
        <f t="shared" si="113"/>
        <v>40723</v>
      </c>
      <c r="V252" s="270">
        <f t="shared" si="113"/>
        <v>40723</v>
      </c>
      <c r="W252" s="270">
        <f t="shared" si="113"/>
        <v>40723</v>
      </c>
      <c r="X252" s="270">
        <f t="shared" si="113"/>
        <v>40723</v>
      </c>
      <c r="Y252" s="270">
        <f t="shared" si="113"/>
        <v>40723</v>
      </c>
      <c r="Z252" s="270">
        <f t="shared" si="113"/>
        <v>40723</v>
      </c>
      <c r="AA252" s="270">
        <f t="shared" si="113"/>
        <v>40723</v>
      </c>
      <c r="AB252" s="270">
        <f t="shared" si="113"/>
        <v>40723</v>
      </c>
      <c r="AC252" s="270">
        <f t="shared" si="113"/>
        <v>40723</v>
      </c>
      <c r="AD252" s="270">
        <f t="shared" si="115"/>
        <v>40723</v>
      </c>
      <c r="AE252" s="270">
        <f t="shared" si="111"/>
        <v>40723</v>
      </c>
      <c r="AF252" s="270">
        <f t="shared" si="117"/>
        <v>40723</v>
      </c>
      <c r="AG252" s="270">
        <f t="shared" si="117"/>
        <v>40723</v>
      </c>
      <c r="AH252" s="270">
        <f t="shared" si="117"/>
        <v>40723</v>
      </c>
      <c r="AI252" s="270">
        <f t="shared" si="117"/>
        <v>40723</v>
      </c>
      <c r="AJ252" s="270">
        <f t="shared" si="117"/>
        <v>40723</v>
      </c>
      <c r="AK252" s="270">
        <f t="shared" si="117"/>
        <v>40723</v>
      </c>
      <c r="AL252" s="270">
        <f t="shared" si="117"/>
        <v>40723</v>
      </c>
      <c r="AM252" s="270">
        <f t="shared" si="117"/>
        <v>40723</v>
      </c>
    </row>
    <row r="253" spans="2:39" ht="15.75" thickBot="1" x14ac:dyDescent="0.35">
      <c r="B253" s="56" t="str">
        <f>input_names!$B$3</f>
        <v>benzine</v>
      </c>
      <c r="C253" s="61">
        <v>205</v>
      </c>
      <c r="D253" s="270">
        <f t="shared" si="116"/>
        <v>23389</v>
      </c>
      <c r="E253" s="270">
        <f t="shared" si="116"/>
        <v>27817</v>
      </c>
      <c r="F253" s="270">
        <f t="shared" si="116"/>
        <v>30819</v>
      </c>
      <c r="G253" s="270">
        <f t="shared" si="116"/>
        <v>32140</v>
      </c>
      <c r="H253" s="270">
        <f t="shared" si="116"/>
        <v>32248</v>
      </c>
      <c r="I253" s="270">
        <f t="shared" si="116"/>
        <v>33713</v>
      </c>
      <c r="J253" s="270">
        <f t="shared" si="116"/>
        <v>25694</v>
      </c>
      <c r="K253" s="270">
        <f t="shared" si="116"/>
        <v>28061</v>
      </c>
      <c r="L253" s="270">
        <f t="shared" si="116"/>
        <v>30522</v>
      </c>
      <c r="M253" s="270">
        <f t="shared" si="116"/>
        <v>37811</v>
      </c>
      <c r="N253" s="270">
        <f t="shared" si="116"/>
        <v>41291</v>
      </c>
      <c r="O253" s="270">
        <f t="shared" si="116"/>
        <v>41291</v>
      </c>
      <c r="P253" s="270">
        <f t="shared" si="116"/>
        <v>41291</v>
      </c>
      <c r="Q253" s="270">
        <f t="shared" si="116"/>
        <v>41291</v>
      </c>
      <c r="R253" s="270">
        <f t="shared" si="116"/>
        <v>41291</v>
      </c>
      <c r="S253" s="270">
        <f t="shared" si="118"/>
        <v>41291</v>
      </c>
      <c r="T253" s="270">
        <f t="shared" si="118"/>
        <v>41291</v>
      </c>
      <c r="U253" s="270">
        <f t="shared" si="113"/>
        <v>41291</v>
      </c>
      <c r="V253" s="270">
        <f t="shared" si="113"/>
        <v>41291</v>
      </c>
      <c r="W253" s="270">
        <f t="shared" si="113"/>
        <v>41291</v>
      </c>
      <c r="X253" s="270">
        <f t="shared" si="113"/>
        <v>41291</v>
      </c>
      <c r="Y253" s="270">
        <f t="shared" si="113"/>
        <v>41291</v>
      </c>
      <c r="Z253" s="270">
        <f t="shared" si="113"/>
        <v>41291</v>
      </c>
      <c r="AA253" s="270">
        <f t="shared" si="113"/>
        <v>41291</v>
      </c>
      <c r="AB253" s="270">
        <f t="shared" si="113"/>
        <v>41291</v>
      </c>
      <c r="AC253" s="270">
        <f t="shared" si="113"/>
        <v>41291</v>
      </c>
      <c r="AD253" s="270">
        <f t="shared" si="115"/>
        <v>41291</v>
      </c>
      <c r="AE253" s="270">
        <f t="shared" si="111"/>
        <v>41291</v>
      </c>
      <c r="AF253" s="270">
        <f t="shared" si="117"/>
        <v>41291</v>
      </c>
      <c r="AG253" s="270">
        <f t="shared" si="117"/>
        <v>41291</v>
      </c>
      <c r="AH253" s="270">
        <f t="shared" si="117"/>
        <v>41291</v>
      </c>
      <c r="AI253" s="270">
        <f t="shared" si="117"/>
        <v>41291</v>
      </c>
      <c r="AJ253" s="270">
        <f t="shared" si="117"/>
        <v>41291</v>
      </c>
      <c r="AK253" s="270">
        <f t="shared" si="117"/>
        <v>41291</v>
      </c>
      <c r="AL253" s="270">
        <f t="shared" si="117"/>
        <v>41291</v>
      </c>
      <c r="AM253" s="270">
        <f t="shared" si="117"/>
        <v>41291</v>
      </c>
    </row>
    <row r="254" spans="2:39" ht="15.75" thickBot="1" x14ac:dyDescent="0.35">
      <c r="B254" s="56" t="str">
        <f>input_names!$B$3</f>
        <v>benzine</v>
      </c>
      <c r="C254" s="61">
        <v>206</v>
      </c>
      <c r="D254" s="270">
        <f t="shared" si="116"/>
        <v>23823</v>
      </c>
      <c r="E254" s="270">
        <f t="shared" si="116"/>
        <v>28293</v>
      </c>
      <c r="F254" s="270">
        <f t="shared" si="116"/>
        <v>31291</v>
      </c>
      <c r="G254" s="270">
        <f t="shared" si="116"/>
        <v>32595</v>
      </c>
      <c r="H254" s="270">
        <f t="shared" si="116"/>
        <v>32676</v>
      </c>
      <c r="I254" s="270">
        <f t="shared" si="116"/>
        <v>34131</v>
      </c>
      <c r="J254" s="270">
        <f t="shared" si="116"/>
        <v>26126</v>
      </c>
      <c r="K254" s="270">
        <f t="shared" si="116"/>
        <v>28509</v>
      </c>
      <c r="L254" s="270">
        <f t="shared" si="116"/>
        <v>30970</v>
      </c>
      <c r="M254" s="270">
        <f t="shared" si="116"/>
        <v>38360</v>
      </c>
      <c r="N254" s="270">
        <f t="shared" si="116"/>
        <v>41859</v>
      </c>
      <c r="O254" s="270">
        <f t="shared" si="116"/>
        <v>41859</v>
      </c>
      <c r="P254" s="270">
        <f t="shared" si="116"/>
        <v>41859</v>
      </c>
      <c r="Q254" s="270">
        <f t="shared" si="116"/>
        <v>41859</v>
      </c>
      <c r="R254" s="270">
        <f t="shared" si="116"/>
        <v>41859</v>
      </c>
      <c r="S254" s="270">
        <f t="shared" si="118"/>
        <v>41859</v>
      </c>
      <c r="T254" s="270">
        <f t="shared" si="118"/>
        <v>41859</v>
      </c>
      <c r="U254" s="270">
        <f t="shared" si="113"/>
        <v>41859</v>
      </c>
      <c r="V254" s="270">
        <f t="shared" si="113"/>
        <v>41859</v>
      </c>
      <c r="W254" s="270">
        <f t="shared" si="113"/>
        <v>41859</v>
      </c>
      <c r="X254" s="270">
        <f t="shared" si="113"/>
        <v>41859</v>
      </c>
      <c r="Y254" s="270">
        <f t="shared" si="113"/>
        <v>41859</v>
      </c>
      <c r="Z254" s="270">
        <f t="shared" si="113"/>
        <v>41859</v>
      </c>
      <c r="AA254" s="270">
        <f t="shared" si="113"/>
        <v>41859</v>
      </c>
      <c r="AB254" s="270">
        <f t="shared" si="113"/>
        <v>41859</v>
      </c>
      <c r="AC254" s="270">
        <f t="shared" si="113"/>
        <v>41859</v>
      </c>
      <c r="AD254" s="270">
        <f t="shared" si="115"/>
        <v>41859</v>
      </c>
      <c r="AE254" s="270">
        <f t="shared" si="111"/>
        <v>41859</v>
      </c>
      <c r="AF254" s="270">
        <f t="shared" si="117"/>
        <v>41859</v>
      </c>
      <c r="AG254" s="270">
        <f t="shared" si="117"/>
        <v>41859</v>
      </c>
      <c r="AH254" s="270">
        <f t="shared" si="117"/>
        <v>41859</v>
      </c>
      <c r="AI254" s="270">
        <f t="shared" si="117"/>
        <v>41859</v>
      </c>
      <c r="AJ254" s="270">
        <f t="shared" si="117"/>
        <v>41859</v>
      </c>
      <c r="AK254" s="270">
        <f t="shared" si="117"/>
        <v>41859</v>
      </c>
      <c r="AL254" s="270">
        <f t="shared" si="117"/>
        <v>41859</v>
      </c>
      <c r="AM254" s="270">
        <f t="shared" si="117"/>
        <v>41859</v>
      </c>
    </row>
    <row r="255" spans="2:39" ht="15.75" thickBot="1" x14ac:dyDescent="0.35">
      <c r="B255" s="56" t="str">
        <f>input_names!$B$3</f>
        <v>benzine</v>
      </c>
      <c r="C255" s="61">
        <v>207</v>
      </c>
      <c r="D255" s="270">
        <f t="shared" si="116"/>
        <v>24257</v>
      </c>
      <c r="E255" s="270">
        <f t="shared" si="116"/>
        <v>28769</v>
      </c>
      <c r="F255" s="270">
        <f t="shared" si="116"/>
        <v>31763</v>
      </c>
      <c r="G255" s="270">
        <f t="shared" si="116"/>
        <v>33050</v>
      </c>
      <c r="H255" s="270">
        <f t="shared" si="116"/>
        <v>33104</v>
      </c>
      <c r="I255" s="270">
        <f t="shared" si="116"/>
        <v>34549</v>
      </c>
      <c r="J255" s="270">
        <f t="shared" si="116"/>
        <v>26558</v>
      </c>
      <c r="K255" s="270">
        <f t="shared" si="116"/>
        <v>28957</v>
      </c>
      <c r="L255" s="270">
        <f t="shared" si="116"/>
        <v>31418</v>
      </c>
      <c r="M255" s="270">
        <f t="shared" si="116"/>
        <v>38909</v>
      </c>
      <c r="N255" s="270">
        <f t="shared" si="116"/>
        <v>42427</v>
      </c>
      <c r="O255" s="270">
        <f t="shared" si="116"/>
        <v>42427</v>
      </c>
      <c r="P255" s="270">
        <f t="shared" si="116"/>
        <v>42427</v>
      </c>
      <c r="Q255" s="270">
        <f t="shared" si="116"/>
        <v>42427</v>
      </c>
      <c r="R255" s="270">
        <f t="shared" si="116"/>
        <v>42427</v>
      </c>
      <c r="S255" s="270">
        <f t="shared" si="118"/>
        <v>42427</v>
      </c>
      <c r="T255" s="270">
        <f t="shared" si="118"/>
        <v>42427</v>
      </c>
      <c r="U255" s="270">
        <f t="shared" si="113"/>
        <v>42427</v>
      </c>
      <c r="V255" s="270">
        <f t="shared" si="113"/>
        <v>42427</v>
      </c>
      <c r="W255" s="270">
        <f t="shared" si="113"/>
        <v>42427</v>
      </c>
      <c r="X255" s="270">
        <f t="shared" si="113"/>
        <v>42427</v>
      </c>
      <c r="Y255" s="270">
        <f t="shared" si="113"/>
        <v>42427</v>
      </c>
      <c r="Z255" s="270">
        <f t="shared" si="113"/>
        <v>42427</v>
      </c>
      <c r="AA255" s="270">
        <f t="shared" si="113"/>
        <v>42427</v>
      </c>
      <c r="AB255" s="270">
        <f t="shared" si="113"/>
        <v>42427</v>
      </c>
      <c r="AC255" s="270">
        <f t="shared" si="113"/>
        <v>42427</v>
      </c>
      <c r="AD255" s="270">
        <f t="shared" si="115"/>
        <v>42427</v>
      </c>
      <c r="AE255" s="270">
        <f t="shared" si="111"/>
        <v>42427</v>
      </c>
      <c r="AF255" s="270">
        <f t="shared" si="117"/>
        <v>42427</v>
      </c>
      <c r="AG255" s="270">
        <f t="shared" si="117"/>
        <v>42427</v>
      </c>
      <c r="AH255" s="270">
        <f t="shared" si="117"/>
        <v>42427</v>
      </c>
      <c r="AI255" s="270">
        <f t="shared" si="117"/>
        <v>42427</v>
      </c>
      <c r="AJ255" s="270">
        <f t="shared" si="117"/>
        <v>42427</v>
      </c>
      <c r="AK255" s="270">
        <f t="shared" si="117"/>
        <v>42427</v>
      </c>
      <c r="AL255" s="270">
        <f t="shared" si="117"/>
        <v>42427</v>
      </c>
      <c r="AM255" s="270">
        <f t="shared" si="117"/>
        <v>42427</v>
      </c>
    </row>
    <row r="256" spans="2:39" ht="15.75" thickBot="1" x14ac:dyDescent="0.35">
      <c r="B256" s="56" t="str">
        <f>input_names!$B$3</f>
        <v>benzine</v>
      </c>
      <c r="C256" s="61">
        <v>208</v>
      </c>
      <c r="D256" s="270">
        <f t="shared" ref="D256:R271" si="119">+MIN(MAX(0,$C256-D$11),D$12-D$11)*D$17
+MIN(MAX(0,$C256-D$12),D$13-D$12)*D$18
+MIN(MAX(0,$C256-D$13),D$14-D$13)*D$19
+MIN(MAX(0,$C256-D$14),D$15-D$14)*D$20
+MAX(0,$C256-D$15)*D$21
+D$26</f>
        <v>24691</v>
      </c>
      <c r="E256" s="270">
        <f t="shared" si="119"/>
        <v>29245</v>
      </c>
      <c r="F256" s="270">
        <f t="shared" si="119"/>
        <v>32235</v>
      </c>
      <c r="G256" s="270">
        <f t="shared" si="119"/>
        <v>33505</v>
      </c>
      <c r="H256" s="270">
        <f t="shared" si="119"/>
        <v>33532</v>
      </c>
      <c r="I256" s="270">
        <f t="shared" si="119"/>
        <v>34967</v>
      </c>
      <c r="J256" s="270">
        <f t="shared" si="119"/>
        <v>26990</v>
      </c>
      <c r="K256" s="270">
        <f t="shared" si="119"/>
        <v>29405</v>
      </c>
      <c r="L256" s="270">
        <f t="shared" si="119"/>
        <v>31866</v>
      </c>
      <c r="M256" s="270">
        <f t="shared" si="119"/>
        <v>39458</v>
      </c>
      <c r="N256" s="270">
        <f t="shared" si="119"/>
        <v>42995</v>
      </c>
      <c r="O256" s="270">
        <f t="shared" si="119"/>
        <v>42995</v>
      </c>
      <c r="P256" s="270">
        <f t="shared" si="119"/>
        <v>42995</v>
      </c>
      <c r="Q256" s="270">
        <f t="shared" si="119"/>
        <v>42995</v>
      </c>
      <c r="R256" s="270">
        <f t="shared" si="119"/>
        <v>42995</v>
      </c>
      <c r="S256" s="270">
        <f t="shared" si="118"/>
        <v>42995</v>
      </c>
      <c r="T256" s="270">
        <f t="shared" si="118"/>
        <v>42995</v>
      </c>
      <c r="U256" s="270">
        <f t="shared" si="113"/>
        <v>42995</v>
      </c>
      <c r="V256" s="270">
        <f t="shared" si="113"/>
        <v>42995</v>
      </c>
      <c r="W256" s="270">
        <f t="shared" si="113"/>
        <v>42995</v>
      </c>
      <c r="X256" s="270">
        <f t="shared" si="113"/>
        <v>42995</v>
      </c>
      <c r="Y256" s="270">
        <f t="shared" si="113"/>
        <v>42995</v>
      </c>
      <c r="Z256" s="270">
        <f t="shared" si="113"/>
        <v>42995</v>
      </c>
      <c r="AA256" s="270">
        <f t="shared" si="113"/>
        <v>42995</v>
      </c>
      <c r="AB256" s="270">
        <f t="shared" si="113"/>
        <v>42995</v>
      </c>
      <c r="AC256" s="270">
        <f t="shared" si="113"/>
        <v>42995</v>
      </c>
      <c r="AD256" s="270">
        <f t="shared" si="115"/>
        <v>42995</v>
      </c>
      <c r="AE256" s="270">
        <f t="shared" si="111"/>
        <v>42995</v>
      </c>
      <c r="AF256" s="270">
        <f t="shared" si="117"/>
        <v>42995</v>
      </c>
      <c r="AG256" s="270">
        <f t="shared" si="117"/>
        <v>42995</v>
      </c>
      <c r="AH256" s="270">
        <f t="shared" si="117"/>
        <v>42995</v>
      </c>
      <c r="AI256" s="270">
        <f t="shared" si="117"/>
        <v>42995</v>
      </c>
      <c r="AJ256" s="270">
        <f t="shared" si="117"/>
        <v>42995</v>
      </c>
      <c r="AK256" s="270">
        <f t="shared" si="117"/>
        <v>42995</v>
      </c>
      <c r="AL256" s="270">
        <f t="shared" si="117"/>
        <v>42995</v>
      </c>
      <c r="AM256" s="270">
        <f t="shared" si="117"/>
        <v>42995</v>
      </c>
    </row>
    <row r="257" spans="2:39" ht="15.75" thickBot="1" x14ac:dyDescent="0.35">
      <c r="B257" s="56" t="str">
        <f>input_names!$B$3</f>
        <v>benzine</v>
      </c>
      <c r="C257" s="61">
        <v>209</v>
      </c>
      <c r="D257" s="270">
        <f t="shared" si="119"/>
        <v>25125</v>
      </c>
      <c r="E257" s="270">
        <f t="shared" si="119"/>
        <v>29721</v>
      </c>
      <c r="F257" s="270">
        <f t="shared" si="119"/>
        <v>32707</v>
      </c>
      <c r="G257" s="270">
        <f t="shared" si="119"/>
        <v>33960</v>
      </c>
      <c r="H257" s="270">
        <f t="shared" si="119"/>
        <v>33960</v>
      </c>
      <c r="I257" s="270">
        <f t="shared" si="119"/>
        <v>35385</v>
      </c>
      <c r="J257" s="270">
        <f t="shared" si="119"/>
        <v>27422</v>
      </c>
      <c r="K257" s="270">
        <f t="shared" si="119"/>
        <v>29853</v>
      </c>
      <c r="L257" s="270">
        <f t="shared" si="119"/>
        <v>32314</v>
      </c>
      <c r="M257" s="270">
        <f t="shared" si="119"/>
        <v>40007</v>
      </c>
      <c r="N257" s="270">
        <f t="shared" si="119"/>
        <v>43563</v>
      </c>
      <c r="O257" s="270">
        <f t="shared" si="119"/>
        <v>43563</v>
      </c>
      <c r="P257" s="270">
        <f t="shared" si="119"/>
        <v>43563</v>
      </c>
      <c r="Q257" s="270">
        <f t="shared" si="119"/>
        <v>43563</v>
      </c>
      <c r="R257" s="270">
        <f t="shared" si="119"/>
        <v>43563</v>
      </c>
      <c r="S257" s="270">
        <f t="shared" si="118"/>
        <v>43563</v>
      </c>
      <c r="T257" s="270">
        <f t="shared" si="118"/>
        <v>43563</v>
      </c>
      <c r="U257" s="270">
        <f t="shared" si="113"/>
        <v>43563</v>
      </c>
      <c r="V257" s="270">
        <f t="shared" si="113"/>
        <v>43563</v>
      </c>
      <c r="W257" s="270">
        <f t="shared" si="113"/>
        <v>43563</v>
      </c>
      <c r="X257" s="270">
        <f t="shared" si="113"/>
        <v>43563</v>
      </c>
      <c r="Y257" s="270">
        <f t="shared" si="113"/>
        <v>43563</v>
      </c>
      <c r="Z257" s="270">
        <f t="shared" si="113"/>
        <v>43563</v>
      </c>
      <c r="AA257" s="270">
        <f t="shared" si="113"/>
        <v>43563</v>
      </c>
      <c r="AB257" s="270">
        <f t="shared" si="113"/>
        <v>43563</v>
      </c>
      <c r="AC257" s="270">
        <f t="shared" si="113"/>
        <v>43563</v>
      </c>
      <c r="AD257" s="270">
        <f t="shared" si="115"/>
        <v>43563</v>
      </c>
      <c r="AE257" s="270">
        <f t="shared" si="111"/>
        <v>43563</v>
      </c>
      <c r="AF257" s="270">
        <f t="shared" si="117"/>
        <v>43563</v>
      </c>
      <c r="AG257" s="270">
        <f t="shared" si="117"/>
        <v>43563</v>
      </c>
      <c r="AH257" s="270">
        <f t="shared" si="117"/>
        <v>43563</v>
      </c>
      <c r="AI257" s="270">
        <f t="shared" si="117"/>
        <v>43563</v>
      </c>
      <c r="AJ257" s="270">
        <f t="shared" si="117"/>
        <v>43563</v>
      </c>
      <c r="AK257" s="270">
        <f t="shared" si="117"/>
        <v>43563</v>
      </c>
      <c r="AL257" s="270">
        <f t="shared" si="117"/>
        <v>43563</v>
      </c>
      <c r="AM257" s="270">
        <f t="shared" si="117"/>
        <v>43563</v>
      </c>
    </row>
    <row r="258" spans="2:39" ht="15.75" thickBot="1" x14ac:dyDescent="0.35">
      <c r="B258" s="56" t="str">
        <f>input_names!$B$3</f>
        <v>benzine</v>
      </c>
      <c r="C258" s="61">
        <v>210</v>
      </c>
      <c r="D258" s="270">
        <f t="shared" si="119"/>
        <v>25559</v>
      </c>
      <c r="E258" s="270">
        <f t="shared" si="119"/>
        <v>30197</v>
      </c>
      <c r="F258" s="270">
        <f t="shared" si="119"/>
        <v>33179</v>
      </c>
      <c r="G258" s="270">
        <f t="shared" si="119"/>
        <v>34415</v>
      </c>
      <c r="H258" s="270">
        <f t="shared" si="119"/>
        <v>34388</v>
      </c>
      <c r="I258" s="270">
        <f t="shared" si="119"/>
        <v>35803</v>
      </c>
      <c r="J258" s="270">
        <f t="shared" si="119"/>
        <v>27854</v>
      </c>
      <c r="K258" s="270">
        <f t="shared" si="119"/>
        <v>30301</v>
      </c>
      <c r="L258" s="270">
        <f t="shared" si="119"/>
        <v>32762</v>
      </c>
      <c r="M258" s="270">
        <f t="shared" si="119"/>
        <v>40556</v>
      </c>
      <c r="N258" s="270">
        <f t="shared" si="119"/>
        <v>44131</v>
      </c>
      <c r="O258" s="270">
        <f t="shared" si="119"/>
        <v>44131</v>
      </c>
      <c r="P258" s="270">
        <f t="shared" si="119"/>
        <v>44131</v>
      </c>
      <c r="Q258" s="270">
        <f t="shared" si="119"/>
        <v>44131</v>
      </c>
      <c r="R258" s="270">
        <f t="shared" si="119"/>
        <v>44131</v>
      </c>
      <c r="S258" s="270">
        <f t="shared" si="118"/>
        <v>44131</v>
      </c>
      <c r="T258" s="270">
        <f t="shared" si="118"/>
        <v>44131</v>
      </c>
      <c r="U258" s="270">
        <f t="shared" si="113"/>
        <v>44131</v>
      </c>
      <c r="V258" s="270">
        <f t="shared" si="113"/>
        <v>44131</v>
      </c>
      <c r="W258" s="270">
        <f t="shared" si="113"/>
        <v>44131</v>
      </c>
      <c r="X258" s="270">
        <f t="shared" si="113"/>
        <v>44131</v>
      </c>
      <c r="Y258" s="270">
        <f t="shared" si="113"/>
        <v>44131</v>
      </c>
      <c r="Z258" s="270">
        <f t="shared" si="113"/>
        <v>44131</v>
      </c>
      <c r="AA258" s="270">
        <f t="shared" si="113"/>
        <v>44131</v>
      </c>
      <c r="AB258" s="270">
        <f t="shared" si="113"/>
        <v>44131</v>
      </c>
      <c r="AC258" s="270">
        <f t="shared" si="113"/>
        <v>44131</v>
      </c>
      <c r="AD258" s="270">
        <f t="shared" si="115"/>
        <v>44131</v>
      </c>
      <c r="AE258" s="270">
        <f t="shared" si="111"/>
        <v>44131</v>
      </c>
      <c r="AF258" s="270">
        <f t="shared" si="117"/>
        <v>44131</v>
      </c>
      <c r="AG258" s="270">
        <f t="shared" si="117"/>
        <v>44131</v>
      </c>
      <c r="AH258" s="270">
        <f t="shared" si="117"/>
        <v>44131</v>
      </c>
      <c r="AI258" s="270">
        <f t="shared" si="117"/>
        <v>44131</v>
      </c>
      <c r="AJ258" s="270">
        <f t="shared" si="117"/>
        <v>44131</v>
      </c>
      <c r="AK258" s="270">
        <f t="shared" si="117"/>
        <v>44131</v>
      </c>
      <c r="AL258" s="270">
        <f t="shared" si="117"/>
        <v>44131</v>
      </c>
      <c r="AM258" s="270">
        <f t="shared" si="117"/>
        <v>44131</v>
      </c>
    </row>
    <row r="259" spans="2:39" ht="15.75" thickBot="1" x14ac:dyDescent="0.35">
      <c r="B259" s="56" t="str">
        <f>input_names!$B$3</f>
        <v>benzine</v>
      </c>
      <c r="C259" s="61">
        <v>211</v>
      </c>
      <c r="D259" s="270">
        <f t="shared" si="119"/>
        <v>25993</v>
      </c>
      <c r="E259" s="270">
        <f t="shared" si="119"/>
        <v>30673</v>
      </c>
      <c r="F259" s="270">
        <f t="shared" si="119"/>
        <v>33651</v>
      </c>
      <c r="G259" s="270">
        <f t="shared" si="119"/>
        <v>34870</v>
      </c>
      <c r="H259" s="270">
        <f t="shared" si="119"/>
        <v>34816</v>
      </c>
      <c r="I259" s="270">
        <f t="shared" si="119"/>
        <v>36221</v>
      </c>
      <c r="J259" s="270">
        <f t="shared" si="119"/>
        <v>28286</v>
      </c>
      <c r="K259" s="270">
        <f t="shared" si="119"/>
        <v>30749</v>
      </c>
      <c r="L259" s="270">
        <f t="shared" si="119"/>
        <v>33210</v>
      </c>
      <c r="M259" s="270">
        <f t="shared" si="119"/>
        <v>41105</v>
      </c>
      <c r="N259" s="270">
        <f t="shared" si="119"/>
        <v>44699</v>
      </c>
      <c r="O259" s="270">
        <f t="shared" si="119"/>
        <v>44699</v>
      </c>
      <c r="P259" s="270">
        <f t="shared" si="119"/>
        <v>44699</v>
      </c>
      <c r="Q259" s="270">
        <f t="shared" si="119"/>
        <v>44699</v>
      </c>
      <c r="R259" s="270">
        <f t="shared" si="119"/>
        <v>44699</v>
      </c>
      <c r="S259" s="270">
        <f t="shared" si="118"/>
        <v>44699</v>
      </c>
      <c r="T259" s="270">
        <f t="shared" si="118"/>
        <v>44699</v>
      </c>
      <c r="U259" s="270">
        <f t="shared" si="113"/>
        <v>44699</v>
      </c>
      <c r="V259" s="270">
        <f t="shared" si="113"/>
        <v>44699</v>
      </c>
      <c r="W259" s="270">
        <f t="shared" si="113"/>
        <v>44699</v>
      </c>
      <c r="X259" s="270">
        <f t="shared" si="113"/>
        <v>44699</v>
      </c>
      <c r="Y259" s="270">
        <f t="shared" si="113"/>
        <v>44699</v>
      </c>
      <c r="Z259" s="270">
        <f t="shared" si="113"/>
        <v>44699</v>
      </c>
      <c r="AA259" s="270">
        <f t="shared" ref="U259:AC287" si="120">+MIN(MAX(0,$C259-AA$11),AA$12-AA$11)*AA$17
+MIN(MAX(0,$C259-AA$12),AA$13-AA$12)*AA$18
+MIN(MAX(0,$C259-AA$13),AA$14-AA$13)*AA$19
+MIN(MAX(0,$C259-AA$14),AA$15-AA$14)*AA$20
+MAX(0,$C259-AA$15)*AA$21
+AA$26</f>
        <v>44699</v>
      </c>
      <c r="AB259" s="270">
        <f t="shared" si="120"/>
        <v>44699</v>
      </c>
      <c r="AC259" s="270">
        <f t="shared" si="120"/>
        <v>44699</v>
      </c>
      <c r="AD259" s="270">
        <f t="shared" si="115"/>
        <v>44699</v>
      </c>
      <c r="AE259" s="270">
        <f t="shared" si="111"/>
        <v>44699</v>
      </c>
      <c r="AF259" s="270">
        <f t="shared" si="117"/>
        <v>44699</v>
      </c>
      <c r="AG259" s="270">
        <f t="shared" si="117"/>
        <v>44699</v>
      </c>
      <c r="AH259" s="270">
        <f t="shared" si="117"/>
        <v>44699</v>
      </c>
      <c r="AI259" s="270">
        <f t="shared" si="117"/>
        <v>44699</v>
      </c>
      <c r="AJ259" s="270">
        <f t="shared" si="117"/>
        <v>44699</v>
      </c>
      <c r="AK259" s="270">
        <f t="shared" si="117"/>
        <v>44699</v>
      </c>
      <c r="AL259" s="270">
        <f t="shared" si="117"/>
        <v>44699</v>
      </c>
      <c r="AM259" s="270">
        <f t="shared" si="117"/>
        <v>44699</v>
      </c>
    </row>
    <row r="260" spans="2:39" ht="15.75" thickBot="1" x14ac:dyDescent="0.35">
      <c r="B260" s="56" t="str">
        <f>input_names!$B$3</f>
        <v>benzine</v>
      </c>
      <c r="C260" s="61">
        <v>212</v>
      </c>
      <c r="D260" s="270">
        <f t="shared" si="119"/>
        <v>26427</v>
      </c>
      <c r="E260" s="270">
        <f t="shared" si="119"/>
        <v>31149</v>
      </c>
      <c r="F260" s="270">
        <f t="shared" si="119"/>
        <v>34123</v>
      </c>
      <c r="G260" s="270">
        <f t="shared" si="119"/>
        <v>35325</v>
      </c>
      <c r="H260" s="270">
        <f t="shared" si="119"/>
        <v>35244</v>
      </c>
      <c r="I260" s="270">
        <f t="shared" si="119"/>
        <v>36639</v>
      </c>
      <c r="J260" s="270">
        <f t="shared" si="119"/>
        <v>28718</v>
      </c>
      <c r="K260" s="270">
        <f t="shared" si="119"/>
        <v>31197</v>
      </c>
      <c r="L260" s="270">
        <f t="shared" si="119"/>
        <v>33658</v>
      </c>
      <c r="M260" s="270">
        <f t="shared" si="119"/>
        <v>41654</v>
      </c>
      <c r="N260" s="270">
        <f t="shared" si="119"/>
        <v>45267</v>
      </c>
      <c r="O260" s="270">
        <f t="shared" si="119"/>
        <v>45267</v>
      </c>
      <c r="P260" s="270">
        <f t="shared" si="119"/>
        <v>45267</v>
      </c>
      <c r="Q260" s="270">
        <f t="shared" si="119"/>
        <v>45267</v>
      </c>
      <c r="R260" s="270">
        <f t="shared" si="119"/>
        <v>45267</v>
      </c>
      <c r="S260" s="270">
        <f t="shared" si="118"/>
        <v>45267</v>
      </c>
      <c r="T260" s="270">
        <f t="shared" si="118"/>
        <v>45267</v>
      </c>
      <c r="U260" s="270">
        <f t="shared" si="120"/>
        <v>45267</v>
      </c>
      <c r="V260" s="270">
        <f t="shared" si="120"/>
        <v>45267</v>
      </c>
      <c r="W260" s="270">
        <f t="shared" si="120"/>
        <v>45267</v>
      </c>
      <c r="X260" s="270">
        <f t="shared" si="120"/>
        <v>45267</v>
      </c>
      <c r="Y260" s="270">
        <f t="shared" si="120"/>
        <v>45267</v>
      </c>
      <c r="Z260" s="270">
        <f t="shared" si="120"/>
        <v>45267</v>
      </c>
      <c r="AA260" s="270">
        <f t="shared" si="120"/>
        <v>45267</v>
      </c>
      <c r="AB260" s="270">
        <f t="shared" si="120"/>
        <v>45267</v>
      </c>
      <c r="AC260" s="270">
        <f t="shared" si="120"/>
        <v>45267</v>
      </c>
      <c r="AD260" s="270">
        <f t="shared" si="115"/>
        <v>45267</v>
      </c>
      <c r="AE260" s="270">
        <f t="shared" ref="AE260:AE292" si="121">+MIN(MAX(0,$C260-AE$11),AE$12-AE$11)*AE$17
+MIN(MAX(0,$C260-AE$12),AE$13-AE$12)*AE$18
+MIN(MAX(0,$C260-AE$13),AE$14-AE$13)*AE$19
+MIN(MAX(0,$C260-AE$14),AE$15-AE$14)*AE$20
+MAX(0,$C260-AE$15)*AE$21
+AE$26</f>
        <v>45267</v>
      </c>
      <c r="AF260" s="270">
        <f t="shared" si="117"/>
        <v>45267</v>
      </c>
      <c r="AG260" s="270">
        <f t="shared" si="117"/>
        <v>45267</v>
      </c>
      <c r="AH260" s="270">
        <f t="shared" si="117"/>
        <v>45267</v>
      </c>
      <c r="AI260" s="270">
        <f t="shared" si="117"/>
        <v>45267</v>
      </c>
      <c r="AJ260" s="270">
        <f t="shared" si="117"/>
        <v>45267</v>
      </c>
      <c r="AK260" s="270">
        <f t="shared" si="117"/>
        <v>45267</v>
      </c>
      <c r="AL260" s="270">
        <f t="shared" si="117"/>
        <v>45267</v>
      </c>
      <c r="AM260" s="270">
        <f t="shared" si="117"/>
        <v>45267</v>
      </c>
    </row>
    <row r="261" spans="2:39" ht="15.75" thickBot="1" x14ac:dyDescent="0.35">
      <c r="B261" s="56" t="str">
        <f>input_names!$B$3</f>
        <v>benzine</v>
      </c>
      <c r="C261" s="61">
        <v>213</v>
      </c>
      <c r="D261" s="270">
        <f t="shared" si="119"/>
        <v>26861</v>
      </c>
      <c r="E261" s="270">
        <f t="shared" si="119"/>
        <v>31625</v>
      </c>
      <c r="F261" s="270">
        <f t="shared" si="119"/>
        <v>34595</v>
      </c>
      <c r="G261" s="270">
        <f t="shared" si="119"/>
        <v>35780</v>
      </c>
      <c r="H261" s="270">
        <f t="shared" si="119"/>
        <v>35672</v>
      </c>
      <c r="I261" s="270">
        <f t="shared" si="119"/>
        <v>37057</v>
      </c>
      <c r="J261" s="270">
        <f t="shared" si="119"/>
        <v>29150</v>
      </c>
      <c r="K261" s="270">
        <f t="shared" si="119"/>
        <v>31645</v>
      </c>
      <c r="L261" s="270">
        <f t="shared" si="119"/>
        <v>34106</v>
      </c>
      <c r="M261" s="270">
        <f t="shared" si="119"/>
        <v>42203</v>
      </c>
      <c r="N261" s="270">
        <f t="shared" si="119"/>
        <v>45835</v>
      </c>
      <c r="O261" s="270">
        <f t="shared" si="119"/>
        <v>45835</v>
      </c>
      <c r="P261" s="270">
        <f t="shared" si="119"/>
        <v>45835</v>
      </c>
      <c r="Q261" s="270">
        <f t="shared" si="119"/>
        <v>45835</v>
      </c>
      <c r="R261" s="270">
        <f t="shared" si="119"/>
        <v>45835</v>
      </c>
      <c r="S261" s="270">
        <f t="shared" si="118"/>
        <v>45835</v>
      </c>
      <c r="T261" s="270">
        <f t="shared" si="118"/>
        <v>45835</v>
      </c>
      <c r="U261" s="270">
        <f t="shared" si="120"/>
        <v>45835</v>
      </c>
      <c r="V261" s="270">
        <f t="shared" si="120"/>
        <v>45835</v>
      </c>
      <c r="W261" s="270">
        <f t="shared" si="120"/>
        <v>45835</v>
      </c>
      <c r="X261" s="270">
        <f t="shared" si="120"/>
        <v>45835</v>
      </c>
      <c r="Y261" s="270">
        <f t="shared" si="120"/>
        <v>45835</v>
      </c>
      <c r="Z261" s="270">
        <f t="shared" si="120"/>
        <v>45835</v>
      </c>
      <c r="AA261" s="270">
        <f t="shared" si="120"/>
        <v>45835</v>
      </c>
      <c r="AB261" s="270">
        <f t="shared" si="120"/>
        <v>45835</v>
      </c>
      <c r="AC261" s="270">
        <f t="shared" si="120"/>
        <v>45835</v>
      </c>
      <c r="AD261" s="270">
        <f t="shared" si="115"/>
        <v>45835</v>
      </c>
      <c r="AE261" s="270">
        <f t="shared" si="121"/>
        <v>45835</v>
      </c>
      <c r="AF261" s="270">
        <f t="shared" si="117"/>
        <v>45835</v>
      </c>
      <c r="AG261" s="270">
        <f t="shared" si="117"/>
        <v>45835</v>
      </c>
      <c r="AH261" s="270">
        <f t="shared" si="117"/>
        <v>45835</v>
      </c>
      <c r="AI261" s="270">
        <f t="shared" si="117"/>
        <v>45835</v>
      </c>
      <c r="AJ261" s="270">
        <f t="shared" si="117"/>
        <v>45835</v>
      </c>
      <c r="AK261" s="270">
        <f t="shared" si="117"/>
        <v>45835</v>
      </c>
      <c r="AL261" s="270">
        <f t="shared" si="117"/>
        <v>45835</v>
      </c>
      <c r="AM261" s="270">
        <f t="shared" si="117"/>
        <v>45835</v>
      </c>
    </row>
    <row r="262" spans="2:39" ht="15.75" thickBot="1" x14ac:dyDescent="0.35">
      <c r="B262" s="56" t="str">
        <f>input_names!$B$3</f>
        <v>benzine</v>
      </c>
      <c r="C262" s="61">
        <v>214</v>
      </c>
      <c r="D262" s="270">
        <f t="shared" si="119"/>
        <v>27295</v>
      </c>
      <c r="E262" s="270">
        <f t="shared" si="119"/>
        <v>32101</v>
      </c>
      <c r="F262" s="270">
        <f t="shared" si="119"/>
        <v>35067</v>
      </c>
      <c r="G262" s="270">
        <f t="shared" si="119"/>
        <v>36235</v>
      </c>
      <c r="H262" s="270">
        <f t="shared" si="119"/>
        <v>36100</v>
      </c>
      <c r="I262" s="270">
        <f t="shared" si="119"/>
        <v>37475</v>
      </c>
      <c r="J262" s="270">
        <f t="shared" si="119"/>
        <v>29582</v>
      </c>
      <c r="K262" s="270">
        <f t="shared" si="119"/>
        <v>32093</v>
      </c>
      <c r="L262" s="270">
        <f t="shared" si="119"/>
        <v>34554</v>
      </c>
      <c r="M262" s="270">
        <f t="shared" si="119"/>
        <v>42752</v>
      </c>
      <c r="N262" s="270">
        <f t="shared" si="119"/>
        <v>46403</v>
      </c>
      <c r="O262" s="270">
        <f t="shared" si="119"/>
        <v>46403</v>
      </c>
      <c r="P262" s="270">
        <f t="shared" si="119"/>
        <v>46403</v>
      </c>
      <c r="Q262" s="270">
        <f t="shared" si="119"/>
        <v>46403</v>
      </c>
      <c r="R262" s="270">
        <f t="shared" si="119"/>
        <v>46403</v>
      </c>
      <c r="S262" s="270">
        <f t="shared" si="118"/>
        <v>46403</v>
      </c>
      <c r="T262" s="270">
        <f t="shared" si="118"/>
        <v>46403</v>
      </c>
      <c r="U262" s="270">
        <f t="shared" si="120"/>
        <v>46403</v>
      </c>
      <c r="V262" s="270">
        <f t="shared" si="120"/>
        <v>46403</v>
      </c>
      <c r="W262" s="270">
        <f t="shared" si="120"/>
        <v>46403</v>
      </c>
      <c r="X262" s="270">
        <f t="shared" si="120"/>
        <v>46403</v>
      </c>
      <c r="Y262" s="270">
        <f t="shared" si="120"/>
        <v>46403</v>
      </c>
      <c r="Z262" s="270">
        <f t="shared" si="120"/>
        <v>46403</v>
      </c>
      <c r="AA262" s="270">
        <f t="shared" si="120"/>
        <v>46403</v>
      </c>
      <c r="AB262" s="270">
        <f t="shared" si="120"/>
        <v>46403</v>
      </c>
      <c r="AC262" s="270">
        <f t="shared" si="120"/>
        <v>46403</v>
      </c>
      <c r="AD262" s="270">
        <f t="shared" si="115"/>
        <v>46403</v>
      </c>
      <c r="AE262" s="270">
        <f t="shared" si="121"/>
        <v>46403</v>
      </c>
      <c r="AF262" s="270">
        <f t="shared" si="117"/>
        <v>46403</v>
      </c>
      <c r="AG262" s="270">
        <f t="shared" si="117"/>
        <v>46403</v>
      </c>
      <c r="AH262" s="270">
        <f t="shared" si="117"/>
        <v>46403</v>
      </c>
      <c r="AI262" s="270">
        <f t="shared" si="117"/>
        <v>46403</v>
      </c>
      <c r="AJ262" s="270">
        <f t="shared" si="117"/>
        <v>46403</v>
      </c>
      <c r="AK262" s="270">
        <f t="shared" si="117"/>
        <v>46403</v>
      </c>
      <c r="AL262" s="270">
        <f t="shared" si="117"/>
        <v>46403</v>
      </c>
      <c r="AM262" s="270">
        <f t="shared" si="117"/>
        <v>46403</v>
      </c>
    </row>
    <row r="263" spans="2:39" ht="15.75" thickBot="1" x14ac:dyDescent="0.35">
      <c r="B263" s="56" t="str">
        <f>input_names!$B$3</f>
        <v>benzine</v>
      </c>
      <c r="C263" s="61">
        <v>215</v>
      </c>
      <c r="D263" s="270">
        <f t="shared" si="119"/>
        <v>27729</v>
      </c>
      <c r="E263" s="270">
        <f t="shared" si="119"/>
        <v>32577</v>
      </c>
      <c r="F263" s="270">
        <f t="shared" si="119"/>
        <v>35539</v>
      </c>
      <c r="G263" s="270">
        <f t="shared" si="119"/>
        <v>36690</v>
      </c>
      <c r="H263" s="270">
        <f t="shared" si="119"/>
        <v>36528</v>
      </c>
      <c r="I263" s="270">
        <f t="shared" si="119"/>
        <v>37893</v>
      </c>
      <c r="J263" s="270">
        <f t="shared" si="119"/>
        <v>30014</v>
      </c>
      <c r="K263" s="270">
        <f t="shared" si="119"/>
        <v>32541</v>
      </c>
      <c r="L263" s="270">
        <f t="shared" si="119"/>
        <v>35002</v>
      </c>
      <c r="M263" s="270">
        <f t="shared" si="119"/>
        <v>43301</v>
      </c>
      <c r="N263" s="270">
        <f t="shared" si="119"/>
        <v>46971</v>
      </c>
      <c r="O263" s="270">
        <f t="shared" si="119"/>
        <v>46971</v>
      </c>
      <c r="P263" s="270">
        <f t="shared" si="119"/>
        <v>46971</v>
      </c>
      <c r="Q263" s="270">
        <f t="shared" si="119"/>
        <v>46971</v>
      </c>
      <c r="R263" s="270">
        <f t="shared" si="119"/>
        <v>46971</v>
      </c>
      <c r="S263" s="270">
        <f t="shared" si="118"/>
        <v>46971</v>
      </c>
      <c r="T263" s="270">
        <f t="shared" si="118"/>
        <v>46971</v>
      </c>
      <c r="U263" s="270">
        <f t="shared" si="120"/>
        <v>46971</v>
      </c>
      <c r="V263" s="270">
        <f t="shared" si="120"/>
        <v>46971</v>
      </c>
      <c r="W263" s="270">
        <f t="shared" si="120"/>
        <v>46971</v>
      </c>
      <c r="X263" s="270">
        <f t="shared" si="120"/>
        <v>46971</v>
      </c>
      <c r="Y263" s="270">
        <f t="shared" si="120"/>
        <v>46971</v>
      </c>
      <c r="Z263" s="270">
        <f t="shared" si="120"/>
        <v>46971</v>
      </c>
      <c r="AA263" s="270">
        <f t="shared" si="120"/>
        <v>46971</v>
      </c>
      <c r="AB263" s="270">
        <f t="shared" si="120"/>
        <v>46971</v>
      </c>
      <c r="AC263" s="270">
        <f t="shared" si="120"/>
        <v>46971</v>
      </c>
      <c r="AD263" s="270">
        <f t="shared" si="115"/>
        <v>46971</v>
      </c>
      <c r="AE263" s="270">
        <f t="shared" si="121"/>
        <v>46971</v>
      </c>
      <c r="AF263" s="270">
        <f t="shared" si="117"/>
        <v>46971</v>
      </c>
      <c r="AG263" s="270">
        <f t="shared" si="117"/>
        <v>46971</v>
      </c>
      <c r="AH263" s="270">
        <f t="shared" si="117"/>
        <v>46971</v>
      </c>
      <c r="AI263" s="270">
        <f t="shared" si="117"/>
        <v>46971</v>
      </c>
      <c r="AJ263" s="270">
        <f t="shared" si="117"/>
        <v>46971</v>
      </c>
      <c r="AK263" s="270">
        <f t="shared" si="117"/>
        <v>46971</v>
      </c>
      <c r="AL263" s="270">
        <f t="shared" si="117"/>
        <v>46971</v>
      </c>
      <c r="AM263" s="270">
        <f t="shared" si="117"/>
        <v>46971</v>
      </c>
    </row>
    <row r="264" spans="2:39" ht="15.75" thickBot="1" x14ac:dyDescent="0.35">
      <c r="B264" s="56" t="str">
        <f>input_names!$B$3</f>
        <v>benzine</v>
      </c>
      <c r="C264" s="61">
        <v>216</v>
      </c>
      <c r="D264" s="270">
        <f t="shared" si="119"/>
        <v>28163</v>
      </c>
      <c r="E264" s="270">
        <f t="shared" si="119"/>
        <v>33053</v>
      </c>
      <c r="F264" s="270">
        <f t="shared" si="119"/>
        <v>36011</v>
      </c>
      <c r="G264" s="270">
        <f t="shared" si="119"/>
        <v>37145</v>
      </c>
      <c r="H264" s="270">
        <f t="shared" si="119"/>
        <v>36956</v>
      </c>
      <c r="I264" s="270">
        <f t="shared" si="119"/>
        <v>38311</v>
      </c>
      <c r="J264" s="270">
        <f t="shared" si="119"/>
        <v>30446</v>
      </c>
      <c r="K264" s="270">
        <f t="shared" si="119"/>
        <v>32989</v>
      </c>
      <c r="L264" s="270">
        <f t="shared" si="119"/>
        <v>35450</v>
      </c>
      <c r="M264" s="270">
        <f t="shared" si="119"/>
        <v>43850</v>
      </c>
      <c r="N264" s="270">
        <f t="shared" si="119"/>
        <v>47539</v>
      </c>
      <c r="O264" s="270">
        <f t="shared" si="119"/>
        <v>47539</v>
      </c>
      <c r="P264" s="270">
        <f t="shared" si="119"/>
        <v>47539</v>
      </c>
      <c r="Q264" s="270">
        <f t="shared" si="119"/>
        <v>47539</v>
      </c>
      <c r="R264" s="270">
        <f t="shared" si="119"/>
        <v>47539</v>
      </c>
      <c r="S264" s="270">
        <f t="shared" si="118"/>
        <v>47539</v>
      </c>
      <c r="T264" s="270">
        <f t="shared" si="118"/>
        <v>47539</v>
      </c>
      <c r="U264" s="270">
        <f t="shared" si="120"/>
        <v>47539</v>
      </c>
      <c r="V264" s="270">
        <f t="shared" si="120"/>
        <v>47539</v>
      </c>
      <c r="W264" s="270">
        <f t="shared" si="120"/>
        <v>47539</v>
      </c>
      <c r="X264" s="270">
        <f t="shared" si="120"/>
        <v>47539</v>
      </c>
      <c r="Y264" s="270">
        <f t="shared" si="120"/>
        <v>47539</v>
      </c>
      <c r="Z264" s="270">
        <f t="shared" si="120"/>
        <v>47539</v>
      </c>
      <c r="AA264" s="270">
        <f t="shared" si="120"/>
        <v>47539</v>
      </c>
      <c r="AB264" s="270">
        <f t="shared" si="120"/>
        <v>47539</v>
      </c>
      <c r="AC264" s="270">
        <f t="shared" si="120"/>
        <v>47539</v>
      </c>
      <c r="AD264" s="270">
        <f t="shared" si="115"/>
        <v>47539</v>
      </c>
      <c r="AE264" s="270">
        <f t="shared" si="121"/>
        <v>47539</v>
      </c>
      <c r="AF264" s="270">
        <f t="shared" si="117"/>
        <v>47539</v>
      </c>
      <c r="AG264" s="270">
        <f t="shared" si="117"/>
        <v>47539</v>
      </c>
      <c r="AH264" s="270">
        <f t="shared" si="117"/>
        <v>47539</v>
      </c>
      <c r="AI264" s="270">
        <f t="shared" si="117"/>
        <v>47539</v>
      </c>
      <c r="AJ264" s="270">
        <f t="shared" si="117"/>
        <v>47539</v>
      </c>
      <c r="AK264" s="270">
        <f t="shared" si="117"/>
        <v>47539</v>
      </c>
      <c r="AL264" s="270">
        <f t="shared" si="117"/>
        <v>47539</v>
      </c>
      <c r="AM264" s="270">
        <f t="shared" si="117"/>
        <v>47539</v>
      </c>
    </row>
    <row r="265" spans="2:39" ht="15.75" thickBot="1" x14ac:dyDescent="0.35">
      <c r="B265" s="56" t="str">
        <f>input_names!$B$3</f>
        <v>benzine</v>
      </c>
      <c r="C265" s="61">
        <v>217</v>
      </c>
      <c r="D265" s="270">
        <f t="shared" si="119"/>
        <v>28597</v>
      </c>
      <c r="E265" s="270">
        <f t="shared" si="119"/>
        <v>33529</v>
      </c>
      <c r="F265" s="270">
        <f t="shared" si="119"/>
        <v>36483</v>
      </c>
      <c r="G265" s="270">
        <f t="shared" si="119"/>
        <v>37600</v>
      </c>
      <c r="H265" s="270">
        <f t="shared" si="119"/>
        <v>37384</v>
      </c>
      <c r="I265" s="270">
        <f t="shared" si="119"/>
        <v>38729</v>
      </c>
      <c r="J265" s="270">
        <f t="shared" si="119"/>
        <v>30878</v>
      </c>
      <c r="K265" s="270">
        <f t="shared" si="119"/>
        <v>33437</v>
      </c>
      <c r="L265" s="270">
        <f t="shared" si="119"/>
        <v>35898</v>
      </c>
      <c r="M265" s="270">
        <f t="shared" si="119"/>
        <v>44399</v>
      </c>
      <c r="N265" s="270">
        <f t="shared" si="119"/>
        <v>48107</v>
      </c>
      <c r="O265" s="270">
        <f t="shared" si="119"/>
        <v>48107</v>
      </c>
      <c r="P265" s="270">
        <f t="shared" si="119"/>
        <v>48107</v>
      </c>
      <c r="Q265" s="270">
        <f t="shared" si="119"/>
        <v>48107</v>
      </c>
      <c r="R265" s="270">
        <f t="shared" si="119"/>
        <v>48107</v>
      </c>
      <c r="S265" s="270">
        <f t="shared" si="118"/>
        <v>48107</v>
      </c>
      <c r="T265" s="270">
        <f t="shared" si="118"/>
        <v>48107</v>
      </c>
      <c r="U265" s="270">
        <f t="shared" si="120"/>
        <v>48107</v>
      </c>
      <c r="V265" s="270">
        <f t="shared" si="120"/>
        <v>48107</v>
      </c>
      <c r="W265" s="270">
        <f t="shared" si="120"/>
        <v>48107</v>
      </c>
      <c r="X265" s="270">
        <f t="shared" si="120"/>
        <v>48107</v>
      </c>
      <c r="Y265" s="270">
        <f t="shared" si="120"/>
        <v>48107</v>
      </c>
      <c r="Z265" s="270">
        <f t="shared" si="120"/>
        <v>48107</v>
      </c>
      <c r="AA265" s="270">
        <f t="shared" si="120"/>
        <v>48107</v>
      </c>
      <c r="AB265" s="270">
        <f t="shared" si="120"/>
        <v>48107</v>
      </c>
      <c r="AC265" s="270">
        <f t="shared" si="120"/>
        <v>48107</v>
      </c>
      <c r="AD265" s="270">
        <f t="shared" si="115"/>
        <v>48107</v>
      </c>
      <c r="AE265" s="270">
        <f t="shared" si="121"/>
        <v>48107</v>
      </c>
      <c r="AF265" s="270">
        <f t="shared" si="117"/>
        <v>48107</v>
      </c>
      <c r="AG265" s="270">
        <f t="shared" si="117"/>
        <v>48107</v>
      </c>
      <c r="AH265" s="270">
        <f t="shared" si="117"/>
        <v>48107</v>
      </c>
      <c r="AI265" s="270">
        <f t="shared" si="117"/>
        <v>48107</v>
      </c>
      <c r="AJ265" s="270">
        <f t="shared" si="117"/>
        <v>48107</v>
      </c>
      <c r="AK265" s="270">
        <f t="shared" si="117"/>
        <v>48107</v>
      </c>
      <c r="AL265" s="270">
        <f t="shared" si="117"/>
        <v>48107</v>
      </c>
      <c r="AM265" s="270">
        <f t="shared" si="117"/>
        <v>48107</v>
      </c>
    </row>
    <row r="266" spans="2:39" ht="15.75" thickBot="1" x14ac:dyDescent="0.35">
      <c r="B266" s="56" t="str">
        <f>input_names!$B$3</f>
        <v>benzine</v>
      </c>
      <c r="C266" s="61">
        <v>218</v>
      </c>
      <c r="D266" s="270">
        <f t="shared" si="119"/>
        <v>29031</v>
      </c>
      <c r="E266" s="270">
        <f t="shared" si="119"/>
        <v>34005</v>
      </c>
      <c r="F266" s="270">
        <f t="shared" si="119"/>
        <v>36955</v>
      </c>
      <c r="G266" s="270">
        <f t="shared" si="119"/>
        <v>38055</v>
      </c>
      <c r="H266" s="270">
        <f t="shared" si="119"/>
        <v>37812</v>
      </c>
      <c r="I266" s="270">
        <f t="shared" si="119"/>
        <v>39147</v>
      </c>
      <c r="J266" s="270">
        <f t="shared" si="119"/>
        <v>31310</v>
      </c>
      <c r="K266" s="270">
        <f t="shared" si="119"/>
        <v>33885</v>
      </c>
      <c r="L266" s="270">
        <f t="shared" si="119"/>
        <v>36346</v>
      </c>
      <c r="M266" s="270">
        <f t="shared" si="119"/>
        <v>44948</v>
      </c>
      <c r="N266" s="270">
        <f t="shared" si="119"/>
        <v>48675</v>
      </c>
      <c r="O266" s="270">
        <f t="shared" si="119"/>
        <v>48675</v>
      </c>
      <c r="P266" s="270">
        <f t="shared" si="119"/>
        <v>48675</v>
      </c>
      <c r="Q266" s="270">
        <f t="shared" si="119"/>
        <v>48675</v>
      </c>
      <c r="R266" s="270">
        <f t="shared" si="119"/>
        <v>48675</v>
      </c>
      <c r="S266" s="270">
        <f t="shared" si="118"/>
        <v>48675</v>
      </c>
      <c r="T266" s="270">
        <f t="shared" si="118"/>
        <v>48675</v>
      </c>
      <c r="U266" s="270">
        <f t="shared" si="120"/>
        <v>48675</v>
      </c>
      <c r="V266" s="270">
        <f t="shared" si="120"/>
        <v>48675</v>
      </c>
      <c r="W266" s="270">
        <f t="shared" si="120"/>
        <v>48675</v>
      </c>
      <c r="X266" s="270">
        <f t="shared" si="120"/>
        <v>48675</v>
      </c>
      <c r="Y266" s="270">
        <f t="shared" si="120"/>
        <v>48675</v>
      </c>
      <c r="Z266" s="270">
        <f t="shared" si="120"/>
        <v>48675</v>
      </c>
      <c r="AA266" s="270">
        <f t="shared" si="120"/>
        <v>48675</v>
      </c>
      <c r="AB266" s="270">
        <f t="shared" si="120"/>
        <v>48675</v>
      </c>
      <c r="AC266" s="270">
        <f t="shared" si="120"/>
        <v>48675</v>
      </c>
      <c r="AD266" s="270">
        <f t="shared" si="115"/>
        <v>48675</v>
      </c>
      <c r="AE266" s="270">
        <f t="shared" si="121"/>
        <v>48675</v>
      </c>
      <c r="AF266" s="270">
        <f t="shared" si="117"/>
        <v>48675</v>
      </c>
      <c r="AG266" s="270">
        <f t="shared" si="117"/>
        <v>48675</v>
      </c>
      <c r="AH266" s="270">
        <f t="shared" si="117"/>
        <v>48675</v>
      </c>
      <c r="AI266" s="270">
        <f t="shared" si="117"/>
        <v>48675</v>
      </c>
      <c r="AJ266" s="270">
        <f t="shared" si="117"/>
        <v>48675</v>
      </c>
      <c r="AK266" s="270">
        <f t="shared" si="117"/>
        <v>48675</v>
      </c>
      <c r="AL266" s="270">
        <f t="shared" si="117"/>
        <v>48675</v>
      </c>
      <c r="AM266" s="270">
        <f t="shared" si="117"/>
        <v>48675</v>
      </c>
    </row>
    <row r="267" spans="2:39" ht="15.75" thickBot="1" x14ac:dyDescent="0.35">
      <c r="B267" s="56" t="str">
        <f>input_names!$B$3</f>
        <v>benzine</v>
      </c>
      <c r="C267" s="61">
        <v>219</v>
      </c>
      <c r="D267" s="270">
        <f t="shared" si="119"/>
        <v>29465</v>
      </c>
      <c r="E267" s="270">
        <f t="shared" si="119"/>
        <v>34481</v>
      </c>
      <c r="F267" s="270">
        <f t="shared" si="119"/>
        <v>37427</v>
      </c>
      <c r="G267" s="270">
        <f t="shared" si="119"/>
        <v>38510</v>
      </c>
      <c r="H267" s="270">
        <f t="shared" si="119"/>
        <v>38240</v>
      </c>
      <c r="I267" s="270">
        <f t="shared" si="119"/>
        <v>39565</v>
      </c>
      <c r="J267" s="270">
        <f t="shared" si="119"/>
        <v>31742</v>
      </c>
      <c r="K267" s="270">
        <f t="shared" si="119"/>
        <v>34333</v>
      </c>
      <c r="L267" s="270">
        <f t="shared" si="119"/>
        <v>36794</v>
      </c>
      <c r="M267" s="270">
        <f t="shared" si="119"/>
        <v>45497</v>
      </c>
      <c r="N267" s="270">
        <f t="shared" si="119"/>
        <v>49243</v>
      </c>
      <c r="O267" s="270">
        <f t="shared" si="119"/>
        <v>49243</v>
      </c>
      <c r="P267" s="270">
        <f t="shared" si="119"/>
        <v>49243</v>
      </c>
      <c r="Q267" s="270">
        <f t="shared" si="119"/>
        <v>49243</v>
      </c>
      <c r="R267" s="270">
        <f t="shared" si="119"/>
        <v>49243</v>
      </c>
      <c r="S267" s="270">
        <f t="shared" si="118"/>
        <v>49243</v>
      </c>
      <c r="T267" s="270">
        <f t="shared" si="118"/>
        <v>49243</v>
      </c>
      <c r="U267" s="270">
        <f t="shared" si="120"/>
        <v>49243</v>
      </c>
      <c r="V267" s="270">
        <f t="shared" si="120"/>
        <v>49243</v>
      </c>
      <c r="W267" s="270">
        <f t="shared" si="120"/>
        <v>49243</v>
      </c>
      <c r="X267" s="270">
        <f t="shared" si="120"/>
        <v>49243</v>
      </c>
      <c r="Y267" s="270">
        <f t="shared" si="120"/>
        <v>49243</v>
      </c>
      <c r="Z267" s="270">
        <f t="shared" si="120"/>
        <v>49243</v>
      </c>
      <c r="AA267" s="270">
        <f t="shared" si="120"/>
        <v>49243</v>
      </c>
      <c r="AB267" s="270">
        <f t="shared" si="120"/>
        <v>49243</v>
      </c>
      <c r="AC267" s="270">
        <f t="shared" si="120"/>
        <v>49243</v>
      </c>
      <c r="AD267" s="270">
        <f t="shared" si="115"/>
        <v>49243</v>
      </c>
      <c r="AE267" s="270">
        <f t="shared" si="121"/>
        <v>49243</v>
      </c>
      <c r="AF267" s="270">
        <f t="shared" si="117"/>
        <v>49243</v>
      </c>
      <c r="AG267" s="270">
        <f t="shared" si="117"/>
        <v>49243</v>
      </c>
      <c r="AH267" s="270">
        <f t="shared" si="117"/>
        <v>49243</v>
      </c>
      <c r="AI267" s="270">
        <f t="shared" si="117"/>
        <v>49243</v>
      </c>
      <c r="AJ267" s="270">
        <f t="shared" si="117"/>
        <v>49243</v>
      </c>
      <c r="AK267" s="270">
        <f t="shared" si="117"/>
        <v>49243</v>
      </c>
      <c r="AL267" s="270">
        <f t="shared" si="117"/>
        <v>49243</v>
      </c>
      <c r="AM267" s="270">
        <f t="shared" si="117"/>
        <v>49243</v>
      </c>
    </row>
    <row r="268" spans="2:39" ht="15.75" thickBot="1" x14ac:dyDescent="0.35">
      <c r="B268" s="56" t="str">
        <f>input_names!$B$3</f>
        <v>benzine</v>
      </c>
      <c r="C268" s="61">
        <v>220</v>
      </c>
      <c r="D268" s="270">
        <f t="shared" si="119"/>
        <v>29899</v>
      </c>
      <c r="E268" s="270">
        <f t="shared" si="119"/>
        <v>34957</v>
      </c>
      <c r="F268" s="270">
        <f t="shared" si="119"/>
        <v>37899</v>
      </c>
      <c r="G268" s="270">
        <f t="shared" si="119"/>
        <v>38965</v>
      </c>
      <c r="H268" s="270">
        <f t="shared" si="119"/>
        <v>38668</v>
      </c>
      <c r="I268" s="270">
        <f t="shared" si="119"/>
        <v>39983</v>
      </c>
      <c r="J268" s="270">
        <f t="shared" si="119"/>
        <v>32174</v>
      </c>
      <c r="K268" s="270">
        <f t="shared" si="119"/>
        <v>34781</v>
      </c>
      <c r="L268" s="270">
        <f t="shared" si="119"/>
        <v>37242</v>
      </c>
      <c r="M268" s="270">
        <f t="shared" si="119"/>
        <v>46046</v>
      </c>
      <c r="N268" s="270">
        <f t="shared" si="119"/>
        <v>49811</v>
      </c>
      <c r="O268" s="270">
        <f t="shared" si="119"/>
        <v>49811</v>
      </c>
      <c r="P268" s="270">
        <f t="shared" si="119"/>
        <v>49811</v>
      </c>
      <c r="Q268" s="270">
        <f t="shared" si="119"/>
        <v>49811</v>
      </c>
      <c r="R268" s="270">
        <f t="shared" si="119"/>
        <v>49811</v>
      </c>
      <c r="S268" s="270">
        <f t="shared" si="118"/>
        <v>49811</v>
      </c>
      <c r="T268" s="270">
        <f t="shared" si="118"/>
        <v>49811</v>
      </c>
      <c r="U268" s="270">
        <f t="shared" si="120"/>
        <v>49811</v>
      </c>
      <c r="V268" s="270">
        <f t="shared" si="120"/>
        <v>49811</v>
      </c>
      <c r="W268" s="270">
        <f t="shared" si="120"/>
        <v>49811</v>
      </c>
      <c r="X268" s="270">
        <f t="shared" si="120"/>
        <v>49811</v>
      </c>
      <c r="Y268" s="270">
        <f t="shared" si="120"/>
        <v>49811</v>
      </c>
      <c r="Z268" s="270">
        <f t="shared" si="120"/>
        <v>49811</v>
      </c>
      <c r="AA268" s="270">
        <f t="shared" si="120"/>
        <v>49811</v>
      </c>
      <c r="AB268" s="270">
        <f t="shared" si="120"/>
        <v>49811</v>
      </c>
      <c r="AC268" s="270">
        <f t="shared" si="120"/>
        <v>49811</v>
      </c>
      <c r="AD268" s="270">
        <f t="shared" si="115"/>
        <v>49811</v>
      </c>
      <c r="AE268" s="270">
        <f t="shared" si="121"/>
        <v>49811</v>
      </c>
      <c r="AF268" s="270">
        <f t="shared" si="117"/>
        <v>49811</v>
      </c>
      <c r="AG268" s="270">
        <f t="shared" si="117"/>
        <v>49811</v>
      </c>
      <c r="AH268" s="270">
        <f t="shared" si="117"/>
        <v>49811</v>
      </c>
      <c r="AI268" s="270">
        <f t="shared" si="117"/>
        <v>49811</v>
      </c>
      <c r="AJ268" s="270">
        <f t="shared" si="117"/>
        <v>49811</v>
      </c>
      <c r="AK268" s="270">
        <f t="shared" si="117"/>
        <v>49811</v>
      </c>
      <c r="AL268" s="270">
        <f t="shared" si="117"/>
        <v>49811</v>
      </c>
      <c r="AM268" s="270">
        <f t="shared" si="117"/>
        <v>49811</v>
      </c>
    </row>
    <row r="269" spans="2:39" ht="15.75" thickBot="1" x14ac:dyDescent="0.35">
      <c r="B269" s="56" t="str">
        <f>input_names!$B$3</f>
        <v>benzine</v>
      </c>
      <c r="C269" s="61">
        <v>221</v>
      </c>
      <c r="D269" s="270">
        <f t="shared" si="119"/>
        <v>30333</v>
      </c>
      <c r="E269" s="270">
        <f t="shared" si="119"/>
        <v>35433</v>
      </c>
      <c r="F269" s="270">
        <f t="shared" si="119"/>
        <v>38371</v>
      </c>
      <c r="G269" s="270">
        <f t="shared" si="119"/>
        <v>39420</v>
      </c>
      <c r="H269" s="270">
        <f t="shared" si="119"/>
        <v>39096</v>
      </c>
      <c r="I269" s="270">
        <f t="shared" si="119"/>
        <v>40401</v>
      </c>
      <c r="J269" s="270">
        <f t="shared" si="119"/>
        <v>32606</v>
      </c>
      <c r="K269" s="270">
        <f t="shared" si="119"/>
        <v>35229</v>
      </c>
      <c r="L269" s="270">
        <f t="shared" si="119"/>
        <v>37690</v>
      </c>
      <c r="M269" s="270">
        <f t="shared" si="119"/>
        <v>46595</v>
      </c>
      <c r="N269" s="270">
        <f t="shared" si="119"/>
        <v>50379</v>
      </c>
      <c r="O269" s="270">
        <f t="shared" si="119"/>
        <v>50379</v>
      </c>
      <c r="P269" s="270">
        <f t="shared" si="119"/>
        <v>50379</v>
      </c>
      <c r="Q269" s="270">
        <f t="shared" si="119"/>
        <v>50379</v>
      </c>
      <c r="R269" s="270">
        <f t="shared" si="119"/>
        <v>50379</v>
      </c>
      <c r="S269" s="270">
        <f t="shared" si="118"/>
        <v>50379</v>
      </c>
      <c r="T269" s="270">
        <f t="shared" si="118"/>
        <v>50379</v>
      </c>
      <c r="U269" s="270">
        <f t="shared" si="120"/>
        <v>50379</v>
      </c>
      <c r="V269" s="270">
        <f t="shared" si="120"/>
        <v>50379</v>
      </c>
      <c r="W269" s="270">
        <f t="shared" si="120"/>
        <v>50379</v>
      </c>
      <c r="X269" s="270">
        <f t="shared" si="120"/>
        <v>50379</v>
      </c>
      <c r="Y269" s="270">
        <f t="shared" si="120"/>
        <v>50379</v>
      </c>
      <c r="Z269" s="270">
        <f t="shared" si="120"/>
        <v>50379</v>
      </c>
      <c r="AA269" s="270">
        <f t="shared" si="120"/>
        <v>50379</v>
      </c>
      <c r="AB269" s="270">
        <f t="shared" si="120"/>
        <v>50379</v>
      </c>
      <c r="AC269" s="270">
        <f t="shared" si="120"/>
        <v>50379</v>
      </c>
      <c r="AD269" s="270">
        <f t="shared" si="115"/>
        <v>50379</v>
      </c>
      <c r="AE269" s="270">
        <f t="shared" si="121"/>
        <v>50379</v>
      </c>
      <c r="AF269" s="270">
        <f t="shared" si="117"/>
        <v>50379</v>
      </c>
      <c r="AG269" s="270">
        <f t="shared" si="117"/>
        <v>50379</v>
      </c>
      <c r="AH269" s="270">
        <f t="shared" si="117"/>
        <v>50379</v>
      </c>
      <c r="AI269" s="270">
        <f t="shared" si="117"/>
        <v>50379</v>
      </c>
      <c r="AJ269" s="270">
        <f t="shared" si="117"/>
        <v>50379</v>
      </c>
      <c r="AK269" s="270">
        <f t="shared" si="117"/>
        <v>50379</v>
      </c>
      <c r="AL269" s="270">
        <f t="shared" si="117"/>
        <v>50379</v>
      </c>
      <c r="AM269" s="270">
        <f t="shared" si="117"/>
        <v>50379</v>
      </c>
    </row>
    <row r="270" spans="2:39" ht="15.75" thickBot="1" x14ac:dyDescent="0.35">
      <c r="B270" s="56" t="str">
        <f>input_names!$B$3</f>
        <v>benzine</v>
      </c>
      <c r="C270" s="61">
        <v>222</v>
      </c>
      <c r="D270" s="270">
        <f t="shared" si="119"/>
        <v>30767</v>
      </c>
      <c r="E270" s="270">
        <f t="shared" si="119"/>
        <v>35909</v>
      </c>
      <c r="F270" s="270">
        <f t="shared" si="119"/>
        <v>38843</v>
      </c>
      <c r="G270" s="270">
        <f t="shared" si="119"/>
        <v>39875</v>
      </c>
      <c r="H270" s="270">
        <f t="shared" si="119"/>
        <v>39524</v>
      </c>
      <c r="I270" s="270">
        <f t="shared" si="119"/>
        <v>40819</v>
      </c>
      <c r="J270" s="270">
        <f t="shared" si="119"/>
        <v>33038</v>
      </c>
      <c r="K270" s="270">
        <f t="shared" si="119"/>
        <v>35677</v>
      </c>
      <c r="L270" s="270">
        <f t="shared" si="119"/>
        <v>38138</v>
      </c>
      <c r="M270" s="270">
        <f t="shared" si="119"/>
        <v>47144</v>
      </c>
      <c r="N270" s="270">
        <f t="shared" si="119"/>
        <v>50947</v>
      </c>
      <c r="O270" s="270">
        <f t="shared" si="119"/>
        <v>50947</v>
      </c>
      <c r="P270" s="270">
        <f t="shared" si="119"/>
        <v>50947</v>
      </c>
      <c r="Q270" s="270">
        <f t="shared" si="119"/>
        <v>50947</v>
      </c>
      <c r="R270" s="270">
        <f t="shared" si="119"/>
        <v>50947</v>
      </c>
      <c r="S270" s="270">
        <f t="shared" si="118"/>
        <v>50947</v>
      </c>
      <c r="T270" s="270">
        <f t="shared" si="118"/>
        <v>50947</v>
      </c>
      <c r="U270" s="270">
        <f t="shared" si="120"/>
        <v>50947</v>
      </c>
      <c r="V270" s="270">
        <f t="shared" si="120"/>
        <v>50947</v>
      </c>
      <c r="W270" s="270">
        <f t="shared" si="120"/>
        <v>50947</v>
      </c>
      <c r="X270" s="270">
        <f t="shared" si="120"/>
        <v>50947</v>
      </c>
      <c r="Y270" s="270">
        <f t="shared" si="120"/>
        <v>50947</v>
      </c>
      <c r="Z270" s="270">
        <f t="shared" si="120"/>
        <v>50947</v>
      </c>
      <c r="AA270" s="270">
        <f t="shared" si="120"/>
        <v>50947</v>
      </c>
      <c r="AB270" s="270">
        <f t="shared" si="120"/>
        <v>50947</v>
      </c>
      <c r="AC270" s="270">
        <f t="shared" si="120"/>
        <v>50947</v>
      </c>
      <c r="AD270" s="270">
        <f t="shared" si="115"/>
        <v>50947</v>
      </c>
      <c r="AE270" s="270">
        <f t="shared" si="121"/>
        <v>50947</v>
      </c>
      <c r="AF270" s="270">
        <f t="shared" si="117"/>
        <v>50947</v>
      </c>
      <c r="AG270" s="270">
        <f t="shared" si="117"/>
        <v>50947</v>
      </c>
      <c r="AH270" s="270">
        <f t="shared" si="117"/>
        <v>50947</v>
      </c>
      <c r="AI270" s="270">
        <f t="shared" si="117"/>
        <v>50947</v>
      </c>
      <c r="AJ270" s="270">
        <f t="shared" si="117"/>
        <v>50947</v>
      </c>
      <c r="AK270" s="270">
        <f t="shared" si="117"/>
        <v>50947</v>
      </c>
      <c r="AL270" s="270">
        <f t="shared" si="117"/>
        <v>50947</v>
      </c>
      <c r="AM270" s="270">
        <f t="shared" si="117"/>
        <v>50947</v>
      </c>
    </row>
    <row r="271" spans="2:39" ht="15.75" thickBot="1" x14ac:dyDescent="0.35">
      <c r="B271" s="56" t="str">
        <f>input_names!$B$3</f>
        <v>benzine</v>
      </c>
      <c r="C271" s="61">
        <v>223</v>
      </c>
      <c r="D271" s="270">
        <f t="shared" si="119"/>
        <v>31201</v>
      </c>
      <c r="E271" s="270">
        <f t="shared" si="119"/>
        <v>36385</v>
      </c>
      <c r="F271" s="270">
        <f t="shared" si="119"/>
        <v>39315</v>
      </c>
      <c r="G271" s="270">
        <f t="shared" si="119"/>
        <v>40330</v>
      </c>
      <c r="H271" s="270">
        <f t="shared" si="119"/>
        <v>39952</v>
      </c>
      <c r="I271" s="270">
        <f t="shared" si="119"/>
        <v>41237</v>
      </c>
      <c r="J271" s="270">
        <f t="shared" si="119"/>
        <v>33470</v>
      </c>
      <c r="K271" s="270">
        <f t="shared" si="119"/>
        <v>36125</v>
      </c>
      <c r="L271" s="270">
        <f t="shared" si="119"/>
        <v>38586</v>
      </c>
      <c r="M271" s="270">
        <f t="shared" si="119"/>
        <v>47693</v>
      </c>
      <c r="N271" s="270">
        <f t="shared" si="119"/>
        <v>51515</v>
      </c>
      <c r="O271" s="270">
        <f t="shared" si="119"/>
        <v>51515</v>
      </c>
      <c r="P271" s="270">
        <f t="shared" si="119"/>
        <v>51515</v>
      </c>
      <c r="Q271" s="270">
        <f t="shared" si="119"/>
        <v>51515</v>
      </c>
      <c r="R271" s="270">
        <f t="shared" si="119"/>
        <v>51515</v>
      </c>
      <c r="S271" s="270">
        <f t="shared" si="118"/>
        <v>51515</v>
      </c>
      <c r="T271" s="270">
        <f t="shared" si="118"/>
        <v>51515</v>
      </c>
      <c r="U271" s="270">
        <f t="shared" si="120"/>
        <v>51515</v>
      </c>
      <c r="V271" s="270">
        <f t="shared" si="120"/>
        <v>51515</v>
      </c>
      <c r="W271" s="270">
        <f t="shared" si="120"/>
        <v>51515</v>
      </c>
      <c r="X271" s="270">
        <f t="shared" si="120"/>
        <v>51515</v>
      </c>
      <c r="Y271" s="270">
        <f t="shared" si="120"/>
        <v>51515</v>
      </c>
      <c r="Z271" s="270">
        <f t="shared" si="120"/>
        <v>51515</v>
      </c>
      <c r="AA271" s="270">
        <f t="shared" si="120"/>
        <v>51515</v>
      </c>
      <c r="AB271" s="270">
        <f t="shared" si="120"/>
        <v>51515</v>
      </c>
      <c r="AC271" s="270">
        <f t="shared" si="120"/>
        <v>51515</v>
      </c>
      <c r="AD271" s="270">
        <f t="shared" ref="AD271:AD292" si="122">+MIN(MAX(0,$C271-AD$11),AD$12-AD$11)*AD$17
+MIN(MAX(0,$C271-AD$12),AD$13-AD$12)*AD$18
+MIN(MAX(0,$C271-AD$13),AD$14-AD$13)*AD$19
+MIN(MAX(0,$C271-AD$14),AD$15-AD$14)*AD$20
+MAX(0,$C271-AD$15)*AD$21
+AD$26</f>
        <v>51515</v>
      </c>
      <c r="AE271" s="270">
        <f t="shared" si="121"/>
        <v>51515</v>
      </c>
      <c r="AF271" s="270">
        <f t="shared" si="117"/>
        <v>51515</v>
      </c>
      <c r="AG271" s="270">
        <f t="shared" si="117"/>
        <v>51515</v>
      </c>
      <c r="AH271" s="270">
        <f t="shared" si="117"/>
        <v>51515</v>
      </c>
      <c r="AI271" s="270">
        <f t="shared" si="117"/>
        <v>51515</v>
      </c>
      <c r="AJ271" s="270">
        <f t="shared" si="117"/>
        <v>51515</v>
      </c>
      <c r="AK271" s="270">
        <f t="shared" si="117"/>
        <v>51515</v>
      </c>
      <c r="AL271" s="270">
        <f t="shared" si="117"/>
        <v>51515</v>
      </c>
      <c r="AM271" s="270">
        <f t="shared" si="117"/>
        <v>51515</v>
      </c>
    </row>
    <row r="272" spans="2:39" ht="15.75" thickBot="1" x14ac:dyDescent="0.35">
      <c r="B272" s="56" t="str">
        <f>input_names!$B$3</f>
        <v>benzine</v>
      </c>
      <c r="C272" s="61">
        <v>224</v>
      </c>
      <c r="D272" s="270">
        <f t="shared" ref="D272:S287" si="123">+MIN(MAX(0,$C272-D$11),D$12-D$11)*D$17
+MIN(MAX(0,$C272-D$12),D$13-D$12)*D$18
+MIN(MAX(0,$C272-D$13),D$14-D$13)*D$19
+MIN(MAX(0,$C272-D$14),D$15-D$14)*D$20
+MAX(0,$C272-D$15)*D$21
+D$26</f>
        <v>31635</v>
      </c>
      <c r="E272" s="270">
        <f t="shared" si="123"/>
        <v>36861</v>
      </c>
      <c r="F272" s="270">
        <f t="shared" si="123"/>
        <v>39787</v>
      </c>
      <c r="G272" s="270">
        <f t="shared" si="123"/>
        <v>40785</v>
      </c>
      <c r="H272" s="270">
        <f t="shared" si="123"/>
        <v>40380</v>
      </c>
      <c r="I272" s="270">
        <f t="shared" si="123"/>
        <v>41655</v>
      </c>
      <c r="J272" s="270">
        <f t="shared" si="123"/>
        <v>33902</v>
      </c>
      <c r="K272" s="270">
        <f t="shared" si="123"/>
        <v>36573</v>
      </c>
      <c r="L272" s="270">
        <f t="shared" si="123"/>
        <v>39034</v>
      </c>
      <c r="M272" s="270">
        <f t="shared" si="123"/>
        <v>48242</v>
      </c>
      <c r="N272" s="270">
        <f t="shared" si="123"/>
        <v>52083</v>
      </c>
      <c r="O272" s="270">
        <f t="shared" si="123"/>
        <v>52083</v>
      </c>
      <c r="P272" s="270">
        <f t="shared" si="123"/>
        <v>52083</v>
      </c>
      <c r="Q272" s="270">
        <f t="shared" si="123"/>
        <v>52083</v>
      </c>
      <c r="R272" s="270">
        <f t="shared" si="123"/>
        <v>52083</v>
      </c>
      <c r="S272" s="270">
        <f t="shared" si="118"/>
        <v>52083</v>
      </c>
      <c r="T272" s="270">
        <f t="shared" si="118"/>
        <v>52083</v>
      </c>
      <c r="U272" s="270">
        <f t="shared" si="120"/>
        <v>52083</v>
      </c>
      <c r="V272" s="270">
        <f t="shared" si="120"/>
        <v>52083</v>
      </c>
      <c r="W272" s="270">
        <f t="shared" si="120"/>
        <v>52083</v>
      </c>
      <c r="X272" s="270">
        <f t="shared" si="120"/>
        <v>52083</v>
      </c>
      <c r="Y272" s="270">
        <f t="shared" si="120"/>
        <v>52083</v>
      </c>
      <c r="Z272" s="270">
        <f t="shared" si="120"/>
        <v>52083</v>
      </c>
      <c r="AA272" s="270">
        <f t="shared" si="120"/>
        <v>52083</v>
      </c>
      <c r="AB272" s="270">
        <f t="shared" si="120"/>
        <v>52083</v>
      </c>
      <c r="AC272" s="270">
        <f t="shared" si="120"/>
        <v>52083</v>
      </c>
      <c r="AD272" s="270">
        <f t="shared" si="122"/>
        <v>52083</v>
      </c>
      <c r="AE272" s="270">
        <f t="shared" si="121"/>
        <v>52083</v>
      </c>
      <c r="AF272" s="270">
        <f t="shared" si="117"/>
        <v>52083</v>
      </c>
      <c r="AG272" s="270">
        <f t="shared" si="117"/>
        <v>52083</v>
      </c>
      <c r="AH272" s="270">
        <f t="shared" si="117"/>
        <v>52083</v>
      </c>
      <c r="AI272" s="270">
        <f t="shared" si="117"/>
        <v>52083</v>
      </c>
      <c r="AJ272" s="270">
        <f t="shared" si="117"/>
        <v>52083</v>
      </c>
      <c r="AK272" s="270">
        <f t="shared" si="117"/>
        <v>52083</v>
      </c>
      <c r="AL272" s="270">
        <f t="shared" si="117"/>
        <v>52083</v>
      </c>
      <c r="AM272" s="270">
        <f t="shared" si="117"/>
        <v>52083</v>
      </c>
    </row>
    <row r="273" spans="2:39" ht="15.75" thickBot="1" x14ac:dyDescent="0.35">
      <c r="B273" s="56" t="str">
        <f>input_names!$B$3</f>
        <v>benzine</v>
      </c>
      <c r="C273" s="61">
        <v>225</v>
      </c>
      <c r="D273" s="270">
        <f t="shared" si="123"/>
        <v>32069</v>
      </c>
      <c r="E273" s="270">
        <f t="shared" si="123"/>
        <v>37337</v>
      </c>
      <c r="F273" s="270">
        <f t="shared" si="123"/>
        <v>40259</v>
      </c>
      <c r="G273" s="270">
        <f t="shared" si="123"/>
        <v>41240</v>
      </c>
      <c r="H273" s="270">
        <f t="shared" si="123"/>
        <v>40808</v>
      </c>
      <c r="I273" s="270">
        <f t="shared" si="123"/>
        <v>42073</v>
      </c>
      <c r="J273" s="270">
        <f t="shared" si="123"/>
        <v>34334</v>
      </c>
      <c r="K273" s="270">
        <f t="shared" si="123"/>
        <v>37021</v>
      </c>
      <c r="L273" s="270">
        <f t="shared" si="123"/>
        <v>39482</v>
      </c>
      <c r="M273" s="270">
        <f t="shared" si="123"/>
        <v>48791</v>
      </c>
      <c r="N273" s="270">
        <f t="shared" si="123"/>
        <v>52651</v>
      </c>
      <c r="O273" s="270">
        <f t="shared" si="123"/>
        <v>52651</v>
      </c>
      <c r="P273" s="270">
        <f t="shared" si="123"/>
        <v>52651</v>
      </c>
      <c r="Q273" s="270">
        <f t="shared" si="123"/>
        <v>52651</v>
      </c>
      <c r="R273" s="270">
        <f t="shared" si="123"/>
        <v>52651</v>
      </c>
      <c r="S273" s="270">
        <f t="shared" si="118"/>
        <v>52651</v>
      </c>
      <c r="T273" s="270">
        <f t="shared" si="118"/>
        <v>52651</v>
      </c>
      <c r="U273" s="270">
        <f t="shared" si="120"/>
        <v>52651</v>
      </c>
      <c r="V273" s="270">
        <f t="shared" si="120"/>
        <v>52651</v>
      </c>
      <c r="W273" s="270">
        <f t="shared" si="120"/>
        <v>52651</v>
      </c>
      <c r="X273" s="270">
        <f t="shared" si="120"/>
        <v>52651</v>
      </c>
      <c r="Y273" s="270">
        <f t="shared" si="120"/>
        <v>52651</v>
      </c>
      <c r="Z273" s="270">
        <f t="shared" si="120"/>
        <v>52651</v>
      </c>
      <c r="AA273" s="270">
        <f t="shared" si="120"/>
        <v>52651</v>
      </c>
      <c r="AB273" s="270">
        <f t="shared" si="120"/>
        <v>52651</v>
      </c>
      <c r="AC273" s="270">
        <f t="shared" si="120"/>
        <v>52651</v>
      </c>
      <c r="AD273" s="270">
        <f t="shared" si="122"/>
        <v>52651</v>
      </c>
      <c r="AE273" s="270">
        <f t="shared" si="121"/>
        <v>52651</v>
      </c>
      <c r="AF273" s="270">
        <f t="shared" si="117"/>
        <v>52651</v>
      </c>
      <c r="AG273" s="270">
        <f t="shared" si="117"/>
        <v>52651</v>
      </c>
      <c r="AH273" s="270">
        <f t="shared" si="117"/>
        <v>52651</v>
      </c>
      <c r="AI273" s="270">
        <f t="shared" si="117"/>
        <v>52651</v>
      </c>
      <c r="AJ273" s="270">
        <f t="shared" si="117"/>
        <v>52651</v>
      </c>
      <c r="AK273" s="270">
        <f t="shared" si="117"/>
        <v>52651</v>
      </c>
      <c r="AL273" s="270">
        <f t="shared" si="117"/>
        <v>52651</v>
      </c>
      <c r="AM273" s="270">
        <f t="shared" si="117"/>
        <v>52651</v>
      </c>
    </row>
    <row r="274" spans="2:39" ht="15.75" thickBot="1" x14ac:dyDescent="0.35">
      <c r="B274" s="56" t="str">
        <f>input_names!$B$3</f>
        <v>benzine</v>
      </c>
      <c r="C274" s="61">
        <v>226</v>
      </c>
      <c r="D274" s="270">
        <f t="shared" si="123"/>
        <v>32503</v>
      </c>
      <c r="E274" s="270">
        <f t="shared" si="123"/>
        <v>37813</v>
      </c>
      <c r="F274" s="270">
        <f t="shared" si="123"/>
        <v>40731</v>
      </c>
      <c r="G274" s="270">
        <f t="shared" si="123"/>
        <v>41695</v>
      </c>
      <c r="H274" s="270">
        <f t="shared" si="123"/>
        <v>41236</v>
      </c>
      <c r="I274" s="270">
        <f t="shared" si="123"/>
        <v>42491</v>
      </c>
      <c r="J274" s="270">
        <f t="shared" si="123"/>
        <v>34766</v>
      </c>
      <c r="K274" s="270">
        <f t="shared" si="123"/>
        <v>37469</v>
      </c>
      <c r="L274" s="270">
        <f t="shared" si="123"/>
        <v>39930</v>
      </c>
      <c r="M274" s="270">
        <f t="shared" si="123"/>
        <v>49340</v>
      </c>
      <c r="N274" s="270">
        <f t="shared" si="123"/>
        <v>53219</v>
      </c>
      <c r="O274" s="270">
        <f t="shared" si="123"/>
        <v>53219</v>
      </c>
      <c r="P274" s="270">
        <f t="shared" si="123"/>
        <v>53219</v>
      </c>
      <c r="Q274" s="270">
        <f t="shared" si="123"/>
        <v>53219</v>
      </c>
      <c r="R274" s="270">
        <f t="shared" si="123"/>
        <v>53219</v>
      </c>
      <c r="S274" s="270">
        <f t="shared" si="118"/>
        <v>53219</v>
      </c>
      <c r="T274" s="270">
        <f t="shared" si="118"/>
        <v>53219</v>
      </c>
      <c r="U274" s="270">
        <f t="shared" si="120"/>
        <v>53219</v>
      </c>
      <c r="V274" s="270">
        <f t="shared" si="120"/>
        <v>53219</v>
      </c>
      <c r="W274" s="270">
        <f t="shared" si="120"/>
        <v>53219</v>
      </c>
      <c r="X274" s="270">
        <f t="shared" si="120"/>
        <v>53219</v>
      </c>
      <c r="Y274" s="270">
        <f t="shared" si="120"/>
        <v>53219</v>
      </c>
      <c r="Z274" s="270">
        <f t="shared" si="120"/>
        <v>53219</v>
      </c>
      <c r="AA274" s="270">
        <f t="shared" si="120"/>
        <v>53219</v>
      </c>
      <c r="AB274" s="270">
        <f t="shared" si="120"/>
        <v>53219</v>
      </c>
      <c r="AC274" s="270">
        <f t="shared" si="120"/>
        <v>53219</v>
      </c>
      <c r="AD274" s="270">
        <f t="shared" si="122"/>
        <v>53219</v>
      </c>
      <c r="AE274" s="270">
        <f t="shared" si="121"/>
        <v>53219</v>
      </c>
      <c r="AF274" s="270">
        <f t="shared" ref="AF274:AM283" si="124">+MIN(MAX(0,$C274-AF$11),AF$12-AF$11)*AF$17
+MIN(MAX(0,$C274-AF$12),AF$13-AF$12)*AF$18
+MIN(MAX(0,$C274-AF$13),AF$14-AF$13)*AF$19
+MIN(MAX(0,$C274-AF$14),AF$15-AF$14)*AF$20
+MAX(0,$C274-AF$15)*AF$21
+AF$26</f>
        <v>53219</v>
      </c>
      <c r="AG274" s="270">
        <f t="shared" si="124"/>
        <v>53219</v>
      </c>
      <c r="AH274" s="270">
        <f t="shared" si="124"/>
        <v>53219</v>
      </c>
      <c r="AI274" s="270">
        <f t="shared" si="124"/>
        <v>53219</v>
      </c>
      <c r="AJ274" s="270">
        <f t="shared" si="124"/>
        <v>53219</v>
      </c>
      <c r="AK274" s="270">
        <f t="shared" si="124"/>
        <v>53219</v>
      </c>
      <c r="AL274" s="270">
        <f t="shared" si="124"/>
        <v>53219</v>
      </c>
      <c r="AM274" s="270">
        <f t="shared" si="124"/>
        <v>53219</v>
      </c>
    </row>
    <row r="275" spans="2:39" ht="15.75" thickBot="1" x14ac:dyDescent="0.35">
      <c r="B275" s="56" t="str">
        <f>input_names!$B$3</f>
        <v>benzine</v>
      </c>
      <c r="C275" s="61">
        <v>227</v>
      </c>
      <c r="D275" s="270">
        <f t="shared" si="123"/>
        <v>32937</v>
      </c>
      <c r="E275" s="270">
        <f t="shared" si="123"/>
        <v>38289</v>
      </c>
      <c r="F275" s="270">
        <f t="shared" si="123"/>
        <v>41203</v>
      </c>
      <c r="G275" s="270">
        <f t="shared" si="123"/>
        <v>42150</v>
      </c>
      <c r="H275" s="270">
        <f t="shared" si="123"/>
        <v>41664</v>
      </c>
      <c r="I275" s="270">
        <f t="shared" si="123"/>
        <v>42909</v>
      </c>
      <c r="J275" s="270">
        <f t="shared" si="123"/>
        <v>35198</v>
      </c>
      <c r="K275" s="270">
        <f t="shared" si="123"/>
        <v>37917</v>
      </c>
      <c r="L275" s="270">
        <f t="shared" si="123"/>
        <v>40378</v>
      </c>
      <c r="M275" s="270">
        <f t="shared" si="123"/>
        <v>49889</v>
      </c>
      <c r="N275" s="270">
        <f t="shared" si="123"/>
        <v>53787</v>
      </c>
      <c r="O275" s="270">
        <f t="shared" si="123"/>
        <v>53787</v>
      </c>
      <c r="P275" s="270">
        <f t="shared" si="123"/>
        <v>53787</v>
      </c>
      <c r="Q275" s="270">
        <f t="shared" si="123"/>
        <v>53787</v>
      </c>
      <c r="R275" s="270">
        <f t="shared" si="123"/>
        <v>53787</v>
      </c>
      <c r="S275" s="270">
        <f t="shared" si="118"/>
        <v>53787</v>
      </c>
      <c r="T275" s="270">
        <f t="shared" si="118"/>
        <v>53787</v>
      </c>
      <c r="U275" s="270">
        <f t="shared" si="120"/>
        <v>53787</v>
      </c>
      <c r="V275" s="270">
        <f t="shared" si="120"/>
        <v>53787</v>
      </c>
      <c r="W275" s="270">
        <f t="shared" si="120"/>
        <v>53787</v>
      </c>
      <c r="X275" s="270">
        <f t="shared" si="120"/>
        <v>53787</v>
      </c>
      <c r="Y275" s="270">
        <f t="shared" si="120"/>
        <v>53787</v>
      </c>
      <c r="Z275" s="270">
        <f t="shared" si="120"/>
        <v>53787</v>
      </c>
      <c r="AA275" s="270">
        <f t="shared" si="120"/>
        <v>53787</v>
      </c>
      <c r="AB275" s="270">
        <f t="shared" si="120"/>
        <v>53787</v>
      </c>
      <c r="AC275" s="270">
        <f t="shared" si="120"/>
        <v>53787</v>
      </c>
      <c r="AD275" s="270">
        <f t="shared" si="122"/>
        <v>53787</v>
      </c>
      <c r="AE275" s="270">
        <f t="shared" si="121"/>
        <v>53787</v>
      </c>
      <c r="AF275" s="270">
        <f t="shared" si="124"/>
        <v>53787</v>
      </c>
      <c r="AG275" s="270">
        <f t="shared" si="124"/>
        <v>53787</v>
      </c>
      <c r="AH275" s="270">
        <f t="shared" si="124"/>
        <v>53787</v>
      </c>
      <c r="AI275" s="270">
        <f t="shared" si="124"/>
        <v>53787</v>
      </c>
      <c r="AJ275" s="270">
        <f t="shared" si="124"/>
        <v>53787</v>
      </c>
      <c r="AK275" s="270">
        <f t="shared" si="124"/>
        <v>53787</v>
      </c>
      <c r="AL275" s="270">
        <f t="shared" si="124"/>
        <v>53787</v>
      </c>
      <c r="AM275" s="270">
        <f t="shared" si="124"/>
        <v>53787</v>
      </c>
    </row>
    <row r="276" spans="2:39" ht="15.75" thickBot="1" x14ac:dyDescent="0.35">
      <c r="B276" s="56" t="str">
        <f>input_names!$B$3</f>
        <v>benzine</v>
      </c>
      <c r="C276" s="61">
        <v>228</v>
      </c>
      <c r="D276" s="270">
        <f t="shared" si="123"/>
        <v>33371</v>
      </c>
      <c r="E276" s="270">
        <f t="shared" si="123"/>
        <v>38765</v>
      </c>
      <c r="F276" s="270">
        <f t="shared" si="123"/>
        <v>41675</v>
      </c>
      <c r="G276" s="270">
        <f t="shared" si="123"/>
        <v>42605</v>
      </c>
      <c r="H276" s="270">
        <f t="shared" si="123"/>
        <v>42092</v>
      </c>
      <c r="I276" s="270">
        <f t="shared" si="123"/>
        <v>43327</v>
      </c>
      <c r="J276" s="270">
        <f t="shared" si="123"/>
        <v>35630</v>
      </c>
      <c r="K276" s="270">
        <f t="shared" si="123"/>
        <v>38365</v>
      </c>
      <c r="L276" s="270">
        <f t="shared" si="123"/>
        <v>40826</v>
      </c>
      <c r="M276" s="270">
        <f t="shared" si="123"/>
        <v>50438</v>
      </c>
      <c r="N276" s="270">
        <f t="shared" si="123"/>
        <v>54355</v>
      </c>
      <c r="O276" s="270">
        <f t="shared" si="123"/>
        <v>54355</v>
      </c>
      <c r="P276" s="270">
        <f t="shared" si="123"/>
        <v>54355</v>
      </c>
      <c r="Q276" s="270">
        <f t="shared" si="123"/>
        <v>54355</v>
      </c>
      <c r="R276" s="270">
        <f t="shared" si="123"/>
        <v>54355</v>
      </c>
      <c r="S276" s="270">
        <f t="shared" si="118"/>
        <v>54355</v>
      </c>
      <c r="T276" s="270">
        <f t="shared" si="118"/>
        <v>54355</v>
      </c>
      <c r="U276" s="270">
        <f t="shared" si="120"/>
        <v>54355</v>
      </c>
      <c r="V276" s="270">
        <f t="shared" si="120"/>
        <v>54355</v>
      </c>
      <c r="W276" s="270">
        <f t="shared" si="120"/>
        <v>54355</v>
      </c>
      <c r="X276" s="270">
        <f t="shared" si="120"/>
        <v>54355</v>
      </c>
      <c r="Y276" s="270">
        <f t="shared" si="120"/>
        <v>54355</v>
      </c>
      <c r="Z276" s="270">
        <f t="shared" si="120"/>
        <v>54355</v>
      </c>
      <c r="AA276" s="270">
        <f t="shared" si="120"/>
        <v>54355</v>
      </c>
      <c r="AB276" s="270">
        <f t="shared" si="120"/>
        <v>54355</v>
      </c>
      <c r="AC276" s="270">
        <f t="shared" si="120"/>
        <v>54355</v>
      </c>
      <c r="AD276" s="270">
        <f t="shared" si="122"/>
        <v>54355</v>
      </c>
      <c r="AE276" s="270">
        <f t="shared" si="121"/>
        <v>54355</v>
      </c>
      <c r="AF276" s="270">
        <f t="shared" si="124"/>
        <v>54355</v>
      </c>
      <c r="AG276" s="270">
        <f t="shared" si="124"/>
        <v>54355</v>
      </c>
      <c r="AH276" s="270">
        <f t="shared" si="124"/>
        <v>54355</v>
      </c>
      <c r="AI276" s="270">
        <f t="shared" si="124"/>
        <v>54355</v>
      </c>
      <c r="AJ276" s="270">
        <f t="shared" si="124"/>
        <v>54355</v>
      </c>
      <c r="AK276" s="270">
        <f t="shared" si="124"/>
        <v>54355</v>
      </c>
      <c r="AL276" s="270">
        <f t="shared" si="124"/>
        <v>54355</v>
      </c>
      <c r="AM276" s="270">
        <f t="shared" si="124"/>
        <v>54355</v>
      </c>
    </row>
    <row r="277" spans="2:39" ht="15.75" thickBot="1" x14ac:dyDescent="0.35">
      <c r="B277" s="56" t="str">
        <f>input_names!$B$3</f>
        <v>benzine</v>
      </c>
      <c r="C277" s="61">
        <v>229</v>
      </c>
      <c r="D277" s="270">
        <f t="shared" si="123"/>
        <v>33805</v>
      </c>
      <c r="E277" s="270">
        <f t="shared" si="123"/>
        <v>39241</v>
      </c>
      <c r="F277" s="270">
        <f t="shared" si="123"/>
        <v>42147</v>
      </c>
      <c r="G277" s="270">
        <f t="shared" si="123"/>
        <v>43060</v>
      </c>
      <c r="H277" s="270">
        <f t="shared" si="123"/>
        <v>42520</v>
      </c>
      <c r="I277" s="270">
        <f t="shared" si="123"/>
        <v>43745</v>
      </c>
      <c r="J277" s="270">
        <f t="shared" si="123"/>
        <v>36062</v>
      </c>
      <c r="K277" s="270">
        <f t="shared" si="123"/>
        <v>38813</v>
      </c>
      <c r="L277" s="270">
        <f t="shared" si="123"/>
        <v>41274</v>
      </c>
      <c r="M277" s="270">
        <f t="shared" si="123"/>
        <v>50987</v>
      </c>
      <c r="N277" s="270">
        <f t="shared" si="123"/>
        <v>54923</v>
      </c>
      <c r="O277" s="270">
        <f t="shared" si="123"/>
        <v>54923</v>
      </c>
      <c r="P277" s="270">
        <f t="shared" si="123"/>
        <v>54923</v>
      </c>
      <c r="Q277" s="270">
        <f t="shared" si="123"/>
        <v>54923</v>
      </c>
      <c r="R277" s="270">
        <f t="shared" si="123"/>
        <v>54923</v>
      </c>
      <c r="S277" s="270">
        <f t="shared" si="118"/>
        <v>54923</v>
      </c>
      <c r="T277" s="270">
        <f t="shared" si="118"/>
        <v>54923</v>
      </c>
      <c r="U277" s="270">
        <f t="shared" si="120"/>
        <v>54923</v>
      </c>
      <c r="V277" s="270">
        <f t="shared" si="120"/>
        <v>54923</v>
      </c>
      <c r="W277" s="270">
        <f t="shared" si="120"/>
        <v>54923</v>
      </c>
      <c r="X277" s="270">
        <f t="shared" si="120"/>
        <v>54923</v>
      </c>
      <c r="Y277" s="270">
        <f t="shared" si="120"/>
        <v>54923</v>
      </c>
      <c r="Z277" s="270">
        <f t="shared" si="120"/>
        <v>54923</v>
      </c>
      <c r="AA277" s="270">
        <f t="shared" si="120"/>
        <v>54923</v>
      </c>
      <c r="AB277" s="270">
        <f t="shared" si="120"/>
        <v>54923</v>
      </c>
      <c r="AC277" s="270">
        <f t="shared" si="120"/>
        <v>54923</v>
      </c>
      <c r="AD277" s="270">
        <f t="shared" si="122"/>
        <v>54923</v>
      </c>
      <c r="AE277" s="270">
        <f t="shared" si="121"/>
        <v>54923</v>
      </c>
      <c r="AF277" s="270">
        <f t="shared" si="124"/>
        <v>54923</v>
      </c>
      <c r="AG277" s="270">
        <f t="shared" si="124"/>
        <v>54923</v>
      </c>
      <c r="AH277" s="270">
        <f t="shared" si="124"/>
        <v>54923</v>
      </c>
      <c r="AI277" s="270">
        <f t="shared" si="124"/>
        <v>54923</v>
      </c>
      <c r="AJ277" s="270">
        <f t="shared" si="124"/>
        <v>54923</v>
      </c>
      <c r="AK277" s="270">
        <f t="shared" si="124"/>
        <v>54923</v>
      </c>
      <c r="AL277" s="270">
        <f t="shared" si="124"/>
        <v>54923</v>
      </c>
      <c r="AM277" s="270">
        <f t="shared" si="124"/>
        <v>54923</v>
      </c>
    </row>
    <row r="278" spans="2:39" ht="15.75" thickBot="1" x14ac:dyDescent="0.35">
      <c r="B278" s="56" t="str">
        <f>input_names!$B$3</f>
        <v>benzine</v>
      </c>
      <c r="C278" s="61">
        <v>230</v>
      </c>
      <c r="D278" s="270">
        <f t="shared" si="123"/>
        <v>34239</v>
      </c>
      <c r="E278" s="270">
        <f t="shared" si="123"/>
        <v>39717</v>
      </c>
      <c r="F278" s="270">
        <f t="shared" si="123"/>
        <v>42619</v>
      </c>
      <c r="G278" s="270">
        <f t="shared" si="123"/>
        <v>43515</v>
      </c>
      <c r="H278" s="270">
        <f t="shared" si="123"/>
        <v>42948</v>
      </c>
      <c r="I278" s="270">
        <f t="shared" si="123"/>
        <v>44163</v>
      </c>
      <c r="J278" s="270">
        <f t="shared" si="123"/>
        <v>36494</v>
      </c>
      <c r="K278" s="270">
        <f t="shared" si="123"/>
        <v>39261</v>
      </c>
      <c r="L278" s="270">
        <f t="shared" si="123"/>
        <v>41722</v>
      </c>
      <c r="M278" s="270">
        <f t="shared" si="123"/>
        <v>51536</v>
      </c>
      <c r="N278" s="270">
        <f t="shared" si="123"/>
        <v>55491</v>
      </c>
      <c r="O278" s="270">
        <f t="shared" si="123"/>
        <v>55491</v>
      </c>
      <c r="P278" s="270">
        <f t="shared" si="123"/>
        <v>55491</v>
      </c>
      <c r="Q278" s="270">
        <f t="shared" si="123"/>
        <v>55491</v>
      </c>
      <c r="R278" s="270">
        <f t="shared" si="123"/>
        <v>55491</v>
      </c>
      <c r="S278" s="270">
        <f t="shared" si="118"/>
        <v>55491</v>
      </c>
      <c r="T278" s="270">
        <f t="shared" si="118"/>
        <v>55491</v>
      </c>
      <c r="U278" s="270">
        <f t="shared" si="120"/>
        <v>55491</v>
      </c>
      <c r="V278" s="270">
        <f t="shared" si="120"/>
        <v>55491</v>
      </c>
      <c r="W278" s="270">
        <f t="shared" si="120"/>
        <v>55491</v>
      </c>
      <c r="X278" s="270">
        <f t="shared" si="120"/>
        <v>55491</v>
      </c>
      <c r="Y278" s="270">
        <f t="shared" si="120"/>
        <v>55491</v>
      </c>
      <c r="Z278" s="270">
        <f t="shared" si="120"/>
        <v>55491</v>
      </c>
      <c r="AA278" s="270">
        <f t="shared" si="120"/>
        <v>55491</v>
      </c>
      <c r="AB278" s="270">
        <f t="shared" si="120"/>
        <v>55491</v>
      </c>
      <c r="AC278" s="270">
        <f t="shared" si="120"/>
        <v>55491</v>
      </c>
      <c r="AD278" s="270">
        <f t="shared" si="122"/>
        <v>55491</v>
      </c>
      <c r="AE278" s="270">
        <f t="shared" si="121"/>
        <v>55491</v>
      </c>
      <c r="AF278" s="270">
        <f t="shared" si="124"/>
        <v>55491</v>
      </c>
      <c r="AG278" s="270">
        <f t="shared" si="124"/>
        <v>55491</v>
      </c>
      <c r="AH278" s="270">
        <f t="shared" si="124"/>
        <v>55491</v>
      </c>
      <c r="AI278" s="270">
        <f t="shared" si="124"/>
        <v>55491</v>
      </c>
      <c r="AJ278" s="270">
        <f t="shared" si="124"/>
        <v>55491</v>
      </c>
      <c r="AK278" s="270">
        <f t="shared" si="124"/>
        <v>55491</v>
      </c>
      <c r="AL278" s="270">
        <f t="shared" si="124"/>
        <v>55491</v>
      </c>
      <c r="AM278" s="270">
        <f t="shared" si="124"/>
        <v>55491</v>
      </c>
    </row>
    <row r="279" spans="2:39" ht="15.75" thickBot="1" x14ac:dyDescent="0.35">
      <c r="B279" s="56" t="str">
        <f>input_names!$B$3</f>
        <v>benzine</v>
      </c>
      <c r="C279" s="61">
        <v>231</v>
      </c>
      <c r="D279" s="270">
        <f t="shared" si="123"/>
        <v>34673</v>
      </c>
      <c r="E279" s="270">
        <f t="shared" si="123"/>
        <v>40193</v>
      </c>
      <c r="F279" s="270">
        <f t="shared" si="123"/>
        <v>43091</v>
      </c>
      <c r="G279" s="270">
        <f t="shared" si="123"/>
        <v>43970</v>
      </c>
      <c r="H279" s="270">
        <f t="shared" si="123"/>
        <v>43376</v>
      </c>
      <c r="I279" s="270">
        <f t="shared" si="123"/>
        <v>44581</v>
      </c>
      <c r="J279" s="270">
        <f t="shared" si="123"/>
        <v>36926</v>
      </c>
      <c r="K279" s="270">
        <f t="shared" si="123"/>
        <v>39709</v>
      </c>
      <c r="L279" s="270">
        <f t="shared" si="123"/>
        <v>42170</v>
      </c>
      <c r="M279" s="270">
        <f t="shared" si="123"/>
        <v>52085</v>
      </c>
      <c r="N279" s="270">
        <f t="shared" si="123"/>
        <v>56059</v>
      </c>
      <c r="O279" s="270">
        <f t="shared" si="123"/>
        <v>56059</v>
      </c>
      <c r="P279" s="270">
        <f t="shared" si="123"/>
        <v>56059</v>
      </c>
      <c r="Q279" s="270">
        <f t="shared" si="123"/>
        <v>56059</v>
      </c>
      <c r="R279" s="270">
        <f t="shared" si="123"/>
        <v>56059</v>
      </c>
      <c r="S279" s="270">
        <f t="shared" si="118"/>
        <v>56059</v>
      </c>
      <c r="T279" s="270">
        <f t="shared" si="118"/>
        <v>56059</v>
      </c>
      <c r="U279" s="270">
        <f t="shared" si="120"/>
        <v>56059</v>
      </c>
      <c r="V279" s="270">
        <f t="shared" si="120"/>
        <v>56059</v>
      </c>
      <c r="W279" s="270">
        <f t="shared" si="120"/>
        <v>56059</v>
      </c>
      <c r="X279" s="270">
        <f t="shared" si="120"/>
        <v>56059</v>
      </c>
      <c r="Y279" s="270">
        <f t="shared" si="120"/>
        <v>56059</v>
      </c>
      <c r="Z279" s="270">
        <f t="shared" si="120"/>
        <v>56059</v>
      </c>
      <c r="AA279" s="270">
        <f t="shared" si="120"/>
        <v>56059</v>
      </c>
      <c r="AB279" s="270">
        <f t="shared" si="120"/>
        <v>56059</v>
      </c>
      <c r="AC279" s="270">
        <f t="shared" si="120"/>
        <v>56059</v>
      </c>
      <c r="AD279" s="270">
        <f t="shared" si="122"/>
        <v>56059</v>
      </c>
      <c r="AE279" s="270">
        <f t="shared" si="121"/>
        <v>56059</v>
      </c>
      <c r="AF279" s="270">
        <f t="shared" si="124"/>
        <v>56059</v>
      </c>
      <c r="AG279" s="270">
        <f t="shared" si="124"/>
        <v>56059</v>
      </c>
      <c r="AH279" s="270">
        <f t="shared" si="124"/>
        <v>56059</v>
      </c>
      <c r="AI279" s="270">
        <f t="shared" si="124"/>
        <v>56059</v>
      </c>
      <c r="AJ279" s="270">
        <f t="shared" si="124"/>
        <v>56059</v>
      </c>
      <c r="AK279" s="270">
        <f t="shared" si="124"/>
        <v>56059</v>
      </c>
      <c r="AL279" s="270">
        <f t="shared" si="124"/>
        <v>56059</v>
      </c>
      <c r="AM279" s="270">
        <f t="shared" si="124"/>
        <v>56059</v>
      </c>
    </row>
    <row r="280" spans="2:39" ht="15.75" thickBot="1" x14ac:dyDescent="0.35">
      <c r="B280" s="56" t="str">
        <f>input_names!$B$3</f>
        <v>benzine</v>
      </c>
      <c r="C280" s="61">
        <v>232</v>
      </c>
      <c r="D280" s="270">
        <f t="shared" si="123"/>
        <v>35107</v>
      </c>
      <c r="E280" s="270">
        <f t="shared" si="123"/>
        <v>40669</v>
      </c>
      <c r="F280" s="270">
        <f t="shared" si="123"/>
        <v>43563</v>
      </c>
      <c r="G280" s="270">
        <f t="shared" si="123"/>
        <v>44425</v>
      </c>
      <c r="H280" s="270">
        <f t="shared" si="123"/>
        <v>43804</v>
      </c>
      <c r="I280" s="270">
        <f t="shared" si="123"/>
        <v>44999</v>
      </c>
      <c r="J280" s="270">
        <f t="shared" si="123"/>
        <v>37358</v>
      </c>
      <c r="K280" s="270">
        <f t="shared" si="123"/>
        <v>40157</v>
      </c>
      <c r="L280" s="270">
        <f t="shared" si="123"/>
        <v>42618</v>
      </c>
      <c r="M280" s="270">
        <f t="shared" si="123"/>
        <v>52634</v>
      </c>
      <c r="N280" s="270">
        <f t="shared" si="123"/>
        <v>56627</v>
      </c>
      <c r="O280" s="270">
        <f t="shared" si="123"/>
        <v>56627</v>
      </c>
      <c r="P280" s="270">
        <f t="shared" si="123"/>
        <v>56627</v>
      </c>
      <c r="Q280" s="270">
        <f t="shared" si="123"/>
        <v>56627</v>
      </c>
      <c r="R280" s="270">
        <f t="shared" si="123"/>
        <v>56627</v>
      </c>
      <c r="S280" s="270">
        <f t="shared" si="123"/>
        <v>56627</v>
      </c>
      <c r="T280" s="270">
        <f t="shared" ref="S280:AC310" si="125">+MIN(MAX(0,$C280-T$11),T$12-T$11)*T$17
+MIN(MAX(0,$C280-T$12),T$13-T$12)*T$18
+MIN(MAX(0,$C280-T$13),T$14-T$13)*T$19
+MIN(MAX(0,$C280-T$14),T$15-T$14)*T$20
+MAX(0,$C280-T$15)*T$21
+T$26</f>
        <v>56627</v>
      </c>
      <c r="U280" s="270">
        <f t="shared" si="120"/>
        <v>56627</v>
      </c>
      <c r="V280" s="270">
        <f t="shared" si="120"/>
        <v>56627</v>
      </c>
      <c r="W280" s="270">
        <f t="shared" si="120"/>
        <v>56627</v>
      </c>
      <c r="X280" s="270">
        <f t="shared" si="120"/>
        <v>56627</v>
      </c>
      <c r="Y280" s="270">
        <f t="shared" si="120"/>
        <v>56627</v>
      </c>
      <c r="Z280" s="270">
        <f t="shared" si="120"/>
        <v>56627</v>
      </c>
      <c r="AA280" s="270">
        <f t="shared" si="120"/>
        <v>56627</v>
      </c>
      <c r="AB280" s="270">
        <f t="shared" si="120"/>
        <v>56627</v>
      </c>
      <c r="AC280" s="270">
        <f t="shared" si="120"/>
        <v>56627</v>
      </c>
      <c r="AD280" s="270">
        <f t="shared" si="122"/>
        <v>56627</v>
      </c>
      <c r="AE280" s="270">
        <f t="shared" si="121"/>
        <v>56627</v>
      </c>
      <c r="AF280" s="270">
        <f t="shared" si="124"/>
        <v>56627</v>
      </c>
      <c r="AG280" s="270">
        <f t="shared" si="124"/>
        <v>56627</v>
      </c>
      <c r="AH280" s="270">
        <f t="shared" si="124"/>
        <v>56627</v>
      </c>
      <c r="AI280" s="270">
        <f t="shared" si="124"/>
        <v>56627</v>
      </c>
      <c r="AJ280" s="270">
        <f t="shared" si="124"/>
        <v>56627</v>
      </c>
      <c r="AK280" s="270">
        <f t="shared" si="124"/>
        <v>56627</v>
      </c>
      <c r="AL280" s="270">
        <f t="shared" si="124"/>
        <v>56627</v>
      </c>
      <c r="AM280" s="270">
        <f t="shared" si="124"/>
        <v>56627</v>
      </c>
    </row>
    <row r="281" spans="2:39" ht="15.75" thickBot="1" x14ac:dyDescent="0.35">
      <c r="B281" s="56" t="str">
        <f>input_names!$B$3</f>
        <v>benzine</v>
      </c>
      <c r="C281" s="61">
        <v>233</v>
      </c>
      <c r="D281" s="270">
        <f t="shared" si="123"/>
        <v>35541</v>
      </c>
      <c r="E281" s="270">
        <f t="shared" si="123"/>
        <v>41145</v>
      </c>
      <c r="F281" s="270">
        <f t="shared" si="123"/>
        <v>44035</v>
      </c>
      <c r="G281" s="270">
        <f t="shared" si="123"/>
        <v>44880</v>
      </c>
      <c r="H281" s="270">
        <f t="shared" si="123"/>
        <v>44232</v>
      </c>
      <c r="I281" s="270">
        <f t="shared" si="123"/>
        <v>45417</v>
      </c>
      <c r="J281" s="270">
        <f t="shared" si="123"/>
        <v>37790</v>
      </c>
      <c r="K281" s="270">
        <f t="shared" si="123"/>
        <v>40605</v>
      </c>
      <c r="L281" s="270">
        <f t="shared" si="123"/>
        <v>43066</v>
      </c>
      <c r="M281" s="270">
        <f t="shared" si="123"/>
        <v>53183</v>
      </c>
      <c r="N281" s="270">
        <f t="shared" si="123"/>
        <v>57195</v>
      </c>
      <c r="O281" s="270">
        <f t="shared" si="123"/>
        <v>57195</v>
      </c>
      <c r="P281" s="270">
        <f t="shared" si="123"/>
        <v>57195</v>
      </c>
      <c r="Q281" s="270">
        <f t="shared" si="123"/>
        <v>57195</v>
      </c>
      <c r="R281" s="270">
        <f t="shared" si="123"/>
        <v>57195</v>
      </c>
      <c r="S281" s="270">
        <f t="shared" si="123"/>
        <v>57195</v>
      </c>
      <c r="T281" s="270">
        <f t="shared" si="125"/>
        <v>57195</v>
      </c>
      <c r="U281" s="270">
        <f t="shared" si="120"/>
        <v>57195</v>
      </c>
      <c r="V281" s="270">
        <f t="shared" si="120"/>
        <v>57195</v>
      </c>
      <c r="W281" s="270">
        <f t="shared" si="120"/>
        <v>57195</v>
      </c>
      <c r="X281" s="270">
        <f t="shared" si="120"/>
        <v>57195</v>
      </c>
      <c r="Y281" s="270">
        <f t="shared" si="120"/>
        <v>57195</v>
      </c>
      <c r="Z281" s="270">
        <f t="shared" si="120"/>
        <v>57195</v>
      </c>
      <c r="AA281" s="270">
        <f t="shared" si="120"/>
        <v>57195</v>
      </c>
      <c r="AB281" s="270">
        <f t="shared" si="120"/>
        <v>57195</v>
      </c>
      <c r="AC281" s="270">
        <f t="shared" si="120"/>
        <v>57195</v>
      </c>
      <c r="AD281" s="270">
        <f t="shared" si="122"/>
        <v>57195</v>
      </c>
      <c r="AE281" s="270">
        <f t="shared" si="121"/>
        <v>57195</v>
      </c>
      <c r="AF281" s="270">
        <f t="shared" si="124"/>
        <v>57195</v>
      </c>
      <c r="AG281" s="270">
        <f t="shared" si="124"/>
        <v>57195</v>
      </c>
      <c r="AH281" s="270">
        <f t="shared" si="124"/>
        <v>57195</v>
      </c>
      <c r="AI281" s="270">
        <f t="shared" si="124"/>
        <v>57195</v>
      </c>
      <c r="AJ281" s="270">
        <f t="shared" si="124"/>
        <v>57195</v>
      </c>
      <c r="AK281" s="270">
        <f t="shared" si="124"/>
        <v>57195</v>
      </c>
      <c r="AL281" s="270">
        <f t="shared" si="124"/>
        <v>57195</v>
      </c>
      <c r="AM281" s="270">
        <f t="shared" si="124"/>
        <v>57195</v>
      </c>
    </row>
    <row r="282" spans="2:39" ht="15.75" thickBot="1" x14ac:dyDescent="0.35">
      <c r="B282" s="56" t="str">
        <f>input_names!$B$3</f>
        <v>benzine</v>
      </c>
      <c r="C282" s="61">
        <v>234</v>
      </c>
      <c r="D282" s="270">
        <f t="shared" si="123"/>
        <v>35975</v>
      </c>
      <c r="E282" s="270">
        <f t="shared" si="123"/>
        <v>41621</v>
      </c>
      <c r="F282" s="270">
        <f t="shared" si="123"/>
        <v>44507</v>
      </c>
      <c r="G282" s="270">
        <f t="shared" si="123"/>
        <v>45335</v>
      </c>
      <c r="H282" s="270">
        <f t="shared" si="123"/>
        <v>44660</v>
      </c>
      <c r="I282" s="270">
        <f t="shared" si="123"/>
        <v>45835</v>
      </c>
      <c r="J282" s="270">
        <f t="shared" si="123"/>
        <v>38222</v>
      </c>
      <c r="K282" s="270">
        <f t="shared" si="123"/>
        <v>41053</v>
      </c>
      <c r="L282" s="270">
        <f t="shared" si="123"/>
        <v>43514</v>
      </c>
      <c r="M282" s="270">
        <f t="shared" si="123"/>
        <v>53732</v>
      </c>
      <c r="N282" s="270">
        <f t="shared" si="123"/>
        <v>57763</v>
      </c>
      <c r="O282" s="270">
        <f t="shared" si="123"/>
        <v>57763</v>
      </c>
      <c r="P282" s="270">
        <f t="shared" si="123"/>
        <v>57763</v>
      </c>
      <c r="Q282" s="270">
        <f t="shared" si="123"/>
        <v>57763</v>
      </c>
      <c r="R282" s="270">
        <f t="shared" si="123"/>
        <v>57763</v>
      </c>
      <c r="S282" s="270">
        <f t="shared" si="123"/>
        <v>57763</v>
      </c>
      <c r="T282" s="270">
        <f t="shared" si="125"/>
        <v>57763</v>
      </c>
      <c r="U282" s="270">
        <f t="shared" si="120"/>
        <v>57763</v>
      </c>
      <c r="V282" s="270">
        <f t="shared" si="120"/>
        <v>57763</v>
      </c>
      <c r="W282" s="270">
        <f t="shared" si="120"/>
        <v>57763</v>
      </c>
      <c r="X282" s="270">
        <f t="shared" si="120"/>
        <v>57763</v>
      </c>
      <c r="Y282" s="270">
        <f t="shared" si="120"/>
        <v>57763</v>
      </c>
      <c r="Z282" s="270">
        <f t="shared" si="120"/>
        <v>57763</v>
      </c>
      <c r="AA282" s="270">
        <f t="shared" si="120"/>
        <v>57763</v>
      </c>
      <c r="AB282" s="270">
        <f t="shared" si="120"/>
        <v>57763</v>
      </c>
      <c r="AC282" s="270">
        <f t="shared" si="120"/>
        <v>57763</v>
      </c>
      <c r="AD282" s="270">
        <f t="shared" si="122"/>
        <v>57763</v>
      </c>
      <c r="AE282" s="270">
        <f t="shared" si="121"/>
        <v>57763</v>
      </c>
      <c r="AF282" s="270">
        <f t="shared" si="124"/>
        <v>57763</v>
      </c>
      <c r="AG282" s="270">
        <f t="shared" si="124"/>
        <v>57763</v>
      </c>
      <c r="AH282" s="270">
        <f t="shared" si="124"/>
        <v>57763</v>
      </c>
      <c r="AI282" s="270">
        <f t="shared" si="124"/>
        <v>57763</v>
      </c>
      <c r="AJ282" s="270">
        <f t="shared" si="124"/>
        <v>57763</v>
      </c>
      <c r="AK282" s="270">
        <f t="shared" si="124"/>
        <v>57763</v>
      </c>
      <c r="AL282" s="270">
        <f t="shared" si="124"/>
        <v>57763</v>
      </c>
      <c r="AM282" s="270">
        <f t="shared" si="124"/>
        <v>57763</v>
      </c>
    </row>
    <row r="283" spans="2:39" ht="15.75" thickBot="1" x14ac:dyDescent="0.35">
      <c r="B283" s="56" t="str">
        <f>input_names!$B$3</f>
        <v>benzine</v>
      </c>
      <c r="C283" s="61">
        <v>235</v>
      </c>
      <c r="D283" s="270">
        <f t="shared" si="123"/>
        <v>36409</v>
      </c>
      <c r="E283" s="270">
        <f t="shared" si="123"/>
        <v>42097</v>
      </c>
      <c r="F283" s="270">
        <f t="shared" si="123"/>
        <v>44979</v>
      </c>
      <c r="G283" s="270">
        <f t="shared" si="123"/>
        <v>45790</v>
      </c>
      <c r="H283" s="270">
        <f t="shared" si="123"/>
        <v>45088</v>
      </c>
      <c r="I283" s="270">
        <f t="shared" si="123"/>
        <v>46253</v>
      </c>
      <c r="J283" s="270">
        <f t="shared" si="123"/>
        <v>38654</v>
      </c>
      <c r="K283" s="270">
        <f t="shared" si="123"/>
        <v>41501</v>
      </c>
      <c r="L283" s="270">
        <f t="shared" si="123"/>
        <v>43962</v>
      </c>
      <c r="M283" s="270">
        <f t="shared" si="123"/>
        <v>54281</v>
      </c>
      <c r="N283" s="270">
        <f t="shared" si="123"/>
        <v>58331</v>
      </c>
      <c r="O283" s="270">
        <f t="shared" si="123"/>
        <v>58331</v>
      </c>
      <c r="P283" s="270">
        <f t="shared" si="123"/>
        <v>58331</v>
      </c>
      <c r="Q283" s="270">
        <f t="shared" si="123"/>
        <v>58331</v>
      </c>
      <c r="R283" s="270">
        <f t="shared" si="123"/>
        <v>58331</v>
      </c>
      <c r="S283" s="270">
        <f t="shared" si="123"/>
        <v>58331</v>
      </c>
      <c r="T283" s="270">
        <f t="shared" si="125"/>
        <v>58331</v>
      </c>
      <c r="U283" s="270">
        <f t="shared" si="120"/>
        <v>58331</v>
      </c>
      <c r="V283" s="270">
        <f t="shared" si="120"/>
        <v>58331</v>
      </c>
      <c r="W283" s="270">
        <f t="shared" si="120"/>
        <v>58331</v>
      </c>
      <c r="X283" s="270">
        <f t="shared" si="120"/>
        <v>58331</v>
      </c>
      <c r="Y283" s="270">
        <f t="shared" si="120"/>
        <v>58331</v>
      </c>
      <c r="Z283" s="270">
        <f t="shared" si="120"/>
        <v>58331</v>
      </c>
      <c r="AA283" s="270">
        <f t="shared" si="120"/>
        <v>58331</v>
      </c>
      <c r="AB283" s="270">
        <f t="shared" si="120"/>
        <v>58331</v>
      </c>
      <c r="AC283" s="270">
        <f t="shared" si="120"/>
        <v>58331</v>
      </c>
      <c r="AD283" s="270">
        <f t="shared" si="122"/>
        <v>58331</v>
      </c>
      <c r="AE283" s="270">
        <f t="shared" si="121"/>
        <v>58331</v>
      </c>
      <c r="AF283" s="270">
        <f t="shared" si="124"/>
        <v>58331</v>
      </c>
      <c r="AG283" s="270">
        <f t="shared" si="124"/>
        <v>58331</v>
      </c>
      <c r="AH283" s="270">
        <f t="shared" si="124"/>
        <v>58331</v>
      </c>
      <c r="AI283" s="270">
        <f t="shared" si="124"/>
        <v>58331</v>
      </c>
      <c r="AJ283" s="270">
        <f t="shared" si="124"/>
        <v>58331</v>
      </c>
      <c r="AK283" s="270">
        <f t="shared" si="124"/>
        <v>58331</v>
      </c>
      <c r="AL283" s="270">
        <f t="shared" si="124"/>
        <v>58331</v>
      </c>
      <c r="AM283" s="270">
        <f t="shared" si="124"/>
        <v>58331</v>
      </c>
    </row>
    <row r="284" spans="2:39" ht="15.75" thickBot="1" x14ac:dyDescent="0.35">
      <c r="B284" s="56" t="str">
        <f>input_names!$B$3</f>
        <v>benzine</v>
      </c>
      <c r="C284" s="61">
        <v>236</v>
      </c>
      <c r="D284" s="270">
        <f t="shared" si="123"/>
        <v>36843</v>
      </c>
      <c r="E284" s="270">
        <f t="shared" si="123"/>
        <v>42573</v>
      </c>
      <c r="F284" s="270">
        <f t="shared" si="123"/>
        <v>45451</v>
      </c>
      <c r="G284" s="270">
        <f t="shared" si="123"/>
        <v>46245</v>
      </c>
      <c r="H284" s="270">
        <f t="shared" si="123"/>
        <v>45516</v>
      </c>
      <c r="I284" s="270">
        <f t="shared" si="123"/>
        <v>46671</v>
      </c>
      <c r="J284" s="270">
        <f t="shared" si="123"/>
        <v>39086</v>
      </c>
      <c r="K284" s="270">
        <f t="shared" si="123"/>
        <v>41949</v>
      </c>
      <c r="L284" s="270">
        <f t="shared" si="123"/>
        <v>44410</v>
      </c>
      <c r="M284" s="270">
        <f t="shared" si="123"/>
        <v>54830</v>
      </c>
      <c r="N284" s="270">
        <f t="shared" si="123"/>
        <v>58899</v>
      </c>
      <c r="O284" s="270">
        <f t="shared" si="123"/>
        <v>58899</v>
      </c>
      <c r="P284" s="270">
        <f t="shared" si="123"/>
        <v>58899</v>
      </c>
      <c r="Q284" s="270">
        <f t="shared" si="123"/>
        <v>58899</v>
      </c>
      <c r="R284" s="270">
        <f t="shared" si="123"/>
        <v>58899</v>
      </c>
      <c r="S284" s="270">
        <f t="shared" si="123"/>
        <v>58899</v>
      </c>
      <c r="T284" s="270">
        <f t="shared" si="125"/>
        <v>58899</v>
      </c>
      <c r="U284" s="270">
        <f t="shared" si="120"/>
        <v>58899</v>
      </c>
      <c r="V284" s="270">
        <f t="shared" si="120"/>
        <v>58899</v>
      </c>
      <c r="W284" s="270">
        <f t="shared" si="120"/>
        <v>58899</v>
      </c>
      <c r="X284" s="270">
        <f t="shared" si="120"/>
        <v>58899</v>
      </c>
      <c r="Y284" s="270">
        <f t="shared" si="120"/>
        <v>58899</v>
      </c>
      <c r="Z284" s="270">
        <f t="shared" si="120"/>
        <v>58899</v>
      </c>
      <c r="AA284" s="270">
        <f t="shared" si="120"/>
        <v>58899</v>
      </c>
      <c r="AB284" s="270">
        <f t="shared" si="120"/>
        <v>58899</v>
      </c>
      <c r="AC284" s="270">
        <f t="shared" si="120"/>
        <v>58899</v>
      </c>
      <c r="AD284" s="270">
        <f t="shared" si="122"/>
        <v>58899</v>
      </c>
      <c r="AE284" s="270">
        <f t="shared" si="121"/>
        <v>58899</v>
      </c>
      <c r="AF284" s="270">
        <f t="shared" ref="AF284:AM292" si="126">+MIN(MAX(0,$C284-AF$11),AF$12-AF$11)*AF$17
+MIN(MAX(0,$C284-AF$12),AF$13-AF$12)*AF$18
+MIN(MAX(0,$C284-AF$13),AF$14-AF$13)*AF$19
+MIN(MAX(0,$C284-AF$14),AF$15-AF$14)*AF$20
+MAX(0,$C284-AF$15)*AF$21
+AF$26</f>
        <v>58899</v>
      </c>
      <c r="AG284" s="270">
        <f t="shared" si="126"/>
        <v>58899</v>
      </c>
      <c r="AH284" s="270">
        <f t="shared" si="126"/>
        <v>58899</v>
      </c>
      <c r="AI284" s="270">
        <f t="shared" si="126"/>
        <v>58899</v>
      </c>
      <c r="AJ284" s="270">
        <f t="shared" si="126"/>
        <v>58899</v>
      </c>
      <c r="AK284" s="270">
        <f t="shared" si="126"/>
        <v>58899</v>
      </c>
      <c r="AL284" s="270">
        <f t="shared" si="126"/>
        <v>58899</v>
      </c>
      <c r="AM284" s="270">
        <f t="shared" si="126"/>
        <v>58899</v>
      </c>
    </row>
    <row r="285" spans="2:39" ht="15.75" thickBot="1" x14ac:dyDescent="0.35">
      <c r="B285" s="56" t="str">
        <f>input_names!$B$3</f>
        <v>benzine</v>
      </c>
      <c r="C285" s="61">
        <v>237</v>
      </c>
      <c r="D285" s="270">
        <f t="shared" si="123"/>
        <v>37277</v>
      </c>
      <c r="E285" s="270">
        <f t="shared" si="123"/>
        <v>43049</v>
      </c>
      <c r="F285" s="270">
        <f t="shared" si="123"/>
        <v>45923</v>
      </c>
      <c r="G285" s="270">
        <f t="shared" si="123"/>
        <v>46700</v>
      </c>
      <c r="H285" s="270">
        <f t="shared" si="123"/>
        <v>45944</v>
      </c>
      <c r="I285" s="270">
        <f t="shared" si="123"/>
        <v>47089</v>
      </c>
      <c r="J285" s="270">
        <f t="shared" si="123"/>
        <v>39518</v>
      </c>
      <c r="K285" s="270">
        <f t="shared" si="123"/>
        <v>42397</v>
      </c>
      <c r="L285" s="270">
        <f t="shared" si="123"/>
        <v>44858</v>
      </c>
      <c r="M285" s="270">
        <f t="shared" si="123"/>
        <v>55379</v>
      </c>
      <c r="N285" s="270">
        <f t="shared" si="123"/>
        <v>59467</v>
      </c>
      <c r="O285" s="270">
        <f t="shared" si="123"/>
        <v>59467</v>
      </c>
      <c r="P285" s="270">
        <f t="shared" si="123"/>
        <v>59467</v>
      </c>
      <c r="Q285" s="270">
        <f t="shared" si="123"/>
        <v>59467</v>
      </c>
      <c r="R285" s="270">
        <f t="shared" si="123"/>
        <v>59467</v>
      </c>
      <c r="S285" s="270">
        <f t="shared" si="123"/>
        <v>59467</v>
      </c>
      <c r="T285" s="270">
        <f t="shared" si="125"/>
        <v>59467</v>
      </c>
      <c r="U285" s="270">
        <f t="shared" si="120"/>
        <v>59467</v>
      </c>
      <c r="V285" s="270">
        <f t="shared" si="120"/>
        <v>59467</v>
      </c>
      <c r="W285" s="270">
        <f t="shared" si="120"/>
        <v>59467</v>
      </c>
      <c r="X285" s="270">
        <f t="shared" si="120"/>
        <v>59467</v>
      </c>
      <c r="Y285" s="270">
        <f t="shared" si="120"/>
        <v>59467</v>
      </c>
      <c r="Z285" s="270">
        <f t="shared" si="120"/>
        <v>59467</v>
      </c>
      <c r="AA285" s="270">
        <f t="shared" si="120"/>
        <v>59467</v>
      </c>
      <c r="AB285" s="270">
        <f t="shared" si="120"/>
        <v>59467</v>
      </c>
      <c r="AC285" s="270">
        <f t="shared" si="120"/>
        <v>59467</v>
      </c>
      <c r="AD285" s="270">
        <f t="shared" si="122"/>
        <v>59467</v>
      </c>
      <c r="AE285" s="270">
        <f t="shared" si="121"/>
        <v>59467</v>
      </c>
      <c r="AF285" s="270">
        <f t="shared" si="126"/>
        <v>59467</v>
      </c>
      <c r="AG285" s="270">
        <f t="shared" si="126"/>
        <v>59467</v>
      </c>
      <c r="AH285" s="270">
        <f t="shared" si="126"/>
        <v>59467</v>
      </c>
      <c r="AI285" s="270">
        <f t="shared" si="126"/>
        <v>59467</v>
      </c>
      <c r="AJ285" s="270">
        <f t="shared" si="126"/>
        <v>59467</v>
      </c>
      <c r="AK285" s="270">
        <f t="shared" si="126"/>
        <v>59467</v>
      </c>
      <c r="AL285" s="270">
        <f t="shared" si="126"/>
        <v>59467</v>
      </c>
      <c r="AM285" s="270">
        <f t="shared" si="126"/>
        <v>59467</v>
      </c>
    </row>
    <row r="286" spans="2:39" ht="15.75" thickBot="1" x14ac:dyDescent="0.35">
      <c r="B286" s="56" t="str">
        <f>input_names!$B$3</f>
        <v>benzine</v>
      </c>
      <c r="C286" s="61">
        <v>238</v>
      </c>
      <c r="D286" s="270">
        <f t="shared" si="123"/>
        <v>37711</v>
      </c>
      <c r="E286" s="270">
        <f t="shared" si="123"/>
        <v>43525</v>
      </c>
      <c r="F286" s="270">
        <f t="shared" si="123"/>
        <v>46395</v>
      </c>
      <c r="G286" s="270">
        <f t="shared" si="123"/>
        <v>47155</v>
      </c>
      <c r="H286" s="270">
        <f t="shared" si="123"/>
        <v>46372</v>
      </c>
      <c r="I286" s="270">
        <f t="shared" si="123"/>
        <v>47507</v>
      </c>
      <c r="J286" s="270">
        <f t="shared" si="123"/>
        <v>39950</v>
      </c>
      <c r="K286" s="270">
        <f t="shared" si="123"/>
        <v>42845</v>
      </c>
      <c r="L286" s="270">
        <f t="shared" si="123"/>
        <v>45306</v>
      </c>
      <c r="M286" s="270">
        <f t="shared" si="123"/>
        <v>55928</v>
      </c>
      <c r="N286" s="270">
        <f t="shared" si="123"/>
        <v>60035</v>
      </c>
      <c r="O286" s="270">
        <f t="shared" si="123"/>
        <v>60035</v>
      </c>
      <c r="P286" s="270">
        <f t="shared" si="123"/>
        <v>60035</v>
      </c>
      <c r="Q286" s="270">
        <f t="shared" si="123"/>
        <v>60035</v>
      </c>
      <c r="R286" s="270">
        <f t="shared" si="123"/>
        <v>60035</v>
      </c>
      <c r="S286" s="270">
        <f t="shared" si="123"/>
        <v>60035</v>
      </c>
      <c r="T286" s="270">
        <f t="shared" si="125"/>
        <v>60035</v>
      </c>
      <c r="U286" s="270">
        <f t="shared" si="120"/>
        <v>60035</v>
      </c>
      <c r="V286" s="270">
        <f t="shared" si="120"/>
        <v>60035</v>
      </c>
      <c r="W286" s="270">
        <f t="shared" si="120"/>
        <v>60035</v>
      </c>
      <c r="X286" s="270">
        <f t="shared" si="120"/>
        <v>60035</v>
      </c>
      <c r="Y286" s="270">
        <f t="shared" si="120"/>
        <v>60035</v>
      </c>
      <c r="Z286" s="270">
        <f t="shared" si="120"/>
        <v>60035</v>
      </c>
      <c r="AA286" s="270">
        <f t="shared" si="120"/>
        <v>60035</v>
      </c>
      <c r="AB286" s="270">
        <f t="shared" si="120"/>
        <v>60035</v>
      </c>
      <c r="AC286" s="270">
        <f t="shared" si="120"/>
        <v>60035</v>
      </c>
      <c r="AD286" s="270">
        <f t="shared" si="122"/>
        <v>60035</v>
      </c>
      <c r="AE286" s="270">
        <f t="shared" si="121"/>
        <v>60035</v>
      </c>
      <c r="AF286" s="270">
        <f t="shared" si="126"/>
        <v>60035</v>
      </c>
      <c r="AG286" s="270">
        <f t="shared" si="126"/>
        <v>60035</v>
      </c>
      <c r="AH286" s="270">
        <f t="shared" si="126"/>
        <v>60035</v>
      </c>
      <c r="AI286" s="270">
        <f t="shared" si="126"/>
        <v>60035</v>
      </c>
      <c r="AJ286" s="270">
        <f t="shared" si="126"/>
        <v>60035</v>
      </c>
      <c r="AK286" s="270">
        <f t="shared" si="126"/>
        <v>60035</v>
      </c>
      <c r="AL286" s="270">
        <f t="shared" si="126"/>
        <v>60035</v>
      </c>
      <c r="AM286" s="270">
        <f t="shared" si="126"/>
        <v>60035</v>
      </c>
    </row>
    <row r="287" spans="2:39" ht="15.75" thickBot="1" x14ac:dyDescent="0.35">
      <c r="B287" s="56" t="str">
        <f>input_names!$B$3</f>
        <v>benzine</v>
      </c>
      <c r="C287" s="61">
        <v>239</v>
      </c>
      <c r="D287" s="270">
        <f t="shared" si="123"/>
        <v>38145</v>
      </c>
      <c r="E287" s="270">
        <f t="shared" si="123"/>
        <v>44001</v>
      </c>
      <c r="F287" s="270">
        <f t="shared" si="123"/>
        <v>46867</v>
      </c>
      <c r="G287" s="270">
        <f t="shared" si="123"/>
        <v>47610</v>
      </c>
      <c r="H287" s="270">
        <f t="shared" si="123"/>
        <v>46800</v>
      </c>
      <c r="I287" s="270">
        <f t="shared" si="123"/>
        <v>47925</v>
      </c>
      <c r="J287" s="270">
        <f t="shared" si="123"/>
        <v>40382</v>
      </c>
      <c r="K287" s="270">
        <f t="shared" si="123"/>
        <v>43293</v>
      </c>
      <c r="L287" s="270">
        <f t="shared" si="123"/>
        <v>45754</v>
      </c>
      <c r="M287" s="270">
        <f t="shared" si="123"/>
        <v>56477</v>
      </c>
      <c r="N287" s="270">
        <f t="shared" si="123"/>
        <v>60603</v>
      </c>
      <c r="O287" s="270">
        <f t="shared" si="123"/>
        <v>60603</v>
      </c>
      <c r="P287" s="270">
        <f t="shared" si="123"/>
        <v>60603</v>
      </c>
      <c r="Q287" s="270">
        <f t="shared" si="123"/>
        <v>60603</v>
      </c>
      <c r="R287" s="270">
        <f t="shared" si="123"/>
        <v>60603</v>
      </c>
      <c r="S287" s="270">
        <f t="shared" si="123"/>
        <v>60603</v>
      </c>
      <c r="T287" s="270">
        <f t="shared" si="125"/>
        <v>60603</v>
      </c>
      <c r="U287" s="270">
        <f t="shared" si="120"/>
        <v>60603</v>
      </c>
      <c r="V287" s="270">
        <f t="shared" si="120"/>
        <v>60603</v>
      </c>
      <c r="W287" s="270">
        <f t="shared" si="120"/>
        <v>60603</v>
      </c>
      <c r="X287" s="270">
        <f t="shared" si="120"/>
        <v>60603</v>
      </c>
      <c r="Y287" s="270">
        <f t="shared" si="120"/>
        <v>60603</v>
      </c>
      <c r="Z287" s="270">
        <f t="shared" si="120"/>
        <v>60603</v>
      </c>
      <c r="AA287" s="270">
        <f t="shared" si="120"/>
        <v>60603</v>
      </c>
      <c r="AB287" s="270">
        <f t="shared" si="120"/>
        <v>60603</v>
      </c>
      <c r="AC287" s="270">
        <f t="shared" si="120"/>
        <v>60603</v>
      </c>
      <c r="AD287" s="270">
        <f t="shared" si="122"/>
        <v>60603</v>
      </c>
      <c r="AE287" s="270">
        <f t="shared" si="121"/>
        <v>60603</v>
      </c>
      <c r="AF287" s="270">
        <f t="shared" si="126"/>
        <v>60603</v>
      </c>
      <c r="AG287" s="270">
        <f t="shared" si="126"/>
        <v>60603</v>
      </c>
      <c r="AH287" s="270">
        <f t="shared" si="126"/>
        <v>60603</v>
      </c>
      <c r="AI287" s="270">
        <f t="shared" si="126"/>
        <v>60603</v>
      </c>
      <c r="AJ287" s="270">
        <f t="shared" si="126"/>
        <v>60603</v>
      </c>
      <c r="AK287" s="270">
        <f t="shared" si="126"/>
        <v>60603</v>
      </c>
      <c r="AL287" s="270">
        <f t="shared" si="126"/>
        <v>60603</v>
      </c>
      <c r="AM287" s="270">
        <f t="shared" si="126"/>
        <v>60603</v>
      </c>
    </row>
    <row r="288" spans="2:39" ht="15.75" thickBot="1" x14ac:dyDescent="0.35">
      <c r="B288" s="56" t="str">
        <f>input_names!$B$3</f>
        <v>benzine</v>
      </c>
      <c r="C288" s="61">
        <v>240</v>
      </c>
      <c r="D288" s="270">
        <f t="shared" ref="D288:AD303" si="127">+MIN(MAX(0,$C288-D$11),D$12-D$11)*D$17
+MIN(MAX(0,$C288-D$12),D$13-D$12)*D$18
+MIN(MAX(0,$C288-D$13),D$14-D$13)*D$19
+MIN(MAX(0,$C288-D$14),D$15-D$14)*D$20
+MAX(0,$C288-D$15)*D$21
+D$26</f>
        <v>38579</v>
      </c>
      <c r="E288" s="270">
        <f t="shared" si="127"/>
        <v>44477</v>
      </c>
      <c r="F288" s="270">
        <f t="shared" si="127"/>
        <v>47339</v>
      </c>
      <c r="G288" s="270">
        <f t="shared" si="127"/>
        <v>48065</v>
      </c>
      <c r="H288" s="270">
        <f t="shared" si="127"/>
        <v>47228</v>
      </c>
      <c r="I288" s="270">
        <f t="shared" si="127"/>
        <v>48343</v>
      </c>
      <c r="J288" s="270">
        <f t="shared" si="127"/>
        <v>40814</v>
      </c>
      <c r="K288" s="270">
        <f t="shared" si="127"/>
        <v>43741</v>
      </c>
      <c r="L288" s="270">
        <f t="shared" si="127"/>
        <v>46202</v>
      </c>
      <c r="M288" s="270">
        <f t="shared" si="127"/>
        <v>57026</v>
      </c>
      <c r="N288" s="270">
        <f t="shared" si="127"/>
        <v>61171</v>
      </c>
      <c r="O288" s="270">
        <f t="shared" si="127"/>
        <v>61171</v>
      </c>
      <c r="P288" s="270">
        <f t="shared" si="127"/>
        <v>61171</v>
      </c>
      <c r="Q288" s="270">
        <f t="shared" si="127"/>
        <v>61171</v>
      </c>
      <c r="R288" s="270">
        <f t="shared" si="127"/>
        <v>61171</v>
      </c>
      <c r="S288" s="270">
        <f t="shared" si="127"/>
        <v>61171</v>
      </c>
      <c r="T288" s="270">
        <f t="shared" si="125"/>
        <v>61171</v>
      </c>
      <c r="U288" s="270">
        <f t="shared" si="125"/>
        <v>61171</v>
      </c>
      <c r="V288" s="270">
        <f t="shared" si="125"/>
        <v>61171</v>
      </c>
      <c r="W288" s="270">
        <f t="shared" si="125"/>
        <v>61171</v>
      </c>
      <c r="X288" s="270">
        <f t="shared" si="125"/>
        <v>61171</v>
      </c>
      <c r="Y288" s="270">
        <f t="shared" si="125"/>
        <v>61171</v>
      </c>
      <c r="Z288" s="270">
        <f t="shared" si="125"/>
        <v>61171</v>
      </c>
      <c r="AA288" s="270">
        <f t="shared" si="125"/>
        <v>61171</v>
      </c>
      <c r="AB288" s="270">
        <f t="shared" si="125"/>
        <v>61171</v>
      </c>
      <c r="AC288" s="270">
        <f t="shared" si="125"/>
        <v>61171</v>
      </c>
      <c r="AD288" s="270">
        <f t="shared" si="122"/>
        <v>61171</v>
      </c>
      <c r="AE288" s="270">
        <f t="shared" si="121"/>
        <v>61171</v>
      </c>
      <c r="AF288" s="270">
        <f t="shared" si="126"/>
        <v>61171</v>
      </c>
      <c r="AG288" s="270">
        <f t="shared" si="126"/>
        <v>61171</v>
      </c>
      <c r="AH288" s="270">
        <f t="shared" si="126"/>
        <v>61171</v>
      </c>
      <c r="AI288" s="270">
        <f t="shared" si="126"/>
        <v>61171</v>
      </c>
      <c r="AJ288" s="270">
        <f t="shared" si="126"/>
        <v>61171</v>
      </c>
      <c r="AK288" s="270">
        <f t="shared" si="126"/>
        <v>61171</v>
      </c>
      <c r="AL288" s="270">
        <f t="shared" si="126"/>
        <v>61171</v>
      </c>
      <c r="AM288" s="270">
        <f t="shared" si="126"/>
        <v>61171</v>
      </c>
    </row>
    <row r="289" spans="2:39" ht="15.75" thickBot="1" x14ac:dyDescent="0.35">
      <c r="B289" s="56" t="str">
        <f>input_names!$B$3</f>
        <v>benzine</v>
      </c>
      <c r="C289" s="61">
        <v>241</v>
      </c>
      <c r="D289" s="270">
        <f t="shared" si="127"/>
        <v>39013</v>
      </c>
      <c r="E289" s="270">
        <f t="shared" si="127"/>
        <v>44953</v>
      </c>
      <c r="F289" s="270">
        <f t="shared" si="127"/>
        <v>47811</v>
      </c>
      <c r="G289" s="270">
        <f t="shared" si="127"/>
        <v>48520</v>
      </c>
      <c r="H289" s="270">
        <f t="shared" si="127"/>
        <v>47656</v>
      </c>
      <c r="I289" s="270">
        <f t="shared" si="127"/>
        <v>48761</v>
      </c>
      <c r="J289" s="270">
        <f t="shared" si="127"/>
        <v>41246</v>
      </c>
      <c r="K289" s="270">
        <f t="shared" si="127"/>
        <v>44189</v>
      </c>
      <c r="L289" s="270">
        <f t="shared" si="127"/>
        <v>46650</v>
      </c>
      <c r="M289" s="270">
        <f t="shared" si="127"/>
        <v>57575</v>
      </c>
      <c r="N289" s="270">
        <f t="shared" si="127"/>
        <v>61739</v>
      </c>
      <c r="O289" s="270">
        <f t="shared" si="127"/>
        <v>61739</v>
      </c>
      <c r="P289" s="270">
        <f t="shared" si="127"/>
        <v>61739</v>
      </c>
      <c r="Q289" s="270">
        <f t="shared" si="127"/>
        <v>61739</v>
      </c>
      <c r="R289" s="270">
        <f t="shared" si="127"/>
        <v>61739</v>
      </c>
      <c r="S289" s="270">
        <f t="shared" si="127"/>
        <v>61739</v>
      </c>
      <c r="T289" s="270">
        <f t="shared" si="125"/>
        <v>61739</v>
      </c>
      <c r="U289" s="270">
        <f t="shared" si="125"/>
        <v>61739</v>
      </c>
      <c r="V289" s="270">
        <f t="shared" si="125"/>
        <v>61739</v>
      </c>
      <c r="W289" s="270">
        <f t="shared" si="125"/>
        <v>61739</v>
      </c>
      <c r="X289" s="270">
        <f t="shared" si="125"/>
        <v>61739</v>
      </c>
      <c r="Y289" s="270">
        <f t="shared" si="125"/>
        <v>61739</v>
      </c>
      <c r="Z289" s="270">
        <f t="shared" si="125"/>
        <v>61739</v>
      </c>
      <c r="AA289" s="270">
        <f t="shared" si="125"/>
        <v>61739</v>
      </c>
      <c r="AB289" s="270">
        <f t="shared" si="125"/>
        <v>61739</v>
      </c>
      <c r="AC289" s="270">
        <f t="shared" si="125"/>
        <v>61739</v>
      </c>
      <c r="AD289" s="270">
        <f t="shared" si="122"/>
        <v>61739</v>
      </c>
      <c r="AE289" s="270">
        <f t="shared" si="121"/>
        <v>61739</v>
      </c>
      <c r="AF289" s="270">
        <f t="shared" si="126"/>
        <v>61739</v>
      </c>
      <c r="AG289" s="270">
        <f t="shared" si="126"/>
        <v>61739</v>
      </c>
      <c r="AH289" s="270">
        <f t="shared" si="126"/>
        <v>61739</v>
      </c>
      <c r="AI289" s="270">
        <f t="shared" si="126"/>
        <v>61739</v>
      </c>
      <c r="AJ289" s="270">
        <f t="shared" si="126"/>
        <v>61739</v>
      </c>
      <c r="AK289" s="270">
        <f t="shared" si="126"/>
        <v>61739</v>
      </c>
      <c r="AL289" s="270">
        <f t="shared" si="126"/>
        <v>61739</v>
      </c>
      <c r="AM289" s="270">
        <f t="shared" si="126"/>
        <v>61739</v>
      </c>
    </row>
    <row r="290" spans="2:39" ht="15.75" thickBot="1" x14ac:dyDescent="0.35">
      <c r="B290" s="56" t="str">
        <f>input_names!$B$3</f>
        <v>benzine</v>
      </c>
      <c r="C290" s="61">
        <v>242</v>
      </c>
      <c r="D290" s="270">
        <f t="shared" si="127"/>
        <v>39447</v>
      </c>
      <c r="E290" s="270">
        <f t="shared" si="127"/>
        <v>45429</v>
      </c>
      <c r="F290" s="270">
        <f t="shared" si="127"/>
        <v>48283</v>
      </c>
      <c r="G290" s="270">
        <f t="shared" si="127"/>
        <v>48975</v>
      </c>
      <c r="H290" s="270">
        <f t="shared" si="127"/>
        <v>48084</v>
      </c>
      <c r="I290" s="270">
        <f t="shared" si="127"/>
        <v>49179</v>
      </c>
      <c r="J290" s="270">
        <f t="shared" si="127"/>
        <v>41678</v>
      </c>
      <c r="K290" s="270">
        <f t="shared" si="127"/>
        <v>44637</v>
      </c>
      <c r="L290" s="270">
        <f t="shared" si="127"/>
        <v>47098</v>
      </c>
      <c r="M290" s="270">
        <f t="shared" si="127"/>
        <v>58124</v>
      </c>
      <c r="N290" s="270">
        <f t="shared" si="127"/>
        <v>62307</v>
      </c>
      <c r="O290" s="270">
        <f t="shared" si="127"/>
        <v>62307</v>
      </c>
      <c r="P290" s="270">
        <f t="shared" si="127"/>
        <v>62307</v>
      </c>
      <c r="Q290" s="270">
        <f t="shared" si="127"/>
        <v>62307</v>
      </c>
      <c r="R290" s="270">
        <f t="shared" si="127"/>
        <v>62307</v>
      </c>
      <c r="S290" s="270">
        <f t="shared" ref="S290:S293" si="128">+MIN(MAX(0,$C290-S$11),S$12-S$11)*S$17
+MIN(MAX(0,$C290-S$12),S$13-S$12)*S$18
+MIN(MAX(0,$C290-S$13),S$14-S$13)*S$19
+MIN(MAX(0,$C290-S$14),S$15-S$14)*S$20
+MAX(0,$C290-S$15)*S$21
+S$26</f>
        <v>62307</v>
      </c>
      <c r="T290" s="270">
        <f t="shared" si="125"/>
        <v>62307</v>
      </c>
      <c r="U290" s="270">
        <f t="shared" si="125"/>
        <v>62307</v>
      </c>
      <c r="V290" s="270">
        <f t="shared" si="125"/>
        <v>62307</v>
      </c>
      <c r="W290" s="270">
        <f t="shared" si="125"/>
        <v>62307</v>
      </c>
      <c r="X290" s="270">
        <f t="shared" si="125"/>
        <v>62307</v>
      </c>
      <c r="Y290" s="270">
        <f t="shared" si="125"/>
        <v>62307</v>
      </c>
      <c r="Z290" s="270">
        <f t="shared" si="125"/>
        <v>62307</v>
      </c>
      <c r="AA290" s="270">
        <f t="shared" si="125"/>
        <v>62307</v>
      </c>
      <c r="AB290" s="270">
        <f t="shared" si="125"/>
        <v>62307</v>
      </c>
      <c r="AC290" s="270">
        <f t="shared" si="125"/>
        <v>62307</v>
      </c>
      <c r="AD290" s="270">
        <f t="shared" si="122"/>
        <v>62307</v>
      </c>
      <c r="AE290" s="270">
        <f t="shared" si="121"/>
        <v>62307</v>
      </c>
      <c r="AF290" s="270">
        <f t="shared" si="126"/>
        <v>62307</v>
      </c>
      <c r="AG290" s="270">
        <f t="shared" si="126"/>
        <v>62307</v>
      </c>
      <c r="AH290" s="270">
        <f t="shared" si="126"/>
        <v>62307</v>
      </c>
      <c r="AI290" s="270">
        <f t="shared" si="126"/>
        <v>62307</v>
      </c>
      <c r="AJ290" s="270">
        <f t="shared" si="126"/>
        <v>62307</v>
      </c>
      <c r="AK290" s="270">
        <f t="shared" si="126"/>
        <v>62307</v>
      </c>
      <c r="AL290" s="270">
        <f t="shared" si="126"/>
        <v>62307</v>
      </c>
      <c r="AM290" s="270">
        <f t="shared" si="126"/>
        <v>62307</v>
      </c>
    </row>
    <row r="291" spans="2:39" ht="15.75" thickBot="1" x14ac:dyDescent="0.35">
      <c r="B291" s="56" t="str">
        <f>input_names!$B$3</f>
        <v>benzine</v>
      </c>
      <c r="C291" s="61">
        <v>243</v>
      </c>
      <c r="D291" s="270">
        <f t="shared" si="127"/>
        <v>39881</v>
      </c>
      <c r="E291" s="270">
        <f t="shared" si="127"/>
        <v>45905</v>
      </c>
      <c r="F291" s="270">
        <f t="shared" si="127"/>
        <v>48755</v>
      </c>
      <c r="G291" s="270">
        <f t="shared" si="127"/>
        <v>49430</v>
      </c>
      <c r="H291" s="270">
        <f t="shared" si="127"/>
        <v>48512</v>
      </c>
      <c r="I291" s="270">
        <f t="shared" si="127"/>
        <v>49597</v>
      </c>
      <c r="J291" s="270">
        <f t="shared" si="127"/>
        <v>42110</v>
      </c>
      <c r="K291" s="270">
        <f t="shared" si="127"/>
        <v>45085</v>
      </c>
      <c r="L291" s="270">
        <f t="shared" si="127"/>
        <v>47546</v>
      </c>
      <c r="M291" s="270">
        <f t="shared" si="127"/>
        <v>58673</v>
      </c>
      <c r="N291" s="270">
        <f t="shared" si="127"/>
        <v>62875</v>
      </c>
      <c r="O291" s="270">
        <f t="shared" si="127"/>
        <v>62875</v>
      </c>
      <c r="P291" s="270">
        <f t="shared" si="127"/>
        <v>62875</v>
      </c>
      <c r="Q291" s="270">
        <f t="shared" si="127"/>
        <v>62875</v>
      </c>
      <c r="R291" s="270">
        <f t="shared" si="127"/>
        <v>62875</v>
      </c>
      <c r="S291" s="270">
        <f t="shared" si="128"/>
        <v>62875</v>
      </c>
      <c r="T291" s="270">
        <f t="shared" si="125"/>
        <v>62875</v>
      </c>
      <c r="U291" s="270">
        <f t="shared" si="125"/>
        <v>62875</v>
      </c>
      <c r="V291" s="270">
        <f t="shared" si="125"/>
        <v>62875</v>
      </c>
      <c r="W291" s="270">
        <f t="shared" si="125"/>
        <v>62875</v>
      </c>
      <c r="X291" s="270">
        <f t="shared" si="125"/>
        <v>62875</v>
      </c>
      <c r="Y291" s="270">
        <f t="shared" si="125"/>
        <v>62875</v>
      </c>
      <c r="Z291" s="270">
        <f t="shared" si="125"/>
        <v>62875</v>
      </c>
      <c r="AA291" s="270">
        <f t="shared" si="125"/>
        <v>62875</v>
      </c>
      <c r="AB291" s="270">
        <f t="shared" si="125"/>
        <v>62875</v>
      </c>
      <c r="AC291" s="270">
        <f t="shared" si="125"/>
        <v>62875</v>
      </c>
      <c r="AD291" s="270">
        <f t="shared" si="122"/>
        <v>62875</v>
      </c>
      <c r="AE291" s="270">
        <f t="shared" si="121"/>
        <v>62875</v>
      </c>
      <c r="AF291" s="270">
        <f t="shared" si="126"/>
        <v>62875</v>
      </c>
      <c r="AG291" s="270">
        <f t="shared" si="126"/>
        <v>62875</v>
      </c>
      <c r="AH291" s="270">
        <f t="shared" si="126"/>
        <v>62875</v>
      </c>
      <c r="AI291" s="270">
        <f t="shared" si="126"/>
        <v>62875</v>
      </c>
      <c r="AJ291" s="270">
        <f t="shared" si="126"/>
        <v>62875</v>
      </c>
      <c r="AK291" s="270">
        <f t="shared" si="126"/>
        <v>62875</v>
      </c>
      <c r="AL291" s="270">
        <f t="shared" si="126"/>
        <v>62875</v>
      </c>
      <c r="AM291" s="270">
        <f t="shared" si="126"/>
        <v>62875</v>
      </c>
    </row>
    <row r="292" spans="2:39" ht="15.75" thickBot="1" x14ac:dyDescent="0.35">
      <c r="B292" s="56" t="str">
        <f>input_names!$B$3</f>
        <v>benzine</v>
      </c>
      <c r="C292" s="61">
        <v>244</v>
      </c>
      <c r="D292" s="270">
        <f t="shared" si="127"/>
        <v>40315</v>
      </c>
      <c r="E292" s="270">
        <f t="shared" si="127"/>
        <v>46381</v>
      </c>
      <c r="F292" s="270">
        <f t="shared" si="127"/>
        <v>49227</v>
      </c>
      <c r="G292" s="270">
        <f t="shared" si="127"/>
        <v>49885</v>
      </c>
      <c r="H292" s="270">
        <f t="shared" si="127"/>
        <v>48940</v>
      </c>
      <c r="I292" s="270">
        <f t="shared" si="127"/>
        <v>50015</v>
      </c>
      <c r="J292" s="270">
        <f t="shared" si="127"/>
        <v>42542</v>
      </c>
      <c r="K292" s="270">
        <f t="shared" si="127"/>
        <v>45533</v>
      </c>
      <c r="L292" s="270">
        <f t="shared" si="127"/>
        <v>47994</v>
      </c>
      <c r="M292" s="270">
        <f t="shared" si="127"/>
        <v>59222</v>
      </c>
      <c r="N292" s="270">
        <f t="shared" si="127"/>
        <v>63443</v>
      </c>
      <c r="O292" s="270">
        <f t="shared" si="127"/>
        <v>63443</v>
      </c>
      <c r="P292" s="270">
        <f t="shared" si="127"/>
        <v>63443</v>
      </c>
      <c r="Q292" s="270">
        <f t="shared" si="127"/>
        <v>63443</v>
      </c>
      <c r="R292" s="270">
        <f t="shared" si="127"/>
        <v>63443</v>
      </c>
      <c r="S292" s="270">
        <f t="shared" si="128"/>
        <v>63443</v>
      </c>
      <c r="T292" s="270">
        <f t="shared" si="125"/>
        <v>63443</v>
      </c>
      <c r="U292" s="270">
        <f t="shared" si="125"/>
        <v>63443</v>
      </c>
      <c r="V292" s="270">
        <f t="shared" si="125"/>
        <v>63443</v>
      </c>
      <c r="W292" s="270">
        <f t="shared" si="125"/>
        <v>63443</v>
      </c>
      <c r="X292" s="270">
        <f t="shared" si="125"/>
        <v>63443</v>
      </c>
      <c r="Y292" s="270">
        <f t="shared" si="125"/>
        <v>63443</v>
      </c>
      <c r="Z292" s="270">
        <f t="shared" si="125"/>
        <v>63443</v>
      </c>
      <c r="AA292" s="270">
        <f t="shared" si="125"/>
        <v>63443</v>
      </c>
      <c r="AB292" s="270">
        <f t="shared" si="125"/>
        <v>63443</v>
      </c>
      <c r="AC292" s="270">
        <f t="shared" si="125"/>
        <v>63443</v>
      </c>
      <c r="AD292" s="270">
        <f t="shared" si="122"/>
        <v>63443</v>
      </c>
      <c r="AE292" s="270">
        <f t="shared" si="121"/>
        <v>63443</v>
      </c>
      <c r="AF292" s="270">
        <f t="shared" si="126"/>
        <v>63443</v>
      </c>
      <c r="AG292" s="270">
        <f t="shared" si="126"/>
        <v>63443</v>
      </c>
      <c r="AH292" s="270">
        <f t="shared" si="126"/>
        <v>63443</v>
      </c>
      <c r="AI292" s="270">
        <f t="shared" si="126"/>
        <v>63443</v>
      </c>
      <c r="AJ292" s="270">
        <f t="shared" si="126"/>
        <v>63443</v>
      </c>
      <c r="AK292" s="270">
        <f t="shared" si="126"/>
        <v>63443</v>
      </c>
      <c r="AL292" s="270">
        <f t="shared" si="126"/>
        <v>63443</v>
      </c>
      <c r="AM292" s="270">
        <f t="shared" si="126"/>
        <v>63443</v>
      </c>
    </row>
    <row r="293" spans="2:39" ht="15.75" thickBot="1" x14ac:dyDescent="0.35">
      <c r="B293" s="56" t="str">
        <f>input_names!$B$3</f>
        <v>benzine</v>
      </c>
      <c r="C293" s="61">
        <v>245</v>
      </c>
      <c r="D293" s="270">
        <f t="shared" si="127"/>
        <v>40749</v>
      </c>
      <c r="E293" s="270">
        <f t="shared" si="127"/>
        <v>46857</v>
      </c>
      <c r="F293" s="270">
        <f t="shared" si="127"/>
        <v>49699</v>
      </c>
      <c r="G293" s="270">
        <f t="shared" si="127"/>
        <v>50340</v>
      </c>
      <c r="H293" s="270">
        <f t="shared" si="127"/>
        <v>49368</v>
      </c>
      <c r="I293" s="270">
        <f t="shared" si="127"/>
        <v>50433</v>
      </c>
      <c r="J293" s="270">
        <f t="shared" si="127"/>
        <v>42974</v>
      </c>
      <c r="K293" s="270">
        <f t="shared" si="127"/>
        <v>45981</v>
      </c>
      <c r="L293" s="270">
        <f t="shared" si="127"/>
        <v>48442</v>
      </c>
      <c r="M293" s="270">
        <f t="shared" si="127"/>
        <v>59771</v>
      </c>
      <c r="N293" s="270">
        <f t="shared" si="127"/>
        <v>64011</v>
      </c>
      <c r="O293" s="270">
        <f t="shared" si="127"/>
        <v>64011</v>
      </c>
      <c r="P293" s="270">
        <f t="shared" si="127"/>
        <v>64011</v>
      </c>
      <c r="Q293" s="270">
        <f t="shared" si="127"/>
        <v>64011</v>
      </c>
      <c r="R293" s="270">
        <f t="shared" si="127"/>
        <v>64011</v>
      </c>
      <c r="S293" s="270">
        <f t="shared" si="128"/>
        <v>64011</v>
      </c>
      <c r="T293" s="270">
        <f t="shared" si="125"/>
        <v>64011</v>
      </c>
      <c r="U293" s="270">
        <f t="shared" si="125"/>
        <v>64011</v>
      </c>
      <c r="V293" s="270">
        <f t="shared" si="125"/>
        <v>64011</v>
      </c>
      <c r="W293" s="270">
        <f t="shared" si="125"/>
        <v>64011</v>
      </c>
      <c r="X293" s="270">
        <f t="shared" si="125"/>
        <v>64011</v>
      </c>
      <c r="Y293" s="270">
        <f t="shared" si="125"/>
        <v>64011</v>
      </c>
      <c r="Z293" s="270">
        <f t="shared" si="125"/>
        <v>64011</v>
      </c>
      <c r="AA293" s="270">
        <f t="shared" si="125"/>
        <v>64011</v>
      </c>
      <c r="AB293" s="270">
        <f t="shared" si="125"/>
        <v>64011</v>
      </c>
      <c r="AC293" s="270">
        <f t="shared" si="125"/>
        <v>64011</v>
      </c>
      <c r="AD293" s="270">
        <f t="shared" si="127"/>
        <v>64011</v>
      </c>
      <c r="AE293" s="270">
        <f t="shared" ref="AD293:AM316" si="129">+MIN(MAX(0,$C293-AE$11),AE$12-AE$11)*AE$17
+MIN(MAX(0,$C293-AE$12),AE$13-AE$12)*AE$18
+MIN(MAX(0,$C293-AE$13),AE$14-AE$13)*AE$19
+MIN(MAX(0,$C293-AE$14),AE$15-AE$14)*AE$20
+MAX(0,$C293-AE$15)*AE$21
+AE$26</f>
        <v>64011</v>
      </c>
      <c r="AF293" s="270">
        <f t="shared" si="129"/>
        <v>64011</v>
      </c>
      <c r="AG293" s="270">
        <f t="shared" si="129"/>
        <v>64011</v>
      </c>
      <c r="AH293" s="270">
        <f t="shared" si="129"/>
        <v>64011</v>
      </c>
      <c r="AI293" s="270">
        <f t="shared" si="129"/>
        <v>64011</v>
      </c>
      <c r="AJ293" s="270">
        <f t="shared" si="129"/>
        <v>64011</v>
      </c>
      <c r="AK293" s="270">
        <f t="shared" si="129"/>
        <v>64011</v>
      </c>
      <c r="AL293" s="270">
        <f t="shared" si="129"/>
        <v>64011</v>
      </c>
      <c r="AM293" s="270">
        <f t="shared" si="129"/>
        <v>64011</v>
      </c>
    </row>
    <row r="294" spans="2:39" ht="15.75" thickBot="1" x14ac:dyDescent="0.35">
      <c r="B294" s="56" t="str">
        <f>input_names!$B$3</f>
        <v>benzine</v>
      </c>
      <c r="C294" s="61">
        <v>246</v>
      </c>
      <c r="D294" s="270">
        <f t="shared" si="127"/>
        <v>41183</v>
      </c>
      <c r="E294" s="270">
        <f t="shared" si="127"/>
        <v>47333</v>
      </c>
      <c r="F294" s="270">
        <f t="shared" si="127"/>
        <v>50171</v>
      </c>
      <c r="G294" s="270">
        <f t="shared" si="127"/>
        <v>50795</v>
      </c>
      <c r="H294" s="270">
        <f t="shared" si="127"/>
        <v>49796</v>
      </c>
      <c r="I294" s="270">
        <f t="shared" si="127"/>
        <v>50851</v>
      </c>
      <c r="J294" s="270">
        <f t="shared" si="127"/>
        <v>43406</v>
      </c>
      <c r="K294" s="270">
        <f t="shared" si="127"/>
        <v>46429</v>
      </c>
      <c r="L294" s="270">
        <f t="shared" si="127"/>
        <v>48890</v>
      </c>
      <c r="M294" s="270">
        <f t="shared" si="127"/>
        <v>60320</v>
      </c>
      <c r="N294" s="270">
        <f t="shared" si="127"/>
        <v>64579</v>
      </c>
      <c r="O294" s="270">
        <f t="shared" si="127"/>
        <v>64579</v>
      </c>
      <c r="P294" s="270">
        <f t="shared" si="127"/>
        <v>64579</v>
      </c>
      <c r="Q294" s="270">
        <f t="shared" si="127"/>
        <v>64579</v>
      </c>
      <c r="R294" s="270">
        <f t="shared" si="127"/>
        <v>64579</v>
      </c>
      <c r="S294" s="270">
        <f t="shared" si="125"/>
        <v>64579</v>
      </c>
      <c r="T294" s="270">
        <f t="shared" si="125"/>
        <v>64579</v>
      </c>
      <c r="U294" s="270">
        <f t="shared" si="125"/>
        <v>64579</v>
      </c>
      <c r="V294" s="270">
        <f t="shared" si="125"/>
        <v>64579</v>
      </c>
      <c r="W294" s="270">
        <f t="shared" si="125"/>
        <v>64579</v>
      </c>
      <c r="X294" s="270">
        <f t="shared" si="125"/>
        <v>64579</v>
      </c>
      <c r="Y294" s="270">
        <f t="shared" si="125"/>
        <v>64579</v>
      </c>
      <c r="Z294" s="270">
        <f t="shared" si="125"/>
        <v>64579</v>
      </c>
      <c r="AA294" s="270">
        <f t="shared" si="125"/>
        <v>64579</v>
      </c>
      <c r="AB294" s="270">
        <f t="shared" si="125"/>
        <v>64579</v>
      </c>
      <c r="AC294" s="270">
        <f t="shared" si="125"/>
        <v>64579</v>
      </c>
      <c r="AD294" s="270">
        <f t="shared" si="129"/>
        <v>64579</v>
      </c>
      <c r="AE294" s="270">
        <f t="shared" si="129"/>
        <v>64579</v>
      </c>
      <c r="AF294" s="270">
        <f t="shared" si="129"/>
        <v>64579</v>
      </c>
      <c r="AG294" s="270">
        <f t="shared" si="129"/>
        <v>64579</v>
      </c>
      <c r="AH294" s="270">
        <f t="shared" si="129"/>
        <v>64579</v>
      </c>
      <c r="AI294" s="270">
        <f t="shared" si="129"/>
        <v>64579</v>
      </c>
      <c r="AJ294" s="270">
        <f t="shared" si="129"/>
        <v>64579</v>
      </c>
      <c r="AK294" s="270">
        <f t="shared" si="129"/>
        <v>64579</v>
      </c>
      <c r="AL294" s="270">
        <f t="shared" si="129"/>
        <v>64579</v>
      </c>
      <c r="AM294" s="270">
        <f t="shared" si="129"/>
        <v>64579</v>
      </c>
    </row>
    <row r="295" spans="2:39" ht="15.75" thickBot="1" x14ac:dyDescent="0.35">
      <c r="B295" s="56" t="str">
        <f>input_names!$B$3</f>
        <v>benzine</v>
      </c>
      <c r="C295" s="61">
        <v>247</v>
      </c>
      <c r="D295" s="270">
        <f t="shared" si="127"/>
        <v>41617</v>
      </c>
      <c r="E295" s="270">
        <f t="shared" si="127"/>
        <v>47809</v>
      </c>
      <c r="F295" s="270">
        <f t="shared" si="127"/>
        <v>50643</v>
      </c>
      <c r="G295" s="270">
        <f t="shared" si="127"/>
        <v>51250</v>
      </c>
      <c r="H295" s="270">
        <f t="shared" si="127"/>
        <v>50224</v>
      </c>
      <c r="I295" s="270">
        <f t="shared" si="127"/>
        <v>51269</v>
      </c>
      <c r="J295" s="270">
        <f t="shared" si="127"/>
        <v>43838</v>
      </c>
      <c r="K295" s="270">
        <f t="shared" si="127"/>
        <v>46877</v>
      </c>
      <c r="L295" s="270">
        <f t="shared" si="127"/>
        <v>49338</v>
      </c>
      <c r="M295" s="270">
        <f t="shared" si="127"/>
        <v>60869</v>
      </c>
      <c r="N295" s="270">
        <f t="shared" si="127"/>
        <v>65147</v>
      </c>
      <c r="O295" s="270">
        <f t="shared" si="127"/>
        <v>65147</v>
      </c>
      <c r="P295" s="270">
        <f t="shared" si="127"/>
        <v>65147</v>
      </c>
      <c r="Q295" s="270">
        <f t="shared" si="127"/>
        <v>65147</v>
      </c>
      <c r="R295" s="270">
        <f t="shared" si="127"/>
        <v>65147</v>
      </c>
      <c r="S295" s="270">
        <f t="shared" si="125"/>
        <v>65147</v>
      </c>
      <c r="T295" s="270">
        <f t="shared" si="125"/>
        <v>65147</v>
      </c>
      <c r="U295" s="270">
        <f t="shared" si="125"/>
        <v>65147</v>
      </c>
      <c r="V295" s="270">
        <f t="shared" si="125"/>
        <v>65147</v>
      </c>
      <c r="W295" s="270">
        <f t="shared" si="125"/>
        <v>65147</v>
      </c>
      <c r="X295" s="270">
        <f t="shared" si="125"/>
        <v>65147</v>
      </c>
      <c r="Y295" s="270">
        <f t="shared" si="125"/>
        <v>65147</v>
      </c>
      <c r="Z295" s="270">
        <f t="shared" si="125"/>
        <v>65147</v>
      </c>
      <c r="AA295" s="270">
        <f t="shared" si="125"/>
        <v>65147</v>
      </c>
      <c r="AB295" s="270">
        <f t="shared" si="125"/>
        <v>65147</v>
      </c>
      <c r="AC295" s="270">
        <f t="shared" si="125"/>
        <v>65147</v>
      </c>
      <c r="AD295" s="270">
        <f t="shared" si="129"/>
        <v>65147</v>
      </c>
      <c r="AE295" s="270">
        <f t="shared" si="129"/>
        <v>65147</v>
      </c>
      <c r="AF295" s="270">
        <f t="shared" si="129"/>
        <v>65147</v>
      </c>
      <c r="AG295" s="270">
        <f t="shared" si="129"/>
        <v>65147</v>
      </c>
      <c r="AH295" s="270">
        <f t="shared" si="129"/>
        <v>65147</v>
      </c>
      <c r="AI295" s="270">
        <f t="shared" si="129"/>
        <v>65147</v>
      </c>
      <c r="AJ295" s="270">
        <f t="shared" si="129"/>
        <v>65147</v>
      </c>
      <c r="AK295" s="270">
        <f t="shared" si="129"/>
        <v>65147</v>
      </c>
      <c r="AL295" s="270">
        <f t="shared" si="129"/>
        <v>65147</v>
      </c>
      <c r="AM295" s="270">
        <f t="shared" si="129"/>
        <v>65147</v>
      </c>
    </row>
    <row r="296" spans="2:39" ht="15.75" thickBot="1" x14ac:dyDescent="0.35">
      <c r="B296" s="56" t="str">
        <f>input_names!$B$3</f>
        <v>benzine</v>
      </c>
      <c r="C296" s="61">
        <v>248</v>
      </c>
      <c r="D296" s="270">
        <f t="shared" si="127"/>
        <v>42051</v>
      </c>
      <c r="E296" s="270">
        <f t="shared" si="127"/>
        <v>48285</v>
      </c>
      <c r="F296" s="270">
        <f t="shared" si="127"/>
        <v>51115</v>
      </c>
      <c r="G296" s="270">
        <f t="shared" si="127"/>
        <v>51705</v>
      </c>
      <c r="H296" s="270">
        <f t="shared" si="127"/>
        <v>50652</v>
      </c>
      <c r="I296" s="270">
        <f t="shared" si="127"/>
        <v>51687</v>
      </c>
      <c r="J296" s="270">
        <f t="shared" si="127"/>
        <v>44270</v>
      </c>
      <c r="K296" s="270">
        <f t="shared" si="127"/>
        <v>47325</v>
      </c>
      <c r="L296" s="270">
        <f t="shared" si="127"/>
        <v>49786</v>
      </c>
      <c r="M296" s="270">
        <f t="shared" si="127"/>
        <v>61418</v>
      </c>
      <c r="N296" s="270">
        <f t="shared" si="127"/>
        <v>65715</v>
      </c>
      <c r="O296" s="270">
        <f t="shared" si="127"/>
        <v>65715</v>
      </c>
      <c r="P296" s="270">
        <f t="shared" si="127"/>
        <v>65715</v>
      </c>
      <c r="Q296" s="270">
        <f t="shared" si="127"/>
        <v>65715</v>
      </c>
      <c r="R296" s="270">
        <f t="shared" si="127"/>
        <v>65715</v>
      </c>
      <c r="S296" s="270">
        <f t="shared" si="125"/>
        <v>65715</v>
      </c>
      <c r="T296" s="270">
        <f t="shared" si="125"/>
        <v>65715</v>
      </c>
      <c r="U296" s="270">
        <f t="shared" si="125"/>
        <v>65715</v>
      </c>
      <c r="V296" s="270">
        <f t="shared" si="125"/>
        <v>65715</v>
      </c>
      <c r="W296" s="270">
        <f t="shared" si="125"/>
        <v>65715</v>
      </c>
      <c r="X296" s="270">
        <f t="shared" si="125"/>
        <v>65715</v>
      </c>
      <c r="Y296" s="270">
        <f t="shared" si="125"/>
        <v>65715</v>
      </c>
      <c r="Z296" s="270">
        <f t="shared" si="125"/>
        <v>65715</v>
      </c>
      <c r="AA296" s="270">
        <f t="shared" si="125"/>
        <v>65715</v>
      </c>
      <c r="AB296" s="270">
        <f t="shared" si="125"/>
        <v>65715</v>
      </c>
      <c r="AC296" s="270">
        <f t="shared" si="125"/>
        <v>65715</v>
      </c>
      <c r="AD296" s="270">
        <f t="shared" si="129"/>
        <v>65715</v>
      </c>
      <c r="AE296" s="270">
        <f t="shared" si="129"/>
        <v>65715</v>
      </c>
      <c r="AF296" s="270">
        <f t="shared" si="129"/>
        <v>65715</v>
      </c>
      <c r="AG296" s="270">
        <f t="shared" si="129"/>
        <v>65715</v>
      </c>
      <c r="AH296" s="270">
        <f t="shared" si="129"/>
        <v>65715</v>
      </c>
      <c r="AI296" s="270">
        <f t="shared" si="129"/>
        <v>65715</v>
      </c>
      <c r="AJ296" s="270">
        <f t="shared" si="129"/>
        <v>65715</v>
      </c>
      <c r="AK296" s="270">
        <f t="shared" si="129"/>
        <v>65715</v>
      </c>
      <c r="AL296" s="270">
        <f t="shared" si="129"/>
        <v>65715</v>
      </c>
      <c r="AM296" s="270">
        <f t="shared" si="129"/>
        <v>65715</v>
      </c>
    </row>
    <row r="297" spans="2:39" ht="15.75" thickBot="1" x14ac:dyDescent="0.35">
      <c r="B297" s="56" t="str">
        <f>input_names!$B$3</f>
        <v>benzine</v>
      </c>
      <c r="C297" s="61">
        <v>249</v>
      </c>
      <c r="D297" s="270">
        <f t="shared" si="127"/>
        <v>42485</v>
      </c>
      <c r="E297" s="270">
        <f t="shared" si="127"/>
        <v>48761</v>
      </c>
      <c r="F297" s="270">
        <f t="shared" si="127"/>
        <v>51587</v>
      </c>
      <c r="G297" s="270">
        <f t="shared" si="127"/>
        <v>52160</v>
      </c>
      <c r="H297" s="270">
        <f t="shared" si="127"/>
        <v>51080</v>
      </c>
      <c r="I297" s="270">
        <f t="shared" si="127"/>
        <v>52105</v>
      </c>
      <c r="J297" s="270">
        <f t="shared" si="127"/>
        <v>44702</v>
      </c>
      <c r="K297" s="270">
        <f t="shared" si="127"/>
        <v>47773</v>
      </c>
      <c r="L297" s="270">
        <f t="shared" si="127"/>
        <v>50234</v>
      </c>
      <c r="M297" s="270">
        <f t="shared" si="127"/>
        <v>61967</v>
      </c>
      <c r="N297" s="270">
        <f t="shared" si="127"/>
        <v>66283</v>
      </c>
      <c r="O297" s="270">
        <f t="shared" si="127"/>
        <v>66283</v>
      </c>
      <c r="P297" s="270">
        <f t="shared" si="127"/>
        <v>66283</v>
      </c>
      <c r="Q297" s="270">
        <f t="shared" si="127"/>
        <v>66283</v>
      </c>
      <c r="R297" s="270">
        <f t="shared" si="127"/>
        <v>66283</v>
      </c>
      <c r="S297" s="270">
        <f t="shared" si="125"/>
        <v>66283</v>
      </c>
      <c r="T297" s="270">
        <f t="shared" si="125"/>
        <v>66283</v>
      </c>
      <c r="U297" s="270">
        <f t="shared" si="125"/>
        <v>66283</v>
      </c>
      <c r="V297" s="270">
        <f t="shared" si="125"/>
        <v>66283</v>
      </c>
      <c r="W297" s="270">
        <f t="shared" si="125"/>
        <v>66283</v>
      </c>
      <c r="X297" s="270">
        <f t="shared" si="125"/>
        <v>66283</v>
      </c>
      <c r="Y297" s="270">
        <f t="shared" si="125"/>
        <v>66283</v>
      </c>
      <c r="Z297" s="270">
        <f t="shared" si="125"/>
        <v>66283</v>
      </c>
      <c r="AA297" s="270">
        <f t="shared" si="125"/>
        <v>66283</v>
      </c>
      <c r="AB297" s="270">
        <f t="shared" si="125"/>
        <v>66283</v>
      </c>
      <c r="AC297" s="270">
        <f t="shared" si="125"/>
        <v>66283</v>
      </c>
      <c r="AD297" s="270">
        <f t="shared" si="129"/>
        <v>66283</v>
      </c>
      <c r="AE297" s="270">
        <f t="shared" si="129"/>
        <v>66283</v>
      </c>
      <c r="AF297" s="270">
        <f t="shared" si="129"/>
        <v>66283</v>
      </c>
      <c r="AG297" s="270">
        <f t="shared" si="129"/>
        <v>66283</v>
      </c>
      <c r="AH297" s="270">
        <f t="shared" si="129"/>
        <v>66283</v>
      </c>
      <c r="AI297" s="270">
        <f t="shared" si="129"/>
        <v>66283</v>
      </c>
      <c r="AJ297" s="270">
        <f t="shared" si="129"/>
        <v>66283</v>
      </c>
      <c r="AK297" s="270">
        <f t="shared" si="129"/>
        <v>66283</v>
      </c>
      <c r="AL297" s="270">
        <f t="shared" si="129"/>
        <v>66283</v>
      </c>
      <c r="AM297" s="270">
        <f t="shared" si="129"/>
        <v>66283</v>
      </c>
    </row>
    <row r="298" spans="2:39" ht="15.75" thickBot="1" x14ac:dyDescent="0.35">
      <c r="B298" s="56" t="str">
        <f>input_names!$B$3</f>
        <v>benzine</v>
      </c>
      <c r="C298" s="61">
        <v>250</v>
      </c>
      <c r="D298" s="270">
        <f t="shared" si="127"/>
        <v>42919</v>
      </c>
      <c r="E298" s="270">
        <f t="shared" si="127"/>
        <v>49237</v>
      </c>
      <c r="F298" s="270">
        <f t="shared" si="127"/>
        <v>52059</v>
      </c>
      <c r="G298" s="270">
        <f t="shared" si="127"/>
        <v>52615</v>
      </c>
      <c r="H298" s="270">
        <f t="shared" si="127"/>
        <v>51508</v>
      </c>
      <c r="I298" s="270">
        <f t="shared" si="127"/>
        <v>52523</v>
      </c>
      <c r="J298" s="270">
        <f t="shared" si="127"/>
        <v>45134</v>
      </c>
      <c r="K298" s="270">
        <f t="shared" si="127"/>
        <v>48221</v>
      </c>
      <c r="L298" s="270">
        <f t="shared" si="127"/>
        <v>50682</v>
      </c>
      <c r="M298" s="270">
        <f t="shared" si="127"/>
        <v>62516</v>
      </c>
      <c r="N298" s="270">
        <f t="shared" si="127"/>
        <v>66851</v>
      </c>
      <c r="O298" s="270">
        <f t="shared" si="127"/>
        <v>66851</v>
      </c>
      <c r="P298" s="270">
        <f t="shared" si="127"/>
        <v>66851</v>
      </c>
      <c r="Q298" s="270">
        <f t="shared" si="127"/>
        <v>66851</v>
      </c>
      <c r="R298" s="270">
        <f t="shared" si="127"/>
        <v>66851</v>
      </c>
      <c r="S298" s="270">
        <f t="shared" si="125"/>
        <v>66851</v>
      </c>
      <c r="T298" s="270">
        <f t="shared" si="125"/>
        <v>66851</v>
      </c>
      <c r="U298" s="270">
        <f t="shared" si="125"/>
        <v>66851</v>
      </c>
      <c r="V298" s="270">
        <f t="shared" si="125"/>
        <v>66851</v>
      </c>
      <c r="W298" s="270">
        <f t="shared" si="125"/>
        <v>66851</v>
      </c>
      <c r="X298" s="270">
        <f t="shared" si="125"/>
        <v>66851</v>
      </c>
      <c r="Y298" s="270">
        <f t="shared" si="125"/>
        <v>66851</v>
      </c>
      <c r="Z298" s="270">
        <f t="shared" si="125"/>
        <v>66851</v>
      </c>
      <c r="AA298" s="270">
        <f t="shared" si="125"/>
        <v>66851</v>
      </c>
      <c r="AB298" s="270">
        <f t="shared" si="125"/>
        <v>66851</v>
      </c>
      <c r="AC298" s="270">
        <f t="shared" si="125"/>
        <v>66851</v>
      </c>
      <c r="AD298" s="270">
        <f t="shared" si="129"/>
        <v>66851</v>
      </c>
      <c r="AE298" s="270">
        <f t="shared" si="129"/>
        <v>66851</v>
      </c>
      <c r="AF298" s="270">
        <f t="shared" si="129"/>
        <v>66851</v>
      </c>
      <c r="AG298" s="270">
        <f t="shared" si="129"/>
        <v>66851</v>
      </c>
      <c r="AH298" s="270">
        <f t="shared" si="129"/>
        <v>66851</v>
      </c>
      <c r="AI298" s="270">
        <f t="shared" si="129"/>
        <v>66851</v>
      </c>
      <c r="AJ298" s="270">
        <f t="shared" si="129"/>
        <v>66851</v>
      </c>
      <c r="AK298" s="270">
        <f t="shared" si="129"/>
        <v>66851</v>
      </c>
      <c r="AL298" s="270">
        <f t="shared" si="129"/>
        <v>66851</v>
      </c>
      <c r="AM298" s="270">
        <f t="shared" si="129"/>
        <v>66851</v>
      </c>
    </row>
    <row r="299" spans="2:39" ht="15.75" thickBot="1" x14ac:dyDescent="0.35">
      <c r="B299" s="56" t="str">
        <f>input_names!$B$3</f>
        <v>benzine</v>
      </c>
      <c r="C299" s="61">
        <v>251</v>
      </c>
      <c r="D299" s="270">
        <f t="shared" si="127"/>
        <v>43353</v>
      </c>
      <c r="E299" s="270">
        <f t="shared" si="127"/>
        <v>49713</v>
      </c>
      <c r="F299" s="270">
        <f t="shared" si="127"/>
        <v>52531</v>
      </c>
      <c r="G299" s="270">
        <f t="shared" si="127"/>
        <v>53070</v>
      </c>
      <c r="H299" s="270">
        <f t="shared" si="127"/>
        <v>51936</v>
      </c>
      <c r="I299" s="270">
        <f t="shared" si="127"/>
        <v>52941</v>
      </c>
      <c r="J299" s="270">
        <f t="shared" si="127"/>
        <v>45566</v>
      </c>
      <c r="K299" s="270">
        <f t="shared" si="127"/>
        <v>48669</v>
      </c>
      <c r="L299" s="270">
        <f t="shared" si="127"/>
        <v>51130</v>
      </c>
      <c r="M299" s="270">
        <f t="shared" si="127"/>
        <v>63065</v>
      </c>
      <c r="N299" s="270">
        <f t="shared" si="127"/>
        <v>67419</v>
      </c>
      <c r="O299" s="270">
        <f t="shared" si="127"/>
        <v>67419</v>
      </c>
      <c r="P299" s="270">
        <f t="shared" si="127"/>
        <v>67419</v>
      </c>
      <c r="Q299" s="270">
        <f t="shared" si="127"/>
        <v>67419</v>
      </c>
      <c r="R299" s="270">
        <f t="shared" si="127"/>
        <v>67419</v>
      </c>
      <c r="S299" s="270">
        <f t="shared" si="125"/>
        <v>67419</v>
      </c>
      <c r="T299" s="270">
        <f t="shared" si="125"/>
        <v>67419</v>
      </c>
      <c r="U299" s="270">
        <f t="shared" si="125"/>
        <v>67419</v>
      </c>
      <c r="V299" s="270">
        <f t="shared" si="125"/>
        <v>67419</v>
      </c>
      <c r="W299" s="270">
        <f t="shared" si="125"/>
        <v>67419</v>
      </c>
      <c r="X299" s="270">
        <f t="shared" si="125"/>
        <v>67419</v>
      </c>
      <c r="Y299" s="270">
        <f t="shared" si="125"/>
        <v>67419</v>
      </c>
      <c r="Z299" s="270">
        <f t="shared" si="125"/>
        <v>67419</v>
      </c>
      <c r="AA299" s="270">
        <f t="shared" si="125"/>
        <v>67419</v>
      </c>
      <c r="AB299" s="270">
        <f t="shared" si="125"/>
        <v>67419</v>
      </c>
      <c r="AC299" s="270">
        <f t="shared" si="125"/>
        <v>67419</v>
      </c>
      <c r="AD299" s="270">
        <f t="shared" si="129"/>
        <v>67419</v>
      </c>
      <c r="AE299" s="270">
        <f t="shared" si="129"/>
        <v>67419</v>
      </c>
      <c r="AF299" s="270">
        <f t="shared" si="129"/>
        <v>67419</v>
      </c>
      <c r="AG299" s="270">
        <f t="shared" si="129"/>
        <v>67419</v>
      </c>
      <c r="AH299" s="270">
        <f t="shared" si="129"/>
        <v>67419</v>
      </c>
      <c r="AI299" s="270">
        <f t="shared" si="129"/>
        <v>67419</v>
      </c>
      <c r="AJ299" s="270">
        <f t="shared" si="129"/>
        <v>67419</v>
      </c>
      <c r="AK299" s="270">
        <f t="shared" si="129"/>
        <v>67419</v>
      </c>
      <c r="AL299" s="270">
        <f t="shared" si="129"/>
        <v>67419</v>
      </c>
      <c r="AM299" s="270">
        <f t="shared" si="129"/>
        <v>67419</v>
      </c>
    </row>
    <row r="300" spans="2:39" ht="15.75" thickBot="1" x14ac:dyDescent="0.35">
      <c r="B300" s="56" t="str">
        <f>input_names!$B$3</f>
        <v>benzine</v>
      </c>
      <c r="C300" s="61">
        <v>252</v>
      </c>
      <c r="D300" s="270">
        <f t="shared" si="127"/>
        <v>43787</v>
      </c>
      <c r="E300" s="270">
        <f t="shared" si="127"/>
        <v>50189</v>
      </c>
      <c r="F300" s="270">
        <f t="shared" si="127"/>
        <v>53003</v>
      </c>
      <c r="G300" s="270">
        <f t="shared" si="127"/>
        <v>53525</v>
      </c>
      <c r="H300" s="270">
        <f t="shared" si="127"/>
        <v>52364</v>
      </c>
      <c r="I300" s="270">
        <f t="shared" si="127"/>
        <v>53359</v>
      </c>
      <c r="J300" s="270">
        <f t="shared" si="127"/>
        <v>45998</v>
      </c>
      <c r="K300" s="270">
        <f t="shared" si="127"/>
        <v>49117</v>
      </c>
      <c r="L300" s="270">
        <f t="shared" si="127"/>
        <v>51578</v>
      </c>
      <c r="M300" s="270">
        <f t="shared" si="127"/>
        <v>63614</v>
      </c>
      <c r="N300" s="270">
        <f t="shared" si="127"/>
        <v>67987</v>
      </c>
      <c r="O300" s="270">
        <f t="shared" si="127"/>
        <v>67987</v>
      </c>
      <c r="P300" s="270">
        <f t="shared" si="127"/>
        <v>67987</v>
      </c>
      <c r="Q300" s="270">
        <f t="shared" si="127"/>
        <v>67987</v>
      </c>
      <c r="R300" s="270">
        <f t="shared" si="127"/>
        <v>67987</v>
      </c>
      <c r="S300" s="270">
        <f t="shared" si="125"/>
        <v>67987</v>
      </c>
      <c r="T300" s="270">
        <f t="shared" si="125"/>
        <v>67987</v>
      </c>
      <c r="U300" s="270">
        <f t="shared" si="125"/>
        <v>67987</v>
      </c>
      <c r="V300" s="270">
        <f t="shared" si="125"/>
        <v>67987</v>
      </c>
      <c r="W300" s="270">
        <f t="shared" si="125"/>
        <v>67987</v>
      </c>
      <c r="X300" s="270">
        <f t="shared" si="125"/>
        <v>67987</v>
      </c>
      <c r="Y300" s="270">
        <f t="shared" si="125"/>
        <v>67987</v>
      </c>
      <c r="Z300" s="270">
        <f t="shared" si="125"/>
        <v>67987</v>
      </c>
      <c r="AA300" s="270">
        <f t="shared" si="125"/>
        <v>67987</v>
      </c>
      <c r="AB300" s="270">
        <f t="shared" si="125"/>
        <v>67987</v>
      </c>
      <c r="AC300" s="270">
        <f t="shared" si="125"/>
        <v>67987</v>
      </c>
      <c r="AD300" s="270">
        <f t="shared" si="129"/>
        <v>67987</v>
      </c>
      <c r="AE300" s="270">
        <f t="shared" si="129"/>
        <v>67987</v>
      </c>
      <c r="AF300" s="270">
        <f t="shared" si="129"/>
        <v>67987</v>
      </c>
      <c r="AG300" s="270">
        <f t="shared" si="129"/>
        <v>67987</v>
      </c>
      <c r="AH300" s="270">
        <f t="shared" si="129"/>
        <v>67987</v>
      </c>
      <c r="AI300" s="270">
        <f t="shared" si="129"/>
        <v>67987</v>
      </c>
      <c r="AJ300" s="270">
        <f t="shared" si="129"/>
        <v>67987</v>
      </c>
      <c r="AK300" s="270">
        <f t="shared" si="129"/>
        <v>67987</v>
      </c>
      <c r="AL300" s="270">
        <f t="shared" si="129"/>
        <v>67987</v>
      </c>
      <c r="AM300" s="270">
        <f t="shared" si="129"/>
        <v>67987</v>
      </c>
    </row>
    <row r="301" spans="2:39" ht="15.75" thickBot="1" x14ac:dyDescent="0.35">
      <c r="B301" s="56" t="str">
        <f>input_names!$B$3</f>
        <v>benzine</v>
      </c>
      <c r="C301" s="61">
        <v>253</v>
      </c>
      <c r="D301" s="270">
        <f t="shared" si="127"/>
        <v>44221</v>
      </c>
      <c r="E301" s="270">
        <f t="shared" si="127"/>
        <v>50665</v>
      </c>
      <c r="F301" s="270">
        <f t="shared" si="127"/>
        <v>53475</v>
      </c>
      <c r="G301" s="270">
        <f t="shared" si="127"/>
        <v>53980</v>
      </c>
      <c r="H301" s="270">
        <f t="shared" si="127"/>
        <v>52792</v>
      </c>
      <c r="I301" s="270">
        <f t="shared" si="127"/>
        <v>53777</v>
      </c>
      <c r="J301" s="270">
        <f t="shared" si="127"/>
        <v>46430</v>
      </c>
      <c r="K301" s="270">
        <f t="shared" si="127"/>
        <v>49565</v>
      </c>
      <c r="L301" s="270">
        <f t="shared" si="127"/>
        <v>52026</v>
      </c>
      <c r="M301" s="270">
        <f t="shared" si="127"/>
        <v>64163</v>
      </c>
      <c r="N301" s="270">
        <f t="shared" si="127"/>
        <v>68555</v>
      </c>
      <c r="O301" s="270">
        <f t="shared" si="127"/>
        <v>68555</v>
      </c>
      <c r="P301" s="270">
        <f t="shared" si="127"/>
        <v>68555</v>
      </c>
      <c r="Q301" s="270">
        <f t="shared" si="127"/>
        <v>68555</v>
      </c>
      <c r="R301" s="270">
        <f t="shared" si="127"/>
        <v>68555</v>
      </c>
      <c r="S301" s="270">
        <f t="shared" si="125"/>
        <v>68555</v>
      </c>
      <c r="T301" s="270">
        <f t="shared" si="125"/>
        <v>68555</v>
      </c>
      <c r="U301" s="270">
        <f t="shared" si="125"/>
        <v>68555</v>
      </c>
      <c r="V301" s="270">
        <f t="shared" si="125"/>
        <v>68555</v>
      </c>
      <c r="W301" s="270">
        <f t="shared" si="125"/>
        <v>68555</v>
      </c>
      <c r="X301" s="270">
        <f t="shared" si="125"/>
        <v>68555</v>
      </c>
      <c r="Y301" s="270">
        <f t="shared" si="125"/>
        <v>68555</v>
      </c>
      <c r="Z301" s="270">
        <f t="shared" si="125"/>
        <v>68555</v>
      </c>
      <c r="AA301" s="270">
        <f t="shared" si="125"/>
        <v>68555</v>
      </c>
      <c r="AB301" s="270">
        <f t="shared" si="125"/>
        <v>68555</v>
      </c>
      <c r="AC301" s="270">
        <f t="shared" si="125"/>
        <v>68555</v>
      </c>
      <c r="AD301" s="270">
        <f t="shared" si="129"/>
        <v>68555</v>
      </c>
      <c r="AE301" s="270">
        <f t="shared" si="129"/>
        <v>68555</v>
      </c>
      <c r="AF301" s="270">
        <f t="shared" si="129"/>
        <v>68555</v>
      </c>
      <c r="AG301" s="270">
        <f t="shared" si="129"/>
        <v>68555</v>
      </c>
      <c r="AH301" s="270">
        <f t="shared" si="129"/>
        <v>68555</v>
      </c>
      <c r="AI301" s="270">
        <f t="shared" si="129"/>
        <v>68555</v>
      </c>
      <c r="AJ301" s="270">
        <f t="shared" si="129"/>
        <v>68555</v>
      </c>
      <c r="AK301" s="270">
        <f t="shared" si="129"/>
        <v>68555</v>
      </c>
      <c r="AL301" s="270">
        <f t="shared" si="129"/>
        <v>68555</v>
      </c>
      <c r="AM301" s="270">
        <f t="shared" si="129"/>
        <v>68555</v>
      </c>
    </row>
    <row r="302" spans="2:39" ht="15.75" thickBot="1" x14ac:dyDescent="0.35">
      <c r="B302" s="56" t="str">
        <f>input_names!$B$3</f>
        <v>benzine</v>
      </c>
      <c r="C302" s="61">
        <v>254</v>
      </c>
      <c r="D302" s="270">
        <f t="shared" si="127"/>
        <v>44655</v>
      </c>
      <c r="E302" s="270">
        <f t="shared" si="127"/>
        <v>51141</v>
      </c>
      <c r="F302" s="270">
        <f t="shared" si="127"/>
        <v>53947</v>
      </c>
      <c r="G302" s="270">
        <f t="shared" si="127"/>
        <v>54435</v>
      </c>
      <c r="H302" s="270">
        <f t="shared" si="127"/>
        <v>53220</v>
      </c>
      <c r="I302" s="270">
        <f t="shared" si="127"/>
        <v>54195</v>
      </c>
      <c r="J302" s="270">
        <f t="shared" si="127"/>
        <v>46862</v>
      </c>
      <c r="K302" s="270">
        <f t="shared" si="127"/>
        <v>50013</v>
      </c>
      <c r="L302" s="270">
        <f t="shared" si="127"/>
        <v>52474</v>
      </c>
      <c r="M302" s="270">
        <f t="shared" si="127"/>
        <v>64712</v>
      </c>
      <c r="N302" s="270">
        <f t="shared" si="127"/>
        <v>69123</v>
      </c>
      <c r="O302" s="270">
        <f t="shared" si="127"/>
        <v>69123</v>
      </c>
      <c r="P302" s="270">
        <f t="shared" si="127"/>
        <v>69123</v>
      </c>
      <c r="Q302" s="270">
        <f t="shared" si="127"/>
        <v>69123</v>
      </c>
      <c r="R302" s="270">
        <f t="shared" si="127"/>
        <v>69123</v>
      </c>
      <c r="S302" s="270">
        <f t="shared" si="125"/>
        <v>69123</v>
      </c>
      <c r="T302" s="270">
        <f t="shared" si="125"/>
        <v>69123</v>
      </c>
      <c r="U302" s="270">
        <f t="shared" si="125"/>
        <v>69123</v>
      </c>
      <c r="V302" s="270">
        <f t="shared" si="125"/>
        <v>69123</v>
      </c>
      <c r="W302" s="270">
        <f t="shared" si="125"/>
        <v>69123</v>
      </c>
      <c r="X302" s="270">
        <f t="shared" si="125"/>
        <v>69123</v>
      </c>
      <c r="Y302" s="270">
        <f t="shared" si="125"/>
        <v>69123</v>
      </c>
      <c r="Z302" s="270">
        <f t="shared" si="125"/>
        <v>69123</v>
      </c>
      <c r="AA302" s="270">
        <f t="shared" si="125"/>
        <v>69123</v>
      </c>
      <c r="AB302" s="270">
        <f t="shared" si="125"/>
        <v>69123</v>
      </c>
      <c r="AC302" s="270">
        <f t="shared" si="125"/>
        <v>69123</v>
      </c>
      <c r="AD302" s="270">
        <f t="shared" si="129"/>
        <v>69123</v>
      </c>
      <c r="AE302" s="270">
        <f t="shared" si="129"/>
        <v>69123</v>
      </c>
      <c r="AF302" s="270">
        <f t="shared" si="129"/>
        <v>69123</v>
      </c>
      <c r="AG302" s="270">
        <f t="shared" si="129"/>
        <v>69123</v>
      </c>
      <c r="AH302" s="270">
        <f t="shared" si="129"/>
        <v>69123</v>
      </c>
      <c r="AI302" s="270">
        <f t="shared" si="129"/>
        <v>69123</v>
      </c>
      <c r="AJ302" s="270">
        <f t="shared" si="129"/>
        <v>69123</v>
      </c>
      <c r="AK302" s="270">
        <f t="shared" si="129"/>
        <v>69123</v>
      </c>
      <c r="AL302" s="270">
        <f t="shared" si="129"/>
        <v>69123</v>
      </c>
      <c r="AM302" s="270">
        <f t="shared" si="129"/>
        <v>69123</v>
      </c>
    </row>
    <row r="303" spans="2:39" ht="15.75" thickBot="1" x14ac:dyDescent="0.35">
      <c r="B303" s="56" t="str">
        <f>input_names!$B$3</f>
        <v>benzine</v>
      </c>
      <c r="C303" s="61">
        <v>255</v>
      </c>
      <c r="D303" s="270">
        <f t="shared" si="127"/>
        <v>45089</v>
      </c>
      <c r="E303" s="270">
        <f t="shared" si="127"/>
        <v>51617</v>
      </c>
      <c r="F303" s="270">
        <f t="shared" si="127"/>
        <v>54419</v>
      </c>
      <c r="G303" s="270">
        <f t="shared" si="127"/>
        <v>54890</v>
      </c>
      <c r="H303" s="270">
        <f t="shared" si="127"/>
        <v>53648</v>
      </c>
      <c r="I303" s="270">
        <f t="shared" si="127"/>
        <v>54613</v>
      </c>
      <c r="J303" s="270">
        <f t="shared" si="127"/>
        <v>47294</v>
      </c>
      <c r="K303" s="270">
        <f t="shared" si="127"/>
        <v>50461</v>
      </c>
      <c r="L303" s="270">
        <f t="shared" si="127"/>
        <v>52922</v>
      </c>
      <c r="M303" s="270">
        <f t="shared" si="127"/>
        <v>65261</v>
      </c>
      <c r="N303" s="270">
        <f t="shared" si="127"/>
        <v>69691</v>
      </c>
      <c r="O303" s="270">
        <f t="shared" si="127"/>
        <v>69691</v>
      </c>
      <c r="P303" s="270">
        <f t="shared" si="127"/>
        <v>69691</v>
      </c>
      <c r="Q303" s="270">
        <f t="shared" si="127"/>
        <v>69691</v>
      </c>
      <c r="R303" s="270">
        <f t="shared" si="127"/>
        <v>69691</v>
      </c>
      <c r="S303" s="270">
        <f t="shared" si="125"/>
        <v>69691</v>
      </c>
      <c r="T303" s="270">
        <f t="shared" si="125"/>
        <v>69691</v>
      </c>
      <c r="U303" s="270">
        <f t="shared" si="125"/>
        <v>69691</v>
      </c>
      <c r="V303" s="270">
        <f t="shared" si="125"/>
        <v>69691</v>
      </c>
      <c r="W303" s="270">
        <f t="shared" si="125"/>
        <v>69691</v>
      </c>
      <c r="X303" s="270">
        <f t="shared" si="125"/>
        <v>69691</v>
      </c>
      <c r="Y303" s="270">
        <f t="shared" si="125"/>
        <v>69691</v>
      </c>
      <c r="Z303" s="270">
        <f t="shared" si="125"/>
        <v>69691</v>
      </c>
      <c r="AA303" s="270">
        <f t="shared" si="125"/>
        <v>69691</v>
      </c>
      <c r="AB303" s="270">
        <f t="shared" si="125"/>
        <v>69691</v>
      </c>
      <c r="AC303" s="270">
        <f t="shared" si="125"/>
        <v>69691</v>
      </c>
      <c r="AD303" s="270">
        <f t="shared" si="129"/>
        <v>69691</v>
      </c>
      <c r="AE303" s="270">
        <f t="shared" si="129"/>
        <v>69691</v>
      </c>
      <c r="AF303" s="270">
        <f t="shared" si="129"/>
        <v>69691</v>
      </c>
      <c r="AG303" s="270">
        <f t="shared" si="129"/>
        <v>69691</v>
      </c>
      <c r="AH303" s="270">
        <f t="shared" si="129"/>
        <v>69691</v>
      </c>
      <c r="AI303" s="270">
        <f t="shared" si="129"/>
        <v>69691</v>
      </c>
      <c r="AJ303" s="270">
        <f t="shared" si="129"/>
        <v>69691</v>
      </c>
      <c r="AK303" s="270">
        <f t="shared" si="129"/>
        <v>69691</v>
      </c>
      <c r="AL303" s="270">
        <f t="shared" si="129"/>
        <v>69691</v>
      </c>
      <c r="AM303" s="270">
        <f t="shared" si="129"/>
        <v>69691</v>
      </c>
    </row>
    <row r="304" spans="2:39" ht="15.75" thickBot="1" x14ac:dyDescent="0.35">
      <c r="B304" s="56" t="str">
        <f>input_names!$B$3</f>
        <v>benzine</v>
      </c>
      <c r="C304" s="61">
        <v>256</v>
      </c>
      <c r="D304" s="270">
        <f t="shared" ref="D304:AD319" si="130">+MIN(MAX(0,$C304-D$11),D$12-D$11)*D$17
+MIN(MAX(0,$C304-D$12),D$13-D$12)*D$18
+MIN(MAX(0,$C304-D$13),D$14-D$13)*D$19
+MIN(MAX(0,$C304-D$14),D$15-D$14)*D$20
+MAX(0,$C304-D$15)*D$21
+D$26</f>
        <v>45523</v>
      </c>
      <c r="E304" s="270">
        <f t="shared" si="130"/>
        <v>52093</v>
      </c>
      <c r="F304" s="270">
        <f t="shared" si="130"/>
        <v>54891</v>
      </c>
      <c r="G304" s="270">
        <f t="shared" si="130"/>
        <v>55345</v>
      </c>
      <c r="H304" s="270">
        <f t="shared" si="130"/>
        <v>54076</v>
      </c>
      <c r="I304" s="270">
        <f t="shared" si="130"/>
        <v>55031</v>
      </c>
      <c r="J304" s="270">
        <f t="shared" si="130"/>
        <v>47726</v>
      </c>
      <c r="K304" s="270">
        <f t="shared" si="130"/>
        <v>50909</v>
      </c>
      <c r="L304" s="270">
        <f t="shared" si="130"/>
        <v>53370</v>
      </c>
      <c r="M304" s="270">
        <f t="shared" si="130"/>
        <v>65810</v>
      </c>
      <c r="N304" s="270">
        <f t="shared" si="130"/>
        <v>70259</v>
      </c>
      <c r="O304" s="270">
        <f t="shared" si="130"/>
        <v>70259</v>
      </c>
      <c r="P304" s="270">
        <f t="shared" si="130"/>
        <v>70259</v>
      </c>
      <c r="Q304" s="270">
        <f t="shared" si="130"/>
        <v>70259</v>
      </c>
      <c r="R304" s="270">
        <f t="shared" si="130"/>
        <v>70259</v>
      </c>
      <c r="S304" s="270">
        <f t="shared" si="125"/>
        <v>70259</v>
      </c>
      <c r="T304" s="270">
        <f t="shared" si="125"/>
        <v>70259</v>
      </c>
      <c r="U304" s="270">
        <f t="shared" si="125"/>
        <v>70259</v>
      </c>
      <c r="V304" s="270">
        <f t="shared" si="125"/>
        <v>70259</v>
      </c>
      <c r="W304" s="270">
        <f t="shared" si="125"/>
        <v>70259</v>
      </c>
      <c r="X304" s="270">
        <f t="shared" si="125"/>
        <v>70259</v>
      </c>
      <c r="Y304" s="270">
        <f t="shared" si="125"/>
        <v>70259</v>
      </c>
      <c r="Z304" s="270">
        <f t="shared" si="125"/>
        <v>70259</v>
      </c>
      <c r="AA304" s="270">
        <f t="shared" si="125"/>
        <v>70259</v>
      </c>
      <c r="AB304" s="270">
        <f t="shared" si="125"/>
        <v>70259</v>
      </c>
      <c r="AC304" s="270">
        <f t="shared" si="125"/>
        <v>70259</v>
      </c>
      <c r="AD304" s="270">
        <f t="shared" si="129"/>
        <v>70259</v>
      </c>
      <c r="AE304" s="270">
        <f t="shared" si="129"/>
        <v>70259</v>
      </c>
      <c r="AF304" s="270">
        <f t="shared" si="129"/>
        <v>70259</v>
      </c>
      <c r="AG304" s="270">
        <f t="shared" si="129"/>
        <v>70259</v>
      </c>
      <c r="AH304" s="270">
        <f t="shared" si="129"/>
        <v>70259</v>
      </c>
      <c r="AI304" s="270">
        <f t="shared" si="129"/>
        <v>70259</v>
      </c>
      <c r="AJ304" s="270">
        <f t="shared" si="129"/>
        <v>70259</v>
      </c>
      <c r="AK304" s="270">
        <f t="shared" si="129"/>
        <v>70259</v>
      </c>
      <c r="AL304" s="270">
        <f t="shared" si="129"/>
        <v>70259</v>
      </c>
      <c r="AM304" s="270">
        <f t="shared" si="129"/>
        <v>70259</v>
      </c>
    </row>
    <row r="305" spans="2:39" ht="15.75" thickBot="1" x14ac:dyDescent="0.35">
      <c r="B305" s="56" t="str">
        <f>input_names!$B$3</f>
        <v>benzine</v>
      </c>
      <c r="C305" s="61">
        <v>257</v>
      </c>
      <c r="D305" s="270">
        <f t="shared" si="130"/>
        <v>45957</v>
      </c>
      <c r="E305" s="270">
        <f t="shared" si="130"/>
        <v>52569</v>
      </c>
      <c r="F305" s="270">
        <f t="shared" si="130"/>
        <v>55363</v>
      </c>
      <c r="G305" s="270">
        <f t="shared" si="130"/>
        <v>55800</v>
      </c>
      <c r="H305" s="270">
        <f t="shared" si="130"/>
        <v>54504</v>
      </c>
      <c r="I305" s="270">
        <f t="shared" si="130"/>
        <v>55449</v>
      </c>
      <c r="J305" s="270">
        <f t="shared" si="130"/>
        <v>48158</v>
      </c>
      <c r="K305" s="270">
        <f t="shared" si="130"/>
        <v>51357</v>
      </c>
      <c r="L305" s="270">
        <f t="shared" si="130"/>
        <v>53818</v>
      </c>
      <c r="M305" s="270">
        <f t="shared" si="130"/>
        <v>66359</v>
      </c>
      <c r="N305" s="270">
        <f t="shared" si="130"/>
        <v>70827</v>
      </c>
      <c r="O305" s="270">
        <f t="shared" si="130"/>
        <v>70827</v>
      </c>
      <c r="P305" s="270">
        <f t="shared" si="130"/>
        <v>70827</v>
      </c>
      <c r="Q305" s="270">
        <f t="shared" si="130"/>
        <v>70827</v>
      </c>
      <c r="R305" s="270">
        <f t="shared" si="130"/>
        <v>70827</v>
      </c>
      <c r="S305" s="270">
        <f t="shared" si="125"/>
        <v>70827</v>
      </c>
      <c r="T305" s="270">
        <f t="shared" si="125"/>
        <v>70827</v>
      </c>
      <c r="U305" s="270">
        <f t="shared" si="125"/>
        <v>70827</v>
      </c>
      <c r="V305" s="270">
        <f t="shared" si="125"/>
        <v>70827</v>
      </c>
      <c r="W305" s="270">
        <f t="shared" si="125"/>
        <v>70827</v>
      </c>
      <c r="X305" s="270">
        <f t="shared" si="125"/>
        <v>70827</v>
      </c>
      <c r="Y305" s="270">
        <f t="shared" si="125"/>
        <v>70827</v>
      </c>
      <c r="Z305" s="270">
        <f t="shared" si="125"/>
        <v>70827</v>
      </c>
      <c r="AA305" s="270">
        <f t="shared" si="125"/>
        <v>70827</v>
      </c>
      <c r="AB305" s="270">
        <f t="shared" si="125"/>
        <v>70827</v>
      </c>
      <c r="AC305" s="270">
        <f t="shared" si="125"/>
        <v>70827</v>
      </c>
      <c r="AD305" s="270">
        <f t="shared" si="129"/>
        <v>70827</v>
      </c>
      <c r="AE305" s="270">
        <f t="shared" si="129"/>
        <v>70827</v>
      </c>
      <c r="AF305" s="270">
        <f t="shared" si="129"/>
        <v>70827</v>
      </c>
      <c r="AG305" s="270">
        <f t="shared" si="129"/>
        <v>70827</v>
      </c>
      <c r="AH305" s="270">
        <f t="shared" si="129"/>
        <v>70827</v>
      </c>
      <c r="AI305" s="270">
        <f t="shared" si="129"/>
        <v>70827</v>
      </c>
      <c r="AJ305" s="270">
        <f t="shared" si="129"/>
        <v>70827</v>
      </c>
      <c r="AK305" s="270">
        <f t="shared" si="129"/>
        <v>70827</v>
      </c>
      <c r="AL305" s="270">
        <f t="shared" si="129"/>
        <v>70827</v>
      </c>
      <c r="AM305" s="270">
        <f t="shared" si="129"/>
        <v>70827</v>
      </c>
    </row>
    <row r="306" spans="2:39" ht="15.75" thickBot="1" x14ac:dyDescent="0.35">
      <c r="B306" s="56" t="str">
        <f>input_names!$B$3</f>
        <v>benzine</v>
      </c>
      <c r="C306" s="61">
        <v>258</v>
      </c>
      <c r="D306" s="270">
        <f t="shared" si="130"/>
        <v>46391</v>
      </c>
      <c r="E306" s="270">
        <f t="shared" si="130"/>
        <v>53045</v>
      </c>
      <c r="F306" s="270">
        <f t="shared" si="130"/>
        <v>55835</v>
      </c>
      <c r="G306" s="270">
        <f t="shared" si="130"/>
        <v>56255</v>
      </c>
      <c r="H306" s="270">
        <f t="shared" si="130"/>
        <v>54932</v>
      </c>
      <c r="I306" s="270">
        <f t="shared" si="130"/>
        <v>55867</v>
      </c>
      <c r="J306" s="270">
        <f t="shared" si="130"/>
        <v>48590</v>
      </c>
      <c r="K306" s="270">
        <f t="shared" si="130"/>
        <v>51805</v>
      </c>
      <c r="L306" s="270">
        <f t="shared" si="130"/>
        <v>54266</v>
      </c>
      <c r="M306" s="270">
        <f t="shared" si="130"/>
        <v>66908</v>
      </c>
      <c r="N306" s="270">
        <f t="shared" si="130"/>
        <v>71395</v>
      </c>
      <c r="O306" s="270">
        <f t="shared" si="130"/>
        <v>71395</v>
      </c>
      <c r="P306" s="270">
        <f t="shared" si="130"/>
        <v>71395</v>
      </c>
      <c r="Q306" s="270">
        <f t="shared" si="130"/>
        <v>71395</v>
      </c>
      <c r="R306" s="270">
        <f t="shared" si="130"/>
        <v>71395</v>
      </c>
      <c r="S306" s="270">
        <f t="shared" si="125"/>
        <v>71395</v>
      </c>
      <c r="T306" s="270">
        <f t="shared" si="125"/>
        <v>71395</v>
      </c>
      <c r="U306" s="270">
        <f t="shared" si="125"/>
        <v>71395</v>
      </c>
      <c r="V306" s="270">
        <f t="shared" si="125"/>
        <v>71395</v>
      </c>
      <c r="W306" s="270">
        <f t="shared" si="125"/>
        <v>71395</v>
      </c>
      <c r="X306" s="270">
        <f t="shared" si="125"/>
        <v>71395</v>
      </c>
      <c r="Y306" s="270">
        <f t="shared" si="125"/>
        <v>71395</v>
      </c>
      <c r="Z306" s="270">
        <f t="shared" si="125"/>
        <v>71395</v>
      </c>
      <c r="AA306" s="270">
        <f t="shared" si="125"/>
        <v>71395</v>
      </c>
      <c r="AB306" s="270">
        <f t="shared" si="125"/>
        <v>71395</v>
      </c>
      <c r="AC306" s="270">
        <f t="shared" si="125"/>
        <v>71395</v>
      </c>
      <c r="AD306" s="270">
        <f t="shared" si="129"/>
        <v>71395</v>
      </c>
      <c r="AE306" s="270">
        <f t="shared" si="129"/>
        <v>71395</v>
      </c>
      <c r="AF306" s="270">
        <f t="shared" si="129"/>
        <v>71395</v>
      </c>
      <c r="AG306" s="270">
        <f t="shared" si="129"/>
        <v>71395</v>
      </c>
      <c r="AH306" s="270">
        <f t="shared" si="129"/>
        <v>71395</v>
      </c>
      <c r="AI306" s="270">
        <f t="shared" si="129"/>
        <v>71395</v>
      </c>
      <c r="AJ306" s="270">
        <f t="shared" si="129"/>
        <v>71395</v>
      </c>
      <c r="AK306" s="270">
        <f t="shared" si="129"/>
        <v>71395</v>
      </c>
      <c r="AL306" s="270">
        <f t="shared" si="129"/>
        <v>71395</v>
      </c>
      <c r="AM306" s="270">
        <f t="shared" si="129"/>
        <v>71395</v>
      </c>
    </row>
    <row r="307" spans="2:39" ht="15.75" thickBot="1" x14ac:dyDescent="0.35">
      <c r="B307" s="56" t="str">
        <f>input_names!$B$3</f>
        <v>benzine</v>
      </c>
      <c r="C307" s="61">
        <v>259</v>
      </c>
      <c r="D307" s="270">
        <f t="shared" si="130"/>
        <v>46825</v>
      </c>
      <c r="E307" s="270">
        <f t="shared" si="130"/>
        <v>53521</v>
      </c>
      <c r="F307" s="270">
        <f t="shared" si="130"/>
        <v>56307</v>
      </c>
      <c r="G307" s="270">
        <f t="shared" si="130"/>
        <v>56710</v>
      </c>
      <c r="H307" s="270">
        <f t="shared" si="130"/>
        <v>55360</v>
      </c>
      <c r="I307" s="270">
        <f t="shared" si="130"/>
        <v>56285</v>
      </c>
      <c r="J307" s="270">
        <f t="shared" si="130"/>
        <v>49022</v>
      </c>
      <c r="K307" s="270">
        <f t="shared" si="130"/>
        <v>52253</v>
      </c>
      <c r="L307" s="270">
        <f t="shared" si="130"/>
        <v>54714</v>
      </c>
      <c r="M307" s="270">
        <f t="shared" si="130"/>
        <v>67457</v>
      </c>
      <c r="N307" s="270">
        <f t="shared" si="130"/>
        <v>71963</v>
      </c>
      <c r="O307" s="270">
        <f t="shared" si="130"/>
        <v>71963</v>
      </c>
      <c r="P307" s="270">
        <f t="shared" si="130"/>
        <v>71963</v>
      </c>
      <c r="Q307" s="270">
        <f t="shared" si="130"/>
        <v>71963</v>
      </c>
      <c r="R307" s="270">
        <f t="shared" si="130"/>
        <v>71963</v>
      </c>
      <c r="S307" s="270">
        <f t="shared" si="125"/>
        <v>71963</v>
      </c>
      <c r="T307" s="270">
        <f t="shared" si="125"/>
        <v>71963</v>
      </c>
      <c r="U307" s="270">
        <f t="shared" si="125"/>
        <v>71963</v>
      </c>
      <c r="V307" s="270">
        <f t="shared" si="125"/>
        <v>71963</v>
      </c>
      <c r="W307" s="270">
        <f t="shared" si="125"/>
        <v>71963</v>
      </c>
      <c r="X307" s="270">
        <f t="shared" si="125"/>
        <v>71963</v>
      </c>
      <c r="Y307" s="270">
        <f t="shared" si="125"/>
        <v>71963</v>
      </c>
      <c r="Z307" s="270">
        <f t="shared" si="125"/>
        <v>71963</v>
      </c>
      <c r="AA307" s="270">
        <f t="shared" si="125"/>
        <v>71963</v>
      </c>
      <c r="AB307" s="270">
        <f t="shared" si="125"/>
        <v>71963</v>
      </c>
      <c r="AC307" s="270">
        <f t="shared" si="125"/>
        <v>71963</v>
      </c>
      <c r="AD307" s="270">
        <f t="shared" si="129"/>
        <v>71963</v>
      </c>
      <c r="AE307" s="270">
        <f t="shared" si="129"/>
        <v>71963</v>
      </c>
      <c r="AF307" s="270">
        <f t="shared" si="129"/>
        <v>71963</v>
      </c>
      <c r="AG307" s="270">
        <f t="shared" si="129"/>
        <v>71963</v>
      </c>
      <c r="AH307" s="270">
        <f t="shared" si="129"/>
        <v>71963</v>
      </c>
      <c r="AI307" s="270">
        <f t="shared" si="129"/>
        <v>71963</v>
      </c>
      <c r="AJ307" s="270">
        <f t="shared" si="129"/>
        <v>71963</v>
      </c>
      <c r="AK307" s="270">
        <f t="shared" si="129"/>
        <v>71963</v>
      </c>
      <c r="AL307" s="270">
        <f t="shared" si="129"/>
        <v>71963</v>
      </c>
      <c r="AM307" s="270">
        <f t="shared" si="129"/>
        <v>71963</v>
      </c>
    </row>
    <row r="308" spans="2:39" ht="15.75" thickBot="1" x14ac:dyDescent="0.35">
      <c r="B308" s="56" t="str">
        <f>input_names!$B$3</f>
        <v>benzine</v>
      </c>
      <c r="C308" s="61">
        <v>260</v>
      </c>
      <c r="D308" s="270">
        <f t="shared" si="130"/>
        <v>47259</v>
      </c>
      <c r="E308" s="270">
        <f t="shared" si="130"/>
        <v>53997</v>
      </c>
      <c r="F308" s="270">
        <f t="shared" si="130"/>
        <v>56779</v>
      </c>
      <c r="G308" s="270">
        <f t="shared" si="130"/>
        <v>57165</v>
      </c>
      <c r="H308" s="270">
        <f t="shared" si="130"/>
        <v>55788</v>
      </c>
      <c r="I308" s="270">
        <f t="shared" si="130"/>
        <v>56703</v>
      </c>
      <c r="J308" s="270">
        <f t="shared" si="130"/>
        <v>49454</v>
      </c>
      <c r="K308" s="270">
        <f t="shared" si="130"/>
        <v>52701</v>
      </c>
      <c r="L308" s="270">
        <f t="shared" si="130"/>
        <v>55162</v>
      </c>
      <c r="M308" s="270">
        <f t="shared" si="130"/>
        <v>68006</v>
      </c>
      <c r="N308" s="270">
        <f t="shared" si="130"/>
        <v>72531</v>
      </c>
      <c r="O308" s="270">
        <f t="shared" si="130"/>
        <v>72531</v>
      </c>
      <c r="P308" s="270">
        <f t="shared" si="130"/>
        <v>72531</v>
      </c>
      <c r="Q308" s="270">
        <f t="shared" si="130"/>
        <v>72531</v>
      </c>
      <c r="R308" s="270">
        <f t="shared" si="130"/>
        <v>72531</v>
      </c>
      <c r="S308" s="270">
        <f t="shared" si="125"/>
        <v>72531</v>
      </c>
      <c r="T308" s="270">
        <f t="shared" si="125"/>
        <v>72531</v>
      </c>
      <c r="U308" s="270">
        <f t="shared" si="125"/>
        <v>72531</v>
      </c>
      <c r="V308" s="270">
        <f t="shared" si="125"/>
        <v>72531</v>
      </c>
      <c r="W308" s="270">
        <f t="shared" si="125"/>
        <v>72531</v>
      </c>
      <c r="X308" s="270">
        <f t="shared" si="125"/>
        <v>72531</v>
      </c>
      <c r="Y308" s="270">
        <f t="shared" si="125"/>
        <v>72531</v>
      </c>
      <c r="Z308" s="270">
        <f t="shared" si="125"/>
        <v>72531</v>
      </c>
      <c r="AA308" s="270">
        <f t="shared" si="125"/>
        <v>72531</v>
      </c>
      <c r="AB308" s="270">
        <f t="shared" si="125"/>
        <v>72531</v>
      </c>
      <c r="AC308" s="270">
        <f t="shared" si="125"/>
        <v>72531</v>
      </c>
      <c r="AD308" s="270">
        <f t="shared" si="129"/>
        <v>72531</v>
      </c>
      <c r="AE308" s="270">
        <f t="shared" si="129"/>
        <v>72531</v>
      </c>
      <c r="AF308" s="270">
        <f t="shared" si="129"/>
        <v>72531</v>
      </c>
      <c r="AG308" s="270">
        <f t="shared" si="129"/>
        <v>72531</v>
      </c>
      <c r="AH308" s="270">
        <f t="shared" si="129"/>
        <v>72531</v>
      </c>
      <c r="AI308" s="270">
        <f t="shared" si="129"/>
        <v>72531</v>
      </c>
      <c r="AJ308" s="270">
        <f t="shared" si="129"/>
        <v>72531</v>
      </c>
      <c r="AK308" s="270">
        <f t="shared" si="129"/>
        <v>72531</v>
      </c>
      <c r="AL308" s="270">
        <f t="shared" si="129"/>
        <v>72531</v>
      </c>
      <c r="AM308" s="270">
        <f t="shared" si="129"/>
        <v>72531</v>
      </c>
    </row>
    <row r="309" spans="2:39" ht="15.75" thickBot="1" x14ac:dyDescent="0.35">
      <c r="B309" s="56" t="str">
        <f>input_names!$B$3</f>
        <v>benzine</v>
      </c>
      <c r="C309" s="61">
        <v>261</v>
      </c>
      <c r="D309" s="270">
        <f t="shared" si="130"/>
        <v>47693</v>
      </c>
      <c r="E309" s="270">
        <f t="shared" si="130"/>
        <v>54473</v>
      </c>
      <c r="F309" s="270">
        <f t="shared" si="130"/>
        <v>57251</v>
      </c>
      <c r="G309" s="270">
        <f t="shared" si="130"/>
        <v>57620</v>
      </c>
      <c r="H309" s="270">
        <f t="shared" si="130"/>
        <v>56216</v>
      </c>
      <c r="I309" s="270">
        <f t="shared" si="130"/>
        <v>57121</v>
      </c>
      <c r="J309" s="270">
        <f t="shared" si="130"/>
        <v>49886</v>
      </c>
      <c r="K309" s="270">
        <f t="shared" si="130"/>
        <v>53149</v>
      </c>
      <c r="L309" s="270">
        <f t="shared" si="130"/>
        <v>55610</v>
      </c>
      <c r="M309" s="270">
        <f t="shared" si="130"/>
        <v>68555</v>
      </c>
      <c r="N309" s="270">
        <f t="shared" si="130"/>
        <v>73099</v>
      </c>
      <c r="O309" s="270">
        <f t="shared" si="130"/>
        <v>73099</v>
      </c>
      <c r="P309" s="270">
        <f t="shared" si="130"/>
        <v>73099</v>
      </c>
      <c r="Q309" s="270">
        <f t="shared" si="130"/>
        <v>73099</v>
      </c>
      <c r="R309" s="270">
        <f t="shared" si="130"/>
        <v>73099</v>
      </c>
      <c r="S309" s="270">
        <f t="shared" si="125"/>
        <v>73099</v>
      </c>
      <c r="T309" s="270">
        <f t="shared" si="125"/>
        <v>73099</v>
      </c>
      <c r="U309" s="270">
        <f t="shared" si="125"/>
        <v>73099</v>
      </c>
      <c r="V309" s="270">
        <f t="shared" si="125"/>
        <v>73099</v>
      </c>
      <c r="W309" s="270">
        <f t="shared" si="125"/>
        <v>73099</v>
      </c>
      <c r="X309" s="270">
        <f t="shared" si="125"/>
        <v>73099</v>
      </c>
      <c r="Y309" s="270">
        <f t="shared" si="125"/>
        <v>73099</v>
      </c>
      <c r="Z309" s="270">
        <f t="shared" si="125"/>
        <v>73099</v>
      </c>
      <c r="AA309" s="270">
        <f t="shared" si="125"/>
        <v>73099</v>
      </c>
      <c r="AB309" s="270">
        <f t="shared" si="125"/>
        <v>73099</v>
      </c>
      <c r="AC309" s="270">
        <f t="shared" si="125"/>
        <v>73099</v>
      </c>
      <c r="AD309" s="270">
        <f t="shared" si="129"/>
        <v>73099</v>
      </c>
      <c r="AE309" s="270">
        <f t="shared" si="129"/>
        <v>73099</v>
      </c>
      <c r="AF309" s="270">
        <f t="shared" si="129"/>
        <v>73099</v>
      </c>
      <c r="AG309" s="270">
        <f t="shared" si="129"/>
        <v>73099</v>
      </c>
      <c r="AH309" s="270">
        <f t="shared" si="129"/>
        <v>73099</v>
      </c>
      <c r="AI309" s="270">
        <f t="shared" si="129"/>
        <v>73099</v>
      </c>
      <c r="AJ309" s="270">
        <f t="shared" si="129"/>
        <v>73099</v>
      </c>
      <c r="AK309" s="270">
        <f t="shared" si="129"/>
        <v>73099</v>
      </c>
      <c r="AL309" s="270">
        <f t="shared" si="129"/>
        <v>73099</v>
      </c>
      <c r="AM309" s="270">
        <f t="shared" si="129"/>
        <v>73099</v>
      </c>
    </row>
    <row r="310" spans="2:39" ht="15.75" thickBot="1" x14ac:dyDescent="0.35">
      <c r="B310" s="56" t="str">
        <f>input_names!$B$3</f>
        <v>benzine</v>
      </c>
      <c r="C310" s="61">
        <v>262</v>
      </c>
      <c r="D310" s="270">
        <f t="shared" si="130"/>
        <v>48127</v>
      </c>
      <c r="E310" s="270">
        <f t="shared" si="130"/>
        <v>54949</v>
      </c>
      <c r="F310" s="270">
        <f t="shared" si="130"/>
        <v>57723</v>
      </c>
      <c r="G310" s="270">
        <f t="shared" si="130"/>
        <v>58075</v>
      </c>
      <c r="H310" s="270">
        <f t="shared" si="130"/>
        <v>56644</v>
      </c>
      <c r="I310" s="270">
        <f t="shared" si="130"/>
        <v>57539</v>
      </c>
      <c r="J310" s="270">
        <f t="shared" si="130"/>
        <v>50318</v>
      </c>
      <c r="K310" s="270">
        <f t="shared" si="130"/>
        <v>53597</v>
      </c>
      <c r="L310" s="270">
        <f t="shared" si="130"/>
        <v>56058</v>
      </c>
      <c r="M310" s="270">
        <f t="shared" si="130"/>
        <v>69104</v>
      </c>
      <c r="N310" s="270">
        <f t="shared" si="130"/>
        <v>73667</v>
      </c>
      <c r="O310" s="270">
        <f t="shared" si="130"/>
        <v>73667</v>
      </c>
      <c r="P310" s="270">
        <f t="shared" si="130"/>
        <v>73667</v>
      </c>
      <c r="Q310" s="270">
        <f t="shared" si="130"/>
        <v>73667</v>
      </c>
      <c r="R310" s="270">
        <f t="shared" si="130"/>
        <v>73667</v>
      </c>
      <c r="S310" s="270">
        <f t="shared" si="125"/>
        <v>73667</v>
      </c>
      <c r="T310" s="270">
        <f t="shared" si="125"/>
        <v>73667</v>
      </c>
      <c r="U310" s="270">
        <f t="shared" si="125"/>
        <v>73667</v>
      </c>
      <c r="V310" s="270">
        <f t="shared" si="125"/>
        <v>73667</v>
      </c>
      <c r="W310" s="270">
        <f t="shared" si="125"/>
        <v>73667</v>
      </c>
      <c r="X310" s="270">
        <f t="shared" si="125"/>
        <v>73667</v>
      </c>
      <c r="Y310" s="270">
        <f t="shared" si="125"/>
        <v>73667</v>
      </c>
      <c r="Z310" s="270">
        <f t="shared" si="125"/>
        <v>73667</v>
      </c>
      <c r="AA310" s="270">
        <f t="shared" si="125"/>
        <v>73667</v>
      </c>
      <c r="AB310" s="270">
        <f t="shared" si="125"/>
        <v>73667</v>
      </c>
      <c r="AC310" s="270">
        <f t="shared" si="125"/>
        <v>73667</v>
      </c>
      <c r="AD310" s="270">
        <f t="shared" si="129"/>
        <v>73667</v>
      </c>
      <c r="AE310" s="270">
        <f t="shared" si="129"/>
        <v>73667</v>
      </c>
      <c r="AF310" s="270">
        <f t="shared" si="129"/>
        <v>73667</v>
      </c>
      <c r="AG310" s="270">
        <f t="shared" si="129"/>
        <v>73667</v>
      </c>
      <c r="AH310" s="270">
        <f t="shared" si="129"/>
        <v>73667</v>
      </c>
      <c r="AI310" s="270">
        <f t="shared" si="129"/>
        <v>73667</v>
      </c>
      <c r="AJ310" s="270">
        <f t="shared" si="129"/>
        <v>73667</v>
      </c>
      <c r="AK310" s="270">
        <f t="shared" si="129"/>
        <v>73667</v>
      </c>
      <c r="AL310" s="270">
        <f t="shared" si="129"/>
        <v>73667</v>
      </c>
      <c r="AM310" s="270">
        <f t="shared" si="129"/>
        <v>73667</v>
      </c>
    </row>
    <row r="311" spans="2:39" ht="15.75" thickBot="1" x14ac:dyDescent="0.35">
      <c r="B311" s="56" t="str">
        <f>input_names!$B$3</f>
        <v>benzine</v>
      </c>
      <c r="C311" s="61">
        <v>263</v>
      </c>
      <c r="D311" s="270">
        <f t="shared" si="130"/>
        <v>48561</v>
      </c>
      <c r="E311" s="270">
        <f t="shared" si="130"/>
        <v>55425</v>
      </c>
      <c r="F311" s="270">
        <f t="shared" si="130"/>
        <v>58195</v>
      </c>
      <c r="G311" s="270">
        <f t="shared" si="130"/>
        <v>58530</v>
      </c>
      <c r="H311" s="270">
        <f t="shared" si="130"/>
        <v>57072</v>
      </c>
      <c r="I311" s="270">
        <f t="shared" si="130"/>
        <v>57957</v>
      </c>
      <c r="J311" s="270">
        <f t="shared" si="130"/>
        <v>50750</v>
      </c>
      <c r="K311" s="270">
        <f t="shared" si="130"/>
        <v>54045</v>
      </c>
      <c r="L311" s="270">
        <f t="shared" si="130"/>
        <v>56506</v>
      </c>
      <c r="M311" s="270">
        <f t="shared" si="130"/>
        <v>69653</v>
      </c>
      <c r="N311" s="270">
        <f t="shared" si="130"/>
        <v>74235</v>
      </c>
      <c r="O311" s="270">
        <f t="shared" si="130"/>
        <v>74235</v>
      </c>
      <c r="P311" s="270">
        <f t="shared" si="130"/>
        <v>74235</v>
      </c>
      <c r="Q311" s="270">
        <f t="shared" si="130"/>
        <v>74235</v>
      </c>
      <c r="R311" s="270">
        <f t="shared" si="130"/>
        <v>74235</v>
      </c>
      <c r="S311" s="270">
        <f t="shared" si="130"/>
        <v>74235</v>
      </c>
      <c r="T311" s="270">
        <f t="shared" si="130"/>
        <v>74235</v>
      </c>
      <c r="U311" s="270">
        <f t="shared" si="130"/>
        <v>74235</v>
      </c>
      <c r="V311" s="270">
        <f t="shared" si="130"/>
        <v>74235</v>
      </c>
      <c r="W311" s="270">
        <f t="shared" si="130"/>
        <v>74235</v>
      </c>
      <c r="X311" s="270">
        <f t="shared" si="130"/>
        <v>74235</v>
      </c>
      <c r="Y311" s="270">
        <f t="shared" ref="S311:AC334" si="131">+MIN(MAX(0,$C311-Y$11),Y$12-Y$11)*Y$17
+MIN(MAX(0,$C311-Y$12),Y$13-Y$12)*Y$18
+MIN(MAX(0,$C311-Y$13),Y$14-Y$13)*Y$19
+MIN(MAX(0,$C311-Y$14),Y$15-Y$14)*Y$20
+MAX(0,$C311-Y$15)*Y$21
+Y$26</f>
        <v>74235</v>
      </c>
      <c r="Z311" s="270">
        <f t="shared" si="131"/>
        <v>74235</v>
      </c>
      <c r="AA311" s="270">
        <f t="shared" si="131"/>
        <v>74235</v>
      </c>
      <c r="AB311" s="270">
        <f t="shared" si="131"/>
        <v>74235</v>
      </c>
      <c r="AC311" s="270">
        <f t="shared" si="131"/>
        <v>74235</v>
      </c>
      <c r="AD311" s="270">
        <f t="shared" si="129"/>
        <v>74235</v>
      </c>
      <c r="AE311" s="270">
        <f t="shared" si="129"/>
        <v>74235</v>
      </c>
      <c r="AF311" s="270">
        <f t="shared" si="129"/>
        <v>74235</v>
      </c>
      <c r="AG311" s="270">
        <f t="shared" si="129"/>
        <v>74235</v>
      </c>
      <c r="AH311" s="270">
        <f t="shared" si="129"/>
        <v>74235</v>
      </c>
      <c r="AI311" s="270">
        <f t="shared" si="129"/>
        <v>74235</v>
      </c>
      <c r="AJ311" s="270">
        <f t="shared" si="129"/>
        <v>74235</v>
      </c>
      <c r="AK311" s="270">
        <f t="shared" si="129"/>
        <v>74235</v>
      </c>
      <c r="AL311" s="270">
        <f t="shared" si="129"/>
        <v>74235</v>
      </c>
      <c r="AM311" s="270">
        <f t="shared" si="129"/>
        <v>74235</v>
      </c>
    </row>
    <row r="312" spans="2:39" ht="15.75" thickBot="1" x14ac:dyDescent="0.35">
      <c r="B312" s="56" t="str">
        <f>input_names!$B$3</f>
        <v>benzine</v>
      </c>
      <c r="C312" s="61">
        <v>264</v>
      </c>
      <c r="D312" s="270">
        <f t="shared" si="130"/>
        <v>48995</v>
      </c>
      <c r="E312" s="270">
        <f t="shared" si="130"/>
        <v>55901</v>
      </c>
      <c r="F312" s="270">
        <f t="shared" si="130"/>
        <v>58667</v>
      </c>
      <c r="G312" s="270">
        <f t="shared" si="130"/>
        <v>58985</v>
      </c>
      <c r="H312" s="270">
        <f t="shared" si="130"/>
        <v>57500</v>
      </c>
      <c r="I312" s="270">
        <f t="shared" si="130"/>
        <v>58375</v>
      </c>
      <c r="J312" s="270">
        <f t="shared" si="130"/>
        <v>51182</v>
      </c>
      <c r="K312" s="270">
        <f t="shared" si="130"/>
        <v>54493</v>
      </c>
      <c r="L312" s="270">
        <f t="shared" si="130"/>
        <v>56954</v>
      </c>
      <c r="M312" s="270">
        <f t="shared" si="130"/>
        <v>70202</v>
      </c>
      <c r="N312" s="270">
        <f t="shared" si="130"/>
        <v>74803</v>
      </c>
      <c r="O312" s="270">
        <f t="shared" si="130"/>
        <v>74803</v>
      </c>
      <c r="P312" s="270">
        <f t="shared" si="130"/>
        <v>74803</v>
      </c>
      <c r="Q312" s="270">
        <f t="shared" si="130"/>
        <v>74803</v>
      </c>
      <c r="R312" s="270">
        <f t="shared" si="130"/>
        <v>74803</v>
      </c>
      <c r="S312" s="270">
        <f t="shared" si="131"/>
        <v>74803</v>
      </c>
      <c r="T312" s="270">
        <f t="shared" si="131"/>
        <v>74803</v>
      </c>
      <c r="U312" s="270">
        <f t="shared" si="131"/>
        <v>74803</v>
      </c>
      <c r="V312" s="270">
        <f t="shared" si="131"/>
        <v>74803</v>
      </c>
      <c r="W312" s="270">
        <f t="shared" si="131"/>
        <v>74803</v>
      </c>
      <c r="X312" s="270">
        <f t="shared" si="131"/>
        <v>74803</v>
      </c>
      <c r="Y312" s="270">
        <f t="shared" si="131"/>
        <v>74803</v>
      </c>
      <c r="Z312" s="270">
        <f t="shared" si="131"/>
        <v>74803</v>
      </c>
      <c r="AA312" s="270">
        <f t="shared" si="131"/>
        <v>74803</v>
      </c>
      <c r="AB312" s="270">
        <f t="shared" si="131"/>
        <v>74803</v>
      </c>
      <c r="AC312" s="270">
        <f t="shared" si="131"/>
        <v>74803</v>
      </c>
      <c r="AD312" s="270">
        <f t="shared" si="129"/>
        <v>74803</v>
      </c>
      <c r="AE312" s="270">
        <f t="shared" si="129"/>
        <v>74803</v>
      </c>
      <c r="AF312" s="270">
        <f t="shared" si="129"/>
        <v>74803</v>
      </c>
      <c r="AG312" s="270">
        <f t="shared" si="129"/>
        <v>74803</v>
      </c>
      <c r="AH312" s="270">
        <f t="shared" si="129"/>
        <v>74803</v>
      </c>
      <c r="AI312" s="270">
        <f t="shared" si="129"/>
        <v>74803</v>
      </c>
      <c r="AJ312" s="270">
        <f t="shared" si="129"/>
        <v>74803</v>
      </c>
      <c r="AK312" s="270">
        <f t="shared" si="129"/>
        <v>74803</v>
      </c>
      <c r="AL312" s="270">
        <f t="shared" si="129"/>
        <v>74803</v>
      </c>
      <c r="AM312" s="270">
        <f t="shared" si="129"/>
        <v>74803</v>
      </c>
    </row>
    <row r="313" spans="2:39" ht="15.75" thickBot="1" x14ac:dyDescent="0.35">
      <c r="B313" s="56" t="str">
        <f>input_names!$B$3</f>
        <v>benzine</v>
      </c>
      <c r="C313" s="61">
        <v>265</v>
      </c>
      <c r="D313" s="270">
        <f t="shared" si="130"/>
        <v>49429</v>
      </c>
      <c r="E313" s="270">
        <f t="shared" si="130"/>
        <v>56377</v>
      </c>
      <c r="F313" s="270">
        <f t="shared" si="130"/>
        <v>59139</v>
      </c>
      <c r="G313" s="270">
        <f t="shared" si="130"/>
        <v>59440</v>
      </c>
      <c r="H313" s="270">
        <f t="shared" si="130"/>
        <v>57928</v>
      </c>
      <c r="I313" s="270">
        <f t="shared" si="130"/>
        <v>58793</v>
      </c>
      <c r="J313" s="270">
        <f t="shared" si="130"/>
        <v>51614</v>
      </c>
      <c r="K313" s="270">
        <f t="shared" si="130"/>
        <v>54941</v>
      </c>
      <c r="L313" s="270">
        <f t="shared" si="130"/>
        <v>57402</v>
      </c>
      <c r="M313" s="270">
        <f t="shared" si="130"/>
        <v>70751</v>
      </c>
      <c r="N313" s="270">
        <f t="shared" si="130"/>
        <v>75371</v>
      </c>
      <c r="O313" s="270">
        <f t="shared" si="130"/>
        <v>75371</v>
      </c>
      <c r="P313" s="270">
        <f t="shared" si="130"/>
        <v>75371</v>
      </c>
      <c r="Q313" s="270">
        <f t="shared" si="130"/>
        <v>75371</v>
      </c>
      <c r="R313" s="270">
        <f t="shared" si="130"/>
        <v>75371</v>
      </c>
      <c r="S313" s="270">
        <f t="shared" si="131"/>
        <v>75371</v>
      </c>
      <c r="T313" s="270">
        <f t="shared" si="131"/>
        <v>75371</v>
      </c>
      <c r="U313" s="270">
        <f t="shared" si="131"/>
        <v>75371</v>
      </c>
      <c r="V313" s="270">
        <f t="shared" si="131"/>
        <v>75371</v>
      </c>
      <c r="W313" s="270">
        <f t="shared" si="131"/>
        <v>75371</v>
      </c>
      <c r="X313" s="270">
        <f t="shared" si="131"/>
        <v>75371</v>
      </c>
      <c r="Y313" s="270">
        <f t="shared" si="131"/>
        <v>75371</v>
      </c>
      <c r="Z313" s="270">
        <f t="shared" si="131"/>
        <v>75371</v>
      </c>
      <c r="AA313" s="270">
        <f t="shared" si="131"/>
        <v>75371</v>
      </c>
      <c r="AB313" s="270">
        <f t="shared" si="131"/>
        <v>75371</v>
      </c>
      <c r="AC313" s="270">
        <f t="shared" si="131"/>
        <v>75371</v>
      </c>
      <c r="AD313" s="270">
        <f t="shared" si="129"/>
        <v>75371</v>
      </c>
      <c r="AE313" s="270">
        <f t="shared" si="129"/>
        <v>75371</v>
      </c>
      <c r="AF313" s="270">
        <f t="shared" si="129"/>
        <v>75371</v>
      </c>
      <c r="AG313" s="270">
        <f t="shared" si="129"/>
        <v>75371</v>
      </c>
      <c r="AH313" s="270">
        <f t="shared" si="129"/>
        <v>75371</v>
      </c>
      <c r="AI313" s="270">
        <f t="shared" si="129"/>
        <v>75371</v>
      </c>
      <c r="AJ313" s="270">
        <f t="shared" si="129"/>
        <v>75371</v>
      </c>
      <c r="AK313" s="270">
        <f t="shared" si="129"/>
        <v>75371</v>
      </c>
      <c r="AL313" s="270">
        <f t="shared" si="129"/>
        <v>75371</v>
      </c>
      <c r="AM313" s="270">
        <f t="shared" si="129"/>
        <v>75371</v>
      </c>
    </row>
    <row r="314" spans="2:39" ht="15.75" thickBot="1" x14ac:dyDescent="0.35">
      <c r="B314" s="56" t="str">
        <f>input_names!$B$3</f>
        <v>benzine</v>
      </c>
      <c r="C314" s="61">
        <v>266</v>
      </c>
      <c r="D314" s="270">
        <f t="shared" si="130"/>
        <v>49863</v>
      </c>
      <c r="E314" s="270">
        <f t="shared" si="130"/>
        <v>56853</v>
      </c>
      <c r="F314" s="270">
        <f t="shared" si="130"/>
        <v>59611</v>
      </c>
      <c r="G314" s="270">
        <f t="shared" si="130"/>
        <v>59895</v>
      </c>
      <c r="H314" s="270">
        <f t="shared" si="130"/>
        <v>58356</v>
      </c>
      <c r="I314" s="270">
        <f t="shared" si="130"/>
        <v>59211</v>
      </c>
      <c r="J314" s="270">
        <f t="shared" si="130"/>
        <v>52046</v>
      </c>
      <c r="K314" s="270">
        <f t="shared" si="130"/>
        <v>55389</v>
      </c>
      <c r="L314" s="270">
        <f t="shared" si="130"/>
        <v>57850</v>
      </c>
      <c r="M314" s="270">
        <f t="shared" si="130"/>
        <v>71300</v>
      </c>
      <c r="N314" s="270">
        <f t="shared" si="130"/>
        <v>75939</v>
      </c>
      <c r="O314" s="270">
        <f t="shared" si="130"/>
        <v>75939</v>
      </c>
      <c r="P314" s="270">
        <f t="shared" si="130"/>
        <v>75939</v>
      </c>
      <c r="Q314" s="270">
        <f t="shared" si="130"/>
        <v>75939</v>
      </c>
      <c r="R314" s="270">
        <f t="shared" si="130"/>
        <v>75939</v>
      </c>
      <c r="S314" s="270">
        <f t="shared" si="131"/>
        <v>75939</v>
      </c>
      <c r="T314" s="270">
        <f t="shared" si="131"/>
        <v>75939</v>
      </c>
      <c r="U314" s="270">
        <f t="shared" si="131"/>
        <v>75939</v>
      </c>
      <c r="V314" s="270">
        <f t="shared" si="131"/>
        <v>75939</v>
      </c>
      <c r="W314" s="270">
        <f t="shared" si="131"/>
        <v>75939</v>
      </c>
      <c r="X314" s="270">
        <f t="shared" si="131"/>
        <v>75939</v>
      </c>
      <c r="Y314" s="270">
        <f t="shared" si="131"/>
        <v>75939</v>
      </c>
      <c r="Z314" s="270">
        <f t="shared" si="131"/>
        <v>75939</v>
      </c>
      <c r="AA314" s="270">
        <f t="shared" si="131"/>
        <v>75939</v>
      </c>
      <c r="AB314" s="270">
        <f t="shared" si="131"/>
        <v>75939</v>
      </c>
      <c r="AC314" s="270">
        <f t="shared" si="131"/>
        <v>75939</v>
      </c>
      <c r="AD314" s="270">
        <f t="shared" si="129"/>
        <v>75939</v>
      </c>
      <c r="AE314" s="270">
        <f t="shared" si="129"/>
        <v>75939</v>
      </c>
      <c r="AF314" s="270">
        <f t="shared" si="129"/>
        <v>75939</v>
      </c>
      <c r="AG314" s="270">
        <f t="shared" si="129"/>
        <v>75939</v>
      </c>
      <c r="AH314" s="270">
        <f t="shared" si="129"/>
        <v>75939</v>
      </c>
      <c r="AI314" s="270">
        <f t="shared" si="129"/>
        <v>75939</v>
      </c>
      <c r="AJ314" s="270">
        <f t="shared" si="129"/>
        <v>75939</v>
      </c>
      <c r="AK314" s="270">
        <f t="shared" si="129"/>
        <v>75939</v>
      </c>
      <c r="AL314" s="270">
        <f t="shared" si="129"/>
        <v>75939</v>
      </c>
      <c r="AM314" s="270">
        <f t="shared" si="129"/>
        <v>75939</v>
      </c>
    </row>
    <row r="315" spans="2:39" ht="15.75" thickBot="1" x14ac:dyDescent="0.35">
      <c r="B315" s="56" t="str">
        <f>input_names!$B$3</f>
        <v>benzine</v>
      </c>
      <c r="C315" s="61">
        <v>267</v>
      </c>
      <c r="D315" s="270">
        <f t="shared" si="130"/>
        <v>50297</v>
      </c>
      <c r="E315" s="270">
        <f t="shared" si="130"/>
        <v>57329</v>
      </c>
      <c r="F315" s="270">
        <f t="shared" si="130"/>
        <v>60083</v>
      </c>
      <c r="G315" s="270">
        <f t="shared" si="130"/>
        <v>60350</v>
      </c>
      <c r="H315" s="270">
        <f t="shared" si="130"/>
        <v>58784</v>
      </c>
      <c r="I315" s="270">
        <f t="shared" si="130"/>
        <v>59629</v>
      </c>
      <c r="J315" s="270">
        <f t="shared" si="130"/>
        <v>52478</v>
      </c>
      <c r="K315" s="270">
        <f t="shared" si="130"/>
        <v>55837</v>
      </c>
      <c r="L315" s="270">
        <f t="shared" si="130"/>
        <v>58298</v>
      </c>
      <c r="M315" s="270">
        <f t="shared" si="130"/>
        <v>71849</v>
      </c>
      <c r="N315" s="270">
        <f t="shared" si="130"/>
        <v>76507</v>
      </c>
      <c r="O315" s="270">
        <f t="shared" si="130"/>
        <v>76507</v>
      </c>
      <c r="P315" s="270">
        <f t="shared" si="130"/>
        <v>76507</v>
      </c>
      <c r="Q315" s="270">
        <f t="shared" si="130"/>
        <v>76507</v>
      </c>
      <c r="R315" s="270">
        <f t="shared" si="130"/>
        <v>76507</v>
      </c>
      <c r="S315" s="270">
        <f t="shared" si="131"/>
        <v>76507</v>
      </c>
      <c r="T315" s="270">
        <f t="shared" si="131"/>
        <v>76507</v>
      </c>
      <c r="U315" s="270">
        <f t="shared" si="131"/>
        <v>76507</v>
      </c>
      <c r="V315" s="270">
        <f t="shared" si="131"/>
        <v>76507</v>
      </c>
      <c r="W315" s="270">
        <f t="shared" si="131"/>
        <v>76507</v>
      </c>
      <c r="X315" s="270">
        <f t="shared" si="131"/>
        <v>76507</v>
      </c>
      <c r="Y315" s="270">
        <f t="shared" si="131"/>
        <v>76507</v>
      </c>
      <c r="Z315" s="270">
        <f t="shared" si="131"/>
        <v>76507</v>
      </c>
      <c r="AA315" s="270">
        <f t="shared" si="131"/>
        <v>76507</v>
      </c>
      <c r="AB315" s="270">
        <f t="shared" si="131"/>
        <v>76507</v>
      </c>
      <c r="AC315" s="270">
        <f t="shared" si="131"/>
        <v>76507</v>
      </c>
      <c r="AD315" s="270">
        <f t="shared" si="129"/>
        <v>76507</v>
      </c>
      <c r="AE315" s="270">
        <f t="shared" si="129"/>
        <v>76507</v>
      </c>
      <c r="AF315" s="270">
        <f t="shared" si="129"/>
        <v>76507</v>
      </c>
      <c r="AG315" s="270">
        <f t="shared" si="129"/>
        <v>76507</v>
      </c>
      <c r="AH315" s="270">
        <f t="shared" si="129"/>
        <v>76507</v>
      </c>
      <c r="AI315" s="270">
        <f t="shared" si="129"/>
        <v>76507</v>
      </c>
      <c r="AJ315" s="270">
        <f t="shared" si="129"/>
        <v>76507</v>
      </c>
      <c r="AK315" s="270">
        <f t="shared" si="129"/>
        <v>76507</v>
      </c>
      <c r="AL315" s="270">
        <f t="shared" si="129"/>
        <v>76507</v>
      </c>
      <c r="AM315" s="270">
        <f t="shared" si="129"/>
        <v>76507</v>
      </c>
    </row>
    <row r="316" spans="2:39" ht="15.75" thickBot="1" x14ac:dyDescent="0.35">
      <c r="B316" s="56" t="str">
        <f>input_names!$B$3</f>
        <v>benzine</v>
      </c>
      <c r="C316" s="61">
        <v>268</v>
      </c>
      <c r="D316" s="270">
        <f t="shared" si="130"/>
        <v>50731</v>
      </c>
      <c r="E316" s="270">
        <f t="shared" si="130"/>
        <v>57805</v>
      </c>
      <c r="F316" s="270">
        <f t="shared" si="130"/>
        <v>60555</v>
      </c>
      <c r="G316" s="270">
        <f t="shared" si="130"/>
        <v>60805</v>
      </c>
      <c r="H316" s="270">
        <f t="shared" si="130"/>
        <v>59212</v>
      </c>
      <c r="I316" s="270">
        <f t="shared" si="130"/>
        <v>60047</v>
      </c>
      <c r="J316" s="270">
        <f t="shared" si="130"/>
        <v>52910</v>
      </c>
      <c r="K316" s="270">
        <f t="shared" si="130"/>
        <v>56285</v>
      </c>
      <c r="L316" s="270">
        <f t="shared" si="130"/>
        <v>58746</v>
      </c>
      <c r="M316" s="270">
        <f t="shared" si="130"/>
        <v>72398</v>
      </c>
      <c r="N316" s="270">
        <f t="shared" si="130"/>
        <v>77075</v>
      </c>
      <c r="O316" s="270">
        <f t="shared" si="130"/>
        <v>77075</v>
      </c>
      <c r="P316" s="270">
        <f t="shared" si="130"/>
        <v>77075</v>
      </c>
      <c r="Q316" s="270">
        <f t="shared" si="130"/>
        <v>77075</v>
      </c>
      <c r="R316" s="270">
        <f t="shared" si="130"/>
        <v>77075</v>
      </c>
      <c r="S316" s="270">
        <f t="shared" si="131"/>
        <v>77075</v>
      </c>
      <c r="T316" s="270">
        <f t="shared" si="131"/>
        <v>77075</v>
      </c>
      <c r="U316" s="270">
        <f t="shared" si="131"/>
        <v>77075</v>
      </c>
      <c r="V316" s="270">
        <f t="shared" si="131"/>
        <v>77075</v>
      </c>
      <c r="W316" s="270">
        <f t="shared" si="131"/>
        <v>77075</v>
      </c>
      <c r="X316" s="270">
        <f t="shared" si="131"/>
        <v>77075</v>
      </c>
      <c r="Y316" s="270">
        <f t="shared" si="131"/>
        <v>77075</v>
      </c>
      <c r="Z316" s="270">
        <f t="shared" si="131"/>
        <v>77075</v>
      </c>
      <c r="AA316" s="270">
        <f t="shared" si="131"/>
        <v>77075</v>
      </c>
      <c r="AB316" s="270">
        <f t="shared" si="131"/>
        <v>77075</v>
      </c>
      <c r="AC316" s="270">
        <f t="shared" si="131"/>
        <v>77075</v>
      </c>
      <c r="AD316" s="270">
        <f t="shared" si="129"/>
        <v>77075</v>
      </c>
      <c r="AE316" s="270">
        <f t="shared" si="129"/>
        <v>77075</v>
      </c>
      <c r="AF316" s="270">
        <f t="shared" si="129"/>
        <v>77075</v>
      </c>
      <c r="AG316" s="270">
        <f t="shared" ref="AF316:AM344" si="132">+MIN(MAX(0,$C316-AG$11),AG$12-AG$11)*AG$17
+MIN(MAX(0,$C316-AG$12),AG$13-AG$12)*AG$18
+MIN(MAX(0,$C316-AG$13),AG$14-AG$13)*AG$19
+MIN(MAX(0,$C316-AG$14),AG$15-AG$14)*AG$20
+MAX(0,$C316-AG$15)*AG$21
+AG$26</f>
        <v>77075</v>
      </c>
      <c r="AH316" s="270">
        <f t="shared" si="132"/>
        <v>77075</v>
      </c>
      <c r="AI316" s="270">
        <f t="shared" si="132"/>
        <v>77075</v>
      </c>
      <c r="AJ316" s="270">
        <f t="shared" si="132"/>
        <v>77075</v>
      </c>
      <c r="AK316" s="270">
        <f t="shared" si="132"/>
        <v>77075</v>
      </c>
      <c r="AL316" s="270">
        <f t="shared" si="132"/>
        <v>77075</v>
      </c>
      <c r="AM316" s="270">
        <f t="shared" si="132"/>
        <v>77075</v>
      </c>
    </row>
    <row r="317" spans="2:39" ht="15.75" thickBot="1" x14ac:dyDescent="0.35">
      <c r="B317" s="56" t="str">
        <f>input_names!$B$3</f>
        <v>benzine</v>
      </c>
      <c r="C317" s="61">
        <v>269</v>
      </c>
      <c r="D317" s="270">
        <f t="shared" si="130"/>
        <v>51165</v>
      </c>
      <c r="E317" s="270">
        <f t="shared" si="130"/>
        <v>58281</v>
      </c>
      <c r="F317" s="270">
        <f t="shared" si="130"/>
        <v>61027</v>
      </c>
      <c r="G317" s="270">
        <f t="shared" si="130"/>
        <v>61260</v>
      </c>
      <c r="H317" s="270">
        <f t="shared" si="130"/>
        <v>59640</v>
      </c>
      <c r="I317" s="270">
        <f t="shared" si="130"/>
        <v>60465</v>
      </c>
      <c r="J317" s="270">
        <f t="shared" si="130"/>
        <v>53342</v>
      </c>
      <c r="K317" s="270">
        <f t="shared" si="130"/>
        <v>56733</v>
      </c>
      <c r="L317" s="270">
        <f t="shared" si="130"/>
        <v>59194</v>
      </c>
      <c r="M317" s="270">
        <f t="shared" si="130"/>
        <v>72947</v>
      </c>
      <c r="N317" s="270">
        <f t="shared" si="130"/>
        <v>77643</v>
      </c>
      <c r="O317" s="270">
        <f t="shared" si="130"/>
        <v>77643</v>
      </c>
      <c r="P317" s="270">
        <f t="shared" si="130"/>
        <v>77643</v>
      </c>
      <c r="Q317" s="270">
        <f t="shared" si="130"/>
        <v>77643</v>
      </c>
      <c r="R317" s="270">
        <f t="shared" si="130"/>
        <v>77643</v>
      </c>
      <c r="S317" s="270">
        <f t="shared" si="131"/>
        <v>77643</v>
      </c>
      <c r="T317" s="270">
        <f t="shared" si="131"/>
        <v>77643</v>
      </c>
      <c r="U317" s="270">
        <f t="shared" si="131"/>
        <v>77643</v>
      </c>
      <c r="V317" s="270">
        <f t="shared" si="131"/>
        <v>77643</v>
      </c>
      <c r="W317" s="270">
        <f t="shared" si="131"/>
        <v>77643</v>
      </c>
      <c r="X317" s="270">
        <f t="shared" si="131"/>
        <v>77643</v>
      </c>
      <c r="Y317" s="270">
        <f t="shared" si="131"/>
        <v>77643</v>
      </c>
      <c r="Z317" s="270">
        <f t="shared" si="131"/>
        <v>77643</v>
      </c>
      <c r="AA317" s="270">
        <f t="shared" si="131"/>
        <v>77643</v>
      </c>
      <c r="AB317" s="270">
        <f t="shared" si="131"/>
        <v>77643</v>
      </c>
      <c r="AC317" s="270">
        <f t="shared" si="131"/>
        <v>77643</v>
      </c>
      <c r="AD317" s="270">
        <f t="shared" si="130"/>
        <v>77643</v>
      </c>
      <c r="AE317" s="270">
        <f t="shared" ref="AE317:AE361" si="133">+MIN(MAX(0,$C317-AE$11),AE$12-AE$11)*AE$17
+MIN(MAX(0,$C317-AE$12),AE$13-AE$12)*AE$18
+MIN(MAX(0,$C317-AE$13),AE$14-AE$13)*AE$19
+MIN(MAX(0,$C317-AE$14),AE$15-AE$14)*AE$20
+MAX(0,$C317-AE$15)*AE$21
+AE$26</f>
        <v>77643</v>
      </c>
      <c r="AF317" s="270">
        <f t="shared" si="132"/>
        <v>77643</v>
      </c>
      <c r="AG317" s="270">
        <f t="shared" si="132"/>
        <v>77643</v>
      </c>
      <c r="AH317" s="270">
        <f t="shared" si="132"/>
        <v>77643</v>
      </c>
      <c r="AI317" s="270">
        <f t="shared" si="132"/>
        <v>77643</v>
      </c>
      <c r="AJ317" s="270">
        <f t="shared" si="132"/>
        <v>77643</v>
      </c>
      <c r="AK317" s="270">
        <f t="shared" si="132"/>
        <v>77643</v>
      </c>
      <c r="AL317" s="270">
        <f t="shared" si="132"/>
        <v>77643</v>
      </c>
      <c r="AM317" s="270">
        <f t="shared" si="132"/>
        <v>77643</v>
      </c>
    </row>
    <row r="318" spans="2:39" ht="15.75" thickBot="1" x14ac:dyDescent="0.35">
      <c r="B318" s="56" t="str">
        <f>input_names!$B$3</f>
        <v>benzine</v>
      </c>
      <c r="C318" s="61">
        <v>270</v>
      </c>
      <c r="D318" s="270">
        <f t="shared" si="130"/>
        <v>51599</v>
      </c>
      <c r="E318" s="270">
        <f t="shared" si="130"/>
        <v>58757</v>
      </c>
      <c r="F318" s="270">
        <f t="shared" si="130"/>
        <v>61499</v>
      </c>
      <c r="G318" s="270">
        <f t="shared" si="130"/>
        <v>61715</v>
      </c>
      <c r="H318" s="270">
        <f t="shared" si="130"/>
        <v>60068</v>
      </c>
      <c r="I318" s="270">
        <f t="shared" si="130"/>
        <v>60883</v>
      </c>
      <c r="J318" s="270">
        <f t="shared" si="130"/>
        <v>53774</v>
      </c>
      <c r="K318" s="270">
        <f t="shared" si="130"/>
        <v>57181</v>
      </c>
      <c r="L318" s="270">
        <f t="shared" si="130"/>
        <v>59642</v>
      </c>
      <c r="M318" s="270">
        <f t="shared" si="130"/>
        <v>73496</v>
      </c>
      <c r="N318" s="270">
        <f t="shared" si="130"/>
        <v>78211</v>
      </c>
      <c r="O318" s="270">
        <f t="shared" si="130"/>
        <v>78211</v>
      </c>
      <c r="P318" s="270">
        <f t="shared" si="130"/>
        <v>78211</v>
      </c>
      <c r="Q318" s="270">
        <f t="shared" si="130"/>
        <v>78211</v>
      </c>
      <c r="R318" s="270">
        <f t="shared" si="130"/>
        <v>78211</v>
      </c>
      <c r="S318" s="270">
        <f t="shared" si="131"/>
        <v>78211</v>
      </c>
      <c r="T318" s="270">
        <f t="shared" si="131"/>
        <v>78211</v>
      </c>
      <c r="U318" s="270">
        <f t="shared" si="131"/>
        <v>78211</v>
      </c>
      <c r="V318" s="270">
        <f t="shared" si="131"/>
        <v>78211</v>
      </c>
      <c r="W318" s="270">
        <f t="shared" si="131"/>
        <v>78211</v>
      </c>
      <c r="X318" s="270">
        <f t="shared" si="131"/>
        <v>78211</v>
      </c>
      <c r="Y318" s="270">
        <f t="shared" si="131"/>
        <v>78211</v>
      </c>
      <c r="Z318" s="270">
        <f t="shared" si="131"/>
        <v>78211</v>
      </c>
      <c r="AA318" s="270">
        <f t="shared" si="131"/>
        <v>78211</v>
      </c>
      <c r="AB318" s="270">
        <f t="shared" si="131"/>
        <v>78211</v>
      </c>
      <c r="AC318" s="270">
        <f t="shared" si="131"/>
        <v>78211</v>
      </c>
      <c r="AD318" s="270">
        <f t="shared" si="130"/>
        <v>78211</v>
      </c>
      <c r="AE318" s="270">
        <f t="shared" si="133"/>
        <v>78211</v>
      </c>
      <c r="AF318" s="270">
        <f t="shared" si="132"/>
        <v>78211</v>
      </c>
      <c r="AG318" s="270">
        <f t="shared" si="132"/>
        <v>78211</v>
      </c>
      <c r="AH318" s="270">
        <f t="shared" si="132"/>
        <v>78211</v>
      </c>
      <c r="AI318" s="270">
        <f t="shared" si="132"/>
        <v>78211</v>
      </c>
      <c r="AJ318" s="270">
        <f t="shared" si="132"/>
        <v>78211</v>
      </c>
      <c r="AK318" s="270">
        <f t="shared" si="132"/>
        <v>78211</v>
      </c>
      <c r="AL318" s="270">
        <f t="shared" si="132"/>
        <v>78211</v>
      </c>
      <c r="AM318" s="270">
        <f t="shared" si="132"/>
        <v>78211</v>
      </c>
    </row>
    <row r="319" spans="2:39" ht="15.75" thickBot="1" x14ac:dyDescent="0.35">
      <c r="B319" s="56" t="str">
        <f>input_names!$B$3</f>
        <v>benzine</v>
      </c>
      <c r="C319" s="61">
        <v>271</v>
      </c>
      <c r="D319" s="270">
        <f t="shared" si="130"/>
        <v>52033</v>
      </c>
      <c r="E319" s="270">
        <f t="shared" si="130"/>
        <v>59233</v>
      </c>
      <c r="F319" s="270">
        <f t="shared" si="130"/>
        <v>61971</v>
      </c>
      <c r="G319" s="270">
        <f t="shared" si="130"/>
        <v>62170</v>
      </c>
      <c r="H319" s="270">
        <f t="shared" si="130"/>
        <v>60496</v>
      </c>
      <c r="I319" s="270">
        <f t="shared" si="130"/>
        <v>61301</v>
      </c>
      <c r="J319" s="270">
        <f t="shared" si="130"/>
        <v>54206</v>
      </c>
      <c r="K319" s="270">
        <f t="shared" si="130"/>
        <v>57629</v>
      </c>
      <c r="L319" s="270">
        <f t="shared" si="130"/>
        <v>60090</v>
      </c>
      <c r="M319" s="270">
        <f t="shared" si="130"/>
        <v>74045</v>
      </c>
      <c r="N319" s="270">
        <f t="shared" si="130"/>
        <v>78779</v>
      </c>
      <c r="O319" s="270">
        <f t="shared" si="130"/>
        <v>78779</v>
      </c>
      <c r="P319" s="270">
        <f t="shared" si="130"/>
        <v>78779</v>
      </c>
      <c r="Q319" s="270">
        <f t="shared" si="130"/>
        <v>78779</v>
      </c>
      <c r="R319" s="270">
        <f t="shared" si="130"/>
        <v>78779</v>
      </c>
      <c r="S319" s="270">
        <f t="shared" si="131"/>
        <v>78779</v>
      </c>
      <c r="T319" s="270">
        <f t="shared" si="131"/>
        <v>78779</v>
      </c>
      <c r="U319" s="270">
        <f t="shared" si="131"/>
        <v>78779</v>
      </c>
      <c r="V319" s="270">
        <f t="shared" si="131"/>
        <v>78779</v>
      </c>
      <c r="W319" s="270">
        <f t="shared" si="131"/>
        <v>78779</v>
      </c>
      <c r="X319" s="270">
        <f t="shared" si="131"/>
        <v>78779</v>
      </c>
      <c r="Y319" s="270">
        <f t="shared" si="131"/>
        <v>78779</v>
      </c>
      <c r="Z319" s="270">
        <f t="shared" si="131"/>
        <v>78779</v>
      </c>
      <c r="AA319" s="270">
        <f t="shared" si="131"/>
        <v>78779</v>
      </c>
      <c r="AB319" s="270">
        <f t="shared" si="131"/>
        <v>78779</v>
      </c>
      <c r="AC319" s="270">
        <f t="shared" si="131"/>
        <v>78779</v>
      </c>
      <c r="AD319" s="270">
        <f t="shared" si="130"/>
        <v>78779</v>
      </c>
      <c r="AE319" s="270">
        <f t="shared" si="133"/>
        <v>78779</v>
      </c>
      <c r="AF319" s="270">
        <f t="shared" si="132"/>
        <v>78779</v>
      </c>
      <c r="AG319" s="270">
        <f t="shared" si="132"/>
        <v>78779</v>
      </c>
      <c r="AH319" s="270">
        <f t="shared" si="132"/>
        <v>78779</v>
      </c>
      <c r="AI319" s="270">
        <f t="shared" si="132"/>
        <v>78779</v>
      </c>
      <c r="AJ319" s="270">
        <f t="shared" si="132"/>
        <v>78779</v>
      </c>
      <c r="AK319" s="270">
        <f t="shared" si="132"/>
        <v>78779</v>
      </c>
      <c r="AL319" s="270">
        <f t="shared" si="132"/>
        <v>78779</v>
      </c>
      <c r="AM319" s="270">
        <f t="shared" si="132"/>
        <v>78779</v>
      </c>
    </row>
    <row r="320" spans="2:39" ht="15.75" thickBot="1" x14ac:dyDescent="0.35">
      <c r="B320" s="56" t="str">
        <f>input_names!$B$3</f>
        <v>benzine</v>
      </c>
      <c r="C320" s="61">
        <v>272</v>
      </c>
      <c r="D320" s="270">
        <f t="shared" ref="D320:AD335" si="134">+MIN(MAX(0,$C320-D$11),D$12-D$11)*D$17
+MIN(MAX(0,$C320-D$12),D$13-D$12)*D$18
+MIN(MAX(0,$C320-D$13),D$14-D$13)*D$19
+MIN(MAX(0,$C320-D$14),D$15-D$14)*D$20
+MAX(0,$C320-D$15)*D$21
+D$26</f>
        <v>52467</v>
      </c>
      <c r="E320" s="270">
        <f t="shared" si="134"/>
        <v>59709</v>
      </c>
      <c r="F320" s="270">
        <f t="shared" si="134"/>
        <v>62443</v>
      </c>
      <c r="G320" s="270">
        <f t="shared" si="134"/>
        <v>62625</v>
      </c>
      <c r="H320" s="270">
        <f t="shared" si="134"/>
        <v>60924</v>
      </c>
      <c r="I320" s="270">
        <f t="shared" si="134"/>
        <v>61719</v>
      </c>
      <c r="J320" s="270">
        <f t="shared" si="134"/>
        <v>54638</v>
      </c>
      <c r="K320" s="270">
        <f t="shared" si="134"/>
        <v>58077</v>
      </c>
      <c r="L320" s="270">
        <f t="shared" si="134"/>
        <v>60538</v>
      </c>
      <c r="M320" s="270">
        <f t="shared" si="134"/>
        <v>74594</v>
      </c>
      <c r="N320" s="270">
        <f t="shared" si="134"/>
        <v>79347</v>
      </c>
      <c r="O320" s="270">
        <f t="shared" si="134"/>
        <v>79347</v>
      </c>
      <c r="P320" s="270">
        <f t="shared" si="134"/>
        <v>79347</v>
      </c>
      <c r="Q320" s="270">
        <f t="shared" si="134"/>
        <v>79347</v>
      </c>
      <c r="R320" s="270">
        <f t="shared" si="134"/>
        <v>79347</v>
      </c>
      <c r="S320" s="270">
        <f t="shared" si="131"/>
        <v>79347</v>
      </c>
      <c r="T320" s="270">
        <f t="shared" si="131"/>
        <v>79347</v>
      </c>
      <c r="U320" s="270">
        <f t="shared" si="131"/>
        <v>79347</v>
      </c>
      <c r="V320" s="270">
        <f t="shared" si="131"/>
        <v>79347</v>
      </c>
      <c r="W320" s="270">
        <f t="shared" si="131"/>
        <v>79347</v>
      </c>
      <c r="X320" s="270">
        <f t="shared" si="131"/>
        <v>79347</v>
      </c>
      <c r="Y320" s="270">
        <f t="shared" si="131"/>
        <v>79347</v>
      </c>
      <c r="Z320" s="270">
        <f t="shared" si="131"/>
        <v>79347</v>
      </c>
      <c r="AA320" s="270">
        <f t="shared" si="131"/>
        <v>79347</v>
      </c>
      <c r="AB320" s="270">
        <f t="shared" si="131"/>
        <v>79347</v>
      </c>
      <c r="AC320" s="270">
        <f t="shared" si="131"/>
        <v>79347</v>
      </c>
      <c r="AD320" s="270">
        <f t="shared" si="134"/>
        <v>79347</v>
      </c>
      <c r="AE320" s="270">
        <f t="shared" si="133"/>
        <v>79347</v>
      </c>
      <c r="AF320" s="270">
        <f t="shared" si="132"/>
        <v>79347</v>
      </c>
      <c r="AG320" s="270">
        <f t="shared" si="132"/>
        <v>79347</v>
      </c>
      <c r="AH320" s="270">
        <f t="shared" si="132"/>
        <v>79347</v>
      </c>
      <c r="AI320" s="270">
        <f t="shared" si="132"/>
        <v>79347</v>
      </c>
      <c r="AJ320" s="270">
        <f t="shared" si="132"/>
        <v>79347</v>
      </c>
      <c r="AK320" s="270">
        <f t="shared" si="132"/>
        <v>79347</v>
      </c>
      <c r="AL320" s="270">
        <f t="shared" si="132"/>
        <v>79347</v>
      </c>
      <c r="AM320" s="270">
        <f t="shared" si="132"/>
        <v>79347</v>
      </c>
    </row>
    <row r="321" spans="2:39" ht="15.75" thickBot="1" x14ac:dyDescent="0.35">
      <c r="B321" s="56" t="str">
        <f>input_names!$B$3</f>
        <v>benzine</v>
      </c>
      <c r="C321" s="61">
        <v>273</v>
      </c>
      <c r="D321" s="270">
        <f t="shared" si="134"/>
        <v>52901</v>
      </c>
      <c r="E321" s="270">
        <f t="shared" si="134"/>
        <v>60185</v>
      </c>
      <c r="F321" s="270">
        <f t="shared" si="134"/>
        <v>62915</v>
      </c>
      <c r="G321" s="270">
        <f t="shared" si="134"/>
        <v>63080</v>
      </c>
      <c r="H321" s="270">
        <f t="shared" si="134"/>
        <v>61352</v>
      </c>
      <c r="I321" s="270">
        <f t="shared" si="134"/>
        <v>62137</v>
      </c>
      <c r="J321" s="270">
        <f t="shared" si="134"/>
        <v>55070</v>
      </c>
      <c r="K321" s="270">
        <f t="shared" si="134"/>
        <v>58525</v>
      </c>
      <c r="L321" s="270">
        <f t="shared" si="134"/>
        <v>60986</v>
      </c>
      <c r="M321" s="270">
        <f t="shared" si="134"/>
        <v>75143</v>
      </c>
      <c r="N321" s="270">
        <f t="shared" si="134"/>
        <v>79915</v>
      </c>
      <c r="O321" s="270">
        <f t="shared" si="134"/>
        <v>79915</v>
      </c>
      <c r="P321" s="270">
        <f t="shared" si="134"/>
        <v>79915</v>
      </c>
      <c r="Q321" s="270">
        <f t="shared" si="134"/>
        <v>79915</v>
      </c>
      <c r="R321" s="270">
        <f t="shared" si="134"/>
        <v>79915</v>
      </c>
      <c r="S321" s="270">
        <f t="shared" si="131"/>
        <v>79915</v>
      </c>
      <c r="T321" s="270">
        <f t="shared" si="131"/>
        <v>79915</v>
      </c>
      <c r="U321" s="270">
        <f t="shared" si="131"/>
        <v>79915</v>
      </c>
      <c r="V321" s="270">
        <f t="shared" si="131"/>
        <v>79915</v>
      </c>
      <c r="W321" s="270">
        <f t="shared" si="131"/>
        <v>79915</v>
      </c>
      <c r="X321" s="270">
        <f t="shared" si="131"/>
        <v>79915</v>
      </c>
      <c r="Y321" s="270">
        <f t="shared" si="131"/>
        <v>79915</v>
      </c>
      <c r="Z321" s="270">
        <f t="shared" si="131"/>
        <v>79915</v>
      </c>
      <c r="AA321" s="270">
        <f t="shared" si="131"/>
        <v>79915</v>
      </c>
      <c r="AB321" s="270">
        <f t="shared" si="131"/>
        <v>79915</v>
      </c>
      <c r="AC321" s="270">
        <f t="shared" si="131"/>
        <v>79915</v>
      </c>
      <c r="AD321" s="270">
        <f t="shared" si="134"/>
        <v>79915</v>
      </c>
      <c r="AE321" s="270">
        <f t="shared" si="133"/>
        <v>79915</v>
      </c>
      <c r="AF321" s="270">
        <f t="shared" si="132"/>
        <v>79915</v>
      </c>
      <c r="AG321" s="270">
        <f t="shared" si="132"/>
        <v>79915</v>
      </c>
      <c r="AH321" s="270">
        <f t="shared" si="132"/>
        <v>79915</v>
      </c>
      <c r="AI321" s="270">
        <f t="shared" si="132"/>
        <v>79915</v>
      </c>
      <c r="AJ321" s="270">
        <f t="shared" si="132"/>
        <v>79915</v>
      </c>
      <c r="AK321" s="270">
        <f t="shared" si="132"/>
        <v>79915</v>
      </c>
      <c r="AL321" s="270">
        <f t="shared" si="132"/>
        <v>79915</v>
      </c>
      <c r="AM321" s="270">
        <f t="shared" si="132"/>
        <v>79915</v>
      </c>
    </row>
    <row r="322" spans="2:39" ht="15.75" thickBot="1" x14ac:dyDescent="0.35">
      <c r="B322" s="56" t="str">
        <f>input_names!$B$3</f>
        <v>benzine</v>
      </c>
      <c r="C322" s="61">
        <v>274</v>
      </c>
      <c r="D322" s="270">
        <f t="shared" si="134"/>
        <v>53335</v>
      </c>
      <c r="E322" s="270">
        <f t="shared" si="134"/>
        <v>60661</v>
      </c>
      <c r="F322" s="270">
        <f t="shared" si="134"/>
        <v>63387</v>
      </c>
      <c r="G322" s="270">
        <f t="shared" si="134"/>
        <v>63535</v>
      </c>
      <c r="H322" s="270">
        <f t="shared" si="134"/>
        <v>61780</v>
      </c>
      <c r="I322" s="270">
        <f t="shared" si="134"/>
        <v>62555</v>
      </c>
      <c r="J322" s="270">
        <f t="shared" si="134"/>
        <v>55502</v>
      </c>
      <c r="K322" s="270">
        <f t="shared" si="134"/>
        <v>58973</v>
      </c>
      <c r="L322" s="270">
        <f t="shared" si="134"/>
        <v>61434</v>
      </c>
      <c r="M322" s="270">
        <f t="shared" si="134"/>
        <v>75692</v>
      </c>
      <c r="N322" s="270">
        <f t="shared" si="134"/>
        <v>80483</v>
      </c>
      <c r="O322" s="270">
        <f t="shared" si="134"/>
        <v>80483</v>
      </c>
      <c r="P322" s="270">
        <f t="shared" si="134"/>
        <v>80483</v>
      </c>
      <c r="Q322" s="270">
        <f t="shared" si="134"/>
        <v>80483</v>
      </c>
      <c r="R322" s="270">
        <f t="shared" si="134"/>
        <v>80483</v>
      </c>
      <c r="S322" s="270">
        <f t="shared" si="131"/>
        <v>80483</v>
      </c>
      <c r="T322" s="270">
        <f t="shared" si="131"/>
        <v>80483</v>
      </c>
      <c r="U322" s="270">
        <f t="shared" si="131"/>
        <v>80483</v>
      </c>
      <c r="V322" s="270">
        <f t="shared" si="131"/>
        <v>80483</v>
      </c>
      <c r="W322" s="270">
        <f t="shared" si="131"/>
        <v>80483</v>
      </c>
      <c r="X322" s="270">
        <f t="shared" si="131"/>
        <v>80483</v>
      </c>
      <c r="Y322" s="270">
        <f t="shared" si="131"/>
        <v>80483</v>
      </c>
      <c r="Z322" s="270">
        <f t="shared" si="131"/>
        <v>80483</v>
      </c>
      <c r="AA322" s="270">
        <f t="shared" si="131"/>
        <v>80483</v>
      </c>
      <c r="AB322" s="270">
        <f t="shared" si="131"/>
        <v>80483</v>
      </c>
      <c r="AC322" s="270">
        <f t="shared" si="131"/>
        <v>80483</v>
      </c>
      <c r="AD322" s="270">
        <f t="shared" si="134"/>
        <v>80483</v>
      </c>
      <c r="AE322" s="270">
        <f t="shared" si="133"/>
        <v>80483</v>
      </c>
      <c r="AF322" s="270">
        <f t="shared" si="132"/>
        <v>80483</v>
      </c>
      <c r="AG322" s="270">
        <f t="shared" si="132"/>
        <v>80483</v>
      </c>
      <c r="AH322" s="270">
        <f t="shared" si="132"/>
        <v>80483</v>
      </c>
      <c r="AI322" s="270">
        <f t="shared" si="132"/>
        <v>80483</v>
      </c>
      <c r="AJ322" s="270">
        <f t="shared" si="132"/>
        <v>80483</v>
      </c>
      <c r="AK322" s="270">
        <f t="shared" si="132"/>
        <v>80483</v>
      </c>
      <c r="AL322" s="270">
        <f t="shared" si="132"/>
        <v>80483</v>
      </c>
      <c r="AM322" s="270">
        <f t="shared" si="132"/>
        <v>80483</v>
      </c>
    </row>
    <row r="323" spans="2:39" ht="15.75" thickBot="1" x14ac:dyDescent="0.35">
      <c r="B323" s="56" t="str">
        <f>input_names!$B$3</f>
        <v>benzine</v>
      </c>
      <c r="C323" s="61">
        <v>275</v>
      </c>
      <c r="D323" s="270">
        <f t="shared" si="134"/>
        <v>53769</v>
      </c>
      <c r="E323" s="270">
        <f t="shared" si="134"/>
        <v>61137</v>
      </c>
      <c r="F323" s="270">
        <f t="shared" si="134"/>
        <v>63859</v>
      </c>
      <c r="G323" s="270">
        <f t="shared" si="134"/>
        <v>63990</v>
      </c>
      <c r="H323" s="270">
        <f t="shared" si="134"/>
        <v>62208</v>
      </c>
      <c r="I323" s="270">
        <f t="shared" si="134"/>
        <v>62973</v>
      </c>
      <c r="J323" s="270">
        <f t="shared" si="134"/>
        <v>55934</v>
      </c>
      <c r="K323" s="270">
        <f t="shared" si="134"/>
        <v>59421</v>
      </c>
      <c r="L323" s="270">
        <f t="shared" si="134"/>
        <v>61882</v>
      </c>
      <c r="M323" s="270">
        <f t="shared" si="134"/>
        <v>76241</v>
      </c>
      <c r="N323" s="270">
        <f t="shared" si="134"/>
        <v>81051</v>
      </c>
      <c r="O323" s="270">
        <f t="shared" si="134"/>
        <v>81051</v>
      </c>
      <c r="P323" s="270">
        <f t="shared" si="134"/>
        <v>81051</v>
      </c>
      <c r="Q323" s="270">
        <f t="shared" si="134"/>
        <v>81051</v>
      </c>
      <c r="R323" s="270">
        <f t="shared" si="134"/>
        <v>81051</v>
      </c>
      <c r="S323" s="270">
        <f t="shared" si="131"/>
        <v>81051</v>
      </c>
      <c r="T323" s="270">
        <f t="shared" si="131"/>
        <v>81051</v>
      </c>
      <c r="U323" s="270">
        <f t="shared" si="131"/>
        <v>81051</v>
      </c>
      <c r="V323" s="270">
        <f t="shared" si="131"/>
        <v>81051</v>
      </c>
      <c r="W323" s="270">
        <f t="shared" si="131"/>
        <v>81051</v>
      </c>
      <c r="X323" s="270">
        <f t="shared" si="131"/>
        <v>81051</v>
      </c>
      <c r="Y323" s="270">
        <f t="shared" si="131"/>
        <v>81051</v>
      </c>
      <c r="Z323" s="270">
        <f t="shared" si="131"/>
        <v>81051</v>
      </c>
      <c r="AA323" s="270">
        <f t="shared" si="131"/>
        <v>81051</v>
      </c>
      <c r="AB323" s="270">
        <f t="shared" si="131"/>
        <v>81051</v>
      </c>
      <c r="AC323" s="270">
        <f t="shared" si="131"/>
        <v>81051</v>
      </c>
      <c r="AD323" s="270">
        <f t="shared" si="134"/>
        <v>81051</v>
      </c>
      <c r="AE323" s="270">
        <f t="shared" si="133"/>
        <v>81051</v>
      </c>
      <c r="AF323" s="270">
        <f t="shared" si="132"/>
        <v>81051</v>
      </c>
      <c r="AG323" s="270">
        <f t="shared" si="132"/>
        <v>81051</v>
      </c>
      <c r="AH323" s="270">
        <f t="shared" si="132"/>
        <v>81051</v>
      </c>
      <c r="AI323" s="270">
        <f t="shared" si="132"/>
        <v>81051</v>
      </c>
      <c r="AJ323" s="270">
        <f t="shared" si="132"/>
        <v>81051</v>
      </c>
      <c r="AK323" s="270">
        <f t="shared" si="132"/>
        <v>81051</v>
      </c>
      <c r="AL323" s="270">
        <f t="shared" si="132"/>
        <v>81051</v>
      </c>
      <c r="AM323" s="270">
        <f t="shared" si="132"/>
        <v>81051</v>
      </c>
    </row>
    <row r="324" spans="2:39" ht="15.75" thickBot="1" x14ac:dyDescent="0.35">
      <c r="B324" s="56" t="str">
        <f>input_names!$B$3</f>
        <v>benzine</v>
      </c>
      <c r="C324" s="61">
        <v>276</v>
      </c>
      <c r="D324" s="270">
        <f t="shared" si="134"/>
        <v>54203</v>
      </c>
      <c r="E324" s="270">
        <f t="shared" si="134"/>
        <v>61613</v>
      </c>
      <c r="F324" s="270">
        <f t="shared" si="134"/>
        <v>64331</v>
      </c>
      <c r="G324" s="270">
        <f t="shared" si="134"/>
        <v>64445</v>
      </c>
      <c r="H324" s="270">
        <f t="shared" si="134"/>
        <v>62636</v>
      </c>
      <c r="I324" s="270">
        <f t="shared" si="134"/>
        <v>63391</v>
      </c>
      <c r="J324" s="270">
        <f t="shared" si="134"/>
        <v>56366</v>
      </c>
      <c r="K324" s="270">
        <f t="shared" si="134"/>
        <v>59869</v>
      </c>
      <c r="L324" s="270">
        <f t="shared" si="134"/>
        <v>62330</v>
      </c>
      <c r="M324" s="270">
        <f t="shared" si="134"/>
        <v>76790</v>
      </c>
      <c r="N324" s="270">
        <f t="shared" si="134"/>
        <v>81619</v>
      </c>
      <c r="O324" s="270">
        <f t="shared" si="134"/>
        <v>81619</v>
      </c>
      <c r="P324" s="270">
        <f t="shared" si="134"/>
        <v>81619</v>
      </c>
      <c r="Q324" s="270">
        <f t="shared" si="134"/>
        <v>81619</v>
      </c>
      <c r="R324" s="270">
        <f t="shared" si="134"/>
        <v>81619</v>
      </c>
      <c r="S324" s="270">
        <f t="shared" si="131"/>
        <v>81619</v>
      </c>
      <c r="T324" s="270">
        <f t="shared" si="131"/>
        <v>81619</v>
      </c>
      <c r="U324" s="270">
        <f t="shared" si="131"/>
        <v>81619</v>
      </c>
      <c r="V324" s="270">
        <f t="shared" si="131"/>
        <v>81619</v>
      </c>
      <c r="W324" s="270">
        <f t="shared" si="131"/>
        <v>81619</v>
      </c>
      <c r="X324" s="270">
        <f t="shared" si="131"/>
        <v>81619</v>
      </c>
      <c r="Y324" s="270">
        <f t="shared" si="131"/>
        <v>81619</v>
      </c>
      <c r="Z324" s="270">
        <f t="shared" si="131"/>
        <v>81619</v>
      </c>
      <c r="AA324" s="270">
        <f t="shared" si="131"/>
        <v>81619</v>
      </c>
      <c r="AB324" s="270">
        <f t="shared" si="131"/>
        <v>81619</v>
      </c>
      <c r="AC324" s="270">
        <f t="shared" si="131"/>
        <v>81619</v>
      </c>
      <c r="AD324" s="270">
        <f t="shared" si="134"/>
        <v>81619</v>
      </c>
      <c r="AE324" s="270">
        <f t="shared" si="133"/>
        <v>81619</v>
      </c>
      <c r="AF324" s="270">
        <f t="shared" si="132"/>
        <v>81619</v>
      </c>
      <c r="AG324" s="270">
        <f t="shared" si="132"/>
        <v>81619</v>
      </c>
      <c r="AH324" s="270">
        <f t="shared" si="132"/>
        <v>81619</v>
      </c>
      <c r="AI324" s="270">
        <f t="shared" si="132"/>
        <v>81619</v>
      </c>
      <c r="AJ324" s="270">
        <f t="shared" si="132"/>
        <v>81619</v>
      </c>
      <c r="AK324" s="270">
        <f t="shared" si="132"/>
        <v>81619</v>
      </c>
      <c r="AL324" s="270">
        <f t="shared" si="132"/>
        <v>81619</v>
      </c>
      <c r="AM324" s="270">
        <f t="shared" si="132"/>
        <v>81619</v>
      </c>
    </row>
    <row r="325" spans="2:39" ht="15.75" thickBot="1" x14ac:dyDescent="0.35">
      <c r="B325" s="56" t="str">
        <f>input_names!$B$3</f>
        <v>benzine</v>
      </c>
      <c r="C325" s="61">
        <v>277</v>
      </c>
      <c r="D325" s="270">
        <f t="shared" si="134"/>
        <v>54637</v>
      </c>
      <c r="E325" s="270">
        <f t="shared" si="134"/>
        <v>62089</v>
      </c>
      <c r="F325" s="270">
        <f t="shared" si="134"/>
        <v>64803</v>
      </c>
      <c r="G325" s="270">
        <f t="shared" si="134"/>
        <v>64900</v>
      </c>
      <c r="H325" s="270">
        <f t="shared" si="134"/>
        <v>63064</v>
      </c>
      <c r="I325" s="270">
        <f t="shared" si="134"/>
        <v>63809</v>
      </c>
      <c r="J325" s="270">
        <f t="shared" si="134"/>
        <v>56798</v>
      </c>
      <c r="K325" s="270">
        <f t="shared" si="134"/>
        <v>60317</v>
      </c>
      <c r="L325" s="270">
        <f t="shared" si="134"/>
        <v>62778</v>
      </c>
      <c r="M325" s="270">
        <f t="shared" si="134"/>
        <v>77339</v>
      </c>
      <c r="N325" s="270">
        <f t="shared" si="134"/>
        <v>82187</v>
      </c>
      <c r="O325" s="270">
        <f t="shared" si="134"/>
        <v>82187</v>
      </c>
      <c r="P325" s="270">
        <f t="shared" si="134"/>
        <v>82187</v>
      </c>
      <c r="Q325" s="270">
        <f t="shared" si="134"/>
        <v>82187</v>
      </c>
      <c r="R325" s="270">
        <f t="shared" si="134"/>
        <v>82187</v>
      </c>
      <c r="S325" s="270">
        <f t="shared" si="131"/>
        <v>82187</v>
      </c>
      <c r="T325" s="270">
        <f t="shared" si="131"/>
        <v>82187</v>
      </c>
      <c r="U325" s="270">
        <f t="shared" si="131"/>
        <v>82187</v>
      </c>
      <c r="V325" s="270">
        <f t="shared" si="131"/>
        <v>82187</v>
      </c>
      <c r="W325" s="270">
        <f t="shared" si="131"/>
        <v>82187</v>
      </c>
      <c r="X325" s="270">
        <f t="shared" si="131"/>
        <v>82187</v>
      </c>
      <c r="Y325" s="270">
        <f t="shared" si="131"/>
        <v>82187</v>
      </c>
      <c r="Z325" s="270">
        <f t="shared" si="131"/>
        <v>82187</v>
      </c>
      <c r="AA325" s="270">
        <f t="shared" si="131"/>
        <v>82187</v>
      </c>
      <c r="AB325" s="270">
        <f t="shared" si="131"/>
        <v>82187</v>
      </c>
      <c r="AC325" s="270">
        <f t="shared" si="131"/>
        <v>82187</v>
      </c>
      <c r="AD325" s="270">
        <f t="shared" si="134"/>
        <v>82187</v>
      </c>
      <c r="AE325" s="270">
        <f t="shared" si="133"/>
        <v>82187</v>
      </c>
      <c r="AF325" s="270">
        <f t="shared" si="132"/>
        <v>82187</v>
      </c>
      <c r="AG325" s="270">
        <f t="shared" si="132"/>
        <v>82187</v>
      </c>
      <c r="AH325" s="270">
        <f t="shared" si="132"/>
        <v>82187</v>
      </c>
      <c r="AI325" s="270">
        <f t="shared" si="132"/>
        <v>82187</v>
      </c>
      <c r="AJ325" s="270">
        <f t="shared" si="132"/>
        <v>82187</v>
      </c>
      <c r="AK325" s="270">
        <f t="shared" si="132"/>
        <v>82187</v>
      </c>
      <c r="AL325" s="270">
        <f t="shared" si="132"/>
        <v>82187</v>
      </c>
      <c r="AM325" s="270">
        <f t="shared" si="132"/>
        <v>82187</v>
      </c>
    </row>
    <row r="326" spans="2:39" ht="15.75" thickBot="1" x14ac:dyDescent="0.35">
      <c r="B326" s="56" t="str">
        <f>input_names!$B$3</f>
        <v>benzine</v>
      </c>
      <c r="C326" s="61">
        <v>278</v>
      </c>
      <c r="D326" s="270">
        <f t="shared" si="134"/>
        <v>55071</v>
      </c>
      <c r="E326" s="270">
        <f t="shared" si="134"/>
        <v>62565</v>
      </c>
      <c r="F326" s="270">
        <f t="shared" si="134"/>
        <v>65275</v>
      </c>
      <c r="G326" s="270">
        <f t="shared" si="134"/>
        <v>65355</v>
      </c>
      <c r="H326" s="270">
        <f t="shared" si="134"/>
        <v>63492</v>
      </c>
      <c r="I326" s="270">
        <f t="shared" si="134"/>
        <v>64227</v>
      </c>
      <c r="J326" s="270">
        <f t="shared" si="134"/>
        <v>57230</v>
      </c>
      <c r="K326" s="270">
        <f t="shared" si="134"/>
        <v>60765</v>
      </c>
      <c r="L326" s="270">
        <f t="shared" si="134"/>
        <v>63226</v>
      </c>
      <c r="M326" s="270">
        <f t="shared" si="134"/>
        <v>77888</v>
      </c>
      <c r="N326" s="270">
        <f t="shared" si="134"/>
        <v>82755</v>
      </c>
      <c r="O326" s="270">
        <f t="shared" si="134"/>
        <v>82755</v>
      </c>
      <c r="P326" s="270">
        <f t="shared" si="134"/>
        <v>82755</v>
      </c>
      <c r="Q326" s="270">
        <f t="shared" si="134"/>
        <v>82755</v>
      </c>
      <c r="R326" s="270">
        <f t="shared" si="134"/>
        <v>82755</v>
      </c>
      <c r="S326" s="270">
        <f t="shared" si="131"/>
        <v>82755</v>
      </c>
      <c r="T326" s="270">
        <f t="shared" si="131"/>
        <v>82755</v>
      </c>
      <c r="U326" s="270">
        <f t="shared" si="131"/>
        <v>82755</v>
      </c>
      <c r="V326" s="270">
        <f t="shared" si="131"/>
        <v>82755</v>
      </c>
      <c r="W326" s="270">
        <f t="shared" si="131"/>
        <v>82755</v>
      </c>
      <c r="X326" s="270">
        <f t="shared" si="131"/>
        <v>82755</v>
      </c>
      <c r="Y326" s="270">
        <f t="shared" si="131"/>
        <v>82755</v>
      </c>
      <c r="Z326" s="270">
        <f t="shared" si="131"/>
        <v>82755</v>
      </c>
      <c r="AA326" s="270">
        <f t="shared" si="131"/>
        <v>82755</v>
      </c>
      <c r="AB326" s="270">
        <f t="shared" si="131"/>
        <v>82755</v>
      </c>
      <c r="AC326" s="270">
        <f t="shared" si="131"/>
        <v>82755</v>
      </c>
      <c r="AD326" s="270">
        <f t="shared" si="134"/>
        <v>82755</v>
      </c>
      <c r="AE326" s="270">
        <f t="shared" si="133"/>
        <v>82755</v>
      </c>
      <c r="AF326" s="270">
        <f t="shared" si="132"/>
        <v>82755</v>
      </c>
      <c r="AG326" s="270">
        <f t="shared" si="132"/>
        <v>82755</v>
      </c>
      <c r="AH326" s="270">
        <f t="shared" si="132"/>
        <v>82755</v>
      </c>
      <c r="AI326" s="270">
        <f t="shared" si="132"/>
        <v>82755</v>
      </c>
      <c r="AJ326" s="270">
        <f t="shared" si="132"/>
        <v>82755</v>
      </c>
      <c r="AK326" s="270">
        <f t="shared" si="132"/>
        <v>82755</v>
      </c>
      <c r="AL326" s="270">
        <f t="shared" si="132"/>
        <v>82755</v>
      </c>
      <c r="AM326" s="270">
        <f t="shared" si="132"/>
        <v>82755</v>
      </c>
    </row>
    <row r="327" spans="2:39" ht="15.75" thickBot="1" x14ac:dyDescent="0.35">
      <c r="B327" s="56" t="str">
        <f>input_names!$B$3</f>
        <v>benzine</v>
      </c>
      <c r="C327" s="61">
        <v>279</v>
      </c>
      <c r="D327" s="270">
        <f t="shared" si="134"/>
        <v>55505</v>
      </c>
      <c r="E327" s="270">
        <f t="shared" si="134"/>
        <v>63041</v>
      </c>
      <c r="F327" s="270">
        <f t="shared" si="134"/>
        <v>65747</v>
      </c>
      <c r="G327" s="270">
        <f t="shared" si="134"/>
        <v>65810</v>
      </c>
      <c r="H327" s="270">
        <f t="shared" si="134"/>
        <v>63920</v>
      </c>
      <c r="I327" s="270">
        <f t="shared" si="134"/>
        <v>64645</v>
      </c>
      <c r="J327" s="270">
        <f t="shared" si="134"/>
        <v>57662</v>
      </c>
      <c r="K327" s="270">
        <f t="shared" si="134"/>
        <v>61213</v>
      </c>
      <c r="L327" s="270">
        <f t="shared" si="134"/>
        <v>63674</v>
      </c>
      <c r="M327" s="270">
        <f t="shared" si="134"/>
        <v>78437</v>
      </c>
      <c r="N327" s="270">
        <f t="shared" si="134"/>
        <v>83323</v>
      </c>
      <c r="O327" s="270">
        <f t="shared" si="134"/>
        <v>83323</v>
      </c>
      <c r="P327" s="270">
        <f t="shared" si="134"/>
        <v>83323</v>
      </c>
      <c r="Q327" s="270">
        <f t="shared" si="134"/>
        <v>83323</v>
      </c>
      <c r="R327" s="270">
        <f t="shared" si="134"/>
        <v>83323</v>
      </c>
      <c r="S327" s="270">
        <f t="shared" si="131"/>
        <v>83323</v>
      </c>
      <c r="T327" s="270">
        <f t="shared" si="131"/>
        <v>83323</v>
      </c>
      <c r="U327" s="270">
        <f t="shared" si="131"/>
        <v>83323</v>
      </c>
      <c r="V327" s="270">
        <f t="shared" si="131"/>
        <v>83323</v>
      </c>
      <c r="W327" s="270">
        <f t="shared" si="131"/>
        <v>83323</v>
      </c>
      <c r="X327" s="270">
        <f t="shared" si="131"/>
        <v>83323</v>
      </c>
      <c r="Y327" s="270">
        <f t="shared" si="131"/>
        <v>83323</v>
      </c>
      <c r="Z327" s="270">
        <f t="shared" si="131"/>
        <v>83323</v>
      </c>
      <c r="AA327" s="270">
        <f t="shared" si="131"/>
        <v>83323</v>
      </c>
      <c r="AB327" s="270">
        <f t="shared" si="131"/>
        <v>83323</v>
      </c>
      <c r="AC327" s="270">
        <f t="shared" si="131"/>
        <v>83323</v>
      </c>
      <c r="AD327" s="270">
        <f t="shared" si="134"/>
        <v>83323</v>
      </c>
      <c r="AE327" s="270">
        <f t="shared" si="133"/>
        <v>83323</v>
      </c>
      <c r="AF327" s="270">
        <f t="shared" si="132"/>
        <v>83323</v>
      </c>
      <c r="AG327" s="270">
        <f t="shared" si="132"/>
        <v>83323</v>
      </c>
      <c r="AH327" s="270">
        <f t="shared" si="132"/>
        <v>83323</v>
      </c>
      <c r="AI327" s="270">
        <f t="shared" si="132"/>
        <v>83323</v>
      </c>
      <c r="AJ327" s="270">
        <f t="shared" si="132"/>
        <v>83323</v>
      </c>
      <c r="AK327" s="270">
        <f t="shared" si="132"/>
        <v>83323</v>
      </c>
      <c r="AL327" s="270">
        <f t="shared" si="132"/>
        <v>83323</v>
      </c>
      <c r="AM327" s="270">
        <f t="shared" si="132"/>
        <v>83323</v>
      </c>
    </row>
    <row r="328" spans="2:39" ht="15.75" thickBot="1" x14ac:dyDescent="0.35">
      <c r="B328" s="56" t="str">
        <f>input_names!$B$3</f>
        <v>benzine</v>
      </c>
      <c r="C328" s="61">
        <v>280</v>
      </c>
      <c r="D328" s="270">
        <f t="shared" si="134"/>
        <v>55939</v>
      </c>
      <c r="E328" s="270">
        <f t="shared" si="134"/>
        <v>63517</v>
      </c>
      <c r="F328" s="270">
        <f t="shared" si="134"/>
        <v>66219</v>
      </c>
      <c r="G328" s="270">
        <f t="shared" si="134"/>
        <v>66265</v>
      </c>
      <c r="H328" s="270">
        <f t="shared" si="134"/>
        <v>64348</v>
      </c>
      <c r="I328" s="270">
        <f t="shared" si="134"/>
        <v>65063</v>
      </c>
      <c r="J328" s="270">
        <f t="shared" si="134"/>
        <v>58094</v>
      </c>
      <c r="K328" s="270">
        <f t="shared" si="134"/>
        <v>61661</v>
      </c>
      <c r="L328" s="270">
        <f t="shared" si="134"/>
        <v>64122</v>
      </c>
      <c r="M328" s="270">
        <f t="shared" si="134"/>
        <v>78986</v>
      </c>
      <c r="N328" s="270">
        <f t="shared" si="134"/>
        <v>83891</v>
      </c>
      <c r="O328" s="270">
        <f t="shared" si="134"/>
        <v>83891</v>
      </c>
      <c r="P328" s="270">
        <f t="shared" si="134"/>
        <v>83891</v>
      </c>
      <c r="Q328" s="270">
        <f t="shared" si="134"/>
        <v>83891</v>
      </c>
      <c r="R328" s="270">
        <f t="shared" si="134"/>
        <v>83891</v>
      </c>
      <c r="S328" s="270">
        <f t="shared" si="131"/>
        <v>83891</v>
      </c>
      <c r="T328" s="270">
        <f t="shared" si="131"/>
        <v>83891</v>
      </c>
      <c r="U328" s="270">
        <f t="shared" si="131"/>
        <v>83891</v>
      </c>
      <c r="V328" s="270">
        <f t="shared" si="131"/>
        <v>83891</v>
      </c>
      <c r="W328" s="270">
        <f t="shared" si="131"/>
        <v>83891</v>
      </c>
      <c r="X328" s="270">
        <f t="shared" si="131"/>
        <v>83891</v>
      </c>
      <c r="Y328" s="270">
        <f t="shared" si="131"/>
        <v>83891</v>
      </c>
      <c r="Z328" s="270">
        <f t="shared" si="131"/>
        <v>83891</v>
      </c>
      <c r="AA328" s="270">
        <f t="shared" si="131"/>
        <v>83891</v>
      </c>
      <c r="AB328" s="270">
        <f t="shared" si="131"/>
        <v>83891</v>
      </c>
      <c r="AC328" s="270">
        <f t="shared" si="131"/>
        <v>83891</v>
      </c>
      <c r="AD328" s="270">
        <f t="shared" si="134"/>
        <v>83891</v>
      </c>
      <c r="AE328" s="270">
        <f t="shared" si="133"/>
        <v>83891</v>
      </c>
      <c r="AF328" s="270">
        <f t="shared" si="132"/>
        <v>83891</v>
      </c>
      <c r="AG328" s="270">
        <f t="shared" si="132"/>
        <v>83891</v>
      </c>
      <c r="AH328" s="270">
        <f t="shared" si="132"/>
        <v>83891</v>
      </c>
      <c r="AI328" s="270">
        <f t="shared" si="132"/>
        <v>83891</v>
      </c>
      <c r="AJ328" s="270">
        <f t="shared" si="132"/>
        <v>83891</v>
      </c>
      <c r="AK328" s="270">
        <f t="shared" si="132"/>
        <v>83891</v>
      </c>
      <c r="AL328" s="270">
        <f t="shared" si="132"/>
        <v>83891</v>
      </c>
      <c r="AM328" s="270">
        <f t="shared" si="132"/>
        <v>83891</v>
      </c>
    </row>
    <row r="329" spans="2:39" ht="15.75" thickBot="1" x14ac:dyDescent="0.35">
      <c r="B329" s="56" t="str">
        <f>input_names!$B$3</f>
        <v>benzine</v>
      </c>
      <c r="C329" s="61">
        <v>281</v>
      </c>
      <c r="D329" s="270">
        <f t="shared" si="134"/>
        <v>56373</v>
      </c>
      <c r="E329" s="270">
        <f t="shared" si="134"/>
        <v>63993</v>
      </c>
      <c r="F329" s="270">
        <f t="shared" si="134"/>
        <v>66691</v>
      </c>
      <c r="G329" s="270">
        <f t="shared" si="134"/>
        <v>66720</v>
      </c>
      <c r="H329" s="270">
        <f t="shared" si="134"/>
        <v>64776</v>
      </c>
      <c r="I329" s="270">
        <f t="shared" si="134"/>
        <v>65481</v>
      </c>
      <c r="J329" s="270">
        <f t="shared" si="134"/>
        <v>58526</v>
      </c>
      <c r="K329" s="270">
        <f t="shared" si="134"/>
        <v>62109</v>
      </c>
      <c r="L329" s="270">
        <f t="shared" si="134"/>
        <v>64570</v>
      </c>
      <c r="M329" s="270">
        <f t="shared" si="134"/>
        <v>79535</v>
      </c>
      <c r="N329" s="270">
        <f t="shared" si="134"/>
        <v>84459</v>
      </c>
      <c r="O329" s="270">
        <f t="shared" si="134"/>
        <v>84459</v>
      </c>
      <c r="P329" s="270">
        <f t="shared" si="134"/>
        <v>84459</v>
      </c>
      <c r="Q329" s="270">
        <f t="shared" si="134"/>
        <v>84459</v>
      </c>
      <c r="R329" s="270">
        <f t="shared" si="134"/>
        <v>84459</v>
      </c>
      <c r="S329" s="270">
        <f t="shared" si="131"/>
        <v>84459</v>
      </c>
      <c r="T329" s="270">
        <f t="shared" si="131"/>
        <v>84459</v>
      </c>
      <c r="U329" s="270">
        <f t="shared" si="131"/>
        <v>84459</v>
      </c>
      <c r="V329" s="270">
        <f t="shared" si="131"/>
        <v>84459</v>
      </c>
      <c r="W329" s="270">
        <f t="shared" si="131"/>
        <v>84459</v>
      </c>
      <c r="X329" s="270">
        <f t="shared" si="131"/>
        <v>84459</v>
      </c>
      <c r="Y329" s="270">
        <f t="shared" si="131"/>
        <v>84459</v>
      </c>
      <c r="Z329" s="270">
        <f t="shared" si="131"/>
        <v>84459</v>
      </c>
      <c r="AA329" s="270">
        <f t="shared" si="131"/>
        <v>84459</v>
      </c>
      <c r="AB329" s="270">
        <f t="shared" si="131"/>
        <v>84459</v>
      </c>
      <c r="AC329" s="270">
        <f t="shared" si="131"/>
        <v>84459</v>
      </c>
      <c r="AD329" s="270">
        <f t="shared" si="134"/>
        <v>84459</v>
      </c>
      <c r="AE329" s="270">
        <f t="shared" si="133"/>
        <v>84459</v>
      </c>
      <c r="AF329" s="270">
        <f t="shared" si="132"/>
        <v>84459</v>
      </c>
      <c r="AG329" s="270">
        <f t="shared" si="132"/>
        <v>84459</v>
      </c>
      <c r="AH329" s="270">
        <f t="shared" si="132"/>
        <v>84459</v>
      </c>
      <c r="AI329" s="270">
        <f t="shared" si="132"/>
        <v>84459</v>
      </c>
      <c r="AJ329" s="270">
        <f t="shared" si="132"/>
        <v>84459</v>
      </c>
      <c r="AK329" s="270">
        <f t="shared" si="132"/>
        <v>84459</v>
      </c>
      <c r="AL329" s="270">
        <f t="shared" si="132"/>
        <v>84459</v>
      </c>
      <c r="AM329" s="270">
        <f t="shared" si="132"/>
        <v>84459</v>
      </c>
    </row>
    <row r="330" spans="2:39" ht="15.75" thickBot="1" x14ac:dyDescent="0.35">
      <c r="B330" s="56" t="str">
        <f>input_names!$B$3</f>
        <v>benzine</v>
      </c>
      <c r="C330" s="61">
        <v>282</v>
      </c>
      <c r="D330" s="270">
        <f t="shared" si="134"/>
        <v>56807</v>
      </c>
      <c r="E330" s="270">
        <f t="shared" si="134"/>
        <v>64469</v>
      </c>
      <c r="F330" s="270">
        <f t="shared" si="134"/>
        <v>67163</v>
      </c>
      <c r="G330" s="270">
        <f t="shared" si="134"/>
        <v>67175</v>
      </c>
      <c r="H330" s="270">
        <f t="shared" si="134"/>
        <v>65204</v>
      </c>
      <c r="I330" s="270">
        <f t="shared" si="134"/>
        <v>65899</v>
      </c>
      <c r="J330" s="270">
        <f t="shared" si="134"/>
        <v>58958</v>
      </c>
      <c r="K330" s="270">
        <f t="shared" si="134"/>
        <v>62557</v>
      </c>
      <c r="L330" s="270">
        <f t="shared" si="134"/>
        <v>65018</v>
      </c>
      <c r="M330" s="270">
        <f t="shared" si="134"/>
        <v>80084</v>
      </c>
      <c r="N330" s="270">
        <f t="shared" si="134"/>
        <v>85027</v>
      </c>
      <c r="O330" s="270">
        <f t="shared" si="134"/>
        <v>85027</v>
      </c>
      <c r="P330" s="270">
        <f t="shared" si="134"/>
        <v>85027</v>
      </c>
      <c r="Q330" s="270">
        <f t="shared" si="134"/>
        <v>85027</v>
      </c>
      <c r="R330" s="270">
        <f t="shared" si="134"/>
        <v>85027</v>
      </c>
      <c r="S330" s="270">
        <f t="shared" si="131"/>
        <v>85027</v>
      </c>
      <c r="T330" s="270">
        <f t="shared" si="131"/>
        <v>85027</v>
      </c>
      <c r="U330" s="270">
        <f t="shared" si="131"/>
        <v>85027</v>
      </c>
      <c r="V330" s="270">
        <f t="shared" si="131"/>
        <v>85027</v>
      </c>
      <c r="W330" s="270">
        <f t="shared" si="131"/>
        <v>85027</v>
      </c>
      <c r="X330" s="270">
        <f t="shared" si="131"/>
        <v>85027</v>
      </c>
      <c r="Y330" s="270">
        <f t="shared" si="131"/>
        <v>85027</v>
      </c>
      <c r="Z330" s="270">
        <f t="shared" si="131"/>
        <v>85027</v>
      </c>
      <c r="AA330" s="270">
        <f t="shared" si="131"/>
        <v>85027</v>
      </c>
      <c r="AB330" s="270">
        <f t="shared" si="131"/>
        <v>85027</v>
      </c>
      <c r="AC330" s="270">
        <f t="shared" si="131"/>
        <v>85027</v>
      </c>
      <c r="AD330" s="270">
        <f t="shared" si="134"/>
        <v>85027</v>
      </c>
      <c r="AE330" s="270">
        <f t="shared" si="133"/>
        <v>85027</v>
      </c>
      <c r="AF330" s="270">
        <f t="shared" si="132"/>
        <v>85027</v>
      </c>
      <c r="AG330" s="270">
        <f t="shared" si="132"/>
        <v>85027</v>
      </c>
      <c r="AH330" s="270">
        <f t="shared" si="132"/>
        <v>85027</v>
      </c>
      <c r="AI330" s="270">
        <f t="shared" si="132"/>
        <v>85027</v>
      </c>
      <c r="AJ330" s="270">
        <f t="shared" si="132"/>
        <v>85027</v>
      </c>
      <c r="AK330" s="270">
        <f t="shared" si="132"/>
        <v>85027</v>
      </c>
      <c r="AL330" s="270">
        <f t="shared" si="132"/>
        <v>85027</v>
      </c>
      <c r="AM330" s="270">
        <f t="shared" si="132"/>
        <v>85027</v>
      </c>
    </row>
    <row r="331" spans="2:39" ht="15.75" thickBot="1" x14ac:dyDescent="0.35">
      <c r="B331" s="56" t="str">
        <f>input_names!$B$3</f>
        <v>benzine</v>
      </c>
      <c r="C331" s="61">
        <v>283</v>
      </c>
      <c r="D331" s="270">
        <f t="shared" si="134"/>
        <v>57241</v>
      </c>
      <c r="E331" s="270">
        <f t="shared" si="134"/>
        <v>64945</v>
      </c>
      <c r="F331" s="270">
        <f t="shared" si="134"/>
        <v>67635</v>
      </c>
      <c r="G331" s="270">
        <f t="shared" si="134"/>
        <v>67630</v>
      </c>
      <c r="H331" s="270">
        <f t="shared" si="134"/>
        <v>65632</v>
      </c>
      <c r="I331" s="270">
        <f t="shared" si="134"/>
        <v>66317</v>
      </c>
      <c r="J331" s="270">
        <f t="shared" si="134"/>
        <v>59390</v>
      </c>
      <c r="K331" s="270">
        <f t="shared" si="134"/>
        <v>63005</v>
      </c>
      <c r="L331" s="270">
        <f t="shared" si="134"/>
        <v>65466</v>
      </c>
      <c r="M331" s="270">
        <f t="shared" si="134"/>
        <v>80633</v>
      </c>
      <c r="N331" s="270">
        <f t="shared" si="134"/>
        <v>85595</v>
      </c>
      <c r="O331" s="270">
        <f t="shared" si="134"/>
        <v>85595</v>
      </c>
      <c r="P331" s="270">
        <f t="shared" si="134"/>
        <v>85595</v>
      </c>
      <c r="Q331" s="270">
        <f t="shared" si="134"/>
        <v>85595</v>
      </c>
      <c r="R331" s="270">
        <f t="shared" si="134"/>
        <v>85595</v>
      </c>
      <c r="S331" s="270">
        <f t="shared" si="131"/>
        <v>85595</v>
      </c>
      <c r="T331" s="270">
        <f t="shared" si="131"/>
        <v>85595</v>
      </c>
      <c r="U331" s="270">
        <f t="shared" si="131"/>
        <v>85595</v>
      </c>
      <c r="V331" s="270">
        <f t="shared" si="131"/>
        <v>85595</v>
      </c>
      <c r="W331" s="270">
        <f t="shared" si="131"/>
        <v>85595</v>
      </c>
      <c r="X331" s="270">
        <f t="shared" si="131"/>
        <v>85595</v>
      </c>
      <c r="Y331" s="270">
        <f t="shared" si="131"/>
        <v>85595</v>
      </c>
      <c r="Z331" s="270">
        <f t="shared" si="131"/>
        <v>85595</v>
      </c>
      <c r="AA331" s="270">
        <f t="shared" si="131"/>
        <v>85595</v>
      </c>
      <c r="AB331" s="270">
        <f t="shared" si="131"/>
        <v>85595</v>
      </c>
      <c r="AC331" s="270">
        <f t="shared" si="131"/>
        <v>85595</v>
      </c>
      <c r="AD331" s="270">
        <f t="shared" si="134"/>
        <v>85595</v>
      </c>
      <c r="AE331" s="270">
        <f t="shared" si="133"/>
        <v>85595</v>
      </c>
      <c r="AF331" s="270">
        <f t="shared" si="132"/>
        <v>85595</v>
      </c>
      <c r="AG331" s="270">
        <f t="shared" si="132"/>
        <v>85595</v>
      </c>
      <c r="AH331" s="270">
        <f t="shared" si="132"/>
        <v>85595</v>
      </c>
      <c r="AI331" s="270">
        <f t="shared" si="132"/>
        <v>85595</v>
      </c>
      <c r="AJ331" s="270">
        <f t="shared" si="132"/>
        <v>85595</v>
      </c>
      <c r="AK331" s="270">
        <f t="shared" si="132"/>
        <v>85595</v>
      </c>
      <c r="AL331" s="270">
        <f t="shared" si="132"/>
        <v>85595</v>
      </c>
      <c r="AM331" s="270">
        <f t="shared" si="132"/>
        <v>85595</v>
      </c>
    </row>
    <row r="332" spans="2:39" ht="15.75" thickBot="1" x14ac:dyDescent="0.35">
      <c r="B332" s="56" t="str">
        <f>input_names!$B$3</f>
        <v>benzine</v>
      </c>
      <c r="C332" s="61">
        <v>284</v>
      </c>
      <c r="D332" s="270">
        <f t="shared" si="134"/>
        <v>57675</v>
      </c>
      <c r="E332" s="270">
        <f t="shared" si="134"/>
        <v>65421</v>
      </c>
      <c r="F332" s="270">
        <f t="shared" si="134"/>
        <v>68107</v>
      </c>
      <c r="G332" s="270">
        <f t="shared" si="134"/>
        <v>68085</v>
      </c>
      <c r="H332" s="270">
        <f t="shared" si="134"/>
        <v>66060</v>
      </c>
      <c r="I332" s="270">
        <f t="shared" si="134"/>
        <v>66735</v>
      </c>
      <c r="J332" s="270">
        <f t="shared" si="134"/>
        <v>59822</v>
      </c>
      <c r="K332" s="270">
        <f t="shared" si="134"/>
        <v>63453</v>
      </c>
      <c r="L332" s="270">
        <f t="shared" si="134"/>
        <v>65914</v>
      </c>
      <c r="M332" s="270">
        <f t="shared" si="134"/>
        <v>81182</v>
      </c>
      <c r="N332" s="270">
        <f t="shared" si="134"/>
        <v>86163</v>
      </c>
      <c r="O332" s="270">
        <f t="shared" si="134"/>
        <v>86163</v>
      </c>
      <c r="P332" s="270">
        <f t="shared" si="134"/>
        <v>86163</v>
      </c>
      <c r="Q332" s="270">
        <f t="shared" si="134"/>
        <v>86163</v>
      </c>
      <c r="R332" s="270">
        <f t="shared" si="134"/>
        <v>86163</v>
      </c>
      <c r="S332" s="270">
        <f t="shared" si="131"/>
        <v>86163</v>
      </c>
      <c r="T332" s="270">
        <f t="shared" si="131"/>
        <v>86163</v>
      </c>
      <c r="U332" s="270">
        <f t="shared" si="131"/>
        <v>86163</v>
      </c>
      <c r="V332" s="270">
        <f t="shared" si="131"/>
        <v>86163</v>
      </c>
      <c r="W332" s="270">
        <f t="shared" si="131"/>
        <v>86163</v>
      </c>
      <c r="X332" s="270">
        <f t="shared" si="131"/>
        <v>86163</v>
      </c>
      <c r="Y332" s="270">
        <f t="shared" si="131"/>
        <v>86163</v>
      </c>
      <c r="Z332" s="270">
        <f t="shared" si="131"/>
        <v>86163</v>
      </c>
      <c r="AA332" s="270">
        <f t="shared" si="131"/>
        <v>86163</v>
      </c>
      <c r="AB332" s="270">
        <f t="shared" si="131"/>
        <v>86163</v>
      </c>
      <c r="AC332" s="270">
        <f t="shared" si="131"/>
        <v>86163</v>
      </c>
      <c r="AD332" s="270">
        <f t="shared" si="134"/>
        <v>86163</v>
      </c>
      <c r="AE332" s="270">
        <f t="shared" si="133"/>
        <v>86163</v>
      </c>
      <c r="AF332" s="270">
        <f t="shared" si="132"/>
        <v>86163</v>
      </c>
      <c r="AG332" s="270">
        <f t="shared" si="132"/>
        <v>86163</v>
      </c>
      <c r="AH332" s="270">
        <f t="shared" si="132"/>
        <v>86163</v>
      </c>
      <c r="AI332" s="270">
        <f t="shared" si="132"/>
        <v>86163</v>
      </c>
      <c r="AJ332" s="270">
        <f t="shared" si="132"/>
        <v>86163</v>
      </c>
      <c r="AK332" s="270">
        <f t="shared" si="132"/>
        <v>86163</v>
      </c>
      <c r="AL332" s="270">
        <f t="shared" si="132"/>
        <v>86163</v>
      </c>
      <c r="AM332" s="270">
        <f t="shared" si="132"/>
        <v>86163</v>
      </c>
    </row>
    <row r="333" spans="2:39" ht="15.75" thickBot="1" x14ac:dyDescent="0.35">
      <c r="B333" s="56" t="str">
        <f>input_names!$B$3</f>
        <v>benzine</v>
      </c>
      <c r="C333" s="61">
        <v>285</v>
      </c>
      <c r="D333" s="270">
        <f t="shared" si="134"/>
        <v>58109</v>
      </c>
      <c r="E333" s="270">
        <f t="shared" si="134"/>
        <v>65897</v>
      </c>
      <c r="F333" s="270">
        <f t="shared" si="134"/>
        <v>68579</v>
      </c>
      <c r="G333" s="270">
        <f t="shared" si="134"/>
        <v>68540</v>
      </c>
      <c r="H333" s="270">
        <f t="shared" si="134"/>
        <v>66488</v>
      </c>
      <c r="I333" s="270">
        <f t="shared" si="134"/>
        <v>67153</v>
      </c>
      <c r="J333" s="270">
        <f t="shared" si="134"/>
        <v>60254</v>
      </c>
      <c r="K333" s="270">
        <f t="shared" si="134"/>
        <v>63901</v>
      </c>
      <c r="L333" s="270">
        <f t="shared" si="134"/>
        <v>66362</v>
      </c>
      <c r="M333" s="270">
        <f t="shared" si="134"/>
        <v>81731</v>
      </c>
      <c r="N333" s="270">
        <f t="shared" si="134"/>
        <v>86731</v>
      </c>
      <c r="O333" s="270">
        <f t="shared" si="134"/>
        <v>86731</v>
      </c>
      <c r="P333" s="270">
        <f t="shared" si="134"/>
        <v>86731</v>
      </c>
      <c r="Q333" s="270">
        <f t="shared" si="134"/>
        <v>86731</v>
      </c>
      <c r="R333" s="270">
        <f t="shared" si="134"/>
        <v>86731</v>
      </c>
      <c r="S333" s="270">
        <f t="shared" si="131"/>
        <v>86731</v>
      </c>
      <c r="T333" s="270">
        <f t="shared" si="131"/>
        <v>86731</v>
      </c>
      <c r="U333" s="270">
        <f t="shared" si="131"/>
        <v>86731</v>
      </c>
      <c r="V333" s="270">
        <f t="shared" si="131"/>
        <v>86731</v>
      </c>
      <c r="W333" s="270">
        <f t="shared" si="131"/>
        <v>86731</v>
      </c>
      <c r="X333" s="270">
        <f t="shared" si="131"/>
        <v>86731</v>
      </c>
      <c r="Y333" s="270">
        <f t="shared" si="131"/>
        <v>86731</v>
      </c>
      <c r="Z333" s="270">
        <f t="shared" si="131"/>
        <v>86731</v>
      </c>
      <c r="AA333" s="270">
        <f t="shared" si="131"/>
        <v>86731</v>
      </c>
      <c r="AB333" s="270">
        <f t="shared" si="131"/>
        <v>86731</v>
      </c>
      <c r="AC333" s="270">
        <f t="shared" si="131"/>
        <v>86731</v>
      </c>
      <c r="AD333" s="270">
        <f t="shared" si="134"/>
        <v>86731</v>
      </c>
      <c r="AE333" s="270">
        <f t="shared" si="133"/>
        <v>86731</v>
      </c>
      <c r="AF333" s="270">
        <f t="shared" si="132"/>
        <v>86731</v>
      </c>
      <c r="AG333" s="270">
        <f t="shared" si="132"/>
        <v>86731</v>
      </c>
      <c r="AH333" s="270">
        <f t="shared" si="132"/>
        <v>86731</v>
      </c>
      <c r="AI333" s="270">
        <f t="shared" si="132"/>
        <v>86731</v>
      </c>
      <c r="AJ333" s="270">
        <f t="shared" si="132"/>
        <v>86731</v>
      </c>
      <c r="AK333" s="270">
        <f t="shared" si="132"/>
        <v>86731</v>
      </c>
      <c r="AL333" s="270">
        <f t="shared" si="132"/>
        <v>86731</v>
      </c>
      <c r="AM333" s="270">
        <f t="shared" si="132"/>
        <v>86731</v>
      </c>
    </row>
    <row r="334" spans="2:39" ht="15.75" thickBot="1" x14ac:dyDescent="0.35">
      <c r="B334" s="56" t="str">
        <f>input_names!$B$3</f>
        <v>benzine</v>
      </c>
      <c r="C334" s="61">
        <v>286</v>
      </c>
      <c r="D334" s="270">
        <f t="shared" si="134"/>
        <v>58543</v>
      </c>
      <c r="E334" s="270">
        <f t="shared" si="134"/>
        <v>66373</v>
      </c>
      <c r="F334" s="270">
        <f t="shared" si="134"/>
        <v>69051</v>
      </c>
      <c r="G334" s="270">
        <f t="shared" si="134"/>
        <v>68995</v>
      </c>
      <c r="H334" s="270">
        <f t="shared" si="134"/>
        <v>66916</v>
      </c>
      <c r="I334" s="270">
        <f t="shared" si="134"/>
        <v>67571</v>
      </c>
      <c r="J334" s="270">
        <f t="shared" si="134"/>
        <v>60686</v>
      </c>
      <c r="K334" s="270">
        <f t="shared" si="134"/>
        <v>64349</v>
      </c>
      <c r="L334" s="270">
        <f t="shared" si="134"/>
        <v>66810</v>
      </c>
      <c r="M334" s="270">
        <f t="shared" si="134"/>
        <v>82280</v>
      </c>
      <c r="N334" s="270">
        <f t="shared" si="134"/>
        <v>87299</v>
      </c>
      <c r="O334" s="270">
        <f t="shared" si="134"/>
        <v>87299</v>
      </c>
      <c r="P334" s="270">
        <f t="shared" si="134"/>
        <v>87299</v>
      </c>
      <c r="Q334" s="270">
        <f t="shared" si="134"/>
        <v>87299</v>
      </c>
      <c r="R334" s="270">
        <f t="shared" si="134"/>
        <v>87299</v>
      </c>
      <c r="S334" s="270">
        <f t="shared" si="131"/>
        <v>87299</v>
      </c>
      <c r="T334" s="270">
        <f t="shared" si="131"/>
        <v>87299</v>
      </c>
      <c r="U334" s="270">
        <f t="shared" si="131"/>
        <v>87299</v>
      </c>
      <c r="V334" s="270">
        <f t="shared" si="131"/>
        <v>87299</v>
      </c>
      <c r="W334" s="270">
        <f t="shared" si="131"/>
        <v>87299</v>
      </c>
      <c r="X334" s="270">
        <f t="shared" si="131"/>
        <v>87299</v>
      </c>
      <c r="Y334" s="270">
        <f t="shared" si="131"/>
        <v>87299</v>
      </c>
      <c r="Z334" s="270">
        <f t="shared" si="131"/>
        <v>87299</v>
      </c>
      <c r="AA334" s="270">
        <f t="shared" ref="U334:AC362" si="135">+MIN(MAX(0,$C334-AA$11),AA$12-AA$11)*AA$17
+MIN(MAX(0,$C334-AA$12),AA$13-AA$12)*AA$18
+MIN(MAX(0,$C334-AA$13),AA$14-AA$13)*AA$19
+MIN(MAX(0,$C334-AA$14),AA$15-AA$14)*AA$20
+MAX(0,$C334-AA$15)*AA$21
+AA$26</f>
        <v>87299</v>
      </c>
      <c r="AB334" s="270">
        <f t="shared" si="135"/>
        <v>87299</v>
      </c>
      <c r="AC334" s="270">
        <f t="shared" si="135"/>
        <v>87299</v>
      </c>
      <c r="AD334" s="270">
        <f t="shared" si="134"/>
        <v>87299</v>
      </c>
      <c r="AE334" s="270">
        <f t="shared" si="133"/>
        <v>87299</v>
      </c>
      <c r="AF334" s="270">
        <f t="shared" si="132"/>
        <v>87299</v>
      </c>
      <c r="AG334" s="270">
        <f t="shared" si="132"/>
        <v>87299</v>
      </c>
      <c r="AH334" s="270">
        <f t="shared" si="132"/>
        <v>87299</v>
      </c>
      <c r="AI334" s="270">
        <f t="shared" si="132"/>
        <v>87299</v>
      </c>
      <c r="AJ334" s="270">
        <f t="shared" si="132"/>
        <v>87299</v>
      </c>
      <c r="AK334" s="270">
        <f t="shared" si="132"/>
        <v>87299</v>
      </c>
      <c r="AL334" s="270">
        <f t="shared" si="132"/>
        <v>87299</v>
      </c>
      <c r="AM334" s="270">
        <f t="shared" si="132"/>
        <v>87299</v>
      </c>
    </row>
    <row r="335" spans="2:39" ht="15.75" thickBot="1" x14ac:dyDescent="0.35">
      <c r="B335" s="56" t="str">
        <f>input_names!$B$3</f>
        <v>benzine</v>
      </c>
      <c r="C335" s="61">
        <v>287</v>
      </c>
      <c r="D335" s="270">
        <f t="shared" si="134"/>
        <v>58977</v>
      </c>
      <c r="E335" s="270">
        <f t="shared" si="134"/>
        <v>66849</v>
      </c>
      <c r="F335" s="270">
        <f t="shared" si="134"/>
        <v>69523</v>
      </c>
      <c r="G335" s="270">
        <f t="shared" si="134"/>
        <v>69450</v>
      </c>
      <c r="H335" s="270">
        <f t="shared" si="134"/>
        <v>67344</v>
      </c>
      <c r="I335" s="270">
        <f t="shared" si="134"/>
        <v>67989</v>
      </c>
      <c r="J335" s="270">
        <f t="shared" si="134"/>
        <v>61118</v>
      </c>
      <c r="K335" s="270">
        <f t="shared" si="134"/>
        <v>64797</v>
      </c>
      <c r="L335" s="270">
        <f t="shared" si="134"/>
        <v>67258</v>
      </c>
      <c r="M335" s="270">
        <f t="shared" si="134"/>
        <v>82829</v>
      </c>
      <c r="N335" s="270">
        <f t="shared" si="134"/>
        <v>87867</v>
      </c>
      <c r="O335" s="270">
        <f t="shared" si="134"/>
        <v>87867</v>
      </c>
      <c r="P335" s="270">
        <f t="shared" si="134"/>
        <v>87867</v>
      </c>
      <c r="Q335" s="270">
        <f t="shared" si="134"/>
        <v>87867</v>
      </c>
      <c r="R335" s="270">
        <f t="shared" si="134"/>
        <v>87867</v>
      </c>
      <c r="S335" s="270">
        <f t="shared" ref="S335:AC366" si="136">+MIN(MAX(0,$C335-S$11),S$12-S$11)*S$17
+MIN(MAX(0,$C335-S$12),S$13-S$12)*S$18
+MIN(MAX(0,$C335-S$13),S$14-S$13)*S$19
+MIN(MAX(0,$C335-S$14),S$15-S$14)*S$20
+MAX(0,$C335-S$15)*S$21
+S$26</f>
        <v>87867</v>
      </c>
      <c r="T335" s="270">
        <f t="shared" si="136"/>
        <v>87867</v>
      </c>
      <c r="U335" s="270">
        <f t="shared" si="135"/>
        <v>87867</v>
      </c>
      <c r="V335" s="270">
        <f t="shared" si="135"/>
        <v>87867</v>
      </c>
      <c r="W335" s="270">
        <f t="shared" si="135"/>
        <v>87867</v>
      </c>
      <c r="X335" s="270">
        <f t="shared" si="135"/>
        <v>87867</v>
      </c>
      <c r="Y335" s="270">
        <f t="shared" si="135"/>
        <v>87867</v>
      </c>
      <c r="Z335" s="270">
        <f t="shared" si="135"/>
        <v>87867</v>
      </c>
      <c r="AA335" s="270">
        <f t="shared" si="135"/>
        <v>87867</v>
      </c>
      <c r="AB335" s="270">
        <f t="shared" si="135"/>
        <v>87867</v>
      </c>
      <c r="AC335" s="270">
        <f t="shared" si="135"/>
        <v>87867</v>
      </c>
      <c r="AD335" s="270">
        <f t="shared" ref="AD335:AD366" si="137">+MIN(MAX(0,$C335-AD$11),AD$12-AD$11)*AD$17
+MIN(MAX(0,$C335-AD$12),AD$13-AD$12)*AD$18
+MIN(MAX(0,$C335-AD$13),AD$14-AD$13)*AD$19
+MIN(MAX(0,$C335-AD$14),AD$15-AD$14)*AD$20
+MAX(0,$C335-AD$15)*AD$21
+AD$26</f>
        <v>87867</v>
      </c>
      <c r="AE335" s="270">
        <f t="shared" si="133"/>
        <v>87867</v>
      </c>
      <c r="AF335" s="270">
        <f t="shared" si="132"/>
        <v>87867</v>
      </c>
      <c r="AG335" s="270">
        <f t="shared" si="132"/>
        <v>87867</v>
      </c>
      <c r="AH335" s="270">
        <f t="shared" si="132"/>
        <v>87867</v>
      </c>
      <c r="AI335" s="270">
        <f t="shared" si="132"/>
        <v>87867</v>
      </c>
      <c r="AJ335" s="270">
        <f t="shared" si="132"/>
        <v>87867</v>
      </c>
      <c r="AK335" s="270">
        <f t="shared" si="132"/>
        <v>87867</v>
      </c>
      <c r="AL335" s="270">
        <f t="shared" si="132"/>
        <v>87867</v>
      </c>
      <c r="AM335" s="270">
        <f t="shared" si="132"/>
        <v>87867</v>
      </c>
    </row>
    <row r="336" spans="2:39" ht="15.75" thickBot="1" x14ac:dyDescent="0.35">
      <c r="B336" s="56" t="str">
        <f>input_names!$B$3</f>
        <v>benzine</v>
      </c>
      <c r="C336" s="61">
        <v>288</v>
      </c>
      <c r="D336" s="270">
        <f t="shared" ref="D336:R351" si="138">+MIN(MAX(0,$C336-D$11),D$12-D$11)*D$17
+MIN(MAX(0,$C336-D$12),D$13-D$12)*D$18
+MIN(MAX(0,$C336-D$13),D$14-D$13)*D$19
+MIN(MAX(0,$C336-D$14),D$15-D$14)*D$20
+MAX(0,$C336-D$15)*D$21
+D$26</f>
        <v>59411</v>
      </c>
      <c r="E336" s="270">
        <f t="shared" si="138"/>
        <v>67325</v>
      </c>
      <c r="F336" s="270">
        <f t="shared" si="138"/>
        <v>69995</v>
      </c>
      <c r="G336" s="270">
        <f t="shared" si="138"/>
        <v>69905</v>
      </c>
      <c r="H336" s="270">
        <f t="shared" si="138"/>
        <v>67772</v>
      </c>
      <c r="I336" s="270">
        <f t="shared" si="138"/>
        <v>68407</v>
      </c>
      <c r="J336" s="270">
        <f t="shared" si="138"/>
        <v>61550</v>
      </c>
      <c r="K336" s="270">
        <f t="shared" si="138"/>
        <v>65245</v>
      </c>
      <c r="L336" s="270">
        <f t="shared" si="138"/>
        <v>67706</v>
      </c>
      <c r="M336" s="270">
        <f t="shared" si="138"/>
        <v>83378</v>
      </c>
      <c r="N336" s="270">
        <f t="shared" si="138"/>
        <v>88435</v>
      </c>
      <c r="O336" s="270">
        <f t="shared" si="138"/>
        <v>88435</v>
      </c>
      <c r="P336" s="270">
        <f t="shared" si="138"/>
        <v>88435</v>
      </c>
      <c r="Q336" s="270">
        <f t="shared" si="138"/>
        <v>88435</v>
      </c>
      <c r="R336" s="270">
        <f t="shared" si="138"/>
        <v>88435</v>
      </c>
      <c r="S336" s="270">
        <f t="shared" si="136"/>
        <v>88435</v>
      </c>
      <c r="T336" s="270">
        <f t="shared" si="136"/>
        <v>88435</v>
      </c>
      <c r="U336" s="270">
        <f t="shared" si="135"/>
        <v>88435</v>
      </c>
      <c r="V336" s="270">
        <f t="shared" si="135"/>
        <v>88435</v>
      </c>
      <c r="W336" s="270">
        <f t="shared" si="135"/>
        <v>88435</v>
      </c>
      <c r="X336" s="270">
        <f t="shared" si="135"/>
        <v>88435</v>
      </c>
      <c r="Y336" s="270">
        <f t="shared" si="135"/>
        <v>88435</v>
      </c>
      <c r="Z336" s="270">
        <f t="shared" si="135"/>
        <v>88435</v>
      </c>
      <c r="AA336" s="270">
        <f t="shared" si="135"/>
        <v>88435</v>
      </c>
      <c r="AB336" s="270">
        <f t="shared" si="135"/>
        <v>88435</v>
      </c>
      <c r="AC336" s="270">
        <f t="shared" si="135"/>
        <v>88435</v>
      </c>
      <c r="AD336" s="270">
        <f t="shared" si="137"/>
        <v>88435</v>
      </c>
      <c r="AE336" s="270">
        <f t="shared" si="133"/>
        <v>88435</v>
      </c>
      <c r="AF336" s="270">
        <f t="shared" si="132"/>
        <v>88435</v>
      </c>
      <c r="AG336" s="270">
        <f t="shared" si="132"/>
        <v>88435</v>
      </c>
      <c r="AH336" s="270">
        <f t="shared" si="132"/>
        <v>88435</v>
      </c>
      <c r="AI336" s="270">
        <f t="shared" si="132"/>
        <v>88435</v>
      </c>
      <c r="AJ336" s="270">
        <f t="shared" si="132"/>
        <v>88435</v>
      </c>
      <c r="AK336" s="270">
        <f t="shared" si="132"/>
        <v>88435</v>
      </c>
      <c r="AL336" s="270">
        <f t="shared" si="132"/>
        <v>88435</v>
      </c>
      <c r="AM336" s="270">
        <f t="shared" si="132"/>
        <v>88435</v>
      </c>
    </row>
    <row r="337" spans="2:39" ht="15.75" thickBot="1" x14ac:dyDescent="0.35">
      <c r="B337" s="56" t="str">
        <f>input_names!$B$3</f>
        <v>benzine</v>
      </c>
      <c r="C337" s="61">
        <v>289</v>
      </c>
      <c r="D337" s="270">
        <f t="shared" si="138"/>
        <v>59845</v>
      </c>
      <c r="E337" s="270">
        <f t="shared" si="138"/>
        <v>67801</v>
      </c>
      <c r="F337" s="270">
        <f t="shared" si="138"/>
        <v>70467</v>
      </c>
      <c r="G337" s="270">
        <f t="shared" si="138"/>
        <v>70360</v>
      </c>
      <c r="H337" s="270">
        <f t="shared" si="138"/>
        <v>68200</v>
      </c>
      <c r="I337" s="270">
        <f t="shared" si="138"/>
        <v>68825</v>
      </c>
      <c r="J337" s="270">
        <f t="shared" si="138"/>
        <v>61982</v>
      </c>
      <c r="K337" s="270">
        <f t="shared" si="138"/>
        <v>65693</v>
      </c>
      <c r="L337" s="270">
        <f t="shared" si="138"/>
        <v>68154</v>
      </c>
      <c r="M337" s="270">
        <f t="shared" si="138"/>
        <v>83927</v>
      </c>
      <c r="N337" s="270">
        <f t="shared" si="138"/>
        <v>89003</v>
      </c>
      <c r="O337" s="270">
        <f t="shared" si="138"/>
        <v>89003</v>
      </c>
      <c r="P337" s="270">
        <f t="shared" si="138"/>
        <v>89003</v>
      </c>
      <c r="Q337" s="270">
        <f t="shared" si="138"/>
        <v>89003</v>
      </c>
      <c r="R337" s="270">
        <f t="shared" si="138"/>
        <v>89003</v>
      </c>
      <c r="S337" s="270">
        <f t="shared" si="136"/>
        <v>89003</v>
      </c>
      <c r="T337" s="270">
        <f t="shared" si="136"/>
        <v>89003</v>
      </c>
      <c r="U337" s="270">
        <f t="shared" si="135"/>
        <v>89003</v>
      </c>
      <c r="V337" s="270">
        <f t="shared" si="135"/>
        <v>89003</v>
      </c>
      <c r="W337" s="270">
        <f t="shared" si="135"/>
        <v>89003</v>
      </c>
      <c r="X337" s="270">
        <f t="shared" si="135"/>
        <v>89003</v>
      </c>
      <c r="Y337" s="270">
        <f t="shared" si="135"/>
        <v>89003</v>
      </c>
      <c r="Z337" s="270">
        <f t="shared" si="135"/>
        <v>89003</v>
      </c>
      <c r="AA337" s="270">
        <f t="shared" si="135"/>
        <v>89003</v>
      </c>
      <c r="AB337" s="270">
        <f t="shared" si="135"/>
        <v>89003</v>
      </c>
      <c r="AC337" s="270">
        <f t="shared" si="135"/>
        <v>89003</v>
      </c>
      <c r="AD337" s="270">
        <f t="shared" si="137"/>
        <v>89003</v>
      </c>
      <c r="AE337" s="270">
        <f t="shared" si="133"/>
        <v>89003</v>
      </c>
      <c r="AF337" s="270">
        <f t="shared" si="132"/>
        <v>89003</v>
      </c>
      <c r="AG337" s="270">
        <f t="shared" si="132"/>
        <v>89003</v>
      </c>
      <c r="AH337" s="270">
        <f t="shared" si="132"/>
        <v>89003</v>
      </c>
      <c r="AI337" s="270">
        <f t="shared" si="132"/>
        <v>89003</v>
      </c>
      <c r="AJ337" s="270">
        <f t="shared" si="132"/>
        <v>89003</v>
      </c>
      <c r="AK337" s="270">
        <f t="shared" si="132"/>
        <v>89003</v>
      </c>
      <c r="AL337" s="270">
        <f t="shared" si="132"/>
        <v>89003</v>
      </c>
      <c r="AM337" s="270">
        <f t="shared" si="132"/>
        <v>89003</v>
      </c>
    </row>
    <row r="338" spans="2:39" ht="15.75" thickBot="1" x14ac:dyDescent="0.35">
      <c r="B338" s="56" t="str">
        <f>input_names!$B$3</f>
        <v>benzine</v>
      </c>
      <c r="C338" s="61">
        <v>290</v>
      </c>
      <c r="D338" s="270">
        <f t="shared" si="138"/>
        <v>60279</v>
      </c>
      <c r="E338" s="270">
        <f t="shared" si="138"/>
        <v>68277</v>
      </c>
      <c r="F338" s="270">
        <f t="shared" si="138"/>
        <v>70939</v>
      </c>
      <c r="G338" s="270">
        <f t="shared" si="138"/>
        <v>70815</v>
      </c>
      <c r="H338" s="270">
        <f t="shared" si="138"/>
        <v>68628</v>
      </c>
      <c r="I338" s="270">
        <f t="shared" si="138"/>
        <v>69243</v>
      </c>
      <c r="J338" s="270">
        <f t="shared" si="138"/>
        <v>62414</v>
      </c>
      <c r="K338" s="270">
        <f t="shared" si="138"/>
        <v>66141</v>
      </c>
      <c r="L338" s="270">
        <f t="shared" si="138"/>
        <v>68602</v>
      </c>
      <c r="M338" s="270">
        <f t="shared" si="138"/>
        <v>84476</v>
      </c>
      <c r="N338" s="270">
        <f t="shared" si="138"/>
        <v>89571</v>
      </c>
      <c r="O338" s="270">
        <f t="shared" si="138"/>
        <v>89571</v>
      </c>
      <c r="P338" s="270">
        <f t="shared" si="138"/>
        <v>89571</v>
      </c>
      <c r="Q338" s="270">
        <f t="shared" si="138"/>
        <v>89571</v>
      </c>
      <c r="R338" s="270">
        <f t="shared" si="138"/>
        <v>89571</v>
      </c>
      <c r="S338" s="270">
        <f t="shared" si="136"/>
        <v>89571</v>
      </c>
      <c r="T338" s="270">
        <f t="shared" si="136"/>
        <v>89571</v>
      </c>
      <c r="U338" s="270">
        <f t="shared" si="135"/>
        <v>89571</v>
      </c>
      <c r="V338" s="270">
        <f t="shared" si="135"/>
        <v>89571</v>
      </c>
      <c r="W338" s="270">
        <f t="shared" si="135"/>
        <v>89571</v>
      </c>
      <c r="X338" s="270">
        <f t="shared" si="135"/>
        <v>89571</v>
      </c>
      <c r="Y338" s="270">
        <f t="shared" si="135"/>
        <v>89571</v>
      </c>
      <c r="Z338" s="270">
        <f t="shared" si="135"/>
        <v>89571</v>
      </c>
      <c r="AA338" s="270">
        <f t="shared" si="135"/>
        <v>89571</v>
      </c>
      <c r="AB338" s="270">
        <f t="shared" si="135"/>
        <v>89571</v>
      </c>
      <c r="AC338" s="270">
        <f t="shared" si="135"/>
        <v>89571</v>
      </c>
      <c r="AD338" s="270">
        <f t="shared" si="137"/>
        <v>89571</v>
      </c>
      <c r="AE338" s="270">
        <f t="shared" si="133"/>
        <v>89571</v>
      </c>
      <c r="AF338" s="270">
        <f t="shared" si="132"/>
        <v>89571</v>
      </c>
      <c r="AG338" s="270">
        <f t="shared" si="132"/>
        <v>89571</v>
      </c>
      <c r="AH338" s="270">
        <f t="shared" si="132"/>
        <v>89571</v>
      </c>
      <c r="AI338" s="270">
        <f t="shared" si="132"/>
        <v>89571</v>
      </c>
      <c r="AJ338" s="270">
        <f t="shared" si="132"/>
        <v>89571</v>
      </c>
      <c r="AK338" s="270">
        <f t="shared" si="132"/>
        <v>89571</v>
      </c>
      <c r="AL338" s="270">
        <f t="shared" si="132"/>
        <v>89571</v>
      </c>
      <c r="AM338" s="270">
        <f t="shared" si="132"/>
        <v>89571</v>
      </c>
    </row>
    <row r="339" spans="2:39" ht="15.75" thickBot="1" x14ac:dyDescent="0.35">
      <c r="B339" s="56" t="str">
        <f>input_names!$B$3</f>
        <v>benzine</v>
      </c>
      <c r="C339" s="61">
        <v>291</v>
      </c>
      <c r="D339" s="270">
        <f t="shared" si="138"/>
        <v>60713</v>
      </c>
      <c r="E339" s="270">
        <f t="shared" si="138"/>
        <v>68753</v>
      </c>
      <c r="F339" s="270">
        <f t="shared" si="138"/>
        <v>71411</v>
      </c>
      <c r="G339" s="270">
        <f t="shared" si="138"/>
        <v>71270</v>
      </c>
      <c r="H339" s="270">
        <f t="shared" si="138"/>
        <v>69056</v>
      </c>
      <c r="I339" s="270">
        <f t="shared" si="138"/>
        <v>69661</v>
      </c>
      <c r="J339" s="270">
        <f t="shared" si="138"/>
        <v>62846</v>
      </c>
      <c r="K339" s="270">
        <f t="shared" si="138"/>
        <v>66589</v>
      </c>
      <c r="L339" s="270">
        <f t="shared" si="138"/>
        <v>69050</v>
      </c>
      <c r="M339" s="270">
        <f t="shared" si="138"/>
        <v>85025</v>
      </c>
      <c r="N339" s="270">
        <f t="shared" si="138"/>
        <v>90139</v>
      </c>
      <c r="O339" s="270">
        <f t="shared" si="138"/>
        <v>90139</v>
      </c>
      <c r="P339" s="270">
        <f t="shared" si="138"/>
        <v>90139</v>
      </c>
      <c r="Q339" s="270">
        <f t="shared" si="138"/>
        <v>90139</v>
      </c>
      <c r="R339" s="270">
        <f t="shared" si="138"/>
        <v>90139</v>
      </c>
      <c r="S339" s="270">
        <f t="shared" si="136"/>
        <v>90139</v>
      </c>
      <c r="T339" s="270">
        <f t="shared" si="136"/>
        <v>90139</v>
      </c>
      <c r="U339" s="270">
        <f t="shared" si="135"/>
        <v>90139</v>
      </c>
      <c r="V339" s="270">
        <f t="shared" si="135"/>
        <v>90139</v>
      </c>
      <c r="W339" s="270">
        <f t="shared" si="135"/>
        <v>90139</v>
      </c>
      <c r="X339" s="270">
        <f t="shared" si="135"/>
        <v>90139</v>
      </c>
      <c r="Y339" s="270">
        <f t="shared" si="135"/>
        <v>90139</v>
      </c>
      <c r="Z339" s="270">
        <f t="shared" si="135"/>
        <v>90139</v>
      </c>
      <c r="AA339" s="270">
        <f t="shared" si="135"/>
        <v>90139</v>
      </c>
      <c r="AB339" s="270">
        <f t="shared" si="135"/>
        <v>90139</v>
      </c>
      <c r="AC339" s="270">
        <f t="shared" si="135"/>
        <v>90139</v>
      </c>
      <c r="AD339" s="270">
        <f t="shared" si="137"/>
        <v>90139</v>
      </c>
      <c r="AE339" s="270">
        <f t="shared" si="133"/>
        <v>90139</v>
      </c>
      <c r="AF339" s="270">
        <f t="shared" si="132"/>
        <v>90139</v>
      </c>
      <c r="AG339" s="270">
        <f t="shared" si="132"/>
        <v>90139</v>
      </c>
      <c r="AH339" s="270">
        <f t="shared" si="132"/>
        <v>90139</v>
      </c>
      <c r="AI339" s="270">
        <f t="shared" si="132"/>
        <v>90139</v>
      </c>
      <c r="AJ339" s="270">
        <f t="shared" si="132"/>
        <v>90139</v>
      </c>
      <c r="AK339" s="270">
        <f t="shared" si="132"/>
        <v>90139</v>
      </c>
      <c r="AL339" s="270">
        <f t="shared" si="132"/>
        <v>90139</v>
      </c>
      <c r="AM339" s="270">
        <f t="shared" si="132"/>
        <v>90139</v>
      </c>
    </row>
    <row r="340" spans="2:39" ht="15.75" thickBot="1" x14ac:dyDescent="0.35">
      <c r="B340" s="56" t="str">
        <f>input_names!$B$3</f>
        <v>benzine</v>
      </c>
      <c r="C340" s="61">
        <v>292</v>
      </c>
      <c r="D340" s="270">
        <f t="shared" si="138"/>
        <v>61147</v>
      </c>
      <c r="E340" s="270">
        <f t="shared" si="138"/>
        <v>69229</v>
      </c>
      <c r="F340" s="270">
        <f t="shared" si="138"/>
        <v>71883</v>
      </c>
      <c r="G340" s="270">
        <f t="shared" si="138"/>
        <v>71725</v>
      </c>
      <c r="H340" s="270">
        <f t="shared" si="138"/>
        <v>69484</v>
      </c>
      <c r="I340" s="270">
        <f t="shared" si="138"/>
        <v>70079</v>
      </c>
      <c r="J340" s="270">
        <f t="shared" si="138"/>
        <v>63278</v>
      </c>
      <c r="K340" s="270">
        <f t="shared" si="138"/>
        <v>67037</v>
      </c>
      <c r="L340" s="270">
        <f t="shared" si="138"/>
        <v>69498</v>
      </c>
      <c r="M340" s="270">
        <f t="shared" si="138"/>
        <v>85574</v>
      </c>
      <c r="N340" s="270">
        <f t="shared" si="138"/>
        <v>90707</v>
      </c>
      <c r="O340" s="270">
        <f t="shared" si="138"/>
        <v>90707</v>
      </c>
      <c r="P340" s="270">
        <f t="shared" si="138"/>
        <v>90707</v>
      </c>
      <c r="Q340" s="270">
        <f t="shared" si="138"/>
        <v>90707</v>
      </c>
      <c r="R340" s="270">
        <f t="shared" si="138"/>
        <v>90707</v>
      </c>
      <c r="S340" s="270">
        <f t="shared" si="136"/>
        <v>90707</v>
      </c>
      <c r="T340" s="270">
        <f t="shared" si="136"/>
        <v>90707</v>
      </c>
      <c r="U340" s="270">
        <f t="shared" si="135"/>
        <v>90707</v>
      </c>
      <c r="V340" s="270">
        <f t="shared" si="135"/>
        <v>90707</v>
      </c>
      <c r="W340" s="270">
        <f t="shared" si="135"/>
        <v>90707</v>
      </c>
      <c r="X340" s="270">
        <f t="shared" si="135"/>
        <v>90707</v>
      </c>
      <c r="Y340" s="270">
        <f t="shared" si="135"/>
        <v>90707</v>
      </c>
      <c r="Z340" s="270">
        <f t="shared" si="135"/>
        <v>90707</v>
      </c>
      <c r="AA340" s="270">
        <f t="shared" si="135"/>
        <v>90707</v>
      </c>
      <c r="AB340" s="270">
        <f t="shared" si="135"/>
        <v>90707</v>
      </c>
      <c r="AC340" s="270">
        <f t="shared" si="135"/>
        <v>90707</v>
      </c>
      <c r="AD340" s="270">
        <f t="shared" si="137"/>
        <v>90707</v>
      </c>
      <c r="AE340" s="270">
        <f t="shared" si="133"/>
        <v>90707</v>
      </c>
      <c r="AF340" s="270">
        <f t="shared" si="132"/>
        <v>90707</v>
      </c>
      <c r="AG340" s="270">
        <f t="shared" si="132"/>
        <v>90707</v>
      </c>
      <c r="AH340" s="270">
        <f t="shared" si="132"/>
        <v>90707</v>
      </c>
      <c r="AI340" s="270">
        <f t="shared" si="132"/>
        <v>90707</v>
      </c>
      <c r="AJ340" s="270">
        <f t="shared" si="132"/>
        <v>90707</v>
      </c>
      <c r="AK340" s="270">
        <f t="shared" si="132"/>
        <v>90707</v>
      </c>
      <c r="AL340" s="270">
        <f t="shared" si="132"/>
        <v>90707</v>
      </c>
      <c r="AM340" s="270">
        <f t="shared" si="132"/>
        <v>90707</v>
      </c>
    </row>
    <row r="341" spans="2:39" ht="15.75" thickBot="1" x14ac:dyDescent="0.35">
      <c r="B341" s="56" t="str">
        <f>input_names!$B$3</f>
        <v>benzine</v>
      </c>
      <c r="C341" s="61">
        <v>293</v>
      </c>
      <c r="D341" s="270">
        <f t="shared" si="138"/>
        <v>61581</v>
      </c>
      <c r="E341" s="270">
        <f t="shared" si="138"/>
        <v>69705</v>
      </c>
      <c r="F341" s="270">
        <f t="shared" si="138"/>
        <v>72355</v>
      </c>
      <c r="G341" s="270">
        <f t="shared" si="138"/>
        <v>72180</v>
      </c>
      <c r="H341" s="270">
        <f t="shared" si="138"/>
        <v>69912</v>
      </c>
      <c r="I341" s="270">
        <f t="shared" si="138"/>
        <v>70497</v>
      </c>
      <c r="J341" s="270">
        <f t="shared" si="138"/>
        <v>63710</v>
      </c>
      <c r="K341" s="270">
        <f t="shared" si="138"/>
        <v>67485</v>
      </c>
      <c r="L341" s="270">
        <f t="shared" si="138"/>
        <v>69946</v>
      </c>
      <c r="M341" s="270">
        <f t="shared" si="138"/>
        <v>86123</v>
      </c>
      <c r="N341" s="270">
        <f t="shared" si="138"/>
        <v>91275</v>
      </c>
      <c r="O341" s="270">
        <f t="shared" si="138"/>
        <v>91275</v>
      </c>
      <c r="P341" s="270">
        <f t="shared" si="138"/>
        <v>91275</v>
      </c>
      <c r="Q341" s="270">
        <f t="shared" si="138"/>
        <v>91275</v>
      </c>
      <c r="R341" s="270">
        <f t="shared" si="138"/>
        <v>91275</v>
      </c>
      <c r="S341" s="270">
        <f t="shared" si="136"/>
        <v>91275</v>
      </c>
      <c r="T341" s="270">
        <f t="shared" si="136"/>
        <v>91275</v>
      </c>
      <c r="U341" s="270">
        <f t="shared" si="135"/>
        <v>91275</v>
      </c>
      <c r="V341" s="270">
        <f t="shared" si="135"/>
        <v>91275</v>
      </c>
      <c r="W341" s="270">
        <f t="shared" si="135"/>
        <v>91275</v>
      </c>
      <c r="X341" s="270">
        <f t="shared" si="135"/>
        <v>91275</v>
      </c>
      <c r="Y341" s="270">
        <f t="shared" si="135"/>
        <v>91275</v>
      </c>
      <c r="Z341" s="270">
        <f t="shared" si="135"/>
        <v>91275</v>
      </c>
      <c r="AA341" s="270">
        <f t="shared" si="135"/>
        <v>91275</v>
      </c>
      <c r="AB341" s="270">
        <f t="shared" si="135"/>
        <v>91275</v>
      </c>
      <c r="AC341" s="270">
        <f t="shared" si="135"/>
        <v>91275</v>
      </c>
      <c r="AD341" s="270">
        <f t="shared" si="137"/>
        <v>91275</v>
      </c>
      <c r="AE341" s="270">
        <f t="shared" si="133"/>
        <v>91275</v>
      </c>
      <c r="AF341" s="270">
        <f t="shared" si="132"/>
        <v>91275</v>
      </c>
      <c r="AG341" s="270">
        <f t="shared" si="132"/>
        <v>91275</v>
      </c>
      <c r="AH341" s="270">
        <f t="shared" si="132"/>
        <v>91275</v>
      </c>
      <c r="AI341" s="270">
        <f t="shared" si="132"/>
        <v>91275</v>
      </c>
      <c r="AJ341" s="270">
        <f t="shared" si="132"/>
        <v>91275</v>
      </c>
      <c r="AK341" s="270">
        <f t="shared" si="132"/>
        <v>91275</v>
      </c>
      <c r="AL341" s="270">
        <f t="shared" si="132"/>
        <v>91275</v>
      </c>
      <c r="AM341" s="270">
        <f t="shared" si="132"/>
        <v>91275</v>
      </c>
    </row>
    <row r="342" spans="2:39" ht="15.75" thickBot="1" x14ac:dyDescent="0.35">
      <c r="B342" s="56" t="str">
        <f>input_names!$B$3</f>
        <v>benzine</v>
      </c>
      <c r="C342" s="61">
        <v>294</v>
      </c>
      <c r="D342" s="270">
        <f t="shared" si="138"/>
        <v>62015</v>
      </c>
      <c r="E342" s="270">
        <f t="shared" si="138"/>
        <v>70181</v>
      </c>
      <c r="F342" s="270">
        <f t="shared" si="138"/>
        <v>72827</v>
      </c>
      <c r="G342" s="270">
        <f t="shared" si="138"/>
        <v>72635</v>
      </c>
      <c r="H342" s="270">
        <f t="shared" si="138"/>
        <v>70340</v>
      </c>
      <c r="I342" s="270">
        <f t="shared" si="138"/>
        <v>70915</v>
      </c>
      <c r="J342" s="270">
        <f t="shared" si="138"/>
        <v>64142</v>
      </c>
      <c r="K342" s="270">
        <f t="shared" si="138"/>
        <v>67933</v>
      </c>
      <c r="L342" s="270">
        <f t="shared" si="138"/>
        <v>70394</v>
      </c>
      <c r="M342" s="270">
        <f t="shared" si="138"/>
        <v>86672</v>
      </c>
      <c r="N342" s="270">
        <f t="shared" si="138"/>
        <v>91843</v>
      </c>
      <c r="O342" s="270">
        <f t="shared" si="138"/>
        <v>91843</v>
      </c>
      <c r="P342" s="270">
        <f t="shared" si="138"/>
        <v>91843</v>
      </c>
      <c r="Q342" s="270">
        <f t="shared" si="138"/>
        <v>91843</v>
      </c>
      <c r="R342" s="270">
        <f t="shared" si="138"/>
        <v>91843</v>
      </c>
      <c r="S342" s="270">
        <f t="shared" si="136"/>
        <v>91843</v>
      </c>
      <c r="T342" s="270">
        <f t="shared" si="136"/>
        <v>91843</v>
      </c>
      <c r="U342" s="270">
        <f t="shared" si="135"/>
        <v>91843</v>
      </c>
      <c r="V342" s="270">
        <f t="shared" si="135"/>
        <v>91843</v>
      </c>
      <c r="W342" s="270">
        <f t="shared" si="135"/>
        <v>91843</v>
      </c>
      <c r="X342" s="270">
        <f t="shared" si="135"/>
        <v>91843</v>
      </c>
      <c r="Y342" s="270">
        <f t="shared" si="135"/>
        <v>91843</v>
      </c>
      <c r="Z342" s="270">
        <f t="shared" si="135"/>
        <v>91843</v>
      </c>
      <c r="AA342" s="270">
        <f t="shared" si="135"/>
        <v>91843</v>
      </c>
      <c r="AB342" s="270">
        <f t="shared" si="135"/>
        <v>91843</v>
      </c>
      <c r="AC342" s="270">
        <f t="shared" si="135"/>
        <v>91843</v>
      </c>
      <c r="AD342" s="270">
        <f t="shared" si="137"/>
        <v>91843</v>
      </c>
      <c r="AE342" s="270">
        <f t="shared" si="133"/>
        <v>91843</v>
      </c>
      <c r="AF342" s="270">
        <f t="shared" si="132"/>
        <v>91843</v>
      </c>
      <c r="AG342" s="270">
        <f t="shared" si="132"/>
        <v>91843</v>
      </c>
      <c r="AH342" s="270">
        <f t="shared" si="132"/>
        <v>91843</v>
      </c>
      <c r="AI342" s="270">
        <f t="shared" si="132"/>
        <v>91843</v>
      </c>
      <c r="AJ342" s="270">
        <f t="shared" si="132"/>
        <v>91843</v>
      </c>
      <c r="AK342" s="270">
        <f t="shared" si="132"/>
        <v>91843</v>
      </c>
      <c r="AL342" s="270">
        <f t="shared" si="132"/>
        <v>91843</v>
      </c>
      <c r="AM342" s="270">
        <f t="shared" si="132"/>
        <v>91843</v>
      </c>
    </row>
    <row r="343" spans="2:39" ht="15.75" thickBot="1" x14ac:dyDescent="0.35">
      <c r="B343" s="56" t="str">
        <f>input_names!$B$3</f>
        <v>benzine</v>
      </c>
      <c r="C343" s="61">
        <v>295</v>
      </c>
      <c r="D343" s="270">
        <f t="shared" si="138"/>
        <v>62449</v>
      </c>
      <c r="E343" s="270">
        <f t="shared" si="138"/>
        <v>70657</v>
      </c>
      <c r="F343" s="270">
        <f t="shared" si="138"/>
        <v>73299</v>
      </c>
      <c r="G343" s="270">
        <f t="shared" si="138"/>
        <v>73090</v>
      </c>
      <c r="H343" s="270">
        <f t="shared" si="138"/>
        <v>70768</v>
      </c>
      <c r="I343" s="270">
        <f t="shared" si="138"/>
        <v>71333</v>
      </c>
      <c r="J343" s="270">
        <f t="shared" si="138"/>
        <v>64574</v>
      </c>
      <c r="K343" s="270">
        <f t="shared" si="138"/>
        <v>68381</v>
      </c>
      <c r="L343" s="270">
        <f t="shared" si="138"/>
        <v>70842</v>
      </c>
      <c r="M343" s="270">
        <f t="shared" si="138"/>
        <v>87221</v>
      </c>
      <c r="N343" s="270">
        <f t="shared" si="138"/>
        <v>92411</v>
      </c>
      <c r="O343" s="270">
        <f t="shared" si="138"/>
        <v>92411</v>
      </c>
      <c r="P343" s="270">
        <f t="shared" si="138"/>
        <v>92411</v>
      </c>
      <c r="Q343" s="270">
        <f t="shared" si="138"/>
        <v>92411</v>
      </c>
      <c r="R343" s="270">
        <f t="shared" si="138"/>
        <v>92411</v>
      </c>
      <c r="S343" s="270">
        <f t="shared" si="136"/>
        <v>92411</v>
      </c>
      <c r="T343" s="270">
        <f t="shared" si="136"/>
        <v>92411</v>
      </c>
      <c r="U343" s="270">
        <f t="shared" si="135"/>
        <v>92411</v>
      </c>
      <c r="V343" s="270">
        <f t="shared" si="135"/>
        <v>92411</v>
      </c>
      <c r="W343" s="270">
        <f t="shared" si="135"/>
        <v>92411</v>
      </c>
      <c r="X343" s="270">
        <f t="shared" si="135"/>
        <v>92411</v>
      </c>
      <c r="Y343" s="270">
        <f t="shared" si="135"/>
        <v>92411</v>
      </c>
      <c r="Z343" s="270">
        <f t="shared" si="135"/>
        <v>92411</v>
      </c>
      <c r="AA343" s="270">
        <f t="shared" si="135"/>
        <v>92411</v>
      </c>
      <c r="AB343" s="270">
        <f t="shared" si="135"/>
        <v>92411</v>
      </c>
      <c r="AC343" s="270">
        <f t="shared" si="135"/>
        <v>92411</v>
      </c>
      <c r="AD343" s="270">
        <f t="shared" si="137"/>
        <v>92411</v>
      </c>
      <c r="AE343" s="270">
        <f t="shared" si="133"/>
        <v>92411</v>
      </c>
      <c r="AF343" s="270">
        <f t="shared" si="132"/>
        <v>92411</v>
      </c>
      <c r="AG343" s="270">
        <f t="shared" si="132"/>
        <v>92411</v>
      </c>
      <c r="AH343" s="270">
        <f t="shared" si="132"/>
        <v>92411</v>
      </c>
      <c r="AI343" s="270">
        <f t="shared" si="132"/>
        <v>92411</v>
      </c>
      <c r="AJ343" s="270">
        <f t="shared" si="132"/>
        <v>92411</v>
      </c>
      <c r="AK343" s="270">
        <f t="shared" si="132"/>
        <v>92411</v>
      </c>
      <c r="AL343" s="270">
        <f t="shared" si="132"/>
        <v>92411</v>
      </c>
      <c r="AM343" s="270">
        <f t="shared" si="132"/>
        <v>92411</v>
      </c>
    </row>
    <row r="344" spans="2:39" ht="15.75" thickBot="1" x14ac:dyDescent="0.35">
      <c r="B344" s="56" t="str">
        <f>input_names!$B$3</f>
        <v>benzine</v>
      </c>
      <c r="C344" s="61">
        <v>296</v>
      </c>
      <c r="D344" s="270">
        <f t="shared" si="138"/>
        <v>62883</v>
      </c>
      <c r="E344" s="270">
        <f t="shared" si="138"/>
        <v>71133</v>
      </c>
      <c r="F344" s="270">
        <f t="shared" si="138"/>
        <v>73771</v>
      </c>
      <c r="G344" s="270">
        <f t="shared" si="138"/>
        <v>73545</v>
      </c>
      <c r="H344" s="270">
        <f t="shared" si="138"/>
        <v>71196</v>
      </c>
      <c r="I344" s="270">
        <f t="shared" si="138"/>
        <v>71751</v>
      </c>
      <c r="J344" s="270">
        <f t="shared" si="138"/>
        <v>65006</v>
      </c>
      <c r="K344" s="270">
        <f t="shared" si="138"/>
        <v>68829</v>
      </c>
      <c r="L344" s="270">
        <f t="shared" si="138"/>
        <v>71290</v>
      </c>
      <c r="M344" s="270">
        <f t="shared" si="138"/>
        <v>87770</v>
      </c>
      <c r="N344" s="270">
        <f t="shared" si="138"/>
        <v>92979</v>
      </c>
      <c r="O344" s="270">
        <f t="shared" si="138"/>
        <v>92979</v>
      </c>
      <c r="P344" s="270">
        <f t="shared" si="138"/>
        <v>92979</v>
      </c>
      <c r="Q344" s="270">
        <f t="shared" si="138"/>
        <v>92979</v>
      </c>
      <c r="R344" s="270">
        <f t="shared" si="138"/>
        <v>92979</v>
      </c>
      <c r="S344" s="270">
        <f t="shared" si="136"/>
        <v>92979</v>
      </c>
      <c r="T344" s="270">
        <f t="shared" si="136"/>
        <v>92979</v>
      </c>
      <c r="U344" s="270">
        <f t="shared" si="135"/>
        <v>92979</v>
      </c>
      <c r="V344" s="270">
        <f t="shared" si="135"/>
        <v>92979</v>
      </c>
      <c r="W344" s="270">
        <f t="shared" si="135"/>
        <v>92979</v>
      </c>
      <c r="X344" s="270">
        <f t="shared" si="135"/>
        <v>92979</v>
      </c>
      <c r="Y344" s="270">
        <f t="shared" si="135"/>
        <v>92979</v>
      </c>
      <c r="Z344" s="270">
        <f t="shared" si="135"/>
        <v>92979</v>
      </c>
      <c r="AA344" s="270">
        <f t="shared" si="135"/>
        <v>92979</v>
      </c>
      <c r="AB344" s="270">
        <f t="shared" si="135"/>
        <v>92979</v>
      </c>
      <c r="AC344" s="270">
        <f t="shared" si="135"/>
        <v>92979</v>
      </c>
      <c r="AD344" s="270">
        <f t="shared" si="137"/>
        <v>92979</v>
      </c>
      <c r="AE344" s="270">
        <f t="shared" si="133"/>
        <v>92979</v>
      </c>
      <c r="AF344" s="270">
        <f t="shared" si="132"/>
        <v>92979</v>
      </c>
      <c r="AG344" s="270">
        <f t="shared" si="132"/>
        <v>92979</v>
      </c>
      <c r="AH344" s="270">
        <f t="shared" si="132"/>
        <v>92979</v>
      </c>
      <c r="AI344" s="270">
        <f t="shared" si="132"/>
        <v>92979</v>
      </c>
      <c r="AJ344" s="270">
        <f t="shared" ref="AF344:AM372" si="139">+MIN(MAX(0,$C344-AJ$11),AJ$12-AJ$11)*AJ$17
+MIN(MAX(0,$C344-AJ$12),AJ$13-AJ$12)*AJ$18
+MIN(MAX(0,$C344-AJ$13),AJ$14-AJ$13)*AJ$19
+MIN(MAX(0,$C344-AJ$14),AJ$15-AJ$14)*AJ$20
+MAX(0,$C344-AJ$15)*AJ$21
+AJ$26</f>
        <v>92979</v>
      </c>
      <c r="AK344" s="270">
        <f t="shared" si="139"/>
        <v>92979</v>
      </c>
      <c r="AL344" s="270">
        <f t="shared" si="139"/>
        <v>92979</v>
      </c>
      <c r="AM344" s="270">
        <f t="shared" si="139"/>
        <v>92979</v>
      </c>
    </row>
    <row r="345" spans="2:39" ht="15.75" thickBot="1" x14ac:dyDescent="0.35">
      <c r="B345" s="56" t="str">
        <f>input_names!$B$3</f>
        <v>benzine</v>
      </c>
      <c r="C345" s="61">
        <v>297</v>
      </c>
      <c r="D345" s="270">
        <f t="shared" si="138"/>
        <v>63317</v>
      </c>
      <c r="E345" s="270">
        <f t="shared" si="138"/>
        <v>71609</v>
      </c>
      <c r="F345" s="270">
        <f t="shared" si="138"/>
        <v>74243</v>
      </c>
      <c r="G345" s="270">
        <f t="shared" si="138"/>
        <v>74000</v>
      </c>
      <c r="H345" s="270">
        <f t="shared" si="138"/>
        <v>71624</v>
      </c>
      <c r="I345" s="270">
        <f t="shared" si="138"/>
        <v>72169</v>
      </c>
      <c r="J345" s="270">
        <f t="shared" si="138"/>
        <v>65438</v>
      </c>
      <c r="K345" s="270">
        <f t="shared" si="138"/>
        <v>69277</v>
      </c>
      <c r="L345" s="270">
        <f t="shared" si="138"/>
        <v>71738</v>
      </c>
      <c r="M345" s="270">
        <f t="shared" si="138"/>
        <v>88319</v>
      </c>
      <c r="N345" s="270">
        <f t="shared" si="138"/>
        <v>93547</v>
      </c>
      <c r="O345" s="270">
        <f t="shared" si="138"/>
        <v>93547</v>
      </c>
      <c r="P345" s="270">
        <f t="shared" si="138"/>
        <v>93547</v>
      </c>
      <c r="Q345" s="270">
        <f t="shared" si="138"/>
        <v>93547</v>
      </c>
      <c r="R345" s="270">
        <f t="shared" si="138"/>
        <v>93547</v>
      </c>
      <c r="S345" s="270">
        <f t="shared" si="136"/>
        <v>93547</v>
      </c>
      <c r="T345" s="270">
        <f t="shared" si="136"/>
        <v>93547</v>
      </c>
      <c r="U345" s="270">
        <f t="shared" si="135"/>
        <v>93547</v>
      </c>
      <c r="V345" s="270">
        <f t="shared" si="135"/>
        <v>93547</v>
      </c>
      <c r="W345" s="270">
        <f t="shared" si="135"/>
        <v>93547</v>
      </c>
      <c r="X345" s="270">
        <f t="shared" si="135"/>
        <v>93547</v>
      </c>
      <c r="Y345" s="270">
        <f t="shared" si="135"/>
        <v>93547</v>
      </c>
      <c r="Z345" s="270">
        <f t="shared" si="135"/>
        <v>93547</v>
      </c>
      <c r="AA345" s="270">
        <f t="shared" si="135"/>
        <v>93547</v>
      </c>
      <c r="AB345" s="270">
        <f t="shared" si="135"/>
        <v>93547</v>
      </c>
      <c r="AC345" s="270">
        <f t="shared" si="135"/>
        <v>93547</v>
      </c>
      <c r="AD345" s="270">
        <f t="shared" si="137"/>
        <v>93547</v>
      </c>
      <c r="AE345" s="270">
        <f t="shared" si="133"/>
        <v>93547</v>
      </c>
      <c r="AF345" s="270">
        <f t="shared" si="139"/>
        <v>93547</v>
      </c>
      <c r="AG345" s="270">
        <f t="shared" si="139"/>
        <v>93547</v>
      </c>
      <c r="AH345" s="270">
        <f t="shared" si="139"/>
        <v>93547</v>
      </c>
      <c r="AI345" s="270">
        <f t="shared" si="139"/>
        <v>93547</v>
      </c>
      <c r="AJ345" s="270">
        <f t="shared" si="139"/>
        <v>93547</v>
      </c>
      <c r="AK345" s="270">
        <f t="shared" si="139"/>
        <v>93547</v>
      </c>
      <c r="AL345" s="270">
        <f t="shared" si="139"/>
        <v>93547</v>
      </c>
      <c r="AM345" s="270">
        <f t="shared" si="139"/>
        <v>93547</v>
      </c>
    </row>
    <row r="346" spans="2:39" ht="15.75" thickBot="1" x14ac:dyDescent="0.35">
      <c r="B346" s="56" t="str">
        <f>input_names!$B$3</f>
        <v>benzine</v>
      </c>
      <c r="C346" s="61">
        <v>298</v>
      </c>
      <c r="D346" s="270">
        <f t="shared" si="138"/>
        <v>63751</v>
      </c>
      <c r="E346" s="270">
        <f t="shared" si="138"/>
        <v>72085</v>
      </c>
      <c r="F346" s="270">
        <f t="shared" si="138"/>
        <v>74715</v>
      </c>
      <c r="G346" s="270">
        <f t="shared" si="138"/>
        <v>74455</v>
      </c>
      <c r="H346" s="270">
        <f t="shared" si="138"/>
        <v>72052</v>
      </c>
      <c r="I346" s="270">
        <f t="shared" si="138"/>
        <v>72587</v>
      </c>
      <c r="J346" s="270">
        <f t="shared" si="138"/>
        <v>65870</v>
      </c>
      <c r="K346" s="270">
        <f t="shared" si="138"/>
        <v>69725</v>
      </c>
      <c r="L346" s="270">
        <f t="shared" si="138"/>
        <v>72186</v>
      </c>
      <c r="M346" s="270">
        <f t="shared" si="138"/>
        <v>88868</v>
      </c>
      <c r="N346" s="270">
        <f t="shared" si="138"/>
        <v>94115</v>
      </c>
      <c r="O346" s="270">
        <f t="shared" si="138"/>
        <v>94115</v>
      </c>
      <c r="P346" s="270">
        <f t="shared" si="138"/>
        <v>94115</v>
      </c>
      <c r="Q346" s="270">
        <f t="shared" si="138"/>
        <v>94115</v>
      </c>
      <c r="R346" s="270">
        <f t="shared" si="138"/>
        <v>94115</v>
      </c>
      <c r="S346" s="270">
        <f t="shared" si="136"/>
        <v>94115</v>
      </c>
      <c r="T346" s="270">
        <f t="shared" si="136"/>
        <v>94115</v>
      </c>
      <c r="U346" s="270">
        <f t="shared" si="135"/>
        <v>94115</v>
      </c>
      <c r="V346" s="270">
        <f t="shared" si="135"/>
        <v>94115</v>
      </c>
      <c r="W346" s="270">
        <f t="shared" si="135"/>
        <v>94115</v>
      </c>
      <c r="X346" s="270">
        <f t="shared" si="135"/>
        <v>94115</v>
      </c>
      <c r="Y346" s="270">
        <f t="shared" si="135"/>
        <v>94115</v>
      </c>
      <c r="Z346" s="270">
        <f t="shared" si="135"/>
        <v>94115</v>
      </c>
      <c r="AA346" s="270">
        <f t="shared" si="135"/>
        <v>94115</v>
      </c>
      <c r="AB346" s="270">
        <f t="shared" si="135"/>
        <v>94115</v>
      </c>
      <c r="AC346" s="270">
        <f t="shared" si="135"/>
        <v>94115</v>
      </c>
      <c r="AD346" s="270">
        <f t="shared" si="137"/>
        <v>94115</v>
      </c>
      <c r="AE346" s="270">
        <f t="shared" si="133"/>
        <v>94115</v>
      </c>
      <c r="AF346" s="270">
        <f t="shared" si="139"/>
        <v>94115</v>
      </c>
      <c r="AG346" s="270">
        <f t="shared" si="139"/>
        <v>94115</v>
      </c>
      <c r="AH346" s="270">
        <f t="shared" si="139"/>
        <v>94115</v>
      </c>
      <c r="AI346" s="270">
        <f t="shared" si="139"/>
        <v>94115</v>
      </c>
      <c r="AJ346" s="270">
        <f t="shared" si="139"/>
        <v>94115</v>
      </c>
      <c r="AK346" s="270">
        <f t="shared" si="139"/>
        <v>94115</v>
      </c>
      <c r="AL346" s="270">
        <f t="shared" si="139"/>
        <v>94115</v>
      </c>
      <c r="AM346" s="270">
        <f t="shared" si="139"/>
        <v>94115</v>
      </c>
    </row>
    <row r="347" spans="2:39" ht="15.75" thickBot="1" x14ac:dyDescent="0.35">
      <c r="B347" s="56" t="str">
        <f>input_names!$B$3</f>
        <v>benzine</v>
      </c>
      <c r="C347" s="61">
        <v>299</v>
      </c>
      <c r="D347" s="270">
        <f t="shared" si="138"/>
        <v>64185</v>
      </c>
      <c r="E347" s="270">
        <f t="shared" si="138"/>
        <v>72561</v>
      </c>
      <c r="F347" s="270">
        <f t="shared" si="138"/>
        <v>75187</v>
      </c>
      <c r="G347" s="270">
        <f t="shared" si="138"/>
        <v>74910</v>
      </c>
      <c r="H347" s="270">
        <f t="shared" si="138"/>
        <v>72480</v>
      </c>
      <c r="I347" s="270">
        <f t="shared" si="138"/>
        <v>73005</v>
      </c>
      <c r="J347" s="270">
        <f t="shared" si="138"/>
        <v>66302</v>
      </c>
      <c r="K347" s="270">
        <f t="shared" si="138"/>
        <v>70173</v>
      </c>
      <c r="L347" s="270">
        <f t="shared" si="138"/>
        <v>72634</v>
      </c>
      <c r="M347" s="270">
        <f t="shared" si="138"/>
        <v>89417</v>
      </c>
      <c r="N347" s="270">
        <f t="shared" si="138"/>
        <v>94683</v>
      </c>
      <c r="O347" s="270">
        <f t="shared" si="138"/>
        <v>94683</v>
      </c>
      <c r="P347" s="270">
        <f t="shared" si="138"/>
        <v>94683</v>
      </c>
      <c r="Q347" s="270">
        <f t="shared" si="138"/>
        <v>94683</v>
      </c>
      <c r="R347" s="270">
        <f t="shared" si="138"/>
        <v>94683</v>
      </c>
      <c r="S347" s="270">
        <f t="shared" si="136"/>
        <v>94683</v>
      </c>
      <c r="T347" s="270">
        <f t="shared" si="136"/>
        <v>94683</v>
      </c>
      <c r="U347" s="270">
        <f t="shared" si="135"/>
        <v>94683</v>
      </c>
      <c r="V347" s="270">
        <f t="shared" si="135"/>
        <v>94683</v>
      </c>
      <c r="W347" s="270">
        <f t="shared" si="135"/>
        <v>94683</v>
      </c>
      <c r="X347" s="270">
        <f t="shared" si="135"/>
        <v>94683</v>
      </c>
      <c r="Y347" s="270">
        <f t="shared" si="135"/>
        <v>94683</v>
      </c>
      <c r="Z347" s="270">
        <f t="shared" si="135"/>
        <v>94683</v>
      </c>
      <c r="AA347" s="270">
        <f t="shared" si="135"/>
        <v>94683</v>
      </c>
      <c r="AB347" s="270">
        <f t="shared" si="135"/>
        <v>94683</v>
      </c>
      <c r="AC347" s="270">
        <f t="shared" si="135"/>
        <v>94683</v>
      </c>
      <c r="AD347" s="270">
        <f t="shared" si="137"/>
        <v>94683</v>
      </c>
      <c r="AE347" s="270">
        <f t="shared" si="133"/>
        <v>94683</v>
      </c>
      <c r="AF347" s="270">
        <f t="shared" si="139"/>
        <v>94683</v>
      </c>
      <c r="AG347" s="270">
        <f t="shared" si="139"/>
        <v>94683</v>
      </c>
      <c r="AH347" s="270">
        <f t="shared" si="139"/>
        <v>94683</v>
      </c>
      <c r="AI347" s="270">
        <f t="shared" si="139"/>
        <v>94683</v>
      </c>
      <c r="AJ347" s="270">
        <f t="shared" si="139"/>
        <v>94683</v>
      </c>
      <c r="AK347" s="270">
        <f t="shared" si="139"/>
        <v>94683</v>
      </c>
      <c r="AL347" s="270">
        <f t="shared" si="139"/>
        <v>94683</v>
      </c>
      <c r="AM347" s="270">
        <f t="shared" si="139"/>
        <v>94683</v>
      </c>
    </row>
    <row r="348" spans="2:39" ht="15.75" thickBot="1" x14ac:dyDescent="0.35">
      <c r="B348" s="56" t="str">
        <f>input_names!$B$3</f>
        <v>benzine</v>
      </c>
      <c r="C348" s="61">
        <v>300</v>
      </c>
      <c r="D348" s="270">
        <f t="shared" si="138"/>
        <v>64619</v>
      </c>
      <c r="E348" s="270">
        <f t="shared" si="138"/>
        <v>73037</v>
      </c>
      <c r="F348" s="270">
        <f t="shared" si="138"/>
        <v>75659</v>
      </c>
      <c r="G348" s="270">
        <f t="shared" si="138"/>
        <v>75365</v>
      </c>
      <c r="H348" s="270">
        <f t="shared" si="138"/>
        <v>72908</v>
      </c>
      <c r="I348" s="270">
        <f t="shared" si="138"/>
        <v>73423</v>
      </c>
      <c r="J348" s="270">
        <f t="shared" si="138"/>
        <v>66734</v>
      </c>
      <c r="K348" s="270">
        <f t="shared" si="138"/>
        <v>70621</v>
      </c>
      <c r="L348" s="270">
        <f t="shared" si="138"/>
        <v>73082</v>
      </c>
      <c r="M348" s="270">
        <f t="shared" si="138"/>
        <v>89966</v>
      </c>
      <c r="N348" s="270">
        <f t="shared" si="138"/>
        <v>95251</v>
      </c>
      <c r="O348" s="270">
        <f t="shared" si="138"/>
        <v>95251</v>
      </c>
      <c r="P348" s="270">
        <f t="shared" si="138"/>
        <v>95251</v>
      </c>
      <c r="Q348" s="270">
        <f t="shared" si="138"/>
        <v>95251</v>
      </c>
      <c r="R348" s="270">
        <f t="shared" si="138"/>
        <v>95251</v>
      </c>
      <c r="S348" s="270">
        <f t="shared" si="136"/>
        <v>95251</v>
      </c>
      <c r="T348" s="270">
        <f t="shared" si="136"/>
        <v>95251</v>
      </c>
      <c r="U348" s="270">
        <f t="shared" si="135"/>
        <v>95251</v>
      </c>
      <c r="V348" s="270">
        <f t="shared" si="135"/>
        <v>95251</v>
      </c>
      <c r="W348" s="270">
        <f t="shared" si="135"/>
        <v>95251</v>
      </c>
      <c r="X348" s="270">
        <f t="shared" si="135"/>
        <v>95251</v>
      </c>
      <c r="Y348" s="270">
        <f t="shared" si="135"/>
        <v>95251</v>
      </c>
      <c r="Z348" s="270">
        <f t="shared" si="135"/>
        <v>95251</v>
      </c>
      <c r="AA348" s="270">
        <f t="shared" si="135"/>
        <v>95251</v>
      </c>
      <c r="AB348" s="270">
        <f t="shared" si="135"/>
        <v>95251</v>
      </c>
      <c r="AC348" s="270">
        <f t="shared" si="135"/>
        <v>95251</v>
      </c>
      <c r="AD348" s="270">
        <f t="shared" si="137"/>
        <v>95251</v>
      </c>
      <c r="AE348" s="270">
        <f t="shared" si="133"/>
        <v>95251</v>
      </c>
      <c r="AF348" s="270">
        <f t="shared" si="139"/>
        <v>95251</v>
      </c>
      <c r="AG348" s="270">
        <f t="shared" si="139"/>
        <v>95251</v>
      </c>
      <c r="AH348" s="270">
        <f t="shared" si="139"/>
        <v>95251</v>
      </c>
      <c r="AI348" s="270">
        <f t="shared" si="139"/>
        <v>95251</v>
      </c>
      <c r="AJ348" s="270">
        <f t="shared" si="139"/>
        <v>95251</v>
      </c>
      <c r="AK348" s="270">
        <f t="shared" si="139"/>
        <v>95251</v>
      </c>
      <c r="AL348" s="270">
        <f t="shared" si="139"/>
        <v>95251</v>
      </c>
      <c r="AM348" s="270">
        <f t="shared" si="139"/>
        <v>95251</v>
      </c>
    </row>
    <row r="349" spans="2:39" ht="15.75" thickBot="1" x14ac:dyDescent="0.35">
      <c r="B349" s="56" t="str">
        <f>input_names!$B$3</f>
        <v>benzine</v>
      </c>
      <c r="C349" s="61">
        <v>301</v>
      </c>
      <c r="D349" s="270">
        <f t="shared" si="138"/>
        <v>65053</v>
      </c>
      <c r="E349" s="270">
        <f t="shared" si="138"/>
        <v>73513</v>
      </c>
      <c r="F349" s="270">
        <f t="shared" si="138"/>
        <v>76131</v>
      </c>
      <c r="G349" s="270">
        <f t="shared" si="138"/>
        <v>75820</v>
      </c>
      <c r="H349" s="270">
        <f t="shared" si="138"/>
        <v>73336</v>
      </c>
      <c r="I349" s="270">
        <f t="shared" si="138"/>
        <v>73841</v>
      </c>
      <c r="J349" s="270">
        <f t="shared" si="138"/>
        <v>67166</v>
      </c>
      <c r="K349" s="270">
        <f t="shared" si="138"/>
        <v>71069</v>
      </c>
      <c r="L349" s="270">
        <f t="shared" si="138"/>
        <v>73530</v>
      </c>
      <c r="M349" s="270">
        <f t="shared" si="138"/>
        <v>90515</v>
      </c>
      <c r="N349" s="270">
        <f t="shared" si="138"/>
        <v>95819</v>
      </c>
      <c r="O349" s="270">
        <f t="shared" si="138"/>
        <v>95819</v>
      </c>
      <c r="P349" s="270">
        <f t="shared" si="138"/>
        <v>95819</v>
      </c>
      <c r="Q349" s="270">
        <f t="shared" si="138"/>
        <v>95819</v>
      </c>
      <c r="R349" s="270">
        <f t="shared" si="138"/>
        <v>95819</v>
      </c>
      <c r="S349" s="270">
        <f t="shared" si="136"/>
        <v>95819</v>
      </c>
      <c r="T349" s="270">
        <f t="shared" si="136"/>
        <v>95819</v>
      </c>
      <c r="U349" s="270">
        <f t="shared" si="135"/>
        <v>95819</v>
      </c>
      <c r="V349" s="270">
        <f t="shared" si="135"/>
        <v>95819</v>
      </c>
      <c r="W349" s="270">
        <f t="shared" si="135"/>
        <v>95819</v>
      </c>
      <c r="X349" s="270">
        <f t="shared" si="135"/>
        <v>95819</v>
      </c>
      <c r="Y349" s="270">
        <f t="shared" si="135"/>
        <v>95819</v>
      </c>
      <c r="Z349" s="270">
        <f t="shared" si="135"/>
        <v>95819</v>
      </c>
      <c r="AA349" s="270">
        <f t="shared" si="135"/>
        <v>95819</v>
      </c>
      <c r="AB349" s="270">
        <f t="shared" si="135"/>
        <v>95819</v>
      </c>
      <c r="AC349" s="270">
        <f t="shared" si="135"/>
        <v>95819</v>
      </c>
      <c r="AD349" s="270">
        <f t="shared" si="137"/>
        <v>95819</v>
      </c>
      <c r="AE349" s="270">
        <f t="shared" si="133"/>
        <v>95819</v>
      </c>
      <c r="AF349" s="270">
        <f t="shared" si="139"/>
        <v>95819</v>
      </c>
      <c r="AG349" s="270">
        <f t="shared" si="139"/>
        <v>95819</v>
      </c>
      <c r="AH349" s="270">
        <f t="shared" si="139"/>
        <v>95819</v>
      </c>
      <c r="AI349" s="270">
        <f t="shared" si="139"/>
        <v>95819</v>
      </c>
      <c r="AJ349" s="270">
        <f t="shared" si="139"/>
        <v>95819</v>
      </c>
      <c r="AK349" s="270">
        <f t="shared" si="139"/>
        <v>95819</v>
      </c>
      <c r="AL349" s="270">
        <f t="shared" si="139"/>
        <v>95819</v>
      </c>
      <c r="AM349" s="270">
        <f t="shared" si="139"/>
        <v>95819</v>
      </c>
    </row>
    <row r="350" spans="2:39" ht="15.75" thickBot="1" x14ac:dyDescent="0.35">
      <c r="B350" s="56" t="str">
        <f>input_names!$B$3</f>
        <v>benzine</v>
      </c>
      <c r="C350" s="61">
        <v>302</v>
      </c>
      <c r="D350" s="270">
        <f t="shared" si="138"/>
        <v>65487</v>
      </c>
      <c r="E350" s="270">
        <f t="shared" si="138"/>
        <v>73989</v>
      </c>
      <c r="F350" s="270">
        <f t="shared" si="138"/>
        <v>76603</v>
      </c>
      <c r="G350" s="270">
        <f t="shared" si="138"/>
        <v>76275</v>
      </c>
      <c r="H350" s="270">
        <f t="shared" si="138"/>
        <v>73764</v>
      </c>
      <c r="I350" s="270">
        <f t="shared" si="138"/>
        <v>74259</v>
      </c>
      <c r="J350" s="270">
        <f t="shared" si="138"/>
        <v>67598</v>
      </c>
      <c r="K350" s="270">
        <f t="shared" si="138"/>
        <v>71517</v>
      </c>
      <c r="L350" s="270">
        <f t="shared" si="138"/>
        <v>73978</v>
      </c>
      <c r="M350" s="270">
        <f t="shared" si="138"/>
        <v>91064</v>
      </c>
      <c r="N350" s="270">
        <f t="shared" si="138"/>
        <v>96387</v>
      </c>
      <c r="O350" s="270">
        <f t="shared" si="138"/>
        <v>96387</v>
      </c>
      <c r="P350" s="270">
        <f t="shared" si="138"/>
        <v>96387</v>
      </c>
      <c r="Q350" s="270">
        <f t="shared" si="138"/>
        <v>96387</v>
      </c>
      <c r="R350" s="270">
        <f t="shared" si="138"/>
        <v>96387</v>
      </c>
      <c r="S350" s="270">
        <f t="shared" si="136"/>
        <v>96387</v>
      </c>
      <c r="T350" s="270">
        <f t="shared" si="136"/>
        <v>96387</v>
      </c>
      <c r="U350" s="270">
        <f t="shared" si="135"/>
        <v>96387</v>
      </c>
      <c r="V350" s="270">
        <f t="shared" si="135"/>
        <v>96387</v>
      </c>
      <c r="W350" s="270">
        <f t="shared" si="135"/>
        <v>96387</v>
      </c>
      <c r="X350" s="270">
        <f t="shared" si="135"/>
        <v>96387</v>
      </c>
      <c r="Y350" s="270">
        <f t="shared" si="135"/>
        <v>96387</v>
      </c>
      <c r="Z350" s="270">
        <f t="shared" si="135"/>
        <v>96387</v>
      </c>
      <c r="AA350" s="270">
        <f t="shared" si="135"/>
        <v>96387</v>
      </c>
      <c r="AB350" s="270">
        <f t="shared" si="135"/>
        <v>96387</v>
      </c>
      <c r="AC350" s="270">
        <f t="shared" si="135"/>
        <v>96387</v>
      </c>
      <c r="AD350" s="270">
        <f t="shared" si="137"/>
        <v>96387</v>
      </c>
      <c r="AE350" s="270">
        <f t="shared" si="133"/>
        <v>96387</v>
      </c>
      <c r="AF350" s="270">
        <f t="shared" si="139"/>
        <v>96387</v>
      </c>
      <c r="AG350" s="270">
        <f t="shared" si="139"/>
        <v>96387</v>
      </c>
      <c r="AH350" s="270">
        <f t="shared" si="139"/>
        <v>96387</v>
      </c>
      <c r="AI350" s="270">
        <f t="shared" si="139"/>
        <v>96387</v>
      </c>
      <c r="AJ350" s="270">
        <f t="shared" si="139"/>
        <v>96387</v>
      </c>
      <c r="AK350" s="270">
        <f t="shared" si="139"/>
        <v>96387</v>
      </c>
      <c r="AL350" s="270">
        <f t="shared" si="139"/>
        <v>96387</v>
      </c>
      <c r="AM350" s="270">
        <f t="shared" si="139"/>
        <v>96387</v>
      </c>
    </row>
    <row r="351" spans="2:39" ht="15.75" thickBot="1" x14ac:dyDescent="0.35">
      <c r="B351" s="56" t="str">
        <f>input_names!$B$3</f>
        <v>benzine</v>
      </c>
      <c r="C351" s="61">
        <v>303</v>
      </c>
      <c r="D351" s="270">
        <f t="shared" si="138"/>
        <v>65921</v>
      </c>
      <c r="E351" s="270">
        <f t="shared" si="138"/>
        <v>74465</v>
      </c>
      <c r="F351" s="270">
        <f t="shared" si="138"/>
        <v>77075</v>
      </c>
      <c r="G351" s="270">
        <f t="shared" si="138"/>
        <v>76730</v>
      </c>
      <c r="H351" s="270">
        <f t="shared" si="138"/>
        <v>74192</v>
      </c>
      <c r="I351" s="270">
        <f t="shared" si="138"/>
        <v>74677</v>
      </c>
      <c r="J351" s="270">
        <f t="shared" si="138"/>
        <v>68030</v>
      </c>
      <c r="K351" s="270">
        <f t="shared" si="138"/>
        <v>71965</v>
      </c>
      <c r="L351" s="270">
        <f t="shared" si="138"/>
        <v>74426</v>
      </c>
      <c r="M351" s="270">
        <f t="shared" si="138"/>
        <v>91613</v>
      </c>
      <c r="N351" s="270">
        <f t="shared" si="138"/>
        <v>96955</v>
      </c>
      <c r="O351" s="270">
        <f t="shared" si="138"/>
        <v>96955</v>
      </c>
      <c r="P351" s="270">
        <f t="shared" si="138"/>
        <v>96955</v>
      </c>
      <c r="Q351" s="270">
        <f t="shared" si="138"/>
        <v>96955</v>
      </c>
      <c r="R351" s="270">
        <f t="shared" si="138"/>
        <v>96955</v>
      </c>
      <c r="S351" s="270">
        <f t="shared" si="136"/>
        <v>96955</v>
      </c>
      <c r="T351" s="270">
        <f t="shared" si="136"/>
        <v>96955</v>
      </c>
      <c r="U351" s="270">
        <f t="shared" si="135"/>
        <v>96955</v>
      </c>
      <c r="V351" s="270">
        <f t="shared" si="135"/>
        <v>96955</v>
      </c>
      <c r="W351" s="270">
        <f t="shared" si="135"/>
        <v>96955</v>
      </c>
      <c r="X351" s="270">
        <f t="shared" si="135"/>
        <v>96955</v>
      </c>
      <c r="Y351" s="270">
        <f t="shared" si="135"/>
        <v>96955</v>
      </c>
      <c r="Z351" s="270">
        <f t="shared" si="135"/>
        <v>96955</v>
      </c>
      <c r="AA351" s="270">
        <f t="shared" si="135"/>
        <v>96955</v>
      </c>
      <c r="AB351" s="270">
        <f t="shared" si="135"/>
        <v>96955</v>
      </c>
      <c r="AC351" s="270">
        <f t="shared" si="135"/>
        <v>96955</v>
      </c>
      <c r="AD351" s="270">
        <f t="shared" si="137"/>
        <v>96955</v>
      </c>
      <c r="AE351" s="270">
        <f t="shared" si="133"/>
        <v>96955</v>
      </c>
      <c r="AF351" s="270">
        <f t="shared" si="139"/>
        <v>96955</v>
      </c>
      <c r="AG351" s="270">
        <f t="shared" si="139"/>
        <v>96955</v>
      </c>
      <c r="AH351" s="270">
        <f t="shared" si="139"/>
        <v>96955</v>
      </c>
      <c r="AI351" s="270">
        <f t="shared" si="139"/>
        <v>96955</v>
      </c>
      <c r="AJ351" s="270">
        <f t="shared" si="139"/>
        <v>96955</v>
      </c>
      <c r="AK351" s="270">
        <f t="shared" si="139"/>
        <v>96955</v>
      </c>
      <c r="AL351" s="270">
        <f t="shared" si="139"/>
        <v>96955</v>
      </c>
      <c r="AM351" s="270">
        <f t="shared" si="139"/>
        <v>96955</v>
      </c>
    </row>
    <row r="352" spans="2:39" ht="15.75" thickBot="1" x14ac:dyDescent="0.35">
      <c r="B352" s="56" t="str">
        <f>input_names!$B$3</f>
        <v>benzine</v>
      </c>
      <c r="C352" s="61">
        <v>304</v>
      </c>
      <c r="D352" s="270">
        <f t="shared" ref="D352:S367" si="140">+MIN(MAX(0,$C352-D$11),D$12-D$11)*D$17
+MIN(MAX(0,$C352-D$12),D$13-D$12)*D$18
+MIN(MAX(0,$C352-D$13),D$14-D$13)*D$19
+MIN(MAX(0,$C352-D$14),D$15-D$14)*D$20
+MAX(0,$C352-D$15)*D$21
+D$26</f>
        <v>66355</v>
      </c>
      <c r="E352" s="270">
        <f t="shared" si="140"/>
        <v>74941</v>
      </c>
      <c r="F352" s="270">
        <f t="shared" si="140"/>
        <v>77547</v>
      </c>
      <c r="G352" s="270">
        <f t="shared" si="140"/>
        <v>77185</v>
      </c>
      <c r="H352" s="270">
        <f t="shared" si="140"/>
        <v>74620</v>
      </c>
      <c r="I352" s="270">
        <f t="shared" si="140"/>
        <v>75095</v>
      </c>
      <c r="J352" s="270">
        <f t="shared" si="140"/>
        <v>68462</v>
      </c>
      <c r="K352" s="270">
        <f t="shared" si="140"/>
        <v>72413</v>
      </c>
      <c r="L352" s="270">
        <f t="shared" si="140"/>
        <v>74874</v>
      </c>
      <c r="M352" s="270">
        <f t="shared" si="140"/>
        <v>92162</v>
      </c>
      <c r="N352" s="270">
        <f t="shared" si="140"/>
        <v>97523</v>
      </c>
      <c r="O352" s="270">
        <f t="shared" si="140"/>
        <v>97523</v>
      </c>
      <c r="P352" s="270">
        <f t="shared" si="140"/>
        <v>97523</v>
      </c>
      <c r="Q352" s="270">
        <f t="shared" si="140"/>
        <v>97523</v>
      </c>
      <c r="R352" s="270">
        <f t="shared" si="140"/>
        <v>97523</v>
      </c>
      <c r="S352" s="270">
        <f t="shared" si="136"/>
        <v>97523</v>
      </c>
      <c r="T352" s="270">
        <f t="shared" si="136"/>
        <v>97523</v>
      </c>
      <c r="U352" s="270">
        <f t="shared" si="135"/>
        <v>97523</v>
      </c>
      <c r="V352" s="270">
        <f t="shared" si="135"/>
        <v>97523</v>
      </c>
      <c r="W352" s="270">
        <f t="shared" si="135"/>
        <v>97523</v>
      </c>
      <c r="X352" s="270">
        <f t="shared" si="135"/>
        <v>97523</v>
      </c>
      <c r="Y352" s="270">
        <f t="shared" si="135"/>
        <v>97523</v>
      </c>
      <c r="Z352" s="270">
        <f t="shared" si="135"/>
        <v>97523</v>
      </c>
      <c r="AA352" s="270">
        <f t="shared" si="135"/>
        <v>97523</v>
      </c>
      <c r="AB352" s="270">
        <f t="shared" si="135"/>
        <v>97523</v>
      </c>
      <c r="AC352" s="270">
        <f t="shared" si="135"/>
        <v>97523</v>
      </c>
      <c r="AD352" s="270">
        <f t="shared" si="137"/>
        <v>97523</v>
      </c>
      <c r="AE352" s="270">
        <f t="shared" si="133"/>
        <v>97523</v>
      </c>
      <c r="AF352" s="270">
        <f t="shared" si="139"/>
        <v>97523</v>
      </c>
      <c r="AG352" s="270">
        <f t="shared" si="139"/>
        <v>97523</v>
      </c>
      <c r="AH352" s="270">
        <f t="shared" si="139"/>
        <v>97523</v>
      </c>
      <c r="AI352" s="270">
        <f t="shared" si="139"/>
        <v>97523</v>
      </c>
      <c r="AJ352" s="270">
        <f t="shared" si="139"/>
        <v>97523</v>
      </c>
      <c r="AK352" s="270">
        <f t="shared" si="139"/>
        <v>97523</v>
      </c>
      <c r="AL352" s="270">
        <f t="shared" si="139"/>
        <v>97523</v>
      </c>
      <c r="AM352" s="270">
        <f t="shared" si="139"/>
        <v>97523</v>
      </c>
    </row>
    <row r="353" spans="2:39" ht="15.75" thickBot="1" x14ac:dyDescent="0.35">
      <c r="B353" s="56" t="str">
        <f>input_names!$B$3</f>
        <v>benzine</v>
      </c>
      <c r="C353" s="61">
        <v>305</v>
      </c>
      <c r="D353" s="270">
        <f t="shared" si="140"/>
        <v>66789</v>
      </c>
      <c r="E353" s="270">
        <f t="shared" si="140"/>
        <v>75417</v>
      </c>
      <c r="F353" s="270">
        <f t="shared" si="140"/>
        <v>78019</v>
      </c>
      <c r="G353" s="270">
        <f t="shared" si="140"/>
        <v>77640</v>
      </c>
      <c r="H353" s="270">
        <f t="shared" si="140"/>
        <v>75048</v>
      </c>
      <c r="I353" s="270">
        <f t="shared" si="140"/>
        <v>75513</v>
      </c>
      <c r="J353" s="270">
        <f t="shared" si="140"/>
        <v>68894</v>
      </c>
      <c r="K353" s="270">
        <f t="shared" si="140"/>
        <v>72861</v>
      </c>
      <c r="L353" s="270">
        <f t="shared" si="140"/>
        <v>75322</v>
      </c>
      <c r="M353" s="270">
        <f t="shared" si="140"/>
        <v>92711</v>
      </c>
      <c r="N353" s="270">
        <f t="shared" si="140"/>
        <v>98091</v>
      </c>
      <c r="O353" s="270">
        <f t="shared" si="140"/>
        <v>98091</v>
      </c>
      <c r="P353" s="270">
        <f t="shared" si="140"/>
        <v>98091</v>
      </c>
      <c r="Q353" s="270">
        <f t="shared" si="140"/>
        <v>98091</v>
      </c>
      <c r="R353" s="270">
        <f t="shared" si="140"/>
        <v>98091</v>
      </c>
      <c r="S353" s="270">
        <f t="shared" si="136"/>
        <v>98091</v>
      </c>
      <c r="T353" s="270">
        <f t="shared" si="136"/>
        <v>98091</v>
      </c>
      <c r="U353" s="270">
        <f t="shared" si="135"/>
        <v>98091</v>
      </c>
      <c r="V353" s="270">
        <f t="shared" si="135"/>
        <v>98091</v>
      </c>
      <c r="W353" s="270">
        <f t="shared" si="135"/>
        <v>98091</v>
      </c>
      <c r="X353" s="270">
        <f t="shared" si="135"/>
        <v>98091</v>
      </c>
      <c r="Y353" s="270">
        <f t="shared" si="135"/>
        <v>98091</v>
      </c>
      <c r="Z353" s="270">
        <f t="shared" si="135"/>
        <v>98091</v>
      </c>
      <c r="AA353" s="270">
        <f t="shared" si="135"/>
        <v>98091</v>
      </c>
      <c r="AB353" s="270">
        <f t="shared" si="135"/>
        <v>98091</v>
      </c>
      <c r="AC353" s="270">
        <f t="shared" si="135"/>
        <v>98091</v>
      </c>
      <c r="AD353" s="270">
        <f t="shared" si="137"/>
        <v>98091</v>
      </c>
      <c r="AE353" s="270">
        <f t="shared" si="133"/>
        <v>98091</v>
      </c>
      <c r="AF353" s="270">
        <f t="shared" si="139"/>
        <v>98091</v>
      </c>
      <c r="AG353" s="270">
        <f t="shared" si="139"/>
        <v>98091</v>
      </c>
      <c r="AH353" s="270">
        <f t="shared" si="139"/>
        <v>98091</v>
      </c>
      <c r="AI353" s="270">
        <f t="shared" si="139"/>
        <v>98091</v>
      </c>
      <c r="AJ353" s="270">
        <f t="shared" si="139"/>
        <v>98091</v>
      </c>
      <c r="AK353" s="270">
        <f t="shared" si="139"/>
        <v>98091</v>
      </c>
      <c r="AL353" s="270">
        <f t="shared" si="139"/>
        <v>98091</v>
      </c>
      <c r="AM353" s="270">
        <f t="shared" si="139"/>
        <v>98091</v>
      </c>
    </row>
    <row r="354" spans="2:39" ht="15.75" thickBot="1" x14ac:dyDescent="0.35">
      <c r="B354" s="56" t="str">
        <f>input_names!$B$3</f>
        <v>benzine</v>
      </c>
      <c r="C354" s="61">
        <v>306</v>
      </c>
      <c r="D354" s="270">
        <f t="shared" si="140"/>
        <v>67223</v>
      </c>
      <c r="E354" s="270">
        <f t="shared" si="140"/>
        <v>75893</v>
      </c>
      <c r="F354" s="270">
        <f t="shared" si="140"/>
        <v>78491</v>
      </c>
      <c r="G354" s="270">
        <f t="shared" si="140"/>
        <v>78095</v>
      </c>
      <c r="H354" s="270">
        <f t="shared" si="140"/>
        <v>75476</v>
      </c>
      <c r="I354" s="270">
        <f t="shared" si="140"/>
        <v>75931</v>
      </c>
      <c r="J354" s="270">
        <f t="shared" si="140"/>
        <v>69326</v>
      </c>
      <c r="K354" s="270">
        <f t="shared" si="140"/>
        <v>73309</v>
      </c>
      <c r="L354" s="270">
        <f t="shared" si="140"/>
        <v>75770</v>
      </c>
      <c r="M354" s="270">
        <f t="shared" si="140"/>
        <v>93260</v>
      </c>
      <c r="N354" s="270">
        <f t="shared" si="140"/>
        <v>98659</v>
      </c>
      <c r="O354" s="270">
        <f t="shared" si="140"/>
        <v>98659</v>
      </c>
      <c r="P354" s="270">
        <f t="shared" si="140"/>
        <v>98659</v>
      </c>
      <c r="Q354" s="270">
        <f t="shared" si="140"/>
        <v>98659</v>
      </c>
      <c r="R354" s="270">
        <f t="shared" si="140"/>
        <v>98659</v>
      </c>
      <c r="S354" s="270">
        <f t="shared" si="136"/>
        <v>98659</v>
      </c>
      <c r="T354" s="270">
        <f t="shared" si="136"/>
        <v>98659</v>
      </c>
      <c r="U354" s="270">
        <f t="shared" si="135"/>
        <v>98659</v>
      </c>
      <c r="V354" s="270">
        <f t="shared" si="135"/>
        <v>98659</v>
      </c>
      <c r="W354" s="270">
        <f t="shared" si="135"/>
        <v>98659</v>
      </c>
      <c r="X354" s="270">
        <f t="shared" si="135"/>
        <v>98659</v>
      </c>
      <c r="Y354" s="270">
        <f t="shared" si="135"/>
        <v>98659</v>
      </c>
      <c r="Z354" s="270">
        <f t="shared" si="135"/>
        <v>98659</v>
      </c>
      <c r="AA354" s="270">
        <f t="shared" si="135"/>
        <v>98659</v>
      </c>
      <c r="AB354" s="270">
        <f t="shared" si="135"/>
        <v>98659</v>
      </c>
      <c r="AC354" s="270">
        <f t="shared" si="135"/>
        <v>98659</v>
      </c>
      <c r="AD354" s="270">
        <f t="shared" si="137"/>
        <v>98659</v>
      </c>
      <c r="AE354" s="270">
        <f t="shared" si="133"/>
        <v>98659</v>
      </c>
      <c r="AF354" s="270">
        <f t="shared" si="139"/>
        <v>98659</v>
      </c>
      <c r="AG354" s="270">
        <f t="shared" si="139"/>
        <v>98659</v>
      </c>
      <c r="AH354" s="270">
        <f t="shared" si="139"/>
        <v>98659</v>
      </c>
      <c r="AI354" s="270">
        <f t="shared" si="139"/>
        <v>98659</v>
      </c>
      <c r="AJ354" s="270">
        <f t="shared" si="139"/>
        <v>98659</v>
      </c>
      <c r="AK354" s="270">
        <f t="shared" si="139"/>
        <v>98659</v>
      </c>
      <c r="AL354" s="270">
        <f t="shared" si="139"/>
        <v>98659</v>
      </c>
      <c r="AM354" s="270">
        <f t="shared" si="139"/>
        <v>98659</v>
      </c>
    </row>
    <row r="355" spans="2:39" ht="15.75" thickBot="1" x14ac:dyDescent="0.35">
      <c r="B355" s="56" t="str">
        <f>input_names!$B$3</f>
        <v>benzine</v>
      </c>
      <c r="C355" s="61">
        <v>307</v>
      </c>
      <c r="D355" s="270">
        <f t="shared" si="140"/>
        <v>67657</v>
      </c>
      <c r="E355" s="270">
        <f t="shared" si="140"/>
        <v>76369</v>
      </c>
      <c r="F355" s="270">
        <f t="shared" si="140"/>
        <v>78963</v>
      </c>
      <c r="G355" s="270">
        <f t="shared" si="140"/>
        <v>78550</v>
      </c>
      <c r="H355" s="270">
        <f t="shared" si="140"/>
        <v>75904</v>
      </c>
      <c r="I355" s="270">
        <f t="shared" si="140"/>
        <v>76349</v>
      </c>
      <c r="J355" s="270">
        <f t="shared" si="140"/>
        <v>69758</v>
      </c>
      <c r="K355" s="270">
        <f t="shared" si="140"/>
        <v>73757</v>
      </c>
      <c r="L355" s="270">
        <f t="shared" si="140"/>
        <v>76218</v>
      </c>
      <c r="M355" s="270">
        <f t="shared" si="140"/>
        <v>93809</v>
      </c>
      <c r="N355" s="270">
        <f t="shared" si="140"/>
        <v>99227</v>
      </c>
      <c r="O355" s="270">
        <f t="shared" si="140"/>
        <v>99227</v>
      </c>
      <c r="P355" s="270">
        <f t="shared" si="140"/>
        <v>99227</v>
      </c>
      <c r="Q355" s="270">
        <f t="shared" si="140"/>
        <v>99227</v>
      </c>
      <c r="R355" s="270">
        <f t="shared" si="140"/>
        <v>99227</v>
      </c>
      <c r="S355" s="270">
        <f t="shared" si="136"/>
        <v>99227</v>
      </c>
      <c r="T355" s="270">
        <f t="shared" si="136"/>
        <v>99227</v>
      </c>
      <c r="U355" s="270">
        <f t="shared" si="135"/>
        <v>99227</v>
      </c>
      <c r="V355" s="270">
        <f t="shared" si="135"/>
        <v>99227</v>
      </c>
      <c r="W355" s="270">
        <f t="shared" si="135"/>
        <v>99227</v>
      </c>
      <c r="X355" s="270">
        <f t="shared" si="135"/>
        <v>99227</v>
      </c>
      <c r="Y355" s="270">
        <f t="shared" si="135"/>
        <v>99227</v>
      </c>
      <c r="Z355" s="270">
        <f t="shared" si="135"/>
        <v>99227</v>
      </c>
      <c r="AA355" s="270">
        <f t="shared" si="135"/>
        <v>99227</v>
      </c>
      <c r="AB355" s="270">
        <f t="shared" si="135"/>
        <v>99227</v>
      </c>
      <c r="AC355" s="270">
        <f t="shared" si="135"/>
        <v>99227</v>
      </c>
      <c r="AD355" s="270">
        <f t="shared" si="137"/>
        <v>99227</v>
      </c>
      <c r="AE355" s="270">
        <f t="shared" si="133"/>
        <v>99227</v>
      </c>
      <c r="AF355" s="270">
        <f t="shared" si="139"/>
        <v>99227</v>
      </c>
      <c r="AG355" s="270">
        <f t="shared" si="139"/>
        <v>99227</v>
      </c>
      <c r="AH355" s="270">
        <f t="shared" si="139"/>
        <v>99227</v>
      </c>
      <c r="AI355" s="270">
        <f t="shared" si="139"/>
        <v>99227</v>
      </c>
      <c r="AJ355" s="270">
        <f t="shared" si="139"/>
        <v>99227</v>
      </c>
      <c r="AK355" s="270">
        <f t="shared" si="139"/>
        <v>99227</v>
      </c>
      <c r="AL355" s="270">
        <f t="shared" si="139"/>
        <v>99227</v>
      </c>
      <c r="AM355" s="270">
        <f t="shared" si="139"/>
        <v>99227</v>
      </c>
    </row>
    <row r="356" spans="2:39" ht="15.75" thickBot="1" x14ac:dyDescent="0.35">
      <c r="B356" s="56" t="str">
        <f>input_names!$B$3</f>
        <v>benzine</v>
      </c>
      <c r="C356" s="61">
        <v>308</v>
      </c>
      <c r="D356" s="270">
        <f t="shared" si="140"/>
        <v>68091</v>
      </c>
      <c r="E356" s="270">
        <f t="shared" si="140"/>
        <v>76845</v>
      </c>
      <c r="F356" s="270">
        <f t="shared" si="140"/>
        <v>79435</v>
      </c>
      <c r="G356" s="270">
        <f t="shared" si="140"/>
        <v>79005</v>
      </c>
      <c r="H356" s="270">
        <f t="shared" si="140"/>
        <v>76332</v>
      </c>
      <c r="I356" s="270">
        <f t="shared" si="140"/>
        <v>76767</v>
      </c>
      <c r="J356" s="270">
        <f t="shared" si="140"/>
        <v>70190</v>
      </c>
      <c r="K356" s="270">
        <f t="shared" si="140"/>
        <v>74205</v>
      </c>
      <c r="L356" s="270">
        <f t="shared" si="140"/>
        <v>76666</v>
      </c>
      <c r="M356" s="270">
        <f t="shared" si="140"/>
        <v>94358</v>
      </c>
      <c r="N356" s="270">
        <f t="shared" si="140"/>
        <v>99795</v>
      </c>
      <c r="O356" s="270">
        <f t="shared" si="140"/>
        <v>99795</v>
      </c>
      <c r="P356" s="270">
        <f t="shared" si="140"/>
        <v>99795</v>
      </c>
      <c r="Q356" s="270">
        <f t="shared" si="140"/>
        <v>99795</v>
      </c>
      <c r="R356" s="270">
        <f t="shared" si="140"/>
        <v>99795</v>
      </c>
      <c r="S356" s="270">
        <f t="shared" si="136"/>
        <v>99795</v>
      </c>
      <c r="T356" s="270">
        <f t="shared" si="136"/>
        <v>99795</v>
      </c>
      <c r="U356" s="270">
        <f t="shared" si="135"/>
        <v>99795</v>
      </c>
      <c r="V356" s="270">
        <f t="shared" si="135"/>
        <v>99795</v>
      </c>
      <c r="W356" s="270">
        <f t="shared" si="135"/>
        <v>99795</v>
      </c>
      <c r="X356" s="270">
        <f t="shared" si="135"/>
        <v>99795</v>
      </c>
      <c r="Y356" s="270">
        <f t="shared" si="135"/>
        <v>99795</v>
      </c>
      <c r="Z356" s="270">
        <f t="shared" si="135"/>
        <v>99795</v>
      </c>
      <c r="AA356" s="270">
        <f t="shared" si="135"/>
        <v>99795</v>
      </c>
      <c r="AB356" s="270">
        <f t="shared" si="135"/>
        <v>99795</v>
      </c>
      <c r="AC356" s="270">
        <f t="shared" si="135"/>
        <v>99795</v>
      </c>
      <c r="AD356" s="270">
        <f t="shared" si="137"/>
        <v>99795</v>
      </c>
      <c r="AE356" s="270">
        <f t="shared" si="133"/>
        <v>99795</v>
      </c>
      <c r="AF356" s="270">
        <f t="shared" si="139"/>
        <v>99795</v>
      </c>
      <c r="AG356" s="270">
        <f t="shared" si="139"/>
        <v>99795</v>
      </c>
      <c r="AH356" s="270">
        <f t="shared" si="139"/>
        <v>99795</v>
      </c>
      <c r="AI356" s="270">
        <f t="shared" si="139"/>
        <v>99795</v>
      </c>
      <c r="AJ356" s="270">
        <f t="shared" si="139"/>
        <v>99795</v>
      </c>
      <c r="AK356" s="270">
        <f t="shared" si="139"/>
        <v>99795</v>
      </c>
      <c r="AL356" s="270">
        <f t="shared" si="139"/>
        <v>99795</v>
      </c>
      <c r="AM356" s="270">
        <f t="shared" si="139"/>
        <v>99795</v>
      </c>
    </row>
    <row r="357" spans="2:39" ht="15.75" thickBot="1" x14ac:dyDescent="0.35">
      <c r="B357" s="56" t="str">
        <f>input_names!$B$3</f>
        <v>benzine</v>
      </c>
      <c r="C357" s="61">
        <v>309</v>
      </c>
      <c r="D357" s="270">
        <f t="shared" si="140"/>
        <v>68525</v>
      </c>
      <c r="E357" s="270">
        <f t="shared" si="140"/>
        <v>77321</v>
      </c>
      <c r="F357" s="270">
        <f t="shared" si="140"/>
        <v>79907</v>
      </c>
      <c r="G357" s="270">
        <f t="shared" si="140"/>
        <v>79460</v>
      </c>
      <c r="H357" s="270">
        <f t="shared" si="140"/>
        <v>76760</v>
      </c>
      <c r="I357" s="270">
        <f t="shared" si="140"/>
        <v>77185</v>
      </c>
      <c r="J357" s="270">
        <f t="shared" si="140"/>
        <v>70622</v>
      </c>
      <c r="K357" s="270">
        <f t="shared" si="140"/>
        <v>74653</v>
      </c>
      <c r="L357" s="270">
        <f t="shared" si="140"/>
        <v>77114</v>
      </c>
      <c r="M357" s="270">
        <f t="shared" si="140"/>
        <v>94907</v>
      </c>
      <c r="N357" s="270">
        <f t="shared" si="140"/>
        <v>100363</v>
      </c>
      <c r="O357" s="270">
        <f t="shared" si="140"/>
        <v>100363</v>
      </c>
      <c r="P357" s="270">
        <f t="shared" si="140"/>
        <v>100363</v>
      </c>
      <c r="Q357" s="270">
        <f t="shared" si="140"/>
        <v>100363</v>
      </c>
      <c r="R357" s="270">
        <f t="shared" si="140"/>
        <v>100363</v>
      </c>
      <c r="S357" s="270">
        <f t="shared" si="136"/>
        <v>100363</v>
      </c>
      <c r="T357" s="270">
        <f t="shared" si="136"/>
        <v>100363</v>
      </c>
      <c r="U357" s="270">
        <f t="shared" si="135"/>
        <v>100363</v>
      </c>
      <c r="V357" s="270">
        <f t="shared" si="135"/>
        <v>100363</v>
      </c>
      <c r="W357" s="270">
        <f t="shared" si="135"/>
        <v>100363</v>
      </c>
      <c r="X357" s="270">
        <f t="shared" si="135"/>
        <v>100363</v>
      </c>
      <c r="Y357" s="270">
        <f t="shared" si="135"/>
        <v>100363</v>
      </c>
      <c r="Z357" s="270">
        <f t="shared" si="135"/>
        <v>100363</v>
      </c>
      <c r="AA357" s="270">
        <f t="shared" si="135"/>
        <v>100363</v>
      </c>
      <c r="AB357" s="270">
        <f t="shared" si="135"/>
        <v>100363</v>
      </c>
      <c r="AC357" s="270">
        <f t="shared" si="135"/>
        <v>100363</v>
      </c>
      <c r="AD357" s="270">
        <f t="shared" si="137"/>
        <v>100363</v>
      </c>
      <c r="AE357" s="270">
        <f t="shared" si="133"/>
        <v>100363</v>
      </c>
      <c r="AF357" s="270">
        <f t="shared" si="139"/>
        <v>100363</v>
      </c>
      <c r="AG357" s="270">
        <f t="shared" si="139"/>
        <v>100363</v>
      </c>
      <c r="AH357" s="270">
        <f t="shared" si="139"/>
        <v>100363</v>
      </c>
      <c r="AI357" s="270">
        <f t="shared" si="139"/>
        <v>100363</v>
      </c>
      <c r="AJ357" s="270">
        <f t="shared" si="139"/>
        <v>100363</v>
      </c>
      <c r="AK357" s="270">
        <f t="shared" si="139"/>
        <v>100363</v>
      </c>
      <c r="AL357" s="270">
        <f t="shared" si="139"/>
        <v>100363</v>
      </c>
      <c r="AM357" s="270">
        <f t="shared" si="139"/>
        <v>100363</v>
      </c>
    </row>
    <row r="358" spans="2:39" ht="15.75" thickBot="1" x14ac:dyDescent="0.35">
      <c r="B358" s="56" t="str">
        <f>input_names!$B$3</f>
        <v>benzine</v>
      </c>
      <c r="C358" s="61">
        <v>310</v>
      </c>
      <c r="D358" s="270">
        <f t="shared" si="140"/>
        <v>68959</v>
      </c>
      <c r="E358" s="270">
        <f t="shared" si="140"/>
        <v>77797</v>
      </c>
      <c r="F358" s="270">
        <f t="shared" si="140"/>
        <v>80379</v>
      </c>
      <c r="G358" s="270">
        <f t="shared" si="140"/>
        <v>79915</v>
      </c>
      <c r="H358" s="270">
        <f t="shared" si="140"/>
        <v>77188</v>
      </c>
      <c r="I358" s="270">
        <f t="shared" si="140"/>
        <v>77603</v>
      </c>
      <c r="J358" s="270">
        <f t="shared" si="140"/>
        <v>71054</v>
      </c>
      <c r="K358" s="270">
        <f t="shared" si="140"/>
        <v>75101</v>
      </c>
      <c r="L358" s="270">
        <f t="shared" si="140"/>
        <v>77562</v>
      </c>
      <c r="M358" s="270">
        <f t="shared" si="140"/>
        <v>95456</v>
      </c>
      <c r="N358" s="270">
        <f t="shared" si="140"/>
        <v>100931</v>
      </c>
      <c r="O358" s="270">
        <f t="shared" si="140"/>
        <v>100931</v>
      </c>
      <c r="P358" s="270">
        <f t="shared" si="140"/>
        <v>100931</v>
      </c>
      <c r="Q358" s="270">
        <f t="shared" si="140"/>
        <v>100931</v>
      </c>
      <c r="R358" s="270">
        <f t="shared" si="140"/>
        <v>100931</v>
      </c>
      <c r="S358" s="270">
        <f t="shared" si="136"/>
        <v>100931</v>
      </c>
      <c r="T358" s="270">
        <f t="shared" si="136"/>
        <v>100931</v>
      </c>
      <c r="U358" s="270">
        <f t="shared" si="135"/>
        <v>100931</v>
      </c>
      <c r="V358" s="270">
        <f t="shared" si="135"/>
        <v>100931</v>
      </c>
      <c r="W358" s="270">
        <f t="shared" si="135"/>
        <v>100931</v>
      </c>
      <c r="X358" s="270">
        <f t="shared" si="135"/>
        <v>100931</v>
      </c>
      <c r="Y358" s="270">
        <f t="shared" si="135"/>
        <v>100931</v>
      </c>
      <c r="Z358" s="270">
        <f t="shared" si="135"/>
        <v>100931</v>
      </c>
      <c r="AA358" s="270">
        <f t="shared" si="135"/>
        <v>100931</v>
      </c>
      <c r="AB358" s="270">
        <f t="shared" si="135"/>
        <v>100931</v>
      </c>
      <c r="AC358" s="270">
        <f t="shared" si="135"/>
        <v>100931</v>
      </c>
      <c r="AD358" s="270">
        <f t="shared" si="137"/>
        <v>100931</v>
      </c>
      <c r="AE358" s="270">
        <f t="shared" si="133"/>
        <v>100931</v>
      </c>
      <c r="AF358" s="270">
        <f t="shared" si="139"/>
        <v>100931</v>
      </c>
      <c r="AG358" s="270">
        <f t="shared" si="139"/>
        <v>100931</v>
      </c>
      <c r="AH358" s="270">
        <f t="shared" si="139"/>
        <v>100931</v>
      </c>
      <c r="AI358" s="270">
        <f t="shared" si="139"/>
        <v>100931</v>
      </c>
      <c r="AJ358" s="270">
        <f t="shared" si="139"/>
        <v>100931</v>
      </c>
      <c r="AK358" s="270">
        <f t="shared" si="139"/>
        <v>100931</v>
      </c>
      <c r="AL358" s="270">
        <f t="shared" si="139"/>
        <v>100931</v>
      </c>
      <c r="AM358" s="270">
        <f t="shared" si="139"/>
        <v>100931</v>
      </c>
    </row>
    <row r="359" spans="2:39" ht="15.75" thickBot="1" x14ac:dyDescent="0.35">
      <c r="B359" s="56" t="str">
        <f>input_names!$B$3</f>
        <v>benzine</v>
      </c>
      <c r="C359" s="61">
        <v>311</v>
      </c>
      <c r="D359" s="270">
        <f t="shared" si="140"/>
        <v>69393</v>
      </c>
      <c r="E359" s="270">
        <f t="shared" si="140"/>
        <v>78273</v>
      </c>
      <c r="F359" s="270">
        <f t="shared" si="140"/>
        <v>80851</v>
      </c>
      <c r="G359" s="270">
        <f t="shared" si="140"/>
        <v>80370</v>
      </c>
      <c r="H359" s="270">
        <f t="shared" si="140"/>
        <v>77616</v>
      </c>
      <c r="I359" s="270">
        <f t="shared" si="140"/>
        <v>78021</v>
      </c>
      <c r="J359" s="270">
        <f t="shared" si="140"/>
        <v>71486</v>
      </c>
      <c r="K359" s="270">
        <f t="shared" si="140"/>
        <v>75549</v>
      </c>
      <c r="L359" s="270">
        <f t="shared" si="140"/>
        <v>78010</v>
      </c>
      <c r="M359" s="270">
        <f t="shared" si="140"/>
        <v>96005</v>
      </c>
      <c r="N359" s="270">
        <f t="shared" si="140"/>
        <v>101499</v>
      </c>
      <c r="O359" s="270">
        <f t="shared" si="140"/>
        <v>101499</v>
      </c>
      <c r="P359" s="270">
        <f t="shared" si="140"/>
        <v>101499</v>
      </c>
      <c r="Q359" s="270">
        <f t="shared" si="140"/>
        <v>101499</v>
      </c>
      <c r="R359" s="270">
        <f t="shared" si="140"/>
        <v>101499</v>
      </c>
      <c r="S359" s="270">
        <f t="shared" si="136"/>
        <v>101499</v>
      </c>
      <c r="T359" s="270">
        <f t="shared" si="136"/>
        <v>101499</v>
      </c>
      <c r="U359" s="270">
        <f t="shared" si="135"/>
        <v>101499</v>
      </c>
      <c r="V359" s="270">
        <f t="shared" si="135"/>
        <v>101499</v>
      </c>
      <c r="W359" s="270">
        <f t="shared" si="135"/>
        <v>101499</v>
      </c>
      <c r="X359" s="270">
        <f t="shared" si="135"/>
        <v>101499</v>
      </c>
      <c r="Y359" s="270">
        <f t="shared" si="135"/>
        <v>101499</v>
      </c>
      <c r="Z359" s="270">
        <f t="shared" si="135"/>
        <v>101499</v>
      </c>
      <c r="AA359" s="270">
        <f t="shared" si="135"/>
        <v>101499</v>
      </c>
      <c r="AB359" s="270">
        <f t="shared" si="135"/>
        <v>101499</v>
      </c>
      <c r="AC359" s="270">
        <f t="shared" si="135"/>
        <v>101499</v>
      </c>
      <c r="AD359" s="270">
        <f t="shared" si="137"/>
        <v>101499</v>
      </c>
      <c r="AE359" s="270">
        <f t="shared" si="133"/>
        <v>101499</v>
      </c>
      <c r="AF359" s="270">
        <f t="shared" si="139"/>
        <v>101499</v>
      </c>
      <c r="AG359" s="270">
        <f t="shared" si="139"/>
        <v>101499</v>
      </c>
      <c r="AH359" s="270">
        <f t="shared" si="139"/>
        <v>101499</v>
      </c>
      <c r="AI359" s="270">
        <f t="shared" si="139"/>
        <v>101499</v>
      </c>
      <c r="AJ359" s="270">
        <f t="shared" si="139"/>
        <v>101499</v>
      </c>
      <c r="AK359" s="270">
        <f t="shared" si="139"/>
        <v>101499</v>
      </c>
      <c r="AL359" s="270">
        <f t="shared" si="139"/>
        <v>101499</v>
      </c>
      <c r="AM359" s="270">
        <f t="shared" si="139"/>
        <v>101499</v>
      </c>
    </row>
    <row r="360" spans="2:39" ht="15.75" thickBot="1" x14ac:dyDescent="0.35">
      <c r="B360" s="56" t="str">
        <f>input_names!$B$3</f>
        <v>benzine</v>
      </c>
      <c r="C360" s="61">
        <v>312</v>
      </c>
      <c r="D360" s="270">
        <f t="shared" si="140"/>
        <v>69827</v>
      </c>
      <c r="E360" s="270">
        <f t="shared" si="140"/>
        <v>78749</v>
      </c>
      <c r="F360" s="270">
        <f t="shared" si="140"/>
        <v>81323</v>
      </c>
      <c r="G360" s="270">
        <f t="shared" si="140"/>
        <v>80825</v>
      </c>
      <c r="H360" s="270">
        <f t="shared" si="140"/>
        <v>78044</v>
      </c>
      <c r="I360" s="270">
        <f t="shared" si="140"/>
        <v>78439</v>
      </c>
      <c r="J360" s="270">
        <f t="shared" si="140"/>
        <v>71918</v>
      </c>
      <c r="K360" s="270">
        <f t="shared" si="140"/>
        <v>75997</v>
      </c>
      <c r="L360" s="270">
        <f t="shared" si="140"/>
        <v>78458</v>
      </c>
      <c r="M360" s="270">
        <f t="shared" si="140"/>
        <v>96554</v>
      </c>
      <c r="N360" s="270">
        <f t="shared" si="140"/>
        <v>102067</v>
      </c>
      <c r="O360" s="270">
        <f t="shared" si="140"/>
        <v>102067</v>
      </c>
      <c r="P360" s="270">
        <f t="shared" si="140"/>
        <v>102067</v>
      </c>
      <c r="Q360" s="270">
        <f t="shared" si="140"/>
        <v>102067</v>
      </c>
      <c r="R360" s="270">
        <f t="shared" si="140"/>
        <v>102067</v>
      </c>
      <c r="S360" s="270">
        <f t="shared" si="136"/>
        <v>102067</v>
      </c>
      <c r="T360" s="270">
        <f t="shared" si="136"/>
        <v>102067</v>
      </c>
      <c r="U360" s="270">
        <f t="shared" si="135"/>
        <v>102067</v>
      </c>
      <c r="V360" s="270">
        <f t="shared" si="135"/>
        <v>102067</v>
      </c>
      <c r="W360" s="270">
        <f t="shared" si="135"/>
        <v>102067</v>
      </c>
      <c r="X360" s="270">
        <f t="shared" si="135"/>
        <v>102067</v>
      </c>
      <c r="Y360" s="270">
        <f t="shared" si="135"/>
        <v>102067</v>
      </c>
      <c r="Z360" s="270">
        <f t="shared" si="135"/>
        <v>102067</v>
      </c>
      <c r="AA360" s="270">
        <f t="shared" si="135"/>
        <v>102067</v>
      </c>
      <c r="AB360" s="270">
        <f t="shared" si="135"/>
        <v>102067</v>
      </c>
      <c r="AC360" s="270">
        <f t="shared" si="135"/>
        <v>102067</v>
      </c>
      <c r="AD360" s="270">
        <f t="shared" si="137"/>
        <v>102067</v>
      </c>
      <c r="AE360" s="270">
        <f t="shared" si="133"/>
        <v>102067</v>
      </c>
      <c r="AF360" s="270">
        <f t="shared" si="139"/>
        <v>102067</v>
      </c>
      <c r="AG360" s="270">
        <f t="shared" si="139"/>
        <v>102067</v>
      </c>
      <c r="AH360" s="270">
        <f t="shared" si="139"/>
        <v>102067</v>
      </c>
      <c r="AI360" s="270">
        <f t="shared" si="139"/>
        <v>102067</v>
      </c>
      <c r="AJ360" s="270">
        <f t="shared" si="139"/>
        <v>102067</v>
      </c>
      <c r="AK360" s="270">
        <f t="shared" si="139"/>
        <v>102067</v>
      </c>
      <c r="AL360" s="270">
        <f t="shared" si="139"/>
        <v>102067</v>
      </c>
      <c r="AM360" s="270">
        <f t="shared" si="139"/>
        <v>102067</v>
      </c>
    </row>
    <row r="361" spans="2:39" ht="15.75" thickBot="1" x14ac:dyDescent="0.35">
      <c r="B361" s="56" t="str">
        <f>input_names!$B$3</f>
        <v>benzine</v>
      </c>
      <c r="C361" s="61">
        <v>313</v>
      </c>
      <c r="D361" s="270">
        <f t="shared" si="140"/>
        <v>70261</v>
      </c>
      <c r="E361" s="270">
        <f t="shared" si="140"/>
        <v>79225</v>
      </c>
      <c r="F361" s="270">
        <f t="shared" si="140"/>
        <v>81795</v>
      </c>
      <c r="G361" s="270">
        <f t="shared" si="140"/>
        <v>81280</v>
      </c>
      <c r="H361" s="270">
        <f t="shared" si="140"/>
        <v>78472</v>
      </c>
      <c r="I361" s="270">
        <f t="shared" si="140"/>
        <v>78857</v>
      </c>
      <c r="J361" s="270">
        <f t="shared" si="140"/>
        <v>72350</v>
      </c>
      <c r="K361" s="270">
        <f t="shared" si="140"/>
        <v>76445</v>
      </c>
      <c r="L361" s="270">
        <f t="shared" si="140"/>
        <v>78906</v>
      </c>
      <c r="M361" s="270">
        <f t="shared" si="140"/>
        <v>97103</v>
      </c>
      <c r="N361" s="270">
        <f t="shared" si="140"/>
        <v>102635</v>
      </c>
      <c r="O361" s="270">
        <f t="shared" si="140"/>
        <v>102635</v>
      </c>
      <c r="P361" s="270">
        <f t="shared" si="140"/>
        <v>102635</v>
      </c>
      <c r="Q361" s="270">
        <f t="shared" si="140"/>
        <v>102635</v>
      </c>
      <c r="R361" s="270">
        <f t="shared" si="140"/>
        <v>102635</v>
      </c>
      <c r="S361" s="270">
        <f t="shared" si="136"/>
        <v>102635</v>
      </c>
      <c r="T361" s="270">
        <f t="shared" si="136"/>
        <v>102635</v>
      </c>
      <c r="U361" s="270">
        <f t="shared" si="135"/>
        <v>102635</v>
      </c>
      <c r="V361" s="270">
        <f t="shared" si="135"/>
        <v>102635</v>
      </c>
      <c r="W361" s="270">
        <f t="shared" si="135"/>
        <v>102635</v>
      </c>
      <c r="X361" s="270">
        <f t="shared" si="135"/>
        <v>102635</v>
      </c>
      <c r="Y361" s="270">
        <f t="shared" si="135"/>
        <v>102635</v>
      </c>
      <c r="Z361" s="270">
        <f t="shared" si="135"/>
        <v>102635</v>
      </c>
      <c r="AA361" s="270">
        <f t="shared" si="135"/>
        <v>102635</v>
      </c>
      <c r="AB361" s="270">
        <f t="shared" si="135"/>
        <v>102635</v>
      </c>
      <c r="AC361" s="270">
        <f t="shared" si="135"/>
        <v>102635</v>
      </c>
      <c r="AD361" s="270">
        <f t="shared" si="137"/>
        <v>102635</v>
      </c>
      <c r="AE361" s="270">
        <f t="shared" si="133"/>
        <v>102635</v>
      </c>
      <c r="AF361" s="270">
        <f t="shared" si="139"/>
        <v>102635</v>
      </c>
      <c r="AG361" s="270">
        <f t="shared" si="139"/>
        <v>102635</v>
      </c>
      <c r="AH361" s="270">
        <f t="shared" si="139"/>
        <v>102635</v>
      </c>
      <c r="AI361" s="270">
        <f t="shared" si="139"/>
        <v>102635</v>
      </c>
      <c r="AJ361" s="270">
        <f t="shared" si="139"/>
        <v>102635</v>
      </c>
      <c r="AK361" s="270">
        <f t="shared" si="139"/>
        <v>102635</v>
      </c>
      <c r="AL361" s="270">
        <f t="shared" si="139"/>
        <v>102635</v>
      </c>
      <c r="AM361" s="270">
        <f t="shared" si="139"/>
        <v>102635</v>
      </c>
    </row>
    <row r="362" spans="2:39" ht="15.75" thickBot="1" x14ac:dyDescent="0.35">
      <c r="B362" s="56" t="str">
        <f>input_names!$B$3</f>
        <v>benzine</v>
      </c>
      <c r="C362" s="61">
        <v>314</v>
      </c>
      <c r="D362" s="270">
        <f t="shared" si="140"/>
        <v>70695</v>
      </c>
      <c r="E362" s="270">
        <f t="shared" si="140"/>
        <v>79701</v>
      </c>
      <c r="F362" s="270">
        <f t="shared" si="140"/>
        <v>82267</v>
      </c>
      <c r="G362" s="270">
        <f t="shared" si="140"/>
        <v>81735</v>
      </c>
      <c r="H362" s="270">
        <f t="shared" si="140"/>
        <v>78900</v>
      </c>
      <c r="I362" s="270">
        <f t="shared" si="140"/>
        <v>79275</v>
      </c>
      <c r="J362" s="270">
        <f t="shared" si="140"/>
        <v>72782</v>
      </c>
      <c r="K362" s="270">
        <f t="shared" si="140"/>
        <v>76893</v>
      </c>
      <c r="L362" s="270">
        <f t="shared" si="140"/>
        <v>79354</v>
      </c>
      <c r="M362" s="270">
        <f t="shared" si="140"/>
        <v>97652</v>
      </c>
      <c r="N362" s="270">
        <f t="shared" si="140"/>
        <v>103203</v>
      </c>
      <c r="O362" s="270">
        <f t="shared" si="140"/>
        <v>103203</v>
      </c>
      <c r="P362" s="270">
        <f t="shared" si="140"/>
        <v>103203</v>
      </c>
      <c r="Q362" s="270">
        <f t="shared" si="140"/>
        <v>103203</v>
      </c>
      <c r="R362" s="270">
        <f t="shared" si="140"/>
        <v>103203</v>
      </c>
      <c r="S362" s="270">
        <f t="shared" si="136"/>
        <v>103203</v>
      </c>
      <c r="T362" s="270">
        <f t="shared" si="136"/>
        <v>103203</v>
      </c>
      <c r="U362" s="270">
        <f t="shared" si="135"/>
        <v>103203</v>
      </c>
      <c r="V362" s="270">
        <f t="shared" si="135"/>
        <v>103203</v>
      </c>
      <c r="W362" s="270">
        <f t="shared" si="135"/>
        <v>103203</v>
      </c>
      <c r="X362" s="270">
        <f t="shared" si="135"/>
        <v>103203</v>
      </c>
      <c r="Y362" s="270">
        <f t="shared" si="135"/>
        <v>103203</v>
      </c>
      <c r="Z362" s="270">
        <f t="shared" si="135"/>
        <v>103203</v>
      </c>
      <c r="AA362" s="270">
        <f t="shared" si="135"/>
        <v>103203</v>
      </c>
      <c r="AB362" s="270">
        <f t="shared" si="135"/>
        <v>103203</v>
      </c>
      <c r="AC362" s="270">
        <f t="shared" si="135"/>
        <v>103203</v>
      </c>
      <c r="AD362" s="270">
        <f t="shared" si="137"/>
        <v>103203</v>
      </c>
      <c r="AE362" s="270">
        <f t="shared" ref="AE362:AE398" si="141">+MIN(MAX(0,$C362-AE$11),AE$12-AE$11)*AE$17
+MIN(MAX(0,$C362-AE$12),AE$13-AE$12)*AE$18
+MIN(MAX(0,$C362-AE$13),AE$14-AE$13)*AE$19
+MIN(MAX(0,$C362-AE$14),AE$15-AE$14)*AE$20
+MAX(0,$C362-AE$15)*AE$21
+AE$26</f>
        <v>103203</v>
      </c>
      <c r="AF362" s="270">
        <f t="shared" si="139"/>
        <v>103203</v>
      </c>
      <c r="AG362" s="270">
        <f t="shared" si="139"/>
        <v>103203</v>
      </c>
      <c r="AH362" s="270">
        <f t="shared" si="139"/>
        <v>103203</v>
      </c>
      <c r="AI362" s="270">
        <f t="shared" si="139"/>
        <v>103203</v>
      </c>
      <c r="AJ362" s="270">
        <f t="shared" si="139"/>
        <v>103203</v>
      </c>
      <c r="AK362" s="270">
        <f t="shared" si="139"/>
        <v>103203</v>
      </c>
      <c r="AL362" s="270">
        <f t="shared" si="139"/>
        <v>103203</v>
      </c>
      <c r="AM362" s="270">
        <f t="shared" si="139"/>
        <v>103203</v>
      </c>
    </row>
    <row r="363" spans="2:39" ht="15.75" thickBot="1" x14ac:dyDescent="0.35">
      <c r="B363" s="56" t="str">
        <f>input_names!$B$3</f>
        <v>benzine</v>
      </c>
      <c r="C363" s="61">
        <v>315</v>
      </c>
      <c r="D363" s="270">
        <f t="shared" si="140"/>
        <v>71129</v>
      </c>
      <c r="E363" s="270">
        <f t="shared" si="140"/>
        <v>80177</v>
      </c>
      <c r="F363" s="270">
        <f t="shared" si="140"/>
        <v>82739</v>
      </c>
      <c r="G363" s="270">
        <f t="shared" si="140"/>
        <v>82190</v>
      </c>
      <c r="H363" s="270">
        <f t="shared" si="140"/>
        <v>79328</v>
      </c>
      <c r="I363" s="270">
        <f t="shared" si="140"/>
        <v>79693</v>
      </c>
      <c r="J363" s="270">
        <f t="shared" si="140"/>
        <v>73214</v>
      </c>
      <c r="K363" s="270">
        <f t="shared" si="140"/>
        <v>77341</v>
      </c>
      <c r="L363" s="270">
        <f t="shared" si="140"/>
        <v>79802</v>
      </c>
      <c r="M363" s="270">
        <f t="shared" si="140"/>
        <v>98201</v>
      </c>
      <c r="N363" s="270">
        <f t="shared" si="140"/>
        <v>103771</v>
      </c>
      <c r="O363" s="270">
        <f t="shared" si="140"/>
        <v>103771</v>
      </c>
      <c r="P363" s="270">
        <f t="shared" si="140"/>
        <v>103771</v>
      </c>
      <c r="Q363" s="270">
        <f t="shared" si="140"/>
        <v>103771</v>
      </c>
      <c r="R363" s="270">
        <f t="shared" si="140"/>
        <v>103771</v>
      </c>
      <c r="S363" s="270">
        <f t="shared" si="136"/>
        <v>103771</v>
      </c>
      <c r="T363" s="270">
        <f t="shared" si="136"/>
        <v>103771</v>
      </c>
      <c r="U363" s="270">
        <f t="shared" si="136"/>
        <v>103771</v>
      </c>
      <c r="V363" s="270">
        <f t="shared" si="136"/>
        <v>103771</v>
      </c>
      <c r="W363" s="270">
        <f t="shared" si="136"/>
        <v>103771</v>
      </c>
      <c r="X363" s="270">
        <f t="shared" si="136"/>
        <v>103771</v>
      </c>
      <c r="Y363" s="270">
        <f t="shared" si="136"/>
        <v>103771</v>
      </c>
      <c r="Z363" s="270">
        <f t="shared" si="136"/>
        <v>103771</v>
      </c>
      <c r="AA363" s="270">
        <f t="shared" si="136"/>
        <v>103771</v>
      </c>
      <c r="AB363" s="270">
        <f t="shared" si="136"/>
        <v>103771</v>
      </c>
      <c r="AC363" s="270">
        <f t="shared" si="136"/>
        <v>103771</v>
      </c>
      <c r="AD363" s="270">
        <f t="shared" si="137"/>
        <v>103771</v>
      </c>
      <c r="AE363" s="270">
        <f t="shared" si="141"/>
        <v>103771</v>
      </c>
      <c r="AF363" s="270">
        <f t="shared" si="139"/>
        <v>103771</v>
      </c>
      <c r="AG363" s="270">
        <f t="shared" si="139"/>
        <v>103771</v>
      </c>
      <c r="AH363" s="270">
        <f t="shared" si="139"/>
        <v>103771</v>
      </c>
      <c r="AI363" s="270">
        <f t="shared" si="139"/>
        <v>103771</v>
      </c>
      <c r="AJ363" s="270">
        <f t="shared" si="139"/>
        <v>103771</v>
      </c>
      <c r="AK363" s="270">
        <f t="shared" si="139"/>
        <v>103771</v>
      </c>
      <c r="AL363" s="270">
        <f t="shared" si="139"/>
        <v>103771</v>
      </c>
      <c r="AM363" s="270">
        <f t="shared" si="139"/>
        <v>103771</v>
      </c>
    </row>
    <row r="364" spans="2:39" ht="15.75" thickBot="1" x14ac:dyDescent="0.35">
      <c r="B364" s="56" t="str">
        <f>input_names!$B$3</f>
        <v>benzine</v>
      </c>
      <c r="C364" s="61">
        <v>316</v>
      </c>
      <c r="D364" s="270">
        <f t="shared" si="140"/>
        <v>71563</v>
      </c>
      <c r="E364" s="270">
        <f t="shared" si="140"/>
        <v>80653</v>
      </c>
      <c r="F364" s="270">
        <f t="shared" si="140"/>
        <v>83211</v>
      </c>
      <c r="G364" s="270">
        <f t="shared" si="140"/>
        <v>82645</v>
      </c>
      <c r="H364" s="270">
        <f t="shared" si="140"/>
        <v>79756</v>
      </c>
      <c r="I364" s="270">
        <f t="shared" si="140"/>
        <v>80111</v>
      </c>
      <c r="J364" s="270">
        <f t="shared" si="140"/>
        <v>73646</v>
      </c>
      <c r="K364" s="270">
        <f t="shared" si="140"/>
        <v>77789</v>
      </c>
      <c r="L364" s="270">
        <f t="shared" si="140"/>
        <v>80250</v>
      </c>
      <c r="M364" s="270">
        <f t="shared" si="140"/>
        <v>98750</v>
      </c>
      <c r="N364" s="270">
        <f t="shared" si="140"/>
        <v>104339</v>
      </c>
      <c r="O364" s="270">
        <f t="shared" si="140"/>
        <v>104339</v>
      </c>
      <c r="P364" s="270">
        <f t="shared" si="140"/>
        <v>104339</v>
      </c>
      <c r="Q364" s="270">
        <f t="shared" si="140"/>
        <v>104339</v>
      </c>
      <c r="R364" s="270">
        <f t="shared" si="140"/>
        <v>104339</v>
      </c>
      <c r="S364" s="270">
        <f t="shared" si="136"/>
        <v>104339</v>
      </c>
      <c r="T364" s="270">
        <f t="shared" si="136"/>
        <v>104339</v>
      </c>
      <c r="U364" s="270">
        <f t="shared" si="136"/>
        <v>104339</v>
      </c>
      <c r="V364" s="270">
        <f t="shared" si="136"/>
        <v>104339</v>
      </c>
      <c r="W364" s="270">
        <f t="shared" si="136"/>
        <v>104339</v>
      </c>
      <c r="X364" s="270">
        <f t="shared" si="136"/>
        <v>104339</v>
      </c>
      <c r="Y364" s="270">
        <f t="shared" si="136"/>
        <v>104339</v>
      </c>
      <c r="Z364" s="270">
        <f t="shared" si="136"/>
        <v>104339</v>
      </c>
      <c r="AA364" s="270">
        <f t="shared" si="136"/>
        <v>104339</v>
      </c>
      <c r="AB364" s="270">
        <f t="shared" si="136"/>
        <v>104339</v>
      </c>
      <c r="AC364" s="270">
        <f t="shared" si="136"/>
        <v>104339</v>
      </c>
      <c r="AD364" s="270">
        <f t="shared" si="137"/>
        <v>104339</v>
      </c>
      <c r="AE364" s="270">
        <f t="shared" si="141"/>
        <v>104339</v>
      </c>
      <c r="AF364" s="270">
        <f t="shared" si="139"/>
        <v>104339</v>
      </c>
      <c r="AG364" s="270">
        <f t="shared" si="139"/>
        <v>104339</v>
      </c>
      <c r="AH364" s="270">
        <f t="shared" si="139"/>
        <v>104339</v>
      </c>
      <c r="AI364" s="270">
        <f t="shared" si="139"/>
        <v>104339</v>
      </c>
      <c r="AJ364" s="270">
        <f t="shared" si="139"/>
        <v>104339</v>
      </c>
      <c r="AK364" s="270">
        <f t="shared" si="139"/>
        <v>104339</v>
      </c>
      <c r="AL364" s="270">
        <f t="shared" si="139"/>
        <v>104339</v>
      </c>
      <c r="AM364" s="270">
        <f t="shared" si="139"/>
        <v>104339</v>
      </c>
    </row>
    <row r="365" spans="2:39" ht="15.75" thickBot="1" x14ac:dyDescent="0.35">
      <c r="B365" s="56" t="str">
        <f>input_names!$B$3</f>
        <v>benzine</v>
      </c>
      <c r="C365" s="61">
        <v>317</v>
      </c>
      <c r="D365" s="270">
        <f t="shared" si="140"/>
        <v>71997</v>
      </c>
      <c r="E365" s="270">
        <f t="shared" si="140"/>
        <v>81129</v>
      </c>
      <c r="F365" s="270">
        <f t="shared" si="140"/>
        <v>83683</v>
      </c>
      <c r="G365" s="270">
        <f t="shared" si="140"/>
        <v>83100</v>
      </c>
      <c r="H365" s="270">
        <f t="shared" si="140"/>
        <v>80184</v>
      </c>
      <c r="I365" s="270">
        <f t="shared" si="140"/>
        <v>80529</v>
      </c>
      <c r="J365" s="270">
        <f t="shared" si="140"/>
        <v>74078</v>
      </c>
      <c r="K365" s="270">
        <f t="shared" si="140"/>
        <v>78237</v>
      </c>
      <c r="L365" s="270">
        <f t="shared" si="140"/>
        <v>80698</v>
      </c>
      <c r="M365" s="270">
        <f t="shared" si="140"/>
        <v>99299</v>
      </c>
      <c r="N365" s="270">
        <f t="shared" si="140"/>
        <v>104907</v>
      </c>
      <c r="O365" s="270">
        <f t="shared" si="140"/>
        <v>104907</v>
      </c>
      <c r="P365" s="270">
        <f t="shared" si="140"/>
        <v>104907</v>
      </c>
      <c r="Q365" s="270">
        <f t="shared" si="140"/>
        <v>104907</v>
      </c>
      <c r="R365" s="270">
        <f t="shared" si="140"/>
        <v>104907</v>
      </c>
      <c r="S365" s="270">
        <f t="shared" si="136"/>
        <v>104907</v>
      </c>
      <c r="T365" s="270">
        <f t="shared" si="136"/>
        <v>104907</v>
      </c>
      <c r="U365" s="270">
        <f t="shared" si="136"/>
        <v>104907</v>
      </c>
      <c r="V365" s="270">
        <f t="shared" si="136"/>
        <v>104907</v>
      </c>
      <c r="W365" s="270">
        <f t="shared" si="136"/>
        <v>104907</v>
      </c>
      <c r="X365" s="270">
        <f t="shared" si="136"/>
        <v>104907</v>
      </c>
      <c r="Y365" s="270">
        <f t="shared" si="136"/>
        <v>104907</v>
      </c>
      <c r="Z365" s="270">
        <f t="shared" si="136"/>
        <v>104907</v>
      </c>
      <c r="AA365" s="270">
        <f t="shared" si="136"/>
        <v>104907</v>
      </c>
      <c r="AB365" s="270">
        <f t="shared" si="136"/>
        <v>104907</v>
      </c>
      <c r="AC365" s="270">
        <f t="shared" si="136"/>
        <v>104907</v>
      </c>
      <c r="AD365" s="270">
        <f t="shared" si="137"/>
        <v>104907</v>
      </c>
      <c r="AE365" s="270">
        <f t="shared" si="141"/>
        <v>104907</v>
      </c>
      <c r="AF365" s="270">
        <f t="shared" si="139"/>
        <v>104907</v>
      </c>
      <c r="AG365" s="270">
        <f t="shared" si="139"/>
        <v>104907</v>
      </c>
      <c r="AH365" s="270">
        <f t="shared" si="139"/>
        <v>104907</v>
      </c>
      <c r="AI365" s="270">
        <f t="shared" si="139"/>
        <v>104907</v>
      </c>
      <c r="AJ365" s="270">
        <f t="shared" si="139"/>
        <v>104907</v>
      </c>
      <c r="AK365" s="270">
        <f t="shared" si="139"/>
        <v>104907</v>
      </c>
      <c r="AL365" s="270">
        <f t="shared" si="139"/>
        <v>104907</v>
      </c>
      <c r="AM365" s="270">
        <f t="shared" si="139"/>
        <v>104907</v>
      </c>
    </row>
    <row r="366" spans="2:39" ht="15.75" thickBot="1" x14ac:dyDescent="0.35">
      <c r="B366" s="56" t="str">
        <f>input_names!$B$3</f>
        <v>benzine</v>
      </c>
      <c r="C366" s="61">
        <v>318</v>
      </c>
      <c r="D366" s="270">
        <f t="shared" si="140"/>
        <v>72431</v>
      </c>
      <c r="E366" s="270">
        <f t="shared" si="140"/>
        <v>81605</v>
      </c>
      <c r="F366" s="270">
        <f t="shared" si="140"/>
        <v>84155</v>
      </c>
      <c r="G366" s="270">
        <f t="shared" si="140"/>
        <v>83555</v>
      </c>
      <c r="H366" s="270">
        <f t="shared" si="140"/>
        <v>80612</v>
      </c>
      <c r="I366" s="270">
        <f t="shared" si="140"/>
        <v>80947</v>
      </c>
      <c r="J366" s="270">
        <f t="shared" si="140"/>
        <v>74510</v>
      </c>
      <c r="K366" s="270">
        <f t="shared" si="140"/>
        <v>78685</v>
      </c>
      <c r="L366" s="270">
        <f t="shared" si="140"/>
        <v>81146</v>
      </c>
      <c r="M366" s="270">
        <f t="shared" si="140"/>
        <v>99848</v>
      </c>
      <c r="N366" s="270">
        <f t="shared" si="140"/>
        <v>105475</v>
      </c>
      <c r="O366" s="270">
        <f t="shared" si="140"/>
        <v>105475</v>
      </c>
      <c r="P366" s="270">
        <f t="shared" si="140"/>
        <v>105475</v>
      </c>
      <c r="Q366" s="270">
        <f t="shared" si="140"/>
        <v>105475</v>
      </c>
      <c r="R366" s="270">
        <f t="shared" si="140"/>
        <v>105475</v>
      </c>
      <c r="S366" s="270">
        <f t="shared" si="136"/>
        <v>105475</v>
      </c>
      <c r="T366" s="270">
        <f t="shared" si="136"/>
        <v>105475</v>
      </c>
      <c r="U366" s="270">
        <f t="shared" si="136"/>
        <v>105475</v>
      </c>
      <c r="V366" s="270">
        <f t="shared" si="136"/>
        <v>105475</v>
      </c>
      <c r="W366" s="270">
        <f t="shared" si="136"/>
        <v>105475</v>
      </c>
      <c r="X366" s="270">
        <f t="shared" si="136"/>
        <v>105475</v>
      </c>
      <c r="Y366" s="270">
        <f t="shared" si="136"/>
        <v>105475</v>
      </c>
      <c r="Z366" s="270">
        <f t="shared" si="136"/>
        <v>105475</v>
      </c>
      <c r="AA366" s="270">
        <f t="shared" si="136"/>
        <v>105475</v>
      </c>
      <c r="AB366" s="270">
        <f t="shared" si="136"/>
        <v>105475</v>
      </c>
      <c r="AC366" s="270">
        <f t="shared" si="136"/>
        <v>105475</v>
      </c>
      <c r="AD366" s="270">
        <f t="shared" si="137"/>
        <v>105475</v>
      </c>
      <c r="AE366" s="270">
        <f t="shared" si="141"/>
        <v>105475</v>
      </c>
      <c r="AF366" s="270">
        <f t="shared" si="139"/>
        <v>105475</v>
      </c>
      <c r="AG366" s="270">
        <f t="shared" si="139"/>
        <v>105475</v>
      </c>
      <c r="AH366" s="270">
        <f t="shared" si="139"/>
        <v>105475</v>
      </c>
      <c r="AI366" s="270">
        <f t="shared" si="139"/>
        <v>105475</v>
      </c>
      <c r="AJ366" s="270">
        <f t="shared" si="139"/>
        <v>105475</v>
      </c>
      <c r="AK366" s="270">
        <f t="shared" si="139"/>
        <v>105475</v>
      </c>
      <c r="AL366" s="270">
        <f t="shared" si="139"/>
        <v>105475</v>
      </c>
      <c r="AM366" s="270">
        <f t="shared" si="139"/>
        <v>105475</v>
      </c>
    </row>
    <row r="367" spans="2:39" ht="15.75" thickBot="1" x14ac:dyDescent="0.35">
      <c r="B367" s="56" t="str">
        <f>input_names!$B$3</f>
        <v>benzine</v>
      </c>
      <c r="C367" s="61">
        <v>319</v>
      </c>
      <c r="D367" s="270">
        <f t="shared" si="140"/>
        <v>72865</v>
      </c>
      <c r="E367" s="270">
        <f t="shared" si="140"/>
        <v>82081</v>
      </c>
      <c r="F367" s="270">
        <f t="shared" si="140"/>
        <v>84627</v>
      </c>
      <c r="G367" s="270">
        <f t="shared" si="140"/>
        <v>84010</v>
      </c>
      <c r="H367" s="270">
        <f t="shared" si="140"/>
        <v>81040</v>
      </c>
      <c r="I367" s="270">
        <f t="shared" si="140"/>
        <v>81365</v>
      </c>
      <c r="J367" s="270">
        <f t="shared" si="140"/>
        <v>74942</v>
      </c>
      <c r="K367" s="270">
        <f t="shared" si="140"/>
        <v>79133</v>
      </c>
      <c r="L367" s="270">
        <f t="shared" si="140"/>
        <v>81594</v>
      </c>
      <c r="M367" s="270">
        <f t="shared" si="140"/>
        <v>100397</v>
      </c>
      <c r="N367" s="270">
        <f t="shared" si="140"/>
        <v>106043</v>
      </c>
      <c r="O367" s="270">
        <f t="shared" si="140"/>
        <v>106043</v>
      </c>
      <c r="P367" s="270">
        <f t="shared" si="140"/>
        <v>106043</v>
      </c>
      <c r="Q367" s="270">
        <f t="shared" si="140"/>
        <v>106043</v>
      </c>
      <c r="R367" s="270">
        <f t="shared" si="140"/>
        <v>106043</v>
      </c>
      <c r="S367" s="270">
        <f t="shared" si="140"/>
        <v>106043</v>
      </c>
      <c r="T367" s="270">
        <f t="shared" ref="T367:AC392" si="142">+MIN(MAX(0,$C367-T$11),T$12-T$11)*T$17
+MIN(MAX(0,$C367-T$12),T$13-T$12)*T$18
+MIN(MAX(0,$C367-T$13),T$14-T$13)*T$19
+MIN(MAX(0,$C367-T$14),T$15-T$14)*T$20
+MAX(0,$C367-T$15)*T$21
+T$26</f>
        <v>106043</v>
      </c>
      <c r="U367" s="270">
        <f t="shared" si="142"/>
        <v>106043</v>
      </c>
      <c r="V367" s="270">
        <f t="shared" si="142"/>
        <v>106043</v>
      </c>
      <c r="W367" s="270">
        <f t="shared" si="142"/>
        <v>106043</v>
      </c>
      <c r="X367" s="270">
        <f t="shared" si="142"/>
        <v>106043</v>
      </c>
      <c r="Y367" s="270">
        <f t="shared" si="142"/>
        <v>106043</v>
      </c>
      <c r="Z367" s="270">
        <f t="shared" si="142"/>
        <v>106043</v>
      </c>
      <c r="AA367" s="270">
        <f t="shared" si="142"/>
        <v>106043</v>
      </c>
      <c r="AB367" s="270">
        <f t="shared" si="142"/>
        <v>106043</v>
      </c>
      <c r="AC367" s="270">
        <f t="shared" si="142"/>
        <v>106043</v>
      </c>
      <c r="AD367" s="270">
        <f t="shared" ref="AD367:AD398" si="143">+MIN(MAX(0,$C367-AD$11),AD$12-AD$11)*AD$17
+MIN(MAX(0,$C367-AD$12),AD$13-AD$12)*AD$18
+MIN(MAX(0,$C367-AD$13),AD$14-AD$13)*AD$19
+MIN(MAX(0,$C367-AD$14),AD$15-AD$14)*AD$20
+MAX(0,$C367-AD$15)*AD$21
+AD$26</f>
        <v>106043</v>
      </c>
      <c r="AE367" s="270">
        <f t="shared" si="141"/>
        <v>106043</v>
      </c>
      <c r="AF367" s="270">
        <f t="shared" si="139"/>
        <v>106043</v>
      </c>
      <c r="AG367" s="270">
        <f t="shared" si="139"/>
        <v>106043</v>
      </c>
      <c r="AH367" s="270">
        <f t="shared" si="139"/>
        <v>106043</v>
      </c>
      <c r="AI367" s="270">
        <f t="shared" si="139"/>
        <v>106043</v>
      </c>
      <c r="AJ367" s="270">
        <f t="shared" si="139"/>
        <v>106043</v>
      </c>
      <c r="AK367" s="270">
        <f t="shared" si="139"/>
        <v>106043</v>
      </c>
      <c r="AL367" s="270">
        <f t="shared" si="139"/>
        <v>106043</v>
      </c>
      <c r="AM367" s="270">
        <f t="shared" si="139"/>
        <v>106043</v>
      </c>
    </row>
    <row r="368" spans="2:39" ht="15.75" thickBot="1" x14ac:dyDescent="0.35">
      <c r="B368" s="56" t="str">
        <f>input_names!$B$3</f>
        <v>benzine</v>
      </c>
      <c r="C368" s="61">
        <v>320</v>
      </c>
      <c r="D368" s="270">
        <f t="shared" ref="D368:S383" si="144">+MIN(MAX(0,$C368-D$11),D$12-D$11)*D$17
+MIN(MAX(0,$C368-D$12),D$13-D$12)*D$18
+MIN(MAX(0,$C368-D$13),D$14-D$13)*D$19
+MIN(MAX(0,$C368-D$14),D$15-D$14)*D$20
+MAX(0,$C368-D$15)*D$21
+D$26</f>
        <v>73299</v>
      </c>
      <c r="E368" s="270">
        <f t="shared" si="144"/>
        <v>82557</v>
      </c>
      <c r="F368" s="270">
        <f t="shared" si="144"/>
        <v>85099</v>
      </c>
      <c r="G368" s="270">
        <f t="shared" si="144"/>
        <v>84465</v>
      </c>
      <c r="H368" s="270">
        <f t="shared" si="144"/>
        <v>81468</v>
      </c>
      <c r="I368" s="270">
        <f t="shared" si="144"/>
        <v>81783</v>
      </c>
      <c r="J368" s="270">
        <f t="shared" si="144"/>
        <v>75374</v>
      </c>
      <c r="K368" s="270">
        <f t="shared" si="144"/>
        <v>79581</v>
      </c>
      <c r="L368" s="270">
        <f t="shared" si="144"/>
        <v>82042</v>
      </c>
      <c r="M368" s="270">
        <f t="shared" si="144"/>
        <v>100946</v>
      </c>
      <c r="N368" s="270">
        <f t="shared" si="144"/>
        <v>106611</v>
      </c>
      <c r="O368" s="270">
        <f t="shared" si="144"/>
        <v>106611</v>
      </c>
      <c r="P368" s="270">
        <f t="shared" si="144"/>
        <v>106611</v>
      </c>
      <c r="Q368" s="270">
        <f t="shared" si="144"/>
        <v>106611</v>
      </c>
      <c r="R368" s="270">
        <f t="shared" si="144"/>
        <v>106611</v>
      </c>
      <c r="S368" s="270">
        <f t="shared" si="144"/>
        <v>106611</v>
      </c>
      <c r="T368" s="270">
        <f t="shared" si="142"/>
        <v>106611</v>
      </c>
      <c r="U368" s="270">
        <f t="shared" si="142"/>
        <v>106611</v>
      </c>
      <c r="V368" s="270">
        <f t="shared" si="142"/>
        <v>106611</v>
      </c>
      <c r="W368" s="270">
        <f t="shared" si="142"/>
        <v>106611</v>
      </c>
      <c r="X368" s="270">
        <f t="shared" si="142"/>
        <v>106611</v>
      </c>
      <c r="Y368" s="270">
        <f t="shared" si="142"/>
        <v>106611</v>
      </c>
      <c r="Z368" s="270">
        <f t="shared" si="142"/>
        <v>106611</v>
      </c>
      <c r="AA368" s="270">
        <f t="shared" si="142"/>
        <v>106611</v>
      </c>
      <c r="AB368" s="270">
        <f t="shared" si="142"/>
        <v>106611</v>
      </c>
      <c r="AC368" s="270">
        <f t="shared" si="142"/>
        <v>106611</v>
      </c>
      <c r="AD368" s="270">
        <f t="shared" si="143"/>
        <v>106611</v>
      </c>
      <c r="AE368" s="270">
        <f t="shared" si="141"/>
        <v>106611</v>
      </c>
      <c r="AF368" s="270">
        <f t="shared" si="139"/>
        <v>106611</v>
      </c>
      <c r="AG368" s="270">
        <f t="shared" si="139"/>
        <v>106611</v>
      </c>
      <c r="AH368" s="270">
        <f t="shared" si="139"/>
        <v>106611</v>
      </c>
      <c r="AI368" s="270">
        <f t="shared" si="139"/>
        <v>106611</v>
      </c>
      <c r="AJ368" s="270">
        <f t="shared" si="139"/>
        <v>106611</v>
      </c>
      <c r="AK368" s="270">
        <f t="shared" si="139"/>
        <v>106611</v>
      </c>
      <c r="AL368" s="270">
        <f t="shared" si="139"/>
        <v>106611</v>
      </c>
      <c r="AM368" s="270">
        <f t="shared" si="139"/>
        <v>106611</v>
      </c>
    </row>
    <row r="369" spans="2:39" ht="15.75" thickBot="1" x14ac:dyDescent="0.35">
      <c r="B369" s="56" t="str">
        <f>input_names!$B$3</f>
        <v>benzine</v>
      </c>
      <c r="C369" s="61">
        <v>321</v>
      </c>
      <c r="D369" s="270">
        <f t="shared" si="144"/>
        <v>73733</v>
      </c>
      <c r="E369" s="270">
        <f t="shared" si="144"/>
        <v>83033</v>
      </c>
      <c r="F369" s="270">
        <f t="shared" si="144"/>
        <v>85571</v>
      </c>
      <c r="G369" s="270">
        <f t="shared" si="144"/>
        <v>84920</v>
      </c>
      <c r="H369" s="270">
        <f t="shared" si="144"/>
        <v>81896</v>
      </c>
      <c r="I369" s="270">
        <f t="shared" si="144"/>
        <v>82201</v>
      </c>
      <c r="J369" s="270">
        <f t="shared" si="144"/>
        <v>75806</v>
      </c>
      <c r="K369" s="270">
        <f t="shared" si="144"/>
        <v>80029</v>
      </c>
      <c r="L369" s="270">
        <f t="shared" si="144"/>
        <v>82490</v>
      </c>
      <c r="M369" s="270">
        <f t="shared" si="144"/>
        <v>101495</v>
      </c>
      <c r="N369" s="270">
        <f t="shared" si="144"/>
        <v>107179</v>
      </c>
      <c r="O369" s="270">
        <f t="shared" si="144"/>
        <v>107179</v>
      </c>
      <c r="P369" s="270">
        <f t="shared" si="144"/>
        <v>107179</v>
      </c>
      <c r="Q369" s="270">
        <f t="shared" si="144"/>
        <v>107179</v>
      </c>
      <c r="R369" s="270">
        <f t="shared" si="144"/>
        <v>107179</v>
      </c>
      <c r="S369" s="270">
        <f t="shared" si="144"/>
        <v>107179</v>
      </c>
      <c r="T369" s="270">
        <f t="shared" si="142"/>
        <v>107179</v>
      </c>
      <c r="U369" s="270">
        <f t="shared" si="142"/>
        <v>107179</v>
      </c>
      <c r="V369" s="270">
        <f t="shared" si="142"/>
        <v>107179</v>
      </c>
      <c r="W369" s="270">
        <f t="shared" si="142"/>
        <v>107179</v>
      </c>
      <c r="X369" s="270">
        <f t="shared" si="142"/>
        <v>107179</v>
      </c>
      <c r="Y369" s="270">
        <f t="shared" si="142"/>
        <v>107179</v>
      </c>
      <c r="Z369" s="270">
        <f t="shared" si="142"/>
        <v>107179</v>
      </c>
      <c r="AA369" s="270">
        <f t="shared" si="142"/>
        <v>107179</v>
      </c>
      <c r="AB369" s="270">
        <f t="shared" si="142"/>
        <v>107179</v>
      </c>
      <c r="AC369" s="270">
        <f t="shared" si="142"/>
        <v>107179</v>
      </c>
      <c r="AD369" s="270">
        <f t="shared" si="143"/>
        <v>107179</v>
      </c>
      <c r="AE369" s="270">
        <f t="shared" si="141"/>
        <v>107179</v>
      </c>
      <c r="AF369" s="270">
        <f t="shared" si="139"/>
        <v>107179</v>
      </c>
      <c r="AG369" s="270">
        <f t="shared" si="139"/>
        <v>107179</v>
      </c>
      <c r="AH369" s="270">
        <f t="shared" si="139"/>
        <v>107179</v>
      </c>
      <c r="AI369" s="270">
        <f t="shared" si="139"/>
        <v>107179</v>
      </c>
      <c r="AJ369" s="270">
        <f t="shared" si="139"/>
        <v>107179</v>
      </c>
      <c r="AK369" s="270">
        <f t="shared" si="139"/>
        <v>107179</v>
      </c>
      <c r="AL369" s="270">
        <f t="shared" si="139"/>
        <v>107179</v>
      </c>
      <c r="AM369" s="270">
        <f t="shared" si="139"/>
        <v>107179</v>
      </c>
    </row>
    <row r="370" spans="2:39" ht="15.75" thickBot="1" x14ac:dyDescent="0.35">
      <c r="B370" s="56" t="str">
        <f>input_names!$B$3</f>
        <v>benzine</v>
      </c>
      <c r="C370" s="61">
        <v>322</v>
      </c>
      <c r="D370" s="270">
        <f t="shared" si="144"/>
        <v>74167</v>
      </c>
      <c r="E370" s="270">
        <f t="shared" si="144"/>
        <v>83509</v>
      </c>
      <c r="F370" s="270">
        <f t="shared" si="144"/>
        <v>86043</v>
      </c>
      <c r="G370" s="270">
        <f t="shared" si="144"/>
        <v>85375</v>
      </c>
      <c r="H370" s="270">
        <f t="shared" si="144"/>
        <v>82324</v>
      </c>
      <c r="I370" s="270">
        <f t="shared" si="144"/>
        <v>82619</v>
      </c>
      <c r="J370" s="270">
        <f t="shared" si="144"/>
        <v>76238</v>
      </c>
      <c r="K370" s="270">
        <f t="shared" si="144"/>
        <v>80477</v>
      </c>
      <c r="L370" s="270">
        <f t="shared" si="144"/>
        <v>82938</v>
      </c>
      <c r="M370" s="270">
        <f t="shared" si="144"/>
        <v>102044</v>
      </c>
      <c r="N370" s="270">
        <f t="shared" si="144"/>
        <v>107747</v>
      </c>
      <c r="O370" s="270">
        <f t="shared" si="144"/>
        <v>107747</v>
      </c>
      <c r="P370" s="270">
        <f t="shared" si="144"/>
        <v>107747</v>
      </c>
      <c r="Q370" s="270">
        <f t="shared" si="144"/>
        <v>107747</v>
      </c>
      <c r="R370" s="270">
        <f t="shared" si="144"/>
        <v>107747</v>
      </c>
      <c r="S370" s="270">
        <f t="shared" si="144"/>
        <v>107747</v>
      </c>
      <c r="T370" s="270">
        <f t="shared" si="142"/>
        <v>107747</v>
      </c>
      <c r="U370" s="270">
        <f t="shared" si="142"/>
        <v>107747</v>
      </c>
      <c r="V370" s="270">
        <f t="shared" si="142"/>
        <v>107747</v>
      </c>
      <c r="W370" s="270">
        <f t="shared" si="142"/>
        <v>107747</v>
      </c>
      <c r="X370" s="270">
        <f t="shared" si="142"/>
        <v>107747</v>
      </c>
      <c r="Y370" s="270">
        <f t="shared" si="142"/>
        <v>107747</v>
      </c>
      <c r="Z370" s="270">
        <f t="shared" si="142"/>
        <v>107747</v>
      </c>
      <c r="AA370" s="270">
        <f t="shared" si="142"/>
        <v>107747</v>
      </c>
      <c r="AB370" s="270">
        <f t="shared" si="142"/>
        <v>107747</v>
      </c>
      <c r="AC370" s="270">
        <f t="shared" si="142"/>
        <v>107747</v>
      </c>
      <c r="AD370" s="270">
        <f t="shared" si="143"/>
        <v>107747</v>
      </c>
      <c r="AE370" s="270">
        <f t="shared" si="141"/>
        <v>107747</v>
      </c>
      <c r="AF370" s="270">
        <f t="shared" si="139"/>
        <v>107747</v>
      </c>
      <c r="AG370" s="270">
        <f t="shared" si="139"/>
        <v>107747</v>
      </c>
      <c r="AH370" s="270">
        <f t="shared" si="139"/>
        <v>107747</v>
      </c>
      <c r="AI370" s="270">
        <f t="shared" si="139"/>
        <v>107747</v>
      </c>
      <c r="AJ370" s="270">
        <f t="shared" si="139"/>
        <v>107747</v>
      </c>
      <c r="AK370" s="270">
        <f t="shared" si="139"/>
        <v>107747</v>
      </c>
      <c r="AL370" s="270">
        <f t="shared" si="139"/>
        <v>107747</v>
      </c>
      <c r="AM370" s="270">
        <f t="shared" si="139"/>
        <v>107747</v>
      </c>
    </row>
    <row r="371" spans="2:39" ht="15.75" thickBot="1" x14ac:dyDescent="0.35">
      <c r="B371" s="56" t="str">
        <f>input_names!$B$3</f>
        <v>benzine</v>
      </c>
      <c r="C371" s="61">
        <v>323</v>
      </c>
      <c r="D371" s="270">
        <f t="shared" si="144"/>
        <v>74601</v>
      </c>
      <c r="E371" s="270">
        <f t="shared" si="144"/>
        <v>83985</v>
      </c>
      <c r="F371" s="270">
        <f t="shared" si="144"/>
        <v>86515</v>
      </c>
      <c r="G371" s="270">
        <f t="shared" si="144"/>
        <v>85830</v>
      </c>
      <c r="H371" s="270">
        <f t="shared" si="144"/>
        <v>82752</v>
      </c>
      <c r="I371" s="270">
        <f t="shared" si="144"/>
        <v>83037</v>
      </c>
      <c r="J371" s="270">
        <f t="shared" si="144"/>
        <v>76670</v>
      </c>
      <c r="K371" s="270">
        <f t="shared" si="144"/>
        <v>80925</v>
      </c>
      <c r="L371" s="270">
        <f t="shared" si="144"/>
        <v>83386</v>
      </c>
      <c r="M371" s="270">
        <f t="shared" si="144"/>
        <v>102593</v>
      </c>
      <c r="N371" s="270">
        <f t="shared" si="144"/>
        <v>108315</v>
      </c>
      <c r="O371" s="270">
        <f t="shared" si="144"/>
        <v>108315</v>
      </c>
      <c r="P371" s="270">
        <f t="shared" si="144"/>
        <v>108315</v>
      </c>
      <c r="Q371" s="270">
        <f t="shared" si="144"/>
        <v>108315</v>
      </c>
      <c r="R371" s="270">
        <f t="shared" si="144"/>
        <v>108315</v>
      </c>
      <c r="S371" s="270">
        <f t="shared" si="144"/>
        <v>108315</v>
      </c>
      <c r="T371" s="270">
        <f t="shared" si="142"/>
        <v>108315</v>
      </c>
      <c r="U371" s="270">
        <f t="shared" si="142"/>
        <v>108315</v>
      </c>
      <c r="V371" s="270">
        <f t="shared" si="142"/>
        <v>108315</v>
      </c>
      <c r="W371" s="270">
        <f t="shared" si="142"/>
        <v>108315</v>
      </c>
      <c r="X371" s="270">
        <f t="shared" si="142"/>
        <v>108315</v>
      </c>
      <c r="Y371" s="270">
        <f t="shared" si="142"/>
        <v>108315</v>
      </c>
      <c r="Z371" s="270">
        <f t="shared" si="142"/>
        <v>108315</v>
      </c>
      <c r="AA371" s="270">
        <f t="shared" si="142"/>
        <v>108315</v>
      </c>
      <c r="AB371" s="270">
        <f t="shared" si="142"/>
        <v>108315</v>
      </c>
      <c r="AC371" s="270">
        <f t="shared" si="142"/>
        <v>108315</v>
      </c>
      <c r="AD371" s="270">
        <f t="shared" si="143"/>
        <v>108315</v>
      </c>
      <c r="AE371" s="270">
        <f t="shared" si="141"/>
        <v>108315</v>
      </c>
      <c r="AF371" s="270">
        <f t="shared" si="139"/>
        <v>108315</v>
      </c>
      <c r="AG371" s="270">
        <f t="shared" si="139"/>
        <v>108315</v>
      </c>
      <c r="AH371" s="270">
        <f t="shared" si="139"/>
        <v>108315</v>
      </c>
      <c r="AI371" s="270">
        <f t="shared" si="139"/>
        <v>108315</v>
      </c>
      <c r="AJ371" s="270">
        <f t="shared" si="139"/>
        <v>108315</v>
      </c>
      <c r="AK371" s="270">
        <f t="shared" si="139"/>
        <v>108315</v>
      </c>
      <c r="AL371" s="270">
        <f t="shared" si="139"/>
        <v>108315</v>
      </c>
      <c r="AM371" s="270">
        <f t="shared" si="139"/>
        <v>108315</v>
      </c>
    </row>
    <row r="372" spans="2:39" ht="15.75" thickBot="1" x14ac:dyDescent="0.35">
      <c r="B372" s="56" t="str">
        <f>input_names!$B$3</f>
        <v>benzine</v>
      </c>
      <c r="C372" s="61">
        <v>324</v>
      </c>
      <c r="D372" s="270">
        <f t="shared" si="144"/>
        <v>75035</v>
      </c>
      <c r="E372" s="270">
        <f t="shared" si="144"/>
        <v>84461</v>
      </c>
      <c r="F372" s="270">
        <f t="shared" si="144"/>
        <v>86987</v>
      </c>
      <c r="G372" s="270">
        <f t="shared" si="144"/>
        <v>86285</v>
      </c>
      <c r="H372" s="270">
        <f t="shared" si="144"/>
        <v>83180</v>
      </c>
      <c r="I372" s="270">
        <f t="shared" si="144"/>
        <v>83455</v>
      </c>
      <c r="J372" s="270">
        <f t="shared" si="144"/>
        <v>77102</v>
      </c>
      <c r="K372" s="270">
        <f t="shared" si="144"/>
        <v>81373</v>
      </c>
      <c r="L372" s="270">
        <f t="shared" si="144"/>
        <v>83834</v>
      </c>
      <c r="M372" s="270">
        <f t="shared" si="144"/>
        <v>103142</v>
      </c>
      <c r="N372" s="270">
        <f t="shared" si="144"/>
        <v>108883</v>
      </c>
      <c r="O372" s="270">
        <f t="shared" si="144"/>
        <v>108883</v>
      </c>
      <c r="P372" s="270">
        <f t="shared" si="144"/>
        <v>108883</v>
      </c>
      <c r="Q372" s="270">
        <f t="shared" si="144"/>
        <v>108883</v>
      </c>
      <c r="R372" s="270">
        <f t="shared" si="144"/>
        <v>108883</v>
      </c>
      <c r="S372" s="270">
        <f t="shared" si="144"/>
        <v>108883</v>
      </c>
      <c r="T372" s="270">
        <f t="shared" si="142"/>
        <v>108883</v>
      </c>
      <c r="U372" s="270">
        <f t="shared" si="142"/>
        <v>108883</v>
      </c>
      <c r="V372" s="270">
        <f t="shared" si="142"/>
        <v>108883</v>
      </c>
      <c r="W372" s="270">
        <f t="shared" si="142"/>
        <v>108883</v>
      </c>
      <c r="X372" s="270">
        <f t="shared" si="142"/>
        <v>108883</v>
      </c>
      <c r="Y372" s="270">
        <f t="shared" si="142"/>
        <v>108883</v>
      </c>
      <c r="Z372" s="270">
        <f t="shared" si="142"/>
        <v>108883</v>
      </c>
      <c r="AA372" s="270">
        <f t="shared" si="142"/>
        <v>108883</v>
      </c>
      <c r="AB372" s="270">
        <f t="shared" si="142"/>
        <v>108883</v>
      </c>
      <c r="AC372" s="270">
        <f t="shared" si="142"/>
        <v>108883</v>
      </c>
      <c r="AD372" s="270">
        <f t="shared" si="143"/>
        <v>108883</v>
      </c>
      <c r="AE372" s="270">
        <f t="shared" si="141"/>
        <v>108883</v>
      </c>
      <c r="AF372" s="270">
        <f t="shared" si="139"/>
        <v>108883</v>
      </c>
      <c r="AG372" s="270">
        <f t="shared" si="139"/>
        <v>108883</v>
      </c>
      <c r="AH372" s="270">
        <f t="shared" si="139"/>
        <v>108883</v>
      </c>
      <c r="AI372" s="270">
        <f t="shared" si="139"/>
        <v>108883</v>
      </c>
      <c r="AJ372" s="270">
        <f t="shared" si="139"/>
        <v>108883</v>
      </c>
      <c r="AK372" s="270">
        <f t="shared" si="139"/>
        <v>108883</v>
      </c>
      <c r="AL372" s="270">
        <f t="shared" si="139"/>
        <v>108883</v>
      </c>
      <c r="AM372" s="270">
        <f t="shared" ref="AF372:AM381" si="145">+MIN(MAX(0,$C372-AM$11),AM$12-AM$11)*AM$17
+MIN(MAX(0,$C372-AM$12),AM$13-AM$12)*AM$18
+MIN(MAX(0,$C372-AM$13),AM$14-AM$13)*AM$19
+MIN(MAX(0,$C372-AM$14),AM$15-AM$14)*AM$20
+MAX(0,$C372-AM$15)*AM$21
+AM$26</f>
        <v>108883</v>
      </c>
    </row>
    <row r="373" spans="2:39" ht="15.75" thickBot="1" x14ac:dyDescent="0.35">
      <c r="B373" s="56" t="str">
        <f>input_names!$B$3</f>
        <v>benzine</v>
      </c>
      <c r="C373" s="61">
        <v>325</v>
      </c>
      <c r="D373" s="270">
        <f t="shared" si="144"/>
        <v>75469</v>
      </c>
      <c r="E373" s="270">
        <f t="shared" si="144"/>
        <v>84937</v>
      </c>
      <c r="F373" s="270">
        <f t="shared" si="144"/>
        <v>87459</v>
      </c>
      <c r="G373" s="270">
        <f t="shared" si="144"/>
        <v>86740</v>
      </c>
      <c r="H373" s="270">
        <f t="shared" si="144"/>
        <v>83608</v>
      </c>
      <c r="I373" s="270">
        <f t="shared" si="144"/>
        <v>83873</v>
      </c>
      <c r="J373" s="270">
        <f t="shared" si="144"/>
        <v>77534</v>
      </c>
      <c r="K373" s="270">
        <f t="shared" si="144"/>
        <v>81821</v>
      </c>
      <c r="L373" s="270">
        <f t="shared" si="144"/>
        <v>84282</v>
      </c>
      <c r="M373" s="270">
        <f t="shared" si="144"/>
        <v>103691</v>
      </c>
      <c r="N373" s="270">
        <f t="shared" si="144"/>
        <v>109451</v>
      </c>
      <c r="O373" s="270">
        <f t="shared" si="144"/>
        <v>109451</v>
      </c>
      <c r="P373" s="270">
        <f t="shared" si="144"/>
        <v>109451</v>
      </c>
      <c r="Q373" s="270">
        <f t="shared" si="144"/>
        <v>109451</v>
      </c>
      <c r="R373" s="270">
        <f t="shared" si="144"/>
        <v>109451</v>
      </c>
      <c r="S373" s="270">
        <f t="shared" si="144"/>
        <v>109451</v>
      </c>
      <c r="T373" s="270">
        <f t="shared" si="142"/>
        <v>109451</v>
      </c>
      <c r="U373" s="270">
        <f t="shared" si="142"/>
        <v>109451</v>
      </c>
      <c r="V373" s="270">
        <f t="shared" si="142"/>
        <v>109451</v>
      </c>
      <c r="W373" s="270">
        <f t="shared" si="142"/>
        <v>109451</v>
      </c>
      <c r="X373" s="270">
        <f t="shared" si="142"/>
        <v>109451</v>
      </c>
      <c r="Y373" s="270">
        <f t="shared" si="142"/>
        <v>109451</v>
      </c>
      <c r="Z373" s="270">
        <f t="shared" si="142"/>
        <v>109451</v>
      </c>
      <c r="AA373" s="270">
        <f t="shared" si="142"/>
        <v>109451</v>
      </c>
      <c r="AB373" s="270">
        <f t="shared" si="142"/>
        <v>109451</v>
      </c>
      <c r="AC373" s="270">
        <f t="shared" si="142"/>
        <v>109451</v>
      </c>
      <c r="AD373" s="270">
        <f t="shared" si="143"/>
        <v>109451</v>
      </c>
      <c r="AE373" s="270">
        <f t="shared" si="141"/>
        <v>109451</v>
      </c>
      <c r="AF373" s="270">
        <f t="shared" si="145"/>
        <v>109451</v>
      </c>
      <c r="AG373" s="270">
        <f t="shared" si="145"/>
        <v>109451</v>
      </c>
      <c r="AH373" s="270">
        <f t="shared" si="145"/>
        <v>109451</v>
      </c>
      <c r="AI373" s="270">
        <f t="shared" si="145"/>
        <v>109451</v>
      </c>
      <c r="AJ373" s="270">
        <f t="shared" si="145"/>
        <v>109451</v>
      </c>
      <c r="AK373" s="270">
        <f t="shared" si="145"/>
        <v>109451</v>
      </c>
      <c r="AL373" s="270">
        <f t="shared" si="145"/>
        <v>109451</v>
      </c>
      <c r="AM373" s="270">
        <f t="shared" si="145"/>
        <v>109451</v>
      </c>
    </row>
    <row r="374" spans="2:39" ht="15.75" thickBot="1" x14ac:dyDescent="0.35">
      <c r="B374" s="56" t="str">
        <f>input_names!$B$3</f>
        <v>benzine</v>
      </c>
      <c r="C374" s="61">
        <v>326</v>
      </c>
      <c r="D374" s="270">
        <f t="shared" si="144"/>
        <v>75903</v>
      </c>
      <c r="E374" s="270">
        <f t="shared" si="144"/>
        <v>85413</v>
      </c>
      <c r="F374" s="270">
        <f t="shared" si="144"/>
        <v>87931</v>
      </c>
      <c r="G374" s="270">
        <f t="shared" si="144"/>
        <v>87195</v>
      </c>
      <c r="H374" s="270">
        <f t="shared" si="144"/>
        <v>84036</v>
      </c>
      <c r="I374" s="270">
        <f t="shared" si="144"/>
        <v>84291</v>
      </c>
      <c r="J374" s="270">
        <f t="shared" si="144"/>
        <v>77966</v>
      </c>
      <c r="K374" s="270">
        <f t="shared" si="144"/>
        <v>82269</v>
      </c>
      <c r="L374" s="270">
        <f t="shared" si="144"/>
        <v>84730</v>
      </c>
      <c r="M374" s="270">
        <f t="shared" si="144"/>
        <v>104240</v>
      </c>
      <c r="N374" s="270">
        <f t="shared" si="144"/>
        <v>110019</v>
      </c>
      <c r="O374" s="270">
        <f t="shared" si="144"/>
        <v>110019</v>
      </c>
      <c r="P374" s="270">
        <f t="shared" si="144"/>
        <v>110019</v>
      </c>
      <c r="Q374" s="270">
        <f t="shared" si="144"/>
        <v>110019</v>
      </c>
      <c r="R374" s="270">
        <f t="shared" si="144"/>
        <v>110019</v>
      </c>
      <c r="S374" s="270">
        <f t="shared" si="144"/>
        <v>110019</v>
      </c>
      <c r="T374" s="270">
        <f t="shared" si="142"/>
        <v>110019</v>
      </c>
      <c r="U374" s="270">
        <f t="shared" si="142"/>
        <v>110019</v>
      </c>
      <c r="V374" s="270">
        <f t="shared" si="142"/>
        <v>110019</v>
      </c>
      <c r="W374" s="270">
        <f t="shared" si="142"/>
        <v>110019</v>
      </c>
      <c r="X374" s="270">
        <f t="shared" si="142"/>
        <v>110019</v>
      </c>
      <c r="Y374" s="270">
        <f t="shared" si="142"/>
        <v>110019</v>
      </c>
      <c r="Z374" s="270">
        <f t="shared" si="142"/>
        <v>110019</v>
      </c>
      <c r="AA374" s="270">
        <f t="shared" si="142"/>
        <v>110019</v>
      </c>
      <c r="AB374" s="270">
        <f t="shared" si="142"/>
        <v>110019</v>
      </c>
      <c r="AC374" s="270">
        <f t="shared" si="142"/>
        <v>110019</v>
      </c>
      <c r="AD374" s="270">
        <f t="shared" si="143"/>
        <v>110019</v>
      </c>
      <c r="AE374" s="270">
        <f t="shared" si="141"/>
        <v>110019</v>
      </c>
      <c r="AF374" s="270">
        <f t="shared" si="145"/>
        <v>110019</v>
      </c>
      <c r="AG374" s="270">
        <f t="shared" si="145"/>
        <v>110019</v>
      </c>
      <c r="AH374" s="270">
        <f t="shared" si="145"/>
        <v>110019</v>
      </c>
      <c r="AI374" s="270">
        <f t="shared" si="145"/>
        <v>110019</v>
      </c>
      <c r="AJ374" s="270">
        <f t="shared" si="145"/>
        <v>110019</v>
      </c>
      <c r="AK374" s="270">
        <f t="shared" si="145"/>
        <v>110019</v>
      </c>
      <c r="AL374" s="270">
        <f t="shared" si="145"/>
        <v>110019</v>
      </c>
      <c r="AM374" s="270">
        <f t="shared" si="145"/>
        <v>110019</v>
      </c>
    </row>
    <row r="375" spans="2:39" ht="15.75" thickBot="1" x14ac:dyDescent="0.35">
      <c r="B375" s="56" t="str">
        <f>input_names!$B$3</f>
        <v>benzine</v>
      </c>
      <c r="C375" s="61">
        <v>327</v>
      </c>
      <c r="D375" s="270">
        <f t="shared" si="144"/>
        <v>76337</v>
      </c>
      <c r="E375" s="270">
        <f t="shared" si="144"/>
        <v>85889</v>
      </c>
      <c r="F375" s="270">
        <f t="shared" si="144"/>
        <v>88403</v>
      </c>
      <c r="G375" s="270">
        <f t="shared" si="144"/>
        <v>87650</v>
      </c>
      <c r="H375" s="270">
        <f t="shared" si="144"/>
        <v>84464</v>
      </c>
      <c r="I375" s="270">
        <f t="shared" si="144"/>
        <v>84709</v>
      </c>
      <c r="J375" s="270">
        <f t="shared" si="144"/>
        <v>78398</v>
      </c>
      <c r="K375" s="270">
        <f t="shared" si="144"/>
        <v>82717</v>
      </c>
      <c r="L375" s="270">
        <f t="shared" si="144"/>
        <v>85178</v>
      </c>
      <c r="M375" s="270">
        <f t="shared" si="144"/>
        <v>104789</v>
      </c>
      <c r="N375" s="270">
        <f t="shared" si="144"/>
        <v>110587</v>
      </c>
      <c r="O375" s="270">
        <f t="shared" si="144"/>
        <v>110587</v>
      </c>
      <c r="P375" s="270">
        <f t="shared" si="144"/>
        <v>110587</v>
      </c>
      <c r="Q375" s="270">
        <f t="shared" si="144"/>
        <v>110587</v>
      </c>
      <c r="R375" s="270">
        <f t="shared" si="144"/>
        <v>110587</v>
      </c>
      <c r="S375" s="270">
        <f t="shared" si="144"/>
        <v>110587</v>
      </c>
      <c r="T375" s="270">
        <f t="shared" si="142"/>
        <v>110587</v>
      </c>
      <c r="U375" s="270">
        <f t="shared" si="142"/>
        <v>110587</v>
      </c>
      <c r="V375" s="270">
        <f t="shared" si="142"/>
        <v>110587</v>
      </c>
      <c r="W375" s="270">
        <f t="shared" si="142"/>
        <v>110587</v>
      </c>
      <c r="X375" s="270">
        <f t="shared" si="142"/>
        <v>110587</v>
      </c>
      <c r="Y375" s="270">
        <f t="shared" si="142"/>
        <v>110587</v>
      </c>
      <c r="Z375" s="270">
        <f t="shared" si="142"/>
        <v>110587</v>
      </c>
      <c r="AA375" s="270">
        <f t="shared" si="142"/>
        <v>110587</v>
      </c>
      <c r="AB375" s="270">
        <f t="shared" si="142"/>
        <v>110587</v>
      </c>
      <c r="AC375" s="270">
        <f t="shared" si="142"/>
        <v>110587</v>
      </c>
      <c r="AD375" s="270">
        <f t="shared" si="143"/>
        <v>110587</v>
      </c>
      <c r="AE375" s="270">
        <f t="shared" si="141"/>
        <v>110587</v>
      </c>
      <c r="AF375" s="270">
        <f t="shared" si="145"/>
        <v>110587</v>
      </c>
      <c r="AG375" s="270">
        <f t="shared" si="145"/>
        <v>110587</v>
      </c>
      <c r="AH375" s="270">
        <f t="shared" si="145"/>
        <v>110587</v>
      </c>
      <c r="AI375" s="270">
        <f t="shared" si="145"/>
        <v>110587</v>
      </c>
      <c r="AJ375" s="270">
        <f t="shared" si="145"/>
        <v>110587</v>
      </c>
      <c r="AK375" s="270">
        <f t="shared" si="145"/>
        <v>110587</v>
      </c>
      <c r="AL375" s="270">
        <f t="shared" si="145"/>
        <v>110587</v>
      </c>
      <c r="AM375" s="270">
        <f t="shared" si="145"/>
        <v>110587</v>
      </c>
    </row>
    <row r="376" spans="2:39" ht="15.75" thickBot="1" x14ac:dyDescent="0.35">
      <c r="B376" s="56" t="str">
        <f>input_names!$B$3</f>
        <v>benzine</v>
      </c>
      <c r="C376" s="61">
        <v>328</v>
      </c>
      <c r="D376" s="270">
        <f t="shared" si="144"/>
        <v>76771</v>
      </c>
      <c r="E376" s="270">
        <f t="shared" si="144"/>
        <v>86365</v>
      </c>
      <c r="F376" s="270">
        <f t="shared" si="144"/>
        <v>88875</v>
      </c>
      <c r="G376" s="270">
        <f t="shared" si="144"/>
        <v>88105</v>
      </c>
      <c r="H376" s="270">
        <f t="shared" si="144"/>
        <v>84892</v>
      </c>
      <c r="I376" s="270">
        <f t="shared" si="144"/>
        <v>85127</v>
      </c>
      <c r="J376" s="270">
        <f t="shared" si="144"/>
        <v>78830</v>
      </c>
      <c r="K376" s="270">
        <f t="shared" si="144"/>
        <v>83165</v>
      </c>
      <c r="L376" s="270">
        <f t="shared" si="144"/>
        <v>85626</v>
      </c>
      <c r="M376" s="270">
        <f t="shared" si="144"/>
        <v>105338</v>
      </c>
      <c r="N376" s="270">
        <f t="shared" si="144"/>
        <v>111155</v>
      </c>
      <c r="O376" s="270">
        <f t="shared" si="144"/>
        <v>111155</v>
      </c>
      <c r="P376" s="270">
        <f t="shared" si="144"/>
        <v>111155</v>
      </c>
      <c r="Q376" s="270">
        <f t="shared" si="144"/>
        <v>111155</v>
      </c>
      <c r="R376" s="270">
        <f t="shared" si="144"/>
        <v>111155</v>
      </c>
      <c r="S376" s="270">
        <f t="shared" si="144"/>
        <v>111155</v>
      </c>
      <c r="T376" s="270">
        <f t="shared" si="142"/>
        <v>111155</v>
      </c>
      <c r="U376" s="270">
        <f t="shared" si="142"/>
        <v>111155</v>
      </c>
      <c r="V376" s="270">
        <f t="shared" si="142"/>
        <v>111155</v>
      </c>
      <c r="W376" s="270">
        <f t="shared" si="142"/>
        <v>111155</v>
      </c>
      <c r="X376" s="270">
        <f t="shared" si="142"/>
        <v>111155</v>
      </c>
      <c r="Y376" s="270">
        <f t="shared" si="142"/>
        <v>111155</v>
      </c>
      <c r="Z376" s="270">
        <f t="shared" si="142"/>
        <v>111155</v>
      </c>
      <c r="AA376" s="270">
        <f t="shared" si="142"/>
        <v>111155</v>
      </c>
      <c r="AB376" s="270">
        <f t="shared" si="142"/>
        <v>111155</v>
      </c>
      <c r="AC376" s="270">
        <f t="shared" si="142"/>
        <v>111155</v>
      </c>
      <c r="AD376" s="270">
        <f t="shared" si="143"/>
        <v>111155</v>
      </c>
      <c r="AE376" s="270">
        <f t="shared" si="141"/>
        <v>111155</v>
      </c>
      <c r="AF376" s="270">
        <f t="shared" si="145"/>
        <v>111155</v>
      </c>
      <c r="AG376" s="270">
        <f t="shared" si="145"/>
        <v>111155</v>
      </c>
      <c r="AH376" s="270">
        <f t="shared" si="145"/>
        <v>111155</v>
      </c>
      <c r="AI376" s="270">
        <f t="shared" si="145"/>
        <v>111155</v>
      </c>
      <c r="AJ376" s="270">
        <f t="shared" si="145"/>
        <v>111155</v>
      </c>
      <c r="AK376" s="270">
        <f t="shared" si="145"/>
        <v>111155</v>
      </c>
      <c r="AL376" s="270">
        <f t="shared" si="145"/>
        <v>111155</v>
      </c>
      <c r="AM376" s="270">
        <f t="shared" si="145"/>
        <v>111155</v>
      </c>
    </row>
    <row r="377" spans="2:39" ht="15.75" thickBot="1" x14ac:dyDescent="0.35">
      <c r="B377" s="56" t="str">
        <f>input_names!$B$3</f>
        <v>benzine</v>
      </c>
      <c r="C377" s="61">
        <v>329</v>
      </c>
      <c r="D377" s="270">
        <f t="shared" si="144"/>
        <v>77205</v>
      </c>
      <c r="E377" s="270">
        <f t="shared" si="144"/>
        <v>86841</v>
      </c>
      <c r="F377" s="270">
        <f t="shared" si="144"/>
        <v>89347</v>
      </c>
      <c r="G377" s="270">
        <f t="shared" si="144"/>
        <v>88560</v>
      </c>
      <c r="H377" s="270">
        <f t="shared" si="144"/>
        <v>85320</v>
      </c>
      <c r="I377" s="270">
        <f t="shared" si="144"/>
        <v>85545</v>
      </c>
      <c r="J377" s="270">
        <f t="shared" si="144"/>
        <v>79262</v>
      </c>
      <c r="K377" s="270">
        <f t="shared" si="144"/>
        <v>83613</v>
      </c>
      <c r="L377" s="270">
        <f t="shared" si="144"/>
        <v>86074</v>
      </c>
      <c r="M377" s="270">
        <f t="shared" si="144"/>
        <v>105887</v>
      </c>
      <c r="N377" s="270">
        <f t="shared" si="144"/>
        <v>111723</v>
      </c>
      <c r="O377" s="270">
        <f t="shared" si="144"/>
        <v>111723</v>
      </c>
      <c r="P377" s="270">
        <f t="shared" si="144"/>
        <v>111723</v>
      </c>
      <c r="Q377" s="270">
        <f t="shared" si="144"/>
        <v>111723</v>
      </c>
      <c r="R377" s="270">
        <f t="shared" si="144"/>
        <v>111723</v>
      </c>
      <c r="S377" s="270">
        <f t="shared" si="144"/>
        <v>111723</v>
      </c>
      <c r="T377" s="270">
        <f t="shared" si="142"/>
        <v>111723</v>
      </c>
      <c r="U377" s="270">
        <f t="shared" si="142"/>
        <v>111723</v>
      </c>
      <c r="V377" s="270">
        <f t="shared" si="142"/>
        <v>111723</v>
      </c>
      <c r="W377" s="270">
        <f t="shared" si="142"/>
        <v>111723</v>
      </c>
      <c r="X377" s="270">
        <f t="shared" si="142"/>
        <v>111723</v>
      </c>
      <c r="Y377" s="270">
        <f t="shared" si="142"/>
        <v>111723</v>
      </c>
      <c r="Z377" s="270">
        <f t="shared" si="142"/>
        <v>111723</v>
      </c>
      <c r="AA377" s="270">
        <f t="shared" si="142"/>
        <v>111723</v>
      </c>
      <c r="AB377" s="270">
        <f t="shared" si="142"/>
        <v>111723</v>
      </c>
      <c r="AC377" s="270">
        <f t="shared" si="142"/>
        <v>111723</v>
      </c>
      <c r="AD377" s="270">
        <f t="shared" si="143"/>
        <v>111723</v>
      </c>
      <c r="AE377" s="270">
        <f t="shared" si="141"/>
        <v>111723</v>
      </c>
      <c r="AF377" s="270">
        <f t="shared" si="145"/>
        <v>111723</v>
      </c>
      <c r="AG377" s="270">
        <f t="shared" si="145"/>
        <v>111723</v>
      </c>
      <c r="AH377" s="270">
        <f t="shared" si="145"/>
        <v>111723</v>
      </c>
      <c r="AI377" s="270">
        <f t="shared" si="145"/>
        <v>111723</v>
      </c>
      <c r="AJ377" s="270">
        <f t="shared" si="145"/>
        <v>111723</v>
      </c>
      <c r="AK377" s="270">
        <f t="shared" si="145"/>
        <v>111723</v>
      </c>
      <c r="AL377" s="270">
        <f t="shared" si="145"/>
        <v>111723</v>
      </c>
      <c r="AM377" s="270">
        <f t="shared" si="145"/>
        <v>111723</v>
      </c>
    </row>
    <row r="378" spans="2:39" ht="15.75" thickBot="1" x14ac:dyDescent="0.35">
      <c r="B378" s="56" t="str">
        <f>input_names!$B$3</f>
        <v>benzine</v>
      </c>
      <c r="C378" s="61">
        <v>330</v>
      </c>
      <c r="D378" s="270">
        <f t="shared" si="144"/>
        <v>77639</v>
      </c>
      <c r="E378" s="270">
        <f t="shared" si="144"/>
        <v>87317</v>
      </c>
      <c r="F378" s="270">
        <f t="shared" si="144"/>
        <v>89819</v>
      </c>
      <c r="G378" s="270">
        <f t="shared" si="144"/>
        <v>89015</v>
      </c>
      <c r="H378" s="270">
        <f t="shared" si="144"/>
        <v>85748</v>
      </c>
      <c r="I378" s="270">
        <f t="shared" si="144"/>
        <v>85963</v>
      </c>
      <c r="J378" s="270">
        <f t="shared" si="144"/>
        <v>79694</v>
      </c>
      <c r="K378" s="270">
        <f t="shared" si="144"/>
        <v>84061</v>
      </c>
      <c r="L378" s="270">
        <f t="shared" si="144"/>
        <v>86522</v>
      </c>
      <c r="M378" s="270">
        <f t="shared" si="144"/>
        <v>106436</v>
      </c>
      <c r="N378" s="270">
        <f t="shared" si="144"/>
        <v>112291</v>
      </c>
      <c r="O378" s="270">
        <f t="shared" si="144"/>
        <v>112291</v>
      </c>
      <c r="P378" s="270">
        <f t="shared" si="144"/>
        <v>112291</v>
      </c>
      <c r="Q378" s="270">
        <f t="shared" si="144"/>
        <v>112291</v>
      </c>
      <c r="R378" s="270">
        <f t="shared" si="144"/>
        <v>112291</v>
      </c>
      <c r="S378" s="270">
        <f t="shared" si="144"/>
        <v>112291</v>
      </c>
      <c r="T378" s="270">
        <f t="shared" si="142"/>
        <v>112291</v>
      </c>
      <c r="U378" s="270">
        <f t="shared" si="142"/>
        <v>112291</v>
      </c>
      <c r="V378" s="270">
        <f t="shared" si="142"/>
        <v>112291</v>
      </c>
      <c r="W378" s="270">
        <f t="shared" si="142"/>
        <v>112291</v>
      </c>
      <c r="X378" s="270">
        <f t="shared" si="142"/>
        <v>112291</v>
      </c>
      <c r="Y378" s="270">
        <f t="shared" si="142"/>
        <v>112291</v>
      </c>
      <c r="Z378" s="270">
        <f t="shared" si="142"/>
        <v>112291</v>
      </c>
      <c r="AA378" s="270">
        <f t="shared" si="142"/>
        <v>112291</v>
      </c>
      <c r="AB378" s="270">
        <f t="shared" si="142"/>
        <v>112291</v>
      </c>
      <c r="AC378" s="270">
        <f t="shared" si="142"/>
        <v>112291</v>
      </c>
      <c r="AD378" s="270">
        <f t="shared" si="143"/>
        <v>112291</v>
      </c>
      <c r="AE378" s="270">
        <f t="shared" si="141"/>
        <v>112291</v>
      </c>
      <c r="AF378" s="270">
        <f t="shared" si="145"/>
        <v>112291</v>
      </c>
      <c r="AG378" s="270">
        <f t="shared" si="145"/>
        <v>112291</v>
      </c>
      <c r="AH378" s="270">
        <f t="shared" si="145"/>
        <v>112291</v>
      </c>
      <c r="AI378" s="270">
        <f t="shared" si="145"/>
        <v>112291</v>
      </c>
      <c r="AJ378" s="270">
        <f t="shared" si="145"/>
        <v>112291</v>
      </c>
      <c r="AK378" s="270">
        <f t="shared" si="145"/>
        <v>112291</v>
      </c>
      <c r="AL378" s="270">
        <f t="shared" si="145"/>
        <v>112291</v>
      </c>
      <c r="AM378" s="270">
        <f t="shared" si="145"/>
        <v>112291</v>
      </c>
    </row>
    <row r="379" spans="2:39" ht="15.75" thickBot="1" x14ac:dyDescent="0.35">
      <c r="B379" s="56" t="str">
        <f>input_names!$B$3</f>
        <v>benzine</v>
      </c>
      <c r="C379" s="61">
        <v>331</v>
      </c>
      <c r="D379" s="270">
        <f t="shared" si="144"/>
        <v>78073</v>
      </c>
      <c r="E379" s="270">
        <f t="shared" si="144"/>
        <v>87793</v>
      </c>
      <c r="F379" s="270">
        <f t="shared" si="144"/>
        <v>90291</v>
      </c>
      <c r="G379" s="270">
        <f t="shared" si="144"/>
        <v>89470</v>
      </c>
      <c r="H379" s="270">
        <f t="shared" si="144"/>
        <v>86176</v>
      </c>
      <c r="I379" s="270">
        <f t="shared" si="144"/>
        <v>86381</v>
      </c>
      <c r="J379" s="270">
        <f t="shared" si="144"/>
        <v>80126</v>
      </c>
      <c r="K379" s="270">
        <f t="shared" si="144"/>
        <v>84509</v>
      </c>
      <c r="L379" s="270">
        <f t="shared" si="144"/>
        <v>86970</v>
      </c>
      <c r="M379" s="270">
        <f t="shared" si="144"/>
        <v>106985</v>
      </c>
      <c r="N379" s="270">
        <f t="shared" si="144"/>
        <v>112859</v>
      </c>
      <c r="O379" s="270">
        <f t="shared" si="144"/>
        <v>112859</v>
      </c>
      <c r="P379" s="270">
        <f t="shared" si="144"/>
        <v>112859</v>
      </c>
      <c r="Q379" s="270">
        <f t="shared" si="144"/>
        <v>112859</v>
      </c>
      <c r="R379" s="270">
        <f t="shared" si="144"/>
        <v>112859</v>
      </c>
      <c r="S379" s="270">
        <f t="shared" si="144"/>
        <v>112859</v>
      </c>
      <c r="T379" s="270">
        <f t="shared" si="142"/>
        <v>112859</v>
      </c>
      <c r="U379" s="270">
        <f t="shared" si="142"/>
        <v>112859</v>
      </c>
      <c r="V379" s="270">
        <f t="shared" si="142"/>
        <v>112859</v>
      </c>
      <c r="W379" s="270">
        <f t="shared" si="142"/>
        <v>112859</v>
      </c>
      <c r="X379" s="270">
        <f t="shared" si="142"/>
        <v>112859</v>
      </c>
      <c r="Y379" s="270">
        <f t="shared" si="142"/>
        <v>112859</v>
      </c>
      <c r="Z379" s="270">
        <f t="shared" si="142"/>
        <v>112859</v>
      </c>
      <c r="AA379" s="270">
        <f t="shared" si="142"/>
        <v>112859</v>
      </c>
      <c r="AB379" s="270">
        <f t="shared" si="142"/>
        <v>112859</v>
      </c>
      <c r="AC379" s="270">
        <f t="shared" si="142"/>
        <v>112859</v>
      </c>
      <c r="AD379" s="270">
        <f t="shared" si="143"/>
        <v>112859</v>
      </c>
      <c r="AE379" s="270">
        <f t="shared" si="141"/>
        <v>112859</v>
      </c>
      <c r="AF379" s="270">
        <f t="shared" si="145"/>
        <v>112859</v>
      </c>
      <c r="AG379" s="270">
        <f t="shared" si="145"/>
        <v>112859</v>
      </c>
      <c r="AH379" s="270">
        <f t="shared" si="145"/>
        <v>112859</v>
      </c>
      <c r="AI379" s="270">
        <f t="shared" si="145"/>
        <v>112859</v>
      </c>
      <c r="AJ379" s="270">
        <f t="shared" si="145"/>
        <v>112859</v>
      </c>
      <c r="AK379" s="270">
        <f t="shared" si="145"/>
        <v>112859</v>
      </c>
      <c r="AL379" s="270">
        <f t="shared" si="145"/>
        <v>112859</v>
      </c>
      <c r="AM379" s="270">
        <f t="shared" si="145"/>
        <v>112859</v>
      </c>
    </row>
    <row r="380" spans="2:39" ht="15.75" thickBot="1" x14ac:dyDescent="0.35">
      <c r="B380" s="56" t="str">
        <f>input_names!$B$3</f>
        <v>benzine</v>
      </c>
      <c r="C380" s="61">
        <v>332</v>
      </c>
      <c r="D380" s="270">
        <f t="shared" si="144"/>
        <v>78507</v>
      </c>
      <c r="E380" s="270">
        <f t="shared" si="144"/>
        <v>88269</v>
      </c>
      <c r="F380" s="270">
        <f t="shared" si="144"/>
        <v>90763</v>
      </c>
      <c r="G380" s="270">
        <f t="shared" si="144"/>
        <v>89925</v>
      </c>
      <c r="H380" s="270">
        <f t="shared" si="144"/>
        <v>86604</v>
      </c>
      <c r="I380" s="270">
        <f t="shared" si="144"/>
        <v>86799</v>
      </c>
      <c r="J380" s="270">
        <f t="shared" si="144"/>
        <v>80558</v>
      </c>
      <c r="K380" s="270">
        <f t="shared" si="144"/>
        <v>84957</v>
      </c>
      <c r="L380" s="270">
        <f t="shared" si="144"/>
        <v>87418</v>
      </c>
      <c r="M380" s="270">
        <f t="shared" si="144"/>
        <v>107534</v>
      </c>
      <c r="N380" s="270">
        <f t="shared" si="144"/>
        <v>113427</v>
      </c>
      <c r="O380" s="270">
        <f t="shared" si="144"/>
        <v>113427</v>
      </c>
      <c r="P380" s="270">
        <f t="shared" si="144"/>
        <v>113427</v>
      </c>
      <c r="Q380" s="270">
        <f t="shared" si="144"/>
        <v>113427</v>
      </c>
      <c r="R380" s="270">
        <f t="shared" si="144"/>
        <v>113427</v>
      </c>
      <c r="S380" s="270">
        <f t="shared" si="144"/>
        <v>113427</v>
      </c>
      <c r="T380" s="270">
        <f t="shared" si="142"/>
        <v>113427</v>
      </c>
      <c r="U380" s="270">
        <f t="shared" si="142"/>
        <v>113427</v>
      </c>
      <c r="V380" s="270">
        <f t="shared" si="142"/>
        <v>113427</v>
      </c>
      <c r="W380" s="270">
        <f t="shared" si="142"/>
        <v>113427</v>
      </c>
      <c r="X380" s="270">
        <f t="shared" si="142"/>
        <v>113427</v>
      </c>
      <c r="Y380" s="270">
        <f t="shared" si="142"/>
        <v>113427</v>
      </c>
      <c r="Z380" s="270">
        <f t="shared" si="142"/>
        <v>113427</v>
      </c>
      <c r="AA380" s="270">
        <f t="shared" si="142"/>
        <v>113427</v>
      </c>
      <c r="AB380" s="270">
        <f t="shared" si="142"/>
        <v>113427</v>
      </c>
      <c r="AC380" s="270">
        <f t="shared" si="142"/>
        <v>113427</v>
      </c>
      <c r="AD380" s="270">
        <f t="shared" si="143"/>
        <v>113427</v>
      </c>
      <c r="AE380" s="270">
        <f t="shared" si="141"/>
        <v>113427</v>
      </c>
      <c r="AF380" s="270">
        <f t="shared" si="145"/>
        <v>113427</v>
      </c>
      <c r="AG380" s="270">
        <f t="shared" si="145"/>
        <v>113427</v>
      </c>
      <c r="AH380" s="270">
        <f t="shared" si="145"/>
        <v>113427</v>
      </c>
      <c r="AI380" s="270">
        <f t="shared" si="145"/>
        <v>113427</v>
      </c>
      <c r="AJ380" s="270">
        <f t="shared" si="145"/>
        <v>113427</v>
      </c>
      <c r="AK380" s="270">
        <f t="shared" si="145"/>
        <v>113427</v>
      </c>
      <c r="AL380" s="270">
        <f t="shared" si="145"/>
        <v>113427</v>
      </c>
      <c r="AM380" s="270">
        <f t="shared" si="145"/>
        <v>113427</v>
      </c>
    </row>
    <row r="381" spans="2:39" ht="15.75" thickBot="1" x14ac:dyDescent="0.35">
      <c r="B381" s="56" t="str">
        <f>input_names!$B$3</f>
        <v>benzine</v>
      </c>
      <c r="C381" s="61">
        <v>333</v>
      </c>
      <c r="D381" s="270">
        <f t="shared" si="144"/>
        <v>78941</v>
      </c>
      <c r="E381" s="270">
        <f t="shared" si="144"/>
        <v>88745</v>
      </c>
      <c r="F381" s="270">
        <f t="shared" si="144"/>
        <v>91235</v>
      </c>
      <c r="G381" s="270">
        <f t="shared" si="144"/>
        <v>90380</v>
      </c>
      <c r="H381" s="270">
        <f t="shared" si="144"/>
        <v>87032</v>
      </c>
      <c r="I381" s="270">
        <f t="shared" si="144"/>
        <v>87217</v>
      </c>
      <c r="J381" s="270">
        <f t="shared" si="144"/>
        <v>80990</v>
      </c>
      <c r="K381" s="270">
        <f t="shared" si="144"/>
        <v>85405</v>
      </c>
      <c r="L381" s="270">
        <f t="shared" si="144"/>
        <v>87866</v>
      </c>
      <c r="M381" s="270">
        <f t="shared" si="144"/>
        <v>108083</v>
      </c>
      <c r="N381" s="270">
        <f t="shared" si="144"/>
        <v>113995</v>
      </c>
      <c r="O381" s="270">
        <f t="shared" si="144"/>
        <v>113995</v>
      </c>
      <c r="P381" s="270">
        <f t="shared" si="144"/>
        <v>113995</v>
      </c>
      <c r="Q381" s="270">
        <f t="shared" si="144"/>
        <v>113995</v>
      </c>
      <c r="R381" s="270">
        <f t="shared" si="144"/>
        <v>113995</v>
      </c>
      <c r="S381" s="270">
        <f t="shared" si="144"/>
        <v>113995</v>
      </c>
      <c r="T381" s="270">
        <f t="shared" si="142"/>
        <v>113995</v>
      </c>
      <c r="U381" s="270">
        <f t="shared" si="142"/>
        <v>113995</v>
      </c>
      <c r="V381" s="270">
        <f t="shared" si="142"/>
        <v>113995</v>
      </c>
      <c r="W381" s="270">
        <f t="shared" si="142"/>
        <v>113995</v>
      </c>
      <c r="X381" s="270">
        <f t="shared" si="142"/>
        <v>113995</v>
      </c>
      <c r="Y381" s="270">
        <f t="shared" si="142"/>
        <v>113995</v>
      </c>
      <c r="Z381" s="270">
        <f t="shared" si="142"/>
        <v>113995</v>
      </c>
      <c r="AA381" s="270">
        <f t="shared" si="142"/>
        <v>113995</v>
      </c>
      <c r="AB381" s="270">
        <f t="shared" si="142"/>
        <v>113995</v>
      </c>
      <c r="AC381" s="270">
        <f t="shared" si="142"/>
        <v>113995</v>
      </c>
      <c r="AD381" s="270">
        <f t="shared" si="143"/>
        <v>113995</v>
      </c>
      <c r="AE381" s="270">
        <f t="shared" si="141"/>
        <v>113995</v>
      </c>
      <c r="AF381" s="270">
        <f t="shared" si="145"/>
        <v>113995</v>
      </c>
      <c r="AG381" s="270">
        <f t="shared" si="145"/>
        <v>113995</v>
      </c>
      <c r="AH381" s="270">
        <f t="shared" si="145"/>
        <v>113995</v>
      </c>
      <c r="AI381" s="270">
        <f t="shared" si="145"/>
        <v>113995</v>
      </c>
      <c r="AJ381" s="270">
        <f t="shared" si="145"/>
        <v>113995</v>
      </c>
      <c r="AK381" s="270">
        <f t="shared" si="145"/>
        <v>113995</v>
      </c>
      <c r="AL381" s="270">
        <f t="shared" si="145"/>
        <v>113995</v>
      </c>
      <c r="AM381" s="270">
        <f t="shared" si="145"/>
        <v>113995</v>
      </c>
    </row>
    <row r="382" spans="2:39" ht="15.75" thickBot="1" x14ac:dyDescent="0.35">
      <c r="B382" s="56" t="str">
        <f>input_names!$B$3</f>
        <v>benzine</v>
      </c>
      <c r="C382" s="61">
        <v>334</v>
      </c>
      <c r="D382" s="270">
        <f t="shared" si="144"/>
        <v>79375</v>
      </c>
      <c r="E382" s="270">
        <f t="shared" si="144"/>
        <v>89221</v>
      </c>
      <c r="F382" s="270">
        <f t="shared" si="144"/>
        <v>91707</v>
      </c>
      <c r="G382" s="270">
        <f t="shared" si="144"/>
        <v>90835</v>
      </c>
      <c r="H382" s="270">
        <f t="shared" si="144"/>
        <v>87460</v>
      </c>
      <c r="I382" s="270">
        <f t="shared" si="144"/>
        <v>87635</v>
      </c>
      <c r="J382" s="270">
        <f t="shared" si="144"/>
        <v>81422</v>
      </c>
      <c r="K382" s="270">
        <f t="shared" si="144"/>
        <v>85853</v>
      </c>
      <c r="L382" s="270">
        <f t="shared" si="144"/>
        <v>88314</v>
      </c>
      <c r="M382" s="270">
        <f t="shared" si="144"/>
        <v>108632</v>
      </c>
      <c r="N382" s="270">
        <f t="shared" si="144"/>
        <v>114563</v>
      </c>
      <c r="O382" s="270">
        <f t="shared" si="144"/>
        <v>114563</v>
      </c>
      <c r="P382" s="270">
        <f t="shared" si="144"/>
        <v>114563</v>
      </c>
      <c r="Q382" s="270">
        <f t="shared" si="144"/>
        <v>114563</v>
      </c>
      <c r="R382" s="270">
        <f t="shared" si="144"/>
        <v>114563</v>
      </c>
      <c r="S382" s="270">
        <f t="shared" ref="S382:T398" si="146">+MIN(MAX(0,$C382-S$11),S$12-S$11)*S$17
+MIN(MAX(0,$C382-S$12),S$13-S$12)*S$18
+MIN(MAX(0,$C382-S$13),S$14-S$13)*S$19
+MIN(MAX(0,$C382-S$14),S$15-S$14)*S$20
+MAX(0,$C382-S$15)*S$21
+S$26</f>
        <v>114563</v>
      </c>
      <c r="T382" s="270">
        <f t="shared" si="142"/>
        <v>114563</v>
      </c>
      <c r="U382" s="270">
        <f t="shared" si="142"/>
        <v>114563</v>
      </c>
      <c r="V382" s="270">
        <f t="shared" si="142"/>
        <v>114563</v>
      </c>
      <c r="W382" s="270">
        <f t="shared" si="142"/>
        <v>114563</v>
      </c>
      <c r="X382" s="270">
        <f t="shared" si="142"/>
        <v>114563</v>
      </c>
      <c r="Y382" s="270">
        <f t="shared" si="142"/>
        <v>114563</v>
      </c>
      <c r="Z382" s="270">
        <f t="shared" si="142"/>
        <v>114563</v>
      </c>
      <c r="AA382" s="270">
        <f t="shared" si="142"/>
        <v>114563</v>
      </c>
      <c r="AB382" s="270">
        <f t="shared" si="142"/>
        <v>114563</v>
      </c>
      <c r="AC382" s="270">
        <f t="shared" si="142"/>
        <v>114563</v>
      </c>
      <c r="AD382" s="270">
        <f t="shared" si="143"/>
        <v>114563</v>
      </c>
      <c r="AE382" s="270">
        <f t="shared" si="141"/>
        <v>114563</v>
      </c>
      <c r="AF382" s="270">
        <f t="shared" ref="AF382:AM391" si="147">+MIN(MAX(0,$C382-AF$11),AF$12-AF$11)*AF$17
+MIN(MAX(0,$C382-AF$12),AF$13-AF$12)*AF$18
+MIN(MAX(0,$C382-AF$13),AF$14-AF$13)*AF$19
+MIN(MAX(0,$C382-AF$14),AF$15-AF$14)*AF$20
+MAX(0,$C382-AF$15)*AF$21
+AF$26</f>
        <v>114563</v>
      </c>
      <c r="AG382" s="270">
        <f t="shared" si="147"/>
        <v>114563</v>
      </c>
      <c r="AH382" s="270">
        <f t="shared" si="147"/>
        <v>114563</v>
      </c>
      <c r="AI382" s="270">
        <f t="shared" si="147"/>
        <v>114563</v>
      </c>
      <c r="AJ382" s="270">
        <f t="shared" si="147"/>
        <v>114563</v>
      </c>
      <c r="AK382" s="270">
        <f t="shared" si="147"/>
        <v>114563</v>
      </c>
      <c r="AL382" s="270">
        <f t="shared" si="147"/>
        <v>114563</v>
      </c>
      <c r="AM382" s="270">
        <f t="shared" si="147"/>
        <v>114563</v>
      </c>
    </row>
    <row r="383" spans="2:39" ht="15.75" thickBot="1" x14ac:dyDescent="0.35">
      <c r="B383" s="56" t="str">
        <f>input_names!$B$3</f>
        <v>benzine</v>
      </c>
      <c r="C383" s="61">
        <v>335</v>
      </c>
      <c r="D383" s="270">
        <f t="shared" si="144"/>
        <v>79809</v>
      </c>
      <c r="E383" s="270">
        <f t="shared" si="144"/>
        <v>89697</v>
      </c>
      <c r="F383" s="270">
        <f t="shared" si="144"/>
        <v>92179</v>
      </c>
      <c r="G383" s="270">
        <f t="shared" si="144"/>
        <v>91290</v>
      </c>
      <c r="H383" s="270">
        <f t="shared" si="144"/>
        <v>87888</v>
      </c>
      <c r="I383" s="270">
        <f t="shared" si="144"/>
        <v>88053</v>
      </c>
      <c r="J383" s="270">
        <f t="shared" si="144"/>
        <v>81854</v>
      </c>
      <c r="K383" s="270">
        <f t="shared" si="144"/>
        <v>86301</v>
      </c>
      <c r="L383" s="270">
        <f t="shared" si="144"/>
        <v>88762</v>
      </c>
      <c r="M383" s="270">
        <f t="shared" si="144"/>
        <v>109181</v>
      </c>
      <c r="N383" s="270">
        <f t="shared" si="144"/>
        <v>115131</v>
      </c>
      <c r="O383" s="270">
        <f t="shared" si="144"/>
        <v>115131</v>
      </c>
      <c r="P383" s="270">
        <f t="shared" si="144"/>
        <v>115131</v>
      </c>
      <c r="Q383" s="270">
        <f t="shared" si="144"/>
        <v>115131</v>
      </c>
      <c r="R383" s="270">
        <f t="shared" si="144"/>
        <v>115131</v>
      </c>
      <c r="S383" s="270">
        <f t="shared" si="146"/>
        <v>115131</v>
      </c>
      <c r="T383" s="270">
        <f t="shared" si="142"/>
        <v>115131</v>
      </c>
      <c r="U383" s="270">
        <f t="shared" si="142"/>
        <v>115131</v>
      </c>
      <c r="V383" s="270">
        <f t="shared" si="142"/>
        <v>115131</v>
      </c>
      <c r="W383" s="270">
        <f t="shared" si="142"/>
        <v>115131</v>
      </c>
      <c r="X383" s="270">
        <f t="shared" si="142"/>
        <v>115131</v>
      </c>
      <c r="Y383" s="270">
        <f t="shared" si="142"/>
        <v>115131</v>
      </c>
      <c r="Z383" s="270">
        <f t="shared" si="142"/>
        <v>115131</v>
      </c>
      <c r="AA383" s="270">
        <f t="shared" si="142"/>
        <v>115131</v>
      </c>
      <c r="AB383" s="270">
        <f t="shared" si="142"/>
        <v>115131</v>
      </c>
      <c r="AC383" s="270">
        <f t="shared" si="142"/>
        <v>115131</v>
      </c>
      <c r="AD383" s="270">
        <f t="shared" si="143"/>
        <v>115131</v>
      </c>
      <c r="AE383" s="270">
        <f t="shared" si="141"/>
        <v>115131</v>
      </c>
      <c r="AF383" s="270">
        <f t="shared" si="147"/>
        <v>115131</v>
      </c>
      <c r="AG383" s="270">
        <f t="shared" si="147"/>
        <v>115131</v>
      </c>
      <c r="AH383" s="270">
        <f t="shared" si="147"/>
        <v>115131</v>
      </c>
      <c r="AI383" s="270">
        <f t="shared" si="147"/>
        <v>115131</v>
      </c>
      <c r="AJ383" s="270">
        <f t="shared" si="147"/>
        <v>115131</v>
      </c>
      <c r="AK383" s="270">
        <f t="shared" si="147"/>
        <v>115131</v>
      </c>
      <c r="AL383" s="270">
        <f t="shared" si="147"/>
        <v>115131</v>
      </c>
      <c r="AM383" s="270">
        <f t="shared" si="147"/>
        <v>115131</v>
      </c>
    </row>
    <row r="384" spans="2:39" ht="15.75" thickBot="1" x14ac:dyDescent="0.35">
      <c r="B384" s="56" t="str">
        <f>input_names!$B$3</f>
        <v>benzine</v>
      </c>
      <c r="C384" s="61">
        <v>336</v>
      </c>
      <c r="D384" s="270">
        <f t="shared" ref="D384:R398" si="148">+MIN(MAX(0,$C384-D$11),D$12-D$11)*D$17
+MIN(MAX(0,$C384-D$12),D$13-D$12)*D$18
+MIN(MAX(0,$C384-D$13),D$14-D$13)*D$19
+MIN(MAX(0,$C384-D$14),D$15-D$14)*D$20
+MAX(0,$C384-D$15)*D$21
+D$26</f>
        <v>80243</v>
      </c>
      <c r="E384" s="270">
        <f t="shared" si="148"/>
        <v>90173</v>
      </c>
      <c r="F384" s="270">
        <f t="shared" si="148"/>
        <v>92651</v>
      </c>
      <c r="G384" s="270">
        <f t="shared" si="148"/>
        <v>91745</v>
      </c>
      <c r="H384" s="270">
        <f t="shared" si="148"/>
        <v>88316</v>
      </c>
      <c r="I384" s="270">
        <f t="shared" si="148"/>
        <v>88471</v>
      </c>
      <c r="J384" s="270">
        <f t="shared" si="148"/>
        <v>82286</v>
      </c>
      <c r="K384" s="270">
        <f t="shared" si="148"/>
        <v>86749</v>
      </c>
      <c r="L384" s="270">
        <f t="shared" si="148"/>
        <v>89210</v>
      </c>
      <c r="M384" s="270">
        <f t="shared" si="148"/>
        <v>109730</v>
      </c>
      <c r="N384" s="270">
        <f t="shared" si="148"/>
        <v>115699</v>
      </c>
      <c r="O384" s="270">
        <f t="shared" si="148"/>
        <v>115699</v>
      </c>
      <c r="P384" s="270">
        <f t="shared" si="148"/>
        <v>115699</v>
      </c>
      <c r="Q384" s="270">
        <f t="shared" si="148"/>
        <v>115699</v>
      </c>
      <c r="R384" s="270">
        <f t="shared" si="148"/>
        <v>115699</v>
      </c>
      <c r="S384" s="270">
        <f t="shared" si="146"/>
        <v>115699</v>
      </c>
      <c r="T384" s="270">
        <f t="shared" si="142"/>
        <v>115699</v>
      </c>
      <c r="U384" s="270">
        <f t="shared" si="142"/>
        <v>115699</v>
      </c>
      <c r="V384" s="270">
        <f t="shared" si="142"/>
        <v>115699</v>
      </c>
      <c r="W384" s="270">
        <f t="shared" si="142"/>
        <v>115699</v>
      </c>
      <c r="X384" s="270">
        <f t="shared" si="142"/>
        <v>115699</v>
      </c>
      <c r="Y384" s="270">
        <f t="shared" si="142"/>
        <v>115699</v>
      </c>
      <c r="Z384" s="270">
        <f t="shared" si="142"/>
        <v>115699</v>
      </c>
      <c r="AA384" s="270">
        <f t="shared" si="142"/>
        <v>115699</v>
      </c>
      <c r="AB384" s="270">
        <f t="shared" si="142"/>
        <v>115699</v>
      </c>
      <c r="AC384" s="270">
        <f t="shared" si="142"/>
        <v>115699</v>
      </c>
      <c r="AD384" s="270">
        <f t="shared" si="143"/>
        <v>115699</v>
      </c>
      <c r="AE384" s="270">
        <f t="shared" si="141"/>
        <v>115699</v>
      </c>
      <c r="AF384" s="270">
        <f t="shared" si="147"/>
        <v>115699</v>
      </c>
      <c r="AG384" s="270">
        <f t="shared" si="147"/>
        <v>115699</v>
      </c>
      <c r="AH384" s="270">
        <f t="shared" si="147"/>
        <v>115699</v>
      </c>
      <c r="AI384" s="270">
        <f t="shared" si="147"/>
        <v>115699</v>
      </c>
      <c r="AJ384" s="270">
        <f t="shared" si="147"/>
        <v>115699</v>
      </c>
      <c r="AK384" s="270">
        <f t="shared" si="147"/>
        <v>115699</v>
      </c>
      <c r="AL384" s="270">
        <f t="shared" si="147"/>
        <v>115699</v>
      </c>
      <c r="AM384" s="270">
        <f t="shared" si="147"/>
        <v>115699</v>
      </c>
    </row>
    <row r="385" spans="2:39" ht="15.75" thickBot="1" x14ac:dyDescent="0.35">
      <c r="B385" s="56" t="str">
        <f>input_names!$B$3</f>
        <v>benzine</v>
      </c>
      <c r="C385" s="61">
        <v>337</v>
      </c>
      <c r="D385" s="270">
        <f t="shared" si="148"/>
        <v>80677</v>
      </c>
      <c r="E385" s="270">
        <f t="shared" si="148"/>
        <v>90649</v>
      </c>
      <c r="F385" s="270">
        <f t="shared" si="148"/>
        <v>93123</v>
      </c>
      <c r="G385" s="270">
        <f t="shared" si="148"/>
        <v>92200</v>
      </c>
      <c r="H385" s="270">
        <f t="shared" si="148"/>
        <v>88744</v>
      </c>
      <c r="I385" s="270">
        <f t="shared" si="148"/>
        <v>88889</v>
      </c>
      <c r="J385" s="270">
        <f t="shared" si="148"/>
        <v>82718</v>
      </c>
      <c r="K385" s="270">
        <f t="shared" si="148"/>
        <v>87197</v>
      </c>
      <c r="L385" s="270">
        <f t="shared" si="148"/>
        <v>89658</v>
      </c>
      <c r="M385" s="270">
        <f t="shared" si="148"/>
        <v>110279</v>
      </c>
      <c r="N385" s="270">
        <f t="shared" si="148"/>
        <v>116267</v>
      </c>
      <c r="O385" s="270">
        <f t="shared" si="148"/>
        <v>116267</v>
      </c>
      <c r="P385" s="270">
        <f t="shared" si="148"/>
        <v>116267</v>
      </c>
      <c r="Q385" s="270">
        <f t="shared" si="148"/>
        <v>116267</v>
      </c>
      <c r="R385" s="270">
        <f t="shared" si="148"/>
        <v>116267</v>
      </c>
      <c r="S385" s="270">
        <f t="shared" si="146"/>
        <v>116267</v>
      </c>
      <c r="T385" s="270">
        <f t="shared" si="142"/>
        <v>116267</v>
      </c>
      <c r="U385" s="270">
        <f t="shared" si="142"/>
        <v>116267</v>
      </c>
      <c r="V385" s="270">
        <f t="shared" si="142"/>
        <v>116267</v>
      </c>
      <c r="W385" s="270">
        <f t="shared" si="142"/>
        <v>116267</v>
      </c>
      <c r="X385" s="270">
        <f t="shared" si="142"/>
        <v>116267</v>
      </c>
      <c r="Y385" s="270">
        <f t="shared" si="142"/>
        <v>116267</v>
      </c>
      <c r="Z385" s="270">
        <f t="shared" si="142"/>
        <v>116267</v>
      </c>
      <c r="AA385" s="270">
        <f t="shared" si="142"/>
        <v>116267</v>
      </c>
      <c r="AB385" s="270">
        <f t="shared" si="142"/>
        <v>116267</v>
      </c>
      <c r="AC385" s="270">
        <f t="shared" si="142"/>
        <v>116267</v>
      </c>
      <c r="AD385" s="270">
        <f t="shared" si="143"/>
        <v>116267</v>
      </c>
      <c r="AE385" s="270">
        <f t="shared" si="141"/>
        <v>116267</v>
      </c>
      <c r="AF385" s="270">
        <f t="shared" si="147"/>
        <v>116267</v>
      </c>
      <c r="AG385" s="270">
        <f t="shared" si="147"/>
        <v>116267</v>
      </c>
      <c r="AH385" s="270">
        <f t="shared" si="147"/>
        <v>116267</v>
      </c>
      <c r="AI385" s="270">
        <f t="shared" si="147"/>
        <v>116267</v>
      </c>
      <c r="AJ385" s="270">
        <f t="shared" si="147"/>
        <v>116267</v>
      </c>
      <c r="AK385" s="270">
        <f t="shared" si="147"/>
        <v>116267</v>
      </c>
      <c r="AL385" s="270">
        <f t="shared" si="147"/>
        <v>116267</v>
      </c>
      <c r="AM385" s="270">
        <f t="shared" si="147"/>
        <v>116267</v>
      </c>
    </row>
    <row r="386" spans="2:39" ht="15.75" thickBot="1" x14ac:dyDescent="0.35">
      <c r="B386" s="56" t="str">
        <f>input_names!$B$3</f>
        <v>benzine</v>
      </c>
      <c r="C386" s="61">
        <v>338</v>
      </c>
      <c r="D386" s="270">
        <f t="shared" si="148"/>
        <v>81111</v>
      </c>
      <c r="E386" s="270">
        <f t="shared" si="148"/>
        <v>91125</v>
      </c>
      <c r="F386" s="270">
        <f t="shared" si="148"/>
        <v>93595</v>
      </c>
      <c r="G386" s="270">
        <f t="shared" si="148"/>
        <v>92655</v>
      </c>
      <c r="H386" s="270">
        <f t="shared" si="148"/>
        <v>89172</v>
      </c>
      <c r="I386" s="270">
        <f t="shared" si="148"/>
        <v>89307</v>
      </c>
      <c r="J386" s="270">
        <f t="shared" si="148"/>
        <v>83150</v>
      </c>
      <c r="K386" s="270">
        <f t="shared" si="148"/>
        <v>87645</v>
      </c>
      <c r="L386" s="270">
        <f t="shared" si="148"/>
        <v>90106</v>
      </c>
      <c r="M386" s="270">
        <f t="shared" si="148"/>
        <v>110828</v>
      </c>
      <c r="N386" s="270">
        <f t="shared" si="148"/>
        <v>116835</v>
      </c>
      <c r="O386" s="270">
        <f t="shared" si="148"/>
        <v>116835</v>
      </c>
      <c r="P386" s="270">
        <f t="shared" si="148"/>
        <v>116835</v>
      </c>
      <c r="Q386" s="270">
        <f t="shared" si="148"/>
        <v>116835</v>
      </c>
      <c r="R386" s="270">
        <f t="shared" si="148"/>
        <v>116835</v>
      </c>
      <c r="S386" s="270">
        <f t="shared" si="146"/>
        <v>116835</v>
      </c>
      <c r="T386" s="270">
        <f t="shared" si="142"/>
        <v>116835</v>
      </c>
      <c r="U386" s="270">
        <f t="shared" si="142"/>
        <v>116835</v>
      </c>
      <c r="V386" s="270">
        <f t="shared" si="142"/>
        <v>116835</v>
      </c>
      <c r="W386" s="270">
        <f t="shared" si="142"/>
        <v>116835</v>
      </c>
      <c r="X386" s="270">
        <f t="shared" si="142"/>
        <v>116835</v>
      </c>
      <c r="Y386" s="270">
        <f t="shared" si="142"/>
        <v>116835</v>
      </c>
      <c r="Z386" s="270">
        <f t="shared" si="142"/>
        <v>116835</v>
      </c>
      <c r="AA386" s="270">
        <f t="shared" si="142"/>
        <v>116835</v>
      </c>
      <c r="AB386" s="270">
        <f t="shared" si="142"/>
        <v>116835</v>
      </c>
      <c r="AC386" s="270">
        <f t="shared" si="142"/>
        <v>116835</v>
      </c>
      <c r="AD386" s="270">
        <f t="shared" si="143"/>
        <v>116835</v>
      </c>
      <c r="AE386" s="270">
        <f t="shared" si="141"/>
        <v>116835</v>
      </c>
      <c r="AF386" s="270">
        <f t="shared" si="147"/>
        <v>116835</v>
      </c>
      <c r="AG386" s="270">
        <f t="shared" si="147"/>
        <v>116835</v>
      </c>
      <c r="AH386" s="270">
        <f t="shared" si="147"/>
        <v>116835</v>
      </c>
      <c r="AI386" s="270">
        <f t="shared" si="147"/>
        <v>116835</v>
      </c>
      <c r="AJ386" s="270">
        <f t="shared" si="147"/>
        <v>116835</v>
      </c>
      <c r="AK386" s="270">
        <f t="shared" si="147"/>
        <v>116835</v>
      </c>
      <c r="AL386" s="270">
        <f t="shared" si="147"/>
        <v>116835</v>
      </c>
      <c r="AM386" s="270">
        <f t="shared" si="147"/>
        <v>116835</v>
      </c>
    </row>
    <row r="387" spans="2:39" ht="15.75" thickBot="1" x14ac:dyDescent="0.35">
      <c r="B387" s="56" t="str">
        <f>input_names!$B$3</f>
        <v>benzine</v>
      </c>
      <c r="C387" s="61">
        <v>339</v>
      </c>
      <c r="D387" s="270">
        <f t="shared" si="148"/>
        <v>81545</v>
      </c>
      <c r="E387" s="270">
        <f t="shared" si="148"/>
        <v>91601</v>
      </c>
      <c r="F387" s="270">
        <f t="shared" si="148"/>
        <v>94067</v>
      </c>
      <c r="G387" s="270">
        <f t="shared" si="148"/>
        <v>93110</v>
      </c>
      <c r="H387" s="270">
        <f t="shared" si="148"/>
        <v>89600</v>
      </c>
      <c r="I387" s="270">
        <f t="shared" si="148"/>
        <v>89725</v>
      </c>
      <c r="J387" s="270">
        <f t="shared" si="148"/>
        <v>83582</v>
      </c>
      <c r="K387" s="270">
        <f t="shared" si="148"/>
        <v>88093</v>
      </c>
      <c r="L387" s="270">
        <f t="shared" si="148"/>
        <v>90554</v>
      </c>
      <c r="M387" s="270">
        <f t="shared" si="148"/>
        <v>111377</v>
      </c>
      <c r="N387" s="270">
        <f t="shared" si="148"/>
        <v>117403</v>
      </c>
      <c r="O387" s="270">
        <f t="shared" si="148"/>
        <v>117403</v>
      </c>
      <c r="P387" s="270">
        <f t="shared" si="148"/>
        <v>117403</v>
      </c>
      <c r="Q387" s="270">
        <f t="shared" si="148"/>
        <v>117403</v>
      </c>
      <c r="R387" s="270">
        <f t="shared" si="148"/>
        <v>117403</v>
      </c>
      <c r="S387" s="270">
        <f t="shared" si="146"/>
        <v>117403</v>
      </c>
      <c r="T387" s="270">
        <f t="shared" si="142"/>
        <v>117403</v>
      </c>
      <c r="U387" s="270">
        <f t="shared" si="142"/>
        <v>117403</v>
      </c>
      <c r="V387" s="270">
        <f t="shared" si="142"/>
        <v>117403</v>
      </c>
      <c r="W387" s="270">
        <f t="shared" si="142"/>
        <v>117403</v>
      </c>
      <c r="X387" s="270">
        <f t="shared" si="142"/>
        <v>117403</v>
      </c>
      <c r="Y387" s="270">
        <f t="shared" si="142"/>
        <v>117403</v>
      </c>
      <c r="Z387" s="270">
        <f t="shared" si="142"/>
        <v>117403</v>
      </c>
      <c r="AA387" s="270">
        <f t="shared" si="142"/>
        <v>117403</v>
      </c>
      <c r="AB387" s="270">
        <f t="shared" si="142"/>
        <v>117403</v>
      </c>
      <c r="AC387" s="270">
        <f t="shared" si="142"/>
        <v>117403</v>
      </c>
      <c r="AD387" s="270">
        <f t="shared" si="143"/>
        <v>117403</v>
      </c>
      <c r="AE387" s="270">
        <f t="shared" si="141"/>
        <v>117403</v>
      </c>
      <c r="AF387" s="270">
        <f t="shared" si="147"/>
        <v>117403</v>
      </c>
      <c r="AG387" s="270">
        <f t="shared" si="147"/>
        <v>117403</v>
      </c>
      <c r="AH387" s="270">
        <f t="shared" si="147"/>
        <v>117403</v>
      </c>
      <c r="AI387" s="270">
        <f t="shared" si="147"/>
        <v>117403</v>
      </c>
      <c r="AJ387" s="270">
        <f t="shared" si="147"/>
        <v>117403</v>
      </c>
      <c r="AK387" s="270">
        <f t="shared" si="147"/>
        <v>117403</v>
      </c>
      <c r="AL387" s="270">
        <f t="shared" si="147"/>
        <v>117403</v>
      </c>
      <c r="AM387" s="270">
        <f t="shared" si="147"/>
        <v>117403</v>
      </c>
    </row>
    <row r="388" spans="2:39" ht="15.75" thickBot="1" x14ac:dyDescent="0.35">
      <c r="B388" s="56" t="str">
        <f>input_names!$B$3</f>
        <v>benzine</v>
      </c>
      <c r="C388" s="61">
        <v>340</v>
      </c>
      <c r="D388" s="270">
        <f t="shared" si="148"/>
        <v>81979</v>
      </c>
      <c r="E388" s="270">
        <f t="shared" si="148"/>
        <v>92077</v>
      </c>
      <c r="F388" s="270">
        <f t="shared" si="148"/>
        <v>94539</v>
      </c>
      <c r="G388" s="270">
        <f t="shared" si="148"/>
        <v>93565</v>
      </c>
      <c r="H388" s="270">
        <f t="shared" si="148"/>
        <v>90028</v>
      </c>
      <c r="I388" s="270">
        <f t="shared" si="148"/>
        <v>90143</v>
      </c>
      <c r="J388" s="270">
        <f t="shared" si="148"/>
        <v>84014</v>
      </c>
      <c r="K388" s="270">
        <f t="shared" si="148"/>
        <v>88541</v>
      </c>
      <c r="L388" s="270">
        <f t="shared" si="148"/>
        <v>91002</v>
      </c>
      <c r="M388" s="270">
        <f t="shared" si="148"/>
        <v>111926</v>
      </c>
      <c r="N388" s="270">
        <f t="shared" si="148"/>
        <v>117971</v>
      </c>
      <c r="O388" s="270">
        <f t="shared" si="148"/>
        <v>117971</v>
      </c>
      <c r="P388" s="270">
        <f t="shared" si="148"/>
        <v>117971</v>
      </c>
      <c r="Q388" s="270">
        <f t="shared" si="148"/>
        <v>117971</v>
      </c>
      <c r="R388" s="270">
        <f t="shared" si="148"/>
        <v>117971</v>
      </c>
      <c r="S388" s="270">
        <f t="shared" si="146"/>
        <v>117971</v>
      </c>
      <c r="T388" s="270">
        <f t="shared" si="142"/>
        <v>117971</v>
      </c>
      <c r="U388" s="270">
        <f t="shared" si="142"/>
        <v>117971</v>
      </c>
      <c r="V388" s="270">
        <f t="shared" si="142"/>
        <v>117971</v>
      </c>
      <c r="W388" s="270">
        <f t="shared" si="142"/>
        <v>117971</v>
      </c>
      <c r="X388" s="270">
        <f t="shared" si="142"/>
        <v>117971</v>
      </c>
      <c r="Y388" s="270">
        <f t="shared" si="142"/>
        <v>117971</v>
      </c>
      <c r="Z388" s="270">
        <f t="shared" si="142"/>
        <v>117971</v>
      </c>
      <c r="AA388" s="270">
        <f t="shared" si="142"/>
        <v>117971</v>
      </c>
      <c r="AB388" s="270">
        <f t="shared" si="142"/>
        <v>117971</v>
      </c>
      <c r="AC388" s="270">
        <f t="shared" si="142"/>
        <v>117971</v>
      </c>
      <c r="AD388" s="270">
        <f t="shared" si="143"/>
        <v>117971</v>
      </c>
      <c r="AE388" s="270">
        <f t="shared" si="141"/>
        <v>117971</v>
      </c>
      <c r="AF388" s="270">
        <f t="shared" si="147"/>
        <v>117971</v>
      </c>
      <c r="AG388" s="270">
        <f t="shared" si="147"/>
        <v>117971</v>
      </c>
      <c r="AH388" s="270">
        <f t="shared" si="147"/>
        <v>117971</v>
      </c>
      <c r="AI388" s="270">
        <f t="shared" si="147"/>
        <v>117971</v>
      </c>
      <c r="AJ388" s="270">
        <f t="shared" si="147"/>
        <v>117971</v>
      </c>
      <c r="AK388" s="270">
        <f t="shared" si="147"/>
        <v>117971</v>
      </c>
      <c r="AL388" s="270">
        <f t="shared" si="147"/>
        <v>117971</v>
      </c>
      <c r="AM388" s="270">
        <f t="shared" si="147"/>
        <v>117971</v>
      </c>
    </row>
    <row r="389" spans="2:39" ht="15.75" thickBot="1" x14ac:dyDescent="0.35">
      <c r="B389" s="56" t="str">
        <f>input_names!$B$3</f>
        <v>benzine</v>
      </c>
      <c r="C389" s="61">
        <v>341</v>
      </c>
      <c r="D389" s="270">
        <f t="shared" si="148"/>
        <v>82413</v>
      </c>
      <c r="E389" s="270">
        <f t="shared" si="148"/>
        <v>92553</v>
      </c>
      <c r="F389" s="270">
        <f t="shared" si="148"/>
        <v>95011</v>
      </c>
      <c r="G389" s="270">
        <f t="shared" si="148"/>
        <v>94020</v>
      </c>
      <c r="H389" s="270">
        <f t="shared" si="148"/>
        <v>90456</v>
      </c>
      <c r="I389" s="270">
        <f t="shared" si="148"/>
        <v>90561</v>
      </c>
      <c r="J389" s="270">
        <f t="shared" si="148"/>
        <v>84446</v>
      </c>
      <c r="K389" s="270">
        <f t="shared" si="148"/>
        <v>88989</v>
      </c>
      <c r="L389" s="270">
        <f t="shared" si="148"/>
        <v>91450</v>
      </c>
      <c r="M389" s="270">
        <f t="shared" si="148"/>
        <v>112475</v>
      </c>
      <c r="N389" s="270">
        <f t="shared" si="148"/>
        <v>118539</v>
      </c>
      <c r="O389" s="270">
        <f t="shared" si="148"/>
        <v>118539</v>
      </c>
      <c r="P389" s="270">
        <f t="shared" si="148"/>
        <v>118539</v>
      </c>
      <c r="Q389" s="270">
        <f t="shared" si="148"/>
        <v>118539</v>
      </c>
      <c r="R389" s="270">
        <f t="shared" si="148"/>
        <v>118539</v>
      </c>
      <c r="S389" s="270">
        <f t="shared" si="146"/>
        <v>118539</v>
      </c>
      <c r="T389" s="270">
        <f t="shared" si="142"/>
        <v>118539</v>
      </c>
      <c r="U389" s="270">
        <f t="shared" si="142"/>
        <v>118539</v>
      </c>
      <c r="V389" s="270">
        <f t="shared" si="142"/>
        <v>118539</v>
      </c>
      <c r="W389" s="270">
        <f t="shared" si="142"/>
        <v>118539</v>
      </c>
      <c r="X389" s="270">
        <f t="shared" si="142"/>
        <v>118539</v>
      </c>
      <c r="Y389" s="270">
        <f t="shared" si="142"/>
        <v>118539</v>
      </c>
      <c r="Z389" s="270">
        <f t="shared" si="142"/>
        <v>118539</v>
      </c>
      <c r="AA389" s="270">
        <f t="shared" si="142"/>
        <v>118539</v>
      </c>
      <c r="AB389" s="270">
        <f t="shared" si="142"/>
        <v>118539</v>
      </c>
      <c r="AC389" s="270">
        <f t="shared" si="142"/>
        <v>118539</v>
      </c>
      <c r="AD389" s="270">
        <f t="shared" si="143"/>
        <v>118539</v>
      </c>
      <c r="AE389" s="270">
        <f t="shared" si="141"/>
        <v>118539</v>
      </c>
      <c r="AF389" s="270">
        <f t="shared" si="147"/>
        <v>118539</v>
      </c>
      <c r="AG389" s="270">
        <f t="shared" si="147"/>
        <v>118539</v>
      </c>
      <c r="AH389" s="270">
        <f t="shared" si="147"/>
        <v>118539</v>
      </c>
      <c r="AI389" s="270">
        <f t="shared" si="147"/>
        <v>118539</v>
      </c>
      <c r="AJ389" s="270">
        <f t="shared" si="147"/>
        <v>118539</v>
      </c>
      <c r="AK389" s="270">
        <f t="shared" si="147"/>
        <v>118539</v>
      </c>
      <c r="AL389" s="270">
        <f t="shared" si="147"/>
        <v>118539</v>
      </c>
      <c r="AM389" s="270">
        <f t="shared" si="147"/>
        <v>118539</v>
      </c>
    </row>
    <row r="390" spans="2:39" ht="15.75" thickBot="1" x14ac:dyDescent="0.35">
      <c r="B390" s="56" t="str">
        <f>input_names!$B$3</f>
        <v>benzine</v>
      </c>
      <c r="C390" s="61">
        <v>342</v>
      </c>
      <c r="D390" s="270">
        <f t="shared" si="148"/>
        <v>82847</v>
      </c>
      <c r="E390" s="270">
        <f t="shared" si="148"/>
        <v>93029</v>
      </c>
      <c r="F390" s="270">
        <f t="shared" si="148"/>
        <v>95483</v>
      </c>
      <c r="G390" s="270">
        <f t="shared" si="148"/>
        <v>94475</v>
      </c>
      <c r="H390" s="270">
        <f t="shared" si="148"/>
        <v>90884</v>
      </c>
      <c r="I390" s="270">
        <f t="shared" si="148"/>
        <v>90979</v>
      </c>
      <c r="J390" s="270">
        <f t="shared" si="148"/>
        <v>84878</v>
      </c>
      <c r="K390" s="270">
        <f t="shared" si="148"/>
        <v>89437</v>
      </c>
      <c r="L390" s="270">
        <f t="shared" si="148"/>
        <v>91898</v>
      </c>
      <c r="M390" s="270">
        <f t="shared" si="148"/>
        <v>113024</v>
      </c>
      <c r="N390" s="270">
        <f t="shared" si="148"/>
        <v>119107</v>
      </c>
      <c r="O390" s="270">
        <f t="shared" si="148"/>
        <v>119107</v>
      </c>
      <c r="P390" s="270">
        <f t="shared" si="148"/>
        <v>119107</v>
      </c>
      <c r="Q390" s="270">
        <f t="shared" si="148"/>
        <v>119107</v>
      </c>
      <c r="R390" s="270">
        <f t="shared" si="148"/>
        <v>119107</v>
      </c>
      <c r="S390" s="270">
        <f t="shared" si="146"/>
        <v>119107</v>
      </c>
      <c r="T390" s="270">
        <f t="shared" si="142"/>
        <v>119107</v>
      </c>
      <c r="U390" s="270">
        <f t="shared" si="142"/>
        <v>119107</v>
      </c>
      <c r="V390" s="270">
        <f t="shared" si="142"/>
        <v>119107</v>
      </c>
      <c r="W390" s="270">
        <f t="shared" si="142"/>
        <v>119107</v>
      </c>
      <c r="X390" s="270">
        <f t="shared" si="142"/>
        <v>119107</v>
      </c>
      <c r="Y390" s="270">
        <f t="shared" si="142"/>
        <v>119107</v>
      </c>
      <c r="Z390" s="270">
        <f t="shared" si="142"/>
        <v>119107</v>
      </c>
      <c r="AA390" s="270">
        <f t="shared" si="142"/>
        <v>119107</v>
      </c>
      <c r="AB390" s="270">
        <f t="shared" si="142"/>
        <v>119107</v>
      </c>
      <c r="AC390" s="270">
        <f t="shared" si="142"/>
        <v>119107</v>
      </c>
      <c r="AD390" s="270">
        <f t="shared" si="143"/>
        <v>119107</v>
      </c>
      <c r="AE390" s="270">
        <f t="shared" si="141"/>
        <v>119107</v>
      </c>
      <c r="AF390" s="270">
        <f t="shared" si="147"/>
        <v>119107</v>
      </c>
      <c r="AG390" s="270">
        <f t="shared" si="147"/>
        <v>119107</v>
      </c>
      <c r="AH390" s="270">
        <f t="shared" si="147"/>
        <v>119107</v>
      </c>
      <c r="AI390" s="270">
        <f t="shared" si="147"/>
        <v>119107</v>
      </c>
      <c r="AJ390" s="270">
        <f t="shared" si="147"/>
        <v>119107</v>
      </c>
      <c r="AK390" s="270">
        <f t="shared" si="147"/>
        <v>119107</v>
      </c>
      <c r="AL390" s="270">
        <f t="shared" si="147"/>
        <v>119107</v>
      </c>
      <c r="AM390" s="270">
        <f t="shared" si="147"/>
        <v>119107</v>
      </c>
    </row>
    <row r="391" spans="2:39" ht="15.75" thickBot="1" x14ac:dyDescent="0.35">
      <c r="B391" s="56" t="str">
        <f>input_names!$B$3</f>
        <v>benzine</v>
      </c>
      <c r="C391" s="61">
        <v>343</v>
      </c>
      <c r="D391" s="270">
        <f t="shared" si="148"/>
        <v>83281</v>
      </c>
      <c r="E391" s="270">
        <f t="shared" si="148"/>
        <v>93505</v>
      </c>
      <c r="F391" s="270">
        <f t="shared" si="148"/>
        <v>95955</v>
      </c>
      <c r="G391" s="270">
        <f t="shared" si="148"/>
        <v>94930</v>
      </c>
      <c r="H391" s="270">
        <f t="shared" si="148"/>
        <v>91312</v>
      </c>
      <c r="I391" s="270">
        <f t="shared" si="148"/>
        <v>91397</v>
      </c>
      <c r="J391" s="270">
        <f t="shared" si="148"/>
        <v>85310</v>
      </c>
      <c r="K391" s="270">
        <f t="shared" si="148"/>
        <v>89885</v>
      </c>
      <c r="L391" s="270">
        <f t="shared" si="148"/>
        <v>92346</v>
      </c>
      <c r="M391" s="270">
        <f t="shared" si="148"/>
        <v>113573</v>
      </c>
      <c r="N391" s="270">
        <f t="shared" si="148"/>
        <v>119675</v>
      </c>
      <c r="O391" s="270">
        <f t="shared" si="148"/>
        <v>119675</v>
      </c>
      <c r="P391" s="270">
        <f t="shared" si="148"/>
        <v>119675</v>
      </c>
      <c r="Q391" s="270">
        <f t="shared" si="148"/>
        <v>119675</v>
      </c>
      <c r="R391" s="270">
        <f t="shared" si="148"/>
        <v>119675</v>
      </c>
      <c r="S391" s="270">
        <f t="shared" si="146"/>
        <v>119675</v>
      </c>
      <c r="T391" s="270">
        <f t="shared" si="142"/>
        <v>119675</v>
      </c>
      <c r="U391" s="270">
        <f t="shared" si="142"/>
        <v>119675</v>
      </c>
      <c r="V391" s="270">
        <f t="shared" si="142"/>
        <v>119675</v>
      </c>
      <c r="W391" s="270">
        <f t="shared" si="142"/>
        <v>119675</v>
      </c>
      <c r="X391" s="270">
        <f t="shared" si="142"/>
        <v>119675</v>
      </c>
      <c r="Y391" s="270">
        <f t="shared" si="142"/>
        <v>119675</v>
      </c>
      <c r="Z391" s="270">
        <f t="shared" si="142"/>
        <v>119675</v>
      </c>
      <c r="AA391" s="270">
        <f t="shared" si="142"/>
        <v>119675</v>
      </c>
      <c r="AB391" s="270">
        <f t="shared" si="142"/>
        <v>119675</v>
      </c>
      <c r="AC391" s="270">
        <f t="shared" si="142"/>
        <v>119675</v>
      </c>
      <c r="AD391" s="270">
        <f t="shared" si="143"/>
        <v>119675</v>
      </c>
      <c r="AE391" s="270">
        <f t="shared" si="141"/>
        <v>119675</v>
      </c>
      <c r="AF391" s="270">
        <f t="shared" si="147"/>
        <v>119675</v>
      </c>
      <c r="AG391" s="270">
        <f t="shared" si="147"/>
        <v>119675</v>
      </c>
      <c r="AH391" s="270">
        <f t="shared" si="147"/>
        <v>119675</v>
      </c>
      <c r="AI391" s="270">
        <f t="shared" si="147"/>
        <v>119675</v>
      </c>
      <c r="AJ391" s="270">
        <f t="shared" si="147"/>
        <v>119675</v>
      </c>
      <c r="AK391" s="270">
        <f t="shared" si="147"/>
        <v>119675</v>
      </c>
      <c r="AL391" s="270">
        <f t="shared" si="147"/>
        <v>119675</v>
      </c>
      <c r="AM391" s="270">
        <f t="shared" si="147"/>
        <v>119675</v>
      </c>
    </row>
    <row r="392" spans="2:39" ht="15.75" thickBot="1" x14ac:dyDescent="0.35">
      <c r="B392" s="56" t="str">
        <f>input_names!$B$3</f>
        <v>benzine</v>
      </c>
      <c r="C392" s="61">
        <v>344</v>
      </c>
      <c r="D392" s="270">
        <f t="shared" si="148"/>
        <v>83715</v>
      </c>
      <c r="E392" s="270">
        <f t="shared" si="148"/>
        <v>93981</v>
      </c>
      <c r="F392" s="270">
        <f t="shared" si="148"/>
        <v>96427</v>
      </c>
      <c r="G392" s="270">
        <f t="shared" si="148"/>
        <v>95385</v>
      </c>
      <c r="H392" s="270">
        <f t="shared" si="148"/>
        <v>91740</v>
      </c>
      <c r="I392" s="270">
        <f t="shared" si="148"/>
        <v>91815</v>
      </c>
      <c r="J392" s="270">
        <f t="shared" si="148"/>
        <v>85742</v>
      </c>
      <c r="K392" s="270">
        <f t="shared" si="148"/>
        <v>90333</v>
      </c>
      <c r="L392" s="270">
        <f t="shared" si="148"/>
        <v>92794</v>
      </c>
      <c r="M392" s="270">
        <f t="shared" si="148"/>
        <v>114122</v>
      </c>
      <c r="N392" s="270">
        <f t="shared" si="148"/>
        <v>120243</v>
      </c>
      <c r="O392" s="270">
        <f t="shared" si="148"/>
        <v>120243</v>
      </c>
      <c r="P392" s="270">
        <f t="shared" si="148"/>
        <v>120243</v>
      </c>
      <c r="Q392" s="270">
        <f t="shared" si="148"/>
        <v>120243</v>
      </c>
      <c r="R392" s="270">
        <f t="shared" si="148"/>
        <v>120243</v>
      </c>
      <c r="S392" s="270">
        <f t="shared" si="146"/>
        <v>120243</v>
      </c>
      <c r="T392" s="270">
        <f t="shared" si="142"/>
        <v>120243</v>
      </c>
      <c r="U392" s="270">
        <f t="shared" si="142"/>
        <v>120243</v>
      </c>
      <c r="V392" s="270">
        <f t="shared" si="142"/>
        <v>120243</v>
      </c>
      <c r="W392" s="270">
        <f t="shared" si="142"/>
        <v>120243</v>
      </c>
      <c r="X392" s="270">
        <f t="shared" si="142"/>
        <v>120243</v>
      </c>
      <c r="Y392" s="270">
        <f t="shared" ref="U392:AC398" si="149">+MIN(MAX(0,$C392-Y$11),Y$12-Y$11)*Y$17
+MIN(MAX(0,$C392-Y$12),Y$13-Y$12)*Y$18
+MIN(MAX(0,$C392-Y$13),Y$14-Y$13)*Y$19
+MIN(MAX(0,$C392-Y$14),Y$15-Y$14)*Y$20
+MAX(0,$C392-Y$15)*Y$21
+Y$26</f>
        <v>120243</v>
      </c>
      <c r="Z392" s="270">
        <f t="shared" si="149"/>
        <v>120243</v>
      </c>
      <c r="AA392" s="270">
        <f t="shared" si="149"/>
        <v>120243</v>
      </c>
      <c r="AB392" s="270">
        <f t="shared" si="149"/>
        <v>120243</v>
      </c>
      <c r="AC392" s="270">
        <f t="shared" si="149"/>
        <v>120243</v>
      </c>
      <c r="AD392" s="270">
        <f t="shared" si="143"/>
        <v>120243</v>
      </c>
      <c r="AE392" s="270">
        <f t="shared" si="141"/>
        <v>120243</v>
      </c>
      <c r="AF392" s="270">
        <f t="shared" ref="AF392:AM398" si="150">+MIN(MAX(0,$C392-AF$11),AF$12-AF$11)*AF$17
+MIN(MAX(0,$C392-AF$12),AF$13-AF$12)*AF$18
+MIN(MAX(0,$C392-AF$13),AF$14-AF$13)*AF$19
+MIN(MAX(0,$C392-AF$14),AF$15-AF$14)*AF$20
+MAX(0,$C392-AF$15)*AF$21
+AF$26</f>
        <v>120243</v>
      </c>
      <c r="AG392" s="270">
        <f t="shared" si="150"/>
        <v>120243</v>
      </c>
      <c r="AH392" s="270">
        <f t="shared" si="150"/>
        <v>120243</v>
      </c>
      <c r="AI392" s="270">
        <f t="shared" si="150"/>
        <v>120243</v>
      </c>
      <c r="AJ392" s="270">
        <f t="shared" si="150"/>
        <v>120243</v>
      </c>
      <c r="AK392" s="270">
        <f t="shared" si="150"/>
        <v>120243</v>
      </c>
      <c r="AL392" s="270">
        <f t="shared" si="150"/>
        <v>120243</v>
      </c>
      <c r="AM392" s="270">
        <f t="shared" si="150"/>
        <v>120243</v>
      </c>
    </row>
    <row r="393" spans="2:39" ht="15.75" thickBot="1" x14ac:dyDescent="0.35">
      <c r="B393" s="56" t="str">
        <f>input_names!$B$3</f>
        <v>benzine</v>
      </c>
      <c r="C393" s="61">
        <v>345</v>
      </c>
      <c r="D393" s="270">
        <f t="shared" si="148"/>
        <v>84149</v>
      </c>
      <c r="E393" s="270">
        <f t="shared" si="148"/>
        <v>94457</v>
      </c>
      <c r="F393" s="270">
        <f t="shared" si="148"/>
        <v>96899</v>
      </c>
      <c r="G393" s="270">
        <f t="shared" si="148"/>
        <v>95840</v>
      </c>
      <c r="H393" s="270">
        <f t="shared" si="148"/>
        <v>92168</v>
      </c>
      <c r="I393" s="270">
        <f t="shared" si="148"/>
        <v>92233</v>
      </c>
      <c r="J393" s="270">
        <f t="shared" si="148"/>
        <v>86174</v>
      </c>
      <c r="K393" s="270">
        <f t="shared" si="148"/>
        <v>90781</v>
      </c>
      <c r="L393" s="270">
        <f t="shared" si="148"/>
        <v>93242</v>
      </c>
      <c r="M393" s="270">
        <f t="shared" si="148"/>
        <v>114671</v>
      </c>
      <c r="N393" s="270">
        <f t="shared" si="148"/>
        <v>120811</v>
      </c>
      <c r="O393" s="270">
        <f t="shared" si="148"/>
        <v>120811</v>
      </c>
      <c r="P393" s="270">
        <f t="shared" si="148"/>
        <v>120811</v>
      </c>
      <c r="Q393" s="270">
        <f t="shared" si="148"/>
        <v>120811</v>
      </c>
      <c r="R393" s="270">
        <f t="shared" si="148"/>
        <v>120811</v>
      </c>
      <c r="S393" s="270">
        <f t="shared" si="146"/>
        <v>120811</v>
      </c>
      <c r="T393" s="270">
        <f t="shared" si="146"/>
        <v>120811</v>
      </c>
      <c r="U393" s="270">
        <f t="shared" si="149"/>
        <v>120811</v>
      </c>
      <c r="V393" s="270">
        <f t="shared" si="149"/>
        <v>120811</v>
      </c>
      <c r="W393" s="270">
        <f t="shared" si="149"/>
        <v>120811</v>
      </c>
      <c r="X393" s="270">
        <f t="shared" si="149"/>
        <v>120811</v>
      </c>
      <c r="Y393" s="270">
        <f t="shared" si="149"/>
        <v>120811</v>
      </c>
      <c r="Z393" s="270">
        <f t="shared" si="149"/>
        <v>120811</v>
      </c>
      <c r="AA393" s="270">
        <f t="shared" si="149"/>
        <v>120811</v>
      </c>
      <c r="AB393" s="270">
        <f t="shared" si="149"/>
        <v>120811</v>
      </c>
      <c r="AC393" s="270">
        <f t="shared" si="149"/>
        <v>120811</v>
      </c>
      <c r="AD393" s="270">
        <f t="shared" si="143"/>
        <v>120811</v>
      </c>
      <c r="AE393" s="270">
        <f t="shared" si="141"/>
        <v>120811</v>
      </c>
      <c r="AF393" s="270">
        <f t="shared" si="150"/>
        <v>120811</v>
      </c>
      <c r="AG393" s="270">
        <f t="shared" si="150"/>
        <v>120811</v>
      </c>
      <c r="AH393" s="270">
        <f t="shared" si="150"/>
        <v>120811</v>
      </c>
      <c r="AI393" s="270">
        <f t="shared" si="150"/>
        <v>120811</v>
      </c>
      <c r="AJ393" s="270">
        <f t="shared" si="150"/>
        <v>120811</v>
      </c>
      <c r="AK393" s="270">
        <f t="shared" si="150"/>
        <v>120811</v>
      </c>
      <c r="AL393" s="270">
        <f t="shared" si="150"/>
        <v>120811</v>
      </c>
      <c r="AM393" s="270">
        <f t="shared" si="150"/>
        <v>120811</v>
      </c>
    </row>
    <row r="394" spans="2:39" ht="15.75" thickBot="1" x14ac:dyDescent="0.35">
      <c r="B394" s="56" t="str">
        <f>input_names!$B$3</f>
        <v>benzine</v>
      </c>
      <c r="C394" s="61">
        <v>346</v>
      </c>
      <c r="D394" s="270">
        <f t="shared" si="148"/>
        <v>84583</v>
      </c>
      <c r="E394" s="270">
        <f t="shared" si="148"/>
        <v>94933</v>
      </c>
      <c r="F394" s="270">
        <f t="shared" si="148"/>
        <v>97371</v>
      </c>
      <c r="G394" s="270">
        <f t="shared" si="148"/>
        <v>96295</v>
      </c>
      <c r="H394" s="270">
        <f t="shared" si="148"/>
        <v>92596</v>
      </c>
      <c r="I394" s="270">
        <f t="shared" si="148"/>
        <v>92651</v>
      </c>
      <c r="J394" s="270">
        <f t="shared" si="148"/>
        <v>86606</v>
      </c>
      <c r="K394" s="270">
        <f t="shared" si="148"/>
        <v>91229</v>
      </c>
      <c r="L394" s="270">
        <f t="shared" si="148"/>
        <v>93690</v>
      </c>
      <c r="M394" s="270">
        <f t="shared" si="148"/>
        <v>115220</v>
      </c>
      <c r="N394" s="270">
        <f t="shared" si="148"/>
        <v>121379</v>
      </c>
      <c r="O394" s="270">
        <f t="shared" si="148"/>
        <v>121379</v>
      </c>
      <c r="P394" s="270">
        <f t="shared" si="148"/>
        <v>121379</v>
      </c>
      <c r="Q394" s="270">
        <f t="shared" si="148"/>
        <v>121379</v>
      </c>
      <c r="R394" s="270">
        <f t="shared" si="148"/>
        <v>121379</v>
      </c>
      <c r="S394" s="270">
        <f t="shared" si="146"/>
        <v>121379</v>
      </c>
      <c r="T394" s="270">
        <f t="shared" si="146"/>
        <v>121379</v>
      </c>
      <c r="U394" s="270">
        <f t="shared" si="149"/>
        <v>121379</v>
      </c>
      <c r="V394" s="270">
        <f t="shared" si="149"/>
        <v>121379</v>
      </c>
      <c r="W394" s="270">
        <f t="shared" si="149"/>
        <v>121379</v>
      </c>
      <c r="X394" s="270">
        <f t="shared" si="149"/>
        <v>121379</v>
      </c>
      <c r="Y394" s="270">
        <f t="shared" si="149"/>
        <v>121379</v>
      </c>
      <c r="Z394" s="270">
        <f t="shared" si="149"/>
        <v>121379</v>
      </c>
      <c r="AA394" s="270">
        <f t="shared" si="149"/>
        <v>121379</v>
      </c>
      <c r="AB394" s="270">
        <f t="shared" si="149"/>
        <v>121379</v>
      </c>
      <c r="AC394" s="270">
        <f t="shared" si="149"/>
        <v>121379</v>
      </c>
      <c r="AD394" s="270">
        <f t="shared" si="143"/>
        <v>121379</v>
      </c>
      <c r="AE394" s="270">
        <f t="shared" si="141"/>
        <v>121379</v>
      </c>
      <c r="AF394" s="270">
        <f t="shared" si="150"/>
        <v>121379</v>
      </c>
      <c r="AG394" s="270">
        <f t="shared" si="150"/>
        <v>121379</v>
      </c>
      <c r="AH394" s="270">
        <f t="shared" si="150"/>
        <v>121379</v>
      </c>
      <c r="AI394" s="270">
        <f t="shared" si="150"/>
        <v>121379</v>
      </c>
      <c r="AJ394" s="270">
        <f t="shared" si="150"/>
        <v>121379</v>
      </c>
      <c r="AK394" s="270">
        <f t="shared" si="150"/>
        <v>121379</v>
      </c>
      <c r="AL394" s="270">
        <f t="shared" si="150"/>
        <v>121379</v>
      </c>
      <c r="AM394" s="270">
        <f t="shared" si="150"/>
        <v>121379</v>
      </c>
    </row>
    <row r="395" spans="2:39" ht="15.75" thickBot="1" x14ac:dyDescent="0.35">
      <c r="B395" s="56" t="str">
        <f>input_names!$B$3</f>
        <v>benzine</v>
      </c>
      <c r="C395" s="61">
        <v>347</v>
      </c>
      <c r="D395" s="270">
        <f t="shared" si="148"/>
        <v>85017</v>
      </c>
      <c r="E395" s="270">
        <f t="shared" si="148"/>
        <v>95409</v>
      </c>
      <c r="F395" s="270">
        <f t="shared" si="148"/>
        <v>97843</v>
      </c>
      <c r="G395" s="270">
        <f t="shared" si="148"/>
        <v>96750</v>
      </c>
      <c r="H395" s="270">
        <f t="shared" si="148"/>
        <v>93024</v>
      </c>
      <c r="I395" s="270">
        <f t="shared" si="148"/>
        <v>93069</v>
      </c>
      <c r="J395" s="270">
        <f t="shared" si="148"/>
        <v>87038</v>
      </c>
      <c r="K395" s="270">
        <f t="shared" si="148"/>
        <v>91677</v>
      </c>
      <c r="L395" s="270">
        <f t="shared" si="148"/>
        <v>94138</v>
      </c>
      <c r="M395" s="270">
        <f t="shared" si="148"/>
        <v>115769</v>
      </c>
      <c r="N395" s="270">
        <f t="shared" si="148"/>
        <v>121947</v>
      </c>
      <c r="O395" s="270">
        <f t="shared" si="148"/>
        <v>121947</v>
      </c>
      <c r="P395" s="270">
        <f t="shared" si="148"/>
        <v>121947</v>
      </c>
      <c r="Q395" s="270">
        <f t="shared" si="148"/>
        <v>121947</v>
      </c>
      <c r="R395" s="270">
        <f t="shared" si="148"/>
        <v>121947</v>
      </c>
      <c r="S395" s="270">
        <f t="shared" si="146"/>
        <v>121947</v>
      </c>
      <c r="T395" s="270">
        <f t="shared" si="146"/>
        <v>121947</v>
      </c>
      <c r="U395" s="270">
        <f t="shared" si="149"/>
        <v>121947</v>
      </c>
      <c r="V395" s="270">
        <f t="shared" si="149"/>
        <v>121947</v>
      </c>
      <c r="W395" s="270">
        <f t="shared" si="149"/>
        <v>121947</v>
      </c>
      <c r="X395" s="270">
        <f t="shared" si="149"/>
        <v>121947</v>
      </c>
      <c r="Y395" s="270">
        <f t="shared" si="149"/>
        <v>121947</v>
      </c>
      <c r="Z395" s="270">
        <f t="shared" si="149"/>
        <v>121947</v>
      </c>
      <c r="AA395" s="270">
        <f t="shared" si="149"/>
        <v>121947</v>
      </c>
      <c r="AB395" s="270">
        <f t="shared" si="149"/>
        <v>121947</v>
      </c>
      <c r="AC395" s="270">
        <f t="shared" si="149"/>
        <v>121947</v>
      </c>
      <c r="AD395" s="270">
        <f t="shared" si="143"/>
        <v>121947</v>
      </c>
      <c r="AE395" s="270">
        <f t="shared" si="141"/>
        <v>121947</v>
      </c>
      <c r="AF395" s="270">
        <f t="shared" si="150"/>
        <v>121947</v>
      </c>
      <c r="AG395" s="270">
        <f t="shared" si="150"/>
        <v>121947</v>
      </c>
      <c r="AH395" s="270">
        <f t="shared" si="150"/>
        <v>121947</v>
      </c>
      <c r="AI395" s="270">
        <f t="shared" si="150"/>
        <v>121947</v>
      </c>
      <c r="AJ395" s="270">
        <f t="shared" si="150"/>
        <v>121947</v>
      </c>
      <c r="AK395" s="270">
        <f t="shared" si="150"/>
        <v>121947</v>
      </c>
      <c r="AL395" s="270">
        <f t="shared" si="150"/>
        <v>121947</v>
      </c>
      <c r="AM395" s="270">
        <f t="shared" si="150"/>
        <v>121947</v>
      </c>
    </row>
    <row r="396" spans="2:39" ht="15.75" thickBot="1" x14ac:dyDescent="0.35">
      <c r="B396" s="56" t="str">
        <f>input_names!$B$3</f>
        <v>benzine</v>
      </c>
      <c r="C396" s="61">
        <v>348</v>
      </c>
      <c r="D396" s="270">
        <f t="shared" si="148"/>
        <v>85451</v>
      </c>
      <c r="E396" s="270">
        <f t="shared" si="148"/>
        <v>95885</v>
      </c>
      <c r="F396" s="270">
        <f t="shared" si="148"/>
        <v>98315</v>
      </c>
      <c r="G396" s="270">
        <f t="shared" si="148"/>
        <v>97205</v>
      </c>
      <c r="H396" s="270">
        <f t="shared" si="148"/>
        <v>93452</v>
      </c>
      <c r="I396" s="270">
        <f t="shared" si="148"/>
        <v>93487</v>
      </c>
      <c r="J396" s="270">
        <f t="shared" si="148"/>
        <v>87470</v>
      </c>
      <c r="K396" s="270">
        <f t="shared" si="148"/>
        <v>92125</v>
      </c>
      <c r="L396" s="270">
        <f t="shared" si="148"/>
        <v>94586</v>
      </c>
      <c r="M396" s="270">
        <f t="shared" si="148"/>
        <v>116318</v>
      </c>
      <c r="N396" s="270">
        <f t="shared" si="148"/>
        <v>122515</v>
      </c>
      <c r="O396" s="270">
        <f t="shared" si="148"/>
        <v>122515</v>
      </c>
      <c r="P396" s="270">
        <f t="shared" si="148"/>
        <v>122515</v>
      </c>
      <c r="Q396" s="270">
        <f t="shared" si="148"/>
        <v>122515</v>
      </c>
      <c r="R396" s="270">
        <f t="shared" si="148"/>
        <v>122515</v>
      </c>
      <c r="S396" s="270">
        <f t="shared" si="146"/>
        <v>122515</v>
      </c>
      <c r="T396" s="270">
        <f t="shared" si="146"/>
        <v>122515</v>
      </c>
      <c r="U396" s="270">
        <f t="shared" si="149"/>
        <v>122515</v>
      </c>
      <c r="V396" s="270">
        <f t="shared" si="149"/>
        <v>122515</v>
      </c>
      <c r="W396" s="270">
        <f t="shared" si="149"/>
        <v>122515</v>
      </c>
      <c r="X396" s="270">
        <f t="shared" si="149"/>
        <v>122515</v>
      </c>
      <c r="Y396" s="270">
        <f t="shared" si="149"/>
        <v>122515</v>
      </c>
      <c r="Z396" s="270">
        <f t="shared" si="149"/>
        <v>122515</v>
      </c>
      <c r="AA396" s="270">
        <f t="shared" si="149"/>
        <v>122515</v>
      </c>
      <c r="AB396" s="270">
        <f t="shared" si="149"/>
        <v>122515</v>
      </c>
      <c r="AC396" s="270">
        <f t="shared" si="149"/>
        <v>122515</v>
      </c>
      <c r="AD396" s="270">
        <f t="shared" si="143"/>
        <v>122515</v>
      </c>
      <c r="AE396" s="270">
        <f t="shared" si="141"/>
        <v>122515</v>
      </c>
      <c r="AF396" s="270">
        <f t="shared" si="150"/>
        <v>122515</v>
      </c>
      <c r="AG396" s="270">
        <f t="shared" si="150"/>
        <v>122515</v>
      </c>
      <c r="AH396" s="270">
        <f t="shared" si="150"/>
        <v>122515</v>
      </c>
      <c r="AI396" s="270">
        <f t="shared" si="150"/>
        <v>122515</v>
      </c>
      <c r="AJ396" s="270">
        <f t="shared" si="150"/>
        <v>122515</v>
      </c>
      <c r="AK396" s="270">
        <f t="shared" si="150"/>
        <v>122515</v>
      </c>
      <c r="AL396" s="270">
        <f t="shared" si="150"/>
        <v>122515</v>
      </c>
      <c r="AM396" s="270">
        <f t="shared" si="150"/>
        <v>122515</v>
      </c>
    </row>
    <row r="397" spans="2:39" ht="15.75" thickBot="1" x14ac:dyDescent="0.35">
      <c r="B397" s="56" t="str">
        <f>input_names!$B$3</f>
        <v>benzine</v>
      </c>
      <c r="C397" s="61">
        <v>349</v>
      </c>
      <c r="D397" s="270">
        <f t="shared" si="148"/>
        <v>85885</v>
      </c>
      <c r="E397" s="270">
        <f t="shared" si="148"/>
        <v>96361</v>
      </c>
      <c r="F397" s="270">
        <f t="shared" si="148"/>
        <v>98787</v>
      </c>
      <c r="G397" s="270">
        <f t="shared" si="148"/>
        <v>97660</v>
      </c>
      <c r="H397" s="270">
        <f t="shared" si="148"/>
        <v>93880</v>
      </c>
      <c r="I397" s="270">
        <f t="shared" si="148"/>
        <v>93905</v>
      </c>
      <c r="J397" s="270">
        <f t="shared" si="148"/>
        <v>87902</v>
      </c>
      <c r="K397" s="270">
        <f t="shared" si="148"/>
        <v>92573</v>
      </c>
      <c r="L397" s="270">
        <f t="shared" si="148"/>
        <v>95034</v>
      </c>
      <c r="M397" s="270">
        <f t="shared" si="148"/>
        <v>116867</v>
      </c>
      <c r="N397" s="270">
        <f t="shared" si="148"/>
        <v>123083</v>
      </c>
      <c r="O397" s="270">
        <f t="shared" si="148"/>
        <v>123083</v>
      </c>
      <c r="P397" s="270">
        <f t="shared" si="148"/>
        <v>123083</v>
      </c>
      <c r="Q397" s="270">
        <f t="shared" si="148"/>
        <v>123083</v>
      </c>
      <c r="R397" s="270">
        <f t="shared" si="148"/>
        <v>123083</v>
      </c>
      <c r="S397" s="270">
        <f t="shared" si="146"/>
        <v>123083</v>
      </c>
      <c r="T397" s="270">
        <f t="shared" si="146"/>
        <v>123083</v>
      </c>
      <c r="U397" s="270">
        <f t="shared" si="149"/>
        <v>123083</v>
      </c>
      <c r="V397" s="270">
        <f t="shared" si="149"/>
        <v>123083</v>
      </c>
      <c r="W397" s="270">
        <f t="shared" si="149"/>
        <v>123083</v>
      </c>
      <c r="X397" s="270">
        <f t="shared" si="149"/>
        <v>123083</v>
      </c>
      <c r="Y397" s="270">
        <f t="shared" si="149"/>
        <v>123083</v>
      </c>
      <c r="Z397" s="270">
        <f t="shared" si="149"/>
        <v>123083</v>
      </c>
      <c r="AA397" s="270">
        <f t="shared" si="149"/>
        <v>123083</v>
      </c>
      <c r="AB397" s="270">
        <f t="shared" si="149"/>
        <v>123083</v>
      </c>
      <c r="AC397" s="270">
        <f t="shared" si="149"/>
        <v>123083</v>
      </c>
      <c r="AD397" s="270">
        <f t="shared" si="143"/>
        <v>123083</v>
      </c>
      <c r="AE397" s="270">
        <f t="shared" si="141"/>
        <v>123083</v>
      </c>
      <c r="AF397" s="270">
        <f t="shared" si="150"/>
        <v>123083</v>
      </c>
      <c r="AG397" s="270">
        <f t="shared" si="150"/>
        <v>123083</v>
      </c>
      <c r="AH397" s="270">
        <f t="shared" si="150"/>
        <v>123083</v>
      </c>
      <c r="AI397" s="270">
        <f t="shared" si="150"/>
        <v>123083</v>
      </c>
      <c r="AJ397" s="270">
        <f t="shared" si="150"/>
        <v>123083</v>
      </c>
      <c r="AK397" s="270">
        <f t="shared" si="150"/>
        <v>123083</v>
      </c>
      <c r="AL397" s="270">
        <f t="shared" si="150"/>
        <v>123083</v>
      </c>
      <c r="AM397" s="270">
        <f t="shared" si="150"/>
        <v>123083</v>
      </c>
    </row>
    <row r="398" spans="2:39" ht="15.75" thickBot="1" x14ac:dyDescent="0.35">
      <c r="B398" s="56" t="str">
        <f>input_names!$B$3</f>
        <v>benzine</v>
      </c>
      <c r="C398" s="61">
        <v>350</v>
      </c>
      <c r="D398" s="270">
        <f t="shared" si="148"/>
        <v>86319</v>
      </c>
      <c r="E398" s="270">
        <f t="shared" si="148"/>
        <v>96837</v>
      </c>
      <c r="F398" s="270">
        <f t="shared" si="148"/>
        <v>99259</v>
      </c>
      <c r="G398" s="270">
        <f t="shared" si="148"/>
        <v>98115</v>
      </c>
      <c r="H398" s="270">
        <f t="shared" si="148"/>
        <v>94308</v>
      </c>
      <c r="I398" s="270">
        <f t="shared" si="148"/>
        <v>94323</v>
      </c>
      <c r="J398" s="270">
        <f t="shared" si="148"/>
        <v>88334</v>
      </c>
      <c r="K398" s="270">
        <f t="shared" si="148"/>
        <v>93021</v>
      </c>
      <c r="L398" s="270">
        <f t="shared" si="148"/>
        <v>95482</v>
      </c>
      <c r="M398" s="270">
        <f t="shared" si="148"/>
        <v>117416</v>
      </c>
      <c r="N398" s="270">
        <f t="shared" si="148"/>
        <v>123651</v>
      </c>
      <c r="O398" s="270">
        <f t="shared" si="148"/>
        <v>123651</v>
      </c>
      <c r="P398" s="270">
        <f t="shared" si="148"/>
        <v>123651</v>
      </c>
      <c r="Q398" s="270">
        <f t="shared" si="148"/>
        <v>123651</v>
      </c>
      <c r="R398" s="270">
        <f t="shared" si="148"/>
        <v>123651</v>
      </c>
      <c r="S398" s="270">
        <f t="shared" si="146"/>
        <v>123651</v>
      </c>
      <c r="T398" s="270">
        <f t="shared" si="146"/>
        <v>123651</v>
      </c>
      <c r="U398" s="270">
        <f t="shared" si="149"/>
        <v>123651</v>
      </c>
      <c r="V398" s="270">
        <f t="shared" si="149"/>
        <v>123651</v>
      </c>
      <c r="W398" s="270">
        <f t="shared" si="149"/>
        <v>123651</v>
      </c>
      <c r="X398" s="270">
        <f t="shared" si="149"/>
        <v>123651</v>
      </c>
      <c r="Y398" s="270">
        <f t="shared" si="149"/>
        <v>123651</v>
      </c>
      <c r="Z398" s="270">
        <f t="shared" si="149"/>
        <v>123651</v>
      </c>
      <c r="AA398" s="270">
        <f t="shared" si="149"/>
        <v>123651</v>
      </c>
      <c r="AB398" s="270">
        <f t="shared" si="149"/>
        <v>123651</v>
      </c>
      <c r="AC398" s="270">
        <f t="shared" si="149"/>
        <v>123651</v>
      </c>
      <c r="AD398" s="270">
        <f t="shared" si="143"/>
        <v>123651</v>
      </c>
      <c r="AE398" s="270">
        <f t="shared" si="141"/>
        <v>123651</v>
      </c>
      <c r="AF398" s="270">
        <f t="shared" si="150"/>
        <v>123651</v>
      </c>
      <c r="AG398" s="270">
        <f t="shared" si="150"/>
        <v>123651</v>
      </c>
      <c r="AH398" s="270">
        <f t="shared" si="150"/>
        <v>123651</v>
      </c>
      <c r="AI398" s="270">
        <f t="shared" si="150"/>
        <v>123651</v>
      </c>
      <c r="AJ398" s="270">
        <f t="shared" si="150"/>
        <v>123651</v>
      </c>
      <c r="AK398" s="270">
        <f t="shared" si="150"/>
        <v>123651</v>
      </c>
      <c r="AL398" s="270">
        <f t="shared" si="150"/>
        <v>123651</v>
      </c>
      <c r="AM398" s="270">
        <f t="shared" si="150"/>
        <v>123651</v>
      </c>
    </row>
    <row r="399" spans="2:39" x14ac:dyDescent="0.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row>
    <row r="400" spans="2:39" ht="15.75" thickBot="1" x14ac:dyDescent="0.3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row>
    <row r="401" spans="2:39" ht="15.75" thickBot="1" x14ac:dyDescent="0.35">
      <c r="B401" s="50" t="s">
        <v>39</v>
      </c>
      <c r="C401" s="54" t="s">
        <v>43</v>
      </c>
      <c r="D401" s="51">
        <f>D4</f>
        <v>2015</v>
      </c>
      <c r="E401" s="51">
        <f t="shared" ref="E401:AM401" si="151">E4</f>
        <v>2016</v>
      </c>
      <c r="F401" s="51">
        <f t="shared" si="151"/>
        <v>2017</v>
      </c>
      <c r="G401" s="51">
        <f t="shared" si="151"/>
        <v>2018</v>
      </c>
      <c r="H401" s="51">
        <f t="shared" si="151"/>
        <v>2019</v>
      </c>
      <c r="I401" s="51">
        <f t="shared" si="151"/>
        <v>2020</v>
      </c>
      <c r="J401" s="51">
        <f t="shared" si="151"/>
        <v>2021</v>
      </c>
      <c r="K401" s="51">
        <f t="shared" si="151"/>
        <v>2022</v>
      </c>
      <c r="L401" s="51">
        <f t="shared" si="151"/>
        <v>2023</v>
      </c>
      <c r="M401" s="51">
        <f t="shared" si="151"/>
        <v>2024</v>
      </c>
      <c r="N401" s="51">
        <f t="shared" si="151"/>
        <v>2025</v>
      </c>
      <c r="O401" s="51">
        <f t="shared" si="151"/>
        <v>2026</v>
      </c>
      <c r="P401" s="51">
        <f t="shared" si="151"/>
        <v>2027</v>
      </c>
      <c r="Q401" s="51">
        <f t="shared" si="151"/>
        <v>2028</v>
      </c>
      <c r="R401" s="51">
        <f t="shared" si="151"/>
        <v>2029</v>
      </c>
      <c r="S401" s="51">
        <f t="shared" si="151"/>
        <v>2030</v>
      </c>
      <c r="T401" s="51">
        <f t="shared" si="151"/>
        <v>2031</v>
      </c>
      <c r="U401" s="51">
        <f t="shared" si="151"/>
        <v>2032</v>
      </c>
      <c r="V401" s="51">
        <f t="shared" si="151"/>
        <v>2033</v>
      </c>
      <c r="W401" s="51">
        <f t="shared" si="151"/>
        <v>2034</v>
      </c>
      <c r="X401" s="51">
        <f t="shared" si="151"/>
        <v>2035</v>
      </c>
      <c r="Y401" s="51">
        <f t="shared" si="151"/>
        <v>2036</v>
      </c>
      <c r="Z401" s="51">
        <f t="shared" si="151"/>
        <v>2037</v>
      </c>
      <c r="AA401" s="51">
        <f t="shared" si="151"/>
        <v>2038</v>
      </c>
      <c r="AB401" s="51">
        <f t="shared" si="151"/>
        <v>2039</v>
      </c>
      <c r="AC401" s="51">
        <f t="shared" si="151"/>
        <v>2040</v>
      </c>
      <c r="AD401" s="51">
        <f t="shared" si="151"/>
        <v>2041</v>
      </c>
      <c r="AE401" s="51">
        <f t="shared" si="151"/>
        <v>2042</v>
      </c>
      <c r="AF401" s="51">
        <f t="shared" si="151"/>
        <v>2043</v>
      </c>
      <c r="AG401" s="51">
        <f t="shared" si="151"/>
        <v>2044</v>
      </c>
      <c r="AH401" s="51">
        <f t="shared" si="151"/>
        <v>2045</v>
      </c>
      <c r="AI401" s="51">
        <f t="shared" si="151"/>
        <v>2046</v>
      </c>
      <c r="AJ401" s="51">
        <f t="shared" si="151"/>
        <v>2047</v>
      </c>
      <c r="AK401" s="51">
        <f t="shared" si="151"/>
        <v>2048</v>
      </c>
      <c r="AL401" s="51">
        <f t="shared" si="151"/>
        <v>2049</v>
      </c>
      <c r="AM401" s="51">
        <f t="shared" si="151"/>
        <v>2050</v>
      </c>
    </row>
    <row r="402" spans="2:39" ht="15.75" thickBot="1" x14ac:dyDescent="0.35">
      <c r="B402" s="56" t="str">
        <f>input_names!$C$3</f>
        <v>diesel</v>
      </c>
      <c r="C402" s="61">
        <v>0</v>
      </c>
      <c r="D402" s="270">
        <f t="shared" ref="D402:AE417" si="152">+MIN(MAX(0,$C402-D$11),D$12-D$11)*D$17
+MIN(MAX(0,$C402-D$12),D$13-D$12)*D$18
+MIN(MAX(0,$C402-D$13),D$14-D$13)*D$19
+MIN(MAX(0,$C402-D$14),D$15-D$14)*D$20
+MAX(0,$C402-D$15)*D$21
+D$24*MAX(0,$C402-D$23)
+D$26</f>
        <v>175</v>
      </c>
      <c r="E402" s="270">
        <f t="shared" si="152"/>
        <v>175</v>
      </c>
      <c r="F402" s="270">
        <f t="shared" si="152"/>
        <v>353</v>
      </c>
      <c r="G402" s="270">
        <f t="shared" si="152"/>
        <v>356</v>
      </c>
      <c r="H402" s="270">
        <f t="shared" si="152"/>
        <v>360</v>
      </c>
      <c r="I402" s="270">
        <f t="shared" si="152"/>
        <v>366</v>
      </c>
      <c r="J402" s="270">
        <f t="shared" si="152"/>
        <v>372</v>
      </c>
      <c r="K402" s="270">
        <f t="shared" si="152"/>
        <v>376</v>
      </c>
      <c r="L402" s="270">
        <f t="shared" si="152"/>
        <v>400</v>
      </c>
      <c r="M402" s="270">
        <f t="shared" si="152"/>
        <v>440</v>
      </c>
      <c r="N402" s="270">
        <f t="shared" si="152"/>
        <v>667</v>
      </c>
      <c r="O402" s="270">
        <f t="shared" si="152"/>
        <v>667</v>
      </c>
      <c r="P402" s="270">
        <f t="shared" si="152"/>
        <v>667</v>
      </c>
      <c r="Q402" s="270">
        <f t="shared" si="152"/>
        <v>667</v>
      </c>
      <c r="R402" s="270">
        <f t="shared" si="152"/>
        <v>667</v>
      </c>
      <c r="S402" s="270">
        <f t="shared" ref="S402:AC417" si="153">+MIN(MAX(0,$C402-S$11),S$12-S$11)*S$17
+MIN(MAX(0,$C402-S$12),S$13-S$12)*S$18
+MIN(MAX(0,$C402-S$13),S$14-S$13)*S$19
+MIN(MAX(0,$C402-S$14),S$15-S$14)*S$20
+MAX(0,$C402-S$15)*S$21
+S$24*MAX(0,$C402-S$23)
+S$26</f>
        <v>667</v>
      </c>
      <c r="T402" s="270">
        <f t="shared" si="153"/>
        <v>667</v>
      </c>
      <c r="U402" s="270">
        <f t="shared" si="153"/>
        <v>667</v>
      </c>
      <c r="V402" s="270">
        <f t="shared" si="153"/>
        <v>667</v>
      </c>
      <c r="W402" s="270">
        <f t="shared" si="153"/>
        <v>667</v>
      </c>
      <c r="X402" s="270">
        <f t="shared" si="153"/>
        <v>667</v>
      </c>
      <c r="Y402" s="270">
        <f t="shared" si="153"/>
        <v>667</v>
      </c>
      <c r="Z402" s="270">
        <f t="shared" si="153"/>
        <v>667</v>
      </c>
      <c r="AA402" s="270">
        <f t="shared" si="153"/>
        <v>667</v>
      </c>
      <c r="AB402" s="270">
        <f t="shared" si="153"/>
        <v>667</v>
      </c>
      <c r="AC402" s="270">
        <f t="shared" si="153"/>
        <v>667</v>
      </c>
      <c r="AD402" s="270">
        <f t="shared" si="152"/>
        <v>667</v>
      </c>
      <c r="AE402" s="270">
        <f t="shared" si="152"/>
        <v>667</v>
      </c>
      <c r="AF402" s="270">
        <f t="shared" ref="AD402:AM426" si="154">+MIN(MAX(0,$C402-AF$11),AF$12-AF$11)*AF$17
+MIN(MAX(0,$C402-AF$12),AF$13-AF$12)*AF$18
+MIN(MAX(0,$C402-AF$13),AF$14-AF$13)*AF$19
+MIN(MAX(0,$C402-AF$14),AF$15-AF$14)*AF$20
+MAX(0,$C402-AF$15)*AF$21
+AF$24*MAX(0,$C402-AF$23)
+AF$26</f>
        <v>667</v>
      </c>
      <c r="AG402" s="270">
        <f t="shared" si="154"/>
        <v>667</v>
      </c>
      <c r="AH402" s="270">
        <f t="shared" si="154"/>
        <v>667</v>
      </c>
      <c r="AI402" s="270">
        <f t="shared" si="154"/>
        <v>667</v>
      </c>
      <c r="AJ402" s="270">
        <f t="shared" si="154"/>
        <v>667</v>
      </c>
      <c r="AK402" s="270">
        <f t="shared" si="154"/>
        <v>667</v>
      </c>
      <c r="AL402" s="270">
        <f t="shared" si="154"/>
        <v>667</v>
      </c>
      <c r="AM402" s="270">
        <f t="shared" si="154"/>
        <v>667</v>
      </c>
    </row>
    <row r="403" spans="2:39" ht="15.75" thickBot="1" x14ac:dyDescent="0.35">
      <c r="B403" s="56" t="str">
        <f>input_names!$C$3</f>
        <v>diesel</v>
      </c>
      <c r="C403" s="61">
        <v>1</v>
      </c>
      <c r="D403" s="270">
        <f t="shared" si="152"/>
        <v>181</v>
      </c>
      <c r="E403" s="270">
        <f t="shared" si="152"/>
        <v>181</v>
      </c>
      <c r="F403" s="270">
        <f t="shared" si="152"/>
        <v>355</v>
      </c>
      <c r="G403" s="270">
        <f t="shared" si="152"/>
        <v>358</v>
      </c>
      <c r="H403" s="270">
        <f t="shared" si="152"/>
        <v>362</v>
      </c>
      <c r="I403" s="270">
        <f t="shared" si="152"/>
        <v>368</v>
      </c>
      <c r="J403" s="270">
        <f t="shared" si="152"/>
        <v>373</v>
      </c>
      <c r="K403" s="270">
        <f t="shared" si="152"/>
        <v>377</v>
      </c>
      <c r="L403" s="270">
        <f t="shared" si="152"/>
        <v>402</v>
      </c>
      <c r="M403" s="270">
        <f t="shared" si="152"/>
        <v>442</v>
      </c>
      <c r="N403" s="270">
        <f t="shared" si="152"/>
        <v>669</v>
      </c>
      <c r="O403" s="270">
        <f t="shared" si="152"/>
        <v>669</v>
      </c>
      <c r="P403" s="270">
        <f t="shared" si="152"/>
        <v>669</v>
      </c>
      <c r="Q403" s="270">
        <f t="shared" si="152"/>
        <v>669</v>
      </c>
      <c r="R403" s="270">
        <f t="shared" si="152"/>
        <v>669</v>
      </c>
      <c r="S403" s="270">
        <f t="shared" si="153"/>
        <v>669</v>
      </c>
      <c r="T403" s="270">
        <f t="shared" si="153"/>
        <v>669</v>
      </c>
      <c r="U403" s="270">
        <f t="shared" si="153"/>
        <v>669</v>
      </c>
      <c r="V403" s="270">
        <f t="shared" si="153"/>
        <v>669</v>
      </c>
      <c r="W403" s="270">
        <f t="shared" si="153"/>
        <v>669</v>
      </c>
      <c r="X403" s="270">
        <f t="shared" si="153"/>
        <v>669</v>
      </c>
      <c r="Y403" s="270">
        <f t="shared" si="153"/>
        <v>669</v>
      </c>
      <c r="Z403" s="270">
        <f t="shared" si="153"/>
        <v>669</v>
      </c>
      <c r="AA403" s="270">
        <f t="shared" si="153"/>
        <v>669</v>
      </c>
      <c r="AB403" s="270">
        <f t="shared" si="153"/>
        <v>669</v>
      </c>
      <c r="AC403" s="270">
        <f t="shared" si="153"/>
        <v>669</v>
      </c>
      <c r="AD403" s="270">
        <f t="shared" si="154"/>
        <v>669</v>
      </c>
      <c r="AE403" s="270">
        <f t="shared" si="152"/>
        <v>669</v>
      </c>
      <c r="AF403" s="270">
        <f t="shared" si="154"/>
        <v>669</v>
      </c>
      <c r="AG403" s="270">
        <f t="shared" si="154"/>
        <v>669</v>
      </c>
      <c r="AH403" s="270">
        <f t="shared" si="154"/>
        <v>669</v>
      </c>
      <c r="AI403" s="270">
        <f t="shared" si="154"/>
        <v>669</v>
      </c>
      <c r="AJ403" s="270">
        <f t="shared" si="154"/>
        <v>669</v>
      </c>
      <c r="AK403" s="270">
        <f t="shared" si="154"/>
        <v>669</v>
      </c>
      <c r="AL403" s="270">
        <f t="shared" si="154"/>
        <v>669</v>
      </c>
      <c r="AM403" s="270">
        <f t="shared" si="154"/>
        <v>669</v>
      </c>
    </row>
    <row r="404" spans="2:39" ht="15.75" thickBot="1" x14ac:dyDescent="0.35">
      <c r="B404" s="56" t="str">
        <f>input_names!$C$3</f>
        <v>diesel</v>
      </c>
      <c r="C404" s="61">
        <v>2</v>
      </c>
      <c r="D404" s="270">
        <f t="shared" si="152"/>
        <v>187</v>
      </c>
      <c r="E404" s="270">
        <f t="shared" si="152"/>
        <v>187</v>
      </c>
      <c r="F404" s="270">
        <f t="shared" si="152"/>
        <v>357</v>
      </c>
      <c r="G404" s="270">
        <f t="shared" si="152"/>
        <v>360</v>
      </c>
      <c r="H404" s="270">
        <f t="shared" si="152"/>
        <v>364</v>
      </c>
      <c r="I404" s="270">
        <f t="shared" si="152"/>
        <v>370</v>
      </c>
      <c r="J404" s="270">
        <f t="shared" si="152"/>
        <v>374</v>
      </c>
      <c r="K404" s="270">
        <f t="shared" si="152"/>
        <v>378</v>
      </c>
      <c r="L404" s="270">
        <f t="shared" si="152"/>
        <v>404</v>
      </c>
      <c r="M404" s="270">
        <f t="shared" si="152"/>
        <v>444</v>
      </c>
      <c r="N404" s="270">
        <f t="shared" si="152"/>
        <v>671</v>
      </c>
      <c r="O404" s="270">
        <f t="shared" si="152"/>
        <v>671</v>
      </c>
      <c r="P404" s="270">
        <f t="shared" si="152"/>
        <v>671</v>
      </c>
      <c r="Q404" s="270">
        <f t="shared" si="152"/>
        <v>671</v>
      </c>
      <c r="R404" s="270">
        <f t="shared" si="152"/>
        <v>671</v>
      </c>
      <c r="S404" s="270">
        <f t="shared" si="153"/>
        <v>671</v>
      </c>
      <c r="T404" s="270">
        <f t="shared" si="153"/>
        <v>671</v>
      </c>
      <c r="U404" s="270">
        <f t="shared" si="153"/>
        <v>671</v>
      </c>
      <c r="V404" s="270">
        <f t="shared" si="153"/>
        <v>671</v>
      </c>
      <c r="W404" s="270">
        <f t="shared" si="153"/>
        <v>671</v>
      </c>
      <c r="X404" s="270">
        <f t="shared" si="153"/>
        <v>671</v>
      </c>
      <c r="Y404" s="270">
        <f t="shared" si="153"/>
        <v>671</v>
      </c>
      <c r="Z404" s="270">
        <f t="shared" si="153"/>
        <v>671</v>
      </c>
      <c r="AA404" s="270">
        <f t="shared" si="153"/>
        <v>671</v>
      </c>
      <c r="AB404" s="270">
        <f t="shared" si="153"/>
        <v>671</v>
      </c>
      <c r="AC404" s="270">
        <f t="shared" si="153"/>
        <v>671</v>
      </c>
      <c r="AD404" s="270">
        <f t="shared" si="154"/>
        <v>671</v>
      </c>
      <c r="AE404" s="270">
        <f t="shared" si="152"/>
        <v>671</v>
      </c>
      <c r="AF404" s="270">
        <f t="shared" si="154"/>
        <v>671</v>
      </c>
      <c r="AG404" s="270">
        <f t="shared" si="154"/>
        <v>671</v>
      </c>
      <c r="AH404" s="270">
        <f t="shared" si="154"/>
        <v>671</v>
      </c>
      <c r="AI404" s="270">
        <f t="shared" si="154"/>
        <v>671</v>
      </c>
      <c r="AJ404" s="270">
        <f t="shared" si="154"/>
        <v>671</v>
      </c>
      <c r="AK404" s="270">
        <f t="shared" si="154"/>
        <v>671</v>
      </c>
      <c r="AL404" s="270">
        <f t="shared" si="154"/>
        <v>671</v>
      </c>
      <c r="AM404" s="270">
        <f t="shared" si="154"/>
        <v>671</v>
      </c>
    </row>
    <row r="405" spans="2:39" ht="15.75" thickBot="1" x14ac:dyDescent="0.35">
      <c r="B405" s="56" t="str">
        <f>input_names!$C$3</f>
        <v>diesel</v>
      </c>
      <c r="C405" s="61">
        <v>3</v>
      </c>
      <c r="D405" s="270">
        <f t="shared" si="152"/>
        <v>193</v>
      </c>
      <c r="E405" s="270">
        <f t="shared" si="152"/>
        <v>193</v>
      </c>
      <c r="F405" s="270">
        <f t="shared" si="152"/>
        <v>359</v>
      </c>
      <c r="G405" s="270">
        <f t="shared" si="152"/>
        <v>362</v>
      </c>
      <c r="H405" s="270">
        <f t="shared" si="152"/>
        <v>366</v>
      </c>
      <c r="I405" s="270">
        <f t="shared" si="152"/>
        <v>372</v>
      </c>
      <c r="J405" s="270">
        <f t="shared" si="152"/>
        <v>375</v>
      </c>
      <c r="K405" s="270">
        <f t="shared" si="152"/>
        <v>379</v>
      </c>
      <c r="L405" s="270">
        <f t="shared" si="152"/>
        <v>406</v>
      </c>
      <c r="M405" s="270">
        <f t="shared" si="152"/>
        <v>446</v>
      </c>
      <c r="N405" s="270">
        <f t="shared" si="152"/>
        <v>673</v>
      </c>
      <c r="O405" s="270">
        <f t="shared" si="152"/>
        <v>673</v>
      </c>
      <c r="P405" s="270">
        <f t="shared" si="152"/>
        <v>673</v>
      </c>
      <c r="Q405" s="270">
        <f t="shared" si="152"/>
        <v>673</v>
      </c>
      <c r="R405" s="270">
        <f t="shared" si="152"/>
        <v>673</v>
      </c>
      <c r="S405" s="270">
        <f t="shared" si="153"/>
        <v>673</v>
      </c>
      <c r="T405" s="270">
        <f t="shared" si="153"/>
        <v>673</v>
      </c>
      <c r="U405" s="270">
        <f t="shared" si="153"/>
        <v>673</v>
      </c>
      <c r="V405" s="270">
        <f t="shared" si="153"/>
        <v>673</v>
      </c>
      <c r="W405" s="270">
        <f t="shared" si="153"/>
        <v>673</v>
      </c>
      <c r="X405" s="270">
        <f t="shared" si="153"/>
        <v>673</v>
      </c>
      <c r="Y405" s="270">
        <f t="shared" si="153"/>
        <v>673</v>
      </c>
      <c r="Z405" s="270">
        <f t="shared" si="153"/>
        <v>673</v>
      </c>
      <c r="AA405" s="270">
        <f t="shared" si="153"/>
        <v>673</v>
      </c>
      <c r="AB405" s="270">
        <f t="shared" si="153"/>
        <v>673</v>
      </c>
      <c r="AC405" s="270">
        <f t="shared" si="153"/>
        <v>673</v>
      </c>
      <c r="AD405" s="270">
        <f t="shared" si="154"/>
        <v>673</v>
      </c>
      <c r="AE405" s="270">
        <f t="shared" si="152"/>
        <v>673</v>
      </c>
      <c r="AF405" s="270">
        <f t="shared" si="154"/>
        <v>673</v>
      </c>
      <c r="AG405" s="270">
        <f t="shared" si="154"/>
        <v>673</v>
      </c>
      <c r="AH405" s="270">
        <f t="shared" si="154"/>
        <v>673</v>
      </c>
      <c r="AI405" s="270">
        <f t="shared" si="154"/>
        <v>673</v>
      </c>
      <c r="AJ405" s="270">
        <f t="shared" si="154"/>
        <v>673</v>
      </c>
      <c r="AK405" s="270">
        <f t="shared" si="154"/>
        <v>673</v>
      </c>
      <c r="AL405" s="270">
        <f t="shared" si="154"/>
        <v>673</v>
      </c>
      <c r="AM405" s="270">
        <f t="shared" si="154"/>
        <v>673</v>
      </c>
    </row>
    <row r="406" spans="2:39" ht="15.75" thickBot="1" x14ac:dyDescent="0.35">
      <c r="B406" s="56" t="str">
        <f>input_names!$C$3</f>
        <v>diesel</v>
      </c>
      <c r="C406" s="61">
        <v>4</v>
      </c>
      <c r="D406" s="270">
        <f t="shared" si="152"/>
        <v>199</v>
      </c>
      <c r="E406" s="270">
        <f t="shared" si="152"/>
        <v>199</v>
      </c>
      <c r="F406" s="270">
        <f t="shared" si="152"/>
        <v>361</v>
      </c>
      <c r="G406" s="270">
        <f t="shared" si="152"/>
        <v>364</v>
      </c>
      <c r="H406" s="270">
        <f t="shared" si="152"/>
        <v>368</v>
      </c>
      <c r="I406" s="270">
        <f t="shared" si="152"/>
        <v>374</v>
      </c>
      <c r="J406" s="270">
        <f t="shared" si="152"/>
        <v>376</v>
      </c>
      <c r="K406" s="270">
        <f t="shared" si="152"/>
        <v>380</v>
      </c>
      <c r="L406" s="270">
        <f t="shared" si="152"/>
        <v>408</v>
      </c>
      <c r="M406" s="270">
        <f t="shared" si="152"/>
        <v>448</v>
      </c>
      <c r="N406" s="270">
        <f t="shared" si="152"/>
        <v>675</v>
      </c>
      <c r="O406" s="270">
        <f t="shared" si="152"/>
        <v>675</v>
      </c>
      <c r="P406" s="270">
        <f t="shared" si="152"/>
        <v>675</v>
      </c>
      <c r="Q406" s="270">
        <f t="shared" si="152"/>
        <v>675</v>
      </c>
      <c r="R406" s="270">
        <f t="shared" si="152"/>
        <v>675</v>
      </c>
      <c r="S406" s="270">
        <f t="shared" si="153"/>
        <v>675</v>
      </c>
      <c r="T406" s="270">
        <f t="shared" si="153"/>
        <v>675</v>
      </c>
      <c r="U406" s="270">
        <f t="shared" si="153"/>
        <v>675</v>
      </c>
      <c r="V406" s="270">
        <f t="shared" si="153"/>
        <v>675</v>
      </c>
      <c r="W406" s="270">
        <f t="shared" si="153"/>
        <v>675</v>
      </c>
      <c r="X406" s="270">
        <f t="shared" si="153"/>
        <v>675</v>
      </c>
      <c r="Y406" s="270">
        <f t="shared" si="153"/>
        <v>675</v>
      </c>
      <c r="Z406" s="270">
        <f t="shared" si="153"/>
        <v>675</v>
      </c>
      <c r="AA406" s="270">
        <f t="shared" si="153"/>
        <v>675</v>
      </c>
      <c r="AB406" s="270">
        <f t="shared" si="153"/>
        <v>675</v>
      </c>
      <c r="AC406" s="270">
        <f t="shared" si="153"/>
        <v>675</v>
      </c>
      <c r="AD406" s="270">
        <f t="shared" si="154"/>
        <v>675</v>
      </c>
      <c r="AE406" s="270">
        <f t="shared" si="152"/>
        <v>675</v>
      </c>
      <c r="AF406" s="270">
        <f t="shared" si="154"/>
        <v>675</v>
      </c>
      <c r="AG406" s="270">
        <f t="shared" si="154"/>
        <v>675</v>
      </c>
      <c r="AH406" s="270">
        <f t="shared" si="154"/>
        <v>675</v>
      </c>
      <c r="AI406" s="270">
        <f t="shared" si="154"/>
        <v>675</v>
      </c>
      <c r="AJ406" s="270">
        <f t="shared" si="154"/>
        <v>675</v>
      </c>
      <c r="AK406" s="270">
        <f t="shared" si="154"/>
        <v>675</v>
      </c>
      <c r="AL406" s="270">
        <f t="shared" si="154"/>
        <v>675</v>
      </c>
      <c r="AM406" s="270">
        <f t="shared" si="154"/>
        <v>675</v>
      </c>
    </row>
    <row r="407" spans="2:39" ht="15.75" thickBot="1" x14ac:dyDescent="0.35">
      <c r="B407" s="56" t="str">
        <f>input_names!$C$3</f>
        <v>diesel</v>
      </c>
      <c r="C407" s="61">
        <v>5</v>
      </c>
      <c r="D407" s="270">
        <f t="shared" si="152"/>
        <v>205</v>
      </c>
      <c r="E407" s="270">
        <f t="shared" si="152"/>
        <v>205</v>
      </c>
      <c r="F407" s="270">
        <f t="shared" si="152"/>
        <v>363</v>
      </c>
      <c r="G407" s="270">
        <f t="shared" si="152"/>
        <v>366</v>
      </c>
      <c r="H407" s="270">
        <f t="shared" si="152"/>
        <v>370</v>
      </c>
      <c r="I407" s="270">
        <f t="shared" si="152"/>
        <v>376</v>
      </c>
      <c r="J407" s="270">
        <f t="shared" si="152"/>
        <v>377</v>
      </c>
      <c r="K407" s="270">
        <f t="shared" si="152"/>
        <v>381</v>
      </c>
      <c r="L407" s="270">
        <f t="shared" si="152"/>
        <v>410</v>
      </c>
      <c r="M407" s="270">
        <f t="shared" si="152"/>
        <v>450</v>
      </c>
      <c r="N407" s="270">
        <f t="shared" si="152"/>
        <v>677</v>
      </c>
      <c r="O407" s="270">
        <f t="shared" si="152"/>
        <v>677</v>
      </c>
      <c r="P407" s="270">
        <f t="shared" si="152"/>
        <v>677</v>
      </c>
      <c r="Q407" s="270">
        <f t="shared" si="152"/>
        <v>677</v>
      </c>
      <c r="R407" s="270">
        <f t="shared" si="152"/>
        <v>677</v>
      </c>
      <c r="S407" s="270">
        <f t="shared" si="153"/>
        <v>677</v>
      </c>
      <c r="T407" s="270">
        <f t="shared" si="153"/>
        <v>677</v>
      </c>
      <c r="U407" s="270">
        <f t="shared" si="153"/>
        <v>677</v>
      </c>
      <c r="V407" s="270">
        <f t="shared" si="153"/>
        <v>677</v>
      </c>
      <c r="W407" s="270">
        <f t="shared" si="153"/>
        <v>677</v>
      </c>
      <c r="X407" s="270">
        <f t="shared" si="153"/>
        <v>677</v>
      </c>
      <c r="Y407" s="270">
        <f t="shared" si="153"/>
        <v>677</v>
      </c>
      <c r="Z407" s="270">
        <f t="shared" si="153"/>
        <v>677</v>
      </c>
      <c r="AA407" s="270">
        <f t="shared" si="153"/>
        <v>677</v>
      </c>
      <c r="AB407" s="270">
        <f t="shared" si="153"/>
        <v>677</v>
      </c>
      <c r="AC407" s="270">
        <f t="shared" si="153"/>
        <v>677</v>
      </c>
      <c r="AD407" s="270">
        <f t="shared" si="154"/>
        <v>677</v>
      </c>
      <c r="AE407" s="270">
        <f t="shared" si="152"/>
        <v>677</v>
      </c>
      <c r="AF407" s="270">
        <f t="shared" si="154"/>
        <v>677</v>
      </c>
      <c r="AG407" s="270">
        <f t="shared" si="154"/>
        <v>677</v>
      </c>
      <c r="AH407" s="270">
        <f t="shared" si="154"/>
        <v>677</v>
      </c>
      <c r="AI407" s="270">
        <f t="shared" si="154"/>
        <v>677</v>
      </c>
      <c r="AJ407" s="270">
        <f t="shared" si="154"/>
        <v>677</v>
      </c>
      <c r="AK407" s="270">
        <f t="shared" si="154"/>
        <v>677</v>
      </c>
      <c r="AL407" s="270">
        <f t="shared" si="154"/>
        <v>677</v>
      </c>
      <c r="AM407" s="270">
        <f t="shared" si="154"/>
        <v>677</v>
      </c>
    </row>
    <row r="408" spans="2:39" ht="15.75" thickBot="1" x14ac:dyDescent="0.35">
      <c r="B408" s="56" t="str">
        <f>input_names!$C$3</f>
        <v>diesel</v>
      </c>
      <c r="C408" s="61">
        <v>6</v>
      </c>
      <c r="D408" s="270">
        <f t="shared" si="152"/>
        <v>211</v>
      </c>
      <c r="E408" s="270">
        <f t="shared" si="152"/>
        <v>211</v>
      </c>
      <c r="F408" s="270">
        <f t="shared" si="152"/>
        <v>365</v>
      </c>
      <c r="G408" s="270">
        <f t="shared" si="152"/>
        <v>368</v>
      </c>
      <c r="H408" s="270">
        <f t="shared" si="152"/>
        <v>372</v>
      </c>
      <c r="I408" s="270">
        <f t="shared" si="152"/>
        <v>378</v>
      </c>
      <c r="J408" s="270">
        <f t="shared" si="152"/>
        <v>378</v>
      </c>
      <c r="K408" s="270">
        <f t="shared" si="152"/>
        <v>382</v>
      </c>
      <c r="L408" s="270">
        <f t="shared" si="152"/>
        <v>412</v>
      </c>
      <c r="M408" s="270">
        <f t="shared" si="152"/>
        <v>452</v>
      </c>
      <c r="N408" s="270">
        <f t="shared" si="152"/>
        <v>679</v>
      </c>
      <c r="O408" s="270">
        <f t="shared" si="152"/>
        <v>679</v>
      </c>
      <c r="P408" s="270">
        <f t="shared" si="152"/>
        <v>679</v>
      </c>
      <c r="Q408" s="270">
        <f t="shared" si="152"/>
        <v>679</v>
      </c>
      <c r="R408" s="270">
        <f t="shared" si="152"/>
        <v>679</v>
      </c>
      <c r="S408" s="270">
        <f t="shared" si="153"/>
        <v>679</v>
      </c>
      <c r="T408" s="270">
        <f t="shared" si="153"/>
        <v>679</v>
      </c>
      <c r="U408" s="270">
        <f t="shared" si="153"/>
        <v>679</v>
      </c>
      <c r="V408" s="270">
        <f t="shared" si="153"/>
        <v>679</v>
      </c>
      <c r="W408" s="270">
        <f t="shared" si="153"/>
        <v>679</v>
      </c>
      <c r="X408" s="270">
        <f t="shared" si="153"/>
        <v>679</v>
      </c>
      <c r="Y408" s="270">
        <f t="shared" si="153"/>
        <v>679</v>
      </c>
      <c r="Z408" s="270">
        <f t="shared" si="153"/>
        <v>679</v>
      </c>
      <c r="AA408" s="270">
        <f t="shared" si="153"/>
        <v>679</v>
      </c>
      <c r="AB408" s="270">
        <f t="shared" si="153"/>
        <v>679</v>
      </c>
      <c r="AC408" s="270">
        <f t="shared" si="153"/>
        <v>679</v>
      </c>
      <c r="AD408" s="270">
        <f t="shared" si="154"/>
        <v>679</v>
      </c>
      <c r="AE408" s="270">
        <f t="shared" si="152"/>
        <v>679</v>
      </c>
      <c r="AF408" s="270">
        <f t="shared" si="154"/>
        <v>679</v>
      </c>
      <c r="AG408" s="270">
        <f t="shared" si="154"/>
        <v>679</v>
      </c>
      <c r="AH408" s="270">
        <f t="shared" si="154"/>
        <v>679</v>
      </c>
      <c r="AI408" s="270">
        <f t="shared" si="154"/>
        <v>679</v>
      </c>
      <c r="AJ408" s="270">
        <f t="shared" si="154"/>
        <v>679</v>
      </c>
      <c r="AK408" s="270">
        <f t="shared" si="154"/>
        <v>679</v>
      </c>
      <c r="AL408" s="270">
        <f t="shared" si="154"/>
        <v>679</v>
      </c>
      <c r="AM408" s="270">
        <f t="shared" si="154"/>
        <v>679</v>
      </c>
    </row>
    <row r="409" spans="2:39" ht="15.75" thickBot="1" x14ac:dyDescent="0.35">
      <c r="B409" s="56" t="str">
        <f>input_names!$C$3</f>
        <v>diesel</v>
      </c>
      <c r="C409" s="61">
        <v>7</v>
      </c>
      <c r="D409" s="270">
        <f t="shared" si="152"/>
        <v>217</v>
      </c>
      <c r="E409" s="270">
        <f t="shared" si="152"/>
        <v>217</v>
      </c>
      <c r="F409" s="270">
        <f t="shared" si="152"/>
        <v>367</v>
      </c>
      <c r="G409" s="270">
        <f t="shared" si="152"/>
        <v>370</v>
      </c>
      <c r="H409" s="270">
        <f t="shared" si="152"/>
        <v>374</v>
      </c>
      <c r="I409" s="270">
        <f t="shared" si="152"/>
        <v>380</v>
      </c>
      <c r="J409" s="270">
        <f t="shared" si="152"/>
        <v>379</v>
      </c>
      <c r="K409" s="270">
        <f t="shared" si="152"/>
        <v>383</v>
      </c>
      <c r="L409" s="270">
        <f t="shared" si="152"/>
        <v>414</v>
      </c>
      <c r="M409" s="270">
        <f t="shared" si="152"/>
        <v>454</v>
      </c>
      <c r="N409" s="270">
        <f t="shared" si="152"/>
        <v>681</v>
      </c>
      <c r="O409" s="270">
        <f t="shared" si="152"/>
        <v>681</v>
      </c>
      <c r="P409" s="270">
        <f t="shared" si="152"/>
        <v>681</v>
      </c>
      <c r="Q409" s="270">
        <f t="shared" si="152"/>
        <v>681</v>
      </c>
      <c r="R409" s="270">
        <f t="shared" si="152"/>
        <v>681</v>
      </c>
      <c r="S409" s="270">
        <f t="shared" si="153"/>
        <v>681</v>
      </c>
      <c r="T409" s="270">
        <f t="shared" si="153"/>
        <v>681</v>
      </c>
      <c r="U409" s="270">
        <f t="shared" si="153"/>
        <v>681</v>
      </c>
      <c r="V409" s="270">
        <f t="shared" si="153"/>
        <v>681</v>
      </c>
      <c r="W409" s="270">
        <f t="shared" si="153"/>
        <v>681</v>
      </c>
      <c r="X409" s="270">
        <f t="shared" si="153"/>
        <v>681</v>
      </c>
      <c r="Y409" s="270">
        <f t="shared" si="153"/>
        <v>681</v>
      </c>
      <c r="Z409" s="270">
        <f t="shared" si="153"/>
        <v>681</v>
      </c>
      <c r="AA409" s="270">
        <f t="shared" si="153"/>
        <v>681</v>
      </c>
      <c r="AB409" s="270">
        <f t="shared" si="153"/>
        <v>681</v>
      </c>
      <c r="AC409" s="270">
        <f t="shared" si="153"/>
        <v>681</v>
      </c>
      <c r="AD409" s="270">
        <f t="shared" si="154"/>
        <v>681</v>
      </c>
      <c r="AE409" s="270">
        <f t="shared" si="152"/>
        <v>681</v>
      </c>
      <c r="AF409" s="270">
        <f t="shared" si="154"/>
        <v>681</v>
      </c>
      <c r="AG409" s="270">
        <f t="shared" si="154"/>
        <v>681</v>
      </c>
      <c r="AH409" s="270">
        <f t="shared" si="154"/>
        <v>681</v>
      </c>
      <c r="AI409" s="270">
        <f t="shared" si="154"/>
        <v>681</v>
      </c>
      <c r="AJ409" s="270">
        <f t="shared" si="154"/>
        <v>681</v>
      </c>
      <c r="AK409" s="270">
        <f t="shared" si="154"/>
        <v>681</v>
      </c>
      <c r="AL409" s="270">
        <f t="shared" si="154"/>
        <v>681</v>
      </c>
      <c r="AM409" s="270">
        <f t="shared" si="154"/>
        <v>681</v>
      </c>
    </row>
    <row r="410" spans="2:39" ht="15.75" thickBot="1" x14ac:dyDescent="0.35">
      <c r="B410" s="56" t="str">
        <f>input_names!$C$3</f>
        <v>diesel</v>
      </c>
      <c r="C410" s="61">
        <v>8</v>
      </c>
      <c r="D410" s="270">
        <f t="shared" si="152"/>
        <v>223</v>
      </c>
      <c r="E410" s="270">
        <f t="shared" si="152"/>
        <v>223</v>
      </c>
      <c r="F410" s="270">
        <f t="shared" si="152"/>
        <v>369</v>
      </c>
      <c r="G410" s="270">
        <f t="shared" si="152"/>
        <v>372</v>
      </c>
      <c r="H410" s="270">
        <f t="shared" si="152"/>
        <v>376</v>
      </c>
      <c r="I410" s="270">
        <f t="shared" si="152"/>
        <v>382</v>
      </c>
      <c r="J410" s="270">
        <f t="shared" si="152"/>
        <v>380</v>
      </c>
      <c r="K410" s="270">
        <f t="shared" si="152"/>
        <v>384</v>
      </c>
      <c r="L410" s="270">
        <f t="shared" si="152"/>
        <v>416</v>
      </c>
      <c r="M410" s="270">
        <f t="shared" si="152"/>
        <v>456</v>
      </c>
      <c r="N410" s="270">
        <f t="shared" si="152"/>
        <v>683</v>
      </c>
      <c r="O410" s="270">
        <f t="shared" si="152"/>
        <v>683</v>
      </c>
      <c r="P410" s="270">
        <f t="shared" si="152"/>
        <v>683</v>
      </c>
      <c r="Q410" s="270">
        <f t="shared" si="152"/>
        <v>683</v>
      </c>
      <c r="R410" s="270">
        <f t="shared" si="152"/>
        <v>683</v>
      </c>
      <c r="S410" s="270">
        <f t="shared" si="153"/>
        <v>683</v>
      </c>
      <c r="T410" s="270">
        <f t="shared" si="153"/>
        <v>683</v>
      </c>
      <c r="U410" s="270">
        <f t="shared" si="153"/>
        <v>683</v>
      </c>
      <c r="V410" s="270">
        <f t="shared" si="153"/>
        <v>683</v>
      </c>
      <c r="W410" s="270">
        <f t="shared" si="153"/>
        <v>683</v>
      </c>
      <c r="X410" s="270">
        <f t="shared" si="153"/>
        <v>683</v>
      </c>
      <c r="Y410" s="270">
        <f t="shared" si="153"/>
        <v>683</v>
      </c>
      <c r="Z410" s="270">
        <f t="shared" si="153"/>
        <v>683</v>
      </c>
      <c r="AA410" s="270">
        <f t="shared" si="153"/>
        <v>683</v>
      </c>
      <c r="AB410" s="270">
        <f t="shared" si="153"/>
        <v>683</v>
      </c>
      <c r="AC410" s="270">
        <f t="shared" si="153"/>
        <v>683</v>
      </c>
      <c r="AD410" s="270">
        <f t="shared" si="154"/>
        <v>683</v>
      </c>
      <c r="AE410" s="270">
        <f t="shared" si="152"/>
        <v>683</v>
      </c>
      <c r="AF410" s="270">
        <f t="shared" si="154"/>
        <v>683</v>
      </c>
      <c r="AG410" s="270">
        <f t="shared" si="154"/>
        <v>683</v>
      </c>
      <c r="AH410" s="270">
        <f t="shared" si="154"/>
        <v>683</v>
      </c>
      <c r="AI410" s="270">
        <f t="shared" si="154"/>
        <v>683</v>
      </c>
      <c r="AJ410" s="270">
        <f t="shared" si="154"/>
        <v>683</v>
      </c>
      <c r="AK410" s="270">
        <f t="shared" si="154"/>
        <v>683</v>
      </c>
      <c r="AL410" s="270">
        <f t="shared" si="154"/>
        <v>683</v>
      </c>
      <c r="AM410" s="270">
        <f t="shared" si="154"/>
        <v>683</v>
      </c>
    </row>
    <row r="411" spans="2:39" ht="15.75" thickBot="1" x14ac:dyDescent="0.35">
      <c r="B411" s="56" t="str">
        <f>input_names!$C$3</f>
        <v>diesel</v>
      </c>
      <c r="C411" s="61">
        <v>9</v>
      </c>
      <c r="D411" s="270">
        <f t="shared" si="152"/>
        <v>229</v>
      </c>
      <c r="E411" s="270">
        <f t="shared" si="152"/>
        <v>229</v>
      </c>
      <c r="F411" s="270">
        <f t="shared" si="152"/>
        <v>371</v>
      </c>
      <c r="G411" s="270">
        <f t="shared" si="152"/>
        <v>374</v>
      </c>
      <c r="H411" s="270">
        <f t="shared" si="152"/>
        <v>378</v>
      </c>
      <c r="I411" s="270">
        <f t="shared" si="152"/>
        <v>384</v>
      </c>
      <c r="J411" s="270">
        <f t="shared" si="152"/>
        <v>381</v>
      </c>
      <c r="K411" s="270">
        <f t="shared" si="152"/>
        <v>385</v>
      </c>
      <c r="L411" s="270">
        <f t="shared" si="152"/>
        <v>418</v>
      </c>
      <c r="M411" s="270">
        <f t="shared" si="152"/>
        <v>458</v>
      </c>
      <c r="N411" s="270">
        <f t="shared" si="152"/>
        <v>685</v>
      </c>
      <c r="O411" s="270">
        <f t="shared" si="152"/>
        <v>685</v>
      </c>
      <c r="P411" s="270">
        <f t="shared" si="152"/>
        <v>685</v>
      </c>
      <c r="Q411" s="270">
        <f t="shared" si="152"/>
        <v>685</v>
      </c>
      <c r="R411" s="270">
        <f t="shared" si="152"/>
        <v>685</v>
      </c>
      <c r="S411" s="270">
        <f t="shared" si="153"/>
        <v>685</v>
      </c>
      <c r="T411" s="270">
        <f t="shared" si="153"/>
        <v>685</v>
      </c>
      <c r="U411" s="270">
        <f t="shared" si="153"/>
        <v>685</v>
      </c>
      <c r="V411" s="270">
        <f t="shared" si="153"/>
        <v>685</v>
      </c>
      <c r="W411" s="270">
        <f t="shared" si="153"/>
        <v>685</v>
      </c>
      <c r="X411" s="270">
        <f t="shared" si="153"/>
        <v>685</v>
      </c>
      <c r="Y411" s="270">
        <f t="shared" si="153"/>
        <v>685</v>
      </c>
      <c r="Z411" s="270">
        <f t="shared" si="153"/>
        <v>685</v>
      </c>
      <c r="AA411" s="270">
        <f t="shared" si="153"/>
        <v>685</v>
      </c>
      <c r="AB411" s="270">
        <f t="shared" si="153"/>
        <v>685</v>
      </c>
      <c r="AC411" s="270">
        <f t="shared" si="153"/>
        <v>685</v>
      </c>
      <c r="AD411" s="270">
        <f t="shared" si="154"/>
        <v>685</v>
      </c>
      <c r="AE411" s="270">
        <f t="shared" si="152"/>
        <v>685</v>
      </c>
      <c r="AF411" s="270">
        <f t="shared" si="154"/>
        <v>685</v>
      </c>
      <c r="AG411" s="270">
        <f t="shared" si="154"/>
        <v>685</v>
      </c>
      <c r="AH411" s="270">
        <f t="shared" si="154"/>
        <v>685</v>
      </c>
      <c r="AI411" s="270">
        <f t="shared" si="154"/>
        <v>685</v>
      </c>
      <c r="AJ411" s="270">
        <f t="shared" si="154"/>
        <v>685</v>
      </c>
      <c r="AK411" s="270">
        <f t="shared" si="154"/>
        <v>685</v>
      </c>
      <c r="AL411" s="270">
        <f t="shared" si="154"/>
        <v>685</v>
      </c>
      <c r="AM411" s="270">
        <f t="shared" si="154"/>
        <v>685</v>
      </c>
    </row>
    <row r="412" spans="2:39" ht="15.75" thickBot="1" x14ac:dyDescent="0.35">
      <c r="B412" s="56" t="str">
        <f>input_names!$C$3</f>
        <v>diesel</v>
      </c>
      <c r="C412" s="61">
        <v>10</v>
      </c>
      <c r="D412" s="270">
        <f t="shared" si="152"/>
        <v>235</v>
      </c>
      <c r="E412" s="270">
        <f t="shared" si="152"/>
        <v>235</v>
      </c>
      <c r="F412" s="270">
        <f t="shared" si="152"/>
        <v>373</v>
      </c>
      <c r="G412" s="270">
        <f t="shared" si="152"/>
        <v>376</v>
      </c>
      <c r="H412" s="270">
        <f t="shared" si="152"/>
        <v>380</v>
      </c>
      <c r="I412" s="270">
        <f t="shared" si="152"/>
        <v>386</v>
      </c>
      <c r="J412" s="270">
        <f t="shared" si="152"/>
        <v>382</v>
      </c>
      <c r="K412" s="270">
        <f t="shared" si="152"/>
        <v>386</v>
      </c>
      <c r="L412" s="270">
        <f t="shared" si="152"/>
        <v>420</v>
      </c>
      <c r="M412" s="270">
        <f t="shared" si="152"/>
        <v>460</v>
      </c>
      <c r="N412" s="270">
        <f t="shared" si="152"/>
        <v>687</v>
      </c>
      <c r="O412" s="270">
        <f t="shared" si="152"/>
        <v>687</v>
      </c>
      <c r="P412" s="270">
        <f t="shared" si="152"/>
        <v>687</v>
      </c>
      <c r="Q412" s="270">
        <f t="shared" si="152"/>
        <v>687</v>
      </c>
      <c r="R412" s="270">
        <f t="shared" si="152"/>
        <v>687</v>
      </c>
      <c r="S412" s="270">
        <f t="shared" si="153"/>
        <v>687</v>
      </c>
      <c r="T412" s="270">
        <f t="shared" si="153"/>
        <v>687</v>
      </c>
      <c r="U412" s="270">
        <f t="shared" si="153"/>
        <v>687</v>
      </c>
      <c r="V412" s="270">
        <f t="shared" si="153"/>
        <v>687</v>
      </c>
      <c r="W412" s="270">
        <f t="shared" si="153"/>
        <v>687</v>
      </c>
      <c r="X412" s="270">
        <f t="shared" si="153"/>
        <v>687</v>
      </c>
      <c r="Y412" s="270">
        <f t="shared" si="153"/>
        <v>687</v>
      </c>
      <c r="Z412" s="270">
        <f t="shared" si="153"/>
        <v>687</v>
      </c>
      <c r="AA412" s="270">
        <f t="shared" si="153"/>
        <v>687</v>
      </c>
      <c r="AB412" s="270">
        <f t="shared" si="153"/>
        <v>687</v>
      </c>
      <c r="AC412" s="270">
        <f t="shared" si="153"/>
        <v>687</v>
      </c>
      <c r="AD412" s="270">
        <f t="shared" si="154"/>
        <v>687</v>
      </c>
      <c r="AE412" s="270">
        <f t="shared" si="152"/>
        <v>687</v>
      </c>
      <c r="AF412" s="270">
        <f t="shared" si="154"/>
        <v>687</v>
      </c>
      <c r="AG412" s="270">
        <f t="shared" si="154"/>
        <v>687</v>
      </c>
      <c r="AH412" s="270">
        <f t="shared" si="154"/>
        <v>687</v>
      </c>
      <c r="AI412" s="270">
        <f t="shared" si="154"/>
        <v>687</v>
      </c>
      <c r="AJ412" s="270">
        <f t="shared" si="154"/>
        <v>687</v>
      </c>
      <c r="AK412" s="270">
        <f t="shared" si="154"/>
        <v>687</v>
      </c>
      <c r="AL412" s="270">
        <f t="shared" si="154"/>
        <v>687</v>
      </c>
      <c r="AM412" s="270">
        <f t="shared" si="154"/>
        <v>687</v>
      </c>
    </row>
    <row r="413" spans="2:39" ht="15.75" thickBot="1" x14ac:dyDescent="0.35">
      <c r="B413" s="56" t="str">
        <f>input_names!$C$3</f>
        <v>diesel</v>
      </c>
      <c r="C413" s="61">
        <v>11</v>
      </c>
      <c r="D413" s="270">
        <f t="shared" si="152"/>
        <v>241</v>
      </c>
      <c r="E413" s="270">
        <f t="shared" si="152"/>
        <v>241</v>
      </c>
      <c r="F413" s="270">
        <f t="shared" si="152"/>
        <v>375</v>
      </c>
      <c r="G413" s="270">
        <f t="shared" si="152"/>
        <v>378</v>
      </c>
      <c r="H413" s="270">
        <f t="shared" si="152"/>
        <v>382</v>
      </c>
      <c r="I413" s="270">
        <f t="shared" si="152"/>
        <v>388</v>
      </c>
      <c r="J413" s="270">
        <f t="shared" si="152"/>
        <v>383</v>
      </c>
      <c r="K413" s="270">
        <f t="shared" si="152"/>
        <v>387</v>
      </c>
      <c r="L413" s="270">
        <f t="shared" si="152"/>
        <v>422</v>
      </c>
      <c r="M413" s="270">
        <f t="shared" si="152"/>
        <v>462</v>
      </c>
      <c r="N413" s="270">
        <f t="shared" si="152"/>
        <v>689</v>
      </c>
      <c r="O413" s="270">
        <f t="shared" si="152"/>
        <v>689</v>
      </c>
      <c r="P413" s="270">
        <f t="shared" si="152"/>
        <v>689</v>
      </c>
      <c r="Q413" s="270">
        <f t="shared" si="152"/>
        <v>689</v>
      </c>
      <c r="R413" s="270">
        <f t="shared" si="152"/>
        <v>689</v>
      </c>
      <c r="S413" s="270">
        <f t="shared" si="153"/>
        <v>689</v>
      </c>
      <c r="T413" s="270">
        <f t="shared" si="153"/>
        <v>689</v>
      </c>
      <c r="U413" s="270">
        <f t="shared" si="153"/>
        <v>689</v>
      </c>
      <c r="V413" s="270">
        <f t="shared" si="153"/>
        <v>689</v>
      </c>
      <c r="W413" s="270">
        <f t="shared" si="153"/>
        <v>689</v>
      </c>
      <c r="X413" s="270">
        <f t="shared" si="153"/>
        <v>689</v>
      </c>
      <c r="Y413" s="270">
        <f t="shared" si="153"/>
        <v>689</v>
      </c>
      <c r="Z413" s="270">
        <f t="shared" si="153"/>
        <v>689</v>
      </c>
      <c r="AA413" s="270">
        <f t="shared" si="153"/>
        <v>689</v>
      </c>
      <c r="AB413" s="270">
        <f t="shared" si="153"/>
        <v>689</v>
      </c>
      <c r="AC413" s="270">
        <f t="shared" si="153"/>
        <v>689</v>
      </c>
      <c r="AD413" s="270">
        <f t="shared" si="154"/>
        <v>689</v>
      </c>
      <c r="AE413" s="270">
        <f t="shared" si="152"/>
        <v>689</v>
      </c>
      <c r="AF413" s="270">
        <f t="shared" si="154"/>
        <v>689</v>
      </c>
      <c r="AG413" s="270">
        <f t="shared" si="154"/>
        <v>689</v>
      </c>
      <c r="AH413" s="270">
        <f t="shared" si="154"/>
        <v>689</v>
      </c>
      <c r="AI413" s="270">
        <f t="shared" si="154"/>
        <v>689</v>
      </c>
      <c r="AJ413" s="270">
        <f t="shared" si="154"/>
        <v>689</v>
      </c>
      <c r="AK413" s="270">
        <f t="shared" si="154"/>
        <v>689</v>
      </c>
      <c r="AL413" s="270">
        <f t="shared" si="154"/>
        <v>689</v>
      </c>
      <c r="AM413" s="270">
        <f t="shared" si="154"/>
        <v>689</v>
      </c>
    </row>
    <row r="414" spans="2:39" ht="15.75" thickBot="1" x14ac:dyDescent="0.35">
      <c r="B414" s="56" t="str">
        <f>input_names!$C$3</f>
        <v>diesel</v>
      </c>
      <c r="C414" s="61">
        <v>12</v>
      </c>
      <c r="D414" s="270">
        <f t="shared" si="152"/>
        <v>247</v>
      </c>
      <c r="E414" s="270">
        <f t="shared" si="152"/>
        <v>247</v>
      </c>
      <c r="F414" s="270">
        <f t="shared" si="152"/>
        <v>377</v>
      </c>
      <c r="G414" s="270">
        <f t="shared" si="152"/>
        <v>380</v>
      </c>
      <c r="H414" s="270">
        <f t="shared" si="152"/>
        <v>384</v>
      </c>
      <c r="I414" s="270">
        <f t="shared" si="152"/>
        <v>390</v>
      </c>
      <c r="J414" s="270">
        <f t="shared" si="152"/>
        <v>384</v>
      </c>
      <c r="K414" s="270">
        <f t="shared" si="152"/>
        <v>388</v>
      </c>
      <c r="L414" s="270">
        <f t="shared" si="152"/>
        <v>424</v>
      </c>
      <c r="M414" s="270">
        <f t="shared" si="152"/>
        <v>464</v>
      </c>
      <c r="N414" s="270">
        <f t="shared" si="152"/>
        <v>691</v>
      </c>
      <c r="O414" s="270">
        <f t="shared" si="152"/>
        <v>691</v>
      </c>
      <c r="P414" s="270">
        <f t="shared" si="152"/>
        <v>691</v>
      </c>
      <c r="Q414" s="270">
        <f t="shared" si="152"/>
        <v>691</v>
      </c>
      <c r="R414" s="270">
        <f t="shared" si="152"/>
        <v>691</v>
      </c>
      <c r="S414" s="270">
        <f t="shared" si="153"/>
        <v>691</v>
      </c>
      <c r="T414" s="270">
        <f t="shared" si="153"/>
        <v>691</v>
      </c>
      <c r="U414" s="270">
        <f t="shared" si="153"/>
        <v>691</v>
      </c>
      <c r="V414" s="270">
        <f t="shared" si="153"/>
        <v>691</v>
      </c>
      <c r="W414" s="270">
        <f t="shared" si="153"/>
        <v>691</v>
      </c>
      <c r="X414" s="270">
        <f t="shared" si="153"/>
        <v>691</v>
      </c>
      <c r="Y414" s="270">
        <f t="shared" si="153"/>
        <v>691</v>
      </c>
      <c r="Z414" s="270">
        <f t="shared" si="153"/>
        <v>691</v>
      </c>
      <c r="AA414" s="270">
        <f t="shared" si="153"/>
        <v>691</v>
      </c>
      <c r="AB414" s="270">
        <f t="shared" si="153"/>
        <v>691</v>
      </c>
      <c r="AC414" s="270">
        <f t="shared" si="153"/>
        <v>691</v>
      </c>
      <c r="AD414" s="270">
        <f t="shared" si="154"/>
        <v>691</v>
      </c>
      <c r="AE414" s="270">
        <f t="shared" si="152"/>
        <v>691</v>
      </c>
      <c r="AF414" s="270">
        <f t="shared" si="154"/>
        <v>691</v>
      </c>
      <c r="AG414" s="270">
        <f t="shared" si="154"/>
        <v>691</v>
      </c>
      <c r="AH414" s="270">
        <f t="shared" si="154"/>
        <v>691</v>
      </c>
      <c r="AI414" s="270">
        <f t="shared" si="154"/>
        <v>691</v>
      </c>
      <c r="AJ414" s="270">
        <f t="shared" si="154"/>
        <v>691</v>
      </c>
      <c r="AK414" s="270">
        <f t="shared" si="154"/>
        <v>691</v>
      </c>
      <c r="AL414" s="270">
        <f t="shared" si="154"/>
        <v>691</v>
      </c>
      <c r="AM414" s="270">
        <f t="shared" si="154"/>
        <v>691</v>
      </c>
    </row>
    <row r="415" spans="2:39" ht="15.75" thickBot="1" x14ac:dyDescent="0.35">
      <c r="B415" s="56" t="str">
        <f>input_names!$C$3</f>
        <v>diesel</v>
      </c>
      <c r="C415" s="61">
        <v>13</v>
      </c>
      <c r="D415" s="270">
        <f t="shared" si="152"/>
        <v>253</v>
      </c>
      <c r="E415" s="270">
        <f t="shared" si="152"/>
        <v>253</v>
      </c>
      <c r="F415" s="270">
        <f t="shared" si="152"/>
        <v>379</v>
      </c>
      <c r="G415" s="270">
        <f t="shared" si="152"/>
        <v>382</v>
      </c>
      <c r="H415" s="270">
        <f t="shared" si="152"/>
        <v>386</v>
      </c>
      <c r="I415" s="270">
        <f t="shared" si="152"/>
        <v>392</v>
      </c>
      <c r="J415" s="270">
        <f t="shared" si="152"/>
        <v>385</v>
      </c>
      <c r="K415" s="270">
        <f t="shared" si="152"/>
        <v>389</v>
      </c>
      <c r="L415" s="270">
        <f t="shared" si="152"/>
        <v>426</v>
      </c>
      <c r="M415" s="270">
        <f t="shared" si="152"/>
        <v>466</v>
      </c>
      <c r="N415" s="270">
        <f t="shared" si="152"/>
        <v>693</v>
      </c>
      <c r="O415" s="270">
        <f t="shared" si="152"/>
        <v>693</v>
      </c>
      <c r="P415" s="270">
        <f t="shared" si="152"/>
        <v>693</v>
      </c>
      <c r="Q415" s="270">
        <f t="shared" si="152"/>
        <v>693</v>
      </c>
      <c r="R415" s="270">
        <f t="shared" si="152"/>
        <v>693</v>
      </c>
      <c r="S415" s="270">
        <f t="shared" si="153"/>
        <v>693</v>
      </c>
      <c r="T415" s="270">
        <f t="shared" si="153"/>
        <v>693</v>
      </c>
      <c r="U415" s="270">
        <f t="shared" si="153"/>
        <v>693</v>
      </c>
      <c r="V415" s="270">
        <f t="shared" si="153"/>
        <v>693</v>
      </c>
      <c r="W415" s="270">
        <f t="shared" si="153"/>
        <v>693</v>
      </c>
      <c r="X415" s="270">
        <f t="shared" si="153"/>
        <v>693</v>
      </c>
      <c r="Y415" s="270">
        <f t="shared" si="153"/>
        <v>693</v>
      </c>
      <c r="Z415" s="270">
        <f t="shared" si="153"/>
        <v>693</v>
      </c>
      <c r="AA415" s="270">
        <f t="shared" si="153"/>
        <v>693</v>
      </c>
      <c r="AB415" s="270">
        <f t="shared" si="153"/>
        <v>693</v>
      </c>
      <c r="AC415" s="270">
        <f t="shared" si="153"/>
        <v>693</v>
      </c>
      <c r="AD415" s="270">
        <f t="shared" si="154"/>
        <v>693</v>
      </c>
      <c r="AE415" s="270">
        <f t="shared" si="152"/>
        <v>693</v>
      </c>
      <c r="AF415" s="270">
        <f t="shared" si="154"/>
        <v>693</v>
      </c>
      <c r="AG415" s="270">
        <f t="shared" si="154"/>
        <v>693</v>
      </c>
      <c r="AH415" s="270">
        <f t="shared" si="154"/>
        <v>693</v>
      </c>
      <c r="AI415" s="270">
        <f t="shared" si="154"/>
        <v>693</v>
      </c>
      <c r="AJ415" s="270">
        <f t="shared" si="154"/>
        <v>693</v>
      </c>
      <c r="AK415" s="270">
        <f t="shared" si="154"/>
        <v>693</v>
      </c>
      <c r="AL415" s="270">
        <f t="shared" si="154"/>
        <v>693</v>
      </c>
      <c r="AM415" s="270">
        <f t="shared" si="154"/>
        <v>693</v>
      </c>
    </row>
    <row r="416" spans="2:39" ht="15.75" thickBot="1" x14ac:dyDescent="0.35">
      <c r="B416" s="56" t="str">
        <f>input_names!$C$3</f>
        <v>diesel</v>
      </c>
      <c r="C416" s="61">
        <v>14</v>
      </c>
      <c r="D416" s="270">
        <f t="shared" si="152"/>
        <v>259</v>
      </c>
      <c r="E416" s="270">
        <f t="shared" si="152"/>
        <v>259</v>
      </c>
      <c r="F416" s="270">
        <f t="shared" si="152"/>
        <v>381</v>
      </c>
      <c r="G416" s="270">
        <f t="shared" si="152"/>
        <v>384</v>
      </c>
      <c r="H416" s="270">
        <f t="shared" si="152"/>
        <v>388</v>
      </c>
      <c r="I416" s="270">
        <f t="shared" si="152"/>
        <v>394</v>
      </c>
      <c r="J416" s="270">
        <f t="shared" si="152"/>
        <v>386</v>
      </c>
      <c r="K416" s="270">
        <f t="shared" si="152"/>
        <v>390</v>
      </c>
      <c r="L416" s="270">
        <f t="shared" si="152"/>
        <v>428</v>
      </c>
      <c r="M416" s="270">
        <f t="shared" si="152"/>
        <v>468</v>
      </c>
      <c r="N416" s="270">
        <f t="shared" si="152"/>
        <v>695</v>
      </c>
      <c r="O416" s="270">
        <f t="shared" si="152"/>
        <v>695</v>
      </c>
      <c r="P416" s="270">
        <f t="shared" si="152"/>
        <v>695</v>
      </c>
      <c r="Q416" s="270">
        <f t="shared" si="152"/>
        <v>695</v>
      </c>
      <c r="R416" s="270">
        <f t="shared" si="152"/>
        <v>695</v>
      </c>
      <c r="S416" s="270">
        <f t="shared" si="153"/>
        <v>695</v>
      </c>
      <c r="T416" s="270">
        <f t="shared" si="153"/>
        <v>695</v>
      </c>
      <c r="U416" s="270">
        <f t="shared" si="153"/>
        <v>695</v>
      </c>
      <c r="V416" s="270">
        <f t="shared" si="153"/>
        <v>695</v>
      </c>
      <c r="W416" s="270">
        <f t="shared" si="153"/>
        <v>695</v>
      </c>
      <c r="X416" s="270">
        <f t="shared" si="153"/>
        <v>695</v>
      </c>
      <c r="Y416" s="270">
        <f t="shared" si="153"/>
        <v>695</v>
      </c>
      <c r="Z416" s="270">
        <f t="shared" si="153"/>
        <v>695</v>
      </c>
      <c r="AA416" s="270">
        <f t="shared" si="153"/>
        <v>695</v>
      </c>
      <c r="AB416" s="270">
        <f t="shared" si="153"/>
        <v>695</v>
      </c>
      <c r="AC416" s="270">
        <f t="shared" si="153"/>
        <v>695</v>
      </c>
      <c r="AD416" s="270">
        <f t="shared" si="154"/>
        <v>695</v>
      </c>
      <c r="AE416" s="270">
        <f t="shared" si="152"/>
        <v>695</v>
      </c>
      <c r="AF416" s="270">
        <f t="shared" si="154"/>
        <v>695</v>
      </c>
      <c r="AG416" s="270">
        <f t="shared" si="154"/>
        <v>695</v>
      </c>
      <c r="AH416" s="270">
        <f t="shared" si="154"/>
        <v>695</v>
      </c>
      <c r="AI416" s="270">
        <f t="shared" si="154"/>
        <v>695</v>
      </c>
      <c r="AJ416" s="270">
        <f t="shared" si="154"/>
        <v>695</v>
      </c>
      <c r="AK416" s="270">
        <f t="shared" si="154"/>
        <v>695</v>
      </c>
      <c r="AL416" s="270">
        <f t="shared" si="154"/>
        <v>695</v>
      </c>
      <c r="AM416" s="270">
        <f t="shared" si="154"/>
        <v>695</v>
      </c>
    </row>
    <row r="417" spans="2:39" ht="15.75" thickBot="1" x14ac:dyDescent="0.35">
      <c r="B417" s="56" t="str">
        <f>input_names!$C$3</f>
        <v>diesel</v>
      </c>
      <c r="C417" s="61">
        <v>15</v>
      </c>
      <c r="D417" s="270">
        <f t="shared" si="152"/>
        <v>265</v>
      </c>
      <c r="E417" s="270">
        <f t="shared" si="152"/>
        <v>265</v>
      </c>
      <c r="F417" s="270">
        <f t="shared" si="152"/>
        <v>383</v>
      </c>
      <c r="G417" s="270">
        <f t="shared" si="152"/>
        <v>386</v>
      </c>
      <c r="H417" s="270">
        <f t="shared" si="152"/>
        <v>390</v>
      </c>
      <c r="I417" s="270">
        <f t="shared" si="152"/>
        <v>396</v>
      </c>
      <c r="J417" s="270">
        <f t="shared" si="152"/>
        <v>387</v>
      </c>
      <c r="K417" s="270">
        <f t="shared" si="152"/>
        <v>391</v>
      </c>
      <c r="L417" s="270">
        <f t="shared" si="152"/>
        <v>430</v>
      </c>
      <c r="M417" s="270">
        <f t="shared" si="152"/>
        <v>470</v>
      </c>
      <c r="N417" s="270">
        <f t="shared" si="152"/>
        <v>697</v>
      </c>
      <c r="O417" s="270">
        <f t="shared" si="152"/>
        <v>697</v>
      </c>
      <c r="P417" s="270">
        <f t="shared" si="152"/>
        <v>697</v>
      </c>
      <c r="Q417" s="270">
        <f t="shared" si="152"/>
        <v>697</v>
      </c>
      <c r="R417" s="270">
        <f>+MIN(MAX(0,$C417-R$11),R$12-R$11)*R$17
+MIN(MAX(0,$C417-R$12),R$13-R$12)*R$18
+MIN(MAX(0,$C417-R$13),R$14-R$13)*R$19
+MIN(MAX(0,$C417-R$14),R$15-R$14)*R$20
+MAX(0,$C417-R$15)*R$21
+R$24*MAX(0,$C417-R$23)
+R$26</f>
        <v>697</v>
      </c>
      <c r="S417" s="270">
        <f t="shared" si="153"/>
        <v>697</v>
      </c>
      <c r="T417" s="270">
        <f t="shared" si="153"/>
        <v>697</v>
      </c>
      <c r="U417" s="270">
        <f t="shared" si="153"/>
        <v>697</v>
      </c>
      <c r="V417" s="270">
        <f t="shared" si="153"/>
        <v>697</v>
      </c>
      <c r="W417" s="270">
        <f t="shared" si="153"/>
        <v>697</v>
      </c>
      <c r="X417" s="270">
        <f t="shared" si="153"/>
        <v>697</v>
      </c>
      <c r="Y417" s="270">
        <f t="shared" si="153"/>
        <v>697</v>
      </c>
      <c r="Z417" s="270">
        <f t="shared" si="153"/>
        <v>697</v>
      </c>
      <c r="AA417" s="270">
        <f t="shared" si="153"/>
        <v>697</v>
      </c>
      <c r="AB417" s="270">
        <f t="shared" si="153"/>
        <v>697</v>
      </c>
      <c r="AC417" s="270">
        <f t="shared" si="153"/>
        <v>697</v>
      </c>
      <c r="AD417" s="270">
        <f t="shared" si="154"/>
        <v>697</v>
      </c>
      <c r="AE417" s="270">
        <f t="shared" si="154"/>
        <v>697</v>
      </c>
      <c r="AF417" s="270">
        <f t="shared" si="154"/>
        <v>697</v>
      </c>
      <c r="AG417" s="270">
        <f t="shared" si="154"/>
        <v>697</v>
      </c>
      <c r="AH417" s="270">
        <f t="shared" si="154"/>
        <v>697</v>
      </c>
      <c r="AI417" s="270">
        <f t="shared" si="154"/>
        <v>697</v>
      </c>
      <c r="AJ417" s="270">
        <f t="shared" si="154"/>
        <v>697</v>
      </c>
      <c r="AK417" s="270">
        <f t="shared" si="154"/>
        <v>697</v>
      </c>
      <c r="AL417" s="270">
        <f t="shared" si="154"/>
        <v>697</v>
      </c>
      <c r="AM417" s="270">
        <f t="shared" si="154"/>
        <v>697</v>
      </c>
    </row>
    <row r="418" spans="2:39" ht="15.75" thickBot="1" x14ac:dyDescent="0.35">
      <c r="B418" s="56" t="str">
        <f>input_names!$C$3</f>
        <v>diesel</v>
      </c>
      <c r="C418" s="61">
        <v>16</v>
      </c>
      <c r="D418" s="270">
        <f t="shared" ref="D418:AD433" si="155">+MIN(MAX(0,$C418-D$11),D$12-D$11)*D$17
+MIN(MAX(0,$C418-D$12),D$13-D$12)*D$18
+MIN(MAX(0,$C418-D$13),D$14-D$13)*D$19
+MIN(MAX(0,$C418-D$14),D$15-D$14)*D$20
+MAX(0,$C418-D$15)*D$21
+D$24*MAX(0,$C418-D$23)
+D$26</f>
        <v>271</v>
      </c>
      <c r="E418" s="270">
        <f t="shared" si="155"/>
        <v>271</v>
      </c>
      <c r="F418" s="270">
        <f t="shared" si="155"/>
        <v>385</v>
      </c>
      <c r="G418" s="270">
        <f t="shared" si="155"/>
        <v>388</v>
      </c>
      <c r="H418" s="270">
        <f t="shared" si="155"/>
        <v>392</v>
      </c>
      <c r="I418" s="270">
        <f t="shared" si="155"/>
        <v>398</v>
      </c>
      <c r="J418" s="270">
        <f t="shared" si="155"/>
        <v>388</v>
      </c>
      <c r="K418" s="270">
        <f t="shared" si="155"/>
        <v>392</v>
      </c>
      <c r="L418" s="270">
        <f t="shared" si="155"/>
        <v>432</v>
      </c>
      <c r="M418" s="270">
        <f t="shared" si="155"/>
        <v>472</v>
      </c>
      <c r="N418" s="270">
        <f t="shared" si="155"/>
        <v>699</v>
      </c>
      <c r="O418" s="270">
        <f t="shared" si="155"/>
        <v>699</v>
      </c>
      <c r="P418" s="270">
        <f t="shared" si="155"/>
        <v>699</v>
      </c>
      <c r="Q418" s="270">
        <f t="shared" si="155"/>
        <v>699</v>
      </c>
      <c r="R418" s="270">
        <f t="shared" si="155"/>
        <v>699</v>
      </c>
      <c r="S418" s="270">
        <f t="shared" ref="S418:AC441" si="156">+MIN(MAX(0,$C418-S$11),S$12-S$11)*S$17
+MIN(MAX(0,$C418-S$12),S$13-S$12)*S$18
+MIN(MAX(0,$C418-S$13),S$14-S$13)*S$19
+MIN(MAX(0,$C418-S$14),S$15-S$14)*S$20
+MAX(0,$C418-S$15)*S$21
+S$24*MAX(0,$C418-S$23)
+S$26</f>
        <v>699</v>
      </c>
      <c r="T418" s="270">
        <f t="shared" si="156"/>
        <v>699</v>
      </c>
      <c r="U418" s="270">
        <f t="shared" si="156"/>
        <v>699</v>
      </c>
      <c r="V418" s="270">
        <f t="shared" si="156"/>
        <v>699</v>
      </c>
      <c r="W418" s="270">
        <f t="shared" si="156"/>
        <v>699</v>
      </c>
      <c r="X418" s="270">
        <f t="shared" si="156"/>
        <v>699</v>
      </c>
      <c r="Y418" s="270">
        <f t="shared" si="156"/>
        <v>699</v>
      </c>
      <c r="Z418" s="270">
        <f t="shared" si="156"/>
        <v>699</v>
      </c>
      <c r="AA418" s="270">
        <f t="shared" si="156"/>
        <v>699</v>
      </c>
      <c r="AB418" s="270">
        <f t="shared" si="156"/>
        <v>699</v>
      </c>
      <c r="AC418" s="270">
        <f t="shared" si="156"/>
        <v>699</v>
      </c>
      <c r="AD418" s="270">
        <f t="shared" si="154"/>
        <v>699</v>
      </c>
      <c r="AE418" s="270">
        <f t="shared" si="154"/>
        <v>699</v>
      </c>
      <c r="AF418" s="270">
        <f t="shared" si="154"/>
        <v>699</v>
      </c>
      <c r="AG418" s="270">
        <f t="shared" si="154"/>
        <v>699</v>
      </c>
      <c r="AH418" s="270">
        <f t="shared" si="154"/>
        <v>699</v>
      </c>
      <c r="AI418" s="270">
        <f t="shared" si="154"/>
        <v>699</v>
      </c>
      <c r="AJ418" s="270">
        <f t="shared" si="154"/>
        <v>699</v>
      </c>
      <c r="AK418" s="270">
        <f t="shared" si="154"/>
        <v>699</v>
      </c>
      <c r="AL418" s="270">
        <f t="shared" si="154"/>
        <v>699</v>
      </c>
      <c r="AM418" s="270">
        <f t="shared" si="154"/>
        <v>699</v>
      </c>
    </row>
    <row r="419" spans="2:39" ht="15.75" thickBot="1" x14ac:dyDescent="0.35">
      <c r="B419" s="56" t="str">
        <f>input_names!$C$3</f>
        <v>diesel</v>
      </c>
      <c r="C419" s="61">
        <v>17</v>
      </c>
      <c r="D419" s="270">
        <f t="shared" si="155"/>
        <v>277</v>
      </c>
      <c r="E419" s="270">
        <f t="shared" si="155"/>
        <v>277</v>
      </c>
      <c r="F419" s="270">
        <f t="shared" si="155"/>
        <v>387</v>
      </c>
      <c r="G419" s="270">
        <f t="shared" si="155"/>
        <v>390</v>
      </c>
      <c r="H419" s="270">
        <f t="shared" si="155"/>
        <v>394</v>
      </c>
      <c r="I419" s="270">
        <f t="shared" si="155"/>
        <v>400</v>
      </c>
      <c r="J419" s="270">
        <f t="shared" si="155"/>
        <v>389</v>
      </c>
      <c r="K419" s="270">
        <f t="shared" si="155"/>
        <v>393</v>
      </c>
      <c r="L419" s="270">
        <f t="shared" si="155"/>
        <v>434</v>
      </c>
      <c r="M419" s="270">
        <f t="shared" si="155"/>
        <v>474</v>
      </c>
      <c r="N419" s="270">
        <f t="shared" si="155"/>
        <v>701</v>
      </c>
      <c r="O419" s="270">
        <f t="shared" si="155"/>
        <v>701</v>
      </c>
      <c r="P419" s="270">
        <f t="shared" si="155"/>
        <v>701</v>
      </c>
      <c r="Q419" s="270">
        <f t="shared" si="155"/>
        <v>701</v>
      </c>
      <c r="R419" s="270">
        <f t="shared" si="155"/>
        <v>701</v>
      </c>
      <c r="S419" s="270">
        <f t="shared" si="156"/>
        <v>701</v>
      </c>
      <c r="T419" s="270">
        <f t="shared" si="156"/>
        <v>701</v>
      </c>
      <c r="U419" s="270">
        <f t="shared" si="156"/>
        <v>701</v>
      </c>
      <c r="V419" s="270">
        <f t="shared" si="156"/>
        <v>701</v>
      </c>
      <c r="W419" s="270">
        <f t="shared" si="156"/>
        <v>701</v>
      </c>
      <c r="X419" s="270">
        <f t="shared" si="156"/>
        <v>701</v>
      </c>
      <c r="Y419" s="270">
        <f t="shared" si="156"/>
        <v>701</v>
      </c>
      <c r="Z419" s="270">
        <f t="shared" si="156"/>
        <v>701</v>
      </c>
      <c r="AA419" s="270">
        <f t="shared" si="156"/>
        <v>701</v>
      </c>
      <c r="AB419" s="270">
        <f t="shared" si="156"/>
        <v>701</v>
      </c>
      <c r="AC419" s="270">
        <f t="shared" si="156"/>
        <v>701</v>
      </c>
      <c r="AD419" s="270">
        <f t="shared" si="154"/>
        <v>701</v>
      </c>
      <c r="AE419" s="270">
        <f t="shared" si="154"/>
        <v>701</v>
      </c>
      <c r="AF419" s="270">
        <f t="shared" si="154"/>
        <v>701</v>
      </c>
      <c r="AG419" s="270">
        <f t="shared" si="154"/>
        <v>701</v>
      </c>
      <c r="AH419" s="270">
        <f t="shared" si="154"/>
        <v>701</v>
      </c>
      <c r="AI419" s="270">
        <f t="shared" si="154"/>
        <v>701</v>
      </c>
      <c r="AJ419" s="270">
        <f t="shared" si="154"/>
        <v>701</v>
      </c>
      <c r="AK419" s="270">
        <f t="shared" si="154"/>
        <v>701</v>
      </c>
      <c r="AL419" s="270">
        <f t="shared" si="154"/>
        <v>701</v>
      </c>
      <c r="AM419" s="270">
        <f t="shared" si="154"/>
        <v>701</v>
      </c>
    </row>
    <row r="420" spans="2:39" ht="15.75" thickBot="1" x14ac:dyDescent="0.35">
      <c r="B420" s="56" t="str">
        <f>input_names!$C$3</f>
        <v>diesel</v>
      </c>
      <c r="C420" s="61">
        <v>18</v>
      </c>
      <c r="D420" s="270">
        <f t="shared" si="155"/>
        <v>283</v>
      </c>
      <c r="E420" s="270">
        <f t="shared" si="155"/>
        <v>283</v>
      </c>
      <c r="F420" s="270">
        <f t="shared" si="155"/>
        <v>389</v>
      </c>
      <c r="G420" s="270">
        <f t="shared" si="155"/>
        <v>392</v>
      </c>
      <c r="H420" s="270">
        <f t="shared" si="155"/>
        <v>396</v>
      </c>
      <c r="I420" s="270">
        <f t="shared" si="155"/>
        <v>402</v>
      </c>
      <c r="J420" s="270">
        <f t="shared" si="155"/>
        <v>390</v>
      </c>
      <c r="K420" s="270">
        <f t="shared" si="155"/>
        <v>394</v>
      </c>
      <c r="L420" s="270">
        <f t="shared" si="155"/>
        <v>436</v>
      </c>
      <c r="M420" s="270">
        <f t="shared" si="155"/>
        <v>476</v>
      </c>
      <c r="N420" s="270">
        <f t="shared" si="155"/>
        <v>703</v>
      </c>
      <c r="O420" s="270">
        <f t="shared" si="155"/>
        <v>703</v>
      </c>
      <c r="P420" s="270">
        <f t="shared" si="155"/>
        <v>703</v>
      </c>
      <c r="Q420" s="270">
        <f t="shared" si="155"/>
        <v>703</v>
      </c>
      <c r="R420" s="270">
        <f t="shared" si="155"/>
        <v>703</v>
      </c>
      <c r="S420" s="270">
        <f t="shared" si="156"/>
        <v>703</v>
      </c>
      <c r="T420" s="270">
        <f t="shared" si="156"/>
        <v>703</v>
      </c>
      <c r="U420" s="270">
        <f t="shared" si="156"/>
        <v>703</v>
      </c>
      <c r="V420" s="270">
        <f t="shared" si="156"/>
        <v>703</v>
      </c>
      <c r="W420" s="270">
        <f t="shared" si="156"/>
        <v>703</v>
      </c>
      <c r="X420" s="270">
        <f t="shared" si="156"/>
        <v>703</v>
      </c>
      <c r="Y420" s="270">
        <f t="shared" si="156"/>
        <v>703</v>
      </c>
      <c r="Z420" s="270">
        <f t="shared" si="156"/>
        <v>703</v>
      </c>
      <c r="AA420" s="270">
        <f t="shared" si="156"/>
        <v>703</v>
      </c>
      <c r="AB420" s="270">
        <f t="shared" si="156"/>
        <v>703</v>
      </c>
      <c r="AC420" s="270">
        <f t="shared" si="156"/>
        <v>703</v>
      </c>
      <c r="AD420" s="270">
        <f t="shared" si="154"/>
        <v>703</v>
      </c>
      <c r="AE420" s="270">
        <f t="shared" si="154"/>
        <v>703</v>
      </c>
      <c r="AF420" s="270">
        <f t="shared" si="154"/>
        <v>703</v>
      </c>
      <c r="AG420" s="270">
        <f t="shared" si="154"/>
        <v>703</v>
      </c>
      <c r="AH420" s="270">
        <f t="shared" si="154"/>
        <v>703</v>
      </c>
      <c r="AI420" s="270">
        <f t="shared" si="154"/>
        <v>703</v>
      </c>
      <c r="AJ420" s="270">
        <f t="shared" si="154"/>
        <v>703</v>
      </c>
      <c r="AK420" s="270">
        <f t="shared" si="154"/>
        <v>703</v>
      </c>
      <c r="AL420" s="270">
        <f t="shared" si="154"/>
        <v>703</v>
      </c>
      <c r="AM420" s="270">
        <f t="shared" si="154"/>
        <v>703</v>
      </c>
    </row>
    <row r="421" spans="2:39" ht="15.75" thickBot="1" x14ac:dyDescent="0.35">
      <c r="B421" s="56" t="str">
        <f>input_names!$C$3</f>
        <v>diesel</v>
      </c>
      <c r="C421" s="61">
        <v>19</v>
      </c>
      <c r="D421" s="270">
        <f t="shared" si="155"/>
        <v>289</v>
      </c>
      <c r="E421" s="270">
        <f t="shared" si="155"/>
        <v>289</v>
      </c>
      <c r="F421" s="270">
        <f t="shared" si="155"/>
        <v>391</v>
      </c>
      <c r="G421" s="270">
        <f t="shared" si="155"/>
        <v>394</v>
      </c>
      <c r="H421" s="270">
        <f t="shared" si="155"/>
        <v>398</v>
      </c>
      <c r="I421" s="270">
        <f t="shared" si="155"/>
        <v>404</v>
      </c>
      <c r="J421" s="270">
        <f t="shared" si="155"/>
        <v>391</v>
      </c>
      <c r="K421" s="270">
        <f t="shared" si="155"/>
        <v>395</v>
      </c>
      <c r="L421" s="270">
        <f t="shared" si="155"/>
        <v>438</v>
      </c>
      <c r="M421" s="270">
        <f t="shared" si="155"/>
        <v>478</v>
      </c>
      <c r="N421" s="270">
        <f t="shared" si="155"/>
        <v>705</v>
      </c>
      <c r="O421" s="270">
        <f t="shared" si="155"/>
        <v>705</v>
      </c>
      <c r="P421" s="270">
        <f t="shared" si="155"/>
        <v>705</v>
      </c>
      <c r="Q421" s="270">
        <f t="shared" si="155"/>
        <v>705</v>
      </c>
      <c r="R421" s="270">
        <f t="shared" si="155"/>
        <v>705</v>
      </c>
      <c r="S421" s="270">
        <f t="shared" si="156"/>
        <v>705</v>
      </c>
      <c r="T421" s="270">
        <f t="shared" si="156"/>
        <v>705</v>
      </c>
      <c r="U421" s="270">
        <f t="shared" si="156"/>
        <v>705</v>
      </c>
      <c r="V421" s="270">
        <f t="shared" si="156"/>
        <v>705</v>
      </c>
      <c r="W421" s="270">
        <f t="shared" si="156"/>
        <v>705</v>
      </c>
      <c r="X421" s="270">
        <f t="shared" si="156"/>
        <v>705</v>
      </c>
      <c r="Y421" s="270">
        <f t="shared" si="156"/>
        <v>705</v>
      </c>
      <c r="Z421" s="270">
        <f t="shared" si="156"/>
        <v>705</v>
      </c>
      <c r="AA421" s="270">
        <f t="shared" si="156"/>
        <v>705</v>
      </c>
      <c r="AB421" s="270">
        <f t="shared" si="156"/>
        <v>705</v>
      </c>
      <c r="AC421" s="270">
        <f t="shared" si="156"/>
        <v>705</v>
      </c>
      <c r="AD421" s="270">
        <f t="shared" si="154"/>
        <v>705</v>
      </c>
      <c r="AE421" s="270">
        <f t="shared" si="154"/>
        <v>705</v>
      </c>
      <c r="AF421" s="270">
        <f t="shared" si="154"/>
        <v>705</v>
      </c>
      <c r="AG421" s="270">
        <f t="shared" si="154"/>
        <v>705</v>
      </c>
      <c r="AH421" s="270">
        <f t="shared" si="154"/>
        <v>705</v>
      </c>
      <c r="AI421" s="270">
        <f t="shared" si="154"/>
        <v>705</v>
      </c>
      <c r="AJ421" s="270">
        <f t="shared" si="154"/>
        <v>705</v>
      </c>
      <c r="AK421" s="270">
        <f t="shared" si="154"/>
        <v>705</v>
      </c>
      <c r="AL421" s="270">
        <f t="shared" si="154"/>
        <v>705</v>
      </c>
      <c r="AM421" s="270">
        <f t="shared" si="154"/>
        <v>705</v>
      </c>
    </row>
    <row r="422" spans="2:39" ht="15.75" thickBot="1" x14ac:dyDescent="0.35">
      <c r="B422" s="56" t="str">
        <f>input_names!$C$3</f>
        <v>diesel</v>
      </c>
      <c r="C422" s="61">
        <v>20</v>
      </c>
      <c r="D422" s="270">
        <f t="shared" si="155"/>
        <v>295</v>
      </c>
      <c r="E422" s="270">
        <f t="shared" si="155"/>
        <v>295</v>
      </c>
      <c r="F422" s="270">
        <f t="shared" si="155"/>
        <v>393</v>
      </c>
      <c r="G422" s="270">
        <f t="shared" si="155"/>
        <v>396</v>
      </c>
      <c r="H422" s="270">
        <f t="shared" si="155"/>
        <v>400</v>
      </c>
      <c r="I422" s="270">
        <f t="shared" si="155"/>
        <v>406</v>
      </c>
      <c r="J422" s="270">
        <f t="shared" si="155"/>
        <v>392</v>
      </c>
      <c r="K422" s="270">
        <f t="shared" si="155"/>
        <v>396</v>
      </c>
      <c r="L422" s="270">
        <f t="shared" si="155"/>
        <v>440</v>
      </c>
      <c r="M422" s="270">
        <f t="shared" si="155"/>
        <v>480</v>
      </c>
      <c r="N422" s="270">
        <f t="shared" si="155"/>
        <v>707</v>
      </c>
      <c r="O422" s="270">
        <f t="shared" si="155"/>
        <v>707</v>
      </c>
      <c r="P422" s="270">
        <f t="shared" si="155"/>
        <v>707</v>
      </c>
      <c r="Q422" s="270">
        <f t="shared" si="155"/>
        <v>707</v>
      </c>
      <c r="R422" s="270">
        <f t="shared" si="155"/>
        <v>707</v>
      </c>
      <c r="S422" s="270">
        <f t="shared" si="156"/>
        <v>707</v>
      </c>
      <c r="T422" s="270">
        <f t="shared" si="156"/>
        <v>707</v>
      </c>
      <c r="U422" s="270">
        <f t="shared" si="156"/>
        <v>707</v>
      </c>
      <c r="V422" s="270">
        <f t="shared" si="156"/>
        <v>707</v>
      </c>
      <c r="W422" s="270">
        <f t="shared" si="156"/>
        <v>707</v>
      </c>
      <c r="X422" s="270">
        <f t="shared" si="156"/>
        <v>707</v>
      </c>
      <c r="Y422" s="270">
        <f t="shared" si="156"/>
        <v>707</v>
      </c>
      <c r="Z422" s="270">
        <f t="shared" si="156"/>
        <v>707</v>
      </c>
      <c r="AA422" s="270">
        <f t="shared" si="156"/>
        <v>707</v>
      </c>
      <c r="AB422" s="270">
        <f t="shared" si="156"/>
        <v>707</v>
      </c>
      <c r="AC422" s="270">
        <f t="shared" si="156"/>
        <v>707</v>
      </c>
      <c r="AD422" s="270">
        <f t="shared" si="154"/>
        <v>707</v>
      </c>
      <c r="AE422" s="270">
        <f t="shared" si="154"/>
        <v>707</v>
      </c>
      <c r="AF422" s="270">
        <f t="shared" si="154"/>
        <v>707</v>
      </c>
      <c r="AG422" s="270">
        <f t="shared" si="154"/>
        <v>707</v>
      </c>
      <c r="AH422" s="270">
        <f t="shared" si="154"/>
        <v>707</v>
      </c>
      <c r="AI422" s="270">
        <f t="shared" si="154"/>
        <v>707</v>
      </c>
      <c r="AJ422" s="270">
        <f t="shared" si="154"/>
        <v>707</v>
      </c>
      <c r="AK422" s="270">
        <f t="shared" si="154"/>
        <v>707</v>
      </c>
      <c r="AL422" s="270">
        <f t="shared" si="154"/>
        <v>707</v>
      </c>
      <c r="AM422" s="270">
        <f t="shared" si="154"/>
        <v>707</v>
      </c>
    </row>
    <row r="423" spans="2:39" ht="15.75" thickBot="1" x14ac:dyDescent="0.35">
      <c r="B423" s="56" t="str">
        <f>input_names!$C$3</f>
        <v>diesel</v>
      </c>
      <c r="C423" s="61">
        <v>21</v>
      </c>
      <c r="D423" s="270">
        <f t="shared" si="155"/>
        <v>301</v>
      </c>
      <c r="E423" s="270">
        <f t="shared" si="155"/>
        <v>301</v>
      </c>
      <c r="F423" s="270">
        <f t="shared" si="155"/>
        <v>395</v>
      </c>
      <c r="G423" s="270">
        <f t="shared" si="155"/>
        <v>398</v>
      </c>
      <c r="H423" s="270">
        <f t="shared" si="155"/>
        <v>402</v>
      </c>
      <c r="I423" s="270">
        <f t="shared" si="155"/>
        <v>408</v>
      </c>
      <c r="J423" s="270">
        <f t="shared" si="155"/>
        <v>393</v>
      </c>
      <c r="K423" s="270">
        <f t="shared" si="155"/>
        <v>397</v>
      </c>
      <c r="L423" s="270">
        <f t="shared" si="155"/>
        <v>442</v>
      </c>
      <c r="M423" s="270">
        <f t="shared" si="155"/>
        <v>482</v>
      </c>
      <c r="N423" s="270">
        <f t="shared" si="155"/>
        <v>709</v>
      </c>
      <c r="O423" s="270">
        <f t="shared" si="155"/>
        <v>709</v>
      </c>
      <c r="P423" s="270">
        <f t="shared" si="155"/>
        <v>709</v>
      </c>
      <c r="Q423" s="270">
        <f t="shared" si="155"/>
        <v>709</v>
      </c>
      <c r="R423" s="270">
        <f t="shared" si="155"/>
        <v>709</v>
      </c>
      <c r="S423" s="270">
        <f t="shared" si="156"/>
        <v>709</v>
      </c>
      <c r="T423" s="270">
        <f t="shared" si="156"/>
        <v>709</v>
      </c>
      <c r="U423" s="270">
        <f t="shared" si="156"/>
        <v>709</v>
      </c>
      <c r="V423" s="270">
        <f t="shared" si="156"/>
        <v>709</v>
      </c>
      <c r="W423" s="270">
        <f t="shared" si="156"/>
        <v>709</v>
      </c>
      <c r="X423" s="270">
        <f t="shared" si="156"/>
        <v>709</v>
      </c>
      <c r="Y423" s="270">
        <f t="shared" si="156"/>
        <v>709</v>
      </c>
      <c r="Z423" s="270">
        <f t="shared" si="156"/>
        <v>709</v>
      </c>
      <c r="AA423" s="270">
        <f t="shared" si="156"/>
        <v>709</v>
      </c>
      <c r="AB423" s="270">
        <f t="shared" si="156"/>
        <v>709</v>
      </c>
      <c r="AC423" s="270">
        <f t="shared" si="156"/>
        <v>709</v>
      </c>
      <c r="AD423" s="270">
        <f t="shared" si="154"/>
        <v>709</v>
      </c>
      <c r="AE423" s="270">
        <f t="shared" si="154"/>
        <v>709</v>
      </c>
      <c r="AF423" s="270">
        <f t="shared" si="154"/>
        <v>709</v>
      </c>
      <c r="AG423" s="270">
        <f t="shared" si="154"/>
        <v>709</v>
      </c>
      <c r="AH423" s="270">
        <f t="shared" si="154"/>
        <v>709</v>
      </c>
      <c r="AI423" s="270">
        <f t="shared" si="154"/>
        <v>709</v>
      </c>
      <c r="AJ423" s="270">
        <f t="shared" si="154"/>
        <v>709</v>
      </c>
      <c r="AK423" s="270">
        <f t="shared" si="154"/>
        <v>709</v>
      </c>
      <c r="AL423" s="270">
        <f t="shared" si="154"/>
        <v>709</v>
      </c>
      <c r="AM423" s="270">
        <f t="shared" si="154"/>
        <v>709</v>
      </c>
    </row>
    <row r="424" spans="2:39" ht="15.75" thickBot="1" x14ac:dyDescent="0.35">
      <c r="B424" s="56" t="str">
        <f>input_names!$C$3</f>
        <v>diesel</v>
      </c>
      <c r="C424" s="61">
        <v>22</v>
      </c>
      <c r="D424" s="270">
        <f t="shared" si="155"/>
        <v>307</v>
      </c>
      <c r="E424" s="270">
        <f t="shared" si="155"/>
        <v>307</v>
      </c>
      <c r="F424" s="270">
        <f t="shared" si="155"/>
        <v>397</v>
      </c>
      <c r="G424" s="270">
        <f t="shared" si="155"/>
        <v>400</v>
      </c>
      <c r="H424" s="270">
        <f t="shared" si="155"/>
        <v>404</v>
      </c>
      <c r="I424" s="270">
        <f t="shared" si="155"/>
        <v>410</v>
      </c>
      <c r="J424" s="270">
        <f t="shared" si="155"/>
        <v>394</v>
      </c>
      <c r="K424" s="270">
        <f t="shared" si="155"/>
        <v>398</v>
      </c>
      <c r="L424" s="270">
        <f t="shared" si="155"/>
        <v>444</v>
      </c>
      <c r="M424" s="270">
        <f t="shared" si="155"/>
        <v>484</v>
      </c>
      <c r="N424" s="270">
        <f t="shared" si="155"/>
        <v>711</v>
      </c>
      <c r="O424" s="270">
        <f t="shared" si="155"/>
        <v>711</v>
      </c>
      <c r="P424" s="270">
        <f t="shared" si="155"/>
        <v>711</v>
      </c>
      <c r="Q424" s="270">
        <f t="shared" si="155"/>
        <v>711</v>
      </c>
      <c r="R424" s="270">
        <f t="shared" si="155"/>
        <v>711</v>
      </c>
      <c r="S424" s="270">
        <f t="shared" si="156"/>
        <v>711</v>
      </c>
      <c r="T424" s="270">
        <f t="shared" si="156"/>
        <v>711</v>
      </c>
      <c r="U424" s="270">
        <f t="shared" si="156"/>
        <v>711</v>
      </c>
      <c r="V424" s="270">
        <f t="shared" si="156"/>
        <v>711</v>
      </c>
      <c r="W424" s="270">
        <f t="shared" si="156"/>
        <v>711</v>
      </c>
      <c r="X424" s="270">
        <f t="shared" si="156"/>
        <v>711</v>
      </c>
      <c r="Y424" s="270">
        <f t="shared" si="156"/>
        <v>711</v>
      </c>
      <c r="Z424" s="270">
        <f t="shared" si="156"/>
        <v>711</v>
      </c>
      <c r="AA424" s="270">
        <f t="shared" si="156"/>
        <v>711</v>
      </c>
      <c r="AB424" s="270">
        <f t="shared" si="156"/>
        <v>711</v>
      </c>
      <c r="AC424" s="270">
        <f t="shared" si="156"/>
        <v>711</v>
      </c>
      <c r="AD424" s="270">
        <f t="shared" si="154"/>
        <v>711</v>
      </c>
      <c r="AE424" s="270">
        <f t="shared" si="154"/>
        <v>711</v>
      </c>
      <c r="AF424" s="270">
        <f t="shared" si="154"/>
        <v>711</v>
      </c>
      <c r="AG424" s="270">
        <f t="shared" si="154"/>
        <v>711</v>
      </c>
      <c r="AH424" s="270">
        <f t="shared" si="154"/>
        <v>711</v>
      </c>
      <c r="AI424" s="270">
        <f t="shared" si="154"/>
        <v>711</v>
      </c>
      <c r="AJ424" s="270">
        <f t="shared" si="154"/>
        <v>711</v>
      </c>
      <c r="AK424" s="270">
        <f t="shared" si="154"/>
        <v>711</v>
      </c>
      <c r="AL424" s="270">
        <f t="shared" si="154"/>
        <v>711</v>
      </c>
      <c r="AM424" s="270">
        <f t="shared" si="154"/>
        <v>711</v>
      </c>
    </row>
    <row r="425" spans="2:39" ht="15.75" thickBot="1" x14ac:dyDescent="0.35">
      <c r="B425" s="56" t="str">
        <f>input_names!$C$3</f>
        <v>diesel</v>
      </c>
      <c r="C425" s="61">
        <v>23</v>
      </c>
      <c r="D425" s="270">
        <f t="shared" si="155"/>
        <v>313</v>
      </c>
      <c r="E425" s="270">
        <f t="shared" si="155"/>
        <v>313</v>
      </c>
      <c r="F425" s="270">
        <f t="shared" si="155"/>
        <v>399</v>
      </c>
      <c r="G425" s="270">
        <f t="shared" si="155"/>
        <v>402</v>
      </c>
      <c r="H425" s="270">
        <f t="shared" si="155"/>
        <v>406</v>
      </c>
      <c r="I425" s="270">
        <f t="shared" si="155"/>
        <v>412</v>
      </c>
      <c r="J425" s="270">
        <f t="shared" si="155"/>
        <v>395</v>
      </c>
      <c r="K425" s="270">
        <f t="shared" si="155"/>
        <v>399</v>
      </c>
      <c r="L425" s="270">
        <f t="shared" si="155"/>
        <v>446</v>
      </c>
      <c r="M425" s="270">
        <f t="shared" si="155"/>
        <v>486</v>
      </c>
      <c r="N425" s="270">
        <f t="shared" si="155"/>
        <v>713</v>
      </c>
      <c r="O425" s="270">
        <f t="shared" si="155"/>
        <v>713</v>
      </c>
      <c r="P425" s="270">
        <f t="shared" si="155"/>
        <v>713</v>
      </c>
      <c r="Q425" s="270">
        <f t="shared" si="155"/>
        <v>713</v>
      </c>
      <c r="R425" s="270">
        <f t="shared" si="155"/>
        <v>713</v>
      </c>
      <c r="S425" s="270">
        <f t="shared" si="156"/>
        <v>713</v>
      </c>
      <c r="T425" s="270">
        <f t="shared" si="156"/>
        <v>713</v>
      </c>
      <c r="U425" s="270">
        <f t="shared" si="156"/>
        <v>713</v>
      </c>
      <c r="V425" s="270">
        <f t="shared" si="156"/>
        <v>713</v>
      </c>
      <c r="W425" s="270">
        <f t="shared" si="156"/>
        <v>713</v>
      </c>
      <c r="X425" s="270">
        <f t="shared" si="156"/>
        <v>713</v>
      </c>
      <c r="Y425" s="270">
        <f t="shared" si="156"/>
        <v>713</v>
      </c>
      <c r="Z425" s="270">
        <f t="shared" si="156"/>
        <v>713</v>
      </c>
      <c r="AA425" s="270">
        <f t="shared" si="156"/>
        <v>713</v>
      </c>
      <c r="AB425" s="270">
        <f t="shared" si="156"/>
        <v>713</v>
      </c>
      <c r="AC425" s="270">
        <f t="shared" si="156"/>
        <v>713</v>
      </c>
      <c r="AD425" s="270">
        <f t="shared" si="154"/>
        <v>713</v>
      </c>
      <c r="AE425" s="270">
        <f t="shared" si="154"/>
        <v>713</v>
      </c>
      <c r="AF425" s="270">
        <f t="shared" si="154"/>
        <v>713</v>
      </c>
      <c r="AG425" s="270">
        <f t="shared" si="154"/>
        <v>713</v>
      </c>
      <c r="AH425" s="270">
        <f t="shared" si="154"/>
        <v>713</v>
      </c>
      <c r="AI425" s="270">
        <f t="shared" si="154"/>
        <v>713</v>
      </c>
      <c r="AJ425" s="270">
        <f t="shared" si="154"/>
        <v>713</v>
      </c>
      <c r="AK425" s="270">
        <f t="shared" si="154"/>
        <v>713</v>
      </c>
      <c r="AL425" s="270">
        <f t="shared" si="154"/>
        <v>713</v>
      </c>
      <c r="AM425" s="270">
        <f t="shared" si="154"/>
        <v>713</v>
      </c>
    </row>
    <row r="426" spans="2:39" ht="15.75" thickBot="1" x14ac:dyDescent="0.35">
      <c r="B426" s="56" t="str">
        <f>input_names!$C$3</f>
        <v>diesel</v>
      </c>
      <c r="C426" s="61">
        <v>24</v>
      </c>
      <c r="D426" s="270">
        <f t="shared" si="155"/>
        <v>319</v>
      </c>
      <c r="E426" s="270">
        <f t="shared" si="155"/>
        <v>319</v>
      </c>
      <c r="F426" s="270">
        <f t="shared" si="155"/>
        <v>401</v>
      </c>
      <c r="G426" s="270">
        <f t="shared" si="155"/>
        <v>404</v>
      </c>
      <c r="H426" s="270">
        <f t="shared" si="155"/>
        <v>408</v>
      </c>
      <c r="I426" s="270">
        <f t="shared" si="155"/>
        <v>414</v>
      </c>
      <c r="J426" s="270">
        <f t="shared" si="155"/>
        <v>396</v>
      </c>
      <c r="K426" s="270">
        <f t="shared" si="155"/>
        <v>400</v>
      </c>
      <c r="L426" s="270">
        <f t="shared" si="155"/>
        <v>448</v>
      </c>
      <c r="M426" s="270">
        <f t="shared" si="155"/>
        <v>488</v>
      </c>
      <c r="N426" s="270">
        <f t="shared" si="155"/>
        <v>715</v>
      </c>
      <c r="O426" s="270">
        <f t="shared" si="155"/>
        <v>715</v>
      </c>
      <c r="P426" s="270">
        <f t="shared" si="155"/>
        <v>715</v>
      </c>
      <c r="Q426" s="270">
        <f t="shared" si="155"/>
        <v>715</v>
      </c>
      <c r="R426" s="270">
        <f t="shared" si="155"/>
        <v>715</v>
      </c>
      <c r="S426" s="270">
        <f t="shared" si="156"/>
        <v>715</v>
      </c>
      <c r="T426" s="270">
        <f t="shared" si="156"/>
        <v>715</v>
      </c>
      <c r="U426" s="270">
        <f t="shared" si="156"/>
        <v>715</v>
      </c>
      <c r="V426" s="270">
        <f t="shared" si="156"/>
        <v>715</v>
      </c>
      <c r="W426" s="270">
        <f t="shared" si="156"/>
        <v>715</v>
      </c>
      <c r="X426" s="270">
        <f t="shared" si="156"/>
        <v>715</v>
      </c>
      <c r="Y426" s="270">
        <f t="shared" si="156"/>
        <v>715</v>
      </c>
      <c r="Z426" s="270">
        <f t="shared" si="156"/>
        <v>715</v>
      </c>
      <c r="AA426" s="270">
        <f t="shared" si="156"/>
        <v>715</v>
      </c>
      <c r="AB426" s="270">
        <f t="shared" si="156"/>
        <v>715</v>
      </c>
      <c r="AC426" s="270">
        <f t="shared" si="156"/>
        <v>715</v>
      </c>
      <c r="AD426" s="270">
        <f t="shared" si="154"/>
        <v>715</v>
      </c>
      <c r="AE426" s="270">
        <f t="shared" si="154"/>
        <v>715</v>
      </c>
      <c r="AF426" s="270">
        <f t="shared" si="154"/>
        <v>715</v>
      </c>
      <c r="AG426" s="270">
        <f t="shared" si="154"/>
        <v>715</v>
      </c>
      <c r="AH426" s="270">
        <f t="shared" si="154"/>
        <v>715</v>
      </c>
      <c r="AI426" s="270">
        <f t="shared" si="154"/>
        <v>715</v>
      </c>
      <c r="AJ426" s="270">
        <f t="shared" si="154"/>
        <v>715</v>
      </c>
      <c r="AK426" s="270">
        <f t="shared" ref="AF426:AM450" si="157">+MIN(MAX(0,$C426-AK$11),AK$12-AK$11)*AK$17
+MIN(MAX(0,$C426-AK$12),AK$13-AK$12)*AK$18
+MIN(MAX(0,$C426-AK$13),AK$14-AK$13)*AK$19
+MIN(MAX(0,$C426-AK$14),AK$15-AK$14)*AK$20
+MAX(0,$C426-AK$15)*AK$21
+AK$24*MAX(0,$C426-AK$23)
+AK$26</f>
        <v>715</v>
      </c>
      <c r="AL426" s="270">
        <f t="shared" si="157"/>
        <v>715</v>
      </c>
      <c r="AM426" s="270">
        <f t="shared" si="157"/>
        <v>715</v>
      </c>
    </row>
    <row r="427" spans="2:39" ht="15.75" thickBot="1" x14ac:dyDescent="0.35">
      <c r="B427" s="56" t="str">
        <f>input_names!$C$3</f>
        <v>diesel</v>
      </c>
      <c r="C427" s="61">
        <v>25</v>
      </c>
      <c r="D427" s="270">
        <f t="shared" si="155"/>
        <v>325</v>
      </c>
      <c r="E427" s="270">
        <f t="shared" si="155"/>
        <v>325</v>
      </c>
      <c r="F427" s="270">
        <f t="shared" si="155"/>
        <v>403</v>
      </c>
      <c r="G427" s="270">
        <f t="shared" si="155"/>
        <v>406</v>
      </c>
      <c r="H427" s="270">
        <f t="shared" si="155"/>
        <v>410</v>
      </c>
      <c r="I427" s="270">
        <f t="shared" si="155"/>
        <v>416</v>
      </c>
      <c r="J427" s="270">
        <f t="shared" si="155"/>
        <v>397</v>
      </c>
      <c r="K427" s="270">
        <f t="shared" si="155"/>
        <v>401</v>
      </c>
      <c r="L427" s="270">
        <f t="shared" si="155"/>
        <v>450</v>
      </c>
      <c r="M427" s="270">
        <f t="shared" si="155"/>
        <v>490</v>
      </c>
      <c r="N427" s="270">
        <f t="shared" si="155"/>
        <v>717</v>
      </c>
      <c r="O427" s="270">
        <f t="shared" si="155"/>
        <v>717</v>
      </c>
      <c r="P427" s="270">
        <f t="shared" si="155"/>
        <v>717</v>
      </c>
      <c r="Q427" s="270">
        <f t="shared" si="155"/>
        <v>717</v>
      </c>
      <c r="R427" s="270">
        <f t="shared" si="155"/>
        <v>717</v>
      </c>
      <c r="S427" s="270">
        <f t="shared" si="156"/>
        <v>717</v>
      </c>
      <c r="T427" s="270">
        <f t="shared" si="156"/>
        <v>717</v>
      </c>
      <c r="U427" s="270">
        <f t="shared" si="156"/>
        <v>717</v>
      </c>
      <c r="V427" s="270">
        <f t="shared" si="156"/>
        <v>717</v>
      </c>
      <c r="W427" s="270">
        <f t="shared" si="156"/>
        <v>717</v>
      </c>
      <c r="X427" s="270">
        <f t="shared" si="156"/>
        <v>717</v>
      </c>
      <c r="Y427" s="270">
        <f t="shared" si="156"/>
        <v>717</v>
      </c>
      <c r="Z427" s="270">
        <f t="shared" si="156"/>
        <v>717</v>
      </c>
      <c r="AA427" s="270">
        <f t="shared" si="156"/>
        <v>717</v>
      </c>
      <c r="AB427" s="270">
        <f t="shared" si="156"/>
        <v>717</v>
      </c>
      <c r="AC427" s="270">
        <f t="shared" si="156"/>
        <v>717</v>
      </c>
      <c r="AD427" s="270">
        <f t="shared" si="155"/>
        <v>717</v>
      </c>
      <c r="AE427" s="270">
        <f t="shared" ref="AE427:AM474" si="158">+MIN(MAX(0,$C427-AE$11),AE$12-AE$11)*AE$17
+MIN(MAX(0,$C427-AE$12),AE$13-AE$12)*AE$18
+MIN(MAX(0,$C427-AE$13),AE$14-AE$13)*AE$19
+MIN(MAX(0,$C427-AE$14),AE$15-AE$14)*AE$20
+MAX(0,$C427-AE$15)*AE$21
+AE$24*MAX(0,$C427-AE$23)
+AE$26</f>
        <v>717</v>
      </c>
      <c r="AF427" s="270">
        <f t="shared" si="157"/>
        <v>717</v>
      </c>
      <c r="AG427" s="270">
        <f t="shared" si="157"/>
        <v>717</v>
      </c>
      <c r="AH427" s="270">
        <f t="shared" si="157"/>
        <v>717</v>
      </c>
      <c r="AI427" s="270">
        <f t="shared" si="157"/>
        <v>717</v>
      </c>
      <c r="AJ427" s="270">
        <f t="shared" si="157"/>
        <v>717</v>
      </c>
      <c r="AK427" s="270">
        <f t="shared" si="157"/>
        <v>717</v>
      </c>
      <c r="AL427" s="270">
        <f t="shared" si="157"/>
        <v>717</v>
      </c>
      <c r="AM427" s="270">
        <f t="shared" si="157"/>
        <v>717</v>
      </c>
    </row>
    <row r="428" spans="2:39" ht="15.75" thickBot="1" x14ac:dyDescent="0.35">
      <c r="B428" s="56" t="str">
        <f>input_names!$C$3</f>
        <v>diesel</v>
      </c>
      <c r="C428" s="61">
        <v>26</v>
      </c>
      <c r="D428" s="270">
        <f t="shared" si="155"/>
        <v>331</v>
      </c>
      <c r="E428" s="270">
        <f t="shared" si="155"/>
        <v>331</v>
      </c>
      <c r="F428" s="270">
        <f t="shared" si="155"/>
        <v>405</v>
      </c>
      <c r="G428" s="270">
        <f t="shared" si="155"/>
        <v>408</v>
      </c>
      <c r="H428" s="270">
        <f t="shared" si="155"/>
        <v>412</v>
      </c>
      <c r="I428" s="270">
        <f t="shared" si="155"/>
        <v>418</v>
      </c>
      <c r="J428" s="270">
        <f t="shared" si="155"/>
        <v>398</v>
      </c>
      <c r="K428" s="270">
        <f t="shared" si="155"/>
        <v>402</v>
      </c>
      <c r="L428" s="270">
        <f t="shared" si="155"/>
        <v>452</v>
      </c>
      <c r="M428" s="270">
        <f t="shared" si="155"/>
        <v>492</v>
      </c>
      <c r="N428" s="270">
        <f t="shared" si="155"/>
        <v>719</v>
      </c>
      <c r="O428" s="270">
        <f t="shared" si="155"/>
        <v>719</v>
      </c>
      <c r="P428" s="270">
        <f t="shared" si="155"/>
        <v>719</v>
      </c>
      <c r="Q428" s="270">
        <f t="shared" si="155"/>
        <v>719</v>
      </c>
      <c r="R428" s="270">
        <f t="shared" si="155"/>
        <v>719</v>
      </c>
      <c r="S428" s="270">
        <f t="shared" si="156"/>
        <v>719</v>
      </c>
      <c r="T428" s="270">
        <f t="shared" si="156"/>
        <v>719</v>
      </c>
      <c r="U428" s="270">
        <f t="shared" si="156"/>
        <v>719</v>
      </c>
      <c r="V428" s="270">
        <f t="shared" si="156"/>
        <v>719</v>
      </c>
      <c r="W428" s="270">
        <f t="shared" si="156"/>
        <v>719</v>
      </c>
      <c r="X428" s="270">
        <f t="shared" si="156"/>
        <v>719</v>
      </c>
      <c r="Y428" s="270">
        <f t="shared" si="156"/>
        <v>719</v>
      </c>
      <c r="Z428" s="270">
        <f t="shared" si="156"/>
        <v>719</v>
      </c>
      <c r="AA428" s="270">
        <f t="shared" si="156"/>
        <v>719</v>
      </c>
      <c r="AB428" s="270">
        <f t="shared" si="156"/>
        <v>719</v>
      </c>
      <c r="AC428" s="270">
        <f t="shared" si="156"/>
        <v>719</v>
      </c>
      <c r="AD428" s="270">
        <f t="shared" si="155"/>
        <v>719</v>
      </c>
      <c r="AE428" s="270">
        <f t="shared" si="158"/>
        <v>719</v>
      </c>
      <c r="AF428" s="270">
        <f t="shared" si="157"/>
        <v>719</v>
      </c>
      <c r="AG428" s="270">
        <f t="shared" si="157"/>
        <v>719</v>
      </c>
      <c r="AH428" s="270">
        <f t="shared" si="157"/>
        <v>719</v>
      </c>
      <c r="AI428" s="270">
        <f t="shared" si="157"/>
        <v>719</v>
      </c>
      <c r="AJ428" s="270">
        <f t="shared" si="157"/>
        <v>719</v>
      </c>
      <c r="AK428" s="270">
        <f t="shared" si="157"/>
        <v>719</v>
      </c>
      <c r="AL428" s="270">
        <f t="shared" si="157"/>
        <v>719</v>
      </c>
      <c r="AM428" s="270">
        <f t="shared" si="157"/>
        <v>719</v>
      </c>
    </row>
    <row r="429" spans="2:39" ht="15.75" thickBot="1" x14ac:dyDescent="0.35">
      <c r="B429" s="56" t="str">
        <f>input_names!$C$3</f>
        <v>diesel</v>
      </c>
      <c r="C429" s="61">
        <v>27</v>
      </c>
      <c r="D429" s="270">
        <f t="shared" si="155"/>
        <v>337</v>
      </c>
      <c r="E429" s="270">
        <f t="shared" si="155"/>
        <v>337</v>
      </c>
      <c r="F429" s="270">
        <f t="shared" si="155"/>
        <v>407</v>
      </c>
      <c r="G429" s="270">
        <f t="shared" si="155"/>
        <v>410</v>
      </c>
      <c r="H429" s="270">
        <f t="shared" si="155"/>
        <v>414</v>
      </c>
      <c r="I429" s="270">
        <f t="shared" si="155"/>
        <v>420</v>
      </c>
      <c r="J429" s="270">
        <f t="shared" si="155"/>
        <v>399</v>
      </c>
      <c r="K429" s="270">
        <f t="shared" si="155"/>
        <v>403</v>
      </c>
      <c r="L429" s="270">
        <f t="shared" si="155"/>
        <v>454</v>
      </c>
      <c r="M429" s="270">
        <f t="shared" si="155"/>
        <v>494</v>
      </c>
      <c r="N429" s="270">
        <f t="shared" si="155"/>
        <v>721</v>
      </c>
      <c r="O429" s="270">
        <f t="shared" si="155"/>
        <v>721</v>
      </c>
      <c r="P429" s="270">
        <f t="shared" si="155"/>
        <v>721</v>
      </c>
      <c r="Q429" s="270">
        <f t="shared" si="155"/>
        <v>721</v>
      </c>
      <c r="R429" s="270">
        <f t="shared" si="155"/>
        <v>721</v>
      </c>
      <c r="S429" s="270">
        <f t="shared" si="156"/>
        <v>721</v>
      </c>
      <c r="T429" s="270">
        <f t="shared" si="156"/>
        <v>721</v>
      </c>
      <c r="U429" s="270">
        <f t="shared" si="156"/>
        <v>721</v>
      </c>
      <c r="V429" s="270">
        <f t="shared" si="156"/>
        <v>721</v>
      </c>
      <c r="W429" s="270">
        <f t="shared" si="156"/>
        <v>721</v>
      </c>
      <c r="X429" s="270">
        <f t="shared" si="156"/>
        <v>721</v>
      </c>
      <c r="Y429" s="270">
        <f t="shared" si="156"/>
        <v>721</v>
      </c>
      <c r="Z429" s="270">
        <f t="shared" si="156"/>
        <v>721</v>
      </c>
      <c r="AA429" s="270">
        <f t="shared" si="156"/>
        <v>721</v>
      </c>
      <c r="AB429" s="270">
        <f t="shared" si="156"/>
        <v>721</v>
      </c>
      <c r="AC429" s="270">
        <f t="shared" si="156"/>
        <v>721</v>
      </c>
      <c r="AD429" s="270">
        <f t="shared" si="155"/>
        <v>721</v>
      </c>
      <c r="AE429" s="270">
        <f t="shared" si="158"/>
        <v>721</v>
      </c>
      <c r="AF429" s="270">
        <f t="shared" si="157"/>
        <v>721</v>
      </c>
      <c r="AG429" s="270">
        <f t="shared" si="157"/>
        <v>721</v>
      </c>
      <c r="AH429" s="270">
        <f t="shared" si="157"/>
        <v>721</v>
      </c>
      <c r="AI429" s="270">
        <f t="shared" si="157"/>
        <v>721</v>
      </c>
      <c r="AJ429" s="270">
        <f t="shared" si="157"/>
        <v>721</v>
      </c>
      <c r="AK429" s="270">
        <f t="shared" si="157"/>
        <v>721</v>
      </c>
      <c r="AL429" s="270">
        <f t="shared" si="157"/>
        <v>721</v>
      </c>
      <c r="AM429" s="270">
        <f t="shared" si="157"/>
        <v>721</v>
      </c>
    </row>
    <row r="430" spans="2:39" ht="15.75" thickBot="1" x14ac:dyDescent="0.35">
      <c r="B430" s="56" t="str">
        <f>input_names!$C$3</f>
        <v>diesel</v>
      </c>
      <c r="C430" s="61">
        <v>28</v>
      </c>
      <c r="D430" s="270">
        <f t="shared" si="155"/>
        <v>343</v>
      </c>
      <c r="E430" s="270">
        <f t="shared" si="155"/>
        <v>343</v>
      </c>
      <c r="F430" s="270">
        <f t="shared" si="155"/>
        <v>409</v>
      </c>
      <c r="G430" s="270">
        <f t="shared" si="155"/>
        <v>412</v>
      </c>
      <c r="H430" s="270">
        <f t="shared" si="155"/>
        <v>416</v>
      </c>
      <c r="I430" s="270">
        <f t="shared" si="155"/>
        <v>422</v>
      </c>
      <c r="J430" s="270">
        <f t="shared" si="155"/>
        <v>400</v>
      </c>
      <c r="K430" s="270">
        <f t="shared" si="155"/>
        <v>404</v>
      </c>
      <c r="L430" s="270">
        <f t="shared" si="155"/>
        <v>456</v>
      </c>
      <c r="M430" s="270">
        <f t="shared" si="155"/>
        <v>496</v>
      </c>
      <c r="N430" s="270">
        <f t="shared" si="155"/>
        <v>723</v>
      </c>
      <c r="O430" s="270">
        <f t="shared" si="155"/>
        <v>723</v>
      </c>
      <c r="P430" s="270">
        <f t="shared" si="155"/>
        <v>723</v>
      </c>
      <c r="Q430" s="270">
        <f t="shared" si="155"/>
        <v>723</v>
      </c>
      <c r="R430" s="270">
        <f t="shared" si="155"/>
        <v>723</v>
      </c>
      <c r="S430" s="270">
        <f t="shared" si="156"/>
        <v>723</v>
      </c>
      <c r="T430" s="270">
        <f t="shared" si="156"/>
        <v>723</v>
      </c>
      <c r="U430" s="270">
        <f t="shared" si="156"/>
        <v>723</v>
      </c>
      <c r="V430" s="270">
        <f t="shared" si="156"/>
        <v>723</v>
      </c>
      <c r="W430" s="270">
        <f t="shared" si="156"/>
        <v>723</v>
      </c>
      <c r="X430" s="270">
        <f t="shared" si="156"/>
        <v>723</v>
      </c>
      <c r="Y430" s="270">
        <f t="shared" si="156"/>
        <v>723</v>
      </c>
      <c r="Z430" s="270">
        <f t="shared" si="156"/>
        <v>723</v>
      </c>
      <c r="AA430" s="270">
        <f t="shared" si="156"/>
        <v>723</v>
      </c>
      <c r="AB430" s="270">
        <f t="shared" si="156"/>
        <v>723</v>
      </c>
      <c r="AC430" s="270">
        <f t="shared" si="156"/>
        <v>723</v>
      </c>
      <c r="AD430" s="270">
        <f t="shared" si="155"/>
        <v>723</v>
      </c>
      <c r="AE430" s="270">
        <f t="shared" si="158"/>
        <v>723</v>
      </c>
      <c r="AF430" s="270">
        <f t="shared" si="157"/>
        <v>723</v>
      </c>
      <c r="AG430" s="270">
        <f t="shared" si="157"/>
        <v>723</v>
      </c>
      <c r="AH430" s="270">
        <f t="shared" si="157"/>
        <v>723</v>
      </c>
      <c r="AI430" s="270">
        <f t="shared" si="157"/>
        <v>723</v>
      </c>
      <c r="AJ430" s="270">
        <f t="shared" si="157"/>
        <v>723</v>
      </c>
      <c r="AK430" s="270">
        <f t="shared" si="157"/>
        <v>723</v>
      </c>
      <c r="AL430" s="270">
        <f t="shared" si="157"/>
        <v>723</v>
      </c>
      <c r="AM430" s="270">
        <f t="shared" si="157"/>
        <v>723</v>
      </c>
    </row>
    <row r="431" spans="2:39" ht="15.75" thickBot="1" x14ac:dyDescent="0.35">
      <c r="B431" s="56" t="str">
        <f>input_names!$C$3</f>
        <v>diesel</v>
      </c>
      <c r="C431" s="61">
        <v>29</v>
      </c>
      <c r="D431" s="270">
        <f t="shared" si="155"/>
        <v>349</v>
      </c>
      <c r="E431" s="270">
        <f t="shared" si="155"/>
        <v>349</v>
      </c>
      <c r="F431" s="270">
        <f t="shared" si="155"/>
        <v>411</v>
      </c>
      <c r="G431" s="270">
        <f t="shared" si="155"/>
        <v>414</v>
      </c>
      <c r="H431" s="270">
        <f t="shared" si="155"/>
        <v>418</v>
      </c>
      <c r="I431" s="270">
        <f t="shared" si="155"/>
        <v>424</v>
      </c>
      <c r="J431" s="270">
        <f t="shared" si="155"/>
        <v>401</v>
      </c>
      <c r="K431" s="270">
        <f t="shared" si="155"/>
        <v>405</v>
      </c>
      <c r="L431" s="270">
        <f t="shared" si="155"/>
        <v>458</v>
      </c>
      <c r="M431" s="270">
        <f t="shared" si="155"/>
        <v>498</v>
      </c>
      <c r="N431" s="270">
        <f t="shared" si="155"/>
        <v>725</v>
      </c>
      <c r="O431" s="270">
        <f t="shared" si="155"/>
        <v>725</v>
      </c>
      <c r="P431" s="270">
        <f t="shared" si="155"/>
        <v>725</v>
      </c>
      <c r="Q431" s="270">
        <f t="shared" si="155"/>
        <v>725</v>
      </c>
      <c r="R431" s="270">
        <f t="shared" si="155"/>
        <v>725</v>
      </c>
      <c r="S431" s="270">
        <f t="shared" si="156"/>
        <v>725</v>
      </c>
      <c r="T431" s="270">
        <f t="shared" si="156"/>
        <v>725</v>
      </c>
      <c r="U431" s="270">
        <f t="shared" si="156"/>
        <v>725</v>
      </c>
      <c r="V431" s="270">
        <f t="shared" si="156"/>
        <v>725</v>
      </c>
      <c r="W431" s="270">
        <f t="shared" si="156"/>
        <v>725</v>
      </c>
      <c r="X431" s="270">
        <f t="shared" si="156"/>
        <v>725</v>
      </c>
      <c r="Y431" s="270">
        <f t="shared" si="156"/>
        <v>725</v>
      </c>
      <c r="Z431" s="270">
        <f t="shared" si="156"/>
        <v>725</v>
      </c>
      <c r="AA431" s="270">
        <f t="shared" si="156"/>
        <v>725</v>
      </c>
      <c r="AB431" s="270">
        <f t="shared" si="156"/>
        <v>725</v>
      </c>
      <c r="AC431" s="270">
        <f t="shared" si="156"/>
        <v>725</v>
      </c>
      <c r="AD431" s="270">
        <f t="shared" si="155"/>
        <v>725</v>
      </c>
      <c r="AE431" s="270">
        <f t="shared" si="158"/>
        <v>725</v>
      </c>
      <c r="AF431" s="270">
        <f t="shared" si="157"/>
        <v>725</v>
      </c>
      <c r="AG431" s="270">
        <f t="shared" si="157"/>
        <v>725</v>
      </c>
      <c r="AH431" s="270">
        <f t="shared" si="157"/>
        <v>725</v>
      </c>
      <c r="AI431" s="270">
        <f t="shared" si="157"/>
        <v>725</v>
      </c>
      <c r="AJ431" s="270">
        <f t="shared" si="157"/>
        <v>725</v>
      </c>
      <c r="AK431" s="270">
        <f t="shared" si="157"/>
        <v>725</v>
      </c>
      <c r="AL431" s="270">
        <f t="shared" si="157"/>
        <v>725</v>
      </c>
      <c r="AM431" s="270">
        <f t="shared" si="157"/>
        <v>725</v>
      </c>
    </row>
    <row r="432" spans="2:39" ht="15.75" thickBot="1" x14ac:dyDescent="0.35">
      <c r="B432" s="56" t="str">
        <f>input_names!$C$3</f>
        <v>diesel</v>
      </c>
      <c r="C432" s="61">
        <v>30</v>
      </c>
      <c r="D432" s="270">
        <f t="shared" si="155"/>
        <v>355</v>
      </c>
      <c r="E432" s="270">
        <f t="shared" si="155"/>
        <v>355</v>
      </c>
      <c r="F432" s="270">
        <f t="shared" si="155"/>
        <v>413</v>
      </c>
      <c r="G432" s="270">
        <f t="shared" si="155"/>
        <v>416</v>
      </c>
      <c r="H432" s="270">
        <f t="shared" si="155"/>
        <v>420</v>
      </c>
      <c r="I432" s="270">
        <f t="shared" si="155"/>
        <v>426</v>
      </c>
      <c r="J432" s="270">
        <f t="shared" si="155"/>
        <v>402</v>
      </c>
      <c r="K432" s="270">
        <f t="shared" si="155"/>
        <v>406</v>
      </c>
      <c r="L432" s="270">
        <f t="shared" si="155"/>
        <v>460</v>
      </c>
      <c r="M432" s="270">
        <f t="shared" si="155"/>
        <v>500</v>
      </c>
      <c r="N432" s="270">
        <f t="shared" si="155"/>
        <v>727</v>
      </c>
      <c r="O432" s="270">
        <f t="shared" si="155"/>
        <v>727</v>
      </c>
      <c r="P432" s="270">
        <f t="shared" si="155"/>
        <v>727</v>
      </c>
      <c r="Q432" s="270">
        <f t="shared" si="155"/>
        <v>727</v>
      </c>
      <c r="R432" s="270">
        <f t="shared" si="155"/>
        <v>727</v>
      </c>
      <c r="S432" s="270">
        <f t="shared" si="156"/>
        <v>727</v>
      </c>
      <c r="T432" s="270">
        <f t="shared" si="156"/>
        <v>727</v>
      </c>
      <c r="U432" s="270">
        <f t="shared" si="156"/>
        <v>727</v>
      </c>
      <c r="V432" s="270">
        <f t="shared" si="156"/>
        <v>727</v>
      </c>
      <c r="W432" s="270">
        <f t="shared" si="156"/>
        <v>727</v>
      </c>
      <c r="X432" s="270">
        <f t="shared" si="156"/>
        <v>727</v>
      </c>
      <c r="Y432" s="270">
        <f t="shared" si="156"/>
        <v>727</v>
      </c>
      <c r="Z432" s="270">
        <f t="shared" si="156"/>
        <v>727</v>
      </c>
      <c r="AA432" s="270">
        <f t="shared" si="156"/>
        <v>727</v>
      </c>
      <c r="AB432" s="270">
        <f t="shared" si="156"/>
        <v>727</v>
      </c>
      <c r="AC432" s="270">
        <f t="shared" si="156"/>
        <v>727</v>
      </c>
      <c r="AD432" s="270">
        <f t="shared" si="155"/>
        <v>727</v>
      </c>
      <c r="AE432" s="270">
        <f t="shared" si="158"/>
        <v>727</v>
      </c>
      <c r="AF432" s="270">
        <f t="shared" si="157"/>
        <v>727</v>
      </c>
      <c r="AG432" s="270">
        <f t="shared" si="157"/>
        <v>727</v>
      </c>
      <c r="AH432" s="270">
        <f t="shared" si="157"/>
        <v>727</v>
      </c>
      <c r="AI432" s="270">
        <f t="shared" si="157"/>
        <v>727</v>
      </c>
      <c r="AJ432" s="270">
        <f t="shared" si="157"/>
        <v>727</v>
      </c>
      <c r="AK432" s="270">
        <f t="shared" si="157"/>
        <v>727</v>
      </c>
      <c r="AL432" s="270">
        <f t="shared" si="157"/>
        <v>727</v>
      </c>
      <c r="AM432" s="270">
        <f t="shared" si="157"/>
        <v>727</v>
      </c>
    </row>
    <row r="433" spans="2:39" ht="15.75" thickBot="1" x14ac:dyDescent="0.35">
      <c r="B433" s="56" t="str">
        <f>input_names!$C$3</f>
        <v>diesel</v>
      </c>
      <c r="C433" s="61">
        <v>31</v>
      </c>
      <c r="D433" s="270">
        <f t="shared" si="155"/>
        <v>361</v>
      </c>
      <c r="E433" s="270">
        <f t="shared" si="155"/>
        <v>361</v>
      </c>
      <c r="F433" s="270">
        <f t="shared" si="155"/>
        <v>415</v>
      </c>
      <c r="G433" s="270">
        <f t="shared" si="155"/>
        <v>418</v>
      </c>
      <c r="H433" s="270">
        <f t="shared" si="155"/>
        <v>422</v>
      </c>
      <c r="I433" s="270">
        <f t="shared" si="155"/>
        <v>428</v>
      </c>
      <c r="J433" s="270">
        <f t="shared" si="155"/>
        <v>403</v>
      </c>
      <c r="K433" s="270">
        <f t="shared" si="155"/>
        <v>407</v>
      </c>
      <c r="L433" s="270">
        <f t="shared" si="155"/>
        <v>462</v>
      </c>
      <c r="M433" s="270">
        <f t="shared" si="155"/>
        <v>502</v>
      </c>
      <c r="N433" s="270">
        <f t="shared" si="155"/>
        <v>729</v>
      </c>
      <c r="O433" s="270">
        <f t="shared" si="155"/>
        <v>729</v>
      </c>
      <c r="P433" s="270">
        <f t="shared" si="155"/>
        <v>729</v>
      </c>
      <c r="Q433" s="270">
        <f t="shared" si="155"/>
        <v>729</v>
      </c>
      <c r="R433" s="270">
        <f t="shared" si="155"/>
        <v>729</v>
      </c>
      <c r="S433" s="270">
        <f t="shared" si="156"/>
        <v>729</v>
      </c>
      <c r="T433" s="270">
        <f t="shared" si="156"/>
        <v>729</v>
      </c>
      <c r="U433" s="270">
        <f t="shared" si="156"/>
        <v>729</v>
      </c>
      <c r="V433" s="270">
        <f t="shared" si="156"/>
        <v>729</v>
      </c>
      <c r="W433" s="270">
        <f t="shared" si="156"/>
        <v>729</v>
      </c>
      <c r="X433" s="270">
        <f t="shared" si="156"/>
        <v>729</v>
      </c>
      <c r="Y433" s="270">
        <f t="shared" si="156"/>
        <v>729</v>
      </c>
      <c r="Z433" s="270">
        <f t="shared" si="156"/>
        <v>729</v>
      </c>
      <c r="AA433" s="270">
        <f t="shared" si="156"/>
        <v>729</v>
      </c>
      <c r="AB433" s="270">
        <f t="shared" si="156"/>
        <v>729</v>
      </c>
      <c r="AC433" s="270">
        <f t="shared" si="156"/>
        <v>729</v>
      </c>
      <c r="AD433" s="270">
        <f t="shared" si="155"/>
        <v>729</v>
      </c>
      <c r="AE433" s="270">
        <f t="shared" si="158"/>
        <v>729</v>
      </c>
      <c r="AF433" s="270">
        <f t="shared" si="157"/>
        <v>729</v>
      </c>
      <c r="AG433" s="270">
        <f t="shared" si="157"/>
        <v>729</v>
      </c>
      <c r="AH433" s="270">
        <f t="shared" si="157"/>
        <v>729</v>
      </c>
      <c r="AI433" s="270">
        <f t="shared" si="157"/>
        <v>729</v>
      </c>
      <c r="AJ433" s="270">
        <f t="shared" si="157"/>
        <v>729</v>
      </c>
      <c r="AK433" s="270">
        <f t="shared" si="157"/>
        <v>729</v>
      </c>
      <c r="AL433" s="270">
        <f t="shared" si="157"/>
        <v>729</v>
      </c>
      <c r="AM433" s="270">
        <f t="shared" si="157"/>
        <v>729</v>
      </c>
    </row>
    <row r="434" spans="2:39" ht="15.75" thickBot="1" x14ac:dyDescent="0.35">
      <c r="B434" s="56" t="str">
        <f>input_names!$C$3</f>
        <v>diesel</v>
      </c>
      <c r="C434" s="61">
        <v>32</v>
      </c>
      <c r="D434" s="270">
        <f t="shared" ref="D434:AD449" si="159">+MIN(MAX(0,$C434-D$11),D$12-D$11)*D$17
+MIN(MAX(0,$C434-D$12),D$13-D$12)*D$18
+MIN(MAX(0,$C434-D$13),D$14-D$13)*D$19
+MIN(MAX(0,$C434-D$14),D$15-D$14)*D$20
+MAX(0,$C434-D$15)*D$21
+D$24*MAX(0,$C434-D$23)
+D$26</f>
        <v>367</v>
      </c>
      <c r="E434" s="270">
        <f t="shared" si="159"/>
        <v>367</v>
      </c>
      <c r="F434" s="270">
        <f t="shared" si="159"/>
        <v>417</v>
      </c>
      <c r="G434" s="270">
        <f t="shared" si="159"/>
        <v>420</v>
      </c>
      <c r="H434" s="270">
        <f t="shared" si="159"/>
        <v>424</v>
      </c>
      <c r="I434" s="270">
        <f t="shared" si="159"/>
        <v>430</v>
      </c>
      <c r="J434" s="270">
        <f t="shared" si="159"/>
        <v>404</v>
      </c>
      <c r="K434" s="270">
        <f t="shared" si="159"/>
        <v>408</v>
      </c>
      <c r="L434" s="270">
        <f t="shared" si="159"/>
        <v>464</v>
      </c>
      <c r="M434" s="270">
        <f t="shared" si="159"/>
        <v>504</v>
      </c>
      <c r="N434" s="270">
        <f t="shared" si="159"/>
        <v>731</v>
      </c>
      <c r="O434" s="270">
        <f t="shared" si="159"/>
        <v>731</v>
      </c>
      <c r="P434" s="270">
        <f t="shared" si="159"/>
        <v>731</v>
      </c>
      <c r="Q434" s="270">
        <f t="shared" si="159"/>
        <v>731</v>
      </c>
      <c r="R434" s="270">
        <f t="shared" si="159"/>
        <v>731</v>
      </c>
      <c r="S434" s="270">
        <f t="shared" si="156"/>
        <v>731</v>
      </c>
      <c r="T434" s="270">
        <f t="shared" si="156"/>
        <v>731</v>
      </c>
      <c r="U434" s="270">
        <f t="shared" si="156"/>
        <v>731</v>
      </c>
      <c r="V434" s="270">
        <f t="shared" si="156"/>
        <v>731</v>
      </c>
      <c r="W434" s="270">
        <f t="shared" si="156"/>
        <v>731</v>
      </c>
      <c r="X434" s="270">
        <f t="shared" si="156"/>
        <v>731</v>
      </c>
      <c r="Y434" s="270">
        <f t="shared" si="156"/>
        <v>731</v>
      </c>
      <c r="Z434" s="270">
        <f t="shared" si="156"/>
        <v>731</v>
      </c>
      <c r="AA434" s="270">
        <f t="shared" si="156"/>
        <v>731</v>
      </c>
      <c r="AB434" s="270">
        <f t="shared" si="156"/>
        <v>731</v>
      </c>
      <c r="AC434" s="270">
        <f t="shared" si="156"/>
        <v>731</v>
      </c>
      <c r="AD434" s="270">
        <f t="shared" si="159"/>
        <v>731</v>
      </c>
      <c r="AE434" s="270">
        <f t="shared" si="158"/>
        <v>731</v>
      </c>
      <c r="AF434" s="270">
        <f t="shared" si="157"/>
        <v>731</v>
      </c>
      <c r="AG434" s="270">
        <f t="shared" si="157"/>
        <v>731</v>
      </c>
      <c r="AH434" s="270">
        <f t="shared" si="157"/>
        <v>731</v>
      </c>
      <c r="AI434" s="270">
        <f t="shared" si="157"/>
        <v>731</v>
      </c>
      <c r="AJ434" s="270">
        <f t="shared" si="157"/>
        <v>731</v>
      </c>
      <c r="AK434" s="270">
        <f t="shared" si="157"/>
        <v>731</v>
      </c>
      <c r="AL434" s="270">
        <f t="shared" si="157"/>
        <v>731</v>
      </c>
      <c r="AM434" s="270">
        <f t="shared" si="157"/>
        <v>731</v>
      </c>
    </row>
    <row r="435" spans="2:39" ht="15.75" thickBot="1" x14ac:dyDescent="0.35">
      <c r="B435" s="56" t="str">
        <f>input_names!$C$3</f>
        <v>diesel</v>
      </c>
      <c r="C435" s="61">
        <v>33</v>
      </c>
      <c r="D435" s="270">
        <f t="shared" si="159"/>
        <v>373</v>
      </c>
      <c r="E435" s="270">
        <f t="shared" si="159"/>
        <v>373</v>
      </c>
      <c r="F435" s="270">
        <f t="shared" si="159"/>
        <v>419</v>
      </c>
      <c r="G435" s="270">
        <f t="shared" si="159"/>
        <v>422</v>
      </c>
      <c r="H435" s="270">
        <f t="shared" si="159"/>
        <v>426</v>
      </c>
      <c r="I435" s="270">
        <f t="shared" si="159"/>
        <v>432</v>
      </c>
      <c r="J435" s="270">
        <f t="shared" si="159"/>
        <v>405</v>
      </c>
      <c r="K435" s="270">
        <f t="shared" si="159"/>
        <v>409</v>
      </c>
      <c r="L435" s="270">
        <f t="shared" si="159"/>
        <v>466</v>
      </c>
      <c r="M435" s="270">
        <f t="shared" si="159"/>
        <v>506</v>
      </c>
      <c r="N435" s="270">
        <f t="shared" si="159"/>
        <v>733</v>
      </c>
      <c r="O435" s="270">
        <f t="shared" si="159"/>
        <v>733</v>
      </c>
      <c r="P435" s="270">
        <f t="shared" si="159"/>
        <v>733</v>
      </c>
      <c r="Q435" s="270">
        <f t="shared" si="159"/>
        <v>733</v>
      </c>
      <c r="R435" s="270">
        <f t="shared" si="159"/>
        <v>733</v>
      </c>
      <c r="S435" s="270">
        <f t="shared" si="156"/>
        <v>733</v>
      </c>
      <c r="T435" s="270">
        <f t="shared" si="156"/>
        <v>733</v>
      </c>
      <c r="U435" s="270">
        <f t="shared" si="156"/>
        <v>733</v>
      </c>
      <c r="V435" s="270">
        <f t="shared" si="156"/>
        <v>733</v>
      </c>
      <c r="W435" s="270">
        <f t="shared" si="156"/>
        <v>733</v>
      </c>
      <c r="X435" s="270">
        <f t="shared" si="156"/>
        <v>733</v>
      </c>
      <c r="Y435" s="270">
        <f t="shared" si="156"/>
        <v>733</v>
      </c>
      <c r="Z435" s="270">
        <f t="shared" si="156"/>
        <v>733</v>
      </c>
      <c r="AA435" s="270">
        <f t="shared" si="156"/>
        <v>733</v>
      </c>
      <c r="AB435" s="270">
        <f t="shared" si="156"/>
        <v>733</v>
      </c>
      <c r="AC435" s="270">
        <f t="shared" si="156"/>
        <v>733</v>
      </c>
      <c r="AD435" s="270">
        <f t="shared" si="159"/>
        <v>733</v>
      </c>
      <c r="AE435" s="270">
        <f t="shared" si="158"/>
        <v>733</v>
      </c>
      <c r="AF435" s="270">
        <f t="shared" si="157"/>
        <v>733</v>
      </c>
      <c r="AG435" s="270">
        <f t="shared" si="157"/>
        <v>733</v>
      </c>
      <c r="AH435" s="270">
        <f t="shared" si="157"/>
        <v>733</v>
      </c>
      <c r="AI435" s="270">
        <f t="shared" si="157"/>
        <v>733</v>
      </c>
      <c r="AJ435" s="270">
        <f t="shared" si="157"/>
        <v>733</v>
      </c>
      <c r="AK435" s="270">
        <f t="shared" si="157"/>
        <v>733</v>
      </c>
      <c r="AL435" s="270">
        <f t="shared" si="157"/>
        <v>733</v>
      </c>
      <c r="AM435" s="270">
        <f t="shared" si="157"/>
        <v>733</v>
      </c>
    </row>
    <row r="436" spans="2:39" ht="15.75" thickBot="1" x14ac:dyDescent="0.35">
      <c r="B436" s="56" t="str">
        <f>input_names!$C$3</f>
        <v>diesel</v>
      </c>
      <c r="C436" s="61">
        <v>34</v>
      </c>
      <c r="D436" s="270">
        <f t="shared" si="159"/>
        <v>379</v>
      </c>
      <c r="E436" s="270">
        <f t="shared" si="159"/>
        <v>379</v>
      </c>
      <c r="F436" s="270">
        <f t="shared" si="159"/>
        <v>421</v>
      </c>
      <c r="G436" s="270">
        <f t="shared" si="159"/>
        <v>424</v>
      </c>
      <c r="H436" s="270">
        <f t="shared" si="159"/>
        <v>428</v>
      </c>
      <c r="I436" s="270">
        <f t="shared" si="159"/>
        <v>434</v>
      </c>
      <c r="J436" s="270">
        <f t="shared" si="159"/>
        <v>406</v>
      </c>
      <c r="K436" s="270">
        <f t="shared" si="159"/>
        <v>410</v>
      </c>
      <c r="L436" s="270">
        <f t="shared" si="159"/>
        <v>468</v>
      </c>
      <c r="M436" s="270">
        <f t="shared" si="159"/>
        <v>508</v>
      </c>
      <c r="N436" s="270">
        <f t="shared" si="159"/>
        <v>735</v>
      </c>
      <c r="O436" s="270">
        <f t="shared" si="159"/>
        <v>735</v>
      </c>
      <c r="P436" s="270">
        <f t="shared" si="159"/>
        <v>735</v>
      </c>
      <c r="Q436" s="270">
        <f t="shared" si="159"/>
        <v>735</v>
      </c>
      <c r="R436" s="270">
        <f t="shared" si="159"/>
        <v>735</v>
      </c>
      <c r="S436" s="270">
        <f t="shared" si="156"/>
        <v>735</v>
      </c>
      <c r="T436" s="270">
        <f t="shared" si="156"/>
        <v>735</v>
      </c>
      <c r="U436" s="270">
        <f t="shared" si="156"/>
        <v>735</v>
      </c>
      <c r="V436" s="270">
        <f t="shared" si="156"/>
        <v>735</v>
      </c>
      <c r="W436" s="270">
        <f t="shared" si="156"/>
        <v>735</v>
      </c>
      <c r="X436" s="270">
        <f t="shared" si="156"/>
        <v>735</v>
      </c>
      <c r="Y436" s="270">
        <f t="shared" si="156"/>
        <v>735</v>
      </c>
      <c r="Z436" s="270">
        <f t="shared" si="156"/>
        <v>735</v>
      </c>
      <c r="AA436" s="270">
        <f t="shared" si="156"/>
        <v>735</v>
      </c>
      <c r="AB436" s="270">
        <f t="shared" si="156"/>
        <v>735</v>
      </c>
      <c r="AC436" s="270">
        <f t="shared" si="156"/>
        <v>735</v>
      </c>
      <c r="AD436" s="270">
        <f t="shared" si="159"/>
        <v>735</v>
      </c>
      <c r="AE436" s="270">
        <f t="shared" si="158"/>
        <v>735</v>
      </c>
      <c r="AF436" s="270">
        <f t="shared" si="157"/>
        <v>735</v>
      </c>
      <c r="AG436" s="270">
        <f t="shared" si="157"/>
        <v>735</v>
      </c>
      <c r="AH436" s="270">
        <f t="shared" si="157"/>
        <v>735</v>
      </c>
      <c r="AI436" s="270">
        <f t="shared" si="157"/>
        <v>735</v>
      </c>
      <c r="AJ436" s="270">
        <f t="shared" si="157"/>
        <v>735</v>
      </c>
      <c r="AK436" s="270">
        <f t="shared" si="157"/>
        <v>735</v>
      </c>
      <c r="AL436" s="270">
        <f t="shared" si="157"/>
        <v>735</v>
      </c>
      <c r="AM436" s="270">
        <f t="shared" si="157"/>
        <v>735</v>
      </c>
    </row>
    <row r="437" spans="2:39" ht="15.75" thickBot="1" x14ac:dyDescent="0.35">
      <c r="B437" s="56" t="str">
        <f>input_names!$C$3</f>
        <v>diesel</v>
      </c>
      <c r="C437" s="61">
        <v>35</v>
      </c>
      <c r="D437" s="270">
        <f t="shared" si="159"/>
        <v>385</v>
      </c>
      <c r="E437" s="270">
        <f t="shared" si="159"/>
        <v>385</v>
      </c>
      <c r="F437" s="270">
        <f t="shared" si="159"/>
        <v>423</v>
      </c>
      <c r="G437" s="270">
        <f t="shared" si="159"/>
        <v>426</v>
      </c>
      <c r="H437" s="270">
        <f t="shared" si="159"/>
        <v>430</v>
      </c>
      <c r="I437" s="270">
        <f t="shared" si="159"/>
        <v>436</v>
      </c>
      <c r="J437" s="270">
        <f t="shared" si="159"/>
        <v>407</v>
      </c>
      <c r="K437" s="270">
        <f t="shared" si="159"/>
        <v>411</v>
      </c>
      <c r="L437" s="270">
        <f t="shared" si="159"/>
        <v>470</v>
      </c>
      <c r="M437" s="270">
        <f t="shared" si="159"/>
        <v>510</v>
      </c>
      <c r="N437" s="270">
        <f t="shared" si="159"/>
        <v>737</v>
      </c>
      <c r="O437" s="270">
        <f t="shared" si="159"/>
        <v>737</v>
      </c>
      <c r="P437" s="270">
        <f t="shared" si="159"/>
        <v>737</v>
      </c>
      <c r="Q437" s="270">
        <f t="shared" si="159"/>
        <v>737</v>
      </c>
      <c r="R437" s="270">
        <f t="shared" si="159"/>
        <v>737</v>
      </c>
      <c r="S437" s="270">
        <f t="shared" si="156"/>
        <v>737</v>
      </c>
      <c r="T437" s="270">
        <f t="shared" si="156"/>
        <v>737</v>
      </c>
      <c r="U437" s="270">
        <f t="shared" si="156"/>
        <v>737</v>
      </c>
      <c r="V437" s="270">
        <f t="shared" si="156"/>
        <v>737</v>
      </c>
      <c r="W437" s="270">
        <f t="shared" si="156"/>
        <v>737</v>
      </c>
      <c r="X437" s="270">
        <f t="shared" si="156"/>
        <v>737</v>
      </c>
      <c r="Y437" s="270">
        <f t="shared" si="156"/>
        <v>737</v>
      </c>
      <c r="Z437" s="270">
        <f t="shared" si="156"/>
        <v>737</v>
      </c>
      <c r="AA437" s="270">
        <f t="shared" si="156"/>
        <v>737</v>
      </c>
      <c r="AB437" s="270">
        <f t="shared" si="156"/>
        <v>737</v>
      </c>
      <c r="AC437" s="270">
        <f t="shared" si="156"/>
        <v>737</v>
      </c>
      <c r="AD437" s="270">
        <f t="shared" si="159"/>
        <v>737</v>
      </c>
      <c r="AE437" s="270">
        <f t="shared" si="158"/>
        <v>737</v>
      </c>
      <c r="AF437" s="270">
        <f t="shared" si="157"/>
        <v>737</v>
      </c>
      <c r="AG437" s="270">
        <f t="shared" si="157"/>
        <v>737</v>
      </c>
      <c r="AH437" s="270">
        <f t="shared" si="157"/>
        <v>737</v>
      </c>
      <c r="AI437" s="270">
        <f t="shared" si="157"/>
        <v>737</v>
      </c>
      <c r="AJ437" s="270">
        <f t="shared" si="157"/>
        <v>737</v>
      </c>
      <c r="AK437" s="270">
        <f t="shared" si="157"/>
        <v>737</v>
      </c>
      <c r="AL437" s="270">
        <f t="shared" si="157"/>
        <v>737</v>
      </c>
      <c r="AM437" s="270">
        <f t="shared" si="157"/>
        <v>737</v>
      </c>
    </row>
    <row r="438" spans="2:39" ht="15.75" thickBot="1" x14ac:dyDescent="0.35">
      <c r="B438" s="56" t="str">
        <f>input_names!$C$3</f>
        <v>diesel</v>
      </c>
      <c r="C438" s="61">
        <v>36</v>
      </c>
      <c r="D438" s="270">
        <f t="shared" si="159"/>
        <v>391</v>
      </c>
      <c r="E438" s="270">
        <f t="shared" si="159"/>
        <v>391</v>
      </c>
      <c r="F438" s="270">
        <f t="shared" si="159"/>
        <v>425</v>
      </c>
      <c r="G438" s="270">
        <f t="shared" si="159"/>
        <v>428</v>
      </c>
      <c r="H438" s="270">
        <f t="shared" si="159"/>
        <v>432</v>
      </c>
      <c r="I438" s="270">
        <f t="shared" si="159"/>
        <v>438</v>
      </c>
      <c r="J438" s="270">
        <f t="shared" si="159"/>
        <v>408</v>
      </c>
      <c r="K438" s="270">
        <f t="shared" si="159"/>
        <v>412</v>
      </c>
      <c r="L438" s="270">
        <f t="shared" si="159"/>
        <v>472</v>
      </c>
      <c r="M438" s="270">
        <f t="shared" si="159"/>
        <v>512</v>
      </c>
      <c r="N438" s="270">
        <f t="shared" si="159"/>
        <v>739</v>
      </c>
      <c r="O438" s="270">
        <f t="shared" si="159"/>
        <v>739</v>
      </c>
      <c r="P438" s="270">
        <f t="shared" si="159"/>
        <v>739</v>
      </c>
      <c r="Q438" s="270">
        <f t="shared" si="159"/>
        <v>739</v>
      </c>
      <c r="R438" s="270">
        <f t="shared" si="159"/>
        <v>739</v>
      </c>
      <c r="S438" s="270">
        <f t="shared" si="156"/>
        <v>739</v>
      </c>
      <c r="T438" s="270">
        <f t="shared" si="156"/>
        <v>739</v>
      </c>
      <c r="U438" s="270">
        <f t="shared" si="156"/>
        <v>739</v>
      </c>
      <c r="V438" s="270">
        <f t="shared" si="156"/>
        <v>739</v>
      </c>
      <c r="W438" s="270">
        <f t="shared" si="156"/>
        <v>739</v>
      </c>
      <c r="X438" s="270">
        <f t="shared" si="156"/>
        <v>739</v>
      </c>
      <c r="Y438" s="270">
        <f t="shared" si="156"/>
        <v>739</v>
      </c>
      <c r="Z438" s="270">
        <f t="shared" si="156"/>
        <v>739</v>
      </c>
      <c r="AA438" s="270">
        <f t="shared" si="156"/>
        <v>739</v>
      </c>
      <c r="AB438" s="270">
        <f t="shared" si="156"/>
        <v>739</v>
      </c>
      <c r="AC438" s="270">
        <f t="shared" si="156"/>
        <v>739</v>
      </c>
      <c r="AD438" s="270">
        <f t="shared" si="159"/>
        <v>739</v>
      </c>
      <c r="AE438" s="270">
        <f t="shared" si="158"/>
        <v>739</v>
      </c>
      <c r="AF438" s="270">
        <f t="shared" si="157"/>
        <v>739</v>
      </c>
      <c r="AG438" s="270">
        <f t="shared" si="157"/>
        <v>739</v>
      </c>
      <c r="AH438" s="270">
        <f t="shared" si="157"/>
        <v>739</v>
      </c>
      <c r="AI438" s="270">
        <f t="shared" si="157"/>
        <v>739</v>
      </c>
      <c r="AJ438" s="270">
        <f t="shared" si="157"/>
        <v>739</v>
      </c>
      <c r="AK438" s="270">
        <f t="shared" si="157"/>
        <v>739</v>
      </c>
      <c r="AL438" s="270">
        <f t="shared" si="157"/>
        <v>739</v>
      </c>
      <c r="AM438" s="270">
        <f t="shared" si="157"/>
        <v>739</v>
      </c>
    </row>
    <row r="439" spans="2:39" ht="15.75" thickBot="1" x14ac:dyDescent="0.35">
      <c r="B439" s="56" t="str">
        <f>input_names!$C$3</f>
        <v>diesel</v>
      </c>
      <c r="C439" s="61">
        <v>37</v>
      </c>
      <c r="D439" s="270">
        <f t="shared" si="159"/>
        <v>397</v>
      </c>
      <c r="E439" s="270">
        <f t="shared" si="159"/>
        <v>397</v>
      </c>
      <c r="F439" s="270">
        <f t="shared" si="159"/>
        <v>427</v>
      </c>
      <c r="G439" s="270">
        <f t="shared" si="159"/>
        <v>430</v>
      </c>
      <c r="H439" s="270">
        <f t="shared" si="159"/>
        <v>434</v>
      </c>
      <c r="I439" s="270">
        <f t="shared" si="159"/>
        <v>440</v>
      </c>
      <c r="J439" s="270">
        <f t="shared" si="159"/>
        <v>409</v>
      </c>
      <c r="K439" s="270">
        <f t="shared" si="159"/>
        <v>413</v>
      </c>
      <c r="L439" s="270">
        <f t="shared" si="159"/>
        <v>474</v>
      </c>
      <c r="M439" s="270">
        <f t="shared" si="159"/>
        <v>514</v>
      </c>
      <c r="N439" s="270">
        <f t="shared" si="159"/>
        <v>741</v>
      </c>
      <c r="O439" s="270">
        <f t="shared" si="159"/>
        <v>741</v>
      </c>
      <c r="P439" s="270">
        <f t="shared" si="159"/>
        <v>741</v>
      </c>
      <c r="Q439" s="270">
        <f t="shared" si="159"/>
        <v>741</v>
      </c>
      <c r="R439" s="270">
        <f t="shared" si="159"/>
        <v>741</v>
      </c>
      <c r="S439" s="270">
        <f t="shared" si="156"/>
        <v>741</v>
      </c>
      <c r="T439" s="270">
        <f t="shared" si="156"/>
        <v>741</v>
      </c>
      <c r="U439" s="270">
        <f t="shared" si="156"/>
        <v>741</v>
      </c>
      <c r="V439" s="270">
        <f t="shared" si="156"/>
        <v>741</v>
      </c>
      <c r="W439" s="270">
        <f t="shared" si="156"/>
        <v>741</v>
      </c>
      <c r="X439" s="270">
        <f t="shared" si="156"/>
        <v>741</v>
      </c>
      <c r="Y439" s="270">
        <f t="shared" si="156"/>
        <v>741</v>
      </c>
      <c r="Z439" s="270">
        <f t="shared" si="156"/>
        <v>741</v>
      </c>
      <c r="AA439" s="270">
        <f t="shared" si="156"/>
        <v>741</v>
      </c>
      <c r="AB439" s="270">
        <f t="shared" si="156"/>
        <v>741</v>
      </c>
      <c r="AC439" s="270">
        <f t="shared" si="156"/>
        <v>741</v>
      </c>
      <c r="AD439" s="270">
        <f t="shared" si="159"/>
        <v>741</v>
      </c>
      <c r="AE439" s="270">
        <f t="shared" si="158"/>
        <v>741</v>
      </c>
      <c r="AF439" s="270">
        <f t="shared" si="157"/>
        <v>741</v>
      </c>
      <c r="AG439" s="270">
        <f t="shared" si="157"/>
        <v>741</v>
      </c>
      <c r="AH439" s="270">
        <f t="shared" si="157"/>
        <v>741</v>
      </c>
      <c r="AI439" s="270">
        <f t="shared" si="157"/>
        <v>741</v>
      </c>
      <c r="AJ439" s="270">
        <f t="shared" si="157"/>
        <v>741</v>
      </c>
      <c r="AK439" s="270">
        <f t="shared" si="157"/>
        <v>741</v>
      </c>
      <c r="AL439" s="270">
        <f t="shared" si="157"/>
        <v>741</v>
      </c>
      <c r="AM439" s="270">
        <f t="shared" si="157"/>
        <v>741</v>
      </c>
    </row>
    <row r="440" spans="2:39" ht="15.75" thickBot="1" x14ac:dyDescent="0.35">
      <c r="B440" s="56" t="str">
        <f>input_names!$C$3</f>
        <v>diesel</v>
      </c>
      <c r="C440" s="61">
        <v>38</v>
      </c>
      <c r="D440" s="270">
        <f t="shared" si="159"/>
        <v>403</v>
      </c>
      <c r="E440" s="270">
        <f t="shared" si="159"/>
        <v>403</v>
      </c>
      <c r="F440" s="270">
        <f t="shared" si="159"/>
        <v>429</v>
      </c>
      <c r="G440" s="270">
        <f t="shared" si="159"/>
        <v>432</v>
      </c>
      <c r="H440" s="270">
        <f t="shared" si="159"/>
        <v>436</v>
      </c>
      <c r="I440" s="270">
        <f t="shared" si="159"/>
        <v>442</v>
      </c>
      <c r="J440" s="270">
        <f t="shared" si="159"/>
        <v>410</v>
      </c>
      <c r="K440" s="270">
        <f t="shared" si="159"/>
        <v>414</v>
      </c>
      <c r="L440" s="270">
        <f t="shared" si="159"/>
        <v>476</v>
      </c>
      <c r="M440" s="270">
        <f t="shared" si="159"/>
        <v>516</v>
      </c>
      <c r="N440" s="270">
        <f t="shared" si="159"/>
        <v>743</v>
      </c>
      <c r="O440" s="270">
        <f t="shared" si="159"/>
        <v>743</v>
      </c>
      <c r="P440" s="270">
        <f t="shared" si="159"/>
        <v>743</v>
      </c>
      <c r="Q440" s="270">
        <f t="shared" si="159"/>
        <v>743</v>
      </c>
      <c r="R440" s="270">
        <f t="shared" si="159"/>
        <v>743</v>
      </c>
      <c r="S440" s="270">
        <f t="shared" si="156"/>
        <v>743</v>
      </c>
      <c r="T440" s="270">
        <f t="shared" si="156"/>
        <v>743</v>
      </c>
      <c r="U440" s="270">
        <f t="shared" si="156"/>
        <v>743</v>
      </c>
      <c r="V440" s="270">
        <f t="shared" si="156"/>
        <v>743</v>
      </c>
      <c r="W440" s="270">
        <f t="shared" si="156"/>
        <v>743</v>
      </c>
      <c r="X440" s="270">
        <f t="shared" si="156"/>
        <v>743</v>
      </c>
      <c r="Y440" s="270">
        <f t="shared" si="156"/>
        <v>743</v>
      </c>
      <c r="Z440" s="270">
        <f t="shared" si="156"/>
        <v>743</v>
      </c>
      <c r="AA440" s="270">
        <f t="shared" si="156"/>
        <v>743</v>
      </c>
      <c r="AB440" s="270">
        <f t="shared" si="156"/>
        <v>743</v>
      </c>
      <c r="AC440" s="270">
        <f t="shared" si="156"/>
        <v>743</v>
      </c>
      <c r="AD440" s="270">
        <f t="shared" si="159"/>
        <v>743</v>
      </c>
      <c r="AE440" s="270">
        <f t="shared" si="158"/>
        <v>743</v>
      </c>
      <c r="AF440" s="270">
        <f t="shared" si="157"/>
        <v>743</v>
      </c>
      <c r="AG440" s="270">
        <f t="shared" si="157"/>
        <v>743</v>
      </c>
      <c r="AH440" s="270">
        <f t="shared" si="157"/>
        <v>743</v>
      </c>
      <c r="AI440" s="270">
        <f t="shared" si="157"/>
        <v>743</v>
      </c>
      <c r="AJ440" s="270">
        <f t="shared" si="157"/>
        <v>743</v>
      </c>
      <c r="AK440" s="270">
        <f t="shared" si="157"/>
        <v>743</v>
      </c>
      <c r="AL440" s="270">
        <f t="shared" si="157"/>
        <v>743</v>
      </c>
      <c r="AM440" s="270">
        <f t="shared" si="157"/>
        <v>743</v>
      </c>
    </row>
    <row r="441" spans="2:39" ht="15.75" thickBot="1" x14ac:dyDescent="0.35">
      <c r="B441" s="56" t="str">
        <f>input_names!$C$3</f>
        <v>diesel</v>
      </c>
      <c r="C441" s="61">
        <v>39</v>
      </c>
      <c r="D441" s="270">
        <f t="shared" si="159"/>
        <v>409</v>
      </c>
      <c r="E441" s="270">
        <f t="shared" si="159"/>
        <v>409</v>
      </c>
      <c r="F441" s="270">
        <f t="shared" si="159"/>
        <v>431</v>
      </c>
      <c r="G441" s="270">
        <f t="shared" si="159"/>
        <v>434</v>
      </c>
      <c r="H441" s="270">
        <f t="shared" si="159"/>
        <v>438</v>
      </c>
      <c r="I441" s="270">
        <f t="shared" si="159"/>
        <v>444</v>
      </c>
      <c r="J441" s="270">
        <f t="shared" si="159"/>
        <v>411</v>
      </c>
      <c r="K441" s="270">
        <f t="shared" si="159"/>
        <v>415</v>
      </c>
      <c r="L441" s="270">
        <f t="shared" si="159"/>
        <v>478</v>
      </c>
      <c r="M441" s="270">
        <f t="shared" si="159"/>
        <v>518</v>
      </c>
      <c r="N441" s="270">
        <f t="shared" si="159"/>
        <v>745</v>
      </c>
      <c r="O441" s="270">
        <f t="shared" si="159"/>
        <v>745</v>
      </c>
      <c r="P441" s="270">
        <f t="shared" si="159"/>
        <v>745</v>
      </c>
      <c r="Q441" s="270">
        <f t="shared" si="159"/>
        <v>745</v>
      </c>
      <c r="R441" s="270">
        <f t="shared" si="159"/>
        <v>745</v>
      </c>
      <c r="S441" s="270">
        <f t="shared" si="156"/>
        <v>745</v>
      </c>
      <c r="T441" s="270">
        <f t="shared" si="156"/>
        <v>745</v>
      </c>
      <c r="U441" s="270">
        <f t="shared" ref="U441:AC450" si="160">+MIN(MAX(0,$C441-U$11),U$12-U$11)*U$17
+MIN(MAX(0,$C441-U$12),U$13-U$12)*U$18
+MIN(MAX(0,$C441-U$13),U$14-U$13)*U$19
+MIN(MAX(0,$C441-U$14),U$15-U$14)*U$20
+MAX(0,$C441-U$15)*U$21
+U$24*MAX(0,$C441-U$23)
+U$26</f>
        <v>745</v>
      </c>
      <c r="V441" s="270">
        <f t="shared" si="160"/>
        <v>745</v>
      </c>
      <c r="W441" s="270">
        <f t="shared" si="160"/>
        <v>745</v>
      </c>
      <c r="X441" s="270">
        <f t="shared" si="160"/>
        <v>745</v>
      </c>
      <c r="Y441" s="270">
        <f t="shared" si="160"/>
        <v>745</v>
      </c>
      <c r="Z441" s="270">
        <f t="shared" si="160"/>
        <v>745</v>
      </c>
      <c r="AA441" s="270">
        <f t="shared" si="160"/>
        <v>745</v>
      </c>
      <c r="AB441" s="270">
        <f t="shared" si="160"/>
        <v>745</v>
      </c>
      <c r="AC441" s="270">
        <f t="shared" si="160"/>
        <v>745</v>
      </c>
      <c r="AD441" s="270">
        <f t="shared" si="159"/>
        <v>745</v>
      </c>
      <c r="AE441" s="270">
        <f t="shared" si="158"/>
        <v>745</v>
      </c>
      <c r="AF441" s="270">
        <f t="shared" si="157"/>
        <v>745</v>
      </c>
      <c r="AG441" s="270">
        <f t="shared" si="157"/>
        <v>745</v>
      </c>
      <c r="AH441" s="270">
        <f t="shared" si="157"/>
        <v>745</v>
      </c>
      <c r="AI441" s="270">
        <f t="shared" si="157"/>
        <v>745</v>
      </c>
      <c r="AJ441" s="270">
        <f t="shared" si="157"/>
        <v>745</v>
      </c>
      <c r="AK441" s="270">
        <f t="shared" si="157"/>
        <v>745</v>
      </c>
      <c r="AL441" s="270">
        <f t="shared" si="157"/>
        <v>745</v>
      </c>
      <c r="AM441" s="270">
        <f t="shared" si="157"/>
        <v>745</v>
      </c>
    </row>
    <row r="442" spans="2:39" ht="15.75" thickBot="1" x14ac:dyDescent="0.35">
      <c r="B442" s="56" t="str">
        <f>input_names!$C$3</f>
        <v>diesel</v>
      </c>
      <c r="C442" s="61">
        <v>40</v>
      </c>
      <c r="D442" s="270">
        <f t="shared" si="159"/>
        <v>415</v>
      </c>
      <c r="E442" s="270">
        <f t="shared" si="159"/>
        <v>415</v>
      </c>
      <c r="F442" s="270">
        <f t="shared" si="159"/>
        <v>433</v>
      </c>
      <c r="G442" s="270">
        <f t="shared" si="159"/>
        <v>436</v>
      </c>
      <c r="H442" s="270">
        <f t="shared" si="159"/>
        <v>440</v>
      </c>
      <c r="I442" s="270">
        <f t="shared" si="159"/>
        <v>446</v>
      </c>
      <c r="J442" s="270">
        <f t="shared" si="159"/>
        <v>412</v>
      </c>
      <c r="K442" s="270">
        <f t="shared" si="159"/>
        <v>416</v>
      </c>
      <c r="L442" s="270">
        <f t="shared" si="159"/>
        <v>480</v>
      </c>
      <c r="M442" s="270">
        <f t="shared" si="159"/>
        <v>520</v>
      </c>
      <c r="N442" s="270">
        <f t="shared" si="159"/>
        <v>747</v>
      </c>
      <c r="O442" s="270">
        <f t="shared" si="159"/>
        <v>747</v>
      </c>
      <c r="P442" s="270">
        <f t="shared" si="159"/>
        <v>747</v>
      </c>
      <c r="Q442" s="270">
        <f t="shared" si="159"/>
        <v>747</v>
      </c>
      <c r="R442" s="270">
        <f t="shared" si="159"/>
        <v>747</v>
      </c>
      <c r="S442" s="270">
        <f t="shared" ref="S442:AC457" si="161">+MIN(MAX(0,$C442-S$11),S$12-S$11)*S$17
+MIN(MAX(0,$C442-S$12),S$13-S$12)*S$18
+MIN(MAX(0,$C442-S$13),S$14-S$13)*S$19
+MIN(MAX(0,$C442-S$14),S$15-S$14)*S$20
+MAX(0,$C442-S$15)*S$21
+S$24*MAX(0,$C442-S$23)
+S$26</f>
        <v>747</v>
      </c>
      <c r="T442" s="270">
        <f t="shared" si="161"/>
        <v>747</v>
      </c>
      <c r="U442" s="270">
        <f t="shared" si="160"/>
        <v>747</v>
      </c>
      <c r="V442" s="270">
        <f t="shared" si="160"/>
        <v>747</v>
      </c>
      <c r="W442" s="270">
        <f t="shared" si="160"/>
        <v>747</v>
      </c>
      <c r="X442" s="270">
        <f t="shared" si="160"/>
        <v>747</v>
      </c>
      <c r="Y442" s="270">
        <f t="shared" si="160"/>
        <v>747</v>
      </c>
      <c r="Z442" s="270">
        <f t="shared" si="160"/>
        <v>747</v>
      </c>
      <c r="AA442" s="270">
        <f t="shared" si="160"/>
        <v>747</v>
      </c>
      <c r="AB442" s="270">
        <f t="shared" si="160"/>
        <v>747</v>
      </c>
      <c r="AC442" s="270">
        <f t="shared" si="160"/>
        <v>747</v>
      </c>
      <c r="AD442" s="270">
        <f t="shared" si="159"/>
        <v>747</v>
      </c>
      <c r="AE442" s="270">
        <f t="shared" si="158"/>
        <v>747</v>
      </c>
      <c r="AF442" s="270">
        <f t="shared" si="157"/>
        <v>747</v>
      </c>
      <c r="AG442" s="270">
        <f t="shared" si="157"/>
        <v>747</v>
      </c>
      <c r="AH442" s="270">
        <f t="shared" si="157"/>
        <v>747</v>
      </c>
      <c r="AI442" s="270">
        <f t="shared" si="157"/>
        <v>747</v>
      </c>
      <c r="AJ442" s="270">
        <f t="shared" si="157"/>
        <v>747</v>
      </c>
      <c r="AK442" s="270">
        <f t="shared" si="157"/>
        <v>747</v>
      </c>
      <c r="AL442" s="270">
        <f t="shared" si="157"/>
        <v>747</v>
      </c>
      <c r="AM442" s="270">
        <f t="shared" si="157"/>
        <v>747</v>
      </c>
    </row>
    <row r="443" spans="2:39" ht="15.75" thickBot="1" x14ac:dyDescent="0.35">
      <c r="B443" s="56" t="str">
        <f>input_names!$C$3</f>
        <v>diesel</v>
      </c>
      <c r="C443" s="61">
        <v>41</v>
      </c>
      <c r="D443" s="270">
        <f t="shared" si="159"/>
        <v>421</v>
      </c>
      <c r="E443" s="270">
        <f t="shared" si="159"/>
        <v>421</v>
      </c>
      <c r="F443" s="270">
        <f t="shared" si="159"/>
        <v>435</v>
      </c>
      <c r="G443" s="270">
        <f t="shared" si="159"/>
        <v>438</v>
      </c>
      <c r="H443" s="270">
        <f t="shared" si="159"/>
        <v>442</v>
      </c>
      <c r="I443" s="270">
        <f t="shared" si="159"/>
        <v>448</v>
      </c>
      <c r="J443" s="270">
        <f t="shared" si="159"/>
        <v>413</v>
      </c>
      <c r="K443" s="270">
        <f t="shared" si="159"/>
        <v>417</v>
      </c>
      <c r="L443" s="270">
        <f t="shared" si="159"/>
        <v>482</v>
      </c>
      <c r="M443" s="270">
        <f t="shared" si="159"/>
        <v>522</v>
      </c>
      <c r="N443" s="270">
        <f t="shared" si="159"/>
        <v>749</v>
      </c>
      <c r="O443" s="270">
        <f t="shared" si="159"/>
        <v>749</v>
      </c>
      <c r="P443" s="270">
        <f t="shared" si="159"/>
        <v>749</v>
      </c>
      <c r="Q443" s="270">
        <f t="shared" si="159"/>
        <v>749</v>
      </c>
      <c r="R443" s="270">
        <f t="shared" si="159"/>
        <v>749</v>
      </c>
      <c r="S443" s="270">
        <f t="shared" si="161"/>
        <v>749</v>
      </c>
      <c r="T443" s="270">
        <f t="shared" si="161"/>
        <v>749</v>
      </c>
      <c r="U443" s="270">
        <f t="shared" si="160"/>
        <v>749</v>
      </c>
      <c r="V443" s="270">
        <f t="shared" si="160"/>
        <v>749</v>
      </c>
      <c r="W443" s="270">
        <f t="shared" si="160"/>
        <v>749</v>
      </c>
      <c r="X443" s="270">
        <f t="shared" si="160"/>
        <v>749</v>
      </c>
      <c r="Y443" s="270">
        <f t="shared" si="160"/>
        <v>749</v>
      </c>
      <c r="Z443" s="270">
        <f t="shared" si="160"/>
        <v>749</v>
      </c>
      <c r="AA443" s="270">
        <f t="shared" si="160"/>
        <v>749</v>
      </c>
      <c r="AB443" s="270">
        <f t="shared" si="160"/>
        <v>749</v>
      </c>
      <c r="AC443" s="270">
        <f t="shared" si="160"/>
        <v>749</v>
      </c>
      <c r="AD443" s="270">
        <f t="shared" si="159"/>
        <v>749</v>
      </c>
      <c r="AE443" s="270">
        <f t="shared" si="158"/>
        <v>749</v>
      </c>
      <c r="AF443" s="270">
        <f t="shared" si="157"/>
        <v>749</v>
      </c>
      <c r="AG443" s="270">
        <f t="shared" si="157"/>
        <v>749</v>
      </c>
      <c r="AH443" s="270">
        <f t="shared" si="157"/>
        <v>749</v>
      </c>
      <c r="AI443" s="270">
        <f t="shared" si="157"/>
        <v>749</v>
      </c>
      <c r="AJ443" s="270">
        <f t="shared" si="157"/>
        <v>749</v>
      </c>
      <c r="AK443" s="270">
        <f t="shared" si="157"/>
        <v>749</v>
      </c>
      <c r="AL443" s="270">
        <f t="shared" si="157"/>
        <v>749</v>
      </c>
      <c r="AM443" s="270">
        <f t="shared" si="157"/>
        <v>749</v>
      </c>
    </row>
    <row r="444" spans="2:39" ht="15.75" thickBot="1" x14ac:dyDescent="0.35">
      <c r="B444" s="56" t="str">
        <f>input_names!$C$3</f>
        <v>diesel</v>
      </c>
      <c r="C444" s="61">
        <v>42</v>
      </c>
      <c r="D444" s="270">
        <f t="shared" si="159"/>
        <v>427</v>
      </c>
      <c r="E444" s="270">
        <f t="shared" si="159"/>
        <v>427</v>
      </c>
      <c r="F444" s="270">
        <f t="shared" si="159"/>
        <v>437</v>
      </c>
      <c r="G444" s="270">
        <f t="shared" si="159"/>
        <v>440</v>
      </c>
      <c r="H444" s="270">
        <f t="shared" si="159"/>
        <v>444</v>
      </c>
      <c r="I444" s="270">
        <f t="shared" si="159"/>
        <v>450</v>
      </c>
      <c r="J444" s="270">
        <f t="shared" si="159"/>
        <v>414</v>
      </c>
      <c r="K444" s="270">
        <f t="shared" si="159"/>
        <v>418</v>
      </c>
      <c r="L444" s="270">
        <f t="shared" si="159"/>
        <v>484</v>
      </c>
      <c r="M444" s="270">
        <f t="shared" si="159"/>
        <v>524</v>
      </c>
      <c r="N444" s="270">
        <f t="shared" si="159"/>
        <v>751</v>
      </c>
      <c r="O444" s="270">
        <f t="shared" si="159"/>
        <v>751</v>
      </c>
      <c r="P444" s="270">
        <f t="shared" si="159"/>
        <v>751</v>
      </c>
      <c r="Q444" s="270">
        <f t="shared" si="159"/>
        <v>751</v>
      </c>
      <c r="R444" s="270">
        <f t="shared" si="159"/>
        <v>751</v>
      </c>
      <c r="S444" s="270">
        <f t="shared" si="161"/>
        <v>751</v>
      </c>
      <c r="T444" s="270">
        <f t="shared" si="161"/>
        <v>751</v>
      </c>
      <c r="U444" s="270">
        <f t="shared" si="160"/>
        <v>751</v>
      </c>
      <c r="V444" s="270">
        <f t="shared" si="160"/>
        <v>751</v>
      </c>
      <c r="W444" s="270">
        <f t="shared" si="160"/>
        <v>751</v>
      </c>
      <c r="X444" s="270">
        <f t="shared" si="160"/>
        <v>751</v>
      </c>
      <c r="Y444" s="270">
        <f t="shared" si="160"/>
        <v>751</v>
      </c>
      <c r="Z444" s="270">
        <f t="shared" si="160"/>
        <v>751</v>
      </c>
      <c r="AA444" s="270">
        <f t="shared" si="160"/>
        <v>751</v>
      </c>
      <c r="AB444" s="270">
        <f t="shared" si="160"/>
        <v>751</v>
      </c>
      <c r="AC444" s="270">
        <f t="shared" si="160"/>
        <v>751</v>
      </c>
      <c r="AD444" s="270">
        <f t="shared" si="159"/>
        <v>751</v>
      </c>
      <c r="AE444" s="270">
        <f t="shared" si="158"/>
        <v>751</v>
      </c>
      <c r="AF444" s="270">
        <f t="shared" si="157"/>
        <v>751</v>
      </c>
      <c r="AG444" s="270">
        <f t="shared" si="157"/>
        <v>751</v>
      </c>
      <c r="AH444" s="270">
        <f t="shared" si="157"/>
        <v>751</v>
      </c>
      <c r="AI444" s="270">
        <f t="shared" si="157"/>
        <v>751</v>
      </c>
      <c r="AJ444" s="270">
        <f t="shared" si="157"/>
        <v>751</v>
      </c>
      <c r="AK444" s="270">
        <f t="shared" si="157"/>
        <v>751</v>
      </c>
      <c r="AL444" s="270">
        <f t="shared" si="157"/>
        <v>751</v>
      </c>
      <c r="AM444" s="270">
        <f t="shared" si="157"/>
        <v>751</v>
      </c>
    </row>
    <row r="445" spans="2:39" ht="15.75" thickBot="1" x14ac:dyDescent="0.35">
      <c r="B445" s="56" t="str">
        <f>input_names!$C$3</f>
        <v>diesel</v>
      </c>
      <c r="C445" s="61">
        <v>43</v>
      </c>
      <c r="D445" s="270">
        <f t="shared" si="159"/>
        <v>433</v>
      </c>
      <c r="E445" s="270">
        <f t="shared" si="159"/>
        <v>433</v>
      </c>
      <c r="F445" s="270">
        <f t="shared" si="159"/>
        <v>439</v>
      </c>
      <c r="G445" s="270">
        <f t="shared" si="159"/>
        <v>442</v>
      </c>
      <c r="H445" s="270">
        <f t="shared" si="159"/>
        <v>446</v>
      </c>
      <c r="I445" s="270">
        <f t="shared" si="159"/>
        <v>452</v>
      </c>
      <c r="J445" s="270">
        <f t="shared" si="159"/>
        <v>415</v>
      </c>
      <c r="K445" s="270">
        <f t="shared" si="159"/>
        <v>419</v>
      </c>
      <c r="L445" s="270">
        <f t="shared" si="159"/>
        <v>486</v>
      </c>
      <c r="M445" s="270">
        <f t="shared" si="159"/>
        <v>526</v>
      </c>
      <c r="N445" s="270">
        <f t="shared" si="159"/>
        <v>753</v>
      </c>
      <c r="O445" s="270">
        <f t="shared" si="159"/>
        <v>753</v>
      </c>
      <c r="P445" s="270">
        <f t="shared" si="159"/>
        <v>753</v>
      </c>
      <c r="Q445" s="270">
        <f t="shared" si="159"/>
        <v>753</v>
      </c>
      <c r="R445" s="270">
        <f t="shared" si="159"/>
        <v>753</v>
      </c>
      <c r="S445" s="270">
        <f t="shared" si="161"/>
        <v>753</v>
      </c>
      <c r="T445" s="270">
        <f t="shared" si="161"/>
        <v>753</v>
      </c>
      <c r="U445" s="270">
        <f t="shared" si="160"/>
        <v>753</v>
      </c>
      <c r="V445" s="270">
        <f t="shared" si="160"/>
        <v>753</v>
      </c>
      <c r="W445" s="270">
        <f t="shared" si="160"/>
        <v>753</v>
      </c>
      <c r="X445" s="270">
        <f t="shared" si="160"/>
        <v>753</v>
      </c>
      <c r="Y445" s="270">
        <f t="shared" si="160"/>
        <v>753</v>
      </c>
      <c r="Z445" s="270">
        <f t="shared" si="160"/>
        <v>753</v>
      </c>
      <c r="AA445" s="270">
        <f t="shared" si="160"/>
        <v>753</v>
      </c>
      <c r="AB445" s="270">
        <f t="shared" si="160"/>
        <v>753</v>
      </c>
      <c r="AC445" s="270">
        <f t="shared" si="160"/>
        <v>753</v>
      </c>
      <c r="AD445" s="270">
        <f t="shared" si="159"/>
        <v>753</v>
      </c>
      <c r="AE445" s="270">
        <f t="shared" si="158"/>
        <v>753</v>
      </c>
      <c r="AF445" s="270">
        <f t="shared" si="157"/>
        <v>753</v>
      </c>
      <c r="AG445" s="270">
        <f t="shared" si="157"/>
        <v>753</v>
      </c>
      <c r="AH445" s="270">
        <f t="shared" si="157"/>
        <v>753</v>
      </c>
      <c r="AI445" s="270">
        <f t="shared" si="157"/>
        <v>753</v>
      </c>
      <c r="AJ445" s="270">
        <f t="shared" si="157"/>
        <v>753</v>
      </c>
      <c r="AK445" s="270">
        <f t="shared" si="157"/>
        <v>753</v>
      </c>
      <c r="AL445" s="270">
        <f t="shared" si="157"/>
        <v>753</v>
      </c>
      <c r="AM445" s="270">
        <f t="shared" si="157"/>
        <v>753</v>
      </c>
    </row>
    <row r="446" spans="2:39" ht="15.75" thickBot="1" x14ac:dyDescent="0.35">
      <c r="B446" s="56" t="str">
        <f>input_names!$C$3</f>
        <v>diesel</v>
      </c>
      <c r="C446" s="61">
        <v>44</v>
      </c>
      <c r="D446" s="270">
        <f t="shared" si="159"/>
        <v>439</v>
      </c>
      <c r="E446" s="270">
        <f t="shared" si="159"/>
        <v>439</v>
      </c>
      <c r="F446" s="270">
        <f t="shared" si="159"/>
        <v>441</v>
      </c>
      <c r="G446" s="270">
        <f t="shared" si="159"/>
        <v>444</v>
      </c>
      <c r="H446" s="270">
        <f t="shared" si="159"/>
        <v>448</v>
      </c>
      <c r="I446" s="270">
        <f t="shared" si="159"/>
        <v>454</v>
      </c>
      <c r="J446" s="270">
        <f t="shared" si="159"/>
        <v>416</v>
      </c>
      <c r="K446" s="270">
        <f t="shared" si="159"/>
        <v>420</v>
      </c>
      <c r="L446" s="270">
        <f t="shared" si="159"/>
        <v>488</v>
      </c>
      <c r="M446" s="270">
        <f t="shared" si="159"/>
        <v>528</v>
      </c>
      <c r="N446" s="270">
        <f t="shared" si="159"/>
        <v>755</v>
      </c>
      <c r="O446" s="270">
        <f t="shared" si="159"/>
        <v>755</v>
      </c>
      <c r="P446" s="270">
        <f t="shared" si="159"/>
        <v>755</v>
      </c>
      <c r="Q446" s="270">
        <f t="shared" si="159"/>
        <v>755</v>
      </c>
      <c r="R446" s="270">
        <f t="shared" si="159"/>
        <v>755</v>
      </c>
      <c r="S446" s="270">
        <f t="shared" si="161"/>
        <v>755</v>
      </c>
      <c r="T446" s="270">
        <f t="shared" si="161"/>
        <v>755</v>
      </c>
      <c r="U446" s="270">
        <f t="shared" si="160"/>
        <v>755</v>
      </c>
      <c r="V446" s="270">
        <f t="shared" si="160"/>
        <v>755</v>
      </c>
      <c r="W446" s="270">
        <f t="shared" si="160"/>
        <v>755</v>
      </c>
      <c r="X446" s="270">
        <f t="shared" si="160"/>
        <v>755</v>
      </c>
      <c r="Y446" s="270">
        <f t="shared" si="160"/>
        <v>755</v>
      </c>
      <c r="Z446" s="270">
        <f t="shared" si="160"/>
        <v>755</v>
      </c>
      <c r="AA446" s="270">
        <f t="shared" si="160"/>
        <v>755</v>
      </c>
      <c r="AB446" s="270">
        <f t="shared" si="160"/>
        <v>755</v>
      </c>
      <c r="AC446" s="270">
        <f t="shared" si="160"/>
        <v>755</v>
      </c>
      <c r="AD446" s="270">
        <f t="shared" si="159"/>
        <v>755</v>
      </c>
      <c r="AE446" s="270">
        <f t="shared" si="158"/>
        <v>755</v>
      </c>
      <c r="AF446" s="270">
        <f t="shared" si="157"/>
        <v>755</v>
      </c>
      <c r="AG446" s="270">
        <f t="shared" si="157"/>
        <v>755</v>
      </c>
      <c r="AH446" s="270">
        <f t="shared" si="157"/>
        <v>755</v>
      </c>
      <c r="AI446" s="270">
        <f t="shared" si="157"/>
        <v>755</v>
      </c>
      <c r="AJ446" s="270">
        <f t="shared" si="157"/>
        <v>755</v>
      </c>
      <c r="AK446" s="270">
        <f t="shared" si="157"/>
        <v>755</v>
      </c>
      <c r="AL446" s="270">
        <f t="shared" si="157"/>
        <v>755</v>
      </c>
      <c r="AM446" s="270">
        <f t="shared" si="157"/>
        <v>755</v>
      </c>
    </row>
    <row r="447" spans="2:39" ht="15.75" thickBot="1" x14ac:dyDescent="0.35">
      <c r="B447" s="56" t="str">
        <f>input_names!$C$3</f>
        <v>diesel</v>
      </c>
      <c r="C447" s="61">
        <v>45</v>
      </c>
      <c r="D447" s="270">
        <f t="shared" si="159"/>
        <v>445</v>
      </c>
      <c r="E447" s="270">
        <f t="shared" si="159"/>
        <v>445</v>
      </c>
      <c r="F447" s="270">
        <f t="shared" si="159"/>
        <v>443</v>
      </c>
      <c r="G447" s="270">
        <f t="shared" si="159"/>
        <v>446</v>
      </c>
      <c r="H447" s="270">
        <f t="shared" si="159"/>
        <v>450</v>
      </c>
      <c r="I447" s="270">
        <f t="shared" si="159"/>
        <v>456</v>
      </c>
      <c r="J447" s="270">
        <f t="shared" si="159"/>
        <v>417</v>
      </c>
      <c r="K447" s="270">
        <f t="shared" si="159"/>
        <v>421</v>
      </c>
      <c r="L447" s="270">
        <f t="shared" si="159"/>
        <v>490</v>
      </c>
      <c r="M447" s="270">
        <f t="shared" si="159"/>
        <v>530</v>
      </c>
      <c r="N447" s="270">
        <f t="shared" si="159"/>
        <v>757</v>
      </c>
      <c r="O447" s="270">
        <f t="shared" si="159"/>
        <v>757</v>
      </c>
      <c r="P447" s="270">
        <f t="shared" si="159"/>
        <v>757</v>
      </c>
      <c r="Q447" s="270">
        <f t="shared" si="159"/>
        <v>757</v>
      </c>
      <c r="R447" s="270">
        <f t="shared" si="159"/>
        <v>757</v>
      </c>
      <c r="S447" s="270">
        <f t="shared" si="161"/>
        <v>757</v>
      </c>
      <c r="T447" s="270">
        <f t="shared" si="161"/>
        <v>757</v>
      </c>
      <c r="U447" s="270">
        <f t="shared" si="160"/>
        <v>757</v>
      </c>
      <c r="V447" s="270">
        <f t="shared" si="160"/>
        <v>757</v>
      </c>
      <c r="W447" s="270">
        <f t="shared" si="160"/>
        <v>757</v>
      </c>
      <c r="X447" s="270">
        <f t="shared" si="160"/>
        <v>757</v>
      </c>
      <c r="Y447" s="270">
        <f t="shared" si="160"/>
        <v>757</v>
      </c>
      <c r="Z447" s="270">
        <f t="shared" si="160"/>
        <v>757</v>
      </c>
      <c r="AA447" s="270">
        <f t="shared" si="160"/>
        <v>757</v>
      </c>
      <c r="AB447" s="270">
        <f t="shared" si="160"/>
        <v>757</v>
      </c>
      <c r="AC447" s="270">
        <f t="shared" si="160"/>
        <v>757</v>
      </c>
      <c r="AD447" s="270">
        <f t="shared" si="159"/>
        <v>757</v>
      </c>
      <c r="AE447" s="270">
        <f t="shared" si="158"/>
        <v>757</v>
      </c>
      <c r="AF447" s="270">
        <f t="shared" si="157"/>
        <v>757</v>
      </c>
      <c r="AG447" s="270">
        <f t="shared" si="157"/>
        <v>757</v>
      </c>
      <c r="AH447" s="270">
        <f t="shared" si="157"/>
        <v>757</v>
      </c>
      <c r="AI447" s="270">
        <f t="shared" si="157"/>
        <v>757</v>
      </c>
      <c r="AJ447" s="270">
        <f t="shared" si="157"/>
        <v>757</v>
      </c>
      <c r="AK447" s="270">
        <f t="shared" si="157"/>
        <v>757</v>
      </c>
      <c r="AL447" s="270">
        <f t="shared" si="157"/>
        <v>757</v>
      </c>
      <c r="AM447" s="270">
        <f t="shared" si="157"/>
        <v>757</v>
      </c>
    </row>
    <row r="448" spans="2:39" ht="15.75" thickBot="1" x14ac:dyDescent="0.35">
      <c r="B448" s="56" t="str">
        <f>input_names!$C$3</f>
        <v>diesel</v>
      </c>
      <c r="C448" s="61">
        <v>46</v>
      </c>
      <c r="D448" s="270">
        <f t="shared" si="159"/>
        <v>451</v>
      </c>
      <c r="E448" s="270">
        <f t="shared" si="159"/>
        <v>451</v>
      </c>
      <c r="F448" s="270">
        <f t="shared" si="159"/>
        <v>445</v>
      </c>
      <c r="G448" s="270">
        <f t="shared" si="159"/>
        <v>448</v>
      </c>
      <c r="H448" s="270">
        <f t="shared" si="159"/>
        <v>452</v>
      </c>
      <c r="I448" s="270">
        <f t="shared" si="159"/>
        <v>458</v>
      </c>
      <c r="J448" s="270">
        <f t="shared" si="159"/>
        <v>418</v>
      </c>
      <c r="K448" s="270">
        <f t="shared" si="159"/>
        <v>422</v>
      </c>
      <c r="L448" s="270">
        <f t="shared" si="159"/>
        <v>492</v>
      </c>
      <c r="M448" s="270">
        <f t="shared" si="159"/>
        <v>532</v>
      </c>
      <c r="N448" s="270">
        <f t="shared" si="159"/>
        <v>759</v>
      </c>
      <c r="O448" s="270">
        <f t="shared" si="159"/>
        <v>759</v>
      </c>
      <c r="P448" s="270">
        <f t="shared" si="159"/>
        <v>759</v>
      </c>
      <c r="Q448" s="270">
        <f t="shared" si="159"/>
        <v>759</v>
      </c>
      <c r="R448" s="270">
        <f t="shared" si="159"/>
        <v>759</v>
      </c>
      <c r="S448" s="270">
        <f t="shared" si="161"/>
        <v>759</v>
      </c>
      <c r="T448" s="270">
        <f t="shared" si="161"/>
        <v>759</v>
      </c>
      <c r="U448" s="270">
        <f t="shared" si="160"/>
        <v>759</v>
      </c>
      <c r="V448" s="270">
        <f t="shared" si="160"/>
        <v>759</v>
      </c>
      <c r="W448" s="270">
        <f t="shared" si="160"/>
        <v>759</v>
      </c>
      <c r="X448" s="270">
        <f t="shared" si="160"/>
        <v>759</v>
      </c>
      <c r="Y448" s="270">
        <f t="shared" si="160"/>
        <v>759</v>
      </c>
      <c r="Z448" s="270">
        <f t="shared" si="160"/>
        <v>759</v>
      </c>
      <c r="AA448" s="270">
        <f t="shared" si="160"/>
        <v>759</v>
      </c>
      <c r="AB448" s="270">
        <f t="shared" si="160"/>
        <v>759</v>
      </c>
      <c r="AC448" s="270">
        <f t="shared" si="160"/>
        <v>759</v>
      </c>
      <c r="AD448" s="270">
        <f t="shared" si="159"/>
        <v>759</v>
      </c>
      <c r="AE448" s="270">
        <f t="shared" si="158"/>
        <v>759</v>
      </c>
      <c r="AF448" s="270">
        <f t="shared" si="157"/>
        <v>759</v>
      </c>
      <c r="AG448" s="270">
        <f t="shared" si="157"/>
        <v>759</v>
      </c>
      <c r="AH448" s="270">
        <f t="shared" si="157"/>
        <v>759</v>
      </c>
      <c r="AI448" s="270">
        <f t="shared" si="157"/>
        <v>759</v>
      </c>
      <c r="AJ448" s="270">
        <f t="shared" si="157"/>
        <v>759</v>
      </c>
      <c r="AK448" s="270">
        <f t="shared" si="157"/>
        <v>759</v>
      </c>
      <c r="AL448" s="270">
        <f t="shared" si="157"/>
        <v>759</v>
      </c>
      <c r="AM448" s="270">
        <f t="shared" si="157"/>
        <v>759</v>
      </c>
    </row>
    <row r="449" spans="2:39" ht="15.75" thickBot="1" x14ac:dyDescent="0.35">
      <c r="B449" s="56" t="str">
        <f>input_names!$C$3</f>
        <v>diesel</v>
      </c>
      <c r="C449" s="61">
        <v>47</v>
      </c>
      <c r="D449" s="270">
        <f t="shared" si="159"/>
        <v>457</v>
      </c>
      <c r="E449" s="270">
        <f t="shared" si="159"/>
        <v>457</v>
      </c>
      <c r="F449" s="270">
        <f t="shared" si="159"/>
        <v>447</v>
      </c>
      <c r="G449" s="270">
        <f t="shared" si="159"/>
        <v>450</v>
      </c>
      <c r="H449" s="270">
        <f t="shared" si="159"/>
        <v>454</v>
      </c>
      <c r="I449" s="270">
        <f t="shared" si="159"/>
        <v>460</v>
      </c>
      <c r="J449" s="270">
        <f t="shared" si="159"/>
        <v>419</v>
      </c>
      <c r="K449" s="270">
        <f t="shared" si="159"/>
        <v>423</v>
      </c>
      <c r="L449" s="270">
        <f t="shared" si="159"/>
        <v>494</v>
      </c>
      <c r="M449" s="270">
        <f t="shared" si="159"/>
        <v>534</v>
      </c>
      <c r="N449" s="270">
        <f t="shared" si="159"/>
        <v>761</v>
      </c>
      <c r="O449" s="270">
        <f t="shared" si="159"/>
        <v>761</v>
      </c>
      <c r="P449" s="270">
        <f t="shared" si="159"/>
        <v>761</v>
      </c>
      <c r="Q449" s="270">
        <f t="shared" si="159"/>
        <v>761</v>
      </c>
      <c r="R449" s="270">
        <f t="shared" si="159"/>
        <v>761</v>
      </c>
      <c r="S449" s="270">
        <f t="shared" si="161"/>
        <v>761</v>
      </c>
      <c r="T449" s="270">
        <f t="shared" si="161"/>
        <v>761</v>
      </c>
      <c r="U449" s="270">
        <f t="shared" si="160"/>
        <v>761</v>
      </c>
      <c r="V449" s="270">
        <f t="shared" si="160"/>
        <v>761</v>
      </c>
      <c r="W449" s="270">
        <f t="shared" si="160"/>
        <v>761</v>
      </c>
      <c r="X449" s="270">
        <f t="shared" si="160"/>
        <v>761</v>
      </c>
      <c r="Y449" s="270">
        <f t="shared" si="160"/>
        <v>761</v>
      </c>
      <c r="Z449" s="270">
        <f t="shared" si="160"/>
        <v>761</v>
      </c>
      <c r="AA449" s="270">
        <f t="shared" si="160"/>
        <v>761</v>
      </c>
      <c r="AB449" s="270">
        <f t="shared" si="160"/>
        <v>761</v>
      </c>
      <c r="AC449" s="270">
        <f t="shared" si="160"/>
        <v>761</v>
      </c>
      <c r="AD449" s="270">
        <f t="shared" ref="AD449:AD480" si="162">+MIN(MAX(0,$C449-AD$11),AD$12-AD$11)*AD$17
+MIN(MAX(0,$C449-AD$12),AD$13-AD$12)*AD$18
+MIN(MAX(0,$C449-AD$13),AD$14-AD$13)*AD$19
+MIN(MAX(0,$C449-AD$14),AD$15-AD$14)*AD$20
+MAX(0,$C449-AD$15)*AD$21
+AD$24*MAX(0,$C449-AD$23)
+AD$26</f>
        <v>761</v>
      </c>
      <c r="AE449" s="270">
        <f t="shared" si="158"/>
        <v>761</v>
      </c>
      <c r="AF449" s="270">
        <f t="shared" si="157"/>
        <v>761</v>
      </c>
      <c r="AG449" s="270">
        <f t="shared" si="157"/>
        <v>761</v>
      </c>
      <c r="AH449" s="270">
        <f t="shared" si="157"/>
        <v>761</v>
      </c>
      <c r="AI449" s="270">
        <f t="shared" si="157"/>
        <v>761</v>
      </c>
      <c r="AJ449" s="270">
        <f t="shared" si="157"/>
        <v>761</v>
      </c>
      <c r="AK449" s="270">
        <f t="shared" si="157"/>
        <v>761</v>
      </c>
      <c r="AL449" s="270">
        <f t="shared" si="157"/>
        <v>761</v>
      </c>
      <c r="AM449" s="270">
        <f t="shared" si="157"/>
        <v>761</v>
      </c>
    </row>
    <row r="450" spans="2:39" ht="15.75" thickBot="1" x14ac:dyDescent="0.35">
      <c r="B450" s="56" t="str">
        <f>input_names!$C$3</f>
        <v>diesel</v>
      </c>
      <c r="C450" s="61">
        <v>48</v>
      </c>
      <c r="D450" s="270">
        <f t="shared" ref="D450:S465" si="163">+MIN(MAX(0,$C450-D$11),D$12-D$11)*D$17
+MIN(MAX(0,$C450-D$12),D$13-D$12)*D$18
+MIN(MAX(0,$C450-D$13),D$14-D$13)*D$19
+MIN(MAX(0,$C450-D$14),D$15-D$14)*D$20
+MAX(0,$C450-D$15)*D$21
+D$24*MAX(0,$C450-D$23)
+D$26</f>
        <v>463</v>
      </c>
      <c r="E450" s="270">
        <f t="shared" si="163"/>
        <v>463</v>
      </c>
      <c r="F450" s="270">
        <f t="shared" si="163"/>
        <v>449</v>
      </c>
      <c r="G450" s="270">
        <f t="shared" si="163"/>
        <v>452</v>
      </c>
      <c r="H450" s="270">
        <f t="shared" si="163"/>
        <v>456</v>
      </c>
      <c r="I450" s="270">
        <f t="shared" si="163"/>
        <v>462</v>
      </c>
      <c r="J450" s="270">
        <f t="shared" si="163"/>
        <v>420</v>
      </c>
      <c r="K450" s="270">
        <f t="shared" si="163"/>
        <v>424</v>
      </c>
      <c r="L450" s="270">
        <f t="shared" si="163"/>
        <v>496</v>
      </c>
      <c r="M450" s="270">
        <f t="shared" si="163"/>
        <v>536</v>
      </c>
      <c r="N450" s="270">
        <f t="shared" si="163"/>
        <v>763</v>
      </c>
      <c r="O450" s="270">
        <f t="shared" si="163"/>
        <v>763</v>
      </c>
      <c r="P450" s="270">
        <f t="shared" si="163"/>
        <v>763</v>
      </c>
      <c r="Q450" s="270">
        <f t="shared" si="163"/>
        <v>763</v>
      </c>
      <c r="R450" s="270">
        <f t="shared" si="163"/>
        <v>763</v>
      </c>
      <c r="S450" s="270">
        <f t="shared" si="161"/>
        <v>763</v>
      </c>
      <c r="T450" s="270">
        <f t="shared" si="161"/>
        <v>763</v>
      </c>
      <c r="U450" s="270">
        <f t="shared" si="160"/>
        <v>763</v>
      </c>
      <c r="V450" s="270">
        <f t="shared" si="160"/>
        <v>763</v>
      </c>
      <c r="W450" s="270">
        <f t="shared" si="160"/>
        <v>763</v>
      </c>
      <c r="X450" s="270">
        <f t="shared" si="160"/>
        <v>763</v>
      </c>
      <c r="Y450" s="270">
        <f t="shared" si="160"/>
        <v>763</v>
      </c>
      <c r="Z450" s="270">
        <f t="shared" si="160"/>
        <v>763</v>
      </c>
      <c r="AA450" s="270">
        <f t="shared" si="160"/>
        <v>763</v>
      </c>
      <c r="AB450" s="270">
        <f t="shared" si="160"/>
        <v>763</v>
      </c>
      <c r="AC450" s="270">
        <f t="shared" si="160"/>
        <v>763</v>
      </c>
      <c r="AD450" s="270">
        <f t="shared" si="162"/>
        <v>763</v>
      </c>
      <c r="AE450" s="270">
        <f t="shared" si="158"/>
        <v>763</v>
      </c>
      <c r="AF450" s="270">
        <f t="shared" si="157"/>
        <v>763</v>
      </c>
      <c r="AG450" s="270">
        <f t="shared" si="157"/>
        <v>763</v>
      </c>
      <c r="AH450" s="270">
        <f t="shared" si="157"/>
        <v>763</v>
      </c>
      <c r="AI450" s="270">
        <f t="shared" si="157"/>
        <v>763</v>
      </c>
      <c r="AJ450" s="270">
        <f t="shared" si="157"/>
        <v>763</v>
      </c>
      <c r="AK450" s="270">
        <f t="shared" si="157"/>
        <v>763</v>
      </c>
      <c r="AL450" s="270">
        <f t="shared" si="157"/>
        <v>763</v>
      </c>
      <c r="AM450" s="270">
        <f t="shared" si="157"/>
        <v>763</v>
      </c>
    </row>
    <row r="451" spans="2:39" ht="15.75" thickBot="1" x14ac:dyDescent="0.35">
      <c r="B451" s="56" t="str">
        <f>input_names!$C$3</f>
        <v>diesel</v>
      </c>
      <c r="C451" s="61">
        <v>49</v>
      </c>
      <c r="D451" s="270">
        <f t="shared" si="163"/>
        <v>469</v>
      </c>
      <c r="E451" s="270">
        <f t="shared" si="163"/>
        <v>469</v>
      </c>
      <c r="F451" s="270">
        <f t="shared" si="163"/>
        <v>451</v>
      </c>
      <c r="G451" s="270">
        <f t="shared" si="163"/>
        <v>454</v>
      </c>
      <c r="H451" s="270">
        <f t="shared" si="163"/>
        <v>458</v>
      </c>
      <c r="I451" s="270">
        <f t="shared" si="163"/>
        <v>464</v>
      </c>
      <c r="J451" s="270">
        <f t="shared" si="163"/>
        <v>421</v>
      </c>
      <c r="K451" s="270">
        <f t="shared" si="163"/>
        <v>425</v>
      </c>
      <c r="L451" s="270">
        <f t="shared" si="163"/>
        <v>498</v>
      </c>
      <c r="M451" s="270">
        <f t="shared" si="163"/>
        <v>538</v>
      </c>
      <c r="N451" s="270">
        <f t="shared" si="163"/>
        <v>765</v>
      </c>
      <c r="O451" s="270">
        <f t="shared" si="163"/>
        <v>765</v>
      </c>
      <c r="P451" s="270">
        <f t="shared" si="163"/>
        <v>765</v>
      </c>
      <c r="Q451" s="270">
        <f t="shared" si="163"/>
        <v>765</v>
      </c>
      <c r="R451" s="270">
        <f t="shared" si="163"/>
        <v>765</v>
      </c>
      <c r="S451" s="270">
        <f t="shared" si="161"/>
        <v>765</v>
      </c>
      <c r="T451" s="270">
        <f t="shared" si="161"/>
        <v>765</v>
      </c>
      <c r="U451" s="270">
        <f t="shared" si="161"/>
        <v>765</v>
      </c>
      <c r="V451" s="270">
        <f t="shared" si="161"/>
        <v>765</v>
      </c>
      <c r="W451" s="270">
        <f t="shared" si="161"/>
        <v>765</v>
      </c>
      <c r="X451" s="270">
        <f t="shared" si="161"/>
        <v>765</v>
      </c>
      <c r="Y451" s="270">
        <f t="shared" si="161"/>
        <v>765</v>
      </c>
      <c r="Z451" s="270">
        <f t="shared" si="161"/>
        <v>765</v>
      </c>
      <c r="AA451" s="270">
        <f t="shared" si="161"/>
        <v>765</v>
      </c>
      <c r="AB451" s="270">
        <f t="shared" si="161"/>
        <v>765</v>
      </c>
      <c r="AC451" s="270">
        <f t="shared" si="161"/>
        <v>765</v>
      </c>
      <c r="AD451" s="270">
        <f t="shared" si="162"/>
        <v>765</v>
      </c>
      <c r="AE451" s="270">
        <f t="shared" si="158"/>
        <v>765</v>
      </c>
      <c r="AF451" s="270">
        <f t="shared" si="158"/>
        <v>765</v>
      </c>
      <c r="AG451" s="270">
        <f t="shared" si="158"/>
        <v>765</v>
      </c>
      <c r="AH451" s="270">
        <f t="shared" si="158"/>
        <v>765</v>
      </c>
      <c r="AI451" s="270">
        <f t="shared" si="158"/>
        <v>765</v>
      </c>
      <c r="AJ451" s="270">
        <f t="shared" si="158"/>
        <v>765</v>
      </c>
      <c r="AK451" s="270">
        <f t="shared" si="158"/>
        <v>765</v>
      </c>
      <c r="AL451" s="270">
        <f t="shared" si="158"/>
        <v>765</v>
      </c>
      <c r="AM451" s="270">
        <f t="shared" si="158"/>
        <v>765</v>
      </c>
    </row>
    <row r="452" spans="2:39" ht="15.75" thickBot="1" x14ac:dyDescent="0.35">
      <c r="B452" s="56" t="str">
        <f>input_names!$C$3</f>
        <v>diesel</v>
      </c>
      <c r="C452" s="61">
        <v>50</v>
      </c>
      <c r="D452" s="270">
        <f t="shared" si="163"/>
        <v>475</v>
      </c>
      <c r="E452" s="270">
        <f t="shared" si="163"/>
        <v>475</v>
      </c>
      <c r="F452" s="270">
        <f t="shared" si="163"/>
        <v>453</v>
      </c>
      <c r="G452" s="270">
        <f t="shared" si="163"/>
        <v>456</v>
      </c>
      <c r="H452" s="270">
        <f t="shared" si="163"/>
        <v>460</v>
      </c>
      <c r="I452" s="270">
        <f t="shared" si="163"/>
        <v>466</v>
      </c>
      <c r="J452" s="270">
        <f t="shared" si="163"/>
        <v>422</v>
      </c>
      <c r="K452" s="270">
        <f t="shared" si="163"/>
        <v>426</v>
      </c>
      <c r="L452" s="270">
        <f t="shared" si="163"/>
        <v>500</v>
      </c>
      <c r="M452" s="270">
        <f t="shared" si="163"/>
        <v>540</v>
      </c>
      <c r="N452" s="270">
        <f t="shared" si="163"/>
        <v>767</v>
      </c>
      <c r="O452" s="270">
        <f t="shared" si="163"/>
        <v>767</v>
      </c>
      <c r="P452" s="270">
        <f t="shared" si="163"/>
        <v>767</v>
      </c>
      <c r="Q452" s="270">
        <f t="shared" si="163"/>
        <v>767</v>
      </c>
      <c r="R452" s="270">
        <f t="shared" si="163"/>
        <v>767</v>
      </c>
      <c r="S452" s="270">
        <f t="shared" si="161"/>
        <v>767</v>
      </c>
      <c r="T452" s="270">
        <f t="shared" si="161"/>
        <v>767</v>
      </c>
      <c r="U452" s="270">
        <f t="shared" si="161"/>
        <v>767</v>
      </c>
      <c r="V452" s="270">
        <f t="shared" si="161"/>
        <v>767</v>
      </c>
      <c r="W452" s="270">
        <f t="shared" si="161"/>
        <v>767</v>
      </c>
      <c r="X452" s="270">
        <f t="shared" si="161"/>
        <v>767</v>
      </c>
      <c r="Y452" s="270">
        <f t="shared" si="161"/>
        <v>767</v>
      </c>
      <c r="Z452" s="270">
        <f t="shared" si="161"/>
        <v>767</v>
      </c>
      <c r="AA452" s="270">
        <f t="shared" si="161"/>
        <v>767</v>
      </c>
      <c r="AB452" s="270">
        <f t="shared" si="161"/>
        <v>767</v>
      </c>
      <c r="AC452" s="270">
        <f t="shared" si="161"/>
        <v>767</v>
      </c>
      <c r="AD452" s="270">
        <f t="shared" si="162"/>
        <v>767</v>
      </c>
      <c r="AE452" s="270">
        <f t="shared" si="158"/>
        <v>767</v>
      </c>
      <c r="AF452" s="270">
        <f t="shared" si="158"/>
        <v>767</v>
      </c>
      <c r="AG452" s="270">
        <f t="shared" si="158"/>
        <v>767</v>
      </c>
      <c r="AH452" s="270">
        <f t="shared" si="158"/>
        <v>767</v>
      </c>
      <c r="AI452" s="270">
        <f t="shared" si="158"/>
        <v>767</v>
      </c>
      <c r="AJ452" s="270">
        <f t="shared" si="158"/>
        <v>767</v>
      </c>
      <c r="AK452" s="270">
        <f t="shared" si="158"/>
        <v>767</v>
      </c>
      <c r="AL452" s="270">
        <f t="shared" si="158"/>
        <v>767</v>
      </c>
      <c r="AM452" s="270">
        <f t="shared" si="158"/>
        <v>767</v>
      </c>
    </row>
    <row r="453" spans="2:39" ht="15.75" thickBot="1" x14ac:dyDescent="0.35">
      <c r="B453" s="56" t="str">
        <f>input_names!$C$3</f>
        <v>diesel</v>
      </c>
      <c r="C453" s="61">
        <v>51</v>
      </c>
      <c r="D453" s="270">
        <f t="shared" si="163"/>
        <v>481</v>
      </c>
      <c r="E453" s="270">
        <f t="shared" si="163"/>
        <v>481</v>
      </c>
      <c r="F453" s="270">
        <f t="shared" si="163"/>
        <v>455</v>
      </c>
      <c r="G453" s="270">
        <f t="shared" si="163"/>
        <v>458</v>
      </c>
      <c r="H453" s="270">
        <f t="shared" si="163"/>
        <v>462</v>
      </c>
      <c r="I453" s="270">
        <f t="shared" si="163"/>
        <v>468</v>
      </c>
      <c r="J453" s="270">
        <f t="shared" si="163"/>
        <v>423</v>
      </c>
      <c r="K453" s="270">
        <f t="shared" si="163"/>
        <v>427</v>
      </c>
      <c r="L453" s="270">
        <f t="shared" si="163"/>
        <v>502</v>
      </c>
      <c r="M453" s="270">
        <f t="shared" si="163"/>
        <v>542</v>
      </c>
      <c r="N453" s="270">
        <f t="shared" si="163"/>
        <v>769</v>
      </c>
      <c r="O453" s="270">
        <f t="shared" si="163"/>
        <v>769</v>
      </c>
      <c r="P453" s="270">
        <f t="shared" si="163"/>
        <v>769</v>
      </c>
      <c r="Q453" s="270">
        <f t="shared" si="163"/>
        <v>769</v>
      </c>
      <c r="R453" s="270">
        <f t="shared" si="163"/>
        <v>769</v>
      </c>
      <c r="S453" s="270">
        <f t="shared" si="161"/>
        <v>769</v>
      </c>
      <c r="T453" s="270">
        <f t="shared" si="161"/>
        <v>769</v>
      </c>
      <c r="U453" s="270">
        <f t="shared" si="161"/>
        <v>769</v>
      </c>
      <c r="V453" s="270">
        <f t="shared" si="161"/>
        <v>769</v>
      </c>
      <c r="W453" s="270">
        <f t="shared" si="161"/>
        <v>769</v>
      </c>
      <c r="X453" s="270">
        <f t="shared" si="161"/>
        <v>769</v>
      </c>
      <c r="Y453" s="270">
        <f t="shared" si="161"/>
        <v>769</v>
      </c>
      <c r="Z453" s="270">
        <f t="shared" si="161"/>
        <v>769</v>
      </c>
      <c r="AA453" s="270">
        <f t="shared" si="161"/>
        <v>769</v>
      </c>
      <c r="AB453" s="270">
        <f t="shared" si="161"/>
        <v>769</v>
      </c>
      <c r="AC453" s="270">
        <f t="shared" si="161"/>
        <v>769</v>
      </c>
      <c r="AD453" s="270">
        <f t="shared" si="162"/>
        <v>769</v>
      </c>
      <c r="AE453" s="270">
        <f t="shared" si="158"/>
        <v>769</v>
      </c>
      <c r="AF453" s="270">
        <f t="shared" si="158"/>
        <v>769</v>
      </c>
      <c r="AG453" s="270">
        <f t="shared" si="158"/>
        <v>769</v>
      </c>
      <c r="AH453" s="270">
        <f t="shared" si="158"/>
        <v>769</v>
      </c>
      <c r="AI453" s="270">
        <f t="shared" si="158"/>
        <v>769</v>
      </c>
      <c r="AJ453" s="270">
        <f t="shared" si="158"/>
        <v>769</v>
      </c>
      <c r="AK453" s="270">
        <f t="shared" si="158"/>
        <v>769</v>
      </c>
      <c r="AL453" s="270">
        <f t="shared" si="158"/>
        <v>769</v>
      </c>
      <c r="AM453" s="270">
        <f t="shared" si="158"/>
        <v>769</v>
      </c>
    </row>
    <row r="454" spans="2:39" ht="15.75" thickBot="1" x14ac:dyDescent="0.35">
      <c r="B454" s="56" t="str">
        <f>input_names!$C$3</f>
        <v>diesel</v>
      </c>
      <c r="C454" s="61">
        <v>52</v>
      </c>
      <c r="D454" s="270">
        <f t="shared" si="163"/>
        <v>487</v>
      </c>
      <c r="E454" s="270">
        <f t="shared" si="163"/>
        <v>487</v>
      </c>
      <c r="F454" s="270">
        <f t="shared" si="163"/>
        <v>457</v>
      </c>
      <c r="G454" s="270">
        <f t="shared" si="163"/>
        <v>460</v>
      </c>
      <c r="H454" s="270">
        <f t="shared" si="163"/>
        <v>464</v>
      </c>
      <c r="I454" s="270">
        <f t="shared" si="163"/>
        <v>470</v>
      </c>
      <c r="J454" s="270">
        <f t="shared" si="163"/>
        <v>424</v>
      </c>
      <c r="K454" s="270">
        <f t="shared" si="163"/>
        <v>428</v>
      </c>
      <c r="L454" s="270">
        <f t="shared" si="163"/>
        <v>504</v>
      </c>
      <c r="M454" s="270">
        <f t="shared" si="163"/>
        <v>544</v>
      </c>
      <c r="N454" s="270">
        <f t="shared" si="163"/>
        <v>771</v>
      </c>
      <c r="O454" s="270">
        <f t="shared" si="163"/>
        <v>771</v>
      </c>
      <c r="P454" s="270">
        <f t="shared" si="163"/>
        <v>771</v>
      </c>
      <c r="Q454" s="270">
        <f t="shared" si="163"/>
        <v>771</v>
      </c>
      <c r="R454" s="270">
        <f t="shared" si="163"/>
        <v>771</v>
      </c>
      <c r="S454" s="270">
        <f t="shared" si="161"/>
        <v>771</v>
      </c>
      <c r="T454" s="270">
        <f t="shared" si="161"/>
        <v>771</v>
      </c>
      <c r="U454" s="270">
        <f t="shared" si="161"/>
        <v>771</v>
      </c>
      <c r="V454" s="270">
        <f t="shared" si="161"/>
        <v>771</v>
      </c>
      <c r="W454" s="270">
        <f t="shared" si="161"/>
        <v>771</v>
      </c>
      <c r="X454" s="270">
        <f t="shared" si="161"/>
        <v>771</v>
      </c>
      <c r="Y454" s="270">
        <f t="shared" si="161"/>
        <v>771</v>
      </c>
      <c r="Z454" s="270">
        <f t="shared" si="161"/>
        <v>771</v>
      </c>
      <c r="AA454" s="270">
        <f t="shared" si="161"/>
        <v>771</v>
      </c>
      <c r="AB454" s="270">
        <f t="shared" si="161"/>
        <v>771</v>
      </c>
      <c r="AC454" s="270">
        <f t="shared" si="161"/>
        <v>771</v>
      </c>
      <c r="AD454" s="270">
        <f t="shared" si="162"/>
        <v>771</v>
      </c>
      <c r="AE454" s="270">
        <f t="shared" si="158"/>
        <v>771</v>
      </c>
      <c r="AF454" s="270">
        <f t="shared" si="158"/>
        <v>771</v>
      </c>
      <c r="AG454" s="270">
        <f t="shared" si="158"/>
        <v>771</v>
      </c>
      <c r="AH454" s="270">
        <f t="shared" si="158"/>
        <v>771</v>
      </c>
      <c r="AI454" s="270">
        <f t="shared" si="158"/>
        <v>771</v>
      </c>
      <c r="AJ454" s="270">
        <f t="shared" si="158"/>
        <v>771</v>
      </c>
      <c r="AK454" s="270">
        <f t="shared" si="158"/>
        <v>771</v>
      </c>
      <c r="AL454" s="270">
        <f t="shared" si="158"/>
        <v>771</v>
      </c>
      <c r="AM454" s="270">
        <f t="shared" si="158"/>
        <v>771</v>
      </c>
    </row>
    <row r="455" spans="2:39" ht="15.75" thickBot="1" x14ac:dyDescent="0.35">
      <c r="B455" s="56" t="str">
        <f>input_names!$C$3</f>
        <v>diesel</v>
      </c>
      <c r="C455" s="61">
        <v>53</v>
      </c>
      <c r="D455" s="270">
        <f t="shared" si="163"/>
        <v>493</v>
      </c>
      <c r="E455" s="270">
        <f t="shared" si="163"/>
        <v>493</v>
      </c>
      <c r="F455" s="270">
        <f t="shared" si="163"/>
        <v>459</v>
      </c>
      <c r="G455" s="270">
        <f t="shared" si="163"/>
        <v>462</v>
      </c>
      <c r="H455" s="270">
        <f t="shared" si="163"/>
        <v>466</v>
      </c>
      <c r="I455" s="270">
        <f t="shared" si="163"/>
        <v>472</v>
      </c>
      <c r="J455" s="270">
        <f t="shared" si="163"/>
        <v>425</v>
      </c>
      <c r="K455" s="270">
        <f t="shared" si="163"/>
        <v>429</v>
      </c>
      <c r="L455" s="270">
        <f t="shared" si="163"/>
        <v>506</v>
      </c>
      <c r="M455" s="270">
        <f t="shared" si="163"/>
        <v>546</v>
      </c>
      <c r="N455" s="270">
        <f t="shared" si="163"/>
        <v>773</v>
      </c>
      <c r="O455" s="270">
        <f t="shared" si="163"/>
        <v>773</v>
      </c>
      <c r="P455" s="270">
        <f t="shared" si="163"/>
        <v>773</v>
      </c>
      <c r="Q455" s="270">
        <f t="shared" si="163"/>
        <v>773</v>
      </c>
      <c r="R455" s="270">
        <f t="shared" si="163"/>
        <v>773</v>
      </c>
      <c r="S455" s="270">
        <f t="shared" si="161"/>
        <v>773</v>
      </c>
      <c r="T455" s="270">
        <f t="shared" si="161"/>
        <v>773</v>
      </c>
      <c r="U455" s="270">
        <f t="shared" si="161"/>
        <v>773</v>
      </c>
      <c r="V455" s="270">
        <f t="shared" si="161"/>
        <v>773</v>
      </c>
      <c r="W455" s="270">
        <f t="shared" si="161"/>
        <v>773</v>
      </c>
      <c r="X455" s="270">
        <f t="shared" si="161"/>
        <v>773</v>
      </c>
      <c r="Y455" s="270">
        <f t="shared" si="161"/>
        <v>773</v>
      </c>
      <c r="Z455" s="270">
        <f t="shared" si="161"/>
        <v>773</v>
      </c>
      <c r="AA455" s="270">
        <f t="shared" si="161"/>
        <v>773</v>
      </c>
      <c r="AB455" s="270">
        <f t="shared" si="161"/>
        <v>773</v>
      </c>
      <c r="AC455" s="270">
        <f t="shared" si="161"/>
        <v>773</v>
      </c>
      <c r="AD455" s="270">
        <f t="shared" si="162"/>
        <v>773</v>
      </c>
      <c r="AE455" s="270">
        <f t="shared" si="158"/>
        <v>773</v>
      </c>
      <c r="AF455" s="270">
        <f t="shared" si="158"/>
        <v>773</v>
      </c>
      <c r="AG455" s="270">
        <f t="shared" si="158"/>
        <v>773</v>
      </c>
      <c r="AH455" s="270">
        <f t="shared" si="158"/>
        <v>773</v>
      </c>
      <c r="AI455" s="270">
        <f t="shared" si="158"/>
        <v>773</v>
      </c>
      <c r="AJ455" s="270">
        <f t="shared" si="158"/>
        <v>773</v>
      </c>
      <c r="AK455" s="270">
        <f t="shared" si="158"/>
        <v>773</v>
      </c>
      <c r="AL455" s="270">
        <f t="shared" si="158"/>
        <v>773</v>
      </c>
      <c r="AM455" s="270">
        <f t="shared" si="158"/>
        <v>773</v>
      </c>
    </row>
    <row r="456" spans="2:39" ht="15.75" thickBot="1" x14ac:dyDescent="0.35">
      <c r="B456" s="56" t="str">
        <f>input_names!$C$3</f>
        <v>diesel</v>
      </c>
      <c r="C456" s="61">
        <v>54</v>
      </c>
      <c r="D456" s="270">
        <f t="shared" si="163"/>
        <v>499</v>
      </c>
      <c r="E456" s="270">
        <f t="shared" si="163"/>
        <v>499</v>
      </c>
      <c r="F456" s="270">
        <f t="shared" si="163"/>
        <v>461</v>
      </c>
      <c r="G456" s="270">
        <f t="shared" si="163"/>
        <v>464</v>
      </c>
      <c r="H456" s="270">
        <f t="shared" si="163"/>
        <v>468</v>
      </c>
      <c r="I456" s="270">
        <f t="shared" si="163"/>
        <v>474</v>
      </c>
      <c r="J456" s="270">
        <f t="shared" si="163"/>
        <v>426</v>
      </c>
      <c r="K456" s="270">
        <f t="shared" si="163"/>
        <v>430</v>
      </c>
      <c r="L456" s="270">
        <f t="shared" si="163"/>
        <v>508</v>
      </c>
      <c r="M456" s="270">
        <f t="shared" si="163"/>
        <v>548</v>
      </c>
      <c r="N456" s="270">
        <f t="shared" si="163"/>
        <v>775</v>
      </c>
      <c r="O456" s="270">
        <f t="shared" si="163"/>
        <v>775</v>
      </c>
      <c r="P456" s="270">
        <f t="shared" si="163"/>
        <v>775</v>
      </c>
      <c r="Q456" s="270">
        <f t="shared" si="163"/>
        <v>775</v>
      </c>
      <c r="R456" s="270">
        <f t="shared" si="163"/>
        <v>775</v>
      </c>
      <c r="S456" s="270">
        <f t="shared" si="161"/>
        <v>775</v>
      </c>
      <c r="T456" s="270">
        <f t="shared" si="161"/>
        <v>775</v>
      </c>
      <c r="U456" s="270">
        <f t="shared" si="161"/>
        <v>775</v>
      </c>
      <c r="V456" s="270">
        <f t="shared" si="161"/>
        <v>775</v>
      </c>
      <c r="W456" s="270">
        <f t="shared" si="161"/>
        <v>775</v>
      </c>
      <c r="X456" s="270">
        <f t="shared" si="161"/>
        <v>775</v>
      </c>
      <c r="Y456" s="270">
        <f t="shared" si="161"/>
        <v>775</v>
      </c>
      <c r="Z456" s="270">
        <f t="shared" si="161"/>
        <v>775</v>
      </c>
      <c r="AA456" s="270">
        <f t="shared" si="161"/>
        <v>775</v>
      </c>
      <c r="AB456" s="270">
        <f t="shared" si="161"/>
        <v>775</v>
      </c>
      <c r="AC456" s="270">
        <f t="shared" si="161"/>
        <v>775</v>
      </c>
      <c r="AD456" s="270">
        <f t="shared" si="162"/>
        <v>775</v>
      </c>
      <c r="AE456" s="270">
        <f t="shared" si="158"/>
        <v>775</v>
      </c>
      <c r="AF456" s="270">
        <f t="shared" si="158"/>
        <v>775</v>
      </c>
      <c r="AG456" s="270">
        <f t="shared" si="158"/>
        <v>775</v>
      </c>
      <c r="AH456" s="270">
        <f t="shared" si="158"/>
        <v>775</v>
      </c>
      <c r="AI456" s="270">
        <f t="shared" si="158"/>
        <v>775</v>
      </c>
      <c r="AJ456" s="270">
        <f t="shared" si="158"/>
        <v>775</v>
      </c>
      <c r="AK456" s="270">
        <f t="shared" si="158"/>
        <v>775</v>
      </c>
      <c r="AL456" s="270">
        <f t="shared" si="158"/>
        <v>775</v>
      </c>
      <c r="AM456" s="270">
        <f t="shared" si="158"/>
        <v>775</v>
      </c>
    </row>
    <row r="457" spans="2:39" ht="15.75" thickBot="1" x14ac:dyDescent="0.35">
      <c r="B457" s="56" t="str">
        <f>input_names!$C$3</f>
        <v>diesel</v>
      </c>
      <c r="C457" s="61">
        <v>55</v>
      </c>
      <c r="D457" s="270">
        <f t="shared" si="163"/>
        <v>505</v>
      </c>
      <c r="E457" s="270">
        <f t="shared" si="163"/>
        <v>505</v>
      </c>
      <c r="F457" s="270">
        <f t="shared" si="163"/>
        <v>463</v>
      </c>
      <c r="G457" s="270">
        <f t="shared" si="163"/>
        <v>466</v>
      </c>
      <c r="H457" s="270">
        <f t="shared" si="163"/>
        <v>470</v>
      </c>
      <c r="I457" s="270">
        <f t="shared" si="163"/>
        <v>476</v>
      </c>
      <c r="J457" s="270">
        <f t="shared" si="163"/>
        <v>427</v>
      </c>
      <c r="K457" s="270">
        <f t="shared" si="163"/>
        <v>431</v>
      </c>
      <c r="L457" s="270">
        <f t="shared" si="163"/>
        <v>510</v>
      </c>
      <c r="M457" s="270">
        <f t="shared" si="163"/>
        <v>550</v>
      </c>
      <c r="N457" s="270">
        <f t="shared" si="163"/>
        <v>777</v>
      </c>
      <c r="O457" s="270">
        <f t="shared" si="163"/>
        <v>777</v>
      </c>
      <c r="P457" s="270">
        <f t="shared" si="163"/>
        <v>777</v>
      </c>
      <c r="Q457" s="270">
        <f t="shared" si="163"/>
        <v>777</v>
      </c>
      <c r="R457" s="270">
        <f t="shared" si="163"/>
        <v>777</v>
      </c>
      <c r="S457" s="270">
        <f t="shared" si="161"/>
        <v>777</v>
      </c>
      <c r="T457" s="270">
        <f t="shared" si="161"/>
        <v>777</v>
      </c>
      <c r="U457" s="270">
        <f t="shared" si="161"/>
        <v>777</v>
      </c>
      <c r="V457" s="270">
        <f t="shared" si="161"/>
        <v>777</v>
      </c>
      <c r="W457" s="270">
        <f t="shared" si="161"/>
        <v>777</v>
      </c>
      <c r="X457" s="270">
        <f t="shared" si="161"/>
        <v>777</v>
      </c>
      <c r="Y457" s="270">
        <f t="shared" si="161"/>
        <v>777</v>
      </c>
      <c r="Z457" s="270">
        <f t="shared" si="161"/>
        <v>777</v>
      </c>
      <c r="AA457" s="270">
        <f t="shared" si="161"/>
        <v>777</v>
      </c>
      <c r="AB457" s="270">
        <f t="shared" si="161"/>
        <v>777</v>
      </c>
      <c r="AC457" s="270">
        <f t="shared" si="161"/>
        <v>777</v>
      </c>
      <c r="AD457" s="270">
        <f t="shared" si="162"/>
        <v>777</v>
      </c>
      <c r="AE457" s="270">
        <f t="shared" si="158"/>
        <v>777</v>
      </c>
      <c r="AF457" s="270">
        <f t="shared" si="158"/>
        <v>777</v>
      </c>
      <c r="AG457" s="270">
        <f t="shared" si="158"/>
        <v>777</v>
      </c>
      <c r="AH457" s="270">
        <f t="shared" si="158"/>
        <v>777</v>
      </c>
      <c r="AI457" s="270">
        <f t="shared" si="158"/>
        <v>777</v>
      </c>
      <c r="AJ457" s="270">
        <f t="shared" si="158"/>
        <v>777</v>
      </c>
      <c r="AK457" s="270">
        <f t="shared" si="158"/>
        <v>777</v>
      </c>
      <c r="AL457" s="270">
        <f t="shared" si="158"/>
        <v>777</v>
      </c>
      <c r="AM457" s="270">
        <f t="shared" si="158"/>
        <v>777</v>
      </c>
    </row>
    <row r="458" spans="2:39" ht="15.75" thickBot="1" x14ac:dyDescent="0.35">
      <c r="B458" s="56" t="str">
        <f>input_names!$C$3</f>
        <v>diesel</v>
      </c>
      <c r="C458" s="61">
        <v>56</v>
      </c>
      <c r="D458" s="270">
        <f t="shared" si="163"/>
        <v>511</v>
      </c>
      <c r="E458" s="270">
        <f t="shared" si="163"/>
        <v>511</v>
      </c>
      <c r="F458" s="270">
        <f t="shared" si="163"/>
        <v>465</v>
      </c>
      <c r="G458" s="270">
        <f t="shared" si="163"/>
        <v>468</v>
      </c>
      <c r="H458" s="270">
        <f t="shared" si="163"/>
        <v>472</v>
      </c>
      <c r="I458" s="270">
        <f t="shared" si="163"/>
        <v>478</v>
      </c>
      <c r="J458" s="270">
        <f t="shared" si="163"/>
        <v>428</v>
      </c>
      <c r="K458" s="270">
        <f t="shared" si="163"/>
        <v>432</v>
      </c>
      <c r="L458" s="270">
        <f t="shared" si="163"/>
        <v>512</v>
      </c>
      <c r="M458" s="270">
        <f t="shared" si="163"/>
        <v>552</v>
      </c>
      <c r="N458" s="270">
        <f t="shared" si="163"/>
        <v>779</v>
      </c>
      <c r="O458" s="270">
        <f t="shared" si="163"/>
        <v>779</v>
      </c>
      <c r="P458" s="270">
        <f t="shared" si="163"/>
        <v>779</v>
      </c>
      <c r="Q458" s="270">
        <f t="shared" si="163"/>
        <v>779</v>
      </c>
      <c r="R458" s="270">
        <f t="shared" si="163"/>
        <v>779</v>
      </c>
      <c r="S458" s="270">
        <f t="shared" si="163"/>
        <v>779</v>
      </c>
      <c r="T458" s="270">
        <f t="shared" ref="T458:AC483" si="164">+MIN(MAX(0,$C458-T$11),T$12-T$11)*T$17
+MIN(MAX(0,$C458-T$12),T$13-T$12)*T$18
+MIN(MAX(0,$C458-T$13),T$14-T$13)*T$19
+MIN(MAX(0,$C458-T$14),T$15-T$14)*T$20
+MAX(0,$C458-T$15)*T$21
+T$24*MAX(0,$C458-T$23)
+T$26</f>
        <v>779</v>
      </c>
      <c r="U458" s="270">
        <f t="shared" si="164"/>
        <v>779</v>
      </c>
      <c r="V458" s="270">
        <f t="shared" si="164"/>
        <v>779</v>
      </c>
      <c r="W458" s="270">
        <f t="shared" si="164"/>
        <v>779</v>
      </c>
      <c r="X458" s="270">
        <f t="shared" si="164"/>
        <v>779</v>
      </c>
      <c r="Y458" s="270">
        <f t="shared" si="164"/>
        <v>779</v>
      </c>
      <c r="Z458" s="270">
        <f t="shared" si="164"/>
        <v>779</v>
      </c>
      <c r="AA458" s="270">
        <f t="shared" si="164"/>
        <v>779</v>
      </c>
      <c r="AB458" s="270">
        <f t="shared" si="164"/>
        <v>779</v>
      </c>
      <c r="AC458" s="270">
        <f t="shared" si="164"/>
        <v>779</v>
      </c>
      <c r="AD458" s="270">
        <f t="shared" si="162"/>
        <v>779</v>
      </c>
      <c r="AE458" s="270">
        <f t="shared" si="158"/>
        <v>779</v>
      </c>
      <c r="AF458" s="270">
        <f t="shared" si="158"/>
        <v>779</v>
      </c>
      <c r="AG458" s="270">
        <f t="shared" si="158"/>
        <v>779</v>
      </c>
      <c r="AH458" s="270">
        <f t="shared" si="158"/>
        <v>779</v>
      </c>
      <c r="AI458" s="270">
        <f t="shared" si="158"/>
        <v>779</v>
      </c>
      <c r="AJ458" s="270">
        <f t="shared" si="158"/>
        <v>779</v>
      </c>
      <c r="AK458" s="270">
        <f t="shared" si="158"/>
        <v>779</v>
      </c>
      <c r="AL458" s="270">
        <f t="shared" si="158"/>
        <v>779</v>
      </c>
      <c r="AM458" s="270">
        <f t="shared" si="158"/>
        <v>779</v>
      </c>
    </row>
    <row r="459" spans="2:39" ht="15.75" thickBot="1" x14ac:dyDescent="0.35">
      <c r="B459" s="56" t="str">
        <f>input_names!$C$3</f>
        <v>diesel</v>
      </c>
      <c r="C459" s="61">
        <v>57</v>
      </c>
      <c r="D459" s="270">
        <f t="shared" si="163"/>
        <v>517</v>
      </c>
      <c r="E459" s="270">
        <f t="shared" si="163"/>
        <v>517</v>
      </c>
      <c r="F459" s="270">
        <f t="shared" si="163"/>
        <v>467</v>
      </c>
      <c r="G459" s="270">
        <f t="shared" si="163"/>
        <v>470</v>
      </c>
      <c r="H459" s="270">
        <f t="shared" si="163"/>
        <v>474</v>
      </c>
      <c r="I459" s="270">
        <f t="shared" si="163"/>
        <v>480</v>
      </c>
      <c r="J459" s="270">
        <f t="shared" si="163"/>
        <v>429</v>
      </c>
      <c r="K459" s="270">
        <f t="shared" si="163"/>
        <v>433</v>
      </c>
      <c r="L459" s="270">
        <f t="shared" si="163"/>
        <v>514</v>
      </c>
      <c r="M459" s="270">
        <f t="shared" si="163"/>
        <v>554</v>
      </c>
      <c r="N459" s="270">
        <f t="shared" si="163"/>
        <v>781</v>
      </c>
      <c r="O459" s="270">
        <f t="shared" si="163"/>
        <v>781</v>
      </c>
      <c r="P459" s="270">
        <f t="shared" si="163"/>
        <v>781</v>
      </c>
      <c r="Q459" s="270">
        <f t="shared" si="163"/>
        <v>781</v>
      </c>
      <c r="R459" s="270">
        <f t="shared" si="163"/>
        <v>781</v>
      </c>
      <c r="S459" s="270">
        <f t="shared" si="163"/>
        <v>781</v>
      </c>
      <c r="T459" s="270">
        <f t="shared" si="164"/>
        <v>781</v>
      </c>
      <c r="U459" s="270">
        <f t="shared" si="164"/>
        <v>781</v>
      </c>
      <c r="V459" s="270">
        <f t="shared" si="164"/>
        <v>781</v>
      </c>
      <c r="W459" s="270">
        <f t="shared" si="164"/>
        <v>781</v>
      </c>
      <c r="X459" s="270">
        <f t="shared" si="164"/>
        <v>781</v>
      </c>
      <c r="Y459" s="270">
        <f t="shared" si="164"/>
        <v>781</v>
      </c>
      <c r="Z459" s="270">
        <f t="shared" si="164"/>
        <v>781</v>
      </c>
      <c r="AA459" s="270">
        <f t="shared" si="164"/>
        <v>781</v>
      </c>
      <c r="AB459" s="270">
        <f t="shared" si="164"/>
        <v>781</v>
      </c>
      <c r="AC459" s="270">
        <f t="shared" si="164"/>
        <v>781</v>
      </c>
      <c r="AD459" s="270">
        <f t="shared" si="162"/>
        <v>781</v>
      </c>
      <c r="AE459" s="270">
        <f t="shared" si="158"/>
        <v>781</v>
      </c>
      <c r="AF459" s="270">
        <f t="shared" si="158"/>
        <v>781</v>
      </c>
      <c r="AG459" s="270">
        <f t="shared" si="158"/>
        <v>781</v>
      </c>
      <c r="AH459" s="270">
        <f t="shared" si="158"/>
        <v>781</v>
      </c>
      <c r="AI459" s="270">
        <f t="shared" si="158"/>
        <v>781</v>
      </c>
      <c r="AJ459" s="270">
        <f t="shared" si="158"/>
        <v>781</v>
      </c>
      <c r="AK459" s="270">
        <f t="shared" si="158"/>
        <v>781</v>
      </c>
      <c r="AL459" s="270">
        <f t="shared" si="158"/>
        <v>781</v>
      </c>
      <c r="AM459" s="270">
        <f t="shared" si="158"/>
        <v>781</v>
      </c>
    </row>
    <row r="460" spans="2:39" ht="15.75" thickBot="1" x14ac:dyDescent="0.35">
      <c r="B460" s="56" t="str">
        <f>input_names!$C$3</f>
        <v>diesel</v>
      </c>
      <c r="C460" s="61">
        <v>58</v>
      </c>
      <c r="D460" s="270">
        <f t="shared" si="163"/>
        <v>523</v>
      </c>
      <c r="E460" s="270">
        <f t="shared" si="163"/>
        <v>523</v>
      </c>
      <c r="F460" s="270">
        <f t="shared" si="163"/>
        <v>469</v>
      </c>
      <c r="G460" s="270">
        <f t="shared" si="163"/>
        <v>472</v>
      </c>
      <c r="H460" s="270">
        <f t="shared" si="163"/>
        <v>476</v>
      </c>
      <c r="I460" s="270">
        <f t="shared" si="163"/>
        <v>482</v>
      </c>
      <c r="J460" s="270">
        <f t="shared" si="163"/>
        <v>430</v>
      </c>
      <c r="K460" s="270">
        <f t="shared" si="163"/>
        <v>434</v>
      </c>
      <c r="L460" s="270">
        <f t="shared" si="163"/>
        <v>516</v>
      </c>
      <c r="M460" s="270">
        <f t="shared" si="163"/>
        <v>556</v>
      </c>
      <c r="N460" s="270">
        <f t="shared" si="163"/>
        <v>783</v>
      </c>
      <c r="O460" s="270">
        <f t="shared" si="163"/>
        <v>783</v>
      </c>
      <c r="P460" s="270">
        <f t="shared" si="163"/>
        <v>783</v>
      </c>
      <c r="Q460" s="270">
        <f t="shared" si="163"/>
        <v>783</v>
      </c>
      <c r="R460" s="270">
        <f t="shared" si="163"/>
        <v>783</v>
      </c>
      <c r="S460" s="270">
        <f t="shared" si="163"/>
        <v>783</v>
      </c>
      <c r="T460" s="270">
        <f t="shared" si="164"/>
        <v>783</v>
      </c>
      <c r="U460" s="270">
        <f t="shared" si="164"/>
        <v>783</v>
      </c>
      <c r="V460" s="270">
        <f t="shared" si="164"/>
        <v>783</v>
      </c>
      <c r="W460" s="270">
        <f t="shared" si="164"/>
        <v>783</v>
      </c>
      <c r="X460" s="270">
        <f t="shared" si="164"/>
        <v>783</v>
      </c>
      <c r="Y460" s="270">
        <f t="shared" si="164"/>
        <v>783</v>
      </c>
      <c r="Z460" s="270">
        <f t="shared" si="164"/>
        <v>783</v>
      </c>
      <c r="AA460" s="270">
        <f t="shared" si="164"/>
        <v>783</v>
      </c>
      <c r="AB460" s="270">
        <f t="shared" si="164"/>
        <v>783</v>
      </c>
      <c r="AC460" s="270">
        <f t="shared" si="164"/>
        <v>783</v>
      </c>
      <c r="AD460" s="270">
        <f t="shared" si="162"/>
        <v>783</v>
      </c>
      <c r="AE460" s="270">
        <f t="shared" si="158"/>
        <v>783</v>
      </c>
      <c r="AF460" s="270">
        <f t="shared" si="158"/>
        <v>783</v>
      </c>
      <c r="AG460" s="270">
        <f t="shared" si="158"/>
        <v>783</v>
      </c>
      <c r="AH460" s="270">
        <f t="shared" si="158"/>
        <v>783</v>
      </c>
      <c r="AI460" s="270">
        <f t="shared" si="158"/>
        <v>783</v>
      </c>
      <c r="AJ460" s="270">
        <f t="shared" si="158"/>
        <v>783</v>
      </c>
      <c r="AK460" s="270">
        <f t="shared" si="158"/>
        <v>783</v>
      </c>
      <c r="AL460" s="270">
        <f t="shared" si="158"/>
        <v>783</v>
      </c>
      <c r="AM460" s="270">
        <f t="shared" si="158"/>
        <v>783</v>
      </c>
    </row>
    <row r="461" spans="2:39" ht="15.75" thickBot="1" x14ac:dyDescent="0.35">
      <c r="B461" s="56" t="str">
        <f>input_names!$C$3</f>
        <v>diesel</v>
      </c>
      <c r="C461" s="61">
        <v>59</v>
      </c>
      <c r="D461" s="270">
        <f t="shared" si="163"/>
        <v>529</v>
      </c>
      <c r="E461" s="270">
        <f t="shared" si="163"/>
        <v>529</v>
      </c>
      <c r="F461" s="270">
        <f t="shared" si="163"/>
        <v>471</v>
      </c>
      <c r="G461" s="270">
        <f t="shared" si="163"/>
        <v>474</v>
      </c>
      <c r="H461" s="270">
        <f t="shared" si="163"/>
        <v>478</v>
      </c>
      <c r="I461" s="270">
        <f t="shared" si="163"/>
        <v>484</v>
      </c>
      <c r="J461" s="270">
        <f t="shared" si="163"/>
        <v>431</v>
      </c>
      <c r="K461" s="270">
        <f t="shared" si="163"/>
        <v>435</v>
      </c>
      <c r="L461" s="270">
        <f t="shared" si="163"/>
        <v>518</v>
      </c>
      <c r="M461" s="270">
        <f t="shared" si="163"/>
        <v>558</v>
      </c>
      <c r="N461" s="270">
        <f t="shared" si="163"/>
        <v>785</v>
      </c>
      <c r="O461" s="270">
        <f t="shared" si="163"/>
        <v>785</v>
      </c>
      <c r="P461" s="270">
        <f t="shared" si="163"/>
        <v>785</v>
      </c>
      <c r="Q461" s="270">
        <f t="shared" si="163"/>
        <v>785</v>
      </c>
      <c r="R461" s="270">
        <f t="shared" si="163"/>
        <v>785</v>
      </c>
      <c r="S461" s="270">
        <f t="shared" si="163"/>
        <v>785</v>
      </c>
      <c r="T461" s="270">
        <f t="shared" si="164"/>
        <v>785</v>
      </c>
      <c r="U461" s="270">
        <f t="shared" si="164"/>
        <v>785</v>
      </c>
      <c r="V461" s="270">
        <f t="shared" si="164"/>
        <v>785</v>
      </c>
      <c r="W461" s="270">
        <f t="shared" si="164"/>
        <v>785</v>
      </c>
      <c r="X461" s="270">
        <f t="shared" si="164"/>
        <v>785</v>
      </c>
      <c r="Y461" s="270">
        <f t="shared" si="164"/>
        <v>785</v>
      </c>
      <c r="Z461" s="270">
        <f t="shared" si="164"/>
        <v>785</v>
      </c>
      <c r="AA461" s="270">
        <f t="shared" si="164"/>
        <v>785</v>
      </c>
      <c r="AB461" s="270">
        <f t="shared" si="164"/>
        <v>785</v>
      </c>
      <c r="AC461" s="270">
        <f t="shared" si="164"/>
        <v>785</v>
      </c>
      <c r="AD461" s="270">
        <f t="shared" si="162"/>
        <v>785</v>
      </c>
      <c r="AE461" s="270">
        <f t="shared" si="158"/>
        <v>785</v>
      </c>
      <c r="AF461" s="270">
        <f t="shared" si="158"/>
        <v>785</v>
      </c>
      <c r="AG461" s="270">
        <f t="shared" si="158"/>
        <v>785</v>
      </c>
      <c r="AH461" s="270">
        <f t="shared" si="158"/>
        <v>785</v>
      </c>
      <c r="AI461" s="270">
        <f t="shared" si="158"/>
        <v>785</v>
      </c>
      <c r="AJ461" s="270">
        <f t="shared" si="158"/>
        <v>785</v>
      </c>
      <c r="AK461" s="270">
        <f t="shared" si="158"/>
        <v>785</v>
      </c>
      <c r="AL461" s="270">
        <f t="shared" si="158"/>
        <v>785</v>
      </c>
      <c r="AM461" s="270">
        <f t="shared" si="158"/>
        <v>785</v>
      </c>
    </row>
    <row r="462" spans="2:39" ht="15.75" thickBot="1" x14ac:dyDescent="0.35">
      <c r="B462" s="56" t="str">
        <f>input_names!$C$3</f>
        <v>diesel</v>
      </c>
      <c r="C462" s="61">
        <v>60</v>
      </c>
      <c r="D462" s="270">
        <f t="shared" si="163"/>
        <v>535</v>
      </c>
      <c r="E462" s="270">
        <f t="shared" si="163"/>
        <v>535</v>
      </c>
      <c r="F462" s="270">
        <f t="shared" si="163"/>
        <v>473</v>
      </c>
      <c r="G462" s="270">
        <f t="shared" si="163"/>
        <v>476</v>
      </c>
      <c r="H462" s="270">
        <f t="shared" si="163"/>
        <v>480</v>
      </c>
      <c r="I462" s="270">
        <f t="shared" si="163"/>
        <v>575.85</v>
      </c>
      <c r="J462" s="270">
        <f t="shared" si="163"/>
        <v>432</v>
      </c>
      <c r="K462" s="270">
        <f t="shared" si="163"/>
        <v>436</v>
      </c>
      <c r="L462" s="270">
        <f t="shared" si="163"/>
        <v>520</v>
      </c>
      <c r="M462" s="270">
        <f t="shared" si="163"/>
        <v>560</v>
      </c>
      <c r="N462" s="270">
        <f t="shared" si="163"/>
        <v>787</v>
      </c>
      <c r="O462" s="270">
        <f t="shared" si="163"/>
        <v>787</v>
      </c>
      <c r="P462" s="270">
        <f t="shared" si="163"/>
        <v>787</v>
      </c>
      <c r="Q462" s="270">
        <f t="shared" si="163"/>
        <v>787</v>
      </c>
      <c r="R462" s="270">
        <f t="shared" si="163"/>
        <v>787</v>
      </c>
      <c r="S462" s="270">
        <f t="shared" si="163"/>
        <v>787</v>
      </c>
      <c r="T462" s="270">
        <f t="shared" si="164"/>
        <v>787</v>
      </c>
      <c r="U462" s="270">
        <f t="shared" si="164"/>
        <v>787</v>
      </c>
      <c r="V462" s="270">
        <f t="shared" si="164"/>
        <v>787</v>
      </c>
      <c r="W462" s="270">
        <f t="shared" si="164"/>
        <v>787</v>
      </c>
      <c r="X462" s="270">
        <f t="shared" si="164"/>
        <v>787</v>
      </c>
      <c r="Y462" s="270">
        <f t="shared" si="164"/>
        <v>787</v>
      </c>
      <c r="Z462" s="270">
        <f t="shared" si="164"/>
        <v>787</v>
      </c>
      <c r="AA462" s="270">
        <f t="shared" si="164"/>
        <v>787</v>
      </c>
      <c r="AB462" s="270">
        <f t="shared" si="164"/>
        <v>787</v>
      </c>
      <c r="AC462" s="270">
        <f t="shared" si="164"/>
        <v>787</v>
      </c>
      <c r="AD462" s="270">
        <f t="shared" si="162"/>
        <v>787</v>
      </c>
      <c r="AE462" s="270">
        <f t="shared" si="158"/>
        <v>787</v>
      </c>
      <c r="AF462" s="270">
        <f t="shared" si="158"/>
        <v>787</v>
      </c>
      <c r="AG462" s="270">
        <f t="shared" si="158"/>
        <v>787</v>
      </c>
      <c r="AH462" s="270">
        <f t="shared" si="158"/>
        <v>787</v>
      </c>
      <c r="AI462" s="270">
        <f t="shared" si="158"/>
        <v>787</v>
      </c>
      <c r="AJ462" s="270">
        <f t="shared" si="158"/>
        <v>787</v>
      </c>
      <c r="AK462" s="270">
        <f t="shared" si="158"/>
        <v>787</v>
      </c>
      <c r="AL462" s="270">
        <f t="shared" si="158"/>
        <v>787</v>
      </c>
      <c r="AM462" s="270">
        <f t="shared" si="158"/>
        <v>787</v>
      </c>
    </row>
    <row r="463" spans="2:39" ht="15.75" thickBot="1" x14ac:dyDescent="0.35">
      <c r="B463" s="56" t="str">
        <f>input_names!$C$3</f>
        <v>diesel</v>
      </c>
      <c r="C463" s="61">
        <v>61</v>
      </c>
      <c r="D463" s="270">
        <f t="shared" si="163"/>
        <v>541</v>
      </c>
      <c r="E463" s="270">
        <f t="shared" si="163"/>
        <v>541</v>
      </c>
      <c r="F463" s="270">
        <f t="shared" si="163"/>
        <v>475</v>
      </c>
      <c r="G463" s="270">
        <f t="shared" si="163"/>
        <v>478</v>
      </c>
      <c r="H463" s="270">
        <f t="shared" si="163"/>
        <v>482</v>
      </c>
      <c r="I463" s="270">
        <f t="shared" si="163"/>
        <v>667.7</v>
      </c>
      <c r="J463" s="270">
        <f t="shared" si="163"/>
        <v>433</v>
      </c>
      <c r="K463" s="270">
        <f t="shared" si="163"/>
        <v>437</v>
      </c>
      <c r="L463" s="270">
        <f t="shared" si="163"/>
        <v>522</v>
      </c>
      <c r="M463" s="270">
        <f t="shared" si="163"/>
        <v>562</v>
      </c>
      <c r="N463" s="270">
        <f t="shared" si="163"/>
        <v>789</v>
      </c>
      <c r="O463" s="270">
        <f t="shared" si="163"/>
        <v>789</v>
      </c>
      <c r="P463" s="270">
        <f t="shared" si="163"/>
        <v>789</v>
      </c>
      <c r="Q463" s="270">
        <f t="shared" si="163"/>
        <v>789</v>
      </c>
      <c r="R463" s="270">
        <f t="shared" si="163"/>
        <v>789</v>
      </c>
      <c r="S463" s="270">
        <f t="shared" si="163"/>
        <v>789</v>
      </c>
      <c r="T463" s="270">
        <f t="shared" si="164"/>
        <v>789</v>
      </c>
      <c r="U463" s="270">
        <f t="shared" si="164"/>
        <v>789</v>
      </c>
      <c r="V463" s="270">
        <f t="shared" si="164"/>
        <v>789</v>
      </c>
      <c r="W463" s="270">
        <f t="shared" si="164"/>
        <v>789</v>
      </c>
      <c r="X463" s="270">
        <f t="shared" si="164"/>
        <v>789</v>
      </c>
      <c r="Y463" s="270">
        <f t="shared" si="164"/>
        <v>789</v>
      </c>
      <c r="Z463" s="270">
        <f t="shared" si="164"/>
        <v>789</v>
      </c>
      <c r="AA463" s="270">
        <f t="shared" si="164"/>
        <v>789</v>
      </c>
      <c r="AB463" s="270">
        <f t="shared" si="164"/>
        <v>789</v>
      </c>
      <c r="AC463" s="270">
        <f t="shared" si="164"/>
        <v>789</v>
      </c>
      <c r="AD463" s="270">
        <f t="shared" si="162"/>
        <v>789</v>
      </c>
      <c r="AE463" s="270">
        <f t="shared" si="158"/>
        <v>789</v>
      </c>
      <c r="AF463" s="270">
        <f t="shared" si="158"/>
        <v>789</v>
      </c>
      <c r="AG463" s="270">
        <f t="shared" si="158"/>
        <v>789</v>
      </c>
      <c r="AH463" s="270">
        <f t="shared" si="158"/>
        <v>789</v>
      </c>
      <c r="AI463" s="270">
        <f t="shared" si="158"/>
        <v>789</v>
      </c>
      <c r="AJ463" s="270">
        <f t="shared" si="158"/>
        <v>789</v>
      </c>
      <c r="AK463" s="270">
        <f t="shared" si="158"/>
        <v>789</v>
      </c>
      <c r="AL463" s="270">
        <f t="shared" si="158"/>
        <v>789</v>
      </c>
      <c r="AM463" s="270">
        <f t="shared" si="158"/>
        <v>789</v>
      </c>
    </row>
    <row r="464" spans="2:39" ht="15.75" thickBot="1" x14ac:dyDescent="0.35">
      <c r="B464" s="56" t="str">
        <f>input_names!$C$3</f>
        <v>diesel</v>
      </c>
      <c r="C464" s="61">
        <v>62</v>
      </c>
      <c r="D464" s="270">
        <f t="shared" si="163"/>
        <v>547</v>
      </c>
      <c r="E464" s="270">
        <f t="shared" si="163"/>
        <v>547</v>
      </c>
      <c r="F464" s="270">
        <f t="shared" si="163"/>
        <v>477</v>
      </c>
      <c r="G464" s="270">
        <f t="shared" si="163"/>
        <v>480</v>
      </c>
      <c r="H464" s="270">
        <f t="shared" si="163"/>
        <v>572.43000000000006</v>
      </c>
      <c r="I464" s="270">
        <f t="shared" si="163"/>
        <v>759.55</v>
      </c>
      <c r="J464" s="270">
        <f t="shared" si="163"/>
        <v>434</v>
      </c>
      <c r="K464" s="270">
        <f t="shared" si="163"/>
        <v>438</v>
      </c>
      <c r="L464" s="270">
        <f t="shared" si="163"/>
        <v>524</v>
      </c>
      <c r="M464" s="270">
        <f t="shared" si="163"/>
        <v>564</v>
      </c>
      <c r="N464" s="270">
        <f t="shared" si="163"/>
        <v>791</v>
      </c>
      <c r="O464" s="270">
        <f t="shared" si="163"/>
        <v>791</v>
      </c>
      <c r="P464" s="270">
        <f t="shared" si="163"/>
        <v>791</v>
      </c>
      <c r="Q464" s="270">
        <f t="shared" si="163"/>
        <v>791</v>
      </c>
      <c r="R464" s="270">
        <f t="shared" si="163"/>
        <v>791</v>
      </c>
      <c r="S464" s="270">
        <f t="shared" si="163"/>
        <v>791</v>
      </c>
      <c r="T464" s="270">
        <f t="shared" si="164"/>
        <v>791</v>
      </c>
      <c r="U464" s="270">
        <f t="shared" si="164"/>
        <v>791</v>
      </c>
      <c r="V464" s="270">
        <f t="shared" si="164"/>
        <v>791</v>
      </c>
      <c r="W464" s="270">
        <f t="shared" si="164"/>
        <v>791</v>
      </c>
      <c r="X464" s="270">
        <f t="shared" si="164"/>
        <v>791</v>
      </c>
      <c r="Y464" s="270">
        <f t="shared" si="164"/>
        <v>791</v>
      </c>
      <c r="Z464" s="270">
        <f t="shared" si="164"/>
        <v>791</v>
      </c>
      <c r="AA464" s="270">
        <f t="shared" si="164"/>
        <v>791</v>
      </c>
      <c r="AB464" s="270">
        <f t="shared" si="164"/>
        <v>791</v>
      </c>
      <c r="AC464" s="270">
        <f t="shared" si="164"/>
        <v>791</v>
      </c>
      <c r="AD464" s="270">
        <f t="shared" si="162"/>
        <v>791</v>
      </c>
      <c r="AE464" s="270">
        <f t="shared" si="158"/>
        <v>791</v>
      </c>
      <c r="AF464" s="270">
        <f t="shared" si="158"/>
        <v>791</v>
      </c>
      <c r="AG464" s="270">
        <f t="shared" si="158"/>
        <v>791</v>
      </c>
      <c r="AH464" s="270">
        <f t="shared" si="158"/>
        <v>791</v>
      </c>
      <c r="AI464" s="270">
        <f t="shared" si="158"/>
        <v>791</v>
      </c>
      <c r="AJ464" s="270">
        <f t="shared" si="158"/>
        <v>791</v>
      </c>
      <c r="AK464" s="270">
        <f t="shared" si="158"/>
        <v>791</v>
      </c>
      <c r="AL464" s="270">
        <f t="shared" si="158"/>
        <v>791</v>
      </c>
      <c r="AM464" s="270">
        <f t="shared" si="158"/>
        <v>791</v>
      </c>
    </row>
    <row r="465" spans="2:39" ht="15.75" thickBot="1" x14ac:dyDescent="0.35">
      <c r="B465" s="56" t="str">
        <f>input_names!$C$3</f>
        <v>diesel</v>
      </c>
      <c r="C465" s="61">
        <v>63</v>
      </c>
      <c r="D465" s="270">
        <f t="shared" si="163"/>
        <v>553</v>
      </c>
      <c r="E465" s="270">
        <f t="shared" si="163"/>
        <v>553</v>
      </c>
      <c r="F465" s="270">
        <f t="shared" si="163"/>
        <v>479</v>
      </c>
      <c r="G465" s="270">
        <f t="shared" si="163"/>
        <v>482</v>
      </c>
      <c r="H465" s="270">
        <f t="shared" si="163"/>
        <v>662.86</v>
      </c>
      <c r="I465" s="270">
        <f t="shared" si="163"/>
        <v>851.4</v>
      </c>
      <c r="J465" s="270">
        <f t="shared" si="163"/>
        <v>435</v>
      </c>
      <c r="K465" s="270">
        <f t="shared" si="163"/>
        <v>439</v>
      </c>
      <c r="L465" s="270">
        <f t="shared" si="163"/>
        <v>526</v>
      </c>
      <c r="M465" s="270">
        <f t="shared" si="163"/>
        <v>566</v>
      </c>
      <c r="N465" s="270">
        <f t="shared" si="163"/>
        <v>793</v>
      </c>
      <c r="O465" s="270">
        <f t="shared" si="163"/>
        <v>793</v>
      </c>
      <c r="P465" s="270">
        <f t="shared" si="163"/>
        <v>793</v>
      </c>
      <c r="Q465" s="270">
        <f t="shared" si="163"/>
        <v>793</v>
      </c>
      <c r="R465" s="270">
        <f t="shared" si="163"/>
        <v>793</v>
      </c>
      <c r="S465" s="270">
        <f t="shared" ref="S465:T496" si="165">+MIN(MAX(0,$C465-S$11),S$12-S$11)*S$17
+MIN(MAX(0,$C465-S$12),S$13-S$12)*S$18
+MIN(MAX(0,$C465-S$13),S$14-S$13)*S$19
+MIN(MAX(0,$C465-S$14),S$15-S$14)*S$20
+MAX(0,$C465-S$15)*S$21
+S$24*MAX(0,$C465-S$23)
+S$26</f>
        <v>793</v>
      </c>
      <c r="T465" s="270">
        <f t="shared" si="164"/>
        <v>793</v>
      </c>
      <c r="U465" s="270">
        <f t="shared" si="164"/>
        <v>793</v>
      </c>
      <c r="V465" s="270">
        <f t="shared" si="164"/>
        <v>793</v>
      </c>
      <c r="W465" s="270">
        <f t="shared" si="164"/>
        <v>793</v>
      </c>
      <c r="X465" s="270">
        <f t="shared" si="164"/>
        <v>793</v>
      </c>
      <c r="Y465" s="270">
        <f t="shared" si="164"/>
        <v>793</v>
      </c>
      <c r="Z465" s="270">
        <f t="shared" si="164"/>
        <v>793</v>
      </c>
      <c r="AA465" s="270">
        <f t="shared" si="164"/>
        <v>793</v>
      </c>
      <c r="AB465" s="270">
        <f t="shared" si="164"/>
        <v>793</v>
      </c>
      <c r="AC465" s="270">
        <f t="shared" si="164"/>
        <v>793</v>
      </c>
      <c r="AD465" s="270">
        <f t="shared" si="162"/>
        <v>793</v>
      </c>
      <c r="AE465" s="270">
        <f t="shared" si="158"/>
        <v>793</v>
      </c>
      <c r="AF465" s="270">
        <f t="shared" si="158"/>
        <v>793</v>
      </c>
      <c r="AG465" s="270">
        <f t="shared" si="158"/>
        <v>793</v>
      </c>
      <c r="AH465" s="270">
        <f t="shared" si="158"/>
        <v>793</v>
      </c>
      <c r="AI465" s="270">
        <f t="shared" si="158"/>
        <v>793</v>
      </c>
      <c r="AJ465" s="270">
        <f t="shared" si="158"/>
        <v>793</v>
      </c>
      <c r="AK465" s="270">
        <f t="shared" si="158"/>
        <v>793</v>
      </c>
      <c r="AL465" s="270">
        <f t="shared" si="158"/>
        <v>793</v>
      </c>
      <c r="AM465" s="270">
        <f t="shared" si="158"/>
        <v>793</v>
      </c>
    </row>
    <row r="466" spans="2:39" ht="15.75" thickBot="1" x14ac:dyDescent="0.35">
      <c r="B466" s="56" t="str">
        <f>input_names!$C$3</f>
        <v>diesel</v>
      </c>
      <c r="C466" s="61">
        <v>64</v>
      </c>
      <c r="D466" s="270">
        <f t="shared" ref="D466:R481" si="166">+MIN(MAX(0,$C466-D$11),D$12-D$11)*D$17
+MIN(MAX(0,$C466-D$12),D$13-D$12)*D$18
+MIN(MAX(0,$C466-D$13),D$14-D$13)*D$19
+MIN(MAX(0,$C466-D$14),D$15-D$14)*D$20
+MAX(0,$C466-D$15)*D$21
+D$24*MAX(0,$C466-D$23)
+D$26</f>
        <v>559</v>
      </c>
      <c r="E466" s="270">
        <f t="shared" si="166"/>
        <v>559</v>
      </c>
      <c r="F466" s="270">
        <f t="shared" si="166"/>
        <v>481</v>
      </c>
      <c r="G466" s="270">
        <f t="shared" si="166"/>
        <v>571.38</v>
      </c>
      <c r="H466" s="270">
        <f t="shared" si="166"/>
        <v>753.29</v>
      </c>
      <c r="I466" s="270">
        <f t="shared" si="166"/>
        <v>943.25</v>
      </c>
      <c r="J466" s="270">
        <f t="shared" si="166"/>
        <v>436</v>
      </c>
      <c r="K466" s="270">
        <f t="shared" si="166"/>
        <v>440</v>
      </c>
      <c r="L466" s="270">
        <f t="shared" si="166"/>
        <v>528</v>
      </c>
      <c r="M466" s="270">
        <f t="shared" si="166"/>
        <v>568</v>
      </c>
      <c r="N466" s="270">
        <f t="shared" si="166"/>
        <v>795</v>
      </c>
      <c r="O466" s="270">
        <f t="shared" si="166"/>
        <v>795</v>
      </c>
      <c r="P466" s="270">
        <f t="shared" si="166"/>
        <v>795</v>
      </c>
      <c r="Q466" s="270">
        <f t="shared" si="166"/>
        <v>795</v>
      </c>
      <c r="R466" s="270">
        <f t="shared" si="166"/>
        <v>795</v>
      </c>
      <c r="S466" s="270">
        <f t="shared" si="165"/>
        <v>795</v>
      </c>
      <c r="T466" s="270">
        <f t="shared" si="164"/>
        <v>795</v>
      </c>
      <c r="U466" s="270">
        <f t="shared" si="164"/>
        <v>795</v>
      </c>
      <c r="V466" s="270">
        <f t="shared" si="164"/>
        <v>795</v>
      </c>
      <c r="W466" s="270">
        <f t="shared" si="164"/>
        <v>795</v>
      </c>
      <c r="X466" s="270">
        <f t="shared" si="164"/>
        <v>795</v>
      </c>
      <c r="Y466" s="270">
        <f t="shared" si="164"/>
        <v>795</v>
      </c>
      <c r="Z466" s="270">
        <f t="shared" si="164"/>
        <v>795</v>
      </c>
      <c r="AA466" s="270">
        <f t="shared" si="164"/>
        <v>795</v>
      </c>
      <c r="AB466" s="270">
        <f t="shared" si="164"/>
        <v>795</v>
      </c>
      <c r="AC466" s="270">
        <f t="shared" si="164"/>
        <v>795</v>
      </c>
      <c r="AD466" s="270">
        <f t="shared" si="162"/>
        <v>795</v>
      </c>
      <c r="AE466" s="270">
        <f t="shared" si="158"/>
        <v>795</v>
      </c>
      <c r="AF466" s="270">
        <f t="shared" si="158"/>
        <v>795</v>
      </c>
      <c r="AG466" s="270">
        <f t="shared" si="158"/>
        <v>795</v>
      </c>
      <c r="AH466" s="270">
        <f t="shared" si="158"/>
        <v>795</v>
      </c>
      <c r="AI466" s="270">
        <f t="shared" si="158"/>
        <v>795</v>
      </c>
      <c r="AJ466" s="270">
        <f t="shared" si="158"/>
        <v>795</v>
      </c>
      <c r="AK466" s="270">
        <f t="shared" si="158"/>
        <v>795</v>
      </c>
      <c r="AL466" s="270">
        <f t="shared" si="158"/>
        <v>795</v>
      </c>
      <c r="AM466" s="270">
        <f t="shared" si="158"/>
        <v>795</v>
      </c>
    </row>
    <row r="467" spans="2:39" ht="15.75" thickBot="1" x14ac:dyDescent="0.35">
      <c r="B467" s="56" t="str">
        <f>input_names!$C$3</f>
        <v>diesel</v>
      </c>
      <c r="C467" s="61">
        <v>65</v>
      </c>
      <c r="D467" s="270">
        <f t="shared" si="166"/>
        <v>565</v>
      </c>
      <c r="E467" s="270">
        <f t="shared" si="166"/>
        <v>565</v>
      </c>
      <c r="F467" s="270">
        <f t="shared" si="166"/>
        <v>483</v>
      </c>
      <c r="G467" s="270">
        <f t="shared" si="166"/>
        <v>660.76</v>
      </c>
      <c r="H467" s="270">
        <f t="shared" si="166"/>
        <v>843.72</v>
      </c>
      <c r="I467" s="270">
        <f t="shared" si="166"/>
        <v>1035.0999999999999</v>
      </c>
      <c r="J467" s="270">
        <f t="shared" si="166"/>
        <v>437</v>
      </c>
      <c r="K467" s="270">
        <f t="shared" si="166"/>
        <v>441</v>
      </c>
      <c r="L467" s="270">
        <f t="shared" si="166"/>
        <v>530</v>
      </c>
      <c r="M467" s="270">
        <f t="shared" si="166"/>
        <v>570</v>
      </c>
      <c r="N467" s="270">
        <f t="shared" si="166"/>
        <v>797</v>
      </c>
      <c r="O467" s="270">
        <f t="shared" si="166"/>
        <v>797</v>
      </c>
      <c r="P467" s="270">
        <f t="shared" si="166"/>
        <v>797</v>
      </c>
      <c r="Q467" s="270">
        <f t="shared" si="166"/>
        <v>797</v>
      </c>
      <c r="R467" s="270">
        <f t="shared" si="166"/>
        <v>797</v>
      </c>
      <c r="S467" s="270">
        <f t="shared" si="165"/>
        <v>797</v>
      </c>
      <c r="T467" s="270">
        <f t="shared" si="164"/>
        <v>797</v>
      </c>
      <c r="U467" s="270">
        <f t="shared" si="164"/>
        <v>797</v>
      </c>
      <c r="V467" s="270">
        <f t="shared" si="164"/>
        <v>797</v>
      </c>
      <c r="W467" s="270">
        <f t="shared" si="164"/>
        <v>797</v>
      </c>
      <c r="X467" s="270">
        <f t="shared" si="164"/>
        <v>797</v>
      </c>
      <c r="Y467" s="270">
        <f t="shared" si="164"/>
        <v>797</v>
      </c>
      <c r="Z467" s="270">
        <f t="shared" si="164"/>
        <v>797</v>
      </c>
      <c r="AA467" s="270">
        <f t="shared" si="164"/>
        <v>797</v>
      </c>
      <c r="AB467" s="270">
        <f t="shared" si="164"/>
        <v>797</v>
      </c>
      <c r="AC467" s="270">
        <f t="shared" si="164"/>
        <v>797</v>
      </c>
      <c r="AD467" s="270">
        <f t="shared" si="162"/>
        <v>797</v>
      </c>
      <c r="AE467" s="270">
        <f t="shared" si="158"/>
        <v>797</v>
      </c>
      <c r="AF467" s="270">
        <f t="shared" si="158"/>
        <v>797</v>
      </c>
      <c r="AG467" s="270">
        <f t="shared" si="158"/>
        <v>797</v>
      </c>
      <c r="AH467" s="270">
        <f t="shared" si="158"/>
        <v>797</v>
      </c>
      <c r="AI467" s="270">
        <f t="shared" si="158"/>
        <v>797</v>
      </c>
      <c r="AJ467" s="270">
        <f t="shared" si="158"/>
        <v>797</v>
      </c>
      <c r="AK467" s="270">
        <f t="shared" si="158"/>
        <v>797</v>
      </c>
      <c r="AL467" s="270">
        <f t="shared" si="158"/>
        <v>797</v>
      </c>
      <c r="AM467" s="270">
        <f t="shared" si="158"/>
        <v>797</v>
      </c>
    </row>
    <row r="468" spans="2:39" ht="15.75" thickBot="1" x14ac:dyDescent="0.35">
      <c r="B468" s="56" t="str">
        <f>input_names!$C$3</f>
        <v>diesel</v>
      </c>
      <c r="C468" s="61">
        <v>66</v>
      </c>
      <c r="D468" s="270">
        <f t="shared" si="166"/>
        <v>571</v>
      </c>
      <c r="E468" s="270">
        <f t="shared" si="166"/>
        <v>571</v>
      </c>
      <c r="F468" s="270">
        <f t="shared" si="166"/>
        <v>571.69000000000005</v>
      </c>
      <c r="G468" s="270">
        <f t="shared" si="166"/>
        <v>750.14</v>
      </c>
      <c r="H468" s="270">
        <f t="shared" si="166"/>
        <v>934.15000000000009</v>
      </c>
      <c r="I468" s="270">
        <f t="shared" si="166"/>
        <v>1126.9499999999998</v>
      </c>
      <c r="J468" s="270">
        <f t="shared" si="166"/>
        <v>438</v>
      </c>
      <c r="K468" s="270">
        <f t="shared" si="166"/>
        <v>442</v>
      </c>
      <c r="L468" s="270">
        <f t="shared" si="166"/>
        <v>532</v>
      </c>
      <c r="M468" s="270">
        <f t="shared" si="166"/>
        <v>572</v>
      </c>
      <c r="N468" s="270">
        <f t="shared" si="166"/>
        <v>799</v>
      </c>
      <c r="O468" s="270">
        <f t="shared" si="166"/>
        <v>799</v>
      </c>
      <c r="P468" s="270">
        <f t="shared" si="166"/>
        <v>799</v>
      </c>
      <c r="Q468" s="270">
        <f t="shared" si="166"/>
        <v>799</v>
      </c>
      <c r="R468" s="270">
        <f t="shared" si="166"/>
        <v>799</v>
      </c>
      <c r="S468" s="270">
        <f t="shared" si="165"/>
        <v>799</v>
      </c>
      <c r="T468" s="270">
        <f t="shared" si="164"/>
        <v>799</v>
      </c>
      <c r="U468" s="270">
        <f t="shared" si="164"/>
        <v>799</v>
      </c>
      <c r="V468" s="270">
        <f t="shared" si="164"/>
        <v>799</v>
      </c>
      <c r="W468" s="270">
        <f t="shared" si="164"/>
        <v>799</v>
      </c>
      <c r="X468" s="270">
        <f t="shared" si="164"/>
        <v>799</v>
      </c>
      <c r="Y468" s="270">
        <f t="shared" si="164"/>
        <v>799</v>
      </c>
      <c r="Z468" s="270">
        <f t="shared" si="164"/>
        <v>799</v>
      </c>
      <c r="AA468" s="270">
        <f t="shared" si="164"/>
        <v>799</v>
      </c>
      <c r="AB468" s="270">
        <f t="shared" si="164"/>
        <v>799</v>
      </c>
      <c r="AC468" s="270">
        <f t="shared" si="164"/>
        <v>799</v>
      </c>
      <c r="AD468" s="270">
        <f t="shared" si="162"/>
        <v>799</v>
      </c>
      <c r="AE468" s="270">
        <f t="shared" si="158"/>
        <v>799</v>
      </c>
      <c r="AF468" s="270">
        <f t="shared" si="158"/>
        <v>799</v>
      </c>
      <c r="AG468" s="270">
        <f t="shared" si="158"/>
        <v>799</v>
      </c>
      <c r="AH468" s="270">
        <f t="shared" si="158"/>
        <v>799</v>
      </c>
      <c r="AI468" s="270">
        <f t="shared" si="158"/>
        <v>799</v>
      </c>
      <c r="AJ468" s="270">
        <f t="shared" si="158"/>
        <v>799</v>
      </c>
      <c r="AK468" s="270">
        <f t="shared" si="158"/>
        <v>799</v>
      </c>
      <c r="AL468" s="270">
        <f t="shared" si="158"/>
        <v>799</v>
      </c>
      <c r="AM468" s="270">
        <f t="shared" si="158"/>
        <v>799</v>
      </c>
    </row>
    <row r="469" spans="2:39" ht="15.75" thickBot="1" x14ac:dyDescent="0.35">
      <c r="B469" s="56" t="str">
        <f>input_names!$C$3</f>
        <v>diesel</v>
      </c>
      <c r="C469" s="61">
        <v>67</v>
      </c>
      <c r="D469" s="270">
        <f t="shared" si="166"/>
        <v>577</v>
      </c>
      <c r="E469" s="270">
        <f t="shared" si="166"/>
        <v>577</v>
      </c>
      <c r="F469" s="270">
        <f t="shared" si="166"/>
        <v>660.38</v>
      </c>
      <c r="G469" s="270">
        <f t="shared" si="166"/>
        <v>839.52</v>
      </c>
      <c r="H469" s="270">
        <f t="shared" si="166"/>
        <v>1024.58</v>
      </c>
      <c r="I469" s="270">
        <f t="shared" si="166"/>
        <v>1218.8</v>
      </c>
      <c r="J469" s="270">
        <f t="shared" si="166"/>
        <v>439</v>
      </c>
      <c r="K469" s="270">
        <f t="shared" si="166"/>
        <v>443</v>
      </c>
      <c r="L469" s="270">
        <f t="shared" si="166"/>
        <v>534</v>
      </c>
      <c r="M469" s="270">
        <f t="shared" si="166"/>
        <v>574</v>
      </c>
      <c r="N469" s="270">
        <f t="shared" si="166"/>
        <v>801</v>
      </c>
      <c r="O469" s="270">
        <f t="shared" si="166"/>
        <v>801</v>
      </c>
      <c r="P469" s="270">
        <f t="shared" si="166"/>
        <v>801</v>
      </c>
      <c r="Q469" s="270">
        <f t="shared" si="166"/>
        <v>801</v>
      </c>
      <c r="R469" s="270">
        <f t="shared" si="166"/>
        <v>801</v>
      </c>
      <c r="S469" s="270">
        <f t="shared" si="165"/>
        <v>801</v>
      </c>
      <c r="T469" s="270">
        <f t="shared" si="164"/>
        <v>801</v>
      </c>
      <c r="U469" s="270">
        <f t="shared" si="164"/>
        <v>801</v>
      </c>
      <c r="V469" s="270">
        <f t="shared" si="164"/>
        <v>801</v>
      </c>
      <c r="W469" s="270">
        <f t="shared" si="164"/>
        <v>801</v>
      </c>
      <c r="X469" s="270">
        <f t="shared" si="164"/>
        <v>801</v>
      </c>
      <c r="Y469" s="270">
        <f t="shared" si="164"/>
        <v>801</v>
      </c>
      <c r="Z469" s="270">
        <f t="shared" si="164"/>
        <v>801</v>
      </c>
      <c r="AA469" s="270">
        <f t="shared" si="164"/>
        <v>801</v>
      </c>
      <c r="AB469" s="270">
        <f t="shared" si="164"/>
        <v>801</v>
      </c>
      <c r="AC469" s="270">
        <f t="shared" si="164"/>
        <v>801</v>
      </c>
      <c r="AD469" s="270">
        <f t="shared" si="162"/>
        <v>801</v>
      </c>
      <c r="AE469" s="270">
        <f t="shared" si="158"/>
        <v>801</v>
      </c>
      <c r="AF469" s="270">
        <f t="shared" si="158"/>
        <v>801</v>
      </c>
      <c r="AG469" s="270">
        <f t="shared" si="158"/>
        <v>801</v>
      </c>
      <c r="AH469" s="270">
        <f t="shared" si="158"/>
        <v>801</v>
      </c>
      <c r="AI469" s="270">
        <f t="shared" si="158"/>
        <v>801</v>
      </c>
      <c r="AJ469" s="270">
        <f t="shared" si="158"/>
        <v>801</v>
      </c>
      <c r="AK469" s="270">
        <f t="shared" si="158"/>
        <v>801</v>
      </c>
      <c r="AL469" s="270">
        <f t="shared" si="158"/>
        <v>801</v>
      </c>
      <c r="AM469" s="270">
        <f t="shared" si="158"/>
        <v>801</v>
      </c>
    </row>
    <row r="470" spans="2:39" ht="15.75" thickBot="1" x14ac:dyDescent="0.35">
      <c r="B470" s="56" t="str">
        <f>input_names!$C$3</f>
        <v>diesel</v>
      </c>
      <c r="C470" s="61">
        <v>68</v>
      </c>
      <c r="D470" s="270">
        <f t="shared" si="166"/>
        <v>583</v>
      </c>
      <c r="E470" s="270">
        <f t="shared" si="166"/>
        <v>669.43000000000006</v>
      </c>
      <c r="F470" s="270">
        <f t="shared" si="166"/>
        <v>749.06999999999994</v>
      </c>
      <c r="G470" s="270">
        <f t="shared" si="166"/>
        <v>928.9</v>
      </c>
      <c r="H470" s="270">
        <f t="shared" si="166"/>
        <v>1115.01</v>
      </c>
      <c r="I470" s="270">
        <f t="shared" si="166"/>
        <v>1310.6500000000001</v>
      </c>
      <c r="J470" s="270">
        <f t="shared" si="166"/>
        <v>440</v>
      </c>
      <c r="K470" s="270">
        <f t="shared" si="166"/>
        <v>444</v>
      </c>
      <c r="L470" s="270">
        <f t="shared" si="166"/>
        <v>536</v>
      </c>
      <c r="M470" s="270">
        <f t="shared" si="166"/>
        <v>576</v>
      </c>
      <c r="N470" s="270">
        <f t="shared" si="166"/>
        <v>803</v>
      </c>
      <c r="O470" s="270">
        <f t="shared" si="166"/>
        <v>803</v>
      </c>
      <c r="P470" s="270">
        <f t="shared" si="166"/>
        <v>803</v>
      </c>
      <c r="Q470" s="270">
        <f t="shared" si="166"/>
        <v>803</v>
      </c>
      <c r="R470" s="270">
        <f t="shared" si="166"/>
        <v>803</v>
      </c>
      <c r="S470" s="270">
        <f t="shared" si="165"/>
        <v>803</v>
      </c>
      <c r="T470" s="270">
        <f t="shared" si="164"/>
        <v>803</v>
      </c>
      <c r="U470" s="270">
        <f t="shared" si="164"/>
        <v>803</v>
      </c>
      <c r="V470" s="270">
        <f t="shared" si="164"/>
        <v>803</v>
      </c>
      <c r="W470" s="270">
        <f t="shared" si="164"/>
        <v>803</v>
      </c>
      <c r="X470" s="270">
        <f t="shared" si="164"/>
        <v>803</v>
      </c>
      <c r="Y470" s="270">
        <f t="shared" si="164"/>
        <v>803</v>
      </c>
      <c r="Z470" s="270">
        <f t="shared" si="164"/>
        <v>803</v>
      </c>
      <c r="AA470" s="270">
        <f t="shared" si="164"/>
        <v>803</v>
      </c>
      <c r="AB470" s="270">
        <f t="shared" si="164"/>
        <v>803</v>
      </c>
      <c r="AC470" s="270">
        <f t="shared" si="164"/>
        <v>803</v>
      </c>
      <c r="AD470" s="270">
        <f t="shared" si="162"/>
        <v>803</v>
      </c>
      <c r="AE470" s="270">
        <f t="shared" si="158"/>
        <v>803</v>
      </c>
      <c r="AF470" s="270">
        <f t="shared" si="158"/>
        <v>803</v>
      </c>
      <c r="AG470" s="270">
        <f t="shared" si="158"/>
        <v>803</v>
      </c>
      <c r="AH470" s="270">
        <f t="shared" si="158"/>
        <v>803</v>
      </c>
      <c r="AI470" s="270">
        <f t="shared" si="158"/>
        <v>803</v>
      </c>
      <c r="AJ470" s="270">
        <f t="shared" si="158"/>
        <v>803</v>
      </c>
      <c r="AK470" s="270">
        <f t="shared" si="158"/>
        <v>803</v>
      </c>
      <c r="AL470" s="270">
        <f t="shared" si="158"/>
        <v>803</v>
      </c>
      <c r="AM470" s="270">
        <f t="shared" si="158"/>
        <v>803</v>
      </c>
    </row>
    <row r="471" spans="2:39" ht="15.75" thickBot="1" x14ac:dyDescent="0.35">
      <c r="B471" s="56" t="str">
        <f>input_names!$C$3</f>
        <v>diesel</v>
      </c>
      <c r="C471" s="61">
        <v>69</v>
      </c>
      <c r="D471" s="270">
        <f t="shared" si="166"/>
        <v>589</v>
      </c>
      <c r="E471" s="270">
        <f t="shared" si="166"/>
        <v>761.86</v>
      </c>
      <c r="F471" s="270">
        <f t="shared" si="166"/>
        <v>837.76</v>
      </c>
      <c r="G471" s="270">
        <f t="shared" si="166"/>
        <v>1018.28</v>
      </c>
      <c r="H471" s="270">
        <f t="shared" si="166"/>
        <v>1205.44</v>
      </c>
      <c r="I471" s="270">
        <f t="shared" si="166"/>
        <v>1458.5</v>
      </c>
      <c r="J471" s="270">
        <f t="shared" si="166"/>
        <v>441</v>
      </c>
      <c r="K471" s="270">
        <f t="shared" si="166"/>
        <v>445</v>
      </c>
      <c r="L471" s="270">
        <f t="shared" si="166"/>
        <v>538</v>
      </c>
      <c r="M471" s="270">
        <f t="shared" si="166"/>
        <v>578</v>
      </c>
      <c r="N471" s="270">
        <f t="shared" si="166"/>
        <v>805</v>
      </c>
      <c r="O471" s="270">
        <f t="shared" si="166"/>
        <v>805</v>
      </c>
      <c r="P471" s="270">
        <f t="shared" si="166"/>
        <v>805</v>
      </c>
      <c r="Q471" s="270">
        <f t="shared" si="166"/>
        <v>805</v>
      </c>
      <c r="R471" s="270">
        <f t="shared" si="166"/>
        <v>805</v>
      </c>
      <c r="S471" s="270">
        <f t="shared" si="165"/>
        <v>805</v>
      </c>
      <c r="T471" s="270">
        <f t="shared" si="164"/>
        <v>805</v>
      </c>
      <c r="U471" s="270">
        <f t="shared" si="164"/>
        <v>805</v>
      </c>
      <c r="V471" s="270">
        <f t="shared" si="164"/>
        <v>805</v>
      </c>
      <c r="W471" s="270">
        <f t="shared" si="164"/>
        <v>805</v>
      </c>
      <c r="X471" s="270">
        <f t="shared" si="164"/>
        <v>805</v>
      </c>
      <c r="Y471" s="270">
        <f t="shared" si="164"/>
        <v>805</v>
      </c>
      <c r="Z471" s="270">
        <f t="shared" si="164"/>
        <v>805</v>
      </c>
      <c r="AA471" s="270">
        <f t="shared" si="164"/>
        <v>805</v>
      </c>
      <c r="AB471" s="270">
        <f t="shared" si="164"/>
        <v>805</v>
      </c>
      <c r="AC471" s="270">
        <f t="shared" si="164"/>
        <v>805</v>
      </c>
      <c r="AD471" s="270">
        <f t="shared" si="162"/>
        <v>805</v>
      </c>
      <c r="AE471" s="270">
        <f t="shared" si="158"/>
        <v>805</v>
      </c>
      <c r="AF471" s="270">
        <f t="shared" si="158"/>
        <v>805</v>
      </c>
      <c r="AG471" s="270">
        <f t="shared" si="158"/>
        <v>805</v>
      </c>
      <c r="AH471" s="270">
        <f t="shared" si="158"/>
        <v>805</v>
      </c>
      <c r="AI471" s="270">
        <f t="shared" si="158"/>
        <v>805</v>
      </c>
      <c r="AJ471" s="270">
        <f t="shared" si="158"/>
        <v>805</v>
      </c>
      <c r="AK471" s="270">
        <f t="shared" si="158"/>
        <v>805</v>
      </c>
      <c r="AL471" s="270">
        <f t="shared" si="158"/>
        <v>805</v>
      </c>
      <c r="AM471" s="270">
        <f t="shared" si="158"/>
        <v>805</v>
      </c>
    </row>
    <row r="472" spans="2:39" ht="15.75" thickBot="1" x14ac:dyDescent="0.35">
      <c r="B472" s="56" t="str">
        <f>input_names!$C$3</f>
        <v>diesel</v>
      </c>
      <c r="C472" s="61">
        <v>70</v>
      </c>
      <c r="D472" s="270">
        <f t="shared" si="166"/>
        <v>595</v>
      </c>
      <c r="E472" s="270">
        <f t="shared" si="166"/>
        <v>854.29</v>
      </c>
      <c r="F472" s="270">
        <f t="shared" si="166"/>
        <v>926.45</v>
      </c>
      <c r="G472" s="270">
        <f t="shared" si="166"/>
        <v>1107.6599999999999</v>
      </c>
      <c r="H472" s="270">
        <f t="shared" si="166"/>
        <v>1295.8700000000001</v>
      </c>
      <c r="I472" s="270">
        <f t="shared" si="166"/>
        <v>1606.35</v>
      </c>
      <c r="J472" s="270">
        <f t="shared" si="166"/>
        <v>442</v>
      </c>
      <c r="K472" s="270">
        <f t="shared" si="166"/>
        <v>446</v>
      </c>
      <c r="L472" s="270">
        <f t="shared" si="166"/>
        <v>540</v>
      </c>
      <c r="M472" s="270">
        <f t="shared" si="166"/>
        <v>580</v>
      </c>
      <c r="N472" s="270">
        <f t="shared" si="166"/>
        <v>807</v>
      </c>
      <c r="O472" s="270">
        <f t="shared" si="166"/>
        <v>807</v>
      </c>
      <c r="P472" s="270">
        <f t="shared" si="166"/>
        <v>807</v>
      </c>
      <c r="Q472" s="270">
        <f t="shared" si="166"/>
        <v>807</v>
      </c>
      <c r="R472" s="270">
        <f t="shared" si="166"/>
        <v>807</v>
      </c>
      <c r="S472" s="270">
        <f t="shared" si="165"/>
        <v>807</v>
      </c>
      <c r="T472" s="270">
        <f t="shared" si="164"/>
        <v>807</v>
      </c>
      <c r="U472" s="270">
        <f t="shared" si="164"/>
        <v>807</v>
      </c>
      <c r="V472" s="270">
        <f t="shared" si="164"/>
        <v>807</v>
      </c>
      <c r="W472" s="270">
        <f t="shared" si="164"/>
        <v>807</v>
      </c>
      <c r="X472" s="270">
        <f t="shared" si="164"/>
        <v>807</v>
      </c>
      <c r="Y472" s="270">
        <f t="shared" si="164"/>
        <v>807</v>
      </c>
      <c r="Z472" s="270">
        <f t="shared" si="164"/>
        <v>807</v>
      </c>
      <c r="AA472" s="270">
        <f t="shared" si="164"/>
        <v>807</v>
      </c>
      <c r="AB472" s="270">
        <f t="shared" si="164"/>
        <v>807</v>
      </c>
      <c r="AC472" s="270">
        <f t="shared" si="164"/>
        <v>807</v>
      </c>
      <c r="AD472" s="270">
        <f t="shared" si="162"/>
        <v>807</v>
      </c>
      <c r="AE472" s="270">
        <f t="shared" si="158"/>
        <v>807</v>
      </c>
      <c r="AF472" s="270">
        <f t="shared" si="158"/>
        <v>807</v>
      </c>
      <c r="AG472" s="270">
        <f t="shared" si="158"/>
        <v>807</v>
      </c>
      <c r="AH472" s="270">
        <f t="shared" si="158"/>
        <v>807</v>
      </c>
      <c r="AI472" s="270">
        <f t="shared" si="158"/>
        <v>807</v>
      </c>
      <c r="AJ472" s="270">
        <f t="shared" si="158"/>
        <v>807</v>
      </c>
      <c r="AK472" s="270">
        <f t="shared" si="158"/>
        <v>807</v>
      </c>
      <c r="AL472" s="270">
        <f t="shared" si="158"/>
        <v>807</v>
      </c>
      <c r="AM472" s="270">
        <f t="shared" si="158"/>
        <v>807</v>
      </c>
    </row>
    <row r="473" spans="2:39" ht="15.75" thickBot="1" x14ac:dyDescent="0.35">
      <c r="B473" s="56" t="str">
        <f>input_names!$C$3</f>
        <v>diesel</v>
      </c>
      <c r="C473" s="61">
        <v>71</v>
      </c>
      <c r="D473" s="270">
        <f t="shared" si="166"/>
        <v>687</v>
      </c>
      <c r="E473" s="270">
        <f t="shared" si="166"/>
        <v>946.72</v>
      </c>
      <c r="F473" s="270">
        <f t="shared" si="166"/>
        <v>1015.14</v>
      </c>
      <c r="G473" s="270">
        <f t="shared" si="166"/>
        <v>1197.04</v>
      </c>
      <c r="H473" s="270">
        <f t="shared" si="166"/>
        <v>1386.3000000000002</v>
      </c>
      <c r="I473" s="270">
        <f t="shared" si="166"/>
        <v>1754.1999999999998</v>
      </c>
      <c r="J473" s="270">
        <f t="shared" si="166"/>
        <v>443</v>
      </c>
      <c r="K473" s="270">
        <f t="shared" si="166"/>
        <v>447</v>
      </c>
      <c r="L473" s="270">
        <f t="shared" si="166"/>
        <v>542</v>
      </c>
      <c r="M473" s="270">
        <f t="shared" si="166"/>
        <v>582</v>
      </c>
      <c r="N473" s="270">
        <f t="shared" si="166"/>
        <v>918.87</v>
      </c>
      <c r="O473" s="270">
        <f t="shared" si="166"/>
        <v>918.87</v>
      </c>
      <c r="P473" s="270">
        <f t="shared" si="166"/>
        <v>918.87</v>
      </c>
      <c r="Q473" s="270">
        <f t="shared" si="166"/>
        <v>918.87</v>
      </c>
      <c r="R473" s="270">
        <f t="shared" si="166"/>
        <v>918.87</v>
      </c>
      <c r="S473" s="270">
        <f t="shared" si="165"/>
        <v>918.87</v>
      </c>
      <c r="T473" s="270">
        <f t="shared" si="164"/>
        <v>918.87</v>
      </c>
      <c r="U473" s="270">
        <f t="shared" si="164"/>
        <v>918.87</v>
      </c>
      <c r="V473" s="270">
        <f t="shared" si="164"/>
        <v>918.87</v>
      </c>
      <c r="W473" s="270">
        <f t="shared" si="164"/>
        <v>918.87</v>
      </c>
      <c r="X473" s="270">
        <f t="shared" si="164"/>
        <v>918.87</v>
      </c>
      <c r="Y473" s="270">
        <f t="shared" si="164"/>
        <v>918.87</v>
      </c>
      <c r="Z473" s="270">
        <f t="shared" si="164"/>
        <v>918.87</v>
      </c>
      <c r="AA473" s="270">
        <f t="shared" si="164"/>
        <v>918.87</v>
      </c>
      <c r="AB473" s="270">
        <f t="shared" si="164"/>
        <v>918.87</v>
      </c>
      <c r="AC473" s="270">
        <f t="shared" si="164"/>
        <v>918.87</v>
      </c>
      <c r="AD473" s="270">
        <f t="shared" si="162"/>
        <v>918.87</v>
      </c>
      <c r="AE473" s="270">
        <f t="shared" si="158"/>
        <v>918.87</v>
      </c>
      <c r="AF473" s="270">
        <f t="shared" si="158"/>
        <v>918.87</v>
      </c>
      <c r="AG473" s="270">
        <f t="shared" si="158"/>
        <v>918.87</v>
      </c>
      <c r="AH473" s="270">
        <f t="shared" si="158"/>
        <v>918.87</v>
      </c>
      <c r="AI473" s="270">
        <f t="shared" si="158"/>
        <v>918.87</v>
      </c>
      <c r="AJ473" s="270">
        <f t="shared" si="158"/>
        <v>918.87</v>
      </c>
      <c r="AK473" s="270">
        <f t="shared" si="158"/>
        <v>918.87</v>
      </c>
      <c r="AL473" s="270">
        <f t="shared" si="158"/>
        <v>918.87</v>
      </c>
      <c r="AM473" s="270">
        <f t="shared" si="158"/>
        <v>918.87</v>
      </c>
    </row>
    <row r="474" spans="2:39" ht="15.75" thickBot="1" x14ac:dyDescent="0.35">
      <c r="B474" s="56" t="str">
        <f>input_names!$C$3</f>
        <v>diesel</v>
      </c>
      <c r="C474" s="61">
        <v>72</v>
      </c>
      <c r="D474" s="270">
        <f t="shared" si="166"/>
        <v>779</v>
      </c>
      <c r="E474" s="270">
        <f t="shared" si="166"/>
        <v>1039.1500000000001</v>
      </c>
      <c r="F474" s="270">
        <f t="shared" si="166"/>
        <v>1103.83</v>
      </c>
      <c r="G474" s="270">
        <f t="shared" si="166"/>
        <v>1286.42</v>
      </c>
      <c r="H474" s="270">
        <f t="shared" si="166"/>
        <v>1533.73</v>
      </c>
      <c r="I474" s="270">
        <f t="shared" si="166"/>
        <v>1902.05</v>
      </c>
      <c r="J474" s="270">
        <f t="shared" si="166"/>
        <v>444</v>
      </c>
      <c r="K474" s="270">
        <f t="shared" si="166"/>
        <v>448</v>
      </c>
      <c r="L474" s="270">
        <f t="shared" si="166"/>
        <v>544</v>
      </c>
      <c r="M474" s="270">
        <f t="shared" si="166"/>
        <v>690.06999999999994</v>
      </c>
      <c r="N474" s="270">
        <f t="shared" si="166"/>
        <v>1030.74</v>
      </c>
      <c r="O474" s="270">
        <f t="shared" si="166"/>
        <v>1030.74</v>
      </c>
      <c r="P474" s="270">
        <f t="shared" si="166"/>
        <v>1030.74</v>
      </c>
      <c r="Q474" s="270">
        <f t="shared" si="166"/>
        <v>1030.74</v>
      </c>
      <c r="R474" s="270">
        <f t="shared" si="166"/>
        <v>1030.74</v>
      </c>
      <c r="S474" s="270">
        <f t="shared" si="165"/>
        <v>1030.74</v>
      </c>
      <c r="T474" s="270">
        <f t="shared" si="164"/>
        <v>1030.74</v>
      </c>
      <c r="U474" s="270">
        <f t="shared" si="164"/>
        <v>1030.74</v>
      </c>
      <c r="V474" s="270">
        <f t="shared" si="164"/>
        <v>1030.74</v>
      </c>
      <c r="W474" s="270">
        <f t="shared" si="164"/>
        <v>1030.74</v>
      </c>
      <c r="X474" s="270">
        <f t="shared" si="164"/>
        <v>1030.74</v>
      </c>
      <c r="Y474" s="270">
        <f t="shared" si="164"/>
        <v>1030.74</v>
      </c>
      <c r="Z474" s="270">
        <f t="shared" si="164"/>
        <v>1030.74</v>
      </c>
      <c r="AA474" s="270">
        <f t="shared" si="164"/>
        <v>1030.74</v>
      </c>
      <c r="AB474" s="270">
        <f t="shared" si="164"/>
        <v>1030.74</v>
      </c>
      <c r="AC474" s="270">
        <f t="shared" si="164"/>
        <v>1030.74</v>
      </c>
      <c r="AD474" s="270">
        <f t="shared" si="162"/>
        <v>1030.74</v>
      </c>
      <c r="AE474" s="270">
        <f t="shared" ref="AE474:AE512" si="167">+MIN(MAX(0,$C474-AE$11),AE$12-AE$11)*AE$17
+MIN(MAX(0,$C474-AE$12),AE$13-AE$12)*AE$18
+MIN(MAX(0,$C474-AE$13),AE$14-AE$13)*AE$19
+MIN(MAX(0,$C474-AE$14),AE$15-AE$14)*AE$20
+MAX(0,$C474-AE$15)*AE$21
+AE$24*MAX(0,$C474-AE$23)
+AE$26</f>
        <v>1030.74</v>
      </c>
      <c r="AF474" s="270">
        <f t="shared" si="158"/>
        <v>1030.74</v>
      </c>
      <c r="AG474" s="270">
        <f t="shared" ref="AF474:AM501" si="168">+MIN(MAX(0,$C474-AG$11),AG$12-AG$11)*AG$17
+MIN(MAX(0,$C474-AG$12),AG$13-AG$12)*AG$18
+MIN(MAX(0,$C474-AG$13),AG$14-AG$13)*AG$19
+MIN(MAX(0,$C474-AG$14),AG$15-AG$14)*AG$20
+MAX(0,$C474-AG$15)*AG$21
+AG$24*MAX(0,$C474-AG$23)
+AG$26</f>
        <v>1030.74</v>
      </c>
      <c r="AH474" s="270">
        <f t="shared" si="168"/>
        <v>1030.74</v>
      </c>
      <c r="AI474" s="270">
        <f t="shared" si="168"/>
        <v>1030.74</v>
      </c>
      <c r="AJ474" s="270">
        <f t="shared" si="168"/>
        <v>1030.74</v>
      </c>
      <c r="AK474" s="270">
        <f t="shared" si="168"/>
        <v>1030.74</v>
      </c>
      <c r="AL474" s="270">
        <f t="shared" si="168"/>
        <v>1030.74</v>
      </c>
      <c r="AM474" s="270">
        <f t="shared" si="168"/>
        <v>1030.74</v>
      </c>
    </row>
    <row r="475" spans="2:39" ht="15.75" thickBot="1" x14ac:dyDescent="0.35">
      <c r="B475" s="56" t="str">
        <f>input_names!$C$3</f>
        <v>diesel</v>
      </c>
      <c r="C475" s="61">
        <v>73</v>
      </c>
      <c r="D475" s="270">
        <f t="shared" si="166"/>
        <v>871</v>
      </c>
      <c r="E475" s="270">
        <f t="shared" si="166"/>
        <v>1131.58</v>
      </c>
      <c r="F475" s="270">
        <f t="shared" si="166"/>
        <v>1192.52</v>
      </c>
      <c r="G475" s="270">
        <f t="shared" si="166"/>
        <v>1375.8</v>
      </c>
      <c r="H475" s="270">
        <f t="shared" si="166"/>
        <v>1681.16</v>
      </c>
      <c r="I475" s="270">
        <f t="shared" si="166"/>
        <v>2049.8999999999996</v>
      </c>
      <c r="J475" s="270">
        <f t="shared" si="166"/>
        <v>445</v>
      </c>
      <c r="K475" s="270">
        <f t="shared" si="166"/>
        <v>449</v>
      </c>
      <c r="L475" s="270">
        <f t="shared" si="166"/>
        <v>546</v>
      </c>
      <c r="M475" s="270">
        <f t="shared" si="166"/>
        <v>798.14</v>
      </c>
      <c r="N475" s="270">
        <f t="shared" si="166"/>
        <v>1142.6100000000001</v>
      </c>
      <c r="O475" s="270">
        <f t="shared" si="166"/>
        <v>1142.6100000000001</v>
      </c>
      <c r="P475" s="270">
        <f t="shared" si="166"/>
        <v>1142.6100000000001</v>
      </c>
      <c r="Q475" s="270">
        <f t="shared" si="166"/>
        <v>1142.6100000000001</v>
      </c>
      <c r="R475" s="270">
        <f t="shared" si="166"/>
        <v>1142.6100000000001</v>
      </c>
      <c r="S475" s="270">
        <f t="shared" si="165"/>
        <v>1142.6100000000001</v>
      </c>
      <c r="T475" s="270">
        <f t="shared" si="164"/>
        <v>1142.6100000000001</v>
      </c>
      <c r="U475" s="270">
        <f t="shared" si="164"/>
        <v>1142.6100000000001</v>
      </c>
      <c r="V475" s="270">
        <f t="shared" si="164"/>
        <v>1142.6100000000001</v>
      </c>
      <c r="W475" s="270">
        <f t="shared" si="164"/>
        <v>1142.6100000000001</v>
      </c>
      <c r="X475" s="270">
        <f t="shared" si="164"/>
        <v>1142.6100000000001</v>
      </c>
      <c r="Y475" s="270">
        <f t="shared" si="164"/>
        <v>1142.6100000000001</v>
      </c>
      <c r="Z475" s="270">
        <f t="shared" si="164"/>
        <v>1142.6100000000001</v>
      </c>
      <c r="AA475" s="270">
        <f t="shared" si="164"/>
        <v>1142.6100000000001</v>
      </c>
      <c r="AB475" s="270">
        <f t="shared" si="164"/>
        <v>1142.6100000000001</v>
      </c>
      <c r="AC475" s="270">
        <f t="shared" si="164"/>
        <v>1142.6100000000001</v>
      </c>
      <c r="AD475" s="270">
        <f t="shared" si="162"/>
        <v>1142.6100000000001</v>
      </c>
      <c r="AE475" s="270">
        <f t="shared" si="167"/>
        <v>1142.6100000000001</v>
      </c>
      <c r="AF475" s="270">
        <f t="shared" si="168"/>
        <v>1142.6100000000001</v>
      </c>
      <c r="AG475" s="270">
        <f t="shared" si="168"/>
        <v>1142.6100000000001</v>
      </c>
      <c r="AH475" s="270">
        <f t="shared" si="168"/>
        <v>1142.6100000000001</v>
      </c>
      <c r="AI475" s="270">
        <f t="shared" si="168"/>
        <v>1142.6100000000001</v>
      </c>
      <c r="AJ475" s="270">
        <f t="shared" si="168"/>
        <v>1142.6100000000001</v>
      </c>
      <c r="AK475" s="270">
        <f t="shared" si="168"/>
        <v>1142.6100000000001</v>
      </c>
      <c r="AL475" s="270">
        <f t="shared" si="168"/>
        <v>1142.6100000000001</v>
      </c>
      <c r="AM475" s="270">
        <f t="shared" si="168"/>
        <v>1142.6100000000001</v>
      </c>
    </row>
    <row r="476" spans="2:39" ht="15.75" thickBot="1" x14ac:dyDescent="0.35">
      <c r="B476" s="56" t="str">
        <f>input_names!$C$3</f>
        <v>diesel</v>
      </c>
      <c r="C476" s="61">
        <v>74</v>
      </c>
      <c r="D476" s="270">
        <f t="shared" si="166"/>
        <v>963</v>
      </c>
      <c r="E476" s="270">
        <f t="shared" si="166"/>
        <v>1224.01</v>
      </c>
      <c r="F476" s="270">
        <f t="shared" si="166"/>
        <v>1281.21</v>
      </c>
      <c r="G476" s="270">
        <f t="shared" si="166"/>
        <v>1526.1799999999998</v>
      </c>
      <c r="H476" s="270">
        <f t="shared" si="166"/>
        <v>1828.5900000000001</v>
      </c>
      <c r="I476" s="270">
        <f t="shared" si="166"/>
        <v>2197.75</v>
      </c>
      <c r="J476" s="270">
        <f t="shared" si="166"/>
        <v>446</v>
      </c>
      <c r="K476" s="270">
        <f t="shared" si="166"/>
        <v>450</v>
      </c>
      <c r="L476" s="270">
        <f t="shared" si="166"/>
        <v>642.29999999999995</v>
      </c>
      <c r="M476" s="270">
        <f t="shared" si="166"/>
        <v>906.21</v>
      </c>
      <c r="N476" s="270">
        <f t="shared" si="166"/>
        <v>1254.48</v>
      </c>
      <c r="O476" s="270">
        <f t="shared" si="166"/>
        <v>1254.48</v>
      </c>
      <c r="P476" s="270">
        <f t="shared" si="166"/>
        <v>1254.48</v>
      </c>
      <c r="Q476" s="270">
        <f t="shared" si="166"/>
        <v>1254.48</v>
      </c>
      <c r="R476" s="270">
        <f t="shared" si="166"/>
        <v>1254.48</v>
      </c>
      <c r="S476" s="270">
        <f t="shared" si="165"/>
        <v>1254.48</v>
      </c>
      <c r="T476" s="270">
        <f t="shared" si="164"/>
        <v>1254.48</v>
      </c>
      <c r="U476" s="270">
        <f t="shared" si="164"/>
        <v>1254.48</v>
      </c>
      <c r="V476" s="270">
        <f t="shared" si="164"/>
        <v>1254.48</v>
      </c>
      <c r="W476" s="270">
        <f t="shared" si="164"/>
        <v>1254.48</v>
      </c>
      <c r="X476" s="270">
        <f t="shared" si="164"/>
        <v>1254.48</v>
      </c>
      <c r="Y476" s="270">
        <f t="shared" si="164"/>
        <v>1254.48</v>
      </c>
      <c r="Z476" s="270">
        <f t="shared" si="164"/>
        <v>1254.48</v>
      </c>
      <c r="AA476" s="270">
        <f t="shared" si="164"/>
        <v>1254.48</v>
      </c>
      <c r="AB476" s="270">
        <f t="shared" si="164"/>
        <v>1254.48</v>
      </c>
      <c r="AC476" s="270">
        <f t="shared" si="164"/>
        <v>1254.48</v>
      </c>
      <c r="AD476" s="270">
        <f t="shared" si="162"/>
        <v>1254.48</v>
      </c>
      <c r="AE476" s="270">
        <f t="shared" si="167"/>
        <v>1254.48</v>
      </c>
      <c r="AF476" s="270">
        <f t="shared" si="168"/>
        <v>1254.48</v>
      </c>
      <c r="AG476" s="270">
        <f t="shared" si="168"/>
        <v>1254.48</v>
      </c>
      <c r="AH476" s="270">
        <f t="shared" si="168"/>
        <v>1254.48</v>
      </c>
      <c r="AI476" s="270">
        <f t="shared" si="168"/>
        <v>1254.48</v>
      </c>
      <c r="AJ476" s="270">
        <f t="shared" si="168"/>
        <v>1254.48</v>
      </c>
      <c r="AK476" s="270">
        <f t="shared" si="168"/>
        <v>1254.48</v>
      </c>
      <c r="AL476" s="270">
        <f t="shared" si="168"/>
        <v>1254.48</v>
      </c>
      <c r="AM476" s="270">
        <f t="shared" si="168"/>
        <v>1254.48</v>
      </c>
    </row>
    <row r="477" spans="2:39" ht="15.75" thickBot="1" x14ac:dyDescent="0.35">
      <c r="B477" s="56" t="str">
        <f>input_names!$C$3</f>
        <v>diesel</v>
      </c>
      <c r="C477" s="61">
        <v>75</v>
      </c>
      <c r="D477" s="270">
        <f t="shared" si="166"/>
        <v>1055</v>
      </c>
      <c r="E477" s="270">
        <f t="shared" si="166"/>
        <v>1316.44</v>
      </c>
      <c r="F477" s="270">
        <f t="shared" si="166"/>
        <v>1369.9</v>
      </c>
      <c r="G477" s="270">
        <f t="shared" si="166"/>
        <v>1676.56</v>
      </c>
      <c r="H477" s="270">
        <f t="shared" si="166"/>
        <v>1976.02</v>
      </c>
      <c r="I477" s="270">
        <f t="shared" si="166"/>
        <v>2345.6</v>
      </c>
      <c r="J477" s="270">
        <f t="shared" si="166"/>
        <v>447</v>
      </c>
      <c r="K477" s="270">
        <f t="shared" si="166"/>
        <v>451</v>
      </c>
      <c r="L477" s="270">
        <f t="shared" si="166"/>
        <v>738.6</v>
      </c>
      <c r="M477" s="270">
        <f t="shared" si="166"/>
        <v>1014.28</v>
      </c>
      <c r="N477" s="270">
        <f t="shared" si="166"/>
        <v>1366.35</v>
      </c>
      <c r="O477" s="270">
        <f t="shared" si="166"/>
        <v>1366.35</v>
      </c>
      <c r="P477" s="270">
        <f t="shared" si="166"/>
        <v>1366.35</v>
      </c>
      <c r="Q477" s="270">
        <f t="shared" si="166"/>
        <v>1366.35</v>
      </c>
      <c r="R477" s="270">
        <f t="shared" si="166"/>
        <v>1366.35</v>
      </c>
      <c r="S477" s="270">
        <f t="shared" si="165"/>
        <v>1366.35</v>
      </c>
      <c r="T477" s="270">
        <f t="shared" si="164"/>
        <v>1366.35</v>
      </c>
      <c r="U477" s="270">
        <f t="shared" si="164"/>
        <v>1366.35</v>
      </c>
      <c r="V477" s="270">
        <f t="shared" si="164"/>
        <v>1366.35</v>
      </c>
      <c r="W477" s="270">
        <f t="shared" si="164"/>
        <v>1366.35</v>
      </c>
      <c r="X477" s="270">
        <f t="shared" si="164"/>
        <v>1366.35</v>
      </c>
      <c r="Y477" s="270">
        <f t="shared" si="164"/>
        <v>1366.35</v>
      </c>
      <c r="Z477" s="270">
        <f t="shared" si="164"/>
        <v>1366.35</v>
      </c>
      <c r="AA477" s="270">
        <f t="shared" si="164"/>
        <v>1366.35</v>
      </c>
      <c r="AB477" s="270">
        <f t="shared" si="164"/>
        <v>1366.35</v>
      </c>
      <c r="AC477" s="270">
        <f t="shared" si="164"/>
        <v>1366.35</v>
      </c>
      <c r="AD477" s="270">
        <f t="shared" si="162"/>
        <v>1366.35</v>
      </c>
      <c r="AE477" s="270">
        <f t="shared" si="167"/>
        <v>1366.35</v>
      </c>
      <c r="AF477" s="270">
        <f t="shared" si="168"/>
        <v>1366.35</v>
      </c>
      <c r="AG477" s="270">
        <f t="shared" si="168"/>
        <v>1366.35</v>
      </c>
      <c r="AH477" s="270">
        <f t="shared" si="168"/>
        <v>1366.35</v>
      </c>
      <c r="AI477" s="270">
        <f t="shared" si="168"/>
        <v>1366.35</v>
      </c>
      <c r="AJ477" s="270">
        <f t="shared" si="168"/>
        <v>1366.35</v>
      </c>
      <c r="AK477" s="270">
        <f t="shared" si="168"/>
        <v>1366.35</v>
      </c>
      <c r="AL477" s="270">
        <f t="shared" si="168"/>
        <v>1366.35</v>
      </c>
      <c r="AM477" s="270">
        <f t="shared" si="168"/>
        <v>1366.35</v>
      </c>
    </row>
    <row r="478" spans="2:39" ht="15.75" thickBot="1" x14ac:dyDescent="0.35">
      <c r="B478" s="56" t="str">
        <f>input_names!$C$3</f>
        <v>diesel</v>
      </c>
      <c r="C478" s="61">
        <v>76</v>
      </c>
      <c r="D478" s="270">
        <f t="shared" si="166"/>
        <v>1147</v>
      </c>
      <c r="E478" s="270">
        <f t="shared" si="166"/>
        <v>1408.8700000000001</v>
      </c>
      <c r="F478" s="270">
        <f t="shared" si="166"/>
        <v>1458.59</v>
      </c>
      <c r="G478" s="270">
        <f t="shared" si="166"/>
        <v>1826.94</v>
      </c>
      <c r="H478" s="270">
        <f t="shared" si="166"/>
        <v>2123.4499999999998</v>
      </c>
      <c r="I478" s="270">
        <f t="shared" si="166"/>
        <v>2493.4499999999998</v>
      </c>
      <c r="J478" s="270">
        <f t="shared" si="166"/>
        <v>448</v>
      </c>
      <c r="K478" s="270">
        <f t="shared" si="166"/>
        <v>538.67000000000007</v>
      </c>
      <c r="L478" s="270">
        <f t="shared" si="166"/>
        <v>834.9</v>
      </c>
      <c r="M478" s="270">
        <f t="shared" si="166"/>
        <v>1122.3499999999999</v>
      </c>
      <c r="N478" s="270">
        <f t="shared" si="166"/>
        <v>1478.22</v>
      </c>
      <c r="O478" s="270">
        <f t="shared" si="166"/>
        <v>1478.22</v>
      </c>
      <c r="P478" s="270">
        <f t="shared" si="166"/>
        <v>1478.22</v>
      </c>
      <c r="Q478" s="270">
        <f t="shared" si="166"/>
        <v>1478.22</v>
      </c>
      <c r="R478" s="270">
        <f t="shared" si="166"/>
        <v>1478.22</v>
      </c>
      <c r="S478" s="270">
        <f t="shared" si="165"/>
        <v>1478.22</v>
      </c>
      <c r="T478" s="270">
        <f t="shared" si="164"/>
        <v>1478.22</v>
      </c>
      <c r="U478" s="270">
        <f t="shared" si="164"/>
        <v>1478.22</v>
      </c>
      <c r="V478" s="270">
        <f t="shared" si="164"/>
        <v>1478.22</v>
      </c>
      <c r="W478" s="270">
        <f t="shared" si="164"/>
        <v>1478.22</v>
      </c>
      <c r="X478" s="270">
        <f t="shared" si="164"/>
        <v>1478.22</v>
      </c>
      <c r="Y478" s="270">
        <f t="shared" si="164"/>
        <v>1478.22</v>
      </c>
      <c r="Z478" s="270">
        <f t="shared" si="164"/>
        <v>1478.22</v>
      </c>
      <c r="AA478" s="270">
        <f t="shared" si="164"/>
        <v>1478.22</v>
      </c>
      <c r="AB478" s="270">
        <f t="shared" si="164"/>
        <v>1478.22</v>
      </c>
      <c r="AC478" s="270">
        <f t="shared" si="164"/>
        <v>1478.22</v>
      </c>
      <c r="AD478" s="270">
        <f t="shared" si="162"/>
        <v>1478.22</v>
      </c>
      <c r="AE478" s="270">
        <f t="shared" si="167"/>
        <v>1478.22</v>
      </c>
      <c r="AF478" s="270">
        <f t="shared" si="168"/>
        <v>1478.22</v>
      </c>
      <c r="AG478" s="270">
        <f t="shared" si="168"/>
        <v>1478.22</v>
      </c>
      <c r="AH478" s="270">
        <f t="shared" si="168"/>
        <v>1478.22</v>
      </c>
      <c r="AI478" s="270">
        <f t="shared" si="168"/>
        <v>1478.22</v>
      </c>
      <c r="AJ478" s="270">
        <f t="shared" si="168"/>
        <v>1478.22</v>
      </c>
      <c r="AK478" s="270">
        <f t="shared" si="168"/>
        <v>1478.22</v>
      </c>
      <c r="AL478" s="270">
        <f t="shared" si="168"/>
        <v>1478.22</v>
      </c>
      <c r="AM478" s="270">
        <f t="shared" si="168"/>
        <v>1478.22</v>
      </c>
    </row>
    <row r="479" spans="2:39" ht="15.75" thickBot="1" x14ac:dyDescent="0.35">
      <c r="B479" s="56" t="str">
        <f>input_names!$C$3</f>
        <v>diesel</v>
      </c>
      <c r="C479" s="61">
        <v>77</v>
      </c>
      <c r="D479" s="270">
        <f t="shared" si="166"/>
        <v>1239</v>
      </c>
      <c r="E479" s="270">
        <f t="shared" si="166"/>
        <v>1501.3000000000002</v>
      </c>
      <c r="F479" s="270">
        <f t="shared" si="166"/>
        <v>1610.28</v>
      </c>
      <c r="G479" s="270">
        <f t="shared" si="166"/>
        <v>1977.32</v>
      </c>
      <c r="H479" s="270">
        <f t="shared" si="166"/>
        <v>2270.88</v>
      </c>
      <c r="I479" s="270">
        <f t="shared" si="166"/>
        <v>2641.3</v>
      </c>
      <c r="J479" s="270">
        <f t="shared" si="166"/>
        <v>449</v>
      </c>
      <c r="K479" s="270">
        <f t="shared" si="166"/>
        <v>626.34</v>
      </c>
      <c r="L479" s="270">
        <f t="shared" si="166"/>
        <v>931.2</v>
      </c>
      <c r="M479" s="270">
        <f t="shared" si="166"/>
        <v>1230.42</v>
      </c>
      <c r="N479" s="270">
        <f t="shared" si="166"/>
        <v>1590.0900000000001</v>
      </c>
      <c r="O479" s="270">
        <f t="shared" si="166"/>
        <v>1590.0900000000001</v>
      </c>
      <c r="P479" s="270">
        <f t="shared" si="166"/>
        <v>1590.0900000000001</v>
      </c>
      <c r="Q479" s="270">
        <f t="shared" si="166"/>
        <v>1590.0900000000001</v>
      </c>
      <c r="R479" s="270">
        <f t="shared" si="166"/>
        <v>1590.0900000000001</v>
      </c>
      <c r="S479" s="270">
        <f t="shared" si="165"/>
        <v>1590.0900000000001</v>
      </c>
      <c r="T479" s="270">
        <f t="shared" si="164"/>
        <v>1590.0900000000001</v>
      </c>
      <c r="U479" s="270">
        <f t="shared" si="164"/>
        <v>1590.0900000000001</v>
      </c>
      <c r="V479" s="270">
        <f t="shared" si="164"/>
        <v>1590.0900000000001</v>
      </c>
      <c r="W479" s="270">
        <f t="shared" si="164"/>
        <v>1590.0900000000001</v>
      </c>
      <c r="X479" s="270">
        <f t="shared" si="164"/>
        <v>1590.0900000000001</v>
      </c>
      <c r="Y479" s="270">
        <f t="shared" si="164"/>
        <v>1590.0900000000001</v>
      </c>
      <c r="Z479" s="270">
        <f t="shared" si="164"/>
        <v>1590.0900000000001</v>
      </c>
      <c r="AA479" s="270">
        <f t="shared" si="164"/>
        <v>1590.0900000000001</v>
      </c>
      <c r="AB479" s="270">
        <f t="shared" si="164"/>
        <v>1590.0900000000001</v>
      </c>
      <c r="AC479" s="270">
        <f t="shared" si="164"/>
        <v>1590.0900000000001</v>
      </c>
      <c r="AD479" s="270">
        <f t="shared" si="162"/>
        <v>1590.0900000000001</v>
      </c>
      <c r="AE479" s="270">
        <f t="shared" si="167"/>
        <v>1590.0900000000001</v>
      </c>
      <c r="AF479" s="270">
        <f t="shared" si="168"/>
        <v>1590.0900000000001</v>
      </c>
      <c r="AG479" s="270">
        <f t="shared" si="168"/>
        <v>1590.0900000000001</v>
      </c>
      <c r="AH479" s="270">
        <f t="shared" si="168"/>
        <v>1590.0900000000001</v>
      </c>
      <c r="AI479" s="270">
        <f t="shared" si="168"/>
        <v>1590.0900000000001</v>
      </c>
      <c r="AJ479" s="270">
        <f t="shared" si="168"/>
        <v>1590.0900000000001</v>
      </c>
      <c r="AK479" s="270">
        <f t="shared" si="168"/>
        <v>1590.0900000000001</v>
      </c>
      <c r="AL479" s="270">
        <f t="shared" si="168"/>
        <v>1590.0900000000001</v>
      </c>
      <c r="AM479" s="270">
        <f t="shared" si="168"/>
        <v>1590.0900000000001</v>
      </c>
    </row>
    <row r="480" spans="2:39" ht="15.75" thickBot="1" x14ac:dyDescent="0.35">
      <c r="B480" s="56" t="str">
        <f>input_names!$C$3</f>
        <v>diesel</v>
      </c>
      <c r="C480" s="61">
        <v>78</v>
      </c>
      <c r="D480" s="270">
        <f t="shared" si="166"/>
        <v>1331</v>
      </c>
      <c r="E480" s="270">
        <f t="shared" si="166"/>
        <v>1593.73</v>
      </c>
      <c r="F480" s="270">
        <f t="shared" si="166"/>
        <v>1761.97</v>
      </c>
      <c r="G480" s="270">
        <f t="shared" si="166"/>
        <v>2127.6999999999998</v>
      </c>
      <c r="H480" s="270">
        <f t="shared" si="166"/>
        <v>2418.3100000000004</v>
      </c>
      <c r="I480" s="270">
        <f t="shared" si="166"/>
        <v>2789.1499999999996</v>
      </c>
      <c r="J480" s="270">
        <f t="shared" si="166"/>
        <v>533.59</v>
      </c>
      <c r="K480" s="270">
        <f t="shared" si="166"/>
        <v>714.01</v>
      </c>
      <c r="L480" s="270">
        <f t="shared" si="166"/>
        <v>1027.5</v>
      </c>
      <c r="M480" s="270">
        <f t="shared" si="166"/>
        <v>1338.49</v>
      </c>
      <c r="N480" s="270">
        <f t="shared" si="166"/>
        <v>1701.96</v>
      </c>
      <c r="O480" s="270">
        <f t="shared" si="166"/>
        <v>1701.96</v>
      </c>
      <c r="P480" s="270">
        <f t="shared" si="166"/>
        <v>1701.96</v>
      </c>
      <c r="Q480" s="270">
        <f t="shared" si="166"/>
        <v>1701.96</v>
      </c>
      <c r="R480" s="270">
        <f t="shared" si="166"/>
        <v>1701.96</v>
      </c>
      <c r="S480" s="270">
        <f t="shared" si="165"/>
        <v>1701.96</v>
      </c>
      <c r="T480" s="270">
        <f t="shared" si="164"/>
        <v>1701.96</v>
      </c>
      <c r="U480" s="270">
        <f t="shared" si="164"/>
        <v>1701.96</v>
      </c>
      <c r="V480" s="270">
        <f t="shared" si="164"/>
        <v>1701.96</v>
      </c>
      <c r="W480" s="270">
        <f t="shared" si="164"/>
        <v>1701.96</v>
      </c>
      <c r="X480" s="270">
        <f t="shared" si="164"/>
        <v>1701.96</v>
      </c>
      <c r="Y480" s="270">
        <f t="shared" si="164"/>
        <v>1701.96</v>
      </c>
      <c r="Z480" s="270">
        <f t="shared" si="164"/>
        <v>1701.96</v>
      </c>
      <c r="AA480" s="270">
        <f t="shared" si="164"/>
        <v>1701.96</v>
      </c>
      <c r="AB480" s="270">
        <f t="shared" si="164"/>
        <v>1701.96</v>
      </c>
      <c r="AC480" s="270">
        <f t="shared" si="164"/>
        <v>1701.96</v>
      </c>
      <c r="AD480" s="270">
        <f t="shared" si="162"/>
        <v>1701.96</v>
      </c>
      <c r="AE480" s="270">
        <f t="shared" si="167"/>
        <v>1701.96</v>
      </c>
      <c r="AF480" s="270">
        <f t="shared" si="168"/>
        <v>1701.96</v>
      </c>
      <c r="AG480" s="270">
        <f t="shared" si="168"/>
        <v>1701.96</v>
      </c>
      <c r="AH480" s="270">
        <f t="shared" si="168"/>
        <v>1701.96</v>
      </c>
      <c r="AI480" s="270">
        <f t="shared" si="168"/>
        <v>1701.96</v>
      </c>
      <c r="AJ480" s="270">
        <f t="shared" si="168"/>
        <v>1701.96</v>
      </c>
      <c r="AK480" s="270">
        <f t="shared" si="168"/>
        <v>1701.96</v>
      </c>
      <c r="AL480" s="270">
        <f t="shared" si="168"/>
        <v>1701.96</v>
      </c>
      <c r="AM480" s="270">
        <f t="shared" si="168"/>
        <v>1701.96</v>
      </c>
    </row>
    <row r="481" spans="2:39" ht="15.75" thickBot="1" x14ac:dyDescent="0.35">
      <c r="B481" s="56" t="str">
        <f>input_names!$C$3</f>
        <v>diesel</v>
      </c>
      <c r="C481" s="61">
        <v>79</v>
      </c>
      <c r="D481" s="270">
        <f t="shared" si="166"/>
        <v>1423</v>
      </c>
      <c r="E481" s="270">
        <f t="shared" si="166"/>
        <v>1686.16</v>
      </c>
      <c r="F481" s="270">
        <f t="shared" si="166"/>
        <v>1913.6599999999999</v>
      </c>
      <c r="G481" s="270">
        <f t="shared" si="166"/>
        <v>2278.08</v>
      </c>
      <c r="H481" s="270">
        <f t="shared" si="166"/>
        <v>2565.7400000000002</v>
      </c>
      <c r="I481" s="270">
        <f t="shared" si="166"/>
        <v>2937</v>
      </c>
      <c r="J481" s="270">
        <f t="shared" si="166"/>
        <v>618.18000000000006</v>
      </c>
      <c r="K481" s="270">
        <f t="shared" si="166"/>
        <v>801.68000000000006</v>
      </c>
      <c r="L481" s="270">
        <f t="shared" si="166"/>
        <v>1123.8</v>
      </c>
      <c r="M481" s="270">
        <f t="shared" si="166"/>
        <v>1446.56</v>
      </c>
      <c r="N481" s="270">
        <f t="shared" si="166"/>
        <v>1813.83</v>
      </c>
      <c r="O481" s="270">
        <f t="shared" si="166"/>
        <v>1813.83</v>
      </c>
      <c r="P481" s="270">
        <f t="shared" si="166"/>
        <v>1813.83</v>
      </c>
      <c r="Q481" s="270">
        <f t="shared" si="166"/>
        <v>1813.83</v>
      </c>
      <c r="R481" s="270">
        <f t="shared" si="166"/>
        <v>1813.83</v>
      </c>
      <c r="S481" s="270">
        <f t="shared" si="165"/>
        <v>1813.83</v>
      </c>
      <c r="T481" s="270">
        <f t="shared" si="164"/>
        <v>1813.83</v>
      </c>
      <c r="U481" s="270">
        <f t="shared" si="164"/>
        <v>1813.83</v>
      </c>
      <c r="V481" s="270">
        <f t="shared" si="164"/>
        <v>1813.83</v>
      </c>
      <c r="W481" s="270">
        <f t="shared" si="164"/>
        <v>1813.83</v>
      </c>
      <c r="X481" s="270">
        <f t="shared" si="164"/>
        <v>1813.83</v>
      </c>
      <c r="Y481" s="270">
        <f t="shared" si="164"/>
        <v>1813.83</v>
      </c>
      <c r="Z481" s="270">
        <f t="shared" si="164"/>
        <v>1813.83</v>
      </c>
      <c r="AA481" s="270">
        <f t="shared" si="164"/>
        <v>1813.83</v>
      </c>
      <c r="AB481" s="270">
        <f t="shared" si="164"/>
        <v>1813.83</v>
      </c>
      <c r="AC481" s="270">
        <f t="shared" si="164"/>
        <v>1813.83</v>
      </c>
      <c r="AD481" s="270">
        <f t="shared" ref="AD481:AD512" si="169">+MIN(MAX(0,$C481-AD$11),AD$12-AD$11)*AD$17
+MIN(MAX(0,$C481-AD$12),AD$13-AD$12)*AD$18
+MIN(MAX(0,$C481-AD$13),AD$14-AD$13)*AD$19
+MIN(MAX(0,$C481-AD$14),AD$15-AD$14)*AD$20
+MAX(0,$C481-AD$15)*AD$21
+AD$24*MAX(0,$C481-AD$23)
+AD$26</f>
        <v>1813.83</v>
      </c>
      <c r="AE481" s="270">
        <f t="shared" si="167"/>
        <v>1813.83</v>
      </c>
      <c r="AF481" s="270">
        <f t="shared" si="168"/>
        <v>1813.83</v>
      </c>
      <c r="AG481" s="270">
        <f t="shared" si="168"/>
        <v>1813.83</v>
      </c>
      <c r="AH481" s="270">
        <f t="shared" si="168"/>
        <v>1813.83</v>
      </c>
      <c r="AI481" s="270">
        <f t="shared" si="168"/>
        <v>1813.83</v>
      </c>
      <c r="AJ481" s="270">
        <f t="shared" si="168"/>
        <v>1813.83</v>
      </c>
      <c r="AK481" s="270">
        <f t="shared" si="168"/>
        <v>1813.83</v>
      </c>
      <c r="AL481" s="270">
        <f t="shared" si="168"/>
        <v>1813.83</v>
      </c>
      <c r="AM481" s="270">
        <f t="shared" si="168"/>
        <v>1813.83</v>
      </c>
    </row>
    <row r="482" spans="2:39" ht="15.75" thickBot="1" x14ac:dyDescent="0.35">
      <c r="B482" s="56" t="str">
        <f>input_names!$C$3</f>
        <v>diesel</v>
      </c>
      <c r="C482" s="61">
        <v>80</v>
      </c>
      <c r="D482" s="270">
        <f t="shared" ref="D482:S497" si="170">+MIN(MAX(0,$C482-D$11),D$12-D$11)*D$17
+MIN(MAX(0,$C482-D$12),D$13-D$12)*D$18
+MIN(MAX(0,$C482-D$13),D$14-D$13)*D$19
+MIN(MAX(0,$C482-D$14),D$15-D$14)*D$20
+MAX(0,$C482-D$15)*D$21
+D$24*MAX(0,$C482-D$23)
+D$26</f>
        <v>1515</v>
      </c>
      <c r="E482" s="270">
        <f t="shared" si="170"/>
        <v>1841.5900000000001</v>
      </c>
      <c r="F482" s="270">
        <f t="shared" si="170"/>
        <v>2065.35</v>
      </c>
      <c r="G482" s="270">
        <f t="shared" si="170"/>
        <v>2428.46</v>
      </c>
      <c r="H482" s="270">
        <f t="shared" si="170"/>
        <v>2713.17</v>
      </c>
      <c r="I482" s="270">
        <f t="shared" si="170"/>
        <v>3084.85</v>
      </c>
      <c r="J482" s="270">
        <f t="shared" si="170"/>
        <v>702.77</v>
      </c>
      <c r="K482" s="270">
        <f t="shared" si="170"/>
        <v>889.35</v>
      </c>
      <c r="L482" s="270">
        <f t="shared" si="170"/>
        <v>1220.0999999999999</v>
      </c>
      <c r="M482" s="270">
        <f t="shared" si="170"/>
        <v>1554.6299999999999</v>
      </c>
      <c r="N482" s="270">
        <f t="shared" si="170"/>
        <v>2002.7</v>
      </c>
      <c r="O482" s="270">
        <f t="shared" si="170"/>
        <v>2002.7</v>
      </c>
      <c r="P482" s="270">
        <f t="shared" si="170"/>
        <v>2002.7</v>
      </c>
      <c r="Q482" s="270">
        <f t="shared" si="170"/>
        <v>2002.7</v>
      </c>
      <c r="R482" s="270">
        <f t="shared" si="170"/>
        <v>2002.7</v>
      </c>
      <c r="S482" s="270">
        <f t="shared" si="165"/>
        <v>2002.7</v>
      </c>
      <c r="T482" s="270">
        <f t="shared" si="164"/>
        <v>2002.7</v>
      </c>
      <c r="U482" s="270">
        <f t="shared" si="164"/>
        <v>2002.7</v>
      </c>
      <c r="V482" s="270">
        <f t="shared" si="164"/>
        <v>2002.7</v>
      </c>
      <c r="W482" s="270">
        <f t="shared" si="164"/>
        <v>2002.7</v>
      </c>
      <c r="X482" s="270">
        <f t="shared" si="164"/>
        <v>2002.7</v>
      </c>
      <c r="Y482" s="270">
        <f t="shared" si="164"/>
        <v>2002.7</v>
      </c>
      <c r="Z482" s="270">
        <f t="shared" si="164"/>
        <v>2002.7</v>
      </c>
      <c r="AA482" s="270">
        <f t="shared" si="164"/>
        <v>2002.7</v>
      </c>
      <c r="AB482" s="270">
        <f t="shared" si="164"/>
        <v>2002.7</v>
      </c>
      <c r="AC482" s="270">
        <f t="shared" si="164"/>
        <v>2002.7</v>
      </c>
      <c r="AD482" s="270">
        <f t="shared" si="169"/>
        <v>2002.7</v>
      </c>
      <c r="AE482" s="270">
        <f t="shared" si="167"/>
        <v>2002.7</v>
      </c>
      <c r="AF482" s="270">
        <f t="shared" si="168"/>
        <v>2002.7</v>
      </c>
      <c r="AG482" s="270">
        <f t="shared" si="168"/>
        <v>2002.7</v>
      </c>
      <c r="AH482" s="270">
        <f t="shared" si="168"/>
        <v>2002.7</v>
      </c>
      <c r="AI482" s="270">
        <f t="shared" si="168"/>
        <v>2002.7</v>
      </c>
      <c r="AJ482" s="270">
        <f t="shared" si="168"/>
        <v>2002.7</v>
      </c>
      <c r="AK482" s="270">
        <f t="shared" si="168"/>
        <v>2002.7</v>
      </c>
      <c r="AL482" s="270">
        <f t="shared" si="168"/>
        <v>2002.7</v>
      </c>
      <c r="AM482" s="270">
        <f t="shared" si="168"/>
        <v>2002.7</v>
      </c>
    </row>
    <row r="483" spans="2:39" ht="15.75" thickBot="1" x14ac:dyDescent="0.35">
      <c r="B483" s="56" t="str">
        <f>input_names!$C$3</f>
        <v>diesel</v>
      </c>
      <c r="C483" s="61">
        <v>81</v>
      </c>
      <c r="D483" s="270">
        <f t="shared" si="170"/>
        <v>1607</v>
      </c>
      <c r="E483" s="270">
        <f t="shared" si="170"/>
        <v>1997.02</v>
      </c>
      <c r="F483" s="270">
        <f t="shared" si="170"/>
        <v>2217.04</v>
      </c>
      <c r="G483" s="270">
        <f t="shared" si="170"/>
        <v>2578.84</v>
      </c>
      <c r="H483" s="270">
        <f t="shared" si="170"/>
        <v>2860.6000000000004</v>
      </c>
      <c r="I483" s="270">
        <f t="shared" si="170"/>
        <v>3232.7</v>
      </c>
      <c r="J483" s="270">
        <f t="shared" si="170"/>
        <v>787.36</v>
      </c>
      <c r="K483" s="270">
        <f t="shared" si="170"/>
        <v>977.02</v>
      </c>
      <c r="L483" s="270">
        <f t="shared" si="170"/>
        <v>1316.4</v>
      </c>
      <c r="M483" s="270">
        <f t="shared" si="170"/>
        <v>1736.6999999999998</v>
      </c>
      <c r="N483" s="270">
        <f t="shared" si="170"/>
        <v>2191.5700000000002</v>
      </c>
      <c r="O483" s="270">
        <f t="shared" si="170"/>
        <v>2191.5700000000002</v>
      </c>
      <c r="P483" s="270">
        <f t="shared" si="170"/>
        <v>2191.5700000000002</v>
      </c>
      <c r="Q483" s="270">
        <f t="shared" si="170"/>
        <v>2191.5700000000002</v>
      </c>
      <c r="R483" s="270">
        <f t="shared" si="170"/>
        <v>2191.5700000000002</v>
      </c>
      <c r="S483" s="270">
        <f t="shared" si="165"/>
        <v>2191.5700000000002</v>
      </c>
      <c r="T483" s="270">
        <f t="shared" si="164"/>
        <v>2191.5700000000002</v>
      </c>
      <c r="U483" s="270">
        <f t="shared" si="164"/>
        <v>2191.5700000000002</v>
      </c>
      <c r="V483" s="270">
        <f t="shared" si="164"/>
        <v>2191.5700000000002</v>
      </c>
      <c r="W483" s="270">
        <f t="shared" si="164"/>
        <v>2191.5700000000002</v>
      </c>
      <c r="X483" s="270">
        <f t="shared" si="164"/>
        <v>2191.5700000000002</v>
      </c>
      <c r="Y483" s="270">
        <f t="shared" ref="U483:AC510" si="171">+MIN(MAX(0,$C483-Y$11),Y$12-Y$11)*Y$17
+MIN(MAX(0,$C483-Y$12),Y$13-Y$12)*Y$18
+MIN(MAX(0,$C483-Y$13),Y$14-Y$13)*Y$19
+MIN(MAX(0,$C483-Y$14),Y$15-Y$14)*Y$20
+MAX(0,$C483-Y$15)*Y$21
+Y$24*MAX(0,$C483-Y$23)
+Y$26</f>
        <v>2191.5700000000002</v>
      </c>
      <c r="Z483" s="270">
        <f t="shared" si="171"/>
        <v>2191.5700000000002</v>
      </c>
      <c r="AA483" s="270">
        <f t="shared" si="171"/>
        <v>2191.5700000000002</v>
      </c>
      <c r="AB483" s="270">
        <f t="shared" si="171"/>
        <v>2191.5700000000002</v>
      </c>
      <c r="AC483" s="270">
        <f t="shared" si="171"/>
        <v>2191.5700000000002</v>
      </c>
      <c r="AD483" s="270">
        <f t="shared" si="169"/>
        <v>2191.5700000000002</v>
      </c>
      <c r="AE483" s="270">
        <f t="shared" si="167"/>
        <v>2191.5700000000002</v>
      </c>
      <c r="AF483" s="270">
        <f t="shared" si="168"/>
        <v>2191.5700000000002</v>
      </c>
      <c r="AG483" s="270">
        <f t="shared" si="168"/>
        <v>2191.5700000000002</v>
      </c>
      <c r="AH483" s="270">
        <f t="shared" si="168"/>
        <v>2191.5700000000002</v>
      </c>
      <c r="AI483" s="270">
        <f t="shared" si="168"/>
        <v>2191.5700000000002</v>
      </c>
      <c r="AJ483" s="270">
        <f t="shared" si="168"/>
        <v>2191.5700000000002</v>
      </c>
      <c r="AK483" s="270">
        <f t="shared" si="168"/>
        <v>2191.5700000000002</v>
      </c>
      <c r="AL483" s="270">
        <f t="shared" si="168"/>
        <v>2191.5700000000002</v>
      </c>
      <c r="AM483" s="270">
        <f t="shared" si="168"/>
        <v>2191.5700000000002</v>
      </c>
    </row>
    <row r="484" spans="2:39" ht="15.75" thickBot="1" x14ac:dyDescent="0.35">
      <c r="B484" s="56" t="str">
        <f>input_names!$C$3</f>
        <v>diesel</v>
      </c>
      <c r="C484" s="61">
        <v>82</v>
      </c>
      <c r="D484" s="270">
        <f t="shared" si="170"/>
        <v>1699</v>
      </c>
      <c r="E484" s="270">
        <f t="shared" si="170"/>
        <v>2152.4499999999998</v>
      </c>
      <c r="F484" s="270">
        <f t="shared" si="170"/>
        <v>2368.73</v>
      </c>
      <c r="G484" s="270">
        <f t="shared" si="170"/>
        <v>2729.22</v>
      </c>
      <c r="H484" s="270">
        <f t="shared" si="170"/>
        <v>3008.03</v>
      </c>
      <c r="I484" s="270">
        <f t="shared" si="170"/>
        <v>3380.5499999999997</v>
      </c>
      <c r="J484" s="270">
        <f t="shared" si="170"/>
        <v>871.95</v>
      </c>
      <c r="K484" s="270">
        <f t="shared" si="170"/>
        <v>1064.69</v>
      </c>
      <c r="L484" s="270">
        <f t="shared" si="170"/>
        <v>1412.6999999999998</v>
      </c>
      <c r="M484" s="270">
        <f t="shared" si="170"/>
        <v>1918.77</v>
      </c>
      <c r="N484" s="270">
        <f t="shared" si="170"/>
        <v>2380.44</v>
      </c>
      <c r="O484" s="270">
        <f t="shared" si="170"/>
        <v>2380.44</v>
      </c>
      <c r="P484" s="270">
        <f t="shared" si="170"/>
        <v>2380.44</v>
      </c>
      <c r="Q484" s="270">
        <f t="shared" si="170"/>
        <v>2380.44</v>
      </c>
      <c r="R484" s="270">
        <f t="shared" si="170"/>
        <v>2380.44</v>
      </c>
      <c r="S484" s="270">
        <f t="shared" si="165"/>
        <v>2380.44</v>
      </c>
      <c r="T484" s="270">
        <f t="shared" si="165"/>
        <v>2380.44</v>
      </c>
      <c r="U484" s="270">
        <f t="shared" si="171"/>
        <v>2380.44</v>
      </c>
      <c r="V484" s="270">
        <f t="shared" si="171"/>
        <v>2380.44</v>
      </c>
      <c r="W484" s="270">
        <f t="shared" si="171"/>
        <v>2380.44</v>
      </c>
      <c r="X484" s="270">
        <f t="shared" si="171"/>
        <v>2380.44</v>
      </c>
      <c r="Y484" s="270">
        <f t="shared" si="171"/>
        <v>2380.44</v>
      </c>
      <c r="Z484" s="270">
        <f t="shared" si="171"/>
        <v>2380.44</v>
      </c>
      <c r="AA484" s="270">
        <f t="shared" si="171"/>
        <v>2380.44</v>
      </c>
      <c r="AB484" s="270">
        <f t="shared" si="171"/>
        <v>2380.44</v>
      </c>
      <c r="AC484" s="270">
        <f t="shared" si="171"/>
        <v>2380.44</v>
      </c>
      <c r="AD484" s="270">
        <f t="shared" si="169"/>
        <v>2380.44</v>
      </c>
      <c r="AE484" s="270">
        <f t="shared" si="167"/>
        <v>2380.44</v>
      </c>
      <c r="AF484" s="270">
        <f t="shared" si="168"/>
        <v>2380.44</v>
      </c>
      <c r="AG484" s="270">
        <f t="shared" si="168"/>
        <v>2380.44</v>
      </c>
      <c r="AH484" s="270">
        <f t="shared" si="168"/>
        <v>2380.44</v>
      </c>
      <c r="AI484" s="270">
        <f t="shared" si="168"/>
        <v>2380.44</v>
      </c>
      <c r="AJ484" s="270">
        <f t="shared" si="168"/>
        <v>2380.44</v>
      </c>
      <c r="AK484" s="270">
        <f t="shared" si="168"/>
        <v>2380.44</v>
      </c>
      <c r="AL484" s="270">
        <f t="shared" si="168"/>
        <v>2380.44</v>
      </c>
      <c r="AM484" s="270">
        <f t="shared" si="168"/>
        <v>2380.44</v>
      </c>
    </row>
    <row r="485" spans="2:39" ht="15.75" thickBot="1" x14ac:dyDescent="0.35">
      <c r="B485" s="56" t="str">
        <f>input_names!$C$3</f>
        <v>diesel</v>
      </c>
      <c r="C485" s="61">
        <v>83</v>
      </c>
      <c r="D485" s="270">
        <f t="shared" si="170"/>
        <v>1854</v>
      </c>
      <c r="E485" s="270">
        <f t="shared" si="170"/>
        <v>2307.88</v>
      </c>
      <c r="F485" s="270">
        <f t="shared" si="170"/>
        <v>2520.42</v>
      </c>
      <c r="G485" s="270">
        <f t="shared" si="170"/>
        <v>2879.6</v>
      </c>
      <c r="H485" s="270">
        <f t="shared" si="170"/>
        <v>3155.46</v>
      </c>
      <c r="I485" s="270">
        <f t="shared" si="170"/>
        <v>3528.3999999999996</v>
      </c>
      <c r="J485" s="270">
        <f t="shared" si="170"/>
        <v>956.54</v>
      </c>
      <c r="K485" s="270">
        <f t="shared" si="170"/>
        <v>1152.3600000000001</v>
      </c>
      <c r="L485" s="270">
        <f t="shared" si="170"/>
        <v>1575</v>
      </c>
      <c r="M485" s="270">
        <f t="shared" si="170"/>
        <v>2100.84</v>
      </c>
      <c r="N485" s="270">
        <f t="shared" si="170"/>
        <v>2569.31</v>
      </c>
      <c r="O485" s="270">
        <f t="shared" si="170"/>
        <v>2569.31</v>
      </c>
      <c r="P485" s="270">
        <f t="shared" si="170"/>
        <v>2569.31</v>
      </c>
      <c r="Q485" s="270">
        <f t="shared" si="170"/>
        <v>2569.31</v>
      </c>
      <c r="R485" s="270">
        <f t="shared" si="170"/>
        <v>2569.31</v>
      </c>
      <c r="S485" s="270">
        <f t="shared" si="165"/>
        <v>2569.31</v>
      </c>
      <c r="T485" s="270">
        <f t="shared" si="165"/>
        <v>2569.31</v>
      </c>
      <c r="U485" s="270">
        <f t="shared" si="171"/>
        <v>2569.31</v>
      </c>
      <c r="V485" s="270">
        <f t="shared" si="171"/>
        <v>2569.31</v>
      </c>
      <c r="W485" s="270">
        <f t="shared" si="171"/>
        <v>2569.31</v>
      </c>
      <c r="X485" s="270">
        <f t="shared" si="171"/>
        <v>2569.31</v>
      </c>
      <c r="Y485" s="270">
        <f t="shared" si="171"/>
        <v>2569.31</v>
      </c>
      <c r="Z485" s="270">
        <f t="shared" si="171"/>
        <v>2569.31</v>
      </c>
      <c r="AA485" s="270">
        <f t="shared" si="171"/>
        <v>2569.31</v>
      </c>
      <c r="AB485" s="270">
        <f t="shared" si="171"/>
        <v>2569.31</v>
      </c>
      <c r="AC485" s="270">
        <f t="shared" si="171"/>
        <v>2569.31</v>
      </c>
      <c r="AD485" s="270">
        <f t="shared" si="169"/>
        <v>2569.31</v>
      </c>
      <c r="AE485" s="270">
        <f t="shared" si="167"/>
        <v>2569.31</v>
      </c>
      <c r="AF485" s="270">
        <f t="shared" si="168"/>
        <v>2569.31</v>
      </c>
      <c r="AG485" s="270">
        <f t="shared" si="168"/>
        <v>2569.31</v>
      </c>
      <c r="AH485" s="270">
        <f t="shared" si="168"/>
        <v>2569.31</v>
      </c>
      <c r="AI485" s="270">
        <f t="shared" si="168"/>
        <v>2569.31</v>
      </c>
      <c r="AJ485" s="270">
        <f t="shared" si="168"/>
        <v>2569.31</v>
      </c>
      <c r="AK485" s="270">
        <f t="shared" si="168"/>
        <v>2569.31</v>
      </c>
      <c r="AL485" s="270">
        <f t="shared" si="168"/>
        <v>2569.31</v>
      </c>
      <c r="AM485" s="270">
        <f t="shared" si="168"/>
        <v>2569.31</v>
      </c>
    </row>
    <row r="486" spans="2:39" ht="15.75" thickBot="1" x14ac:dyDescent="0.35">
      <c r="B486" s="56" t="str">
        <f>input_names!$C$3</f>
        <v>diesel</v>
      </c>
      <c r="C486" s="61">
        <v>84</v>
      </c>
      <c r="D486" s="270">
        <f t="shared" si="170"/>
        <v>2009</v>
      </c>
      <c r="E486" s="270">
        <f t="shared" si="170"/>
        <v>2463.3100000000004</v>
      </c>
      <c r="F486" s="270">
        <f t="shared" si="170"/>
        <v>2672.1099999999997</v>
      </c>
      <c r="G486" s="270">
        <f t="shared" si="170"/>
        <v>3029.98</v>
      </c>
      <c r="H486" s="270">
        <f t="shared" si="170"/>
        <v>3302.8900000000003</v>
      </c>
      <c r="I486" s="270">
        <f t="shared" si="170"/>
        <v>3676.25</v>
      </c>
      <c r="J486" s="270">
        <f t="shared" si="170"/>
        <v>1041.1300000000001</v>
      </c>
      <c r="K486" s="270">
        <f t="shared" si="170"/>
        <v>1240.03</v>
      </c>
      <c r="L486" s="270">
        <f t="shared" si="170"/>
        <v>1737.3</v>
      </c>
      <c r="M486" s="270">
        <f t="shared" si="170"/>
        <v>2282.91</v>
      </c>
      <c r="N486" s="270">
        <f t="shared" si="170"/>
        <v>2758.1800000000003</v>
      </c>
      <c r="O486" s="270">
        <f t="shared" si="170"/>
        <v>2758.1800000000003</v>
      </c>
      <c r="P486" s="270">
        <f t="shared" si="170"/>
        <v>2758.1800000000003</v>
      </c>
      <c r="Q486" s="270">
        <f t="shared" si="170"/>
        <v>2758.1800000000003</v>
      </c>
      <c r="R486" s="270">
        <f t="shared" si="170"/>
        <v>2758.1800000000003</v>
      </c>
      <c r="S486" s="270">
        <f t="shared" si="165"/>
        <v>2758.1800000000003</v>
      </c>
      <c r="T486" s="270">
        <f t="shared" si="165"/>
        <v>2758.1800000000003</v>
      </c>
      <c r="U486" s="270">
        <f t="shared" si="171"/>
        <v>2758.1800000000003</v>
      </c>
      <c r="V486" s="270">
        <f t="shared" si="171"/>
        <v>2758.1800000000003</v>
      </c>
      <c r="W486" s="270">
        <f t="shared" si="171"/>
        <v>2758.1800000000003</v>
      </c>
      <c r="X486" s="270">
        <f t="shared" si="171"/>
        <v>2758.1800000000003</v>
      </c>
      <c r="Y486" s="270">
        <f t="shared" si="171"/>
        <v>2758.1800000000003</v>
      </c>
      <c r="Z486" s="270">
        <f t="shared" si="171"/>
        <v>2758.1800000000003</v>
      </c>
      <c r="AA486" s="270">
        <f t="shared" si="171"/>
        <v>2758.1800000000003</v>
      </c>
      <c r="AB486" s="270">
        <f t="shared" si="171"/>
        <v>2758.1800000000003</v>
      </c>
      <c r="AC486" s="270">
        <f t="shared" si="171"/>
        <v>2758.1800000000003</v>
      </c>
      <c r="AD486" s="270">
        <f t="shared" si="169"/>
        <v>2758.1800000000003</v>
      </c>
      <c r="AE486" s="270">
        <f t="shared" si="167"/>
        <v>2758.1800000000003</v>
      </c>
      <c r="AF486" s="270">
        <f t="shared" si="168"/>
        <v>2758.1800000000003</v>
      </c>
      <c r="AG486" s="270">
        <f t="shared" si="168"/>
        <v>2758.1800000000003</v>
      </c>
      <c r="AH486" s="270">
        <f t="shared" si="168"/>
        <v>2758.1800000000003</v>
      </c>
      <c r="AI486" s="270">
        <f t="shared" si="168"/>
        <v>2758.1800000000003</v>
      </c>
      <c r="AJ486" s="270">
        <f t="shared" si="168"/>
        <v>2758.1800000000003</v>
      </c>
      <c r="AK486" s="270">
        <f t="shared" si="168"/>
        <v>2758.1800000000003</v>
      </c>
      <c r="AL486" s="270">
        <f t="shared" si="168"/>
        <v>2758.1800000000003</v>
      </c>
      <c r="AM486" s="270">
        <f t="shared" si="168"/>
        <v>2758.1800000000003</v>
      </c>
    </row>
    <row r="487" spans="2:39" ht="15.75" thickBot="1" x14ac:dyDescent="0.35">
      <c r="B487" s="56" t="str">
        <f>input_names!$C$3</f>
        <v>diesel</v>
      </c>
      <c r="C487" s="61">
        <v>85</v>
      </c>
      <c r="D487" s="270">
        <f t="shared" si="170"/>
        <v>2164</v>
      </c>
      <c r="E487" s="270">
        <f t="shared" si="170"/>
        <v>2618.7400000000002</v>
      </c>
      <c r="F487" s="270">
        <f t="shared" si="170"/>
        <v>2823.8</v>
      </c>
      <c r="G487" s="270">
        <f t="shared" si="170"/>
        <v>3180.3599999999997</v>
      </c>
      <c r="H487" s="270">
        <f t="shared" si="170"/>
        <v>3450.32</v>
      </c>
      <c r="I487" s="270">
        <f t="shared" si="170"/>
        <v>3824.1</v>
      </c>
      <c r="J487" s="270">
        <f t="shared" si="170"/>
        <v>1125.72</v>
      </c>
      <c r="K487" s="270">
        <f t="shared" si="170"/>
        <v>1388.7</v>
      </c>
      <c r="L487" s="270">
        <f t="shared" si="170"/>
        <v>1899.6</v>
      </c>
      <c r="M487" s="270">
        <f t="shared" si="170"/>
        <v>2464.98</v>
      </c>
      <c r="N487" s="270">
        <f t="shared" si="170"/>
        <v>2947.05</v>
      </c>
      <c r="O487" s="270">
        <f t="shared" si="170"/>
        <v>2947.05</v>
      </c>
      <c r="P487" s="270">
        <f t="shared" si="170"/>
        <v>2947.05</v>
      </c>
      <c r="Q487" s="270">
        <f t="shared" si="170"/>
        <v>2947.05</v>
      </c>
      <c r="R487" s="270">
        <f t="shared" si="170"/>
        <v>2947.05</v>
      </c>
      <c r="S487" s="270">
        <f t="shared" si="165"/>
        <v>2947.05</v>
      </c>
      <c r="T487" s="270">
        <f t="shared" si="165"/>
        <v>2947.05</v>
      </c>
      <c r="U487" s="270">
        <f t="shared" si="171"/>
        <v>2947.05</v>
      </c>
      <c r="V487" s="270">
        <f t="shared" si="171"/>
        <v>2947.05</v>
      </c>
      <c r="W487" s="270">
        <f t="shared" si="171"/>
        <v>2947.05</v>
      </c>
      <c r="X487" s="270">
        <f t="shared" si="171"/>
        <v>2947.05</v>
      </c>
      <c r="Y487" s="270">
        <f t="shared" si="171"/>
        <v>2947.05</v>
      </c>
      <c r="Z487" s="270">
        <f t="shared" si="171"/>
        <v>2947.05</v>
      </c>
      <c r="AA487" s="270">
        <f t="shared" si="171"/>
        <v>2947.05</v>
      </c>
      <c r="AB487" s="270">
        <f t="shared" si="171"/>
        <v>2947.05</v>
      </c>
      <c r="AC487" s="270">
        <f t="shared" si="171"/>
        <v>2947.05</v>
      </c>
      <c r="AD487" s="270">
        <f t="shared" si="169"/>
        <v>2947.05</v>
      </c>
      <c r="AE487" s="270">
        <f t="shared" si="167"/>
        <v>2947.05</v>
      </c>
      <c r="AF487" s="270">
        <f t="shared" si="168"/>
        <v>2947.05</v>
      </c>
      <c r="AG487" s="270">
        <f t="shared" si="168"/>
        <v>2947.05</v>
      </c>
      <c r="AH487" s="270">
        <f t="shared" si="168"/>
        <v>2947.05</v>
      </c>
      <c r="AI487" s="270">
        <f t="shared" si="168"/>
        <v>2947.05</v>
      </c>
      <c r="AJ487" s="270">
        <f t="shared" si="168"/>
        <v>2947.05</v>
      </c>
      <c r="AK487" s="270">
        <f t="shared" si="168"/>
        <v>2947.05</v>
      </c>
      <c r="AL487" s="270">
        <f t="shared" si="168"/>
        <v>2947.05</v>
      </c>
      <c r="AM487" s="270">
        <f t="shared" si="168"/>
        <v>2947.05</v>
      </c>
    </row>
    <row r="488" spans="2:39" ht="15.75" thickBot="1" x14ac:dyDescent="0.35">
      <c r="B488" s="56" t="str">
        <f>input_names!$C$3</f>
        <v>diesel</v>
      </c>
      <c r="C488" s="61">
        <v>86</v>
      </c>
      <c r="D488" s="270">
        <f t="shared" si="170"/>
        <v>2319</v>
      </c>
      <c r="E488" s="270">
        <f t="shared" si="170"/>
        <v>2774.17</v>
      </c>
      <c r="F488" s="270">
        <f t="shared" si="170"/>
        <v>2975.49</v>
      </c>
      <c r="G488" s="270">
        <f t="shared" si="170"/>
        <v>3330.74</v>
      </c>
      <c r="H488" s="270">
        <f t="shared" si="170"/>
        <v>3597.75</v>
      </c>
      <c r="I488" s="270">
        <f t="shared" si="170"/>
        <v>3971.95</v>
      </c>
      <c r="J488" s="270">
        <f t="shared" si="170"/>
        <v>1210.31</v>
      </c>
      <c r="K488" s="270">
        <f t="shared" si="170"/>
        <v>1537.37</v>
      </c>
      <c r="L488" s="270">
        <f t="shared" si="170"/>
        <v>2061.8999999999996</v>
      </c>
      <c r="M488" s="270">
        <f t="shared" si="170"/>
        <v>2647.05</v>
      </c>
      <c r="N488" s="270">
        <f t="shared" si="170"/>
        <v>3135.92</v>
      </c>
      <c r="O488" s="270">
        <f t="shared" si="170"/>
        <v>3135.92</v>
      </c>
      <c r="P488" s="270">
        <f t="shared" si="170"/>
        <v>3135.92</v>
      </c>
      <c r="Q488" s="270">
        <f t="shared" si="170"/>
        <v>3135.92</v>
      </c>
      <c r="R488" s="270">
        <f t="shared" si="170"/>
        <v>3135.92</v>
      </c>
      <c r="S488" s="270">
        <f t="shared" si="165"/>
        <v>3135.92</v>
      </c>
      <c r="T488" s="270">
        <f t="shared" si="165"/>
        <v>3135.92</v>
      </c>
      <c r="U488" s="270">
        <f t="shared" si="171"/>
        <v>3135.92</v>
      </c>
      <c r="V488" s="270">
        <f t="shared" si="171"/>
        <v>3135.92</v>
      </c>
      <c r="W488" s="270">
        <f t="shared" si="171"/>
        <v>3135.92</v>
      </c>
      <c r="X488" s="270">
        <f t="shared" si="171"/>
        <v>3135.92</v>
      </c>
      <c r="Y488" s="270">
        <f t="shared" si="171"/>
        <v>3135.92</v>
      </c>
      <c r="Z488" s="270">
        <f t="shared" si="171"/>
        <v>3135.92</v>
      </c>
      <c r="AA488" s="270">
        <f t="shared" si="171"/>
        <v>3135.92</v>
      </c>
      <c r="AB488" s="270">
        <f t="shared" si="171"/>
        <v>3135.92</v>
      </c>
      <c r="AC488" s="270">
        <f t="shared" si="171"/>
        <v>3135.92</v>
      </c>
      <c r="AD488" s="270">
        <f t="shared" si="169"/>
        <v>3135.92</v>
      </c>
      <c r="AE488" s="270">
        <f t="shared" si="167"/>
        <v>3135.92</v>
      </c>
      <c r="AF488" s="270">
        <f t="shared" si="168"/>
        <v>3135.92</v>
      </c>
      <c r="AG488" s="270">
        <f t="shared" si="168"/>
        <v>3135.92</v>
      </c>
      <c r="AH488" s="270">
        <f t="shared" si="168"/>
        <v>3135.92</v>
      </c>
      <c r="AI488" s="270">
        <f t="shared" si="168"/>
        <v>3135.92</v>
      </c>
      <c r="AJ488" s="270">
        <f t="shared" si="168"/>
        <v>3135.92</v>
      </c>
      <c r="AK488" s="270">
        <f t="shared" si="168"/>
        <v>3135.92</v>
      </c>
      <c r="AL488" s="270">
        <f t="shared" si="168"/>
        <v>3135.92</v>
      </c>
      <c r="AM488" s="270">
        <f t="shared" si="168"/>
        <v>3135.92</v>
      </c>
    </row>
    <row r="489" spans="2:39" ht="15.75" thickBot="1" x14ac:dyDescent="0.35">
      <c r="B489" s="56" t="str">
        <f>input_names!$C$3</f>
        <v>diesel</v>
      </c>
      <c r="C489" s="61">
        <v>87</v>
      </c>
      <c r="D489" s="270">
        <f t="shared" si="170"/>
        <v>2474</v>
      </c>
      <c r="E489" s="270">
        <f t="shared" si="170"/>
        <v>2929.6000000000004</v>
      </c>
      <c r="F489" s="270">
        <f t="shared" si="170"/>
        <v>3127.18</v>
      </c>
      <c r="G489" s="270">
        <f t="shared" si="170"/>
        <v>3481.12</v>
      </c>
      <c r="H489" s="270">
        <f t="shared" si="170"/>
        <v>3745.1800000000003</v>
      </c>
      <c r="I489" s="270">
        <f t="shared" si="170"/>
        <v>4119.7999999999993</v>
      </c>
      <c r="J489" s="270">
        <f t="shared" si="170"/>
        <v>1353.9</v>
      </c>
      <c r="K489" s="270">
        <f t="shared" si="170"/>
        <v>1686.04</v>
      </c>
      <c r="L489" s="270">
        <f t="shared" si="170"/>
        <v>2224.1999999999998</v>
      </c>
      <c r="M489" s="270">
        <f t="shared" si="170"/>
        <v>2829.12</v>
      </c>
      <c r="N489" s="270">
        <f t="shared" si="170"/>
        <v>3324.79</v>
      </c>
      <c r="O489" s="270">
        <f t="shared" si="170"/>
        <v>3324.79</v>
      </c>
      <c r="P489" s="270">
        <f t="shared" si="170"/>
        <v>3324.79</v>
      </c>
      <c r="Q489" s="270">
        <f t="shared" si="170"/>
        <v>3324.79</v>
      </c>
      <c r="R489" s="270">
        <f t="shared" si="170"/>
        <v>3324.79</v>
      </c>
      <c r="S489" s="270">
        <f t="shared" si="165"/>
        <v>3324.79</v>
      </c>
      <c r="T489" s="270">
        <f t="shared" si="165"/>
        <v>3324.79</v>
      </c>
      <c r="U489" s="270">
        <f t="shared" si="171"/>
        <v>3324.79</v>
      </c>
      <c r="V489" s="270">
        <f t="shared" si="171"/>
        <v>3324.79</v>
      </c>
      <c r="W489" s="270">
        <f t="shared" si="171"/>
        <v>3324.79</v>
      </c>
      <c r="X489" s="270">
        <f t="shared" si="171"/>
        <v>3324.79</v>
      </c>
      <c r="Y489" s="270">
        <f t="shared" si="171"/>
        <v>3324.79</v>
      </c>
      <c r="Z489" s="270">
        <f t="shared" si="171"/>
        <v>3324.79</v>
      </c>
      <c r="AA489" s="270">
        <f t="shared" si="171"/>
        <v>3324.79</v>
      </c>
      <c r="AB489" s="270">
        <f t="shared" si="171"/>
        <v>3324.79</v>
      </c>
      <c r="AC489" s="270">
        <f t="shared" si="171"/>
        <v>3324.79</v>
      </c>
      <c r="AD489" s="270">
        <f t="shared" si="169"/>
        <v>3324.79</v>
      </c>
      <c r="AE489" s="270">
        <f t="shared" si="167"/>
        <v>3324.79</v>
      </c>
      <c r="AF489" s="270">
        <f t="shared" si="168"/>
        <v>3324.79</v>
      </c>
      <c r="AG489" s="270">
        <f t="shared" si="168"/>
        <v>3324.79</v>
      </c>
      <c r="AH489" s="270">
        <f t="shared" si="168"/>
        <v>3324.79</v>
      </c>
      <c r="AI489" s="270">
        <f t="shared" si="168"/>
        <v>3324.79</v>
      </c>
      <c r="AJ489" s="270">
        <f t="shared" si="168"/>
        <v>3324.79</v>
      </c>
      <c r="AK489" s="270">
        <f t="shared" si="168"/>
        <v>3324.79</v>
      </c>
      <c r="AL489" s="270">
        <f t="shared" si="168"/>
        <v>3324.79</v>
      </c>
      <c r="AM489" s="270">
        <f t="shared" si="168"/>
        <v>3324.79</v>
      </c>
    </row>
    <row r="490" spans="2:39" ht="15.75" thickBot="1" x14ac:dyDescent="0.35">
      <c r="B490" s="56" t="str">
        <f>input_names!$C$3</f>
        <v>diesel</v>
      </c>
      <c r="C490" s="61">
        <v>88</v>
      </c>
      <c r="D490" s="270">
        <f t="shared" si="170"/>
        <v>2629</v>
      </c>
      <c r="E490" s="270">
        <f t="shared" si="170"/>
        <v>3085.03</v>
      </c>
      <c r="F490" s="270">
        <f t="shared" si="170"/>
        <v>3278.87</v>
      </c>
      <c r="G490" s="270">
        <f t="shared" si="170"/>
        <v>3631.5</v>
      </c>
      <c r="H490" s="270">
        <f t="shared" si="170"/>
        <v>3892.61</v>
      </c>
      <c r="I490" s="270">
        <f t="shared" si="170"/>
        <v>4267.6499999999996</v>
      </c>
      <c r="J490" s="270">
        <f t="shared" si="170"/>
        <v>1497.49</v>
      </c>
      <c r="K490" s="270">
        <f t="shared" si="170"/>
        <v>1834.71</v>
      </c>
      <c r="L490" s="270">
        <f t="shared" si="170"/>
        <v>2386.5</v>
      </c>
      <c r="M490" s="270">
        <f t="shared" si="170"/>
        <v>3011.1899999999996</v>
      </c>
      <c r="N490" s="270">
        <f t="shared" si="170"/>
        <v>3513.66</v>
      </c>
      <c r="O490" s="270">
        <f t="shared" si="170"/>
        <v>3513.66</v>
      </c>
      <c r="P490" s="270">
        <f t="shared" si="170"/>
        <v>3513.66</v>
      </c>
      <c r="Q490" s="270">
        <f t="shared" si="170"/>
        <v>3513.66</v>
      </c>
      <c r="R490" s="270">
        <f t="shared" si="170"/>
        <v>3513.66</v>
      </c>
      <c r="S490" s="270">
        <f t="shared" si="165"/>
        <v>3513.66</v>
      </c>
      <c r="T490" s="270">
        <f t="shared" si="165"/>
        <v>3513.66</v>
      </c>
      <c r="U490" s="270">
        <f t="shared" si="171"/>
        <v>3513.66</v>
      </c>
      <c r="V490" s="270">
        <f t="shared" si="171"/>
        <v>3513.66</v>
      </c>
      <c r="W490" s="270">
        <f t="shared" si="171"/>
        <v>3513.66</v>
      </c>
      <c r="X490" s="270">
        <f t="shared" si="171"/>
        <v>3513.66</v>
      </c>
      <c r="Y490" s="270">
        <f t="shared" si="171"/>
        <v>3513.66</v>
      </c>
      <c r="Z490" s="270">
        <f t="shared" si="171"/>
        <v>3513.66</v>
      </c>
      <c r="AA490" s="270">
        <f t="shared" si="171"/>
        <v>3513.66</v>
      </c>
      <c r="AB490" s="270">
        <f t="shared" si="171"/>
        <v>3513.66</v>
      </c>
      <c r="AC490" s="270">
        <f t="shared" si="171"/>
        <v>3513.66</v>
      </c>
      <c r="AD490" s="270">
        <f t="shared" si="169"/>
        <v>3513.66</v>
      </c>
      <c r="AE490" s="270">
        <f t="shared" si="167"/>
        <v>3513.66</v>
      </c>
      <c r="AF490" s="270">
        <f t="shared" si="168"/>
        <v>3513.66</v>
      </c>
      <c r="AG490" s="270">
        <f t="shared" si="168"/>
        <v>3513.66</v>
      </c>
      <c r="AH490" s="270">
        <f t="shared" si="168"/>
        <v>3513.66</v>
      </c>
      <c r="AI490" s="270">
        <f t="shared" si="168"/>
        <v>3513.66</v>
      </c>
      <c r="AJ490" s="270">
        <f t="shared" si="168"/>
        <v>3513.66</v>
      </c>
      <c r="AK490" s="270">
        <f t="shared" si="168"/>
        <v>3513.66</v>
      </c>
      <c r="AL490" s="270">
        <f t="shared" si="168"/>
        <v>3513.66</v>
      </c>
      <c r="AM490" s="270">
        <f t="shared" si="168"/>
        <v>3513.66</v>
      </c>
    </row>
    <row r="491" spans="2:39" ht="15.75" thickBot="1" x14ac:dyDescent="0.35">
      <c r="B491" s="56" t="str">
        <f>input_names!$C$3</f>
        <v>diesel</v>
      </c>
      <c r="C491" s="61">
        <v>89</v>
      </c>
      <c r="D491" s="270">
        <f t="shared" si="170"/>
        <v>2784</v>
      </c>
      <c r="E491" s="270">
        <f t="shared" si="170"/>
        <v>3240.46</v>
      </c>
      <c r="F491" s="270">
        <f t="shared" si="170"/>
        <v>3430.56</v>
      </c>
      <c r="G491" s="270">
        <f t="shared" si="170"/>
        <v>3781.88</v>
      </c>
      <c r="H491" s="270">
        <f t="shared" si="170"/>
        <v>4040.04</v>
      </c>
      <c r="I491" s="270">
        <f t="shared" si="170"/>
        <v>4415.5</v>
      </c>
      <c r="J491" s="270">
        <f t="shared" si="170"/>
        <v>1641.08</v>
      </c>
      <c r="K491" s="270">
        <f t="shared" si="170"/>
        <v>1983.38</v>
      </c>
      <c r="L491" s="270">
        <f t="shared" si="170"/>
        <v>2548.8000000000002</v>
      </c>
      <c r="M491" s="270">
        <f t="shared" si="170"/>
        <v>3193.2599999999998</v>
      </c>
      <c r="N491" s="270">
        <f t="shared" si="170"/>
        <v>3702.53</v>
      </c>
      <c r="O491" s="270">
        <f t="shared" si="170"/>
        <v>3702.53</v>
      </c>
      <c r="P491" s="270">
        <f t="shared" si="170"/>
        <v>3702.53</v>
      </c>
      <c r="Q491" s="270">
        <f t="shared" si="170"/>
        <v>3702.53</v>
      </c>
      <c r="R491" s="270">
        <f t="shared" si="170"/>
        <v>3702.53</v>
      </c>
      <c r="S491" s="270">
        <f t="shared" si="165"/>
        <v>3702.53</v>
      </c>
      <c r="T491" s="270">
        <f t="shared" si="165"/>
        <v>3702.53</v>
      </c>
      <c r="U491" s="270">
        <f t="shared" si="171"/>
        <v>3702.53</v>
      </c>
      <c r="V491" s="270">
        <f t="shared" si="171"/>
        <v>3702.53</v>
      </c>
      <c r="W491" s="270">
        <f t="shared" si="171"/>
        <v>3702.53</v>
      </c>
      <c r="X491" s="270">
        <f t="shared" si="171"/>
        <v>3702.53</v>
      </c>
      <c r="Y491" s="270">
        <f t="shared" si="171"/>
        <v>3702.53</v>
      </c>
      <c r="Z491" s="270">
        <f t="shared" si="171"/>
        <v>3702.53</v>
      </c>
      <c r="AA491" s="270">
        <f t="shared" si="171"/>
        <v>3702.53</v>
      </c>
      <c r="AB491" s="270">
        <f t="shared" si="171"/>
        <v>3702.53</v>
      </c>
      <c r="AC491" s="270">
        <f t="shared" si="171"/>
        <v>3702.53</v>
      </c>
      <c r="AD491" s="270">
        <f t="shared" si="169"/>
        <v>3702.53</v>
      </c>
      <c r="AE491" s="270">
        <f t="shared" si="167"/>
        <v>3702.53</v>
      </c>
      <c r="AF491" s="270">
        <f t="shared" si="168"/>
        <v>3702.53</v>
      </c>
      <c r="AG491" s="270">
        <f t="shared" si="168"/>
        <v>3702.53</v>
      </c>
      <c r="AH491" s="270">
        <f t="shared" si="168"/>
        <v>3702.53</v>
      </c>
      <c r="AI491" s="270">
        <f t="shared" si="168"/>
        <v>3702.53</v>
      </c>
      <c r="AJ491" s="270">
        <f t="shared" si="168"/>
        <v>3702.53</v>
      </c>
      <c r="AK491" s="270">
        <f t="shared" si="168"/>
        <v>3702.53</v>
      </c>
      <c r="AL491" s="270">
        <f t="shared" si="168"/>
        <v>3702.53</v>
      </c>
      <c r="AM491" s="270">
        <f t="shared" si="168"/>
        <v>3702.53</v>
      </c>
    </row>
    <row r="492" spans="2:39" ht="15.75" thickBot="1" x14ac:dyDescent="0.35">
      <c r="B492" s="56" t="str">
        <f>input_names!$C$3</f>
        <v>diesel</v>
      </c>
      <c r="C492" s="61">
        <v>90</v>
      </c>
      <c r="D492" s="270">
        <f t="shared" si="170"/>
        <v>2939</v>
      </c>
      <c r="E492" s="270">
        <f t="shared" si="170"/>
        <v>3395.8900000000003</v>
      </c>
      <c r="F492" s="270">
        <f t="shared" si="170"/>
        <v>3582.25</v>
      </c>
      <c r="G492" s="270">
        <f t="shared" si="170"/>
        <v>3932.2599999999998</v>
      </c>
      <c r="H492" s="270">
        <f t="shared" si="170"/>
        <v>4187.47</v>
      </c>
      <c r="I492" s="270">
        <f t="shared" si="170"/>
        <v>4563.3500000000004</v>
      </c>
      <c r="J492" s="270">
        <f t="shared" si="170"/>
        <v>1784.67</v>
      </c>
      <c r="K492" s="270">
        <f t="shared" si="170"/>
        <v>2132.0500000000002</v>
      </c>
      <c r="L492" s="270">
        <f t="shared" si="170"/>
        <v>2711.1</v>
      </c>
      <c r="M492" s="270">
        <f t="shared" si="170"/>
        <v>3375.33</v>
      </c>
      <c r="N492" s="270">
        <f t="shared" si="170"/>
        <v>3891.4</v>
      </c>
      <c r="O492" s="270">
        <f t="shared" si="170"/>
        <v>3891.4</v>
      </c>
      <c r="P492" s="270">
        <f t="shared" si="170"/>
        <v>3891.4</v>
      </c>
      <c r="Q492" s="270">
        <f t="shared" si="170"/>
        <v>3891.4</v>
      </c>
      <c r="R492" s="270">
        <f t="shared" si="170"/>
        <v>3891.4</v>
      </c>
      <c r="S492" s="270">
        <f t="shared" si="165"/>
        <v>3891.4</v>
      </c>
      <c r="T492" s="270">
        <f t="shared" si="165"/>
        <v>3891.4</v>
      </c>
      <c r="U492" s="270">
        <f t="shared" si="171"/>
        <v>3891.4</v>
      </c>
      <c r="V492" s="270">
        <f t="shared" si="171"/>
        <v>3891.4</v>
      </c>
      <c r="W492" s="270">
        <f t="shared" si="171"/>
        <v>3891.4</v>
      </c>
      <c r="X492" s="270">
        <f t="shared" si="171"/>
        <v>3891.4</v>
      </c>
      <c r="Y492" s="270">
        <f t="shared" si="171"/>
        <v>3891.4</v>
      </c>
      <c r="Z492" s="270">
        <f t="shared" si="171"/>
        <v>3891.4</v>
      </c>
      <c r="AA492" s="270">
        <f t="shared" si="171"/>
        <v>3891.4</v>
      </c>
      <c r="AB492" s="270">
        <f t="shared" si="171"/>
        <v>3891.4</v>
      </c>
      <c r="AC492" s="270">
        <f t="shared" si="171"/>
        <v>3891.4</v>
      </c>
      <c r="AD492" s="270">
        <f t="shared" si="169"/>
        <v>3891.4</v>
      </c>
      <c r="AE492" s="270">
        <f t="shared" si="167"/>
        <v>3891.4</v>
      </c>
      <c r="AF492" s="270">
        <f t="shared" si="168"/>
        <v>3891.4</v>
      </c>
      <c r="AG492" s="270">
        <f t="shared" si="168"/>
        <v>3891.4</v>
      </c>
      <c r="AH492" s="270">
        <f t="shared" si="168"/>
        <v>3891.4</v>
      </c>
      <c r="AI492" s="270">
        <f t="shared" si="168"/>
        <v>3891.4</v>
      </c>
      <c r="AJ492" s="270">
        <f t="shared" si="168"/>
        <v>3891.4</v>
      </c>
      <c r="AK492" s="270">
        <f t="shared" si="168"/>
        <v>3891.4</v>
      </c>
      <c r="AL492" s="270">
        <f t="shared" si="168"/>
        <v>3891.4</v>
      </c>
      <c r="AM492" s="270">
        <f t="shared" si="168"/>
        <v>3891.4</v>
      </c>
    </row>
    <row r="493" spans="2:39" ht="15.75" thickBot="1" x14ac:dyDescent="0.35">
      <c r="B493" s="56" t="str">
        <f>input_names!$C$3</f>
        <v>diesel</v>
      </c>
      <c r="C493" s="61">
        <v>91</v>
      </c>
      <c r="D493" s="270">
        <f t="shared" si="170"/>
        <v>3094</v>
      </c>
      <c r="E493" s="270">
        <f t="shared" si="170"/>
        <v>3551.32</v>
      </c>
      <c r="F493" s="270">
        <f t="shared" si="170"/>
        <v>3733.94</v>
      </c>
      <c r="G493" s="270">
        <f t="shared" si="170"/>
        <v>4082.64</v>
      </c>
      <c r="H493" s="270">
        <f t="shared" si="170"/>
        <v>4334.8999999999996</v>
      </c>
      <c r="I493" s="270">
        <f t="shared" si="170"/>
        <v>4711.2</v>
      </c>
      <c r="J493" s="270">
        <f t="shared" si="170"/>
        <v>1928.26</v>
      </c>
      <c r="K493" s="270">
        <f t="shared" si="170"/>
        <v>2280.7200000000003</v>
      </c>
      <c r="L493" s="270">
        <f t="shared" si="170"/>
        <v>2873.3999999999996</v>
      </c>
      <c r="M493" s="270">
        <f t="shared" si="170"/>
        <v>3557.3999999999996</v>
      </c>
      <c r="N493" s="270">
        <f t="shared" si="170"/>
        <v>4080.27</v>
      </c>
      <c r="O493" s="270">
        <f t="shared" si="170"/>
        <v>4080.27</v>
      </c>
      <c r="P493" s="270">
        <f t="shared" si="170"/>
        <v>4080.27</v>
      </c>
      <c r="Q493" s="270">
        <f t="shared" si="170"/>
        <v>4080.27</v>
      </c>
      <c r="R493" s="270">
        <f t="shared" si="170"/>
        <v>4080.27</v>
      </c>
      <c r="S493" s="270">
        <f t="shared" si="165"/>
        <v>4080.27</v>
      </c>
      <c r="T493" s="270">
        <f t="shared" si="165"/>
        <v>4080.27</v>
      </c>
      <c r="U493" s="270">
        <f t="shared" si="171"/>
        <v>4080.27</v>
      </c>
      <c r="V493" s="270">
        <f t="shared" si="171"/>
        <v>4080.27</v>
      </c>
      <c r="W493" s="270">
        <f t="shared" si="171"/>
        <v>4080.27</v>
      </c>
      <c r="X493" s="270">
        <f t="shared" si="171"/>
        <v>4080.27</v>
      </c>
      <c r="Y493" s="270">
        <f t="shared" si="171"/>
        <v>4080.27</v>
      </c>
      <c r="Z493" s="270">
        <f t="shared" si="171"/>
        <v>4080.27</v>
      </c>
      <c r="AA493" s="270">
        <f t="shared" si="171"/>
        <v>4080.27</v>
      </c>
      <c r="AB493" s="270">
        <f t="shared" si="171"/>
        <v>4080.27</v>
      </c>
      <c r="AC493" s="270">
        <f t="shared" si="171"/>
        <v>4080.27</v>
      </c>
      <c r="AD493" s="270">
        <f t="shared" si="169"/>
        <v>4080.27</v>
      </c>
      <c r="AE493" s="270">
        <f t="shared" si="167"/>
        <v>4080.27</v>
      </c>
      <c r="AF493" s="270">
        <f t="shared" si="168"/>
        <v>4080.27</v>
      </c>
      <c r="AG493" s="270">
        <f t="shared" si="168"/>
        <v>4080.27</v>
      </c>
      <c r="AH493" s="270">
        <f t="shared" si="168"/>
        <v>4080.27</v>
      </c>
      <c r="AI493" s="270">
        <f t="shared" si="168"/>
        <v>4080.27</v>
      </c>
      <c r="AJ493" s="270">
        <f t="shared" si="168"/>
        <v>4080.27</v>
      </c>
      <c r="AK493" s="270">
        <f t="shared" si="168"/>
        <v>4080.27</v>
      </c>
      <c r="AL493" s="270">
        <f t="shared" si="168"/>
        <v>4080.27</v>
      </c>
      <c r="AM493" s="270">
        <f t="shared" si="168"/>
        <v>4080.27</v>
      </c>
    </row>
    <row r="494" spans="2:39" ht="15.75" thickBot="1" x14ac:dyDescent="0.35">
      <c r="B494" s="56" t="str">
        <f>input_names!$C$3</f>
        <v>diesel</v>
      </c>
      <c r="C494" s="61">
        <v>92</v>
      </c>
      <c r="D494" s="270">
        <f t="shared" si="170"/>
        <v>3249</v>
      </c>
      <c r="E494" s="270">
        <f t="shared" si="170"/>
        <v>3706.75</v>
      </c>
      <c r="F494" s="270">
        <f t="shared" si="170"/>
        <v>3885.63</v>
      </c>
      <c r="G494" s="270">
        <f t="shared" si="170"/>
        <v>4233.0200000000004</v>
      </c>
      <c r="H494" s="270">
        <f t="shared" si="170"/>
        <v>4482.33</v>
      </c>
      <c r="I494" s="270">
        <f t="shared" si="170"/>
        <v>4928.0499999999993</v>
      </c>
      <c r="J494" s="270">
        <f t="shared" si="170"/>
        <v>2071.8500000000004</v>
      </c>
      <c r="K494" s="270">
        <f t="shared" si="170"/>
        <v>2429.3900000000003</v>
      </c>
      <c r="L494" s="270">
        <f t="shared" si="170"/>
        <v>3035.7</v>
      </c>
      <c r="M494" s="270">
        <f t="shared" si="170"/>
        <v>3739.47</v>
      </c>
      <c r="N494" s="270">
        <f t="shared" si="170"/>
        <v>4269.1400000000003</v>
      </c>
      <c r="O494" s="270">
        <f t="shared" si="170"/>
        <v>4269.1400000000003</v>
      </c>
      <c r="P494" s="270">
        <f t="shared" si="170"/>
        <v>4269.1400000000003</v>
      </c>
      <c r="Q494" s="270">
        <f t="shared" si="170"/>
        <v>4269.1400000000003</v>
      </c>
      <c r="R494" s="270">
        <f t="shared" si="170"/>
        <v>4269.1400000000003</v>
      </c>
      <c r="S494" s="270">
        <f t="shared" si="165"/>
        <v>4269.1400000000003</v>
      </c>
      <c r="T494" s="270">
        <f t="shared" si="165"/>
        <v>4269.1400000000003</v>
      </c>
      <c r="U494" s="270">
        <f t="shared" si="171"/>
        <v>4269.1400000000003</v>
      </c>
      <c r="V494" s="270">
        <f t="shared" si="171"/>
        <v>4269.1400000000003</v>
      </c>
      <c r="W494" s="270">
        <f t="shared" si="171"/>
        <v>4269.1400000000003</v>
      </c>
      <c r="X494" s="270">
        <f t="shared" si="171"/>
        <v>4269.1400000000003</v>
      </c>
      <c r="Y494" s="270">
        <f t="shared" si="171"/>
        <v>4269.1400000000003</v>
      </c>
      <c r="Z494" s="270">
        <f t="shared" si="171"/>
        <v>4269.1400000000003</v>
      </c>
      <c r="AA494" s="270">
        <f t="shared" si="171"/>
        <v>4269.1400000000003</v>
      </c>
      <c r="AB494" s="270">
        <f t="shared" si="171"/>
        <v>4269.1400000000003</v>
      </c>
      <c r="AC494" s="270">
        <f t="shared" si="171"/>
        <v>4269.1400000000003</v>
      </c>
      <c r="AD494" s="270">
        <f t="shared" si="169"/>
        <v>4269.1400000000003</v>
      </c>
      <c r="AE494" s="270">
        <f t="shared" si="167"/>
        <v>4269.1400000000003</v>
      </c>
      <c r="AF494" s="270">
        <f t="shared" si="168"/>
        <v>4269.1400000000003</v>
      </c>
      <c r="AG494" s="270">
        <f t="shared" si="168"/>
        <v>4269.1400000000003</v>
      </c>
      <c r="AH494" s="270">
        <f t="shared" si="168"/>
        <v>4269.1400000000003</v>
      </c>
      <c r="AI494" s="270">
        <f t="shared" si="168"/>
        <v>4269.1400000000003</v>
      </c>
      <c r="AJ494" s="270">
        <f t="shared" si="168"/>
        <v>4269.1400000000003</v>
      </c>
      <c r="AK494" s="270">
        <f t="shared" si="168"/>
        <v>4269.1400000000003</v>
      </c>
      <c r="AL494" s="270">
        <f t="shared" si="168"/>
        <v>4269.1400000000003</v>
      </c>
      <c r="AM494" s="270">
        <f t="shared" si="168"/>
        <v>4269.1400000000003</v>
      </c>
    </row>
    <row r="495" spans="2:39" ht="15.75" thickBot="1" x14ac:dyDescent="0.35">
      <c r="B495" s="56" t="str">
        <f>input_names!$C$3</f>
        <v>diesel</v>
      </c>
      <c r="C495" s="61">
        <v>93</v>
      </c>
      <c r="D495" s="270">
        <f t="shared" si="170"/>
        <v>3404</v>
      </c>
      <c r="E495" s="270">
        <f t="shared" si="170"/>
        <v>3862.1800000000003</v>
      </c>
      <c r="F495" s="270">
        <f t="shared" si="170"/>
        <v>4037.3199999999997</v>
      </c>
      <c r="G495" s="270">
        <f t="shared" si="170"/>
        <v>4383.3999999999996</v>
      </c>
      <c r="H495" s="270">
        <f t="shared" si="170"/>
        <v>4629.76</v>
      </c>
      <c r="I495" s="270">
        <f t="shared" si="170"/>
        <v>5144.8999999999996</v>
      </c>
      <c r="J495" s="270">
        <f t="shared" si="170"/>
        <v>2215.44</v>
      </c>
      <c r="K495" s="270">
        <f t="shared" si="170"/>
        <v>2578.06</v>
      </c>
      <c r="L495" s="270">
        <f t="shared" si="170"/>
        <v>3198</v>
      </c>
      <c r="M495" s="270">
        <f t="shared" si="170"/>
        <v>3921.54</v>
      </c>
      <c r="N495" s="270">
        <f t="shared" si="170"/>
        <v>4458.01</v>
      </c>
      <c r="O495" s="270">
        <f t="shared" si="170"/>
        <v>4458.01</v>
      </c>
      <c r="P495" s="270">
        <f t="shared" si="170"/>
        <v>4458.01</v>
      </c>
      <c r="Q495" s="270">
        <f t="shared" si="170"/>
        <v>4458.01</v>
      </c>
      <c r="R495" s="270">
        <f t="shared" si="170"/>
        <v>4458.01</v>
      </c>
      <c r="S495" s="270">
        <f t="shared" si="165"/>
        <v>4458.01</v>
      </c>
      <c r="T495" s="270">
        <f t="shared" si="165"/>
        <v>4458.01</v>
      </c>
      <c r="U495" s="270">
        <f t="shared" si="171"/>
        <v>4458.01</v>
      </c>
      <c r="V495" s="270">
        <f t="shared" si="171"/>
        <v>4458.01</v>
      </c>
      <c r="W495" s="270">
        <f t="shared" si="171"/>
        <v>4458.01</v>
      </c>
      <c r="X495" s="270">
        <f t="shared" si="171"/>
        <v>4458.01</v>
      </c>
      <c r="Y495" s="270">
        <f t="shared" si="171"/>
        <v>4458.01</v>
      </c>
      <c r="Z495" s="270">
        <f t="shared" si="171"/>
        <v>4458.01</v>
      </c>
      <c r="AA495" s="270">
        <f t="shared" si="171"/>
        <v>4458.01</v>
      </c>
      <c r="AB495" s="270">
        <f t="shared" si="171"/>
        <v>4458.01</v>
      </c>
      <c r="AC495" s="270">
        <f t="shared" si="171"/>
        <v>4458.01</v>
      </c>
      <c r="AD495" s="270">
        <f t="shared" si="169"/>
        <v>4458.01</v>
      </c>
      <c r="AE495" s="270">
        <f t="shared" si="167"/>
        <v>4458.01</v>
      </c>
      <c r="AF495" s="270">
        <f t="shared" si="168"/>
        <v>4458.01</v>
      </c>
      <c r="AG495" s="270">
        <f t="shared" si="168"/>
        <v>4458.01</v>
      </c>
      <c r="AH495" s="270">
        <f t="shared" si="168"/>
        <v>4458.01</v>
      </c>
      <c r="AI495" s="270">
        <f t="shared" si="168"/>
        <v>4458.01</v>
      </c>
      <c r="AJ495" s="270">
        <f t="shared" si="168"/>
        <v>4458.01</v>
      </c>
      <c r="AK495" s="270">
        <f t="shared" si="168"/>
        <v>4458.01</v>
      </c>
      <c r="AL495" s="270">
        <f t="shared" si="168"/>
        <v>4458.01</v>
      </c>
      <c r="AM495" s="270">
        <f t="shared" si="168"/>
        <v>4458.01</v>
      </c>
    </row>
    <row r="496" spans="2:39" ht="15.75" thickBot="1" x14ac:dyDescent="0.35">
      <c r="B496" s="56" t="str">
        <f>input_names!$C$3</f>
        <v>diesel</v>
      </c>
      <c r="C496" s="61">
        <v>94</v>
      </c>
      <c r="D496" s="270">
        <f t="shared" si="170"/>
        <v>3559</v>
      </c>
      <c r="E496" s="270">
        <f t="shared" si="170"/>
        <v>4017.61</v>
      </c>
      <c r="F496" s="270">
        <f t="shared" si="170"/>
        <v>4189.01</v>
      </c>
      <c r="G496" s="270">
        <f t="shared" si="170"/>
        <v>4533.78</v>
      </c>
      <c r="H496" s="270">
        <f t="shared" si="170"/>
        <v>4777.1900000000005</v>
      </c>
      <c r="I496" s="270">
        <f t="shared" si="170"/>
        <v>5361.75</v>
      </c>
      <c r="J496" s="270">
        <f t="shared" si="170"/>
        <v>2359.0299999999997</v>
      </c>
      <c r="K496" s="270">
        <f t="shared" si="170"/>
        <v>2726.73</v>
      </c>
      <c r="L496" s="270">
        <f t="shared" si="170"/>
        <v>3360.3</v>
      </c>
      <c r="M496" s="270">
        <f t="shared" si="170"/>
        <v>4103.6099999999997</v>
      </c>
      <c r="N496" s="270">
        <f t="shared" si="170"/>
        <v>4646.88</v>
      </c>
      <c r="O496" s="270">
        <f t="shared" si="170"/>
        <v>4646.88</v>
      </c>
      <c r="P496" s="270">
        <f t="shared" si="170"/>
        <v>4646.88</v>
      </c>
      <c r="Q496" s="270">
        <f t="shared" si="170"/>
        <v>4646.88</v>
      </c>
      <c r="R496" s="270">
        <f t="shared" si="170"/>
        <v>4646.88</v>
      </c>
      <c r="S496" s="270">
        <f t="shared" si="165"/>
        <v>4646.88</v>
      </c>
      <c r="T496" s="270">
        <f t="shared" si="165"/>
        <v>4646.88</v>
      </c>
      <c r="U496" s="270">
        <f t="shared" si="171"/>
        <v>4646.88</v>
      </c>
      <c r="V496" s="270">
        <f t="shared" si="171"/>
        <v>4646.88</v>
      </c>
      <c r="W496" s="270">
        <f t="shared" si="171"/>
        <v>4646.88</v>
      </c>
      <c r="X496" s="270">
        <f t="shared" si="171"/>
        <v>4646.88</v>
      </c>
      <c r="Y496" s="270">
        <f t="shared" si="171"/>
        <v>4646.88</v>
      </c>
      <c r="Z496" s="270">
        <f t="shared" si="171"/>
        <v>4646.88</v>
      </c>
      <c r="AA496" s="270">
        <f t="shared" si="171"/>
        <v>4646.88</v>
      </c>
      <c r="AB496" s="270">
        <f t="shared" si="171"/>
        <v>4646.88</v>
      </c>
      <c r="AC496" s="270">
        <f t="shared" si="171"/>
        <v>4646.88</v>
      </c>
      <c r="AD496" s="270">
        <f t="shared" si="169"/>
        <v>4646.88</v>
      </c>
      <c r="AE496" s="270">
        <f t="shared" si="167"/>
        <v>4646.88</v>
      </c>
      <c r="AF496" s="270">
        <f t="shared" si="168"/>
        <v>4646.88</v>
      </c>
      <c r="AG496" s="270">
        <f t="shared" si="168"/>
        <v>4646.88</v>
      </c>
      <c r="AH496" s="270">
        <f t="shared" si="168"/>
        <v>4646.88</v>
      </c>
      <c r="AI496" s="270">
        <f t="shared" si="168"/>
        <v>4646.88</v>
      </c>
      <c r="AJ496" s="270">
        <f t="shared" si="168"/>
        <v>4646.88</v>
      </c>
      <c r="AK496" s="270">
        <f t="shared" si="168"/>
        <v>4646.88</v>
      </c>
      <c r="AL496" s="270">
        <f t="shared" si="168"/>
        <v>4646.88</v>
      </c>
      <c r="AM496" s="270">
        <f t="shared" si="168"/>
        <v>4646.88</v>
      </c>
    </row>
    <row r="497" spans="2:39" ht="15.75" thickBot="1" x14ac:dyDescent="0.35">
      <c r="B497" s="56" t="str">
        <f>input_names!$C$3</f>
        <v>diesel</v>
      </c>
      <c r="C497" s="61">
        <v>95</v>
      </c>
      <c r="D497" s="270">
        <f t="shared" si="170"/>
        <v>3714</v>
      </c>
      <c r="E497" s="270">
        <f t="shared" si="170"/>
        <v>4173.04</v>
      </c>
      <c r="F497" s="270">
        <f t="shared" si="170"/>
        <v>4340.7</v>
      </c>
      <c r="G497" s="270">
        <f t="shared" si="170"/>
        <v>4684.16</v>
      </c>
      <c r="H497" s="270">
        <f t="shared" si="170"/>
        <v>4924.6200000000008</v>
      </c>
      <c r="I497" s="270">
        <f t="shared" si="170"/>
        <v>5578.6</v>
      </c>
      <c r="J497" s="270">
        <f t="shared" si="170"/>
        <v>2502.62</v>
      </c>
      <c r="K497" s="270">
        <f t="shared" si="170"/>
        <v>2875.4</v>
      </c>
      <c r="L497" s="270">
        <f t="shared" si="170"/>
        <v>3522.6</v>
      </c>
      <c r="M497" s="270">
        <f t="shared" si="170"/>
        <v>4285.68</v>
      </c>
      <c r="N497" s="270">
        <f t="shared" si="170"/>
        <v>4835.75</v>
      </c>
      <c r="O497" s="270">
        <f t="shared" si="170"/>
        <v>4835.75</v>
      </c>
      <c r="P497" s="270">
        <f t="shared" si="170"/>
        <v>4835.75</v>
      </c>
      <c r="Q497" s="270">
        <f t="shared" si="170"/>
        <v>4835.75</v>
      </c>
      <c r="R497" s="270">
        <f t="shared" si="170"/>
        <v>4835.75</v>
      </c>
      <c r="S497" s="270">
        <f t="shared" si="170"/>
        <v>4835.75</v>
      </c>
      <c r="T497" s="270">
        <f t="shared" ref="S497:AC533" si="172">+MIN(MAX(0,$C497-T$11),T$12-T$11)*T$17
+MIN(MAX(0,$C497-T$12),T$13-T$12)*T$18
+MIN(MAX(0,$C497-T$13),T$14-T$13)*T$19
+MIN(MAX(0,$C497-T$14),T$15-T$14)*T$20
+MAX(0,$C497-T$15)*T$21
+T$24*MAX(0,$C497-T$23)
+T$26</f>
        <v>4835.75</v>
      </c>
      <c r="U497" s="270">
        <f t="shared" si="171"/>
        <v>4835.75</v>
      </c>
      <c r="V497" s="270">
        <f t="shared" si="171"/>
        <v>4835.75</v>
      </c>
      <c r="W497" s="270">
        <f t="shared" si="171"/>
        <v>4835.75</v>
      </c>
      <c r="X497" s="270">
        <f t="shared" si="171"/>
        <v>4835.75</v>
      </c>
      <c r="Y497" s="270">
        <f t="shared" si="171"/>
        <v>4835.75</v>
      </c>
      <c r="Z497" s="270">
        <f t="shared" si="171"/>
        <v>4835.75</v>
      </c>
      <c r="AA497" s="270">
        <f t="shared" si="171"/>
        <v>4835.75</v>
      </c>
      <c r="AB497" s="270">
        <f t="shared" si="171"/>
        <v>4835.75</v>
      </c>
      <c r="AC497" s="270">
        <f t="shared" si="171"/>
        <v>4835.75</v>
      </c>
      <c r="AD497" s="270">
        <f t="shared" si="169"/>
        <v>4835.75</v>
      </c>
      <c r="AE497" s="270">
        <f t="shared" si="167"/>
        <v>4835.75</v>
      </c>
      <c r="AF497" s="270">
        <f t="shared" si="168"/>
        <v>4835.75</v>
      </c>
      <c r="AG497" s="270">
        <f t="shared" si="168"/>
        <v>4835.75</v>
      </c>
      <c r="AH497" s="270">
        <f t="shared" si="168"/>
        <v>4835.75</v>
      </c>
      <c r="AI497" s="270">
        <f t="shared" si="168"/>
        <v>4835.75</v>
      </c>
      <c r="AJ497" s="270">
        <f t="shared" si="168"/>
        <v>4835.75</v>
      </c>
      <c r="AK497" s="270">
        <f t="shared" si="168"/>
        <v>4835.75</v>
      </c>
      <c r="AL497" s="270">
        <f t="shared" si="168"/>
        <v>4835.75</v>
      </c>
      <c r="AM497" s="270">
        <f t="shared" si="168"/>
        <v>4835.75</v>
      </c>
    </row>
    <row r="498" spans="2:39" ht="15.75" thickBot="1" x14ac:dyDescent="0.35">
      <c r="B498" s="56" t="str">
        <f>input_names!$C$3</f>
        <v>diesel</v>
      </c>
      <c r="C498" s="61">
        <v>96</v>
      </c>
      <c r="D498" s="270">
        <f t="shared" ref="D498:AD513" si="173">+MIN(MAX(0,$C498-D$11),D$12-D$11)*D$17
+MIN(MAX(0,$C498-D$12),D$13-D$12)*D$18
+MIN(MAX(0,$C498-D$13),D$14-D$13)*D$19
+MIN(MAX(0,$C498-D$14),D$15-D$14)*D$20
+MAX(0,$C498-D$15)*D$21
+D$24*MAX(0,$C498-D$23)
+D$26</f>
        <v>3869</v>
      </c>
      <c r="E498" s="270">
        <f t="shared" si="173"/>
        <v>4328.47</v>
      </c>
      <c r="F498" s="270">
        <f t="shared" si="173"/>
        <v>4492.3899999999994</v>
      </c>
      <c r="G498" s="270">
        <f t="shared" si="173"/>
        <v>4834.54</v>
      </c>
      <c r="H498" s="270">
        <f t="shared" si="173"/>
        <v>5143.05</v>
      </c>
      <c r="I498" s="270">
        <f t="shared" si="173"/>
        <v>5795.45</v>
      </c>
      <c r="J498" s="270">
        <f t="shared" si="173"/>
        <v>2646.21</v>
      </c>
      <c r="K498" s="270">
        <f t="shared" si="173"/>
        <v>3024.0699999999997</v>
      </c>
      <c r="L498" s="270">
        <f t="shared" si="173"/>
        <v>3684.9</v>
      </c>
      <c r="M498" s="270">
        <f t="shared" si="173"/>
        <v>4467.75</v>
      </c>
      <c r="N498" s="270">
        <f t="shared" si="173"/>
        <v>5024.62</v>
      </c>
      <c r="O498" s="270">
        <f t="shared" si="173"/>
        <v>5024.62</v>
      </c>
      <c r="P498" s="270">
        <f t="shared" si="173"/>
        <v>5024.62</v>
      </c>
      <c r="Q498" s="270">
        <f t="shared" si="173"/>
        <v>5024.62</v>
      </c>
      <c r="R498" s="270">
        <f t="shared" si="173"/>
        <v>5024.62</v>
      </c>
      <c r="S498" s="270">
        <f t="shared" si="173"/>
        <v>5024.62</v>
      </c>
      <c r="T498" s="270">
        <f t="shared" si="172"/>
        <v>5024.62</v>
      </c>
      <c r="U498" s="270">
        <f t="shared" si="171"/>
        <v>5024.62</v>
      </c>
      <c r="V498" s="270">
        <f t="shared" si="171"/>
        <v>5024.62</v>
      </c>
      <c r="W498" s="270">
        <f t="shared" si="171"/>
        <v>5024.62</v>
      </c>
      <c r="X498" s="270">
        <f t="shared" si="171"/>
        <v>5024.62</v>
      </c>
      <c r="Y498" s="270">
        <f t="shared" si="171"/>
        <v>5024.62</v>
      </c>
      <c r="Z498" s="270">
        <f t="shared" si="171"/>
        <v>5024.62</v>
      </c>
      <c r="AA498" s="270">
        <f t="shared" si="171"/>
        <v>5024.62</v>
      </c>
      <c r="AB498" s="270">
        <f t="shared" si="171"/>
        <v>5024.62</v>
      </c>
      <c r="AC498" s="270">
        <f t="shared" si="171"/>
        <v>5024.62</v>
      </c>
      <c r="AD498" s="270">
        <f t="shared" si="169"/>
        <v>5024.62</v>
      </c>
      <c r="AE498" s="270">
        <f t="shared" si="167"/>
        <v>5024.62</v>
      </c>
      <c r="AF498" s="270">
        <f t="shared" si="168"/>
        <v>5024.62</v>
      </c>
      <c r="AG498" s="270">
        <f t="shared" si="168"/>
        <v>5024.62</v>
      </c>
      <c r="AH498" s="270">
        <f t="shared" si="168"/>
        <v>5024.62</v>
      </c>
      <c r="AI498" s="270">
        <f t="shared" si="168"/>
        <v>5024.62</v>
      </c>
      <c r="AJ498" s="270">
        <f t="shared" si="168"/>
        <v>5024.62</v>
      </c>
      <c r="AK498" s="270">
        <f t="shared" si="168"/>
        <v>5024.62</v>
      </c>
      <c r="AL498" s="270">
        <f t="shared" si="168"/>
        <v>5024.62</v>
      </c>
      <c r="AM498" s="270">
        <f t="shared" si="168"/>
        <v>5024.62</v>
      </c>
    </row>
    <row r="499" spans="2:39" ht="15.75" thickBot="1" x14ac:dyDescent="0.35">
      <c r="B499" s="56" t="str">
        <f>input_names!$C$3</f>
        <v>diesel</v>
      </c>
      <c r="C499" s="61">
        <v>97</v>
      </c>
      <c r="D499" s="270">
        <f t="shared" si="173"/>
        <v>4024</v>
      </c>
      <c r="E499" s="270">
        <f t="shared" si="173"/>
        <v>4483.8999999999996</v>
      </c>
      <c r="F499" s="270">
        <f t="shared" si="173"/>
        <v>4644.08</v>
      </c>
      <c r="G499" s="270">
        <f t="shared" si="173"/>
        <v>4984.92</v>
      </c>
      <c r="H499" s="270">
        <f t="shared" si="173"/>
        <v>5361.4800000000005</v>
      </c>
      <c r="I499" s="270">
        <f t="shared" si="173"/>
        <v>6012.2999999999993</v>
      </c>
      <c r="J499" s="270">
        <f t="shared" si="173"/>
        <v>2789.8</v>
      </c>
      <c r="K499" s="270">
        <f t="shared" si="173"/>
        <v>3172.74</v>
      </c>
      <c r="L499" s="270">
        <f t="shared" si="173"/>
        <v>3847.2</v>
      </c>
      <c r="M499" s="270">
        <f t="shared" si="173"/>
        <v>4649.82</v>
      </c>
      <c r="N499" s="270">
        <f t="shared" si="173"/>
        <v>5213.49</v>
      </c>
      <c r="O499" s="270">
        <f t="shared" si="173"/>
        <v>5213.49</v>
      </c>
      <c r="P499" s="270">
        <f t="shared" si="173"/>
        <v>5213.49</v>
      </c>
      <c r="Q499" s="270">
        <f t="shared" si="173"/>
        <v>5213.49</v>
      </c>
      <c r="R499" s="270">
        <f t="shared" si="173"/>
        <v>5213.49</v>
      </c>
      <c r="S499" s="270">
        <f t="shared" si="173"/>
        <v>5213.49</v>
      </c>
      <c r="T499" s="270">
        <f t="shared" si="172"/>
        <v>5213.49</v>
      </c>
      <c r="U499" s="270">
        <f t="shared" si="171"/>
        <v>5213.49</v>
      </c>
      <c r="V499" s="270">
        <f t="shared" si="171"/>
        <v>5213.49</v>
      </c>
      <c r="W499" s="270">
        <f t="shared" si="171"/>
        <v>5213.49</v>
      </c>
      <c r="X499" s="270">
        <f t="shared" si="171"/>
        <v>5213.49</v>
      </c>
      <c r="Y499" s="270">
        <f t="shared" si="171"/>
        <v>5213.49</v>
      </c>
      <c r="Z499" s="270">
        <f t="shared" si="171"/>
        <v>5213.49</v>
      </c>
      <c r="AA499" s="270">
        <f t="shared" si="171"/>
        <v>5213.49</v>
      </c>
      <c r="AB499" s="270">
        <f t="shared" si="171"/>
        <v>5213.49</v>
      </c>
      <c r="AC499" s="270">
        <f t="shared" si="171"/>
        <v>5213.49</v>
      </c>
      <c r="AD499" s="270">
        <f t="shared" si="169"/>
        <v>5213.49</v>
      </c>
      <c r="AE499" s="270">
        <f t="shared" si="167"/>
        <v>5213.49</v>
      </c>
      <c r="AF499" s="270">
        <f t="shared" si="168"/>
        <v>5213.49</v>
      </c>
      <c r="AG499" s="270">
        <f t="shared" si="168"/>
        <v>5213.49</v>
      </c>
      <c r="AH499" s="270">
        <f t="shared" si="168"/>
        <v>5213.49</v>
      </c>
      <c r="AI499" s="270">
        <f t="shared" si="168"/>
        <v>5213.49</v>
      </c>
      <c r="AJ499" s="270">
        <f t="shared" si="168"/>
        <v>5213.49</v>
      </c>
      <c r="AK499" s="270">
        <f t="shared" si="168"/>
        <v>5213.49</v>
      </c>
      <c r="AL499" s="270">
        <f t="shared" si="168"/>
        <v>5213.49</v>
      </c>
      <c r="AM499" s="270">
        <f t="shared" si="168"/>
        <v>5213.49</v>
      </c>
    </row>
    <row r="500" spans="2:39" ht="15.75" thickBot="1" x14ac:dyDescent="0.35">
      <c r="B500" s="56" t="str">
        <f>input_names!$C$3</f>
        <v>diesel</v>
      </c>
      <c r="C500" s="61">
        <v>98</v>
      </c>
      <c r="D500" s="270">
        <f t="shared" si="173"/>
        <v>4179</v>
      </c>
      <c r="E500" s="270">
        <f t="shared" si="173"/>
        <v>4639.33</v>
      </c>
      <c r="F500" s="270">
        <f t="shared" si="173"/>
        <v>4795.7700000000004</v>
      </c>
      <c r="G500" s="270">
        <f t="shared" si="173"/>
        <v>5135.2999999999993</v>
      </c>
      <c r="H500" s="270">
        <f t="shared" si="173"/>
        <v>5579.91</v>
      </c>
      <c r="I500" s="270">
        <f t="shared" si="173"/>
        <v>6229.15</v>
      </c>
      <c r="J500" s="270">
        <f t="shared" si="173"/>
        <v>2933.3900000000003</v>
      </c>
      <c r="K500" s="270">
        <f t="shared" si="173"/>
        <v>3321.41</v>
      </c>
      <c r="L500" s="270">
        <f t="shared" si="173"/>
        <v>4009.5</v>
      </c>
      <c r="M500" s="270">
        <f t="shared" si="173"/>
        <v>4831.8899999999994</v>
      </c>
      <c r="N500" s="270">
        <f t="shared" si="173"/>
        <v>5402.3600000000006</v>
      </c>
      <c r="O500" s="270">
        <f t="shared" si="173"/>
        <v>5402.3600000000006</v>
      </c>
      <c r="P500" s="270">
        <f t="shared" si="173"/>
        <v>5402.3600000000006</v>
      </c>
      <c r="Q500" s="270">
        <f t="shared" si="173"/>
        <v>5402.3600000000006</v>
      </c>
      <c r="R500" s="270">
        <f t="shared" si="173"/>
        <v>5402.3600000000006</v>
      </c>
      <c r="S500" s="270">
        <f t="shared" ref="S500:S513" si="174">+MIN(MAX(0,$C500-S$11),S$12-S$11)*S$17
+MIN(MAX(0,$C500-S$12),S$13-S$12)*S$18
+MIN(MAX(0,$C500-S$13),S$14-S$13)*S$19
+MIN(MAX(0,$C500-S$14),S$15-S$14)*S$20
+MAX(0,$C500-S$15)*S$21
+S$24*MAX(0,$C500-S$23)
+S$26</f>
        <v>5402.3600000000006</v>
      </c>
      <c r="T500" s="270">
        <f t="shared" si="172"/>
        <v>5402.3600000000006</v>
      </c>
      <c r="U500" s="270">
        <f t="shared" si="171"/>
        <v>5402.3600000000006</v>
      </c>
      <c r="V500" s="270">
        <f t="shared" si="171"/>
        <v>5402.3600000000006</v>
      </c>
      <c r="W500" s="270">
        <f t="shared" si="171"/>
        <v>5402.3600000000006</v>
      </c>
      <c r="X500" s="270">
        <f t="shared" si="171"/>
        <v>5402.3600000000006</v>
      </c>
      <c r="Y500" s="270">
        <f t="shared" si="171"/>
        <v>5402.3600000000006</v>
      </c>
      <c r="Z500" s="270">
        <f t="shared" si="171"/>
        <v>5402.3600000000006</v>
      </c>
      <c r="AA500" s="270">
        <f t="shared" si="171"/>
        <v>5402.3600000000006</v>
      </c>
      <c r="AB500" s="270">
        <f t="shared" si="171"/>
        <v>5402.3600000000006</v>
      </c>
      <c r="AC500" s="270">
        <f t="shared" si="171"/>
        <v>5402.3600000000006</v>
      </c>
      <c r="AD500" s="270">
        <f t="shared" si="169"/>
        <v>5402.3600000000006</v>
      </c>
      <c r="AE500" s="270">
        <f t="shared" si="167"/>
        <v>5402.3600000000006</v>
      </c>
      <c r="AF500" s="270">
        <f t="shared" si="168"/>
        <v>5402.3600000000006</v>
      </c>
      <c r="AG500" s="270">
        <f t="shared" si="168"/>
        <v>5402.3600000000006</v>
      </c>
      <c r="AH500" s="270">
        <f t="shared" si="168"/>
        <v>5402.3600000000006</v>
      </c>
      <c r="AI500" s="270">
        <f t="shared" si="168"/>
        <v>5402.3600000000006</v>
      </c>
      <c r="AJ500" s="270">
        <f t="shared" si="168"/>
        <v>5402.3600000000006</v>
      </c>
      <c r="AK500" s="270">
        <f t="shared" si="168"/>
        <v>5402.3600000000006</v>
      </c>
      <c r="AL500" s="270">
        <f t="shared" si="168"/>
        <v>5402.3600000000006</v>
      </c>
      <c r="AM500" s="270">
        <f t="shared" si="168"/>
        <v>5402.3600000000006</v>
      </c>
    </row>
    <row r="501" spans="2:39" ht="15.75" thickBot="1" x14ac:dyDescent="0.35">
      <c r="B501" s="56" t="str">
        <f>input_names!$C$3</f>
        <v>diesel</v>
      </c>
      <c r="C501" s="61">
        <v>99</v>
      </c>
      <c r="D501" s="270">
        <f t="shared" si="173"/>
        <v>4334</v>
      </c>
      <c r="E501" s="270">
        <f t="shared" si="173"/>
        <v>4794.76</v>
      </c>
      <c r="F501" s="270">
        <f t="shared" si="173"/>
        <v>4947.46</v>
      </c>
      <c r="G501" s="270">
        <f t="shared" si="173"/>
        <v>5361.68</v>
      </c>
      <c r="H501" s="270">
        <f t="shared" si="173"/>
        <v>5798.34</v>
      </c>
      <c r="I501" s="270">
        <f t="shared" si="173"/>
        <v>6446</v>
      </c>
      <c r="J501" s="270">
        <f t="shared" si="173"/>
        <v>3076.98</v>
      </c>
      <c r="K501" s="270">
        <f t="shared" si="173"/>
        <v>3470.08</v>
      </c>
      <c r="L501" s="270">
        <f t="shared" si="173"/>
        <v>4171.7999999999993</v>
      </c>
      <c r="M501" s="270">
        <f t="shared" si="173"/>
        <v>5013.96</v>
      </c>
      <c r="N501" s="270">
        <f t="shared" si="173"/>
        <v>5591.23</v>
      </c>
      <c r="O501" s="270">
        <f t="shared" si="173"/>
        <v>5591.23</v>
      </c>
      <c r="P501" s="270">
        <f t="shared" si="173"/>
        <v>5591.23</v>
      </c>
      <c r="Q501" s="270">
        <f t="shared" si="173"/>
        <v>5591.23</v>
      </c>
      <c r="R501" s="270">
        <f t="shared" si="173"/>
        <v>5591.23</v>
      </c>
      <c r="S501" s="270">
        <f t="shared" si="174"/>
        <v>5591.23</v>
      </c>
      <c r="T501" s="270">
        <f t="shared" si="172"/>
        <v>5591.23</v>
      </c>
      <c r="U501" s="270">
        <f t="shared" si="171"/>
        <v>5591.23</v>
      </c>
      <c r="V501" s="270">
        <f t="shared" si="171"/>
        <v>5591.23</v>
      </c>
      <c r="W501" s="270">
        <f t="shared" si="171"/>
        <v>5591.23</v>
      </c>
      <c r="X501" s="270">
        <f t="shared" si="171"/>
        <v>5591.23</v>
      </c>
      <c r="Y501" s="270">
        <f t="shared" si="171"/>
        <v>5591.23</v>
      </c>
      <c r="Z501" s="270">
        <f t="shared" si="171"/>
        <v>5591.23</v>
      </c>
      <c r="AA501" s="270">
        <f t="shared" si="171"/>
        <v>5591.23</v>
      </c>
      <c r="AB501" s="270">
        <f t="shared" si="171"/>
        <v>5591.23</v>
      </c>
      <c r="AC501" s="270">
        <f t="shared" si="171"/>
        <v>5591.23</v>
      </c>
      <c r="AD501" s="270">
        <f t="shared" si="169"/>
        <v>5591.23</v>
      </c>
      <c r="AE501" s="270">
        <f t="shared" si="167"/>
        <v>5591.23</v>
      </c>
      <c r="AF501" s="270">
        <f t="shared" si="168"/>
        <v>5591.23</v>
      </c>
      <c r="AG501" s="270">
        <f t="shared" si="168"/>
        <v>5591.23</v>
      </c>
      <c r="AH501" s="270">
        <f t="shared" si="168"/>
        <v>5591.23</v>
      </c>
      <c r="AI501" s="270">
        <f t="shared" si="168"/>
        <v>5591.23</v>
      </c>
      <c r="AJ501" s="270">
        <f t="shared" si="168"/>
        <v>5591.23</v>
      </c>
      <c r="AK501" s="270">
        <f t="shared" si="168"/>
        <v>5591.23</v>
      </c>
      <c r="AL501" s="270">
        <f t="shared" si="168"/>
        <v>5591.23</v>
      </c>
      <c r="AM501" s="270">
        <f t="shared" si="168"/>
        <v>5591.23</v>
      </c>
    </row>
    <row r="502" spans="2:39" ht="15.75" thickBot="1" x14ac:dyDescent="0.35">
      <c r="B502" s="56" t="str">
        <f>input_names!$C$3</f>
        <v>diesel</v>
      </c>
      <c r="C502" s="61">
        <v>100</v>
      </c>
      <c r="D502" s="270">
        <f t="shared" si="173"/>
        <v>4489</v>
      </c>
      <c r="E502" s="270">
        <f t="shared" si="173"/>
        <v>4950.1900000000005</v>
      </c>
      <c r="F502" s="270">
        <f t="shared" si="173"/>
        <v>5099.1499999999996</v>
      </c>
      <c r="G502" s="270">
        <f t="shared" si="173"/>
        <v>5588.0599999999995</v>
      </c>
      <c r="H502" s="270">
        <f t="shared" si="173"/>
        <v>6016.77</v>
      </c>
      <c r="I502" s="270">
        <f t="shared" si="173"/>
        <v>6662.85</v>
      </c>
      <c r="J502" s="270">
        <f t="shared" si="173"/>
        <v>3220.57</v>
      </c>
      <c r="K502" s="270">
        <f t="shared" si="173"/>
        <v>3618.75</v>
      </c>
      <c r="L502" s="270">
        <f t="shared" si="173"/>
        <v>4334.1000000000004</v>
      </c>
      <c r="M502" s="270">
        <f t="shared" si="173"/>
        <v>5196.03</v>
      </c>
      <c r="N502" s="270">
        <f t="shared" si="173"/>
        <v>5780.1</v>
      </c>
      <c r="O502" s="270">
        <f t="shared" si="173"/>
        <v>5780.1</v>
      </c>
      <c r="P502" s="270">
        <f t="shared" si="173"/>
        <v>5780.1</v>
      </c>
      <c r="Q502" s="270">
        <f t="shared" si="173"/>
        <v>5780.1</v>
      </c>
      <c r="R502" s="270">
        <f t="shared" si="173"/>
        <v>5780.1</v>
      </c>
      <c r="S502" s="270">
        <f t="shared" si="174"/>
        <v>5780.1</v>
      </c>
      <c r="T502" s="270">
        <f t="shared" si="172"/>
        <v>5780.1</v>
      </c>
      <c r="U502" s="270">
        <f t="shared" si="171"/>
        <v>5780.1</v>
      </c>
      <c r="V502" s="270">
        <f t="shared" si="171"/>
        <v>5780.1</v>
      </c>
      <c r="W502" s="270">
        <f t="shared" si="171"/>
        <v>5780.1</v>
      </c>
      <c r="X502" s="270">
        <f t="shared" si="171"/>
        <v>5780.1</v>
      </c>
      <c r="Y502" s="270">
        <f t="shared" si="171"/>
        <v>5780.1</v>
      </c>
      <c r="Z502" s="270">
        <f t="shared" si="171"/>
        <v>5780.1</v>
      </c>
      <c r="AA502" s="270">
        <f t="shared" si="171"/>
        <v>5780.1</v>
      </c>
      <c r="AB502" s="270">
        <f t="shared" si="171"/>
        <v>5780.1</v>
      </c>
      <c r="AC502" s="270">
        <f t="shared" si="171"/>
        <v>5780.1</v>
      </c>
      <c r="AD502" s="270">
        <f t="shared" si="169"/>
        <v>5780.1</v>
      </c>
      <c r="AE502" s="270">
        <f t="shared" si="167"/>
        <v>5780.1</v>
      </c>
      <c r="AF502" s="270">
        <f t="shared" ref="AF502:AM512" si="175">+MIN(MAX(0,$C502-AF$11),AF$12-AF$11)*AF$17
+MIN(MAX(0,$C502-AF$12),AF$13-AF$12)*AF$18
+MIN(MAX(0,$C502-AF$13),AF$14-AF$13)*AF$19
+MIN(MAX(0,$C502-AF$14),AF$15-AF$14)*AF$20
+MAX(0,$C502-AF$15)*AF$21
+AF$24*MAX(0,$C502-AF$23)
+AF$26</f>
        <v>5780.1</v>
      </c>
      <c r="AG502" s="270">
        <f t="shared" si="175"/>
        <v>5780.1</v>
      </c>
      <c r="AH502" s="270">
        <f t="shared" si="175"/>
        <v>5780.1</v>
      </c>
      <c r="AI502" s="270">
        <f t="shared" si="175"/>
        <v>5780.1</v>
      </c>
      <c r="AJ502" s="270">
        <f t="shared" si="175"/>
        <v>5780.1</v>
      </c>
      <c r="AK502" s="270">
        <f t="shared" si="175"/>
        <v>5780.1</v>
      </c>
      <c r="AL502" s="270">
        <f t="shared" si="175"/>
        <v>5780.1</v>
      </c>
      <c r="AM502" s="270">
        <f t="shared" si="175"/>
        <v>5780.1</v>
      </c>
    </row>
    <row r="503" spans="2:39" ht="15.75" thickBot="1" x14ac:dyDescent="0.35">
      <c r="B503" s="56" t="str">
        <f>input_names!$C$3</f>
        <v>diesel</v>
      </c>
      <c r="C503" s="61">
        <v>101</v>
      </c>
      <c r="D503" s="270">
        <f t="shared" si="173"/>
        <v>4644</v>
      </c>
      <c r="E503" s="270">
        <f t="shared" si="173"/>
        <v>5105.6200000000008</v>
      </c>
      <c r="F503" s="270">
        <f t="shared" si="173"/>
        <v>5250.84</v>
      </c>
      <c r="G503" s="270">
        <f t="shared" si="173"/>
        <v>5814.44</v>
      </c>
      <c r="H503" s="270">
        <f t="shared" si="173"/>
        <v>6235.2000000000007</v>
      </c>
      <c r="I503" s="270">
        <f t="shared" si="173"/>
        <v>6879.7</v>
      </c>
      <c r="J503" s="270">
        <f t="shared" si="173"/>
        <v>3364.16</v>
      </c>
      <c r="K503" s="270">
        <f t="shared" si="173"/>
        <v>3767.42</v>
      </c>
      <c r="L503" s="270">
        <f t="shared" si="173"/>
        <v>4496.3999999999996</v>
      </c>
      <c r="M503" s="270">
        <f t="shared" si="173"/>
        <v>5378.1</v>
      </c>
      <c r="N503" s="270">
        <f t="shared" si="173"/>
        <v>5968.97</v>
      </c>
      <c r="O503" s="270">
        <f t="shared" si="173"/>
        <v>5968.97</v>
      </c>
      <c r="P503" s="270">
        <f t="shared" si="173"/>
        <v>5968.97</v>
      </c>
      <c r="Q503" s="270">
        <f t="shared" si="173"/>
        <v>5968.97</v>
      </c>
      <c r="R503" s="270">
        <f t="shared" si="173"/>
        <v>5968.97</v>
      </c>
      <c r="S503" s="270">
        <f t="shared" si="174"/>
        <v>5968.97</v>
      </c>
      <c r="T503" s="270">
        <f t="shared" si="172"/>
        <v>5968.97</v>
      </c>
      <c r="U503" s="270">
        <f t="shared" si="171"/>
        <v>5968.97</v>
      </c>
      <c r="V503" s="270">
        <f t="shared" si="171"/>
        <v>5968.97</v>
      </c>
      <c r="W503" s="270">
        <f t="shared" si="171"/>
        <v>5968.97</v>
      </c>
      <c r="X503" s="270">
        <f t="shared" si="171"/>
        <v>5968.97</v>
      </c>
      <c r="Y503" s="270">
        <f t="shared" si="171"/>
        <v>5968.97</v>
      </c>
      <c r="Z503" s="270">
        <f t="shared" si="171"/>
        <v>5968.97</v>
      </c>
      <c r="AA503" s="270">
        <f t="shared" si="171"/>
        <v>5968.97</v>
      </c>
      <c r="AB503" s="270">
        <f t="shared" si="171"/>
        <v>5968.97</v>
      </c>
      <c r="AC503" s="270">
        <f t="shared" si="171"/>
        <v>5968.97</v>
      </c>
      <c r="AD503" s="270">
        <f t="shared" si="169"/>
        <v>5968.97</v>
      </c>
      <c r="AE503" s="270">
        <f t="shared" si="167"/>
        <v>5968.97</v>
      </c>
      <c r="AF503" s="270">
        <f t="shared" si="175"/>
        <v>5968.97</v>
      </c>
      <c r="AG503" s="270">
        <f t="shared" si="175"/>
        <v>5968.97</v>
      </c>
      <c r="AH503" s="270">
        <f t="shared" si="175"/>
        <v>5968.97</v>
      </c>
      <c r="AI503" s="270">
        <f t="shared" si="175"/>
        <v>5968.97</v>
      </c>
      <c r="AJ503" s="270">
        <f t="shared" si="175"/>
        <v>5968.97</v>
      </c>
      <c r="AK503" s="270">
        <f t="shared" si="175"/>
        <v>5968.97</v>
      </c>
      <c r="AL503" s="270">
        <f t="shared" si="175"/>
        <v>5968.97</v>
      </c>
      <c r="AM503" s="270">
        <f t="shared" si="175"/>
        <v>5968.97</v>
      </c>
    </row>
    <row r="504" spans="2:39" ht="15.75" thickBot="1" x14ac:dyDescent="0.35">
      <c r="B504" s="56" t="str">
        <f>input_names!$C$3</f>
        <v>diesel</v>
      </c>
      <c r="C504" s="61">
        <v>102</v>
      </c>
      <c r="D504" s="270">
        <f t="shared" si="173"/>
        <v>4799</v>
      </c>
      <c r="E504" s="270">
        <f t="shared" si="173"/>
        <v>5261.05</v>
      </c>
      <c r="F504" s="270">
        <f t="shared" si="173"/>
        <v>5402.53</v>
      </c>
      <c r="G504" s="270">
        <f t="shared" si="173"/>
        <v>6040.82</v>
      </c>
      <c r="H504" s="270">
        <f t="shared" si="173"/>
        <v>6453.63</v>
      </c>
      <c r="I504" s="270">
        <f t="shared" si="173"/>
        <v>7096.5499999999993</v>
      </c>
      <c r="J504" s="270">
        <f t="shared" si="173"/>
        <v>3507.75</v>
      </c>
      <c r="K504" s="270">
        <f t="shared" si="173"/>
        <v>3916.09</v>
      </c>
      <c r="L504" s="270">
        <f t="shared" si="173"/>
        <v>4658.7</v>
      </c>
      <c r="M504" s="270">
        <f t="shared" si="173"/>
        <v>5560.17</v>
      </c>
      <c r="N504" s="270">
        <f t="shared" si="173"/>
        <v>6251.84</v>
      </c>
      <c r="O504" s="270">
        <f t="shared" si="173"/>
        <v>6251.84</v>
      </c>
      <c r="P504" s="270">
        <f t="shared" si="173"/>
        <v>6251.84</v>
      </c>
      <c r="Q504" s="270">
        <f t="shared" si="173"/>
        <v>6251.84</v>
      </c>
      <c r="R504" s="270">
        <f t="shared" si="173"/>
        <v>6251.84</v>
      </c>
      <c r="S504" s="270">
        <f t="shared" si="174"/>
        <v>6251.84</v>
      </c>
      <c r="T504" s="270">
        <f t="shared" si="172"/>
        <v>6251.84</v>
      </c>
      <c r="U504" s="270">
        <f t="shared" si="171"/>
        <v>6251.84</v>
      </c>
      <c r="V504" s="270">
        <f t="shared" si="171"/>
        <v>6251.84</v>
      </c>
      <c r="W504" s="270">
        <f t="shared" si="171"/>
        <v>6251.84</v>
      </c>
      <c r="X504" s="270">
        <f t="shared" si="171"/>
        <v>6251.84</v>
      </c>
      <c r="Y504" s="270">
        <f t="shared" si="171"/>
        <v>6251.84</v>
      </c>
      <c r="Z504" s="270">
        <f t="shared" si="171"/>
        <v>6251.84</v>
      </c>
      <c r="AA504" s="270">
        <f t="shared" si="171"/>
        <v>6251.84</v>
      </c>
      <c r="AB504" s="270">
        <f t="shared" si="171"/>
        <v>6251.84</v>
      </c>
      <c r="AC504" s="270">
        <f t="shared" si="171"/>
        <v>6251.84</v>
      </c>
      <c r="AD504" s="270">
        <f t="shared" si="169"/>
        <v>6251.84</v>
      </c>
      <c r="AE504" s="270">
        <f t="shared" si="167"/>
        <v>6251.84</v>
      </c>
      <c r="AF504" s="270">
        <f t="shared" si="175"/>
        <v>6251.84</v>
      </c>
      <c r="AG504" s="270">
        <f t="shared" si="175"/>
        <v>6251.84</v>
      </c>
      <c r="AH504" s="270">
        <f t="shared" si="175"/>
        <v>6251.84</v>
      </c>
      <c r="AI504" s="270">
        <f t="shared" si="175"/>
        <v>6251.84</v>
      </c>
      <c r="AJ504" s="270">
        <f t="shared" si="175"/>
        <v>6251.84</v>
      </c>
      <c r="AK504" s="270">
        <f t="shared" si="175"/>
        <v>6251.84</v>
      </c>
      <c r="AL504" s="270">
        <f t="shared" si="175"/>
        <v>6251.84</v>
      </c>
      <c r="AM504" s="270">
        <f t="shared" si="175"/>
        <v>6251.84</v>
      </c>
    </row>
    <row r="505" spans="2:39" ht="15.75" thickBot="1" x14ac:dyDescent="0.35">
      <c r="B505" s="56" t="str">
        <f>input_names!$C$3</f>
        <v>diesel</v>
      </c>
      <c r="C505" s="61">
        <v>103</v>
      </c>
      <c r="D505" s="270">
        <f t="shared" si="173"/>
        <v>4954</v>
      </c>
      <c r="E505" s="270">
        <f t="shared" si="173"/>
        <v>5416.4800000000005</v>
      </c>
      <c r="F505" s="270">
        <f t="shared" si="173"/>
        <v>5633.2199999999993</v>
      </c>
      <c r="G505" s="270">
        <f t="shared" si="173"/>
        <v>6267.2</v>
      </c>
      <c r="H505" s="270">
        <f t="shared" si="173"/>
        <v>6672.06</v>
      </c>
      <c r="I505" s="270">
        <f t="shared" si="173"/>
        <v>7313.4</v>
      </c>
      <c r="J505" s="270">
        <f t="shared" si="173"/>
        <v>3651.34</v>
      </c>
      <c r="K505" s="270">
        <f t="shared" si="173"/>
        <v>4064.76</v>
      </c>
      <c r="L505" s="270">
        <f t="shared" si="173"/>
        <v>4821</v>
      </c>
      <c r="M505" s="270">
        <f t="shared" si="173"/>
        <v>5742.24</v>
      </c>
      <c r="N505" s="270">
        <f t="shared" si="173"/>
        <v>6534.71</v>
      </c>
      <c r="O505" s="270">
        <f t="shared" si="173"/>
        <v>6534.71</v>
      </c>
      <c r="P505" s="270">
        <f t="shared" si="173"/>
        <v>6534.71</v>
      </c>
      <c r="Q505" s="270">
        <f t="shared" si="173"/>
        <v>6534.71</v>
      </c>
      <c r="R505" s="270">
        <f t="shared" si="173"/>
        <v>6534.71</v>
      </c>
      <c r="S505" s="270">
        <f t="shared" si="174"/>
        <v>6534.71</v>
      </c>
      <c r="T505" s="270">
        <f t="shared" si="172"/>
        <v>6534.71</v>
      </c>
      <c r="U505" s="270">
        <f t="shared" si="171"/>
        <v>6534.71</v>
      </c>
      <c r="V505" s="270">
        <f t="shared" si="171"/>
        <v>6534.71</v>
      </c>
      <c r="W505" s="270">
        <f t="shared" si="171"/>
        <v>6534.71</v>
      </c>
      <c r="X505" s="270">
        <f t="shared" si="171"/>
        <v>6534.71</v>
      </c>
      <c r="Y505" s="270">
        <f t="shared" si="171"/>
        <v>6534.71</v>
      </c>
      <c r="Z505" s="270">
        <f t="shared" si="171"/>
        <v>6534.71</v>
      </c>
      <c r="AA505" s="270">
        <f t="shared" si="171"/>
        <v>6534.71</v>
      </c>
      <c r="AB505" s="270">
        <f t="shared" si="171"/>
        <v>6534.71</v>
      </c>
      <c r="AC505" s="270">
        <f t="shared" si="171"/>
        <v>6534.71</v>
      </c>
      <c r="AD505" s="270">
        <f t="shared" si="169"/>
        <v>6534.71</v>
      </c>
      <c r="AE505" s="270">
        <f t="shared" si="167"/>
        <v>6534.71</v>
      </c>
      <c r="AF505" s="270">
        <f t="shared" si="175"/>
        <v>6534.71</v>
      </c>
      <c r="AG505" s="270">
        <f t="shared" si="175"/>
        <v>6534.71</v>
      </c>
      <c r="AH505" s="270">
        <f t="shared" si="175"/>
        <v>6534.71</v>
      </c>
      <c r="AI505" s="270">
        <f t="shared" si="175"/>
        <v>6534.71</v>
      </c>
      <c r="AJ505" s="270">
        <f t="shared" si="175"/>
        <v>6534.71</v>
      </c>
      <c r="AK505" s="270">
        <f t="shared" si="175"/>
        <v>6534.71</v>
      </c>
      <c r="AL505" s="270">
        <f t="shared" si="175"/>
        <v>6534.71</v>
      </c>
      <c r="AM505" s="270">
        <f t="shared" si="175"/>
        <v>6534.71</v>
      </c>
    </row>
    <row r="506" spans="2:39" ht="15.75" thickBot="1" x14ac:dyDescent="0.35">
      <c r="B506" s="56" t="str">
        <f>input_names!$C$3</f>
        <v>diesel</v>
      </c>
      <c r="C506" s="61">
        <v>104</v>
      </c>
      <c r="D506" s="270">
        <f t="shared" si="173"/>
        <v>5109</v>
      </c>
      <c r="E506" s="270">
        <f t="shared" si="173"/>
        <v>5571.91</v>
      </c>
      <c r="F506" s="270">
        <f t="shared" si="173"/>
        <v>5863.91</v>
      </c>
      <c r="G506" s="270">
        <f t="shared" si="173"/>
        <v>6493.58</v>
      </c>
      <c r="H506" s="270">
        <f t="shared" si="173"/>
        <v>6890.49</v>
      </c>
      <c r="I506" s="270">
        <f t="shared" si="173"/>
        <v>7530.25</v>
      </c>
      <c r="J506" s="270">
        <f t="shared" si="173"/>
        <v>3794.9300000000003</v>
      </c>
      <c r="K506" s="270">
        <f t="shared" si="173"/>
        <v>4213.43</v>
      </c>
      <c r="L506" s="270">
        <f t="shared" si="173"/>
        <v>4983.2999999999993</v>
      </c>
      <c r="M506" s="270">
        <f t="shared" si="173"/>
        <v>5924.3099999999995</v>
      </c>
      <c r="N506" s="270">
        <f t="shared" si="173"/>
        <v>6817.58</v>
      </c>
      <c r="O506" s="270">
        <f t="shared" si="173"/>
        <v>6817.58</v>
      </c>
      <c r="P506" s="270">
        <f t="shared" si="173"/>
        <v>6817.58</v>
      </c>
      <c r="Q506" s="270">
        <f t="shared" si="173"/>
        <v>6817.58</v>
      </c>
      <c r="R506" s="270">
        <f t="shared" si="173"/>
        <v>6817.58</v>
      </c>
      <c r="S506" s="270">
        <f t="shared" si="174"/>
        <v>6817.58</v>
      </c>
      <c r="T506" s="270">
        <f t="shared" si="172"/>
        <v>6817.58</v>
      </c>
      <c r="U506" s="270">
        <f t="shared" si="171"/>
        <v>6817.58</v>
      </c>
      <c r="V506" s="270">
        <f t="shared" si="171"/>
        <v>6817.58</v>
      </c>
      <c r="W506" s="270">
        <f t="shared" si="171"/>
        <v>6817.58</v>
      </c>
      <c r="X506" s="270">
        <f t="shared" si="171"/>
        <v>6817.58</v>
      </c>
      <c r="Y506" s="270">
        <f t="shared" si="171"/>
        <v>6817.58</v>
      </c>
      <c r="Z506" s="270">
        <f t="shared" si="171"/>
        <v>6817.58</v>
      </c>
      <c r="AA506" s="270">
        <f t="shared" si="171"/>
        <v>6817.58</v>
      </c>
      <c r="AB506" s="270">
        <f t="shared" si="171"/>
        <v>6817.58</v>
      </c>
      <c r="AC506" s="270">
        <f t="shared" si="171"/>
        <v>6817.58</v>
      </c>
      <c r="AD506" s="270">
        <f t="shared" si="169"/>
        <v>6817.58</v>
      </c>
      <c r="AE506" s="270">
        <f t="shared" si="167"/>
        <v>6817.58</v>
      </c>
      <c r="AF506" s="270">
        <f t="shared" si="175"/>
        <v>6817.58</v>
      </c>
      <c r="AG506" s="270">
        <f t="shared" si="175"/>
        <v>6817.58</v>
      </c>
      <c r="AH506" s="270">
        <f t="shared" si="175"/>
        <v>6817.58</v>
      </c>
      <c r="AI506" s="270">
        <f t="shared" si="175"/>
        <v>6817.58</v>
      </c>
      <c r="AJ506" s="270">
        <f t="shared" si="175"/>
        <v>6817.58</v>
      </c>
      <c r="AK506" s="270">
        <f t="shared" si="175"/>
        <v>6817.58</v>
      </c>
      <c r="AL506" s="270">
        <f t="shared" si="175"/>
        <v>6817.58</v>
      </c>
      <c r="AM506" s="270">
        <f t="shared" si="175"/>
        <v>6817.58</v>
      </c>
    </row>
    <row r="507" spans="2:39" ht="15.75" thickBot="1" x14ac:dyDescent="0.35">
      <c r="B507" s="56" t="str">
        <f>input_names!$C$3</f>
        <v>diesel</v>
      </c>
      <c r="C507" s="61">
        <v>105</v>
      </c>
      <c r="D507" s="270">
        <f t="shared" si="173"/>
        <v>5264</v>
      </c>
      <c r="E507" s="270">
        <f t="shared" si="173"/>
        <v>5727.34</v>
      </c>
      <c r="F507" s="270">
        <f t="shared" si="173"/>
        <v>6094.6</v>
      </c>
      <c r="G507" s="270">
        <f t="shared" si="173"/>
        <v>6719.96</v>
      </c>
      <c r="H507" s="270">
        <f t="shared" si="173"/>
        <v>7108.92</v>
      </c>
      <c r="I507" s="270">
        <f t="shared" si="173"/>
        <v>7747.0999999999995</v>
      </c>
      <c r="J507" s="270">
        <f t="shared" si="173"/>
        <v>3938.52</v>
      </c>
      <c r="K507" s="270">
        <f t="shared" si="173"/>
        <v>4362.1000000000004</v>
      </c>
      <c r="L507" s="270">
        <f t="shared" si="173"/>
        <v>5145.6000000000004</v>
      </c>
      <c r="M507" s="270">
        <f t="shared" si="173"/>
        <v>6197.3799999999992</v>
      </c>
      <c r="N507" s="270">
        <f t="shared" si="173"/>
        <v>7100.4500000000007</v>
      </c>
      <c r="O507" s="270">
        <f t="shared" si="173"/>
        <v>7100.4500000000007</v>
      </c>
      <c r="P507" s="270">
        <f t="shared" si="173"/>
        <v>7100.4500000000007</v>
      </c>
      <c r="Q507" s="270">
        <f t="shared" si="173"/>
        <v>7100.4500000000007</v>
      </c>
      <c r="R507" s="270">
        <f t="shared" si="173"/>
        <v>7100.4500000000007</v>
      </c>
      <c r="S507" s="270">
        <f t="shared" si="174"/>
        <v>7100.4500000000007</v>
      </c>
      <c r="T507" s="270">
        <f t="shared" si="172"/>
        <v>7100.4500000000007</v>
      </c>
      <c r="U507" s="270">
        <f t="shared" si="171"/>
        <v>7100.4500000000007</v>
      </c>
      <c r="V507" s="270">
        <f t="shared" si="171"/>
        <v>7100.4500000000007</v>
      </c>
      <c r="W507" s="270">
        <f t="shared" si="171"/>
        <v>7100.4500000000007</v>
      </c>
      <c r="X507" s="270">
        <f t="shared" si="171"/>
        <v>7100.4500000000007</v>
      </c>
      <c r="Y507" s="270">
        <f t="shared" si="171"/>
        <v>7100.4500000000007</v>
      </c>
      <c r="Z507" s="270">
        <f t="shared" si="171"/>
        <v>7100.4500000000007</v>
      </c>
      <c r="AA507" s="270">
        <f t="shared" si="171"/>
        <v>7100.4500000000007</v>
      </c>
      <c r="AB507" s="270">
        <f t="shared" si="171"/>
        <v>7100.4500000000007</v>
      </c>
      <c r="AC507" s="270">
        <f t="shared" si="171"/>
        <v>7100.4500000000007</v>
      </c>
      <c r="AD507" s="270">
        <f t="shared" si="169"/>
        <v>7100.4500000000007</v>
      </c>
      <c r="AE507" s="270">
        <f t="shared" si="167"/>
        <v>7100.4500000000007</v>
      </c>
      <c r="AF507" s="270">
        <f t="shared" si="175"/>
        <v>7100.4500000000007</v>
      </c>
      <c r="AG507" s="270">
        <f t="shared" si="175"/>
        <v>7100.4500000000007</v>
      </c>
      <c r="AH507" s="270">
        <f t="shared" si="175"/>
        <v>7100.4500000000007</v>
      </c>
      <c r="AI507" s="270">
        <f t="shared" si="175"/>
        <v>7100.4500000000007</v>
      </c>
      <c r="AJ507" s="270">
        <f t="shared" si="175"/>
        <v>7100.4500000000007</v>
      </c>
      <c r="AK507" s="270">
        <f t="shared" si="175"/>
        <v>7100.4500000000007</v>
      </c>
      <c r="AL507" s="270">
        <f t="shared" si="175"/>
        <v>7100.4500000000007</v>
      </c>
      <c r="AM507" s="270">
        <f t="shared" si="175"/>
        <v>7100.4500000000007</v>
      </c>
    </row>
    <row r="508" spans="2:39" ht="15.75" thickBot="1" x14ac:dyDescent="0.35">
      <c r="B508" s="56" t="str">
        <f>input_names!$C$3</f>
        <v>diesel</v>
      </c>
      <c r="C508" s="61">
        <v>106</v>
      </c>
      <c r="D508" s="270">
        <f t="shared" si="173"/>
        <v>5419</v>
      </c>
      <c r="E508" s="270">
        <f t="shared" si="173"/>
        <v>5882.77</v>
      </c>
      <c r="F508" s="270">
        <f t="shared" si="173"/>
        <v>6325.29</v>
      </c>
      <c r="G508" s="270">
        <f t="shared" si="173"/>
        <v>6946.34</v>
      </c>
      <c r="H508" s="270">
        <f t="shared" si="173"/>
        <v>7327.35</v>
      </c>
      <c r="I508" s="270">
        <f t="shared" si="173"/>
        <v>7963.95</v>
      </c>
      <c r="J508" s="270">
        <f t="shared" si="173"/>
        <v>4082.11</v>
      </c>
      <c r="K508" s="270">
        <f t="shared" si="173"/>
        <v>4510.7700000000004</v>
      </c>
      <c r="L508" s="270">
        <f t="shared" si="173"/>
        <v>5307.9</v>
      </c>
      <c r="M508" s="270">
        <f t="shared" si="173"/>
        <v>6470.45</v>
      </c>
      <c r="N508" s="270">
        <f t="shared" si="173"/>
        <v>7383.32</v>
      </c>
      <c r="O508" s="270">
        <f t="shared" si="173"/>
        <v>7383.32</v>
      </c>
      <c r="P508" s="270">
        <f t="shared" si="173"/>
        <v>7383.32</v>
      </c>
      <c r="Q508" s="270">
        <f t="shared" si="173"/>
        <v>7383.32</v>
      </c>
      <c r="R508" s="270">
        <f t="shared" si="173"/>
        <v>7383.32</v>
      </c>
      <c r="S508" s="270">
        <f t="shared" si="174"/>
        <v>7383.32</v>
      </c>
      <c r="T508" s="270">
        <f t="shared" si="172"/>
        <v>7383.32</v>
      </c>
      <c r="U508" s="270">
        <f t="shared" si="171"/>
        <v>7383.32</v>
      </c>
      <c r="V508" s="270">
        <f t="shared" si="171"/>
        <v>7383.32</v>
      </c>
      <c r="W508" s="270">
        <f t="shared" si="171"/>
        <v>7383.32</v>
      </c>
      <c r="X508" s="270">
        <f t="shared" si="171"/>
        <v>7383.32</v>
      </c>
      <c r="Y508" s="270">
        <f t="shared" si="171"/>
        <v>7383.32</v>
      </c>
      <c r="Z508" s="270">
        <f t="shared" si="171"/>
        <v>7383.32</v>
      </c>
      <c r="AA508" s="270">
        <f t="shared" si="171"/>
        <v>7383.32</v>
      </c>
      <c r="AB508" s="270">
        <f t="shared" si="171"/>
        <v>7383.32</v>
      </c>
      <c r="AC508" s="270">
        <f t="shared" si="171"/>
        <v>7383.32</v>
      </c>
      <c r="AD508" s="270">
        <f t="shared" si="169"/>
        <v>7383.32</v>
      </c>
      <c r="AE508" s="270">
        <f t="shared" si="167"/>
        <v>7383.32</v>
      </c>
      <c r="AF508" s="270">
        <f t="shared" si="175"/>
        <v>7383.32</v>
      </c>
      <c r="AG508" s="270">
        <f t="shared" si="175"/>
        <v>7383.32</v>
      </c>
      <c r="AH508" s="270">
        <f t="shared" si="175"/>
        <v>7383.32</v>
      </c>
      <c r="AI508" s="270">
        <f t="shared" si="175"/>
        <v>7383.32</v>
      </c>
      <c r="AJ508" s="270">
        <f t="shared" si="175"/>
        <v>7383.32</v>
      </c>
      <c r="AK508" s="270">
        <f t="shared" si="175"/>
        <v>7383.32</v>
      </c>
      <c r="AL508" s="270">
        <f t="shared" si="175"/>
        <v>7383.32</v>
      </c>
      <c r="AM508" s="270">
        <f t="shared" si="175"/>
        <v>7383.32</v>
      </c>
    </row>
    <row r="509" spans="2:39" ht="15.75" thickBot="1" x14ac:dyDescent="0.35">
      <c r="B509" s="56" t="str">
        <f>input_names!$C$3</f>
        <v>diesel</v>
      </c>
      <c r="C509" s="61">
        <v>107</v>
      </c>
      <c r="D509" s="270">
        <f t="shared" si="173"/>
        <v>5574</v>
      </c>
      <c r="E509" s="270">
        <f t="shared" si="173"/>
        <v>6092.2000000000007</v>
      </c>
      <c r="F509" s="270">
        <f t="shared" si="173"/>
        <v>6555.98</v>
      </c>
      <c r="G509" s="270">
        <f t="shared" si="173"/>
        <v>7172.7199999999993</v>
      </c>
      <c r="H509" s="270">
        <f t="shared" si="173"/>
        <v>7545.7800000000007</v>
      </c>
      <c r="I509" s="270">
        <f t="shared" si="173"/>
        <v>8180.7999999999993</v>
      </c>
      <c r="J509" s="270">
        <f t="shared" si="173"/>
        <v>4225.7000000000007</v>
      </c>
      <c r="K509" s="270">
        <f t="shared" si="173"/>
        <v>4659.4400000000005</v>
      </c>
      <c r="L509" s="270">
        <f t="shared" si="173"/>
        <v>5551.2</v>
      </c>
      <c r="M509" s="270">
        <f t="shared" si="173"/>
        <v>6743.5199999999995</v>
      </c>
      <c r="N509" s="270">
        <f t="shared" si="173"/>
        <v>7666.1900000000005</v>
      </c>
      <c r="O509" s="270">
        <f t="shared" si="173"/>
        <v>7666.1900000000005</v>
      </c>
      <c r="P509" s="270">
        <f t="shared" si="173"/>
        <v>7666.1900000000005</v>
      </c>
      <c r="Q509" s="270">
        <f t="shared" si="173"/>
        <v>7666.1900000000005</v>
      </c>
      <c r="R509" s="270">
        <f t="shared" si="173"/>
        <v>7666.1900000000005</v>
      </c>
      <c r="S509" s="270">
        <f t="shared" si="174"/>
        <v>7666.1900000000005</v>
      </c>
      <c r="T509" s="270">
        <f t="shared" si="172"/>
        <v>7666.1900000000005</v>
      </c>
      <c r="U509" s="270">
        <f t="shared" si="171"/>
        <v>7666.1900000000005</v>
      </c>
      <c r="V509" s="270">
        <f t="shared" si="171"/>
        <v>7666.1900000000005</v>
      </c>
      <c r="W509" s="270">
        <f t="shared" si="171"/>
        <v>7666.1900000000005</v>
      </c>
      <c r="X509" s="270">
        <f t="shared" si="171"/>
        <v>7666.1900000000005</v>
      </c>
      <c r="Y509" s="270">
        <f t="shared" si="171"/>
        <v>7666.1900000000005</v>
      </c>
      <c r="Z509" s="270">
        <f t="shared" si="171"/>
        <v>7666.1900000000005</v>
      </c>
      <c r="AA509" s="270">
        <f t="shared" si="171"/>
        <v>7666.1900000000005</v>
      </c>
      <c r="AB509" s="270">
        <f t="shared" si="171"/>
        <v>7666.1900000000005</v>
      </c>
      <c r="AC509" s="270">
        <f t="shared" si="171"/>
        <v>7666.1900000000005</v>
      </c>
      <c r="AD509" s="270">
        <f t="shared" si="169"/>
        <v>7666.1900000000005</v>
      </c>
      <c r="AE509" s="270">
        <f t="shared" si="167"/>
        <v>7666.1900000000005</v>
      </c>
      <c r="AF509" s="270">
        <f t="shared" si="175"/>
        <v>7666.1900000000005</v>
      </c>
      <c r="AG509" s="270">
        <f t="shared" si="175"/>
        <v>7666.1900000000005</v>
      </c>
      <c r="AH509" s="270">
        <f t="shared" si="175"/>
        <v>7666.1900000000005</v>
      </c>
      <c r="AI509" s="270">
        <f t="shared" si="175"/>
        <v>7666.1900000000005</v>
      </c>
      <c r="AJ509" s="270">
        <f t="shared" si="175"/>
        <v>7666.1900000000005</v>
      </c>
      <c r="AK509" s="270">
        <f t="shared" si="175"/>
        <v>7666.1900000000005</v>
      </c>
      <c r="AL509" s="270">
        <f t="shared" si="175"/>
        <v>7666.1900000000005</v>
      </c>
      <c r="AM509" s="270">
        <f t="shared" si="175"/>
        <v>7666.1900000000005</v>
      </c>
    </row>
    <row r="510" spans="2:39" ht="15.75" thickBot="1" x14ac:dyDescent="0.35">
      <c r="B510" s="56" t="str">
        <f>input_names!$C$3</f>
        <v>diesel</v>
      </c>
      <c r="C510" s="61">
        <v>108</v>
      </c>
      <c r="D510" s="270">
        <f t="shared" si="173"/>
        <v>5729</v>
      </c>
      <c r="E510" s="270">
        <f t="shared" si="173"/>
        <v>6301.63</v>
      </c>
      <c r="F510" s="270">
        <f t="shared" si="173"/>
        <v>6786.67</v>
      </c>
      <c r="G510" s="270">
        <f t="shared" si="173"/>
        <v>7399.1</v>
      </c>
      <c r="H510" s="270">
        <f t="shared" si="173"/>
        <v>7764.21</v>
      </c>
      <c r="I510" s="270">
        <f t="shared" si="173"/>
        <v>8397.65</v>
      </c>
      <c r="J510" s="270">
        <f t="shared" si="173"/>
        <v>4369.29</v>
      </c>
      <c r="K510" s="270">
        <f t="shared" si="173"/>
        <v>4808.1100000000006</v>
      </c>
      <c r="L510" s="270">
        <f t="shared" si="173"/>
        <v>5794.5</v>
      </c>
      <c r="M510" s="270">
        <f t="shared" si="173"/>
        <v>7016.59</v>
      </c>
      <c r="N510" s="270">
        <f t="shared" si="173"/>
        <v>7949.06</v>
      </c>
      <c r="O510" s="270">
        <f t="shared" si="173"/>
        <v>7949.06</v>
      </c>
      <c r="P510" s="270">
        <f t="shared" si="173"/>
        <v>7949.06</v>
      </c>
      <c r="Q510" s="270">
        <f t="shared" si="173"/>
        <v>7949.06</v>
      </c>
      <c r="R510" s="270">
        <f t="shared" si="173"/>
        <v>7949.06</v>
      </c>
      <c r="S510" s="270">
        <f t="shared" si="174"/>
        <v>7949.06</v>
      </c>
      <c r="T510" s="270">
        <f t="shared" si="172"/>
        <v>7949.06</v>
      </c>
      <c r="U510" s="270">
        <f t="shared" si="171"/>
        <v>7949.06</v>
      </c>
      <c r="V510" s="270">
        <f t="shared" si="171"/>
        <v>7949.06</v>
      </c>
      <c r="W510" s="270">
        <f t="shared" si="171"/>
        <v>7949.06</v>
      </c>
      <c r="X510" s="270">
        <f t="shared" si="171"/>
        <v>7949.06</v>
      </c>
      <c r="Y510" s="270">
        <f t="shared" si="171"/>
        <v>7949.06</v>
      </c>
      <c r="Z510" s="270">
        <f t="shared" si="171"/>
        <v>7949.06</v>
      </c>
      <c r="AA510" s="270">
        <f t="shared" si="171"/>
        <v>7949.06</v>
      </c>
      <c r="AB510" s="270">
        <f t="shared" si="171"/>
        <v>7949.06</v>
      </c>
      <c r="AC510" s="270">
        <f t="shared" si="171"/>
        <v>7949.06</v>
      </c>
      <c r="AD510" s="270">
        <f t="shared" si="169"/>
        <v>7949.06</v>
      </c>
      <c r="AE510" s="270">
        <f t="shared" si="167"/>
        <v>7949.06</v>
      </c>
      <c r="AF510" s="270">
        <f t="shared" si="175"/>
        <v>7949.06</v>
      </c>
      <c r="AG510" s="270">
        <f t="shared" si="175"/>
        <v>7949.06</v>
      </c>
      <c r="AH510" s="270">
        <f t="shared" si="175"/>
        <v>7949.06</v>
      </c>
      <c r="AI510" s="270">
        <f t="shared" si="175"/>
        <v>7949.06</v>
      </c>
      <c r="AJ510" s="270">
        <f t="shared" si="175"/>
        <v>7949.06</v>
      </c>
      <c r="AK510" s="270">
        <f t="shared" si="175"/>
        <v>7949.06</v>
      </c>
      <c r="AL510" s="270">
        <f t="shared" si="175"/>
        <v>7949.06</v>
      </c>
      <c r="AM510" s="270">
        <f t="shared" si="175"/>
        <v>7949.06</v>
      </c>
    </row>
    <row r="511" spans="2:39" ht="15.75" thickBot="1" x14ac:dyDescent="0.35">
      <c r="B511" s="56" t="str">
        <f>input_names!$C$3</f>
        <v>diesel</v>
      </c>
      <c r="C511" s="61">
        <v>109</v>
      </c>
      <c r="D511" s="270">
        <f t="shared" si="173"/>
        <v>5884</v>
      </c>
      <c r="E511" s="270">
        <f t="shared" si="173"/>
        <v>6511.06</v>
      </c>
      <c r="F511" s="270">
        <f t="shared" si="173"/>
        <v>7017.36</v>
      </c>
      <c r="G511" s="270">
        <f t="shared" si="173"/>
        <v>7625.48</v>
      </c>
      <c r="H511" s="270">
        <f t="shared" si="173"/>
        <v>7982.64</v>
      </c>
      <c r="I511" s="270">
        <f t="shared" si="173"/>
        <v>8614.5</v>
      </c>
      <c r="J511" s="270">
        <f t="shared" si="173"/>
        <v>4512.88</v>
      </c>
      <c r="K511" s="270">
        <f t="shared" si="173"/>
        <v>4956.7800000000007</v>
      </c>
      <c r="L511" s="270">
        <f t="shared" si="173"/>
        <v>6037.7999999999993</v>
      </c>
      <c r="M511" s="270">
        <f t="shared" si="173"/>
        <v>7289.66</v>
      </c>
      <c r="N511" s="270">
        <f t="shared" si="173"/>
        <v>8231.93</v>
      </c>
      <c r="O511" s="270">
        <f t="shared" si="173"/>
        <v>8231.93</v>
      </c>
      <c r="P511" s="270">
        <f t="shared" si="173"/>
        <v>8231.93</v>
      </c>
      <c r="Q511" s="270">
        <f t="shared" si="173"/>
        <v>8231.93</v>
      </c>
      <c r="R511" s="270">
        <f t="shared" si="173"/>
        <v>8231.93</v>
      </c>
      <c r="S511" s="270">
        <f t="shared" si="174"/>
        <v>8231.93</v>
      </c>
      <c r="T511" s="270">
        <f t="shared" si="172"/>
        <v>8231.93</v>
      </c>
      <c r="U511" s="270">
        <f t="shared" si="172"/>
        <v>8231.93</v>
      </c>
      <c r="V511" s="270">
        <f t="shared" si="172"/>
        <v>8231.93</v>
      </c>
      <c r="W511" s="270">
        <f t="shared" si="172"/>
        <v>8231.93</v>
      </c>
      <c r="X511" s="270">
        <f t="shared" si="172"/>
        <v>8231.93</v>
      </c>
      <c r="Y511" s="270">
        <f t="shared" si="172"/>
        <v>8231.93</v>
      </c>
      <c r="Z511" s="270">
        <f t="shared" si="172"/>
        <v>8231.93</v>
      </c>
      <c r="AA511" s="270">
        <f t="shared" si="172"/>
        <v>8231.93</v>
      </c>
      <c r="AB511" s="270">
        <f t="shared" si="172"/>
        <v>8231.93</v>
      </c>
      <c r="AC511" s="270">
        <f t="shared" si="172"/>
        <v>8231.93</v>
      </c>
      <c r="AD511" s="270">
        <f t="shared" si="169"/>
        <v>8231.93</v>
      </c>
      <c r="AE511" s="270">
        <f t="shared" si="167"/>
        <v>8231.93</v>
      </c>
      <c r="AF511" s="270">
        <f t="shared" si="175"/>
        <v>8231.93</v>
      </c>
      <c r="AG511" s="270">
        <f t="shared" si="175"/>
        <v>8231.93</v>
      </c>
      <c r="AH511" s="270">
        <f t="shared" si="175"/>
        <v>8231.93</v>
      </c>
      <c r="AI511" s="270">
        <f t="shared" si="175"/>
        <v>8231.93</v>
      </c>
      <c r="AJ511" s="270">
        <f t="shared" si="175"/>
        <v>8231.93</v>
      </c>
      <c r="AK511" s="270">
        <f t="shared" si="175"/>
        <v>8231.93</v>
      </c>
      <c r="AL511" s="270">
        <f t="shared" si="175"/>
        <v>8231.93</v>
      </c>
      <c r="AM511" s="270">
        <f t="shared" si="175"/>
        <v>8231.93</v>
      </c>
    </row>
    <row r="512" spans="2:39" ht="15.75" thickBot="1" x14ac:dyDescent="0.35">
      <c r="B512" s="56" t="str">
        <f>input_names!$C$3</f>
        <v>diesel</v>
      </c>
      <c r="C512" s="61">
        <v>110</v>
      </c>
      <c r="D512" s="270">
        <f t="shared" si="173"/>
        <v>6039</v>
      </c>
      <c r="E512" s="270">
        <f t="shared" si="173"/>
        <v>6720.49</v>
      </c>
      <c r="F512" s="270">
        <f t="shared" si="173"/>
        <v>7248.0499999999993</v>
      </c>
      <c r="G512" s="270">
        <f t="shared" si="173"/>
        <v>7851.86</v>
      </c>
      <c r="H512" s="270">
        <f t="shared" si="173"/>
        <v>8201.07</v>
      </c>
      <c r="I512" s="270">
        <f t="shared" si="173"/>
        <v>8831.3499999999985</v>
      </c>
      <c r="J512" s="270">
        <f t="shared" si="173"/>
        <v>4656.47</v>
      </c>
      <c r="K512" s="270">
        <f t="shared" si="173"/>
        <v>5180.4500000000007</v>
      </c>
      <c r="L512" s="270">
        <f t="shared" si="173"/>
        <v>6281.1</v>
      </c>
      <c r="M512" s="270">
        <f t="shared" si="173"/>
        <v>7562.73</v>
      </c>
      <c r="N512" s="270">
        <f t="shared" si="173"/>
        <v>8514.7999999999993</v>
      </c>
      <c r="O512" s="270">
        <f t="shared" si="173"/>
        <v>8514.7999999999993</v>
      </c>
      <c r="P512" s="270">
        <f t="shared" si="173"/>
        <v>8514.7999999999993</v>
      </c>
      <c r="Q512" s="270">
        <f t="shared" si="173"/>
        <v>8514.7999999999993</v>
      </c>
      <c r="R512" s="270">
        <f t="shared" si="173"/>
        <v>8514.7999999999993</v>
      </c>
      <c r="S512" s="270">
        <f t="shared" si="174"/>
        <v>8514.7999999999993</v>
      </c>
      <c r="T512" s="270">
        <f t="shared" si="172"/>
        <v>8514.7999999999993</v>
      </c>
      <c r="U512" s="270">
        <f t="shared" si="172"/>
        <v>8514.7999999999993</v>
      </c>
      <c r="V512" s="270">
        <f t="shared" si="172"/>
        <v>8514.7999999999993</v>
      </c>
      <c r="W512" s="270">
        <f t="shared" si="172"/>
        <v>8514.7999999999993</v>
      </c>
      <c r="X512" s="270">
        <f t="shared" si="172"/>
        <v>8514.7999999999993</v>
      </c>
      <c r="Y512" s="270">
        <f t="shared" si="172"/>
        <v>8514.7999999999993</v>
      </c>
      <c r="Z512" s="270">
        <f t="shared" si="172"/>
        <v>8514.7999999999993</v>
      </c>
      <c r="AA512" s="270">
        <f t="shared" si="172"/>
        <v>8514.7999999999993</v>
      </c>
      <c r="AB512" s="270">
        <f t="shared" si="172"/>
        <v>8514.7999999999993</v>
      </c>
      <c r="AC512" s="270">
        <f t="shared" si="172"/>
        <v>8514.7999999999993</v>
      </c>
      <c r="AD512" s="270">
        <f t="shared" si="169"/>
        <v>8514.7999999999993</v>
      </c>
      <c r="AE512" s="270">
        <f t="shared" si="167"/>
        <v>8514.7999999999993</v>
      </c>
      <c r="AF512" s="270">
        <f t="shared" si="175"/>
        <v>8514.7999999999993</v>
      </c>
      <c r="AG512" s="270">
        <f t="shared" si="175"/>
        <v>8514.7999999999993</v>
      </c>
      <c r="AH512" s="270">
        <f t="shared" si="175"/>
        <v>8514.7999999999993</v>
      </c>
      <c r="AI512" s="270">
        <f t="shared" si="175"/>
        <v>8514.7999999999993</v>
      </c>
      <c r="AJ512" s="270">
        <f t="shared" si="175"/>
        <v>8514.7999999999993</v>
      </c>
      <c r="AK512" s="270">
        <f t="shared" si="175"/>
        <v>8514.7999999999993</v>
      </c>
      <c r="AL512" s="270">
        <f t="shared" si="175"/>
        <v>8514.7999999999993</v>
      </c>
      <c r="AM512" s="270">
        <f t="shared" si="175"/>
        <v>8514.7999999999993</v>
      </c>
    </row>
    <row r="513" spans="2:39" ht="15.75" thickBot="1" x14ac:dyDescent="0.35">
      <c r="B513" s="56" t="str">
        <f>input_names!$C$3</f>
        <v>diesel</v>
      </c>
      <c r="C513" s="61">
        <v>111</v>
      </c>
      <c r="D513" s="270">
        <f t="shared" si="173"/>
        <v>6237</v>
      </c>
      <c r="E513" s="270">
        <f t="shared" si="173"/>
        <v>6929.92</v>
      </c>
      <c r="F513" s="270">
        <f t="shared" si="173"/>
        <v>7478.74</v>
      </c>
      <c r="G513" s="270">
        <f t="shared" si="173"/>
        <v>8078.24</v>
      </c>
      <c r="H513" s="270">
        <f t="shared" si="173"/>
        <v>8419.5</v>
      </c>
      <c r="I513" s="270">
        <f t="shared" si="173"/>
        <v>9048.2000000000007</v>
      </c>
      <c r="J513" s="270">
        <f t="shared" si="173"/>
        <v>4800.0599999999995</v>
      </c>
      <c r="K513" s="270">
        <f t="shared" si="173"/>
        <v>5404.12</v>
      </c>
      <c r="L513" s="270">
        <f t="shared" si="173"/>
        <v>6524.4</v>
      </c>
      <c r="M513" s="270">
        <f t="shared" si="173"/>
        <v>7835.7999999999993</v>
      </c>
      <c r="N513" s="270">
        <f t="shared" si="173"/>
        <v>8797.67</v>
      </c>
      <c r="O513" s="270">
        <f t="shared" si="173"/>
        <v>8797.67</v>
      </c>
      <c r="P513" s="270">
        <f t="shared" si="173"/>
        <v>8797.67</v>
      </c>
      <c r="Q513" s="270">
        <f t="shared" si="173"/>
        <v>8797.67</v>
      </c>
      <c r="R513" s="270">
        <f t="shared" si="173"/>
        <v>8797.67</v>
      </c>
      <c r="S513" s="270">
        <f t="shared" si="174"/>
        <v>8797.67</v>
      </c>
      <c r="T513" s="270">
        <f t="shared" si="172"/>
        <v>8797.67</v>
      </c>
      <c r="U513" s="270">
        <f t="shared" si="172"/>
        <v>8797.67</v>
      </c>
      <c r="V513" s="270">
        <f t="shared" si="172"/>
        <v>8797.67</v>
      </c>
      <c r="W513" s="270">
        <f t="shared" si="172"/>
        <v>8797.67</v>
      </c>
      <c r="X513" s="270">
        <f t="shared" si="172"/>
        <v>8797.67</v>
      </c>
      <c r="Y513" s="270">
        <f t="shared" si="172"/>
        <v>8797.67</v>
      </c>
      <c r="Z513" s="270">
        <f t="shared" si="172"/>
        <v>8797.67</v>
      </c>
      <c r="AA513" s="270">
        <f t="shared" si="172"/>
        <v>8797.67</v>
      </c>
      <c r="AB513" s="270">
        <f t="shared" si="172"/>
        <v>8797.67</v>
      </c>
      <c r="AC513" s="270">
        <f t="shared" si="172"/>
        <v>8797.67</v>
      </c>
      <c r="AD513" s="270">
        <f t="shared" si="173"/>
        <v>8797.67</v>
      </c>
      <c r="AE513" s="270">
        <f t="shared" ref="AD513:AM536" si="176">+MIN(MAX(0,$C513-AE$11),AE$12-AE$11)*AE$17
+MIN(MAX(0,$C513-AE$12),AE$13-AE$12)*AE$18
+MIN(MAX(0,$C513-AE$13),AE$14-AE$13)*AE$19
+MIN(MAX(0,$C513-AE$14),AE$15-AE$14)*AE$20
+MAX(0,$C513-AE$15)*AE$21
+AE$24*MAX(0,$C513-AE$23)
+AE$26</f>
        <v>8797.67</v>
      </c>
      <c r="AF513" s="270">
        <f t="shared" si="176"/>
        <v>8797.67</v>
      </c>
      <c r="AG513" s="270">
        <f t="shared" si="176"/>
        <v>8797.67</v>
      </c>
      <c r="AH513" s="270">
        <f t="shared" si="176"/>
        <v>8797.67</v>
      </c>
      <c r="AI513" s="270">
        <f t="shared" si="176"/>
        <v>8797.67</v>
      </c>
      <c r="AJ513" s="270">
        <f t="shared" si="176"/>
        <v>8797.67</v>
      </c>
      <c r="AK513" s="270">
        <f t="shared" si="176"/>
        <v>8797.67</v>
      </c>
      <c r="AL513" s="270">
        <f t="shared" si="176"/>
        <v>8797.67</v>
      </c>
      <c r="AM513" s="270">
        <f t="shared" si="176"/>
        <v>8797.67</v>
      </c>
    </row>
    <row r="514" spans="2:39" ht="15.75" thickBot="1" x14ac:dyDescent="0.35">
      <c r="B514" s="56" t="str">
        <f>input_names!$C$3</f>
        <v>diesel</v>
      </c>
      <c r="C514" s="61">
        <v>112</v>
      </c>
      <c r="D514" s="270">
        <f t="shared" ref="D514:R529" si="177">+MIN(MAX(0,$C514-D$11),D$12-D$11)*D$17
+MIN(MAX(0,$C514-D$12),D$13-D$12)*D$18
+MIN(MAX(0,$C514-D$13),D$14-D$13)*D$19
+MIN(MAX(0,$C514-D$14),D$15-D$14)*D$20
+MAX(0,$C514-D$15)*D$21
+D$24*MAX(0,$C514-D$23)
+D$26</f>
        <v>6435</v>
      </c>
      <c r="E514" s="270">
        <f t="shared" si="177"/>
        <v>7139.35</v>
      </c>
      <c r="F514" s="270">
        <f t="shared" si="177"/>
        <v>7709.43</v>
      </c>
      <c r="G514" s="270">
        <f t="shared" si="177"/>
        <v>8304.619999999999</v>
      </c>
      <c r="H514" s="270">
        <f t="shared" si="177"/>
        <v>8637.93</v>
      </c>
      <c r="I514" s="270">
        <f t="shared" si="177"/>
        <v>9265.0499999999993</v>
      </c>
      <c r="J514" s="270">
        <f t="shared" si="177"/>
        <v>5015.6499999999996</v>
      </c>
      <c r="K514" s="270">
        <f t="shared" si="177"/>
        <v>5627.79</v>
      </c>
      <c r="L514" s="270">
        <f t="shared" si="177"/>
        <v>6767.7</v>
      </c>
      <c r="M514" s="270">
        <f t="shared" si="177"/>
        <v>8108.87</v>
      </c>
      <c r="N514" s="270">
        <f t="shared" si="177"/>
        <v>9080.5400000000009</v>
      </c>
      <c r="O514" s="270">
        <f t="shared" si="177"/>
        <v>9080.5400000000009</v>
      </c>
      <c r="P514" s="270">
        <f t="shared" si="177"/>
        <v>9080.5400000000009</v>
      </c>
      <c r="Q514" s="270">
        <f t="shared" si="177"/>
        <v>9080.5400000000009</v>
      </c>
      <c r="R514" s="270">
        <f t="shared" si="177"/>
        <v>9080.5400000000009</v>
      </c>
      <c r="S514" s="270">
        <f t="shared" si="172"/>
        <v>9080.5400000000009</v>
      </c>
      <c r="T514" s="270">
        <f t="shared" si="172"/>
        <v>9080.5400000000009</v>
      </c>
      <c r="U514" s="270">
        <f t="shared" si="172"/>
        <v>9080.5400000000009</v>
      </c>
      <c r="V514" s="270">
        <f t="shared" si="172"/>
        <v>9080.5400000000009</v>
      </c>
      <c r="W514" s="270">
        <f t="shared" si="172"/>
        <v>9080.5400000000009</v>
      </c>
      <c r="X514" s="270">
        <f t="shared" si="172"/>
        <v>9080.5400000000009</v>
      </c>
      <c r="Y514" s="270">
        <f t="shared" si="172"/>
        <v>9080.5400000000009</v>
      </c>
      <c r="Z514" s="270">
        <f t="shared" si="172"/>
        <v>9080.5400000000009</v>
      </c>
      <c r="AA514" s="270">
        <f t="shared" si="172"/>
        <v>9080.5400000000009</v>
      </c>
      <c r="AB514" s="270">
        <f t="shared" si="172"/>
        <v>9080.5400000000009</v>
      </c>
      <c r="AC514" s="270">
        <f t="shared" si="172"/>
        <v>9080.5400000000009</v>
      </c>
      <c r="AD514" s="270">
        <f t="shared" si="176"/>
        <v>9080.5400000000009</v>
      </c>
      <c r="AE514" s="270">
        <f t="shared" si="176"/>
        <v>9080.5400000000009</v>
      </c>
      <c r="AF514" s="270">
        <f t="shared" si="176"/>
        <v>9080.5400000000009</v>
      </c>
      <c r="AG514" s="270">
        <f t="shared" si="176"/>
        <v>9080.5400000000009</v>
      </c>
      <c r="AH514" s="270">
        <f t="shared" si="176"/>
        <v>9080.5400000000009</v>
      </c>
      <c r="AI514" s="270">
        <f t="shared" si="176"/>
        <v>9080.5400000000009</v>
      </c>
      <c r="AJ514" s="270">
        <f t="shared" si="176"/>
        <v>9080.5400000000009</v>
      </c>
      <c r="AK514" s="270">
        <f t="shared" si="176"/>
        <v>9080.5400000000009</v>
      </c>
      <c r="AL514" s="270">
        <f t="shared" si="176"/>
        <v>9080.5400000000009</v>
      </c>
      <c r="AM514" s="270">
        <f t="shared" si="176"/>
        <v>9080.5400000000009</v>
      </c>
    </row>
    <row r="515" spans="2:39" ht="15.75" thickBot="1" x14ac:dyDescent="0.35">
      <c r="B515" s="56" t="str">
        <f>input_names!$C$3</f>
        <v>diesel</v>
      </c>
      <c r="C515" s="61">
        <v>113</v>
      </c>
      <c r="D515" s="270">
        <f t="shared" si="177"/>
        <v>6633</v>
      </c>
      <c r="E515" s="270">
        <f t="shared" si="177"/>
        <v>7348.7800000000007</v>
      </c>
      <c r="F515" s="270">
        <f t="shared" si="177"/>
        <v>7940.12</v>
      </c>
      <c r="G515" s="270">
        <f t="shared" si="177"/>
        <v>8531</v>
      </c>
      <c r="H515" s="270">
        <f t="shared" si="177"/>
        <v>8856.36</v>
      </c>
      <c r="I515" s="270">
        <f t="shared" si="177"/>
        <v>9481.9</v>
      </c>
      <c r="J515" s="270">
        <f t="shared" si="177"/>
        <v>5231.24</v>
      </c>
      <c r="K515" s="270">
        <f t="shared" si="177"/>
        <v>5851.46</v>
      </c>
      <c r="L515" s="270">
        <f t="shared" si="177"/>
        <v>7011</v>
      </c>
      <c r="M515" s="270">
        <f t="shared" si="177"/>
        <v>8381.9399999999987</v>
      </c>
      <c r="N515" s="270">
        <f t="shared" si="177"/>
        <v>9363.41</v>
      </c>
      <c r="O515" s="270">
        <f t="shared" si="177"/>
        <v>9363.41</v>
      </c>
      <c r="P515" s="270">
        <f t="shared" si="177"/>
        <v>9363.41</v>
      </c>
      <c r="Q515" s="270">
        <f t="shared" si="177"/>
        <v>9363.41</v>
      </c>
      <c r="R515" s="270">
        <f t="shared" si="177"/>
        <v>9363.41</v>
      </c>
      <c r="S515" s="270">
        <f t="shared" si="172"/>
        <v>9363.41</v>
      </c>
      <c r="T515" s="270">
        <f t="shared" si="172"/>
        <v>9363.41</v>
      </c>
      <c r="U515" s="270">
        <f t="shared" si="172"/>
        <v>9363.41</v>
      </c>
      <c r="V515" s="270">
        <f t="shared" si="172"/>
        <v>9363.41</v>
      </c>
      <c r="W515" s="270">
        <f t="shared" si="172"/>
        <v>9363.41</v>
      </c>
      <c r="X515" s="270">
        <f t="shared" si="172"/>
        <v>9363.41</v>
      </c>
      <c r="Y515" s="270">
        <f t="shared" si="172"/>
        <v>9363.41</v>
      </c>
      <c r="Z515" s="270">
        <f t="shared" si="172"/>
        <v>9363.41</v>
      </c>
      <c r="AA515" s="270">
        <f t="shared" si="172"/>
        <v>9363.41</v>
      </c>
      <c r="AB515" s="270">
        <f t="shared" si="172"/>
        <v>9363.41</v>
      </c>
      <c r="AC515" s="270">
        <f t="shared" si="172"/>
        <v>9363.41</v>
      </c>
      <c r="AD515" s="270">
        <f t="shared" si="176"/>
        <v>9363.41</v>
      </c>
      <c r="AE515" s="270">
        <f t="shared" si="176"/>
        <v>9363.41</v>
      </c>
      <c r="AF515" s="270">
        <f t="shared" si="176"/>
        <v>9363.41</v>
      </c>
      <c r="AG515" s="270">
        <f t="shared" si="176"/>
        <v>9363.41</v>
      </c>
      <c r="AH515" s="270">
        <f t="shared" si="176"/>
        <v>9363.41</v>
      </c>
      <c r="AI515" s="270">
        <f t="shared" si="176"/>
        <v>9363.41</v>
      </c>
      <c r="AJ515" s="270">
        <f t="shared" si="176"/>
        <v>9363.41</v>
      </c>
      <c r="AK515" s="270">
        <f t="shared" si="176"/>
        <v>9363.41</v>
      </c>
      <c r="AL515" s="270">
        <f t="shared" si="176"/>
        <v>9363.41</v>
      </c>
      <c r="AM515" s="270">
        <f t="shared" si="176"/>
        <v>9363.41</v>
      </c>
    </row>
    <row r="516" spans="2:39" ht="15.75" thickBot="1" x14ac:dyDescent="0.35">
      <c r="B516" s="56" t="str">
        <f>input_names!$C$3</f>
        <v>diesel</v>
      </c>
      <c r="C516" s="61">
        <v>114</v>
      </c>
      <c r="D516" s="270">
        <f t="shared" si="177"/>
        <v>6831</v>
      </c>
      <c r="E516" s="270">
        <f t="shared" si="177"/>
        <v>7558.2100000000009</v>
      </c>
      <c r="F516" s="270">
        <f t="shared" si="177"/>
        <v>8170.8099999999995</v>
      </c>
      <c r="G516" s="270">
        <f t="shared" si="177"/>
        <v>8757.380000000001</v>
      </c>
      <c r="H516" s="270">
        <f t="shared" si="177"/>
        <v>9074.7900000000009</v>
      </c>
      <c r="I516" s="270">
        <f t="shared" si="177"/>
        <v>9698.75</v>
      </c>
      <c r="J516" s="270">
        <f t="shared" si="177"/>
        <v>5446.83</v>
      </c>
      <c r="K516" s="270">
        <f t="shared" si="177"/>
        <v>6075.13</v>
      </c>
      <c r="L516" s="270">
        <f t="shared" si="177"/>
        <v>7254.2999999999993</v>
      </c>
      <c r="M516" s="270">
        <f t="shared" si="177"/>
        <v>8655.0099999999984</v>
      </c>
      <c r="N516" s="270">
        <f t="shared" si="177"/>
        <v>9646.2800000000007</v>
      </c>
      <c r="O516" s="270">
        <f t="shared" si="177"/>
        <v>9646.2800000000007</v>
      </c>
      <c r="P516" s="270">
        <f t="shared" si="177"/>
        <v>9646.2800000000007</v>
      </c>
      <c r="Q516" s="270">
        <f t="shared" si="177"/>
        <v>9646.2800000000007</v>
      </c>
      <c r="R516" s="270">
        <f t="shared" si="177"/>
        <v>9646.2800000000007</v>
      </c>
      <c r="S516" s="270">
        <f t="shared" si="172"/>
        <v>9646.2800000000007</v>
      </c>
      <c r="T516" s="270">
        <f t="shared" si="172"/>
        <v>9646.2800000000007</v>
      </c>
      <c r="U516" s="270">
        <f t="shared" si="172"/>
        <v>9646.2800000000007</v>
      </c>
      <c r="V516" s="270">
        <f t="shared" si="172"/>
        <v>9646.2800000000007</v>
      </c>
      <c r="W516" s="270">
        <f t="shared" si="172"/>
        <v>9646.2800000000007</v>
      </c>
      <c r="X516" s="270">
        <f t="shared" si="172"/>
        <v>9646.2800000000007</v>
      </c>
      <c r="Y516" s="270">
        <f t="shared" si="172"/>
        <v>9646.2800000000007</v>
      </c>
      <c r="Z516" s="270">
        <f t="shared" si="172"/>
        <v>9646.2800000000007</v>
      </c>
      <c r="AA516" s="270">
        <f t="shared" si="172"/>
        <v>9646.2800000000007</v>
      </c>
      <c r="AB516" s="270">
        <f t="shared" si="172"/>
        <v>9646.2800000000007</v>
      </c>
      <c r="AC516" s="270">
        <f t="shared" si="172"/>
        <v>9646.2800000000007</v>
      </c>
      <c r="AD516" s="270">
        <f t="shared" si="176"/>
        <v>9646.2800000000007</v>
      </c>
      <c r="AE516" s="270">
        <f t="shared" si="176"/>
        <v>9646.2800000000007</v>
      </c>
      <c r="AF516" s="270">
        <f t="shared" si="176"/>
        <v>9646.2800000000007</v>
      </c>
      <c r="AG516" s="270">
        <f t="shared" si="176"/>
        <v>9646.2800000000007</v>
      </c>
      <c r="AH516" s="270">
        <f t="shared" si="176"/>
        <v>9646.2800000000007</v>
      </c>
      <c r="AI516" s="270">
        <f t="shared" si="176"/>
        <v>9646.2800000000007</v>
      </c>
      <c r="AJ516" s="270">
        <f t="shared" si="176"/>
        <v>9646.2800000000007</v>
      </c>
      <c r="AK516" s="270">
        <f t="shared" si="176"/>
        <v>9646.2800000000007</v>
      </c>
      <c r="AL516" s="270">
        <f t="shared" si="176"/>
        <v>9646.2800000000007</v>
      </c>
      <c r="AM516" s="270">
        <f t="shared" si="176"/>
        <v>9646.2800000000007</v>
      </c>
    </row>
    <row r="517" spans="2:39" ht="15.75" thickBot="1" x14ac:dyDescent="0.35">
      <c r="B517" s="56" t="str">
        <f>input_names!$C$3</f>
        <v>diesel</v>
      </c>
      <c r="C517" s="61">
        <v>115</v>
      </c>
      <c r="D517" s="270">
        <f t="shared" si="177"/>
        <v>7029</v>
      </c>
      <c r="E517" s="270">
        <f t="shared" si="177"/>
        <v>7767.64</v>
      </c>
      <c r="F517" s="270">
        <f t="shared" si="177"/>
        <v>8401.5</v>
      </c>
      <c r="G517" s="270">
        <f t="shared" si="177"/>
        <v>8983.76</v>
      </c>
      <c r="H517" s="270">
        <f t="shared" si="177"/>
        <v>9293.2200000000012</v>
      </c>
      <c r="I517" s="270">
        <f t="shared" si="177"/>
        <v>9915.5999999999985</v>
      </c>
      <c r="J517" s="270">
        <f t="shared" si="177"/>
        <v>5662.42</v>
      </c>
      <c r="K517" s="270">
        <f t="shared" si="177"/>
        <v>6298.8</v>
      </c>
      <c r="L517" s="270">
        <f t="shared" si="177"/>
        <v>7497.6</v>
      </c>
      <c r="M517" s="270">
        <f t="shared" si="177"/>
        <v>8928.08</v>
      </c>
      <c r="N517" s="270">
        <f t="shared" si="177"/>
        <v>9929.1500000000015</v>
      </c>
      <c r="O517" s="270">
        <f t="shared" si="177"/>
        <v>9929.1500000000015</v>
      </c>
      <c r="P517" s="270">
        <f t="shared" si="177"/>
        <v>9929.1500000000015</v>
      </c>
      <c r="Q517" s="270">
        <f t="shared" si="177"/>
        <v>9929.1500000000015</v>
      </c>
      <c r="R517" s="270">
        <f t="shared" si="177"/>
        <v>9929.1500000000015</v>
      </c>
      <c r="S517" s="270">
        <f t="shared" si="172"/>
        <v>9929.1500000000015</v>
      </c>
      <c r="T517" s="270">
        <f t="shared" si="172"/>
        <v>9929.1500000000015</v>
      </c>
      <c r="U517" s="270">
        <f t="shared" si="172"/>
        <v>9929.1500000000015</v>
      </c>
      <c r="V517" s="270">
        <f t="shared" si="172"/>
        <v>9929.1500000000015</v>
      </c>
      <c r="W517" s="270">
        <f t="shared" si="172"/>
        <v>9929.1500000000015</v>
      </c>
      <c r="X517" s="270">
        <f t="shared" si="172"/>
        <v>9929.1500000000015</v>
      </c>
      <c r="Y517" s="270">
        <f t="shared" si="172"/>
        <v>9929.1500000000015</v>
      </c>
      <c r="Z517" s="270">
        <f t="shared" si="172"/>
        <v>9929.1500000000015</v>
      </c>
      <c r="AA517" s="270">
        <f t="shared" si="172"/>
        <v>9929.1500000000015</v>
      </c>
      <c r="AB517" s="270">
        <f t="shared" si="172"/>
        <v>9929.1500000000015</v>
      </c>
      <c r="AC517" s="270">
        <f t="shared" si="172"/>
        <v>9929.1500000000015</v>
      </c>
      <c r="AD517" s="270">
        <f t="shared" si="176"/>
        <v>9929.1500000000015</v>
      </c>
      <c r="AE517" s="270">
        <f t="shared" si="176"/>
        <v>9929.1500000000015</v>
      </c>
      <c r="AF517" s="270">
        <f t="shared" si="176"/>
        <v>9929.1500000000015</v>
      </c>
      <c r="AG517" s="270">
        <f t="shared" si="176"/>
        <v>9929.1500000000015</v>
      </c>
      <c r="AH517" s="270">
        <f t="shared" si="176"/>
        <v>9929.1500000000015</v>
      </c>
      <c r="AI517" s="270">
        <f t="shared" si="176"/>
        <v>9929.1500000000015</v>
      </c>
      <c r="AJ517" s="270">
        <f t="shared" si="176"/>
        <v>9929.1500000000015</v>
      </c>
      <c r="AK517" s="270">
        <f t="shared" si="176"/>
        <v>9929.1500000000015</v>
      </c>
      <c r="AL517" s="270">
        <f t="shared" si="176"/>
        <v>9929.1500000000015</v>
      </c>
      <c r="AM517" s="270">
        <f t="shared" si="176"/>
        <v>9929.1500000000015</v>
      </c>
    </row>
    <row r="518" spans="2:39" ht="15.75" thickBot="1" x14ac:dyDescent="0.35">
      <c r="B518" s="56" t="str">
        <f>input_names!$C$3</f>
        <v>diesel</v>
      </c>
      <c r="C518" s="61">
        <v>116</v>
      </c>
      <c r="D518" s="270">
        <f t="shared" si="177"/>
        <v>7227</v>
      </c>
      <c r="E518" s="270">
        <f t="shared" si="177"/>
        <v>7977.0700000000006</v>
      </c>
      <c r="F518" s="270">
        <f t="shared" si="177"/>
        <v>8632.1899999999987</v>
      </c>
      <c r="G518" s="270">
        <f t="shared" si="177"/>
        <v>9210.14</v>
      </c>
      <c r="H518" s="270">
        <f t="shared" si="177"/>
        <v>9511.6500000000015</v>
      </c>
      <c r="I518" s="270">
        <f t="shared" si="177"/>
        <v>10132.450000000001</v>
      </c>
      <c r="J518" s="270">
        <f t="shared" si="177"/>
        <v>5878.01</v>
      </c>
      <c r="K518" s="270">
        <f t="shared" si="177"/>
        <v>6522.47</v>
      </c>
      <c r="L518" s="270">
        <f t="shared" si="177"/>
        <v>7740.9</v>
      </c>
      <c r="M518" s="270">
        <f t="shared" si="177"/>
        <v>9201.15</v>
      </c>
      <c r="N518" s="270">
        <f t="shared" si="177"/>
        <v>10212.02</v>
      </c>
      <c r="O518" s="270">
        <f t="shared" si="177"/>
        <v>10212.02</v>
      </c>
      <c r="P518" s="270">
        <f t="shared" si="177"/>
        <v>10212.02</v>
      </c>
      <c r="Q518" s="270">
        <f t="shared" si="177"/>
        <v>10212.02</v>
      </c>
      <c r="R518" s="270">
        <f t="shared" si="177"/>
        <v>10212.02</v>
      </c>
      <c r="S518" s="270">
        <f t="shared" si="172"/>
        <v>10212.02</v>
      </c>
      <c r="T518" s="270">
        <f t="shared" si="172"/>
        <v>10212.02</v>
      </c>
      <c r="U518" s="270">
        <f t="shared" si="172"/>
        <v>10212.02</v>
      </c>
      <c r="V518" s="270">
        <f t="shared" si="172"/>
        <v>10212.02</v>
      </c>
      <c r="W518" s="270">
        <f t="shared" si="172"/>
        <v>10212.02</v>
      </c>
      <c r="X518" s="270">
        <f t="shared" si="172"/>
        <v>10212.02</v>
      </c>
      <c r="Y518" s="270">
        <f t="shared" si="172"/>
        <v>10212.02</v>
      </c>
      <c r="Z518" s="270">
        <f t="shared" si="172"/>
        <v>10212.02</v>
      </c>
      <c r="AA518" s="270">
        <f t="shared" si="172"/>
        <v>10212.02</v>
      </c>
      <c r="AB518" s="270">
        <f t="shared" si="172"/>
        <v>10212.02</v>
      </c>
      <c r="AC518" s="270">
        <f t="shared" si="172"/>
        <v>10212.02</v>
      </c>
      <c r="AD518" s="270">
        <f t="shared" si="176"/>
        <v>10212.02</v>
      </c>
      <c r="AE518" s="270">
        <f t="shared" si="176"/>
        <v>10212.02</v>
      </c>
      <c r="AF518" s="270">
        <f t="shared" si="176"/>
        <v>10212.02</v>
      </c>
      <c r="AG518" s="270">
        <f t="shared" si="176"/>
        <v>10212.02</v>
      </c>
      <c r="AH518" s="270">
        <f t="shared" si="176"/>
        <v>10212.02</v>
      </c>
      <c r="AI518" s="270">
        <f t="shared" si="176"/>
        <v>10212.02</v>
      </c>
      <c r="AJ518" s="270">
        <f t="shared" si="176"/>
        <v>10212.02</v>
      </c>
      <c r="AK518" s="270">
        <f t="shared" si="176"/>
        <v>10212.02</v>
      </c>
      <c r="AL518" s="270">
        <f t="shared" si="176"/>
        <v>10212.02</v>
      </c>
      <c r="AM518" s="270">
        <f t="shared" si="176"/>
        <v>10212.02</v>
      </c>
    </row>
    <row r="519" spans="2:39" ht="15.75" thickBot="1" x14ac:dyDescent="0.35">
      <c r="B519" s="56" t="str">
        <f>input_names!$C$3</f>
        <v>diesel</v>
      </c>
      <c r="C519" s="61">
        <v>117</v>
      </c>
      <c r="D519" s="270">
        <f t="shared" si="177"/>
        <v>7425</v>
      </c>
      <c r="E519" s="270">
        <f t="shared" si="177"/>
        <v>8186.5</v>
      </c>
      <c r="F519" s="270">
        <f t="shared" si="177"/>
        <v>8862.880000000001</v>
      </c>
      <c r="G519" s="270">
        <f t="shared" si="177"/>
        <v>9436.52</v>
      </c>
      <c r="H519" s="270">
        <f t="shared" si="177"/>
        <v>9730.08</v>
      </c>
      <c r="I519" s="270">
        <f t="shared" si="177"/>
        <v>10349.299999999999</v>
      </c>
      <c r="J519" s="270">
        <f t="shared" si="177"/>
        <v>6093.6</v>
      </c>
      <c r="K519" s="270">
        <f t="shared" si="177"/>
        <v>6746.1399999999994</v>
      </c>
      <c r="L519" s="270">
        <f t="shared" si="177"/>
        <v>7984.2</v>
      </c>
      <c r="M519" s="270">
        <f t="shared" si="177"/>
        <v>9474.2199999999993</v>
      </c>
      <c r="N519" s="270">
        <f t="shared" si="177"/>
        <v>10494.89</v>
      </c>
      <c r="O519" s="270">
        <f t="shared" si="177"/>
        <v>10494.89</v>
      </c>
      <c r="P519" s="270">
        <f t="shared" si="177"/>
        <v>10494.89</v>
      </c>
      <c r="Q519" s="270">
        <f t="shared" si="177"/>
        <v>10494.89</v>
      </c>
      <c r="R519" s="270">
        <f t="shared" si="177"/>
        <v>10494.89</v>
      </c>
      <c r="S519" s="270">
        <f t="shared" si="172"/>
        <v>10494.89</v>
      </c>
      <c r="T519" s="270">
        <f t="shared" si="172"/>
        <v>10494.89</v>
      </c>
      <c r="U519" s="270">
        <f t="shared" si="172"/>
        <v>10494.89</v>
      </c>
      <c r="V519" s="270">
        <f t="shared" si="172"/>
        <v>10494.89</v>
      </c>
      <c r="W519" s="270">
        <f t="shared" si="172"/>
        <v>10494.89</v>
      </c>
      <c r="X519" s="270">
        <f t="shared" si="172"/>
        <v>10494.89</v>
      </c>
      <c r="Y519" s="270">
        <f t="shared" si="172"/>
        <v>10494.89</v>
      </c>
      <c r="Z519" s="270">
        <f t="shared" si="172"/>
        <v>10494.89</v>
      </c>
      <c r="AA519" s="270">
        <f t="shared" si="172"/>
        <v>10494.89</v>
      </c>
      <c r="AB519" s="270">
        <f t="shared" si="172"/>
        <v>10494.89</v>
      </c>
      <c r="AC519" s="270">
        <f t="shared" si="172"/>
        <v>10494.89</v>
      </c>
      <c r="AD519" s="270">
        <f t="shared" si="176"/>
        <v>10494.89</v>
      </c>
      <c r="AE519" s="270">
        <f t="shared" si="176"/>
        <v>10494.89</v>
      </c>
      <c r="AF519" s="270">
        <f t="shared" si="176"/>
        <v>10494.89</v>
      </c>
      <c r="AG519" s="270">
        <f t="shared" si="176"/>
        <v>10494.89</v>
      </c>
      <c r="AH519" s="270">
        <f t="shared" si="176"/>
        <v>10494.89</v>
      </c>
      <c r="AI519" s="270">
        <f t="shared" si="176"/>
        <v>10494.89</v>
      </c>
      <c r="AJ519" s="270">
        <f t="shared" si="176"/>
        <v>10494.89</v>
      </c>
      <c r="AK519" s="270">
        <f t="shared" si="176"/>
        <v>10494.89</v>
      </c>
      <c r="AL519" s="270">
        <f t="shared" si="176"/>
        <v>10494.89</v>
      </c>
      <c r="AM519" s="270">
        <f t="shared" si="176"/>
        <v>10494.89</v>
      </c>
    </row>
    <row r="520" spans="2:39" ht="15.75" thickBot="1" x14ac:dyDescent="0.35">
      <c r="B520" s="56" t="str">
        <f>input_names!$C$3</f>
        <v>diesel</v>
      </c>
      <c r="C520" s="61">
        <v>118</v>
      </c>
      <c r="D520" s="270">
        <f t="shared" si="177"/>
        <v>7623</v>
      </c>
      <c r="E520" s="270">
        <f t="shared" si="177"/>
        <v>8395.93</v>
      </c>
      <c r="F520" s="270">
        <f t="shared" si="177"/>
        <v>9093.57</v>
      </c>
      <c r="G520" s="270">
        <f t="shared" si="177"/>
        <v>9662.9</v>
      </c>
      <c r="H520" s="270">
        <f t="shared" si="177"/>
        <v>9948.51</v>
      </c>
      <c r="I520" s="270">
        <f t="shared" si="177"/>
        <v>10566.15</v>
      </c>
      <c r="J520" s="270">
        <f t="shared" si="177"/>
        <v>6309.1900000000005</v>
      </c>
      <c r="K520" s="270">
        <f t="shared" si="177"/>
        <v>6969.8099999999995</v>
      </c>
      <c r="L520" s="270">
        <f t="shared" si="177"/>
        <v>8227.5</v>
      </c>
      <c r="M520" s="270">
        <f t="shared" si="177"/>
        <v>9747.2900000000009</v>
      </c>
      <c r="N520" s="270">
        <f t="shared" si="177"/>
        <v>10777.76</v>
      </c>
      <c r="O520" s="270">
        <f t="shared" si="177"/>
        <v>10777.76</v>
      </c>
      <c r="P520" s="270">
        <f t="shared" si="177"/>
        <v>10777.76</v>
      </c>
      <c r="Q520" s="270">
        <f t="shared" si="177"/>
        <v>10777.76</v>
      </c>
      <c r="R520" s="270">
        <f t="shared" si="177"/>
        <v>10777.76</v>
      </c>
      <c r="S520" s="270">
        <f t="shared" si="172"/>
        <v>10777.76</v>
      </c>
      <c r="T520" s="270">
        <f t="shared" si="172"/>
        <v>10777.76</v>
      </c>
      <c r="U520" s="270">
        <f t="shared" si="172"/>
        <v>10777.76</v>
      </c>
      <c r="V520" s="270">
        <f t="shared" si="172"/>
        <v>10777.76</v>
      </c>
      <c r="W520" s="270">
        <f t="shared" si="172"/>
        <v>10777.76</v>
      </c>
      <c r="X520" s="270">
        <f t="shared" si="172"/>
        <v>10777.76</v>
      </c>
      <c r="Y520" s="270">
        <f t="shared" si="172"/>
        <v>10777.76</v>
      </c>
      <c r="Z520" s="270">
        <f t="shared" si="172"/>
        <v>10777.76</v>
      </c>
      <c r="AA520" s="270">
        <f t="shared" si="172"/>
        <v>10777.76</v>
      </c>
      <c r="AB520" s="270">
        <f t="shared" si="172"/>
        <v>10777.76</v>
      </c>
      <c r="AC520" s="270">
        <f t="shared" si="172"/>
        <v>10777.76</v>
      </c>
      <c r="AD520" s="270">
        <f t="shared" si="176"/>
        <v>10777.76</v>
      </c>
      <c r="AE520" s="270">
        <f t="shared" si="176"/>
        <v>10777.76</v>
      </c>
      <c r="AF520" s="270">
        <f t="shared" si="176"/>
        <v>10777.76</v>
      </c>
      <c r="AG520" s="270">
        <f t="shared" si="176"/>
        <v>10777.76</v>
      </c>
      <c r="AH520" s="270">
        <f t="shared" si="176"/>
        <v>10777.76</v>
      </c>
      <c r="AI520" s="270">
        <f t="shared" si="176"/>
        <v>10777.76</v>
      </c>
      <c r="AJ520" s="270">
        <f t="shared" si="176"/>
        <v>10777.76</v>
      </c>
      <c r="AK520" s="270">
        <f t="shared" si="176"/>
        <v>10777.76</v>
      </c>
      <c r="AL520" s="270">
        <f t="shared" si="176"/>
        <v>10777.76</v>
      </c>
      <c r="AM520" s="270">
        <f t="shared" si="176"/>
        <v>10777.76</v>
      </c>
    </row>
    <row r="521" spans="2:39" ht="15.75" thickBot="1" x14ac:dyDescent="0.35">
      <c r="B521" s="56" t="str">
        <f>input_names!$C$3</f>
        <v>diesel</v>
      </c>
      <c r="C521" s="61">
        <v>119</v>
      </c>
      <c r="D521" s="270">
        <f t="shared" si="177"/>
        <v>7821</v>
      </c>
      <c r="E521" s="270">
        <f t="shared" si="177"/>
        <v>8605.36</v>
      </c>
      <c r="F521" s="270">
        <f t="shared" si="177"/>
        <v>9324.26</v>
      </c>
      <c r="G521" s="270">
        <f t="shared" si="177"/>
        <v>9889.2799999999988</v>
      </c>
      <c r="H521" s="270">
        <f t="shared" si="177"/>
        <v>10166.94</v>
      </c>
      <c r="I521" s="270">
        <f t="shared" si="177"/>
        <v>10783</v>
      </c>
      <c r="J521" s="270">
        <f t="shared" si="177"/>
        <v>6524.7800000000007</v>
      </c>
      <c r="K521" s="270">
        <f t="shared" si="177"/>
        <v>7193.48</v>
      </c>
      <c r="L521" s="270">
        <f t="shared" si="177"/>
        <v>8470.7999999999993</v>
      </c>
      <c r="M521" s="270">
        <f t="shared" si="177"/>
        <v>10020.36</v>
      </c>
      <c r="N521" s="270">
        <f t="shared" si="177"/>
        <v>11060.630000000001</v>
      </c>
      <c r="O521" s="270">
        <f t="shared" si="177"/>
        <v>11060.630000000001</v>
      </c>
      <c r="P521" s="270">
        <f t="shared" si="177"/>
        <v>11060.630000000001</v>
      </c>
      <c r="Q521" s="270">
        <f t="shared" si="177"/>
        <v>11060.630000000001</v>
      </c>
      <c r="R521" s="270">
        <f t="shared" si="177"/>
        <v>11060.630000000001</v>
      </c>
      <c r="S521" s="270">
        <f t="shared" si="172"/>
        <v>11060.630000000001</v>
      </c>
      <c r="T521" s="270">
        <f t="shared" si="172"/>
        <v>11060.630000000001</v>
      </c>
      <c r="U521" s="270">
        <f t="shared" si="172"/>
        <v>11060.630000000001</v>
      </c>
      <c r="V521" s="270">
        <f t="shared" si="172"/>
        <v>11060.630000000001</v>
      </c>
      <c r="W521" s="270">
        <f t="shared" si="172"/>
        <v>11060.630000000001</v>
      </c>
      <c r="X521" s="270">
        <f t="shared" si="172"/>
        <v>11060.630000000001</v>
      </c>
      <c r="Y521" s="270">
        <f t="shared" si="172"/>
        <v>11060.630000000001</v>
      </c>
      <c r="Z521" s="270">
        <f t="shared" si="172"/>
        <v>11060.630000000001</v>
      </c>
      <c r="AA521" s="270">
        <f t="shared" si="172"/>
        <v>11060.630000000001</v>
      </c>
      <c r="AB521" s="270">
        <f t="shared" si="172"/>
        <v>11060.630000000001</v>
      </c>
      <c r="AC521" s="270">
        <f t="shared" si="172"/>
        <v>11060.630000000001</v>
      </c>
      <c r="AD521" s="270">
        <f t="shared" si="176"/>
        <v>11060.630000000001</v>
      </c>
      <c r="AE521" s="270">
        <f t="shared" si="176"/>
        <v>11060.630000000001</v>
      </c>
      <c r="AF521" s="270">
        <f t="shared" si="176"/>
        <v>11060.630000000001</v>
      </c>
      <c r="AG521" s="270">
        <f t="shared" si="176"/>
        <v>11060.630000000001</v>
      </c>
      <c r="AH521" s="270">
        <f t="shared" si="176"/>
        <v>11060.630000000001</v>
      </c>
      <c r="AI521" s="270">
        <f t="shared" si="176"/>
        <v>11060.630000000001</v>
      </c>
      <c r="AJ521" s="270">
        <f t="shared" si="176"/>
        <v>11060.630000000001</v>
      </c>
      <c r="AK521" s="270">
        <f t="shared" si="176"/>
        <v>11060.630000000001</v>
      </c>
      <c r="AL521" s="270">
        <f t="shared" si="176"/>
        <v>11060.630000000001</v>
      </c>
      <c r="AM521" s="270">
        <f t="shared" si="176"/>
        <v>11060.630000000001</v>
      </c>
    </row>
    <row r="522" spans="2:39" ht="15.75" thickBot="1" x14ac:dyDescent="0.35">
      <c r="B522" s="56" t="str">
        <f>input_names!$C$3</f>
        <v>diesel</v>
      </c>
      <c r="C522" s="61">
        <v>120</v>
      </c>
      <c r="D522" s="270">
        <f t="shared" si="177"/>
        <v>8019</v>
      </c>
      <c r="E522" s="270">
        <f t="shared" si="177"/>
        <v>8814.7900000000009</v>
      </c>
      <c r="F522" s="270">
        <f t="shared" si="177"/>
        <v>9554.9500000000007</v>
      </c>
      <c r="G522" s="270">
        <f t="shared" si="177"/>
        <v>10115.66</v>
      </c>
      <c r="H522" s="270">
        <f t="shared" si="177"/>
        <v>10385.370000000001</v>
      </c>
      <c r="I522" s="270">
        <f t="shared" si="177"/>
        <v>10999.849999999999</v>
      </c>
      <c r="J522" s="270">
        <f t="shared" si="177"/>
        <v>6740.3700000000008</v>
      </c>
      <c r="K522" s="270">
        <f t="shared" si="177"/>
        <v>7417.15</v>
      </c>
      <c r="L522" s="270">
        <f t="shared" si="177"/>
        <v>8714.0999999999985</v>
      </c>
      <c r="M522" s="270">
        <f t="shared" si="177"/>
        <v>10293.43</v>
      </c>
      <c r="N522" s="270">
        <f t="shared" si="177"/>
        <v>11343.5</v>
      </c>
      <c r="O522" s="270">
        <f t="shared" si="177"/>
        <v>11343.5</v>
      </c>
      <c r="P522" s="270">
        <f t="shared" si="177"/>
        <v>11343.5</v>
      </c>
      <c r="Q522" s="270">
        <f t="shared" si="177"/>
        <v>11343.5</v>
      </c>
      <c r="R522" s="270">
        <f t="shared" si="177"/>
        <v>11343.5</v>
      </c>
      <c r="S522" s="270">
        <f t="shared" si="172"/>
        <v>11343.5</v>
      </c>
      <c r="T522" s="270">
        <f t="shared" si="172"/>
        <v>11343.5</v>
      </c>
      <c r="U522" s="270">
        <f t="shared" si="172"/>
        <v>11343.5</v>
      </c>
      <c r="V522" s="270">
        <f t="shared" si="172"/>
        <v>11343.5</v>
      </c>
      <c r="W522" s="270">
        <f t="shared" si="172"/>
        <v>11343.5</v>
      </c>
      <c r="X522" s="270">
        <f t="shared" si="172"/>
        <v>11343.5</v>
      </c>
      <c r="Y522" s="270">
        <f t="shared" si="172"/>
        <v>11343.5</v>
      </c>
      <c r="Z522" s="270">
        <f t="shared" si="172"/>
        <v>11343.5</v>
      </c>
      <c r="AA522" s="270">
        <f t="shared" si="172"/>
        <v>11343.5</v>
      </c>
      <c r="AB522" s="270">
        <f t="shared" si="172"/>
        <v>11343.5</v>
      </c>
      <c r="AC522" s="270">
        <f t="shared" si="172"/>
        <v>11343.5</v>
      </c>
      <c r="AD522" s="270">
        <f t="shared" si="176"/>
        <v>11343.5</v>
      </c>
      <c r="AE522" s="270">
        <f t="shared" si="176"/>
        <v>11343.5</v>
      </c>
      <c r="AF522" s="270">
        <f t="shared" si="176"/>
        <v>11343.5</v>
      </c>
      <c r="AG522" s="270">
        <f t="shared" si="176"/>
        <v>11343.5</v>
      </c>
      <c r="AH522" s="270">
        <f t="shared" si="176"/>
        <v>11343.5</v>
      </c>
      <c r="AI522" s="270">
        <f t="shared" si="176"/>
        <v>11343.5</v>
      </c>
      <c r="AJ522" s="270">
        <f t="shared" si="176"/>
        <v>11343.5</v>
      </c>
      <c r="AK522" s="270">
        <f t="shared" si="176"/>
        <v>11343.5</v>
      </c>
      <c r="AL522" s="270">
        <f t="shared" si="176"/>
        <v>11343.5</v>
      </c>
      <c r="AM522" s="270">
        <f t="shared" si="176"/>
        <v>11343.5</v>
      </c>
    </row>
    <row r="523" spans="2:39" ht="15.75" thickBot="1" x14ac:dyDescent="0.35">
      <c r="B523" s="56" t="str">
        <f>input_names!$C$3</f>
        <v>diesel</v>
      </c>
      <c r="C523" s="61">
        <v>121</v>
      </c>
      <c r="D523" s="270">
        <f t="shared" si="177"/>
        <v>8217</v>
      </c>
      <c r="E523" s="270">
        <f t="shared" si="177"/>
        <v>9024.2200000000012</v>
      </c>
      <c r="F523" s="270">
        <f t="shared" si="177"/>
        <v>9785.64</v>
      </c>
      <c r="G523" s="270">
        <f t="shared" si="177"/>
        <v>10342.040000000001</v>
      </c>
      <c r="H523" s="270">
        <f t="shared" si="177"/>
        <v>10603.8</v>
      </c>
      <c r="I523" s="270">
        <f t="shared" si="177"/>
        <v>11216.7</v>
      </c>
      <c r="J523" s="270">
        <f t="shared" si="177"/>
        <v>6955.96</v>
      </c>
      <c r="K523" s="270">
        <f t="shared" si="177"/>
        <v>7640.82</v>
      </c>
      <c r="L523" s="270">
        <f t="shared" si="177"/>
        <v>8957.4</v>
      </c>
      <c r="M523" s="270">
        <f t="shared" si="177"/>
        <v>10566.5</v>
      </c>
      <c r="N523" s="270">
        <f t="shared" si="177"/>
        <v>11626.369999999999</v>
      </c>
      <c r="O523" s="270">
        <f t="shared" si="177"/>
        <v>11626.369999999999</v>
      </c>
      <c r="P523" s="270">
        <f t="shared" si="177"/>
        <v>11626.369999999999</v>
      </c>
      <c r="Q523" s="270">
        <f t="shared" si="177"/>
        <v>11626.369999999999</v>
      </c>
      <c r="R523" s="270">
        <f t="shared" si="177"/>
        <v>11626.369999999999</v>
      </c>
      <c r="S523" s="270">
        <f t="shared" si="172"/>
        <v>11626.369999999999</v>
      </c>
      <c r="T523" s="270">
        <f t="shared" si="172"/>
        <v>11626.369999999999</v>
      </c>
      <c r="U523" s="270">
        <f t="shared" si="172"/>
        <v>11626.369999999999</v>
      </c>
      <c r="V523" s="270">
        <f t="shared" si="172"/>
        <v>11626.369999999999</v>
      </c>
      <c r="W523" s="270">
        <f t="shared" si="172"/>
        <v>11626.369999999999</v>
      </c>
      <c r="X523" s="270">
        <f t="shared" si="172"/>
        <v>11626.369999999999</v>
      </c>
      <c r="Y523" s="270">
        <f t="shared" si="172"/>
        <v>11626.369999999999</v>
      </c>
      <c r="Z523" s="270">
        <f t="shared" si="172"/>
        <v>11626.369999999999</v>
      </c>
      <c r="AA523" s="270">
        <f t="shared" si="172"/>
        <v>11626.369999999999</v>
      </c>
      <c r="AB523" s="270">
        <f t="shared" si="172"/>
        <v>11626.369999999999</v>
      </c>
      <c r="AC523" s="270">
        <f t="shared" si="172"/>
        <v>11626.369999999999</v>
      </c>
      <c r="AD523" s="270">
        <f t="shared" si="176"/>
        <v>11626.369999999999</v>
      </c>
      <c r="AE523" s="270">
        <f t="shared" si="176"/>
        <v>11626.369999999999</v>
      </c>
      <c r="AF523" s="270">
        <f t="shared" si="176"/>
        <v>11626.369999999999</v>
      </c>
      <c r="AG523" s="270">
        <f t="shared" si="176"/>
        <v>11626.369999999999</v>
      </c>
      <c r="AH523" s="270">
        <f t="shared" si="176"/>
        <v>11626.369999999999</v>
      </c>
      <c r="AI523" s="270">
        <f t="shared" si="176"/>
        <v>11626.369999999999</v>
      </c>
      <c r="AJ523" s="270">
        <f t="shared" si="176"/>
        <v>11626.369999999999</v>
      </c>
      <c r="AK523" s="270">
        <f t="shared" si="176"/>
        <v>11626.369999999999</v>
      </c>
      <c r="AL523" s="270">
        <f t="shared" si="176"/>
        <v>11626.369999999999</v>
      </c>
      <c r="AM523" s="270">
        <f t="shared" si="176"/>
        <v>11626.369999999999</v>
      </c>
    </row>
    <row r="524" spans="2:39" ht="15.75" thickBot="1" x14ac:dyDescent="0.35">
      <c r="B524" s="56" t="str">
        <f>input_names!$C$3</f>
        <v>diesel</v>
      </c>
      <c r="C524" s="61">
        <v>122</v>
      </c>
      <c r="D524" s="270">
        <f t="shared" si="177"/>
        <v>8415</v>
      </c>
      <c r="E524" s="270">
        <f t="shared" si="177"/>
        <v>9233.6500000000015</v>
      </c>
      <c r="F524" s="270">
        <f t="shared" si="177"/>
        <v>10016.33</v>
      </c>
      <c r="G524" s="270">
        <f t="shared" si="177"/>
        <v>10568.42</v>
      </c>
      <c r="H524" s="270">
        <f t="shared" si="177"/>
        <v>10822.23</v>
      </c>
      <c r="I524" s="270">
        <f t="shared" si="177"/>
        <v>11433.55</v>
      </c>
      <c r="J524" s="270">
        <f t="shared" si="177"/>
        <v>7171.55</v>
      </c>
      <c r="K524" s="270">
        <f t="shared" si="177"/>
        <v>7864.49</v>
      </c>
      <c r="L524" s="270">
        <f t="shared" si="177"/>
        <v>9200.7000000000007</v>
      </c>
      <c r="M524" s="270">
        <f t="shared" si="177"/>
        <v>10839.57</v>
      </c>
      <c r="N524" s="270">
        <f t="shared" si="177"/>
        <v>11909.24</v>
      </c>
      <c r="O524" s="270">
        <f t="shared" si="177"/>
        <v>11909.24</v>
      </c>
      <c r="P524" s="270">
        <f t="shared" si="177"/>
        <v>11909.24</v>
      </c>
      <c r="Q524" s="270">
        <f t="shared" si="177"/>
        <v>11909.24</v>
      </c>
      <c r="R524" s="270">
        <f t="shared" si="177"/>
        <v>11909.24</v>
      </c>
      <c r="S524" s="270">
        <f t="shared" si="172"/>
        <v>11909.24</v>
      </c>
      <c r="T524" s="270">
        <f t="shared" si="172"/>
        <v>11909.24</v>
      </c>
      <c r="U524" s="270">
        <f t="shared" si="172"/>
        <v>11909.24</v>
      </c>
      <c r="V524" s="270">
        <f t="shared" si="172"/>
        <v>11909.24</v>
      </c>
      <c r="W524" s="270">
        <f t="shared" si="172"/>
        <v>11909.24</v>
      </c>
      <c r="X524" s="270">
        <f t="shared" si="172"/>
        <v>11909.24</v>
      </c>
      <c r="Y524" s="270">
        <f t="shared" si="172"/>
        <v>11909.24</v>
      </c>
      <c r="Z524" s="270">
        <f t="shared" si="172"/>
        <v>11909.24</v>
      </c>
      <c r="AA524" s="270">
        <f t="shared" si="172"/>
        <v>11909.24</v>
      </c>
      <c r="AB524" s="270">
        <f t="shared" si="172"/>
        <v>11909.24</v>
      </c>
      <c r="AC524" s="270">
        <f t="shared" si="172"/>
        <v>11909.24</v>
      </c>
      <c r="AD524" s="270">
        <f t="shared" si="176"/>
        <v>11909.24</v>
      </c>
      <c r="AE524" s="270">
        <f t="shared" si="176"/>
        <v>11909.24</v>
      </c>
      <c r="AF524" s="270">
        <f t="shared" si="176"/>
        <v>11909.24</v>
      </c>
      <c r="AG524" s="270">
        <f t="shared" si="176"/>
        <v>11909.24</v>
      </c>
      <c r="AH524" s="270">
        <f t="shared" si="176"/>
        <v>11909.24</v>
      </c>
      <c r="AI524" s="270">
        <f t="shared" si="176"/>
        <v>11909.24</v>
      </c>
      <c r="AJ524" s="270">
        <f t="shared" si="176"/>
        <v>11909.24</v>
      </c>
      <c r="AK524" s="270">
        <f t="shared" si="176"/>
        <v>11909.24</v>
      </c>
      <c r="AL524" s="270">
        <f t="shared" si="176"/>
        <v>11909.24</v>
      </c>
      <c r="AM524" s="270">
        <f t="shared" si="176"/>
        <v>11909.24</v>
      </c>
    </row>
    <row r="525" spans="2:39" ht="15.75" thickBot="1" x14ac:dyDescent="0.35">
      <c r="B525" s="56" t="str">
        <f>input_names!$C$3</f>
        <v>diesel</v>
      </c>
      <c r="C525" s="61">
        <v>123</v>
      </c>
      <c r="D525" s="270">
        <f t="shared" si="177"/>
        <v>8613</v>
      </c>
      <c r="E525" s="270">
        <f t="shared" si="177"/>
        <v>9443.08</v>
      </c>
      <c r="F525" s="270">
        <f t="shared" si="177"/>
        <v>10247.02</v>
      </c>
      <c r="G525" s="270">
        <f t="shared" si="177"/>
        <v>10794.8</v>
      </c>
      <c r="H525" s="270">
        <f t="shared" si="177"/>
        <v>11040.66</v>
      </c>
      <c r="I525" s="270">
        <f t="shared" si="177"/>
        <v>11650.4</v>
      </c>
      <c r="J525" s="270">
        <f t="shared" si="177"/>
        <v>7387.14</v>
      </c>
      <c r="K525" s="270">
        <f t="shared" si="177"/>
        <v>8088.16</v>
      </c>
      <c r="L525" s="270">
        <f t="shared" si="177"/>
        <v>9444</v>
      </c>
      <c r="M525" s="270">
        <f t="shared" si="177"/>
        <v>11112.64</v>
      </c>
      <c r="N525" s="270">
        <f t="shared" si="177"/>
        <v>12192.11</v>
      </c>
      <c r="O525" s="270">
        <f t="shared" si="177"/>
        <v>12192.11</v>
      </c>
      <c r="P525" s="270">
        <f t="shared" si="177"/>
        <v>12192.11</v>
      </c>
      <c r="Q525" s="270">
        <f t="shared" si="177"/>
        <v>12192.11</v>
      </c>
      <c r="R525" s="270">
        <f t="shared" si="177"/>
        <v>12192.11</v>
      </c>
      <c r="S525" s="270">
        <f t="shared" si="172"/>
        <v>12192.11</v>
      </c>
      <c r="T525" s="270">
        <f t="shared" si="172"/>
        <v>12192.11</v>
      </c>
      <c r="U525" s="270">
        <f t="shared" si="172"/>
        <v>12192.11</v>
      </c>
      <c r="V525" s="270">
        <f t="shared" si="172"/>
        <v>12192.11</v>
      </c>
      <c r="W525" s="270">
        <f t="shared" si="172"/>
        <v>12192.11</v>
      </c>
      <c r="X525" s="270">
        <f t="shared" si="172"/>
        <v>12192.11</v>
      </c>
      <c r="Y525" s="270">
        <f t="shared" si="172"/>
        <v>12192.11</v>
      </c>
      <c r="Z525" s="270">
        <f t="shared" si="172"/>
        <v>12192.11</v>
      </c>
      <c r="AA525" s="270">
        <f t="shared" si="172"/>
        <v>12192.11</v>
      </c>
      <c r="AB525" s="270">
        <f t="shared" si="172"/>
        <v>12192.11</v>
      </c>
      <c r="AC525" s="270">
        <f t="shared" si="172"/>
        <v>12192.11</v>
      </c>
      <c r="AD525" s="270">
        <f t="shared" si="176"/>
        <v>12192.11</v>
      </c>
      <c r="AE525" s="270">
        <f t="shared" si="176"/>
        <v>12192.11</v>
      </c>
      <c r="AF525" s="270">
        <f t="shared" si="176"/>
        <v>12192.11</v>
      </c>
      <c r="AG525" s="270">
        <f t="shared" si="176"/>
        <v>12192.11</v>
      </c>
      <c r="AH525" s="270">
        <f t="shared" si="176"/>
        <v>12192.11</v>
      </c>
      <c r="AI525" s="270">
        <f t="shared" si="176"/>
        <v>12192.11</v>
      </c>
      <c r="AJ525" s="270">
        <f t="shared" si="176"/>
        <v>12192.11</v>
      </c>
      <c r="AK525" s="270">
        <f t="shared" si="176"/>
        <v>12192.11</v>
      </c>
      <c r="AL525" s="270">
        <f t="shared" si="176"/>
        <v>12192.11</v>
      </c>
      <c r="AM525" s="270">
        <f t="shared" si="176"/>
        <v>12192.11</v>
      </c>
    </row>
    <row r="526" spans="2:39" ht="15.75" thickBot="1" x14ac:dyDescent="0.35">
      <c r="B526" s="56" t="str">
        <f>input_names!$C$3</f>
        <v>diesel</v>
      </c>
      <c r="C526" s="61">
        <v>124</v>
      </c>
      <c r="D526" s="270">
        <f t="shared" si="177"/>
        <v>8811</v>
      </c>
      <c r="E526" s="270">
        <f t="shared" si="177"/>
        <v>9652.51</v>
      </c>
      <c r="F526" s="270">
        <f t="shared" si="177"/>
        <v>10477.709999999999</v>
      </c>
      <c r="G526" s="270">
        <f t="shared" si="177"/>
        <v>11021.18</v>
      </c>
      <c r="H526" s="270">
        <f t="shared" si="177"/>
        <v>11259.09</v>
      </c>
      <c r="I526" s="270">
        <f t="shared" si="177"/>
        <v>11867.25</v>
      </c>
      <c r="J526" s="270">
        <f t="shared" si="177"/>
        <v>7602.73</v>
      </c>
      <c r="K526" s="270">
        <f t="shared" si="177"/>
        <v>8311.83</v>
      </c>
      <c r="L526" s="270">
        <f t="shared" si="177"/>
        <v>9687.2999999999993</v>
      </c>
      <c r="M526" s="270">
        <f t="shared" si="177"/>
        <v>11385.71</v>
      </c>
      <c r="N526" s="270">
        <f t="shared" si="177"/>
        <v>12474.98</v>
      </c>
      <c r="O526" s="270">
        <f t="shared" si="177"/>
        <v>12474.98</v>
      </c>
      <c r="P526" s="270">
        <f t="shared" si="177"/>
        <v>12474.98</v>
      </c>
      <c r="Q526" s="270">
        <f t="shared" si="177"/>
        <v>12474.98</v>
      </c>
      <c r="R526" s="270">
        <f t="shared" si="177"/>
        <v>12474.98</v>
      </c>
      <c r="S526" s="270">
        <f t="shared" si="172"/>
        <v>12474.98</v>
      </c>
      <c r="T526" s="270">
        <f t="shared" si="172"/>
        <v>12474.98</v>
      </c>
      <c r="U526" s="270">
        <f t="shared" si="172"/>
        <v>12474.98</v>
      </c>
      <c r="V526" s="270">
        <f t="shared" si="172"/>
        <v>12474.98</v>
      </c>
      <c r="W526" s="270">
        <f t="shared" si="172"/>
        <v>12474.98</v>
      </c>
      <c r="X526" s="270">
        <f t="shared" si="172"/>
        <v>12474.98</v>
      </c>
      <c r="Y526" s="270">
        <f t="shared" si="172"/>
        <v>12474.98</v>
      </c>
      <c r="Z526" s="270">
        <f t="shared" si="172"/>
        <v>12474.98</v>
      </c>
      <c r="AA526" s="270">
        <f t="shared" si="172"/>
        <v>12474.98</v>
      </c>
      <c r="AB526" s="270">
        <f t="shared" si="172"/>
        <v>12474.98</v>
      </c>
      <c r="AC526" s="270">
        <f t="shared" si="172"/>
        <v>12474.98</v>
      </c>
      <c r="AD526" s="270">
        <f t="shared" si="176"/>
        <v>12474.98</v>
      </c>
      <c r="AE526" s="270">
        <f t="shared" si="176"/>
        <v>12474.98</v>
      </c>
      <c r="AF526" s="270">
        <f t="shared" si="176"/>
        <v>12474.98</v>
      </c>
      <c r="AG526" s="270">
        <f t="shared" si="176"/>
        <v>12474.98</v>
      </c>
      <c r="AH526" s="270">
        <f t="shared" si="176"/>
        <v>12474.98</v>
      </c>
      <c r="AI526" s="270">
        <f t="shared" si="176"/>
        <v>12474.98</v>
      </c>
      <c r="AJ526" s="270">
        <f t="shared" si="176"/>
        <v>12474.98</v>
      </c>
      <c r="AK526" s="270">
        <f t="shared" si="176"/>
        <v>12474.98</v>
      </c>
      <c r="AL526" s="270">
        <f t="shared" si="176"/>
        <v>12474.98</v>
      </c>
      <c r="AM526" s="270">
        <f t="shared" si="176"/>
        <v>12474.98</v>
      </c>
    </row>
    <row r="527" spans="2:39" ht="15.75" thickBot="1" x14ac:dyDescent="0.35">
      <c r="B527" s="56" t="str">
        <f>input_names!$C$3</f>
        <v>diesel</v>
      </c>
      <c r="C527" s="61">
        <v>125</v>
      </c>
      <c r="D527" s="270">
        <f t="shared" si="177"/>
        <v>9009</v>
      </c>
      <c r="E527" s="270">
        <f t="shared" si="177"/>
        <v>9861.94</v>
      </c>
      <c r="F527" s="270">
        <f t="shared" si="177"/>
        <v>10708.4</v>
      </c>
      <c r="G527" s="270">
        <f t="shared" si="177"/>
        <v>11247.56</v>
      </c>
      <c r="H527" s="270">
        <f t="shared" si="177"/>
        <v>11477.52</v>
      </c>
      <c r="I527" s="270">
        <f t="shared" si="177"/>
        <v>12084.099999999999</v>
      </c>
      <c r="J527" s="270">
        <f t="shared" si="177"/>
        <v>7818.32</v>
      </c>
      <c r="K527" s="270">
        <f t="shared" si="177"/>
        <v>8535.5</v>
      </c>
      <c r="L527" s="270">
        <f t="shared" si="177"/>
        <v>9930.5999999999985</v>
      </c>
      <c r="M527" s="270">
        <f t="shared" si="177"/>
        <v>11658.779999999999</v>
      </c>
      <c r="N527" s="270">
        <f t="shared" si="177"/>
        <v>12757.85</v>
      </c>
      <c r="O527" s="270">
        <f t="shared" si="177"/>
        <v>12757.85</v>
      </c>
      <c r="P527" s="270">
        <f t="shared" si="177"/>
        <v>12757.85</v>
      </c>
      <c r="Q527" s="270">
        <f t="shared" si="177"/>
        <v>12757.85</v>
      </c>
      <c r="R527" s="270">
        <f t="shared" si="177"/>
        <v>12757.85</v>
      </c>
      <c r="S527" s="270">
        <f t="shared" si="172"/>
        <v>12757.85</v>
      </c>
      <c r="T527" s="270">
        <f t="shared" si="172"/>
        <v>12757.85</v>
      </c>
      <c r="U527" s="270">
        <f t="shared" si="172"/>
        <v>12757.85</v>
      </c>
      <c r="V527" s="270">
        <f t="shared" si="172"/>
        <v>12757.85</v>
      </c>
      <c r="W527" s="270">
        <f t="shared" si="172"/>
        <v>12757.85</v>
      </c>
      <c r="X527" s="270">
        <f t="shared" si="172"/>
        <v>12757.85</v>
      </c>
      <c r="Y527" s="270">
        <f t="shared" si="172"/>
        <v>12757.85</v>
      </c>
      <c r="Z527" s="270">
        <f t="shared" si="172"/>
        <v>12757.85</v>
      </c>
      <c r="AA527" s="270">
        <f t="shared" si="172"/>
        <v>12757.85</v>
      </c>
      <c r="AB527" s="270">
        <f t="shared" si="172"/>
        <v>12757.85</v>
      </c>
      <c r="AC527" s="270">
        <f t="shared" si="172"/>
        <v>12757.85</v>
      </c>
      <c r="AD527" s="270">
        <f t="shared" si="176"/>
        <v>12757.85</v>
      </c>
      <c r="AE527" s="270">
        <f t="shared" si="176"/>
        <v>12757.85</v>
      </c>
      <c r="AF527" s="270">
        <f t="shared" si="176"/>
        <v>12757.85</v>
      </c>
      <c r="AG527" s="270">
        <f t="shared" si="176"/>
        <v>12757.85</v>
      </c>
      <c r="AH527" s="270">
        <f t="shared" si="176"/>
        <v>12757.85</v>
      </c>
      <c r="AI527" s="270">
        <f t="shared" si="176"/>
        <v>12757.85</v>
      </c>
      <c r="AJ527" s="270">
        <f t="shared" si="176"/>
        <v>12757.85</v>
      </c>
      <c r="AK527" s="270">
        <f t="shared" si="176"/>
        <v>12757.85</v>
      </c>
      <c r="AL527" s="270">
        <f t="shared" si="176"/>
        <v>12757.85</v>
      </c>
      <c r="AM527" s="270">
        <f t="shared" si="176"/>
        <v>12757.85</v>
      </c>
    </row>
    <row r="528" spans="2:39" ht="15.75" thickBot="1" x14ac:dyDescent="0.35">
      <c r="B528" s="56" t="str">
        <f>input_names!$C$3</f>
        <v>diesel</v>
      </c>
      <c r="C528" s="61">
        <v>126</v>
      </c>
      <c r="D528" s="270">
        <f t="shared" si="177"/>
        <v>9207</v>
      </c>
      <c r="E528" s="270">
        <f t="shared" si="177"/>
        <v>10071.370000000001</v>
      </c>
      <c r="F528" s="270">
        <f t="shared" si="177"/>
        <v>10939.09</v>
      </c>
      <c r="G528" s="270">
        <f t="shared" si="177"/>
        <v>11473.939999999999</v>
      </c>
      <c r="H528" s="270">
        <f t="shared" si="177"/>
        <v>11695.95</v>
      </c>
      <c r="I528" s="270">
        <f t="shared" si="177"/>
        <v>12300.95</v>
      </c>
      <c r="J528" s="270">
        <f t="shared" si="177"/>
        <v>8033.91</v>
      </c>
      <c r="K528" s="270">
        <f t="shared" si="177"/>
        <v>8759.17</v>
      </c>
      <c r="L528" s="270">
        <f t="shared" si="177"/>
        <v>10173.9</v>
      </c>
      <c r="M528" s="270">
        <f t="shared" si="177"/>
        <v>11931.849999999999</v>
      </c>
      <c r="N528" s="270">
        <f t="shared" si="177"/>
        <v>13040.720000000001</v>
      </c>
      <c r="O528" s="270">
        <f t="shared" si="177"/>
        <v>13040.720000000001</v>
      </c>
      <c r="P528" s="270">
        <f t="shared" si="177"/>
        <v>13040.720000000001</v>
      </c>
      <c r="Q528" s="270">
        <f t="shared" si="177"/>
        <v>13040.720000000001</v>
      </c>
      <c r="R528" s="270">
        <f t="shared" si="177"/>
        <v>13040.720000000001</v>
      </c>
      <c r="S528" s="270">
        <f t="shared" si="172"/>
        <v>13040.720000000001</v>
      </c>
      <c r="T528" s="270">
        <f t="shared" si="172"/>
        <v>13040.720000000001</v>
      </c>
      <c r="U528" s="270">
        <f t="shared" si="172"/>
        <v>13040.720000000001</v>
      </c>
      <c r="V528" s="270">
        <f t="shared" si="172"/>
        <v>13040.720000000001</v>
      </c>
      <c r="W528" s="270">
        <f t="shared" si="172"/>
        <v>13040.720000000001</v>
      </c>
      <c r="X528" s="270">
        <f t="shared" si="172"/>
        <v>13040.720000000001</v>
      </c>
      <c r="Y528" s="270">
        <f t="shared" si="172"/>
        <v>13040.720000000001</v>
      </c>
      <c r="Z528" s="270">
        <f t="shared" si="172"/>
        <v>13040.720000000001</v>
      </c>
      <c r="AA528" s="270">
        <f t="shared" si="172"/>
        <v>13040.720000000001</v>
      </c>
      <c r="AB528" s="270">
        <f t="shared" si="172"/>
        <v>13040.720000000001</v>
      </c>
      <c r="AC528" s="270">
        <f t="shared" si="172"/>
        <v>13040.720000000001</v>
      </c>
      <c r="AD528" s="270">
        <f t="shared" si="176"/>
        <v>13040.720000000001</v>
      </c>
      <c r="AE528" s="270">
        <f t="shared" si="176"/>
        <v>13040.720000000001</v>
      </c>
      <c r="AF528" s="270">
        <f t="shared" si="176"/>
        <v>13040.720000000001</v>
      </c>
      <c r="AG528" s="270">
        <f t="shared" si="176"/>
        <v>13040.720000000001</v>
      </c>
      <c r="AH528" s="270">
        <f t="shared" si="176"/>
        <v>13040.720000000001</v>
      </c>
      <c r="AI528" s="270">
        <f t="shared" si="176"/>
        <v>13040.720000000001</v>
      </c>
      <c r="AJ528" s="270">
        <f t="shared" si="176"/>
        <v>13040.720000000001</v>
      </c>
      <c r="AK528" s="270">
        <f t="shared" si="176"/>
        <v>13040.720000000001</v>
      </c>
      <c r="AL528" s="270">
        <f t="shared" si="176"/>
        <v>13040.720000000001</v>
      </c>
      <c r="AM528" s="270">
        <f t="shared" si="176"/>
        <v>13040.720000000001</v>
      </c>
    </row>
    <row r="529" spans="2:39" ht="15.75" thickBot="1" x14ac:dyDescent="0.35">
      <c r="B529" s="56" t="str">
        <f>input_names!$C$3</f>
        <v>diesel</v>
      </c>
      <c r="C529" s="61">
        <v>127</v>
      </c>
      <c r="D529" s="270">
        <f t="shared" si="177"/>
        <v>9405</v>
      </c>
      <c r="E529" s="270">
        <f t="shared" si="177"/>
        <v>10280.799999999999</v>
      </c>
      <c r="F529" s="270">
        <f t="shared" si="177"/>
        <v>11169.779999999999</v>
      </c>
      <c r="G529" s="270">
        <f t="shared" si="177"/>
        <v>11700.32</v>
      </c>
      <c r="H529" s="270">
        <f t="shared" si="177"/>
        <v>11914.380000000001</v>
      </c>
      <c r="I529" s="270">
        <f t="shared" si="177"/>
        <v>12517.8</v>
      </c>
      <c r="J529" s="270">
        <f t="shared" si="177"/>
        <v>8249.5</v>
      </c>
      <c r="K529" s="270">
        <f t="shared" si="177"/>
        <v>8982.84</v>
      </c>
      <c r="L529" s="270">
        <f t="shared" si="177"/>
        <v>10417.200000000001</v>
      </c>
      <c r="M529" s="270">
        <f t="shared" si="177"/>
        <v>12204.92</v>
      </c>
      <c r="N529" s="270">
        <f t="shared" si="177"/>
        <v>13323.59</v>
      </c>
      <c r="O529" s="270">
        <f t="shared" si="177"/>
        <v>13323.59</v>
      </c>
      <c r="P529" s="270">
        <f t="shared" si="177"/>
        <v>13323.59</v>
      </c>
      <c r="Q529" s="270">
        <f t="shared" si="177"/>
        <v>13323.59</v>
      </c>
      <c r="R529" s="270">
        <f t="shared" si="177"/>
        <v>13323.59</v>
      </c>
      <c r="S529" s="270">
        <f t="shared" si="172"/>
        <v>13323.59</v>
      </c>
      <c r="T529" s="270">
        <f t="shared" si="172"/>
        <v>13323.59</v>
      </c>
      <c r="U529" s="270">
        <f t="shared" si="172"/>
        <v>13323.59</v>
      </c>
      <c r="V529" s="270">
        <f t="shared" si="172"/>
        <v>13323.59</v>
      </c>
      <c r="W529" s="270">
        <f t="shared" si="172"/>
        <v>13323.59</v>
      </c>
      <c r="X529" s="270">
        <f t="shared" si="172"/>
        <v>13323.59</v>
      </c>
      <c r="Y529" s="270">
        <f t="shared" si="172"/>
        <v>13323.59</v>
      </c>
      <c r="Z529" s="270">
        <f t="shared" si="172"/>
        <v>13323.59</v>
      </c>
      <c r="AA529" s="270">
        <f t="shared" si="172"/>
        <v>13323.59</v>
      </c>
      <c r="AB529" s="270">
        <f t="shared" si="172"/>
        <v>13323.59</v>
      </c>
      <c r="AC529" s="270">
        <f t="shared" si="172"/>
        <v>13323.59</v>
      </c>
      <c r="AD529" s="270">
        <f t="shared" si="176"/>
        <v>13323.59</v>
      </c>
      <c r="AE529" s="270">
        <f t="shared" si="176"/>
        <v>13323.59</v>
      </c>
      <c r="AF529" s="270">
        <f t="shared" si="176"/>
        <v>13323.59</v>
      </c>
      <c r="AG529" s="270">
        <f t="shared" si="176"/>
        <v>13323.59</v>
      </c>
      <c r="AH529" s="270">
        <f t="shared" si="176"/>
        <v>13323.59</v>
      </c>
      <c r="AI529" s="270">
        <f t="shared" si="176"/>
        <v>13323.59</v>
      </c>
      <c r="AJ529" s="270">
        <f t="shared" si="176"/>
        <v>13323.59</v>
      </c>
      <c r="AK529" s="270">
        <f t="shared" si="176"/>
        <v>13323.59</v>
      </c>
      <c r="AL529" s="270">
        <f t="shared" si="176"/>
        <v>13323.59</v>
      </c>
      <c r="AM529" s="270">
        <f t="shared" si="176"/>
        <v>13323.59</v>
      </c>
    </row>
    <row r="530" spans="2:39" ht="15.75" thickBot="1" x14ac:dyDescent="0.35">
      <c r="B530" s="56" t="str">
        <f>input_names!$C$3</f>
        <v>diesel</v>
      </c>
      <c r="C530" s="61">
        <v>128</v>
      </c>
      <c r="D530" s="270">
        <f t="shared" ref="D530:AD545" si="178">+MIN(MAX(0,$C530-D$11),D$12-D$11)*D$17
+MIN(MAX(0,$C530-D$12),D$13-D$12)*D$18
+MIN(MAX(0,$C530-D$13),D$14-D$13)*D$19
+MIN(MAX(0,$C530-D$14),D$15-D$14)*D$20
+MAX(0,$C530-D$15)*D$21
+D$24*MAX(0,$C530-D$23)
+D$26</f>
        <v>9603</v>
      </c>
      <c r="E530" s="270">
        <f t="shared" si="178"/>
        <v>10490.23</v>
      </c>
      <c r="F530" s="270">
        <f t="shared" si="178"/>
        <v>11400.470000000001</v>
      </c>
      <c r="G530" s="270">
        <f t="shared" si="178"/>
        <v>11926.7</v>
      </c>
      <c r="H530" s="270">
        <f t="shared" si="178"/>
        <v>12132.810000000001</v>
      </c>
      <c r="I530" s="270">
        <f t="shared" si="178"/>
        <v>12734.65</v>
      </c>
      <c r="J530" s="270">
        <f t="shared" si="178"/>
        <v>8465.09</v>
      </c>
      <c r="K530" s="270">
        <f t="shared" si="178"/>
        <v>9206.51</v>
      </c>
      <c r="L530" s="270">
        <f t="shared" si="178"/>
        <v>10660.5</v>
      </c>
      <c r="M530" s="270">
        <f t="shared" si="178"/>
        <v>12477.99</v>
      </c>
      <c r="N530" s="270">
        <f t="shared" si="178"/>
        <v>13606.46</v>
      </c>
      <c r="O530" s="270">
        <f t="shared" si="178"/>
        <v>13606.46</v>
      </c>
      <c r="P530" s="270">
        <f t="shared" si="178"/>
        <v>13606.46</v>
      </c>
      <c r="Q530" s="270">
        <f t="shared" si="178"/>
        <v>13606.46</v>
      </c>
      <c r="R530" s="270">
        <f t="shared" si="178"/>
        <v>13606.46</v>
      </c>
      <c r="S530" s="270">
        <f t="shared" si="172"/>
        <v>13606.46</v>
      </c>
      <c r="T530" s="270">
        <f t="shared" si="172"/>
        <v>13606.46</v>
      </c>
      <c r="U530" s="270">
        <f t="shared" si="172"/>
        <v>13606.46</v>
      </c>
      <c r="V530" s="270">
        <f t="shared" si="172"/>
        <v>13606.46</v>
      </c>
      <c r="W530" s="270">
        <f t="shared" si="172"/>
        <v>13606.46</v>
      </c>
      <c r="X530" s="270">
        <f t="shared" si="172"/>
        <v>13606.46</v>
      </c>
      <c r="Y530" s="270">
        <f t="shared" si="172"/>
        <v>13606.46</v>
      </c>
      <c r="Z530" s="270">
        <f t="shared" si="172"/>
        <v>13606.46</v>
      </c>
      <c r="AA530" s="270">
        <f t="shared" si="172"/>
        <v>13606.46</v>
      </c>
      <c r="AB530" s="270">
        <f t="shared" si="172"/>
        <v>13606.46</v>
      </c>
      <c r="AC530" s="270">
        <f t="shared" si="172"/>
        <v>13606.46</v>
      </c>
      <c r="AD530" s="270">
        <f t="shared" si="176"/>
        <v>13606.46</v>
      </c>
      <c r="AE530" s="270">
        <f t="shared" si="176"/>
        <v>13606.46</v>
      </c>
      <c r="AF530" s="270">
        <f t="shared" si="176"/>
        <v>13606.46</v>
      </c>
      <c r="AG530" s="270">
        <f t="shared" si="176"/>
        <v>13606.46</v>
      </c>
      <c r="AH530" s="270">
        <f t="shared" si="176"/>
        <v>13606.46</v>
      </c>
      <c r="AI530" s="270">
        <f t="shared" si="176"/>
        <v>13606.46</v>
      </c>
      <c r="AJ530" s="270">
        <f t="shared" si="176"/>
        <v>13606.46</v>
      </c>
      <c r="AK530" s="270">
        <f t="shared" si="176"/>
        <v>13606.46</v>
      </c>
      <c r="AL530" s="270">
        <f t="shared" si="176"/>
        <v>13606.46</v>
      </c>
      <c r="AM530" s="270">
        <f t="shared" si="176"/>
        <v>13606.46</v>
      </c>
    </row>
    <row r="531" spans="2:39" ht="15.75" thickBot="1" x14ac:dyDescent="0.35">
      <c r="B531" s="56" t="str">
        <f>input_names!$C$3</f>
        <v>diesel</v>
      </c>
      <c r="C531" s="61">
        <v>129</v>
      </c>
      <c r="D531" s="270">
        <f t="shared" si="178"/>
        <v>9801</v>
      </c>
      <c r="E531" s="270">
        <f t="shared" si="178"/>
        <v>10699.66</v>
      </c>
      <c r="F531" s="270">
        <f t="shared" si="178"/>
        <v>11631.16</v>
      </c>
      <c r="G531" s="270">
        <f t="shared" si="178"/>
        <v>12153.08</v>
      </c>
      <c r="H531" s="270">
        <f t="shared" si="178"/>
        <v>12351.240000000002</v>
      </c>
      <c r="I531" s="270">
        <f t="shared" si="178"/>
        <v>12951.5</v>
      </c>
      <c r="J531" s="270">
        <f t="shared" si="178"/>
        <v>8680.68</v>
      </c>
      <c r="K531" s="270">
        <f t="shared" si="178"/>
        <v>9430.18</v>
      </c>
      <c r="L531" s="270">
        <f t="shared" si="178"/>
        <v>10903.8</v>
      </c>
      <c r="M531" s="270">
        <f t="shared" si="178"/>
        <v>12751.06</v>
      </c>
      <c r="N531" s="270">
        <f t="shared" si="178"/>
        <v>13889.33</v>
      </c>
      <c r="O531" s="270">
        <f t="shared" si="178"/>
        <v>13889.33</v>
      </c>
      <c r="P531" s="270">
        <f t="shared" si="178"/>
        <v>13889.33</v>
      </c>
      <c r="Q531" s="270">
        <f t="shared" si="178"/>
        <v>13889.33</v>
      </c>
      <c r="R531" s="270">
        <f t="shared" si="178"/>
        <v>13889.33</v>
      </c>
      <c r="S531" s="270">
        <f t="shared" si="172"/>
        <v>13889.33</v>
      </c>
      <c r="T531" s="270">
        <f t="shared" si="172"/>
        <v>13889.33</v>
      </c>
      <c r="U531" s="270">
        <f t="shared" si="172"/>
        <v>13889.33</v>
      </c>
      <c r="V531" s="270">
        <f t="shared" si="172"/>
        <v>13889.33</v>
      </c>
      <c r="W531" s="270">
        <f t="shared" si="172"/>
        <v>13889.33</v>
      </c>
      <c r="X531" s="270">
        <f t="shared" si="172"/>
        <v>13889.33</v>
      </c>
      <c r="Y531" s="270">
        <f t="shared" si="172"/>
        <v>13889.33</v>
      </c>
      <c r="Z531" s="270">
        <f t="shared" si="172"/>
        <v>13889.33</v>
      </c>
      <c r="AA531" s="270">
        <f t="shared" si="172"/>
        <v>13889.33</v>
      </c>
      <c r="AB531" s="270">
        <f t="shared" si="172"/>
        <v>13889.33</v>
      </c>
      <c r="AC531" s="270">
        <f t="shared" si="172"/>
        <v>13889.33</v>
      </c>
      <c r="AD531" s="270">
        <f t="shared" si="176"/>
        <v>13889.33</v>
      </c>
      <c r="AE531" s="270">
        <f t="shared" si="176"/>
        <v>13889.33</v>
      </c>
      <c r="AF531" s="270">
        <f t="shared" si="176"/>
        <v>13889.33</v>
      </c>
      <c r="AG531" s="270">
        <f t="shared" si="176"/>
        <v>13889.33</v>
      </c>
      <c r="AH531" s="270">
        <f t="shared" si="176"/>
        <v>13889.33</v>
      </c>
      <c r="AI531" s="270">
        <f t="shared" si="176"/>
        <v>13889.33</v>
      </c>
      <c r="AJ531" s="270">
        <f t="shared" si="176"/>
        <v>13889.33</v>
      </c>
      <c r="AK531" s="270">
        <f t="shared" si="176"/>
        <v>13889.33</v>
      </c>
      <c r="AL531" s="270">
        <f t="shared" si="176"/>
        <v>13889.33</v>
      </c>
      <c r="AM531" s="270">
        <f t="shared" si="176"/>
        <v>13889.33</v>
      </c>
    </row>
    <row r="532" spans="2:39" ht="15.75" thickBot="1" x14ac:dyDescent="0.35">
      <c r="B532" s="56" t="str">
        <f>input_names!$C$3</f>
        <v>diesel</v>
      </c>
      <c r="C532" s="61">
        <v>130</v>
      </c>
      <c r="D532" s="270">
        <f t="shared" si="178"/>
        <v>9999</v>
      </c>
      <c r="E532" s="270">
        <f t="shared" si="178"/>
        <v>10909.09</v>
      </c>
      <c r="F532" s="270">
        <f t="shared" si="178"/>
        <v>11861.849999999999</v>
      </c>
      <c r="G532" s="270">
        <f t="shared" si="178"/>
        <v>12379.46</v>
      </c>
      <c r="H532" s="270">
        <f t="shared" si="178"/>
        <v>12569.67</v>
      </c>
      <c r="I532" s="270">
        <f t="shared" si="178"/>
        <v>13168.349999999999</v>
      </c>
      <c r="J532" s="270">
        <f t="shared" si="178"/>
        <v>8896.27</v>
      </c>
      <c r="K532" s="270">
        <f t="shared" si="178"/>
        <v>9653.85</v>
      </c>
      <c r="L532" s="270">
        <f t="shared" si="178"/>
        <v>11147.099999999999</v>
      </c>
      <c r="M532" s="270">
        <f t="shared" si="178"/>
        <v>13024.13</v>
      </c>
      <c r="N532" s="270">
        <f t="shared" si="178"/>
        <v>14172.2</v>
      </c>
      <c r="O532" s="270">
        <f t="shared" si="178"/>
        <v>14172.2</v>
      </c>
      <c r="P532" s="270">
        <f t="shared" si="178"/>
        <v>14172.2</v>
      </c>
      <c r="Q532" s="270">
        <f t="shared" si="178"/>
        <v>14172.2</v>
      </c>
      <c r="R532" s="270">
        <f t="shared" si="178"/>
        <v>14172.2</v>
      </c>
      <c r="S532" s="270">
        <f t="shared" si="172"/>
        <v>14172.2</v>
      </c>
      <c r="T532" s="270">
        <f t="shared" si="172"/>
        <v>14172.2</v>
      </c>
      <c r="U532" s="270">
        <f t="shared" si="172"/>
        <v>14172.2</v>
      </c>
      <c r="V532" s="270">
        <f t="shared" si="172"/>
        <v>14172.2</v>
      </c>
      <c r="W532" s="270">
        <f t="shared" si="172"/>
        <v>14172.2</v>
      </c>
      <c r="X532" s="270">
        <f t="shared" si="172"/>
        <v>14172.2</v>
      </c>
      <c r="Y532" s="270">
        <f t="shared" si="172"/>
        <v>14172.2</v>
      </c>
      <c r="Z532" s="270">
        <f t="shared" si="172"/>
        <v>14172.2</v>
      </c>
      <c r="AA532" s="270">
        <f t="shared" si="172"/>
        <v>14172.2</v>
      </c>
      <c r="AB532" s="270">
        <f t="shared" si="172"/>
        <v>14172.2</v>
      </c>
      <c r="AC532" s="270">
        <f t="shared" si="172"/>
        <v>14172.2</v>
      </c>
      <c r="AD532" s="270">
        <f t="shared" si="176"/>
        <v>14172.2</v>
      </c>
      <c r="AE532" s="270">
        <f t="shared" si="176"/>
        <v>14172.2</v>
      </c>
      <c r="AF532" s="270">
        <f t="shared" si="176"/>
        <v>14172.2</v>
      </c>
      <c r="AG532" s="270">
        <f t="shared" si="176"/>
        <v>14172.2</v>
      </c>
      <c r="AH532" s="270">
        <f t="shared" si="176"/>
        <v>14172.2</v>
      </c>
      <c r="AI532" s="270">
        <f t="shared" si="176"/>
        <v>14172.2</v>
      </c>
      <c r="AJ532" s="270">
        <f t="shared" si="176"/>
        <v>14172.2</v>
      </c>
      <c r="AK532" s="270">
        <f t="shared" si="176"/>
        <v>14172.2</v>
      </c>
      <c r="AL532" s="270">
        <f t="shared" si="176"/>
        <v>14172.2</v>
      </c>
      <c r="AM532" s="270">
        <f t="shared" si="176"/>
        <v>14172.2</v>
      </c>
    </row>
    <row r="533" spans="2:39" ht="15.75" thickBot="1" x14ac:dyDescent="0.35">
      <c r="B533" s="56" t="str">
        <f>input_names!$C$3</f>
        <v>diesel</v>
      </c>
      <c r="C533" s="61">
        <v>131</v>
      </c>
      <c r="D533" s="270">
        <f t="shared" si="178"/>
        <v>10197</v>
      </c>
      <c r="E533" s="270">
        <f t="shared" si="178"/>
        <v>11118.52</v>
      </c>
      <c r="F533" s="270">
        <f t="shared" si="178"/>
        <v>12092.54</v>
      </c>
      <c r="G533" s="270">
        <f t="shared" si="178"/>
        <v>12605.84</v>
      </c>
      <c r="H533" s="270">
        <f t="shared" si="178"/>
        <v>12788.1</v>
      </c>
      <c r="I533" s="270">
        <f t="shared" si="178"/>
        <v>13385.2</v>
      </c>
      <c r="J533" s="270">
        <f t="shared" si="178"/>
        <v>9111.86</v>
      </c>
      <c r="K533" s="270">
        <f t="shared" si="178"/>
        <v>9877.52</v>
      </c>
      <c r="L533" s="270">
        <f t="shared" si="178"/>
        <v>11390.4</v>
      </c>
      <c r="M533" s="270">
        <f t="shared" si="178"/>
        <v>13297.2</v>
      </c>
      <c r="N533" s="270">
        <f t="shared" si="178"/>
        <v>14455.07</v>
      </c>
      <c r="O533" s="270">
        <f t="shared" si="178"/>
        <v>14455.07</v>
      </c>
      <c r="P533" s="270">
        <f t="shared" si="178"/>
        <v>14455.07</v>
      </c>
      <c r="Q533" s="270">
        <f t="shared" si="178"/>
        <v>14455.07</v>
      </c>
      <c r="R533" s="270">
        <f t="shared" si="178"/>
        <v>14455.07</v>
      </c>
      <c r="S533" s="270">
        <f t="shared" si="172"/>
        <v>14455.07</v>
      </c>
      <c r="T533" s="270">
        <f t="shared" si="172"/>
        <v>14455.07</v>
      </c>
      <c r="U533" s="270">
        <f t="shared" ref="S533:AC556" si="179">+MIN(MAX(0,$C533-U$11),U$12-U$11)*U$17
+MIN(MAX(0,$C533-U$12),U$13-U$12)*U$18
+MIN(MAX(0,$C533-U$13),U$14-U$13)*U$19
+MIN(MAX(0,$C533-U$14),U$15-U$14)*U$20
+MAX(0,$C533-U$15)*U$21
+U$24*MAX(0,$C533-U$23)
+U$26</f>
        <v>14455.07</v>
      </c>
      <c r="V533" s="270">
        <f t="shared" si="179"/>
        <v>14455.07</v>
      </c>
      <c r="W533" s="270">
        <f t="shared" si="179"/>
        <v>14455.07</v>
      </c>
      <c r="X533" s="270">
        <f t="shared" si="179"/>
        <v>14455.07</v>
      </c>
      <c r="Y533" s="270">
        <f t="shared" si="179"/>
        <v>14455.07</v>
      </c>
      <c r="Z533" s="270">
        <f t="shared" si="179"/>
        <v>14455.07</v>
      </c>
      <c r="AA533" s="270">
        <f t="shared" si="179"/>
        <v>14455.07</v>
      </c>
      <c r="AB533" s="270">
        <f t="shared" si="179"/>
        <v>14455.07</v>
      </c>
      <c r="AC533" s="270">
        <f t="shared" si="179"/>
        <v>14455.07</v>
      </c>
      <c r="AD533" s="270">
        <f t="shared" si="176"/>
        <v>14455.07</v>
      </c>
      <c r="AE533" s="270">
        <f t="shared" si="176"/>
        <v>14455.07</v>
      </c>
      <c r="AF533" s="270">
        <f t="shared" si="176"/>
        <v>14455.07</v>
      </c>
      <c r="AG533" s="270">
        <f t="shared" si="176"/>
        <v>14455.07</v>
      </c>
      <c r="AH533" s="270">
        <f t="shared" si="176"/>
        <v>14455.07</v>
      </c>
      <c r="AI533" s="270">
        <f t="shared" si="176"/>
        <v>14455.07</v>
      </c>
      <c r="AJ533" s="270">
        <f t="shared" si="176"/>
        <v>14455.07</v>
      </c>
      <c r="AK533" s="270">
        <f t="shared" si="176"/>
        <v>14455.07</v>
      </c>
      <c r="AL533" s="270">
        <f t="shared" si="176"/>
        <v>14455.07</v>
      </c>
      <c r="AM533" s="270">
        <f t="shared" si="176"/>
        <v>14455.07</v>
      </c>
    </row>
    <row r="534" spans="2:39" ht="15.75" thickBot="1" x14ac:dyDescent="0.35">
      <c r="B534" s="56" t="str">
        <f>input_names!$C$3</f>
        <v>diesel</v>
      </c>
      <c r="C534" s="61">
        <v>132</v>
      </c>
      <c r="D534" s="270">
        <f t="shared" si="178"/>
        <v>10395</v>
      </c>
      <c r="E534" s="270">
        <f t="shared" si="178"/>
        <v>11327.95</v>
      </c>
      <c r="F534" s="270">
        <f t="shared" si="178"/>
        <v>12323.23</v>
      </c>
      <c r="G534" s="270">
        <f t="shared" si="178"/>
        <v>12832.22</v>
      </c>
      <c r="H534" s="270">
        <f t="shared" si="178"/>
        <v>13006.53</v>
      </c>
      <c r="I534" s="270">
        <f t="shared" si="178"/>
        <v>13602.05</v>
      </c>
      <c r="J534" s="270">
        <f t="shared" si="178"/>
        <v>9327.4500000000007</v>
      </c>
      <c r="K534" s="270">
        <f t="shared" si="178"/>
        <v>10101.19</v>
      </c>
      <c r="L534" s="270">
        <f t="shared" si="178"/>
        <v>11633.7</v>
      </c>
      <c r="M534" s="270">
        <f t="shared" si="178"/>
        <v>13570.27</v>
      </c>
      <c r="N534" s="270">
        <f t="shared" si="178"/>
        <v>14737.94</v>
      </c>
      <c r="O534" s="270">
        <f t="shared" si="178"/>
        <v>14737.94</v>
      </c>
      <c r="P534" s="270">
        <f t="shared" si="178"/>
        <v>14737.94</v>
      </c>
      <c r="Q534" s="270">
        <f t="shared" si="178"/>
        <v>14737.94</v>
      </c>
      <c r="R534" s="270">
        <f t="shared" si="178"/>
        <v>14737.94</v>
      </c>
      <c r="S534" s="270">
        <f t="shared" si="179"/>
        <v>14737.94</v>
      </c>
      <c r="T534" s="270">
        <f t="shared" si="179"/>
        <v>14737.94</v>
      </c>
      <c r="U534" s="270">
        <f t="shared" si="179"/>
        <v>14737.94</v>
      </c>
      <c r="V534" s="270">
        <f t="shared" si="179"/>
        <v>14737.94</v>
      </c>
      <c r="W534" s="270">
        <f t="shared" si="179"/>
        <v>14737.94</v>
      </c>
      <c r="X534" s="270">
        <f t="shared" si="179"/>
        <v>14737.94</v>
      </c>
      <c r="Y534" s="270">
        <f t="shared" si="179"/>
        <v>14737.94</v>
      </c>
      <c r="Z534" s="270">
        <f t="shared" si="179"/>
        <v>14737.94</v>
      </c>
      <c r="AA534" s="270">
        <f t="shared" si="179"/>
        <v>14737.94</v>
      </c>
      <c r="AB534" s="270">
        <f t="shared" si="179"/>
        <v>14737.94</v>
      </c>
      <c r="AC534" s="270">
        <f t="shared" si="179"/>
        <v>14737.94</v>
      </c>
      <c r="AD534" s="270">
        <f t="shared" si="176"/>
        <v>14737.94</v>
      </c>
      <c r="AE534" s="270">
        <f t="shared" si="176"/>
        <v>14737.94</v>
      </c>
      <c r="AF534" s="270">
        <f t="shared" si="176"/>
        <v>14737.94</v>
      </c>
      <c r="AG534" s="270">
        <f t="shared" si="176"/>
        <v>14737.94</v>
      </c>
      <c r="AH534" s="270">
        <f t="shared" si="176"/>
        <v>14737.94</v>
      </c>
      <c r="AI534" s="270">
        <f t="shared" si="176"/>
        <v>14737.94</v>
      </c>
      <c r="AJ534" s="270">
        <f t="shared" si="176"/>
        <v>14737.94</v>
      </c>
      <c r="AK534" s="270">
        <f t="shared" si="176"/>
        <v>14737.94</v>
      </c>
      <c r="AL534" s="270">
        <f t="shared" si="176"/>
        <v>14737.94</v>
      </c>
      <c r="AM534" s="270">
        <f t="shared" si="176"/>
        <v>14737.94</v>
      </c>
    </row>
    <row r="535" spans="2:39" ht="15.75" thickBot="1" x14ac:dyDescent="0.35">
      <c r="B535" s="56" t="str">
        <f>input_names!$C$3</f>
        <v>diesel</v>
      </c>
      <c r="C535" s="61">
        <v>133</v>
      </c>
      <c r="D535" s="270">
        <f t="shared" si="178"/>
        <v>10593</v>
      </c>
      <c r="E535" s="270">
        <f t="shared" si="178"/>
        <v>11537.380000000001</v>
      </c>
      <c r="F535" s="270">
        <f t="shared" si="178"/>
        <v>12553.92</v>
      </c>
      <c r="G535" s="270">
        <f t="shared" si="178"/>
        <v>13058.599999999999</v>
      </c>
      <c r="H535" s="270">
        <f t="shared" si="178"/>
        <v>13224.960000000001</v>
      </c>
      <c r="I535" s="270">
        <f t="shared" si="178"/>
        <v>13818.9</v>
      </c>
      <c r="J535" s="270">
        <f t="shared" si="178"/>
        <v>9543.0400000000009</v>
      </c>
      <c r="K535" s="270">
        <f t="shared" si="178"/>
        <v>10324.86</v>
      </c>
      <c r="L535" s="270">
        <f t="shared" si="178"/>
        <v>11877</v>
      </c>
      <c r="M535" s="270">
        <f t="shared" si="178"/>
        <v>13843.34</v>
      </c>
      <c r="N535" s="270">
        <f t="shared" si="178"/>
        <v>15020.810000000001</v>
      </c>
      <c r="O535" s="270">
        <f t="shared" si="178"/>
        <v>15020.810000000001</v>
      </c>
      <c r="P535" s="270">
        <f t="shared" si="178"/>
        <v>15020.810000000001</v>
      </c>
      <c r="Q535" s="270">
        <f t="shared" si="178"/>
        <v>15020.810000000001</v>
      </c>
      <c r="R535" s="270">
        <f t="shared" si="178"/>
        <v>15020.810000000001</v>
      </c>
      <c r="S535" s="270">
        <f t="shared" si="179"/>
        <v>15020.810000000001</v>
      </c>
      <c r="T535" s="270">
        <f t="shared" si="179"/>
        <v>15020.810000000001</v>
      </c>
      <c r="U535" s="270">
        <f t="shared" si="179"/>
        <v>15020.810000000001</v>
      </c>
      <c r="V535" s="270">
        <f t="shared" si="179"/>
        <v>15020.810000000001</v>
      </c>
      <c r="W535" s="270">
        <f t="shared" si="179"/>
        <v>15020.810000000001</v>
      </c>
      <c r="X535" s="270">
        <f t="shared" si="179"/>
        <v>15020.810000000001</v>
      </c>
      <c r="Y535" s="270">
        <f t="shared" si="179"/>
        <v>15020.810000000001</v>
      </c>
      <c r="Z535" s="270">
        <f t="shared" si="179"/>
        <v>15020.810000000001</v>
      </c>
      <c r="AA535" s="270">
        <f t="shared" si="179"/>
        <v>15020.810000000001</v>
      </c>
      <c r="AB535" s="270">
        <f t="shared" si="179"/>
        <v>15020.810000000001</v>
      </c>
      <c r="AC535" s="270">
        <f t="shared" si="179"/>
        <v>15020.810000000001</v>
      </c>
      <c r="AD535" s="270">
        <f t="shared" si="176"/>
        <v>15020.810000000001</v>
      </c>
      <c r="AE535" s="270">
        <f t="shared" si="176"/>
        <v>15020.810000000001</v>
      </c>
      <c r="AF535" s="270">
        <f t="shared" si="176"/>
        <v>15020.810000000001</v>
      </c>
      <c r="AG535" s="270">
        <f t="shared" si="176"/>
        <v>15020.810000000001</v>
      </c>
      <c r="AH535" s="270">
        <f t="shared" si="176"/>
        <v>15020.810000000001</v>
      </c>
      <c r="AI535" s="270">
        <f t="shared" si="176"/>
        <v>15020.810000000001</v>
      </c>
      <c r="AJ535" s="270">
        <f t="shared" si="176"/>
        <v>15020.810000000001</v>
      </c>
      <c r="AK535" s="270">
        <f t="shared" si="176"/>
        <v>15020.810000000001</v>
      </c>
      <c r="AL535" s="270">
        <f t="shared" si="176"/>
        <v>15020.810000000001</v>
      </c>
      <c r="AM535" s="270">
        <f t="shared" si="176"/>
        <v>15020.810000000001</v>
      </c>
    </row>
    <row r="536" spans="2:39" ht="15.75" thickBot="1" x14ac:dyDescent="0.35">
      <c r="B536" s="56" t="str">
        <f>input_names!$C$3</f>
        <v>diesel</v>
      </c>
      <c r="C536" s="61">
        <v>134</v>
      </c>
      <c r="D536" s="270">
        <f t="shared" si="178"/>
        <v>10791</v>
      </c>
      <c r="E536" s="270">
        <f t="shared" si="178"/>
        <v>11746.810000000001</v>
      </c>
      <c r="F536" s="270">
        <f t="shared" si="178"/>
        <v>12784.61</v>
      </c>
      <c r="G536" s="270">
        <f t="shared" si="178"/>
        <v>13284.98</v>
      </c>
      <c r="H536" s="270">
        <f t="shared" si="178"/>
        <v>13443.39</v>
      </c>
      <c r="I536" s="270">
        <f t="shared" si="178"/>
        <v>14117.75</v>
      </c>
      <c r="J536" s="270">
        <f t="shared" si="178"/>
        <v>9758.630000000001</v>
      </c>
      <c r="K536" s="270">
        <f t="shared" si="178"/>
        <v>10548.529999999999</v>
      </c>
      <c r="L536" s="270">
        <f t="shared" si="178"/>
        <v>12120.3</v>
      </c>
      <c r="M536" s="270">
        <f t="shared" si="178"/>
        <v>14116.41</v>
      </c>
      <c r="N536" s="270">
        <f t="shared" si="178"/>
        <v>15303.68</v>
      </c>
      <c r="O536" s="270">
        <f t="shared" si="178"/>
        <v>15303.68</v>
      </c>
      <c r="P536" s="270">
        <f t="shared" si="178"/>
        <v>15303.68</v>
      </c>
      <c r="Q536" s="270">
        <f t="shared" si="178"/>
        <v>15303.68</v>
      </c>
      <c r="R536" s="270">
        <f t="shared" si="178"/>
        <v>15303.68</v>
      </c>
      <c r="S536" s="270">
        <f t="shared" si="179"/>
        <v>15303.68</v>
      </c>
      <c r="T536" s="270">
        <f t="shared" si="179"/>
        <v>15303.68</v>
      </c>
      <c r="U536" s="270">
        <f t="shared" si="179"/>
        <v>15303.68</v>
      </c>
      <c r="V536" s="270">
        <f t="shared" si="179"/>
        <v>15303.68</v>
      </c>
      <c r="W536" s="270">
        <f t="shared" si="179"/>
        <v>15303.68</v>
      </c>
      <c r="X536" s="270">
        <f t="shared" si="179"/>
        <v>15303.68</v>
      </c>
      <c r="Y536" s="270">
        <f t="shared" si="179"/>
        <v>15303.68</v>
      </c>
      <c r="Z536" s="270">
        <f t="shared" si="179"/>
        <v>15303.68</v>
      </c>
      <c r="AA536" s="270">
        <f t="shared" si="179"/>
        <v>15303.68</v>
      </c>
      <c r="AB536" s="270">
        <f t="shared" si="179"/>
        <v>15303.68</v>
      </c>
      <c r="AC536" s="270">
        <f t="shared" si="179"/>
        <v>15303.68</v>
      </c>
      <c r="AD536" s="270">
        <f t="shared" si="176"/>
        <v>15303.68</v>
      </c>
      <c r="AE536" s="270">
        <f t="shared" si="176"/>
        <v>15303.68</v>
      </c>
      <c r="AF536" s="270">
        <f t="shared" si="176"/>
        <v>15303.68</v>
      </c>
      <c r="AG536" s="270">
        <f t="shared" ref="AF536:AM564" si="180">+MIN(MAX(0,$C536-AG$11),AG$12-AG$11)*AG$17
+MIN(MAX(0,$C536-AG$12),AG$13-AG$12)*AG$18
+MIN(MAX(0,$C536-AG$13),AG$14-AG$13)*AG$19
+MIN(MAX(0,$C536-AG$14),AG$15-AG$14)*AG$20
+MAX(0,$C536-AG$15)*AG$21
+AG$24*MAX(0,$C536-AG$23)
+AG$26</f>
        <v>15303.68</v>
      </c>
      <c r="AH536" s="270">
        <f t="shared" si="180"/>
        <v>15303.68</v>
      </c>
      <c r="AI536" s="270">
        <f t="shared" si="180"/>
        <v>15303.68</v>
      </c>
      <c r="AJ536" s="270">
        <f t="shared" si="180"/>
        <v>15303.68</v>
      </c>
      <c r="AK536" s="270">
        <f t="shared" si="180"/>
        <v>15303.68</v>
      </c>
      <c r="AL536" s="270">
        <f t="shared" si="180"/>
        <v>15303.68</v>
      </c>
      <c r="AM536" s="270">
        <f t="shared" si="180"/>
        <v>15303.68</v>
      </c>
    </row>
    <row r="537" spans="2:39" ht="15.75" thickBot="1" x14ac:dyDescent="0.35">
      <c r="B537" s="56" t="str">
        <f>input_names!$C$3</f>
        <v>diesel</v>
      </c>
      <c r="C537" s="61">
        <v>135</v>
      </c>
      <c r="D537" s="270">
        <f t="shared" si="178"/>
        <v>10989</v>
      </c>
      <c r="E537" s="270">
        <f t="shared" si="178"/>
        <v>11956.240000000002</v>
      </c>
      <c r="F537" s="270">
        <f t="shared" si="178"/>
        <v>13015.3</v>
      </c>
      <c r="G537" s="270">
        <f t="shared" si="178"/>
        <v>13511.36</v>
      </c>
      <c r="H537" s="270">
        <f t="shared" si="178"/>
        <v>13661.82</v>
      </c>
      <c r="I537" s="270">
        <f t="shared" si="178"/>
        <v>14416.599999999999</v>
      </c>
      <c r="J537" s="270">
        <f t="shared" si="178"/>
        <v>9974.2200000000012</v>
      </c>
      <c r="K537" s="270">
        <f t="shared" si="178"/>
        <v>10772.2</v>
      </c>
      <c r="L537" s="270">
        <f t="shared" si="178"/>
        <v>12363.599999999999</v>
      </c>
      <c r="M537" s="270">
        <f t="shared" si="178"/>
        <v>14389.48</v>
      </c>
      <c r="N537" s="270">
        <f t="shared" si="178"/>
        <v>15586.55</v>
      </c>
      <c r="O537" s="270">
        <f t="shared" si="178"/>
        <v>15586.55</v>
      </c>
      <c r="P537" s="270">
        <f t="shared" si="178"/>
        <v>15586.55</v>
      </c>
      <c r="Q537" s="270">
        <f t="shared" si="178"/>
        <v>15586.55</v>
      </c>
      <c r="R537" s="270">
        <f t="shared" si="178"/>
        <v>15586.55</v>
      </c>
      <c r="S537" s="270">
        <f t="shared" si="179"/>
        <v>15586.55</v>
      </c>
      <c r="T537" s="270">
        <f t="shared" si="179"/>
        <v>15586.55</v>
      </c>
      <c r="U537" s="270">
        <f t="shared" si="179"/>
        <v>15586.55</v>
      </c>
      <c r="V537" s="270">
        <f t="shared" si="179"/>
        <v>15586.55</v>
      </c>
      <c r="W537" s="270">
        <f t="shared" si="179"/>
        <v>15586.55</v>
      </c>
      <c r="X537" s="270">
        <f t="shared" si="179"/>
        <v>15586.55</v>
      </c>
      <c r="Y537" s="270">
        <f t="shared" si="179"/>
        <v>15586.55</v>
      </c>
      <c r="Z537" s="270">
        <f t="shared" si="179"/>
        <v>15586.55</v>
      </c>
      <c r="AA537" s="270">
        <f t="shared" si="179"/>
        <v>15586.55</v>
      </c>
      <c r="AB537" s="270">
        <f t="shared" si="179"/>
        <v>15586.55</v>
      </c>
      <c r="AC537" s="270">
        <f t="shared" si="179"/>
        <v>15586.55</v>
      </c>
      <c r="AD537" s="270">
        <f t="shared" si="178"/>
        <v>15586.55</v>
      </c>
      <c r="AE537" s="270">
        <f t="shared" ref="AE537:AE582" si="181">+MIN(MAX(0,$C537-AE$11),AE$12-AE$11)*AE$17
+MIN(MAX(0,$C537-AE$12),AE$13-AE$12)*AE$18
+MIN(MAX(0,$C537-AE$13),AE$14-AE$13)*AE$19
+MIN(MAX(0,$C537-AE$14),AE$15-AE$14)*AE$20
+MAX(0,$C537-AE$15)*AE$21
+AE$24*MAX(0,$C537-AE$23)
+AE$26</f>
        <v>15586.55</v>
      </c>
      <c r="AF537" s="270">
        <f t="shared" si="180"/>
        <v>15586.55</v>
      </c>
      <c r="AG537" s="270">
        <f t="shared" si="180"/>
        <v>15586.55</v>
      </c>
      <c r="AH537" s="270">
        <f t="shared" si="180"/>
        <v>15586.55</v>
      </c>
      <c r="AI537" s="270">
        <f t="shared" si="180"/>
        <v>15586.55</v>
      </c>
      <c r="AJ537" s="270">
        <f t="shared" si="180"/>
        <v>15586.55</v>
      </c>
      <c r="AK537" s="270">
        <f t="shared" si="180"/>
        <v>15586.55</v>
      </c>
      <c r="AL537" s="270">
        <f t="shared" si="180"/>
        <v>15586.55</v>
      </c>
      <c r="AM537" s="270">
        <f t="shared" si="180"/>
        <v>15586.55</v>
      </c>
    </row>
    <row r="538" spans="2:39" ht="15.75" thickBot="1" x14ac:dyDescent="0.35">
      <c r="B538" s="56" t="str">
        <f>input_names!$C$3</f>
        <v>diesel</v>
      </c>
      <c r="C538" s="61">
        <v>136</v>
      </c>
      <c r="D538" s="270">
        <f t="shared" si="178"/>
        <v>11187</v>
      </c>
      <c r="E538" s="270">
        <f t="shared" si="178"/>
        <v>12165.67</v>
      </c>
      <c r="F538" s="270">
        <f t="shared" si="178"/>
        <v>13245.99</v>
      </c>
      <c r="G538" s="270">
        <f t="shared" si="178"/>
        <v>13737.74</v>
      </c>
      <c r="H538" s="270">
        <f t="shared" si="178"/>
        <v>13880.25</v>
      </c>
      <c r="I538" s="270">
        <f t="shared" si="178"/>
        <v>14715.45</v>
      </c>
      <c r="J538" s="270">
        <f t="shared" si="178"/>
        <v>10189.810000000001</v>
      </c>
      <c r="K538" s="270">
        <f t="shared" si="178"/>
        <v>10995.869999999999</v>
      </c>
      <c r="L538" s="270">
        <f t="shared" si="178"/>
        <v>12606.9</v>
      </c>
      <c r="M538" s="270">
        <f t="shared" si="178"/>
        <v>14662.55</v>
      </c>
      <c r="N538" s="270">
        <f t="shared" si="178"/>
        <v>15869.42</v>
      </c>
      <c r="O538" s="270">
        <f t="shared" si="178"/>
        <v>15869.42</v>
      </c>
      <c r="P538" s="270">
        <f t="shared" si="178"/>
        <v>15869.42</v>
      </c>
      <c r="Q538" s="270">
        <f t="shared" si="178"/>
        <v>15869.42</v>
      </c>
      <c r="R538" s="270">
        <f t="shared" si="178"/>
        <v>15869.42</v>
      </c>
      <c r="S538" s="270">
        <f t="shared" si="179"/>
        <v>15869.42</v>
      </c>
      <c r="T538" s="270">
        <f t="shared" si="179"/>
        <v>15869.42</v>
      </c>
      <c r="U538" s="270">
        <f t="shared" si="179"/>
        <v>15869.42</v>
      </c>
      <c r="V538" s="270">
        <f t="shared" si="179"/>
        <v>15869.42</v>
      </c>
      <c r="W538" s="270">
        <f t="shared" si="179"/>
        <v>15869.42</v>
      </c>
      <c r="X538" s="270">
        <f t="shared" si="179"/>
        <v>15869.42</v>
      </c>
      <c r="Y538" s="270">
        <f t="shared" si="179"/>
        <v>15869.42</v>
      </c>
      <c r="Z538" s="270">
        <f t="shared" si="179"/>
        <v>15869.42</v>
      </c>
      <c r="AA538" s="270">
        <f t="shared" si="179"/>
        <v>15869.42</v>
      </c>
      <c r="AB538" s="270">
        <f t="shared" si="179"/>
        <v>15869.42</v>
      </c>
      <c r="AC538" s="270">
        <f t="shared" si="179"/>
        <v>15869.42</v>
      </c>
      <c r="AD538" s="270">
        <f t="shared" si="178"/>
        <v>15869.42</v>
      </c>
      <c r="AE538" s="270">
        <f t="shared" si="181"/>
        <v>15869.42</v>
      </c>
      <c r="AF538" s="270">
        <f t="shared" si="180"/>
        <v>15869.42</v>
      </c>
      <c r="AG538" s="270">
        <f t="shared" si="180"/>
        <v>15869.42</v>
      </c>
      <c r="AH538" s="270">
        <f t="shared" si="180"/>
        <v>15869.42</v>
      </c>
      <c r="AI538" s="270">
        <f t="shared" si="180"/>
        <v>15869.42</v>
      </c>
      <c r="AJ538" s="270">
        <f t="shared" si="180"/>
        <v>15869.42</v>
      </c>
      <c r="AK538" s="270">
        <f t="shared" si="180"/>
        <v>15869.42</v>
      </c>
      <c r="AL538" s="270">
        <f t="shared" si="180"/>
        <v>15869.42</v>
      </c>
      <c r="AM538" s="270">
        <f t="shared" si="180"/>
        <v>15869.42</v>
      </c>
    </row>
    <row r="539" spans="2:39" ht="15.75" thickBot="1" x14ac:dyDescent="0.35">
      <c r="B539" s="56" t="str">
        <f>input_names!$C$3</f>
        <v>diesel</v>
      </c>
      <c r="C539" s="61">
        <v>137</v>
      </c>
      <c r="D539" s="270">
        <f t="shared" si="178"/>
        <v>11385</v>
      </c>
      <c r="E539" s="270">
        <f t="shared" si="178"/>
        <v>12375.1</v>
      </c>
      <c r="F539" s="270">
        <f t="shared" si="178"/>
        <v>13476.68</v>
      </c>
      <c r="G539" s="270">
        <f t="shared" si="178"/>
        <v>13964.119999999999</v>
      </c>
      <c r="H539" s="270">
        <f t="shared" si="178"/>
        <v>14098.68</v>
      </c>
      <c r="I539" s="270">
        <f t="shared" si="178"/>
        <v>15014.3</v>
      </c>
      <c r="J539" s="270">
        <f t="shared" si="178"/>
        <v>10405.400000000001</v>
      </c>
      <c r="K539" s="270">
        <f t="shared" si="178"/>
        <v>11219.54</v>
      </c>
      <c r="L539" s="270">
        <f t="shared" si="178"/>
        <v>12850.2</v>
      </c>
      <c r="M539" s="270">
        <f t="shared" si="178"/>
        <v>14935.619999999999</v>
      </c>
      <c r="N539" s="270">
        <f t="shared" si="178"/>
        <v>16152.29</v>
      </c>
      <c r="O539" s="270">
        <f t="shared" si="178"/>
        <v>16152.29</v>
      </c>
      <c r="P539" s="270">
        <f t="shared" si="178"/>
        <v>16152.29</v>
      </c>
      <c r="Q539" s="270">
        <f t="shared" si="178"/>
        <v>16152.29</v>
      </c>
      <c r="R539" s="270">
        <f t="shared" si="178"/>
        <v>16152.29</v>
      </c>
      <c r="S539" s="270">
        <f t="shared" si="179"/>
        <v>16152.29</v>
      </c>
      <c r="T539" s="270">
        <f t="shared" si="179"/>
        <v>16152.29</v>
      </c>
      <c r="U539" s="270">
        <f t="shared" si="179"/>
        <v>16152.29</v>
      </c>
      <c r="V539" s="270">
        <f t="shared" si="179"/>
        <v>16152.29</v>
      </c>
      <c r="W539" s="270">
        <f t="shared" si="179"/>
        <v>16152.29</v>
      </c>
      <c r="X539" s="270">
        <f t="shared" si="179"/>
        <v>16152.29</v>
      </c>
      <c r="Y539" s="270">
        <f t="shared" si="179"/>
        <v>16152.29</v>
      </c>
      <c r="Z539" s="270">
        <f t="shared" si="179"/>
        <v>16152.29</v>
      </c>
      <c r="AA539" s="270">
        <f t="shared" si="179"/>
        <v>16152.29</v>
      </c>
      <c r="AB539" s="270">
        <f t="shared" si="179"/>
        <v>16152.29</v>
      </c>
      <c r="AC539" s="270">
        <f t="shared" si="179"/>
        <v>16152.29</v>
      </c>
      <c r="AD539" s="270">
        <f t="shared" si="178"/>
        <v>16152.29</v>
      </c>
      <c r="AE539" s="270">
        <f t="shared" si="181"/>
        <v>16152.29</v>
      </c>
      <c r="AF539" s="270">
        <f t="shared" si="180"/>
        <v>16152.29</v>
      </c>
      <c r="AG539" s="270">
        <f t="shared" si="180"/>
        <v>16152.29</v>
      </c>
      <c r="AH539" s="270">
        <f t="shared" si="180"/>
        <v>16152.29</v>
      </c>
      <c r="AI539" s="270">
        <f t="shared" si="180"/>
        <v>16152.29</v>
      </c>
      <c r="AJ539" s="270">
        <f t="shared" si="180"/>
        <v>16152.29</v>
      </c>
      <c r="AK539" s="270">
        <f t="shared" si="180"/>
        <v>16152.29</v>
      </c>
      <c r="AL539" s="270">
        <f t="shared" si="180"/>
        <v>16152.29</v>
      </c>
      <c r="AM539" s="270">
        <f t="shared" si="180"/>
        <v>16152.29</v>
      </c>
    </row>
    <row r="540" spans="2:39" ht="15.75" thickBot="1" x14ac:dyDescent="0.35">
      <c r="B540" s="56" t="str">
        <f>input_names!$C$3</f>
        <v>diesel</v>
      </c>
      <c r="C540" s="61">
        <v>138</v>
      </c>
      <c r="D540" s="270">
        <f t="shared" si="178"/>
        <v>11583</v>
      </c>
      <c r="E540" s="270">
        <f t="shared" si="178"/>
        <v>12584.53</v>
      </c>
      <c r="F540" s="270">
        <f t="shared" si="178"/>
        <v>13707.369999999999</v>
      </c>
      <c r="G540" s="270">
        <f t="shared" si="178"/>
        <v>14190.5</v>
      </c>
      <c r="H540" s="270">
        <f t="shared" si="178"/>
        <v>14317.11</v>
      </c>
      <c r="I540" s="270">
        <f t="shared" si="178"/>
        <v>15313.15</v>
      </c>
      <c r="J540" s="270">
        <f t="shared" si="178"/>
        <v>10620.99</v>
      </c>
      <c r="K540" s="270">
        <f t="shared" si="178"/>
        <v>11443.21</v>
      </c>
      <c r="L540" s="270">
        <f t="shared" si="178"/>
        <v>13093.5</v>
      </c>
      <c r="M540" s="270">
        <f t="shared" si="178"/>
        <v>15208.689999999999</v>
      </c>
      <c r="N540" s="270">
        <f t="shared" si="178"/>
        <v>16435.16</v>
      </c>
      <c r="O540" s="270">
        <f t="shared" si="178"/>
        <v>16435.16</v>
      </c>
      <c r="P540" s="270">
        <f t="shared" si="178"/>
        <v>16435.16</v>
      </c>
      <c r="Q540" s="270">
        <f t="shared" si="178"/>
        <v>16435.16</v>
      </c>
      <c r="R540" s="270">
        <f t="shared" si="178"/>
        <v>16435.16</v>
      </c>
      <c r="S540" s="270">
        <f t="shared" si="179"/>
        <v>16435.16</v>
      </c>
      <c r="T540" s="270">
        <f t="shared" si="179"/>
        <v>16435.16</v>
      </c>
      <c r="U540" s="270">
        <f t="shared" si="179"/>
        <v>16435.16</v>
      </c>
      <c r="V540" s="270">
        <f t="shared" si="179"/>
        <v>16435.16</v>
      </c>
      <c r="W540" s="270">
        <f t="shared" si="179"/>
        <v>16435.16</v>
      </c>
      <c r="X540" s="270">
        <f t="shared" si="179"/>
        <v>16435.16</v>
      </c>
      <c r="Y540" s="270">
        <f t="shared" si="179"/>
        <v>16435.16</v>
      </c>
      <c r="Z540" s="270">
        <f t="shared" si="179"/>
        <v>16435.16</v>
      </c>
      <c r="AA540" s="270">
        <f t="shared" si="179"/>
        <v>16435.16</v>
      </c>
      <c r="AB540" s="270">
        <f t="shared" si="179"/>
        <v>16435.16</v>
      </c>
      <c r="AC540" s="270">
        <f t="shared" si="179"/>
        <v>16435.16</v>
      </c>
      <c r="AD540" s="270">
        <f t="shared" si="178"/>
        <v>16435.16</v>
      </c>
      <c r="AE540" s="270">
        <f t="shared" si="181"/>
        <v>16435.16</v>
      </c>
      <c r="AF540" s="270">
        <f t="shared" si="180"/>
        <v>16435.16</v>
      </c>
      <c r="AG540" s="270">
        <f t="shared" si="180"/>
        <v>16435.16</v>
      </c>
      <c r="AH540" s="270">
        <f t="shared" si="180"/>
        <v>16435.16</v>
      </c>
      <c r="AI540" s="270">
        <f t="shared" si="180"/>
        <v>16435.16</v>
      </c>
      <c r="AJ540" s="270">
        <f t="shared" si="180"/>
        <v>16435.16</v>
      </c>
      <c r="AK540" s="270">
        <f t="shared" si="180"/>
        <v>16435.16</v>
      </c>
      <c r="AL540" s="270">
        <f t="shared" si="180"/>
        <v>16435.16</v>
      </c>
      <c r="AM540" s="270">
        <f t="shared" si="180"/>
        <v>16435.16</v>
      </c>
    </row>
    <row r="541" spans="2:39" ht="15.75" thickBot="1" x14ac:dyDescent="0.35">
      <c r="B541" s="56" t="str">
        <f>input_names!$C$3</f>
        <v>diesel</v>
      </c>
      <c r="C541" s="61">
        <v>139</v>
      </c>
      <c r="D541" s="270">
        <f t="shared" si="178"/>
        <v>11781</v>
      </c>
      <c r="E541" s="270">
        <f t="shared" si="178"/>
        <v>12793.960000000001</v>
      </c>
      <c r="F541" s="270">
        <f t="shared" si="178"/>
        <v>13938.06</v>
      </c>
      <c r="G541" s="270">
        <f t="shared" si="178"/>
        <v>14416.88</v>
      </c>
      <c r="H541" s="270">
        <f t="shared" si="178"/>
        <v>14535.54</v>
      </c>
      <c r="I541" s="270">
        <f t="shared" si="178"/>
        <v>15612</v>
      </c>
      <c r="J541" s="270">
        <f t="shared" si="178"/>
        <v>10836.58</v>
      </c>
      <c r="K541" s="270">
        <f t="shared" si="178"/>
        <v>11666.880000000001</v>
      </c>
      <c r="L541" s="270">
        <f t="shared" si="178"/>
        <v>13336.8</v>
      </c>
      <c r="M541" s="270">
        <f t="shared" si="178"/>
        <v>15481.759999999998</v>
      </c>
      <c r="N541" s="270">
        <f t="shared" si="178"/>
        <v>16718.03</v>
      </c>
      <c r="O541" s="270">
        <f t="shared" si="178"/>
        <v>16718.03</v>
      </c>
      <c r="P541" s="270">
        <f t="shared" si="178"/>
        <v>16718.03</v>
      </c>
      <c r="Q541" s="270">
        <f t="shared" si="178"/>
        <v>16718.03</v>
      </c>
      <c r="R541" s="270">
        <f t="shared" si="178"/>
        <v>16718.03</v>
      </c>
      <c r="S541" s="270">
        <f t="shared" si="179"/>
        <v>16718.03</v>
      </c>
      <c r="T541" s="270">
        <f t="shared" si="179"/>
        <v>16718.03</v>
      </c>
      <c r="U541" s="270">
        <f t="shared" si="179"/>
        <v>16718.03</v>
      </c>
      <c r="V541" s="270">
        <f t="shared" si="179"/>
        <v>16718.03</v>
      </c>
      <c r="W541" s="270">
        <f t="shared" si="179"/>
        <v>16718.03</v>
      </c>
      <c r="X541" s="270">
        <f t="shared" si="179"/>
        <v>16718.03</v>
      </c>
      <c r="Y541" s="270">
        <f t="shared" si="179"/>
        <v>16718.03</v>
      </c>
      <c r="Z541" s="270">
        <f t="shared" si="179"/>
        <v>16718.03</v>
      </c>
      <c r="AA541" s="270">
        <f t="shared" si="179"/>
        <v>16718.03</v>
      </c>
      <c r="AB541" s="270">
        <f t="shared" si="179"/>
        <v>16718.03</v>
      </c>
      <c r="AC541" s="270">
        <f t="shared" si="179"/>
        <v>16718.03</v>
      </c>
      <c r="AD541" s="270">
        <f t="shared" si="178"/>
        <v>16718.03</v>
      </c>
      <c r="AE541" s="270">
        <f t="shared" si="181"/>
        <v>16718.03</v>
      </c>
      <c r="AF541" s="270">
        <f t="shared" si="180"/>
        <v>16718.03</v>
      </c>
      <c r="AG541" s="270">
        <f t="shared" si="180"/>
        <v>16718.03</v>
      </c>
      <c r="AH541" s="270">
        <f t="shared" si="180"/>
        <v>16718.03</v>
      </c>
      <c r="AI541" s="270">
        <f t="shared" si="180"/>
        <v>16718.03</v>
      </c>
      <c r="AJ541" s="270">
        <f t="shared" si="180"/>
        <v>16718.03</v>
      </c>
      <c r="AK541" s="270">
        <f t="shared" si="180"/>
        <v>16718.03</v>
      </c>
      <c r="AL541" s="270">
        <f t="shared" si="180"/>
        <v>16718.03</v>
      </c>
      <c r="AM541" s="270">
        <f t="shared" si="180"/>
        <v>16718.03</v>
      </c>
    </row>
    <row r="542" spans="2:39" ht="15.75" thickBot="1" x14ac:dyDescent="0.35">
      <c r="B542" s="56" t="str">
        <f>input_names!$C$3</f>
        <v>diesel</v>
      </c>
      <c r="C542" s="61">
        <v>140</v>
      </c>
      <c r="D542" s="270">
        <f t="shared" si="178"/>
        <v>11979</v>
      </c>
      <c r="E542" s="270">
        <f t="shared" si="178"/>
        <v>13003.39</v>
      </c>
      <c r="F542" s="270">
        <f t="shared" si="178"/>
        <v>14168.75</v>
      </c>
      <c r="G542" s="270">
        <f t="shared" si="178"/>
        <v>14643.259999999998</v>
      </c>
      <c r="H542" s="270">
        <f t="shared" si="178"/>
        <v>14837.970000000001</v>
      </c>
      <c r="I542" s="270">
        <f t="shared" si="178"/>
        <v>15910.849999999999</v>
      </c>
      <c r="J542" s="270">
        <f t="shared" si="178"/>
        <v>11052.17</v>
      </c>
      <c r="K542" s="270">
        <f t="shared" si="178"/>
        <v>11890.55</v>
      </c>
      <c r="L542" s="270">
        <f t="shared" si="178"/>
        <v>13580.099999999999</v>
      </c>
      <c r="M542" s="270">
        <f t="shared" si="178"/>
        <v>15754.83</v>
      </c>
      <c r="N542" s="270">
        <f t="shared" si="178"/>
        <v>17000.900000000001</v>
      </c>
      <c r="O542" s="270">
        <f t="shared" si="178"/>
        <v>17000.900000000001</v>
      </c>
      <c r="P542" s="270">
        <f t="shared" si="178"/>
        <v>17000.900000000001</v>
      </c>
      <c r="Q542" s="270">
        <f t="shared" si="178"/>
        <v>17000.900000000001</v>
      </c>
      <c r="R542" s="270">
        <f t="shared" si="178"/>
        <v>17000.900000000001</v>
      </c>
      <c r="S542" s="270">
        <f t="shared" si="179"/>
        <v>17000.900000000001</v>
      </c>
      <c r="T542" s="270">
        <f t="shared" si="179"/>
        <v>17000.900000000001</v>
      </c>
      <c r="U542" s="270">
        <f t="shared" si="179"/>
        <v>17000.900000000001</v>
      </c>
      <c r="V542" s="270">
        <f t="shared" si="179"/>
        <v>17000.900000000001</v>
      </c>
      <c r="W542" s="270">
        <f t="shared" si="179"/>
        <v>17000.900000000001</v>
      </c>
      <c r="X542" s="270">
        <f t="shared" si="179"/>
        <v>17000.900000000001</v>
      </c>
      <c r="Y542" s="270">
        <f t="shared" si="179"/>
        <v>17000.900000000001</v>
      </c>
      <c r="Z542" s="270">
        <f t="shared" si="179"/>
        <v>17000.900000000001</v>
      </c>
      <c r="AA542" s="270">
        <f t="shared" si="179"/>
        <v>17000.900000000001</v>
      </c>
      <c r="AB542" s="270">
        <f t="shared" si="179"/>
        <v>17000.900000000001</v>
      </c>
      <c r="AC542" s="270">
        <f t="shared" si="179"/>
        <v>17000.900000000001</v>
      </c>
      <c r="AD542" s="270">
        <f t="shared" si="178"/>
        <v>17000.900000000001</v>
      </c>
      <c r="AE542" s="270">
        <f t="shared" si="181"/>
        <v>17000.900000000001</v>
      </c>
      <c r="AF542" s="270">
        <f t="shared" si="180"/>
        <v>17000.900000000001</v>
      </c>
      <c r="AG542" s="270">
        <f t="shared" si="180"/>
        <v>17000.900000000001</v>
      </c>
      <c r="AH542" s="270">
        <f t="shared" si="180"/>
        <v>17000.900000000001</v>
      </c>
      <c r="AI542" s="270">
        <f t="shared" si="180"/>
        <v>17000.900000000001</v>
      </c>
      <c r="AJ542" s="270">
        <f t="shared" si="180"/>
        <v>17000.900000000001</v>
      </c>
      <c r="AK542" s="270">
        <f t="shared" si="180"/>
        <v>17000.900000000001</v>
      </c>
      <c r="AL542" s="270">
        <f t="shared" si="180"/>
        <v>17000.900000000001</v>
      </c>
      <c r="AM542" s="270">
        <f t="shared" si="180"/>
        <v>17000.900000000001</v>
      </c>
    </row>
    <row r="543" spans="2:39" ht="15.75" thickBot="1" x14ac:dyDescent="0.35">
      <c r="B543" s="56" t="str">
        <f>input_names!$C$3</f>
        <v>diesel</v>
      </c>
      <c r="C543" s="61">
        <v>141</v>
      </c>
      <c r="D543" s="270">
        <f t="shared" si="178"/>
        <v>12177</v>
      </c>
      <c r="E543" s="270">
        <f t="shared" si="178"/>
        <v>13212.82</v>
      </c>
      <c r="F543" s="270">
        <f t="shared" si="178"/>
        <v>14399.439999999999</v>
      </c>
      <c r="G543" s="270">
        <f t="shared" si="178"/>
        <v>14869.64</v>
      </c>
      <c r="H543" s="270">
        <f t="shared" si="178"/>
        <v>15140.400000000001</v>
      </c>
      <c r="I543" s="270">
        <f t="shared" si="178"/>
        <v>16209.7</v>
      </c>
      <c r="J543" s="270">
        <f t="shared" si="178"/>
        <v>11267.76</v>
      </c>
      <c r="K543" s="270">
        <f t="shared" si="178"/>
        <v>12114.220000000001</v>
      </c>
      <c r="L543" s="270">
        <f t="shared" si="178"/>
        <v>13823.4</v>
      </c>
      <c r="M543" s="270">
        <f t="shared" si="178"/>
        <v>16027.9</v>
      </c>
      <c r="N543" s="270">
        <f t="shared" si="178"/>
        <v>17283.77</v>
      </c>
      <c r="O543" s="270">
        <f t="shared" si="178"/>
        <v>17283.77</v>
      </c>
      <c r="P543" s="270">
        <f t="shared" si="178"/>
        <v>17283.77</v>
      </c>
      <c r="Q543" s="270">
        <f t="shared" si="178"/>
        <v>17283.77</v>
      </c>
      <c r="R543" s="270">
        <f t="shared" si="178"/>
        <v>17283.77</v>
      </c>
      <c r="S543" s="270">
        <f t="shared" si="179"/>
        <v>17283.77</v>
      </c>
      <c r="T543" s="270">
        <f t="shared" si="179"/>
        <v>17283.77</v>
      </c>
      <c r="U543" s="270">
        <f t="shared" si="179"/>
        <v>17283.77</v>
      </c>
      <c r="V543" s="270">
        <f t="shared" si="179"/>
        <v>17283.77</v>
      </c>
      <c r="W543" s="270">
        <f t="shared" si="179"/>
        <v>17283.77</v>
      </c>
      <c r="X543" s="270">
        <f t="shared" si="179"/>
        <v>17283.77</v>
      </c>
      <c r="Y543" s="270">
        <f t="shared" si="179"/>
        <v>17283.77</v>
      </c>
      <c r="Z543" s="270">
        <f t="shared" si="179"/>
        <v>17283.77</v>
      </c>
      <c r="AA543" s="270">
        <f t="shared" si="179"/>
        <v>17283.77</v>
      </c>
      <c r="AB543" s="270">
        <f t="shared" si="179"/>
        <v>17283.77</v>
      </c>
      <c r="AC543" s="270">
        <f t="shared" si="179"/>
        <v>17283.77</v>
      </c>
      <c r="AD543" s="270">
        <f t="shared" si="178"/>
        <v>17283.77</v>
      </c>
      <c r="AE543" s="270">
        <f t="shared" si="181"/>
        <v>17283.77</v>
      </c>
      <c r="AF543" s="270">
        <f t="shared" si="180"/>
        <v>17283.77</v>
      </c>
      <c r="AG543" s="270">
        <f t="shared" si="180"/>
        <v>17283.77</v>
      </c>
      <c r="AH543" s="270">
        <f t="shared" si="180"/>
        <v>17283.77</v>
      </c>
      <c r="AI543" s="270">
        <f t="shared" si="180"/>
        <v>17283.77</v>
      </c>
      <c r="AJ543" s="270">
        <f t="shared" si="180"/>
        <v>17283.77</v>
      </c>
      <c r="AK543" s="270">
        <f t="shared" si="180"/>
        <v>17283.77</v>
      </c>
      <c r="AL543" s="270">
        <f t="shared" si="180"/>
        <v>17283.77</v>
      </c>
      <c r="AM543" s="270">
        <f t="shared" si="180"/>
        <v>17283.77</v>
      </c>
    </row>
    <row r="544" spans="2:39" ht="15.75" thickBot="1" x14ac:dyDescent="0.35">
      <c r="B544" s="56" t="str">
        <f>input_names!$C$3</f>
        <v>diesel</v>
      </c>
      <c r="C544" s="61">
        <v>142</v>
      </c>
      <c r="D544" s="270">
        <f t="shared" si="178"/>
        <v>12375</v>
      </c>
      <c r="E544" s="270">
        <f t="shared" si="178"/>
        <v>13422.25</v>
      </c>
      <c r="F544" s="270">
        <f t="shared" si="178"/>
        <v>14630.130000000001</v>
      </c>
      <c r="G544" s="270">
        <f t="shared" si="178"/>
        <v>15096.02</v>
      </c>
      <c r="H544" s="270">
        <f t="shared" si="178"/>
        <v>15442.830000000002</v>
      </c>
      <c r="I544" s="270">
        <f t="shared" si="178"/>
        <v>16508.55</v>
      </c>
      <c r="J544" s="270">
        <f t="shared" si="178"/>
        <v>11483.35</v>
      </c>
      <c r="K544" s="270">
        <f t="shared" si="178"/>
        <v>12337.89</v>
      </c>
      <c r="L544" s="270">
        <f t="shared" si="178"/>
        <v>14066.7</v>
      </c>
      <c r="M544" s="270">
        <f t="shared" si="178"/>
        <v>16300.97</v>
      </c>
      <c r="N544" s="270">
        <f t="shared" si="178"/>
        <v>17677.64</v>
      </c>
      <c r="O544" s="270">
        <f t="shared" si="178"/>
        <v>17677.64</v>
      </c>
      <c r="P544" s="270">
        <f t="shared" si="178"/>
        <v>17677.64</v>
      </c>
      <c r="Q544" s="270">
        <f t="shared" si="178"/>
        <v>17677.64</v>
      </c>
      <c r="R544" s="270">
        <f t="shared" si="178"/>
        <v>17677.64</v>
      </c>
      <c r="S544" s="270">
        <f t="shared" si="179"/>
        <v>17677.64</v>
      </c>
      <c r="T544" s="270">
        <f t="shared" si="179"/>
        <v>17677.64</v>
      </c>
      <c r="U544" s="270">
        <f t="shared" si="179"/>
        <v>17677.64</v>
      </c>
      <c r="V544" s="270">
        <f t="shared" si="179"/>
        <v>17677.64</v>
      </c>
      <c r="W544" s="270">
        <f t="shared" si="179"/>
        <v>17677.64</v>
      </c>
      <c r="X544" s="270">
        <f t="shared" si="179"/>
        <v>17677.64</v>
      </c>
      <c r="Y544" s="270">
        <f t="shared" si="179"/>
        <v>17677.64</v>
      </c>
      <c r="Z544" s="270">
        <f t="shared" si="179"/>
        <v>17677.64</v>
      </c>
      <c r="AA544" s="270">
        <f t="shared" si="179"/>
        <v>17677.64</v>
      </c>
      <c r="AB544" s="270">
        <f t="shared" si="179"/>
        <v>17677.64</v>
      </c>
      <c r="AC544" s="270">
        <f t="shared" si="179"/>
        <v>17677.64</v>
      </c>
      <c r="AD544" s="270">
        <f t="shared" si="178"/>
        <v>17677.64</v>
      </c>
      <c r="AE544" s="270">
        <f t="shared" si="181"/>
        <v>17677.64</v>
      </c>
      <c r="AF544" s="270">
        <f t="shared" si="180"/>
        <v>17677.64</v>
      </c>
      <c r="AG544" s="270">
        <f t="shared" si="180"/>
        <v>17677.64</v>
      </c>
      <c r="AH544" s="270">
        <f t="shared" si="180"/>
        <v>17677.64</v>
      </c>
      <c r="AI544" s="270">
        <f t="shared" si="180"/>
        <v>17677.64</v>
      </c>
      <c r="AJ544" s="270">
        <f t="shared" si="180"/>
        <v>17677.64</v>
      </c>
      <c r="AK544" s="270">
        <f t="shared" si="180"/>
        <v>17677.64</v>
      </c>
      <c r="AL544" s="270">
        <f t="shared" si="180"/>
        <v>17677.64</v>
      </c>
      <c r="AM544" s="270">
        <f t="shared" si="180"/>
        <v>17677.64</v>
      </c>
    </row>
    <row r="545" spans="2:39" ht="15.75" thickBot="1" x14ac:dyDescent="0.35">
      <c r="B545" s="56" t="str">
        <f>input_names!$C$3</f>
        <v>diesel</v>
      </c>
      <c r="C545" s="61">
        <v>143</v>
      </c>
      <c r="D545" s="270">
        <f t="shared" si="178"/>
        <v>12573</v>
      </c>
      <c r="E545" s="270">
        <f t="shared" si="178"/>
        <v>13631.68</v>
      </c>
      <c r="F545" s="270">
        <f t="shared" si="178"/>
        <v>14860.82</v>
      </c>
      <c r="G545" s="270">
        <f t="shared" si="178"/>
        <v>15322.4</v>
      </c>
      <c r="H545" s="270">
        <f t="shared" si="178"/>
        <v>15745.26</v>
      </c>
      <c r="I545" s="270">
        <f t="shared" si="178"/>
        <v>16807.400000000001</v>
      </c>
      <c r="J545" s="270">
        <f t="shared" si="178"/>
        <v>11698.94</v>
      </c>
      <c r="K545" s="270">
        <f t="shared" si="178"/>
        <v>12561.560000000001</v>
      </c>
      <c r="L545" s="270">
        <f t="shared" si="178"/>
        <v>14310</v>
      </c>
      <c r="M545" s="270">
        <f t="shared" si="178"/>
        <v>16574.04</v>
      </c>
      <c r="N545" s="270">
        <f t="shared" si="178"/>
        <v>18071.510000000002</v>
      </c>
      <c r="O545" s="270">
        <f t="shared" si="178"/>
        <v>18071.510000000002</v>
      </c>
      <c r="P545" s="270">
        <f t="shared" si="178"/>
        <v>18071.510000000002</v>
      </c>
      <c r="Q545" s="270">
        <f t="shared" si="178"/>
        <v>18071.510000000002</v>
      </c>
      <c r="R545" s="270">
        <f t="shared" si="178"/>
        <v>18071.510000000002</v>
      </c>
      <c r="S545" s="270">
        <f t="shared" si="179"/>
        <v>18071.510000000002</v>
      </c>
      <c r="T545" s="270">
        <f t="shared" si="179"/>
        <v>18071.510000000002</v>
      </c>
      <c r="U545" s="270">
        <f t="shared" si="179"/>
        <v>18071.510000000002</v>
      </c>
      <c r="V545" s="270">
        <f t="shared" si="179"/>
        <v>18071.510000000002</v>
      </c>
      <c r="W545" s="270">
        <f t="shared" si="179"/>
        <v>18071.510000000002</v>
      </c>
      <c r="X545" s="270">
        <f t="shared" si="179"/>
        <v>18071.510000000002</v>
      </c>
      <c r="Y545" s="270">
        <f t="shared" si="179"/>
        <v>18071.510000000002</v>
      </c>
      <c r="Z545" s="270">
        <f t="shared" si="179"/>
        <v>18071.510000000002</v>
      </c>
      <c r="AA545" s="270">
        <f t="shared" si="179"/>
        <v>18071.510000000002</v>
      </c>
      <c r="AB545" s="270">
        <f t="shared" si="179"/>
        <v>18071.510000000002</v>
      </c>
      <c r="AC545" s="270">
        <f t="shared" si="179"/>
        <v>18071.510000000002</v>
      </c>
      <c r="AD545" s="270">
        <f t="shared" si="178"/>
        <v>18071.510000000002</v>
      </c>
      <c r="AE545" s="270">
        <f t="shared" si="181"/>
        <v>18071.510000000002</v>
      </c>
      <c r="AF545" s="270">
        <f t="shared" si="180"/>
        <v>18071.510000000002</v>
      </c>
      <c r="AG545" s="270">
        <f t="shared" si="180"/>
        <v>18071.510000000002</v>
      </c>
      <c r="AH545" s="270">
        <f t="shared" si="180"/>
        <v>18071.510000000002</v>
      </c>
      <c r="AI545" s="270">
        <f t="shared" si="180"/>
        <v>18071.510000000002</v>
      </c>
      <c r="AJ545" s="270">
        <f t="shared" si="180"/>
        <v>18071.510000000002</v>
      </c>
      <c r="AK545" s="270">
        <f t="shared" si="180"/>
        <v>18071.510000000002</v>
      </c>
      <c r="AL545" s="270">
        <f t="shared" si="180"/>
        <v>18071.510000000002</v>
      </c>
      <c r="AM545" s="270">
        <f t="shared" si="180"/>
        <v>18071.510000000002</v>
      </c>
    </row>
    <row r="546" spans="2:39" ht="15.75" thickBot="1" x14ac:dyDescent="0.35">
      <c r="B546" s="56" t="str">
        <f>input_names!$C$3</f>
        <v>diesel</v>
      </c>
      <c r="C546" s="61">
        <v>144</v>
      </c>
      <c r="D546" s="270">
        <f t="shared" ref="D546:AD561" si="182">+MIN(MAX(0,$C546-D$11),D$12-D$11)*D$17
+MIN(MAX(0,$C546-D$12),D$13-D$12)*D$18
+MIN(MAX(0,$C546-D$13),D$14-D$13)*D$19
+MIN(MAX(0,$C546-D$14),D$15-D$14)*D$20
+MAX(0,$C546-D$15)*D$21
+D$24*MAX(0,$C546-D$23)
+D$26</f>
        <v>12771</v>
      </c>
      <c r="E546" s="270">
        <f t="shared" si="182"/>
        <v>13841.11</v>
      </c>
      <c r="F546" s="270">
        <f t="shared" si="182"/>
        <v>15091.51</v>
      </c>
      <c r="G546" s="270">
        <f t="shared" si="182"/>
        <v>15548.779999999999</v>
      </c>
      <c r="H546" s="270">
        <f t="shared" si="182"/>
        <v>16047.69</v>
      </c>
      <c r="I546" s="270">
        <f t="shared" si="182"/>
        <v>17106.25</v>
      </c>
      <c r="J546" s="270">
        <f t="shared" si="182"/>
        <v>11914.53</v>
      </c>
      <c r="K546" s="270">
        <f t="shared" si="182"/>
        <v>12785.23</v>
      </c>
      <c r="L546" s="270">
        <f t="shared" si="182"/>
        <v>14553.3</v>
      </c>
      <c r="M546" s="270">
        <f t="shared" si="182"/>
        <v>16847.11</v>
      </c>
      <c r="N546" s="270">
        <f t="shared" si="182"/>
        <v>18465.38</v>
      </c>
      <c r="O546" s="270">
        <f t="shared" si="182"/>
        <v>18465.38</v>
      </c>
      <c r="P546" s="270">
        <f t="shared" si="182"/>
        <v>18465.38</v>
      </c>
      <c r="Q546" s="270">
        <f t="shared" si="182"/>
        <v>18465.38</v>
      </c>
      <c r="R546" s="270">
        <f t="shared" si="182"/>
        <v>18465.38</v>
      </c>
      <c r="S546" s="270">
        <f t="shared" si="179"/>
        <v>18465.38</v>
      </c>
      <c r="T546" s="270">
        <f t="shared" si="179"/>
        <v>18465.38</v>
      </c>
      <c r="U546" s="270">
        <f t="shared" si="179"/>
        <v>18465.38</v>
      </c>
      <c r="V546" s="270">
        <f t="shared" si="179"/>
        <v>18465.38</v>
      </c>
      <c r="W546" s="270">
        <f t="shared" si="179"/>
        <v>18465.38</v>
      </c>
      <c r="X546" s="270">
        <f t="shared" si="179"/>
        <v>18465.38</v>
      </c>
      <c r="Y546" s="270">
        <f t="shared" si="179"/>
        <v>18465.38</v>
      </c>
      <c r="Z546" s="270">
        <f t="shared" si="179"/>
        <v>18465.38</v>
      </c>
      <c r="AA546" s="270">
        <f t="shared" si="179"/>
        <v>18465.38</v>
      </c>
      <c r="AB546" s="270">
        <f t="shared" si="179"/>
        <v>18465.38</v>
      </c>
      <c r="AC546" s="270">
        <f t="shared" si="179"/>
        <v>18465.38</v>
      </c>
      <c r="AD546" s="270">
        <f t="shared" si="182"/>
        <v>18465.38</v>
      </c>
      <c r="AE546" s="270">
        <f t="shared" si="181"/>
        <v>18465.38</v>
      </c>
      <c r="AF546" s="270">
        <f t="shared" si="180"/>
        <v>18465.38</v>
      </c>
      <c r="AG546" s="270">
        <f t="shared" si="180"/>
        <v>18465.38</v>
      </c>
      <c r="AH546" s="270">
        <f t="shared" si="180"/>
        <v>18465.38</v>
      </c>
      <c r="AI546" s="270">
        <f t="shared" si="180"/>
        <v>18465.38</v>
      </c>
      <c r="AJ546" s="270">
        <f t="shared" si="180"/>
        <v>18465.38</v>
      </c>
      <c r="AK546" s="270">
        <f t="shared" si="180"/>
        <v>18465.38</v>
      </c>
      <c r="AL546" s="270">
        <f t="shared" si="180"/>
        <v>18465.38</v>
      </c>
      <c r="AM546" s="270">
        <f t="shared" si="180"/>
        <v>18465.38</v>
      </c>
    </row>
    <row r="547" spans="2:39" ht="15.75" thickBot="1" x14ac:dyDescent="0.35">
      <c r="B547" s="56" t="str">
        <f>input_names!$C$3</f>
        <v>diesel</v>
      </c>
      <c r="C547" s="61">
        <v>145</v>
      </c>
      <c r="D547" s="270">
        <f t="shared" si="182"/>
        <v>12969</v>
      </c>
      <c r="E547" s="270">
        <f t="shared" si="182"/>
        <v>14050.54</v>
      </c>
      <c r="F547" s="270">
        <f t="shared" si="182"/>
        <v>15322.2</v>
      </c>
      <c r="G547" s="270">
        <f t="shared" si="182"/>
        <v>15864.16</v>
      </c>
      <c r="H547" s="270">
        <f t="shared" si="182"/>
        <v>16350.12</v>
      </c>
      <c r="I547" s="270">
        <f t="shared" si="182"/>
        <v>17405.099999999999</v>
      </c>
      <c r="J547" s="270">
        <f t="shared" si="182"/>
        <v>12130.119999999999</v>
      </c>
      <c r="K547" s="270">
        <f t="shared" si="182"/>
        <v>13008.900000000001</v>
      </c>
      <c r="L547" s="270">
        <f t="shared" si="182"/>
        <v>14796.599999999999</v>
      </c>
      <c r="M547" s="270">
        <f t="shared" si="182"/>
        <v>17120.18</v>
      </c>
      <c r="N547" s="270">
        <f t="shared" si="182"/>
        <v>18859.25</v>
      </c>
      <c r="O547" s="270">
        <f t="shared" si="182"/>
        <v>18859.25</v>
      </c>
      <c r="P547" s="270">
        <f t="shared" si="182"/>
        <v>18859.25</v>
      </c>
      <c r="Q547" s="270">
        <f t="shared" si="182"/>
        <v>18859.25</v>
      </c>
      <c r="R547" s="270">
        <f t="shared" si="182"/>
        <v>18859.25</v>
      </c>
      <c r="S547" s="270">
        <f t="shared" si="179"/>
        <v>18859.25</v>
      </c>
      <c r="T547" s="270">
        <f t="shared" si="179"/>
        <v>18859.25</v>
      </c>
      <c r="U547" s="270">
        <f t="shared" si="179"/>
        <v>18859.25</v>
      </c>
      <c r="V547" s="270">
        <f t="shared" si="179"/>
        <v>18859.25</v>
      </c>
      <c r="W547" s="270">
        <f t="shared" si="179"/>
        <v>18859.25</v>
      </c>
      <c r="X547" s="270">
        <f t="shared" si="179"/>
        <v>18859.25</v>
      </c>
      <c r="Y547" s="270">
        <f t="shared" si="179"/>
        <v>18859.25</v>
      </c>
      <c r="Z547" s="270">
        <f t="shared" si="179"/>
        <v>18859.25</v>
      </c>
      <c r="AA547" s="270">
        <f t="shared" si="179"/>
        <v>18859.25</v>
      </c>
      <c r="AB547" s="270">
        <f t="shared" si="179"/>
        <v>18859.25</v>
      </c>
      <c r="AC547" s="270">
        <f t="shared" si="179"/>
        <v>18859.25</v>
      </c>
      <c r="AD547" s="270">
        <f t="shared" si="182"/>
        <v>18859.25</v>
      </c>
      <c r="AE547" s="270">
        <f t="shared" si="181"/>
        <v>18859.25</v>
      </c>
      <c r="AF547" s="270">
        <f t="shared" si="180"/>
        <v>18859.25</v>
      </c>
      <c r="AG547" s="270">
        <f t="shared" si="180"/>
        <v>18859.25</v>
      </c>
      <c r="AH547" s="270">
        <f t="shared" si="180"/>
        <v>18859.25</v>
      </c>
      <c r="AI547" s="270">
        <f t="shared" si="180"/>
        <v>18859.25</v>
      </c>
      <c r="AJ547" s="270">
        <f t="shared" si="180"/>
        <v>18859.25</v>
      </c>
      <c r="AK547" s="270">
        <f t="shared" si="180"/>
        <v>18859.25</v>
      </c>
      <c r="AL547" s="270">
        <f t="shared" si="180"/>
        <v>18859.25</v>
      </c>
      <c r="AM547" s="270">
        <f t="shared" si="180"/>
        <v>18859.25</v>
      </c>
    </row>
    <row r="548" spans="2:39" ht="15.75" thickBot="1" x14ac:dyDescent="0.35">
      <c r="B548" s="56" t="str">
        <f>input_names!$C$3</f>
        <v>diesel</v>
      </c>
      <c r="C548" s="61">
        <v>146</v>
      </c>
      <c r="D548" s="270">
        <f t="shared" si="182"/>
        <v>13167</v>
      </c>
      <c r="E548" s="270">
        <f t="shared" si="182"/>
        <v>14259.970000000001</v>
      </c>
      <c r="F548" s="270">
        <f t="shared" si="182"/>
        <v>15552.89</v>
      </c>
      <c r="G548" s="270">
        <f t="shared" si="182"/>
        <v>16179.54</v>
      </c>
      <c r="H548" s="270">
        <f t="shared" si="182"/>
        <v>16652.55</v>
      </c>
      <c r="I548" s="270">
        <f t="shared" si="182"/>
        <v>17703.95</v>
      </c>
      <c r="J548" s="270">
        <f t="shared" si="182"/>
        <v>12345.71</v>
      </c>
      <c r="K548" s="270">
        <f t="shared" si="182"/>
        <v>13232.57</v>
      </c>
      <c r="L548" s="270">
        <f t="shared" si="182"/>
        <v>15039.9</v>
      </c>
      <c r="M548" s="270">
        <f t="shared" si="182"/>
        <v>17500.25</v>
      </c>
      <c r="N548" s="270">
        <f t="shared" si="182"/>
        <v>19253.120000000003</v>
      </c>
      <c r="O548" s="270">
        <f t="shared" si="182"/>
        <v>19253.120000000003</v>
      </c>
      <c r="P548" s="270">
        <f t="shared" si="182"/>
        <v>19253.120000000003</v>
      </c>
      <c r="Q548" s="270">
        <f t="shared" si="182"/>
        <v>19253.120000000003</v>
      </c>
      <c r="R548" s="270">
        <f t="shared" si="182"/>
        <v>19253.120000000003</v>
      </c>
      <c r="S548" s="270">
        <f t="shared" si="179"/>
        <v>19253.120000000003</v>
      </c>
      <c r="T548" s="270">
        <f t="shared" si="179"/>
        <v>19253.120000000003</v>
      </c>
      <c r="U548" s="270">
        <f t="shared" si="179"/>
        <v>19253.120000000003</v>
      </c>
      <c r="V548" s="270">
        <f t="shared" si="179"/>
        <v>19253.120000000003</v>
      </c>
      <c r="W548" s="270">
        <f t="shared" si="179"/>
        <v>19253.120000000003</v>
      </c>
      <c r="X548" s="270">
        <f t="shared" si="179"/>
        <v>19253.120000000003</v>
      </c>
      <c r="Y548" s="270">
        <f t="shared" si="179"/>
        <v>19253.120000000003</v>
      </c>
      <c r="Z548" s="270">
        <f t="shared" si="179"/>
        <v>19253.120000000003</v>
      </c>
      <c r="AA548" s="270">
        <f t="shared" si="179"/>
        <v>19253.120000000003</v>
      </c>
      <c r="AB548" s="270">
        <f t="shared" si="179"/>
        <v>19253.120000000003</v>
      </c>
      <c r="AC548" s="270">
        <f t="shared" si="179"/>
        <v>19253.120000000003</v>
      </c>
      <c r="AD548" s="270">
        <f t="shared" si="182"/>
        <v>19253.120000000003</v>
      </c>
      <c r="AE548" s="270">
        <f t="shared" si="181"/>
        <v>19253.120000000003</v>
      </c>
      <c r="AF548" s="270">
        <f t="shared" si="180"/>
        <v>19253.120000000003</v>
      </c>
      <c r="AG548" s="270">
        <f t="shared" si="180"/>
        <v>19253.120000000003</v>
      </c>
      <c r="AH548" s="270">
        <f t="shared" si="180"/>
        <v>19253.120000000003</v>
      </c>
      <c r="AI548" s="270">
        <f t="shared" si="180"/>
        <v>19253.120000000003</v>
      </c>
      <c r="AJ548" s="270">
        <f t="shared" si="180"/>
        <v>19253.120000000003</v>
      </c>
      <c r="AK548" s="270">
        <f t="shared" si="180"/>
        <v>19253.120000000003</v>
      </c>
      <c r="AL548" s="270">
        <f t="shared" si="180"/>
        <v>19253.120000000003</v>
      </c>
      <c r="AM548" s="270">
        <f t="shared" si="180"/>
        <v>19253.120000000003</v>
      </c>
    </row>
    <row r="549" spans="2:39" ht="15.75" thickBot="1" x14ac:dyDescent="0.35">
      <c r="B549" s="56" t="str">
        <f>input_names!$C$3</f>
        <v>diesel</v>
      </c>
      <c r="C549" s="61">
        <v>147</v>
      </c>
      <c r="D549" s="270">
        <f t="shared" si="182"/>
        <v>13365</v>
      </c>
      <c r="E549" s="270">
        <f t="shared" si="182"/>
        <v>14469.400000000001</v>
      </c>
      <c r="F549" s="270">
        <f t="shared" si="182"/>
        <v>15783.58</v>
      </c>
      <c r="G549" s="270">
        <f t="shared" si="182"/>
        <v>16494.919999999998</v>
      </c>
      <c r="H549" s="270">
        <f t="shared" si="182"/>
        <v>16954.98</v>
      </c>
      <c r="I549" s="270">
        <f t="shared" si="182"/>
        <v>18002.8</v>
      </c>
      <c r="J549" s="270">
        <f t="shared" si="182"/>
        <v>12561.3</v>
      </c>
      <c r="K549" s="270">
        <f t="shared" si="182"/>
        <v>13456.24</v>
      </c>
      <c r="L549" s="270">
        <f t="shared" si="182"/>
        <v>15283.2</v>
      </c>
      <c r="M549" s="270">
        <f t="shared" si="182"/>
        <v>17880.32</v>
      </c>
      <c r="N549" s="270">
        <f t="shared" si="182"/>
        <v>19646.989999999998</v>
      </c>
      <c r="O549" s="270">
        <f t="shared" si="182"/>
        <v>19646.989999999998</v>
      </c>
      <c r="P549" s="270">
        <f t="shared" si="182"/>
        <v>19646.989999999998</v>
      </c>
      <c r="Q549" s="270">
        <f t="shared" si="182"/>
        <v>19646.989999999998</v>
      </c>
      <c r="R549" s="270">
        <f t="shared" si="182"/>
        <v>19646.989999999998</v>
      </c>
      <c r="S549" s="270">
        <f t="shared" si="179"/>
        <v>19646.989999999998</v>
      </c>
      <c r="T549" s="270">
        <f t="shared" si="179"/>
        <v>19646.989999999998</v>
      </c>
      <c r="U549" s="270">
        <f t="shared" si="179"/>
        <v>19646.989999999998</v>
      </c>
      <c r="V549" s="270">
        <f t="shared" si="179"/>
        <v>19646.989999999998</v>
      </c>
      <c r="W549" s="270">
        <f t="shared" si="179"/>
        <v>19646.989999999998</v>
      </c>
      <c r="X549" s="270">
        <f t="shared" si="179"/>
        <v>19646.989999999998</v>
      </c>
      <c r="Y549" s="270">
        <f t="shared" si="179"/>
        <v>19646.989999999998</v>
      </c>
      <c r="Z549" s="270">
        <f t="shared" si="179"/>
        <v>19646.989999999998</v>
      </c>
      <c r="AA549" s="270">
        <f t="shared" si="179"/>
        <v>19646.989999999998</v>
      </c>
      <c r="AB549" s="270">
        <f t="shared" si="179"/>
        <v>19646.989999999998</v>
      </c>
      <c r="AC549" s="270">
        <f t="shared" si="179"/>
        <v>19646.989999999998</v>
      </c>
      <c r="AD549" s="270">
        <f t="shared" si="182"/>
        <v>19646.989999999998</v>
      </c>
      <c r="AE549" s="270">
        <f t="shared" si="181"/>
        <v>19646.989999999998</v>
      </c>
      <c r="AF549" s="270">
        <f t="shared" si="180"/>
        <v>19646.989999999998</v>
      </c>
      <c r="AG549" s="270">
        <f t="shared" si="180"/>
        <v>19646.989999999998</v>
      </c>
      <c r="AH549" s="270">
        <f t="shared" si="180"/>
        <v>19646.989999999998</v>
      </c>
      <c r="AI549" s="270">
        <f t="shared" si="180"/>
        <v>19646.989999999998</v>
      </c>
      <c r="AJ549" s="270">
        <f t="shared" si="180"/>
        <v>19646.989999999998</v>
      </c>
      <c r="AK549" s="270">
        <f t="shared" si="180"/>
        <v>19646.989999999998</v>
      </c>
      <c r="AL549" s="270">
        <f t="shared" si="180"/>
        <v>19646.989999999998</v>
      </c>
      <c r="AM549" s="270">
        <f t="shared" si="180"/>
        <v>19646.989999999998</v>
      </c>
    </row>
    <row r="550" spans="2:39" ht="15.75" thickBot="1" x14ac:dyDescent="0.35">
      <c r="B550" s="56" t="str">
        <f>input_names!$C$3</f>
        <v>diesel</v>
      </c>
      <c r="C550" s="61">
        <v>148</v>
      </c>
      <c r="D550" s="270">
        <f t="shared" si="182"/>
        <v>13563</v>
      </c>
      <c r="E550" s="270">
        <f t="shared" si="182"/>
        <v>14678.830000000002</v>
      </c>
      <c r="F550" s="270">
        <f t="shared" si="182"/>
        <v>16014.27</v>
      </c>
      <c r="G550" s="270">
        <f t="shared" si="182"/>
        <v>16810.3</v>
      </c>
      <c r="H550" s="270">
        <f t="shared" si="182"/>
        <v>17257.41</v>
      </c>
      <c r="I550" s="270">
        <f t="shared" si="182"/>
        <v>18301.650000000001</v>
      </c>
      <c r="J550" s="270">
        <f t="shared" si="182"/>
        <v>12776.89</v>
      </c>
      <c r="K550" s="270">
        <f t="shared" si="182"/>
        <v>13679.91</v>
      </c>
      <c r="L550" s="270">
        <f t="shared" si="182"/>
        <v>15526.5</v>
      </c>
      <c r="M550" s="270">
        <f t="shared" si="182"/>
        <v>18260.39</v>
      </c>
      <c r="N550" s="270">
        <f t="shared" si="182"/>
        <v>20040.86</v>
      </c>
      <c r="O550" s="270">
        <f t="shared" si="182"/>
        <v>20040.86</v>
      </c>
      <c r="P550" s="270">
        <f t="shared" si="182"/>
        <v>20040.86</v>
      </c>
      <c r="Q550" s="270">
        <f t="shared" si="182"/>
        <v>20040.86</v>
      </c>
      <c r="R550" s="270">
        <f t="shared" si="182"/>
        <v>20040.86</v>
      </c>
      <c r="S550" s="270">
        <f t="shared" si="179"/>
        <v>20040.86</v>
      </c>
      <c r="T550" s="270">
        <f t="shared" si="179"/>
        <v>20040.86</v>
      </c>
      <c r="U550" s="270">
        <f t="shared" si="179"/>
        <v>20040.86</v>
      </c>
      <c r="V550" s="270">
        <f t="shared" si="179"/>
        <v>20040.86</v>
      </c>
      <c r="W550" s="270">
        <f t="shared" si="179"/>
        <v>20040.86</v>
      </c>
      <c r="X550" s="270">
        <f t="shared" si="179"/>
        <v>20040.86</v>
      </c>
      <c r="Y550" s="270">
        <f t="shared" si="179"/>
        <v>20040.86</v>
      </c>
      <c r="Z550" s="270">
        <f t="shared" si="179"/>
        <v>20040.86</v>
      </c>
      <c r="AA550" s="270">
        <f t="shared" si="179"/>
        <v>20040.86</v>
      </c>
      <c r="AB550" s="270">
        <f t="shared" si="179"/>
        <v>20040.86</v>
      </c>
      <c r="AC550" s="270">
        <f t="shared" si="179"/>
        <v>20040.86</v>
      </c>
      <c r="AD550" s="270">
        <f t="shared" si="182"/>
        <v>20040.86</v>
      </c>
      <c r="AE550" s="270">
        <f t="shared" si="181"/>
        <v>20040.86</v>
      </c>
      <c r="AF550" s="270">
        <f t="shared" si="180"/>
        <v>20040.86</v>
      </c>
      <c r="AG550" s="270">
        <f t="shared" si="180"/>
        <v>20040.86</v>
      </c>
      <c r="AH550" s="270">
        <f t="shared" si="180"/>
        <v>20040.86</v>
      </c>
      <c r="AI550" s="270">
        <f t="shared" si="180"/>
        <v>20040.86</v>
      </c>
      <c r="AJ550" s="270">
        <f t="shared" si="180"/>
        <v>20040.86</v>
      </c>
      <c r="AK550" s="270">
        <f t="shared" si="180"/>
        <v>20040.86</v>
      </c>
      <c r="AL550" s="270">
        <f t="shared" si="180"/>
        <v>20040.86</v>
      </c>
      <c r="AM550" s="270">
        <f t="shared" si="180"/>
        <v>20040.86</v>
      </c>
    </row>
    <row r="551" spans="2:39" ht="15.75" thickBot="1" x14ac:dyDescent="0.35">
      <c r="B551" s="56" t="str">
        <f>input_names!$C$3</f>
        <v>diesel</v>
      </c>
      <c r="C551" s="61">
        <v>149</v>
      </c>
      <c r="D551" s="270">
        <f t="shared" si="182"/>
        <v>13761</v>
      </c>
      <c r="E551" s="270">
        <f t="shared" si="182"/>
        <v>14888.26</v>
      </c>
      <c r="F551" s="270">
        <f t="shared" si="182"/>
        <v>16244.96</v>
      </c>
      <c r="G551" s="270">
        <f t="shared" si="182"/>
        <v>17125.68</v>
      </c>
      <c r="H551" s="270">
        <f t="shared" si="182"/>
        <v>17559.84</v>
      </c>
      <c r="I551" s="270">
        <f t="shared" si="182"/>
        <v>18600.5</v>
      </c>
      <c r="J551" s="270">
        <f t="shared" si="182"/>
        <v>12992.48</v>
      </c>
      <c r="K551" s="270">
        <f t="shared" si="182"/>
        <v>13903.58</v>
      </c>
      <c r="L551" s="270">
        <f t="shared" si="182"/>
        <v>15864.8</v>
      </c>
      <c r="M551" s="270">
        <f t="shared" si="182"/>
        <v>18640.46</v>
      </c>
      <c r="N551" s="270">
        <f t="shared" si="182"/>
        <v>20434.73</v>
      </c>
      <c r="O551" s="270">
        <f t="shared" si="182"/>
        <v>20434.73</v>
      </c>
      <c r="P551" s="270">
        <f t="shared" si="182"/>
        <v>20434.73</v>
      </c>
      <c r="Q551" s="270">
        <f t="shared" si="182"/>
        <v>20434.73</v>
      </c>
      <c r="R551" s="270">
        <f t="shared" si="182"/>
        <v>20434.73</v>
      </c>
      <c r="S551" s="270">
        <f t="shared" si="179"/>
        <v>20434.73</v>
      </c>
      <c r="T551" s="270">
        <f t="shared" si="179"/>
        <v>20434.73</v>
      </c>
      <c r="U551" s="270">
        <f t="shared" si="179"/>
        <v>20434.73</v>
      </c>
      <c r="V551" s="270">
        <f t="shared" si="179"/>
        <v>20434.73</v>
      </c>
      <c r="W551" s="270">
        <f t="shared" si="179"/>
        <v>20434.73</v>
      </c>
      <c r="X551" s="270">
        <f t="shared" si="179"/>
        <v>20434.73</v>
      </c>
      <c r="Y551" s="270">
        <f t="shared" si="179"/>
        <v>20434.73</v>
      </c>
      <c r="Z551" s="270">
        <f t="shared" si="179"/>
        <v>20434.73</v>
      </c>
      <c r="AA551" s="270">
        <f t="shared" si="179"/>
        <v>20434.73</v>
      </c>
      <c r="AB551" s="270">
        <f t="shared" si="179"/>
        <v>20434.73</v>
      </c>
      <c r="AC551" s="270">
        <f t="shared" si="179"/>
        <v>20434.73</v>
      </c>
      <c r="AD551" s="270">
        <f t="shared" si="182"/>
        <v>20434.73</v>
      </c>
      <c r="AE551" s="270">
        <f t="shared" si="181"/>
        <v>20434.73</v>
      </c>
      <c r="AF551" s="270">
        <f t="shared" si="180"/>
        <v>20434.73</v>
      </c>
      <c r="AG551" s="270">
        <f t="shared" si="180"/>
        <v>20434.73</v>
      </c>
      <c r="AH551" s="270">
        <f t="shared" si="180"/>
        <v>20434.73</v>
      </c>
      <c r="AI551" s="270">
        <f t="shared" si="180"/>
        <v>20434.73</v>
      </c>
      <c r="AJ551" s="270">
        <f t="shared" si="180"/>
        <v>20434.73</v>
      </c>
      <c r="AK551" s="270">
        <f t="shared" si="180"/>
        <v>20434.73</v>
      </c>
      <c r="AL551" s="270">
        <f t="shared" si="180"/>
        <v>20434.73</v>
      </c>
      <c r="AM551" s="270">
        <f t="shared" si="180"/>
        <v>20434.73</v>
      </c>
    </row>
    <row r="552" spans="2:39" ht="15.75" thickBot="1" x14ac:dyDescent="0.35">
      <c r="B552" s="56" t="str">
        <f>input_names!$C$3</f>
        <v>diesel</v>
      </c>
      <c r="C552" s="61">
        <v>150</v>
      </c>
      <c r="D552" s="270">
        <f t="shared" si="182"/>
        <v>13959</v>
      </c>
      <c r="E552" s="270">
        <f t="shared" si="182"/>
        <v>15097.69</v>
      </c>
      <c r="F552" s="270">
        <f t="shared" si="182"/>
        <v>16475.650000000001</v>
      </c>
      <c r="G552" s="270">
        <f t="shared" si="182"/>
        <v>17441.059999999998</v>
      </c>
      <c r="H552" s="270">
        <f t="shared" si="182"/>
        <v>17862.27</v>
      </c>
      <c r="I552" s="270">
        <f t="shared" si="182"/>
        <v>18899.349999999999</v>
      </c>
      <c r="J552" s="270">
        <f t="shared" si="182"/>
        <v>13208.07</v>
      </c>
      <c r="K552" s="270">
        <f t="shared" si="182"/>
        <v>14127.25</v>
      </c>
      <c r="L552" s="270">
        <f t="shared" si="182"/>
        <v>16203.099999999999</v>
      </c>
      <c r="M552" s="270">
        <f t="shared" si="182"/>
        <v>19020.53</v>
      </c>
      <c r="N552" s="270">
        <f t="shared" si="182"/>
        <v>20828.599999999999</v>
      </c>
      <c r="O552" s="270">
        <f t="shared" si="182"/>
        <v>20828.599999999999</v>
      </c>
      <c r="P552" s="270">
        <f t="shared" si="182"/>
        <v>20828.599999999999</v>
      </c>
      <c r="Q552" s="270">
        <f t="shared" si="182"/>
        <v>20828.599999999999</v>
      </c>
      <c r="R552" s="270">
        <f t="shared" si="182"/>
        <v>20828.599999999999</v>
      </c>
      <c r="S552" s="270">
        <f t="shared" si="179"/>
        <v>20828.599999999999</v>
      </c>
      <c r="T552" s="270">
        <f t="shared" si="179"/>
        <v>20828.599999999999</v>
      </c>
      <c r="U552" s="270">
        <f t="shared" si="179"/>
        <v>20828.599999999999</v>
      </c>
      <c r="V552" s="270">
        <f t="shared" si="179"/>
        <v>20828.599999999999</v>
      </c>
      <c r="W552" s="270">
        <f t="shared" si="179"/>
        <v>20828.599999999999</v>
      </c>
      <c r="X552" s="270">
        <f t="shared" si="179"/>
        <v>20828.599999999999</v>
      </c>
      <c r="Y552" s="270">
        <f t="shared" si="179"/>
        <v>20828.599999999999</v>
      </c>
      <c r="Z552" s="270">
        <f t="shared" si="179"/>
        <v>20828.599999999999</v>
      </c>
      <c r="AA552" s="270">
        <f t="shared" si="179"/>
        <v>20828.599999999999</v>
      </c>
      <c r="AB552" s="270">
        <f t="shared" si="179"/>
        <v>20828.599999999999</v>
      </c>
      <c r="AC552" s="270">
        <f t="shared" si="179"/>
        <v>20828.599999999999</v>
      </c>
      <c r="AD552" s="270">
        <f t="shared" si="182"/>
        <v>20828.599999999999</v>
      </c>
      <c r="AE552" s="270">
        <f t="shared" si="181"/>
        <v>20828.599999999999</v>
      </c>
      <c r="AF552" s="270">
        <f t="shared" si="180"/>
        <v>20828.599999999999</v>
      </c>
      <c r="AG552" s="270">
        <f t="shared" si="180"/>
        <v>20828.599999999999</v>
      </c>
      <c r="AH552" s="270">
        <f t="shared" si="180"/>
        <v>20828.599999999999</v>
      </c>
      <c r="AI552" s="270">
        <f t="shared" si="180"/>
        <v>20828.599999999999</v>
      </c>
      <c r="AJ552" s="270">
        <f t="shared" si="180"/>
        <v>20828.599999999999</v>
      </c>
      <c r="AK552" s="270">
        <f t="shared" si="180"/>
        <v>20828.599999999999</v>
      </c>
      <c r="AL552" s="270">
        <f t="shared" si="180"/>
        <v>20828.599999999999</v>
      </c>
      <c r="AM552" s="270">
        <f t="shared" si="180"/>
        <v>20828.599999999999</v>
      </c>
    </row>
    <row r="553" spans="2:39" ht="15.75" thickBot="1" x14ac:dyDescent="0.35">
      <c r="B553" s="56" t="str">
        <f>input_names!$C$3</f>
        <v>diesel</v>
      </c>
      <c r="C553" s="61">
        <v>151</v>
      </c>
      <c r="D553" s="270">
        <f t="shared" si="182"/>
        <v>14157</v>
      </c>
      <c r="E553" s="270">
        <f t="shared" si="182"/>
        <v>15307.12</v>
      </c>
      <c r="F553" s="270">
        <f t="shared" si="182"/>
        <v>16798.34</v>
      </c>
      <c r="G553" s="270">
        <f t="shared" si="182"/>
        <v>17756.439999999999</v>
      </c>
      <c r="H553" s="270">
        <f t="shared" si="182"/>
        <v>18164.7</v>
      </c>
      <c r="I553" s="270">
        <f t="shared" si="182"/>
        <v>19407.199999999997</v>
      </c>
      <c r="J553" s="270">
        <f t="shared" si="182"/>
        <v>13423.66</v>
      </c>
      <c r="K553" s="270">
        <f t="shared" si="182"/>
        <v>14350.92</v>
      </c>
      <c r="L553" s="270">
        <f t="shared" si="182"/>
        <v>16541.400000000001</v>
      </c>
      <c r="M553" s="270">
        <f t="shared" si="182"/>
        <v>19400.599999999999</v>
      </c>
      <c r="N553" s="270">
        <f t="shared" si="182"/>
        <v>21222.47</v>
      </c>
      <c r="O553" s="270">
        <f t="shared" si="182"/>
        <v>21222.47</v>
      </c>
      <c r="P553" s="270">
        <f t="shared" si="182"/>
        <v>21222.47</v>
      </c>
      <c r="Q553" s="270">
        <f t="shared" si="182"/>
        <v>21222.47</v>
      </c>
      <c r="R553" s="270">
        <f t="shared" si="182"/>
        <v>21222.47</v>
      </c>
      <c r="S553" s="270">
        <f t="shared" si="179"/>
        <v>21222.47</v>
      </c>
      <c r="T553" s="270">
        <f t="shared" si="179"/>
        <v>21222.47</v>
      </c>
      <c r="U553" s="270">
        <f t="shared" si="179"/>
        <v>21222.47</v>
      </c>
      <c r="V553" s="270">
        <f t="shared" si="179"/>
        <v>21222.47</v>
      </c>
      <c r="W553" s="270">
        <f t="shared" si="179"/>
        <v>21222.47</v>
      </c>
      <c r="X553" s="270">
        <f t="shared" si="179"/>
        <v>21222.47</v>
      </c>
      <c r="Y553" s="270">
        <f t="shared" si="179"/>
        <v>21222.47</v>
      </c>
      <c r="Z553" s="270">
        <f t="shared" si="179"/>
        <v>21222.47</v>
      </c>
      <c r="AA553" s="270">
        <f t="shared" si="179"/>
        <v>21222.47</v>
      </c>
      <c r="AB553" s="270">
        <f t="shared" si="179"/>
        <v>21222.47</v>
      </c>
      <c r="AC553" s="270">
        <f t="shared" si="179"/>
        <v>21222.47</v>
      </c>
      <c r="AD553" s="270">
        <f t="shared" si="182"/>
        <v>21222.47</v>
      </c>
      <c r="AE553" s="270">
        <f t="shared" si="181"/>
        <v>21222.47</v>
      </c>
      <c r="AF553" s="270">
        <f t="shared" si="180"/>
        <v>21222.47</v>
      </c>
      <c r="AG553" s="270">
        <f t="shared" si="180"/>
        <v>21222.47</v>
      </c>
      <c r="AH553" s="270">
        <f t="shared" si="180"/>
        <v>21222.47</v>
      </c>
      <c r="AI553" s="270">
        <f t="shared" si="180"/>
        <v>21222.47</v>
      </c>
      <c r="AJ553" s="270">
        <f t="shared" si="180"/>
        <v>21222.47</v>
      </c>
      <c r="AK553" s="270">
        <f t="shared" si="180"/>
        <v>21222.47</v>
      </c>
      <c r="AL553" s="270">
        <f t="shared" si="180"/>
        <v>21222.47</v>
      </c>
      <c r="AM553" s="270">
        <f t="shared" si="180"/>
        <v>21222.47</v>
      </c>
    </row>
    <row r="554" spans="2:39" ht="15.75" thickBot="1" x14ac:dyDescent="0.35">
      <c r="B554" s="56" t="str">
        <f>input_names!$C$3</f>
        <v>diesel</v>
      </c>
      <c r="C554" s="61">
        <v>152</v>
      </c>
      <c r="D554" s="270">
        <f t="shared" si="182"/>
        <v>14355</v>
      </c>
      <c r="E554" s="270">
        <f t="shared" si="182"/>
        <v>15516.55</v>
      </c>
      <c r="F554" s="270">
        <f t="shared" si="182"/>
        <v>17121.03</v>
      </c>
      <c r="G554" s="270">
        <f t="shared" si="182"/>
        <v>18071.82</v>
      </c>
      <c r="H554" s="270">
        <f t="shared" si="182"/>
        <v>18467.13</v>
      </c>
      <c r="I554" s="270">
        <f t="shared" si="182"/>
        <v>19915.05</v>
      </c>
      <c r="J554" s="270">
        <f t="shared" si="182"/>
        <v>13639.25</v>
      </c>
      <c r="K554" s="270">
        <f t="shared" si="182"/>
        <v>14574.59</v>
      </c>
      <c r="L554" s="270">
        <f t="shared" si="182"/>
        <v>16879.7</v>
      </c>
      <c r="M554" s="270">
        <f t="shared" si="182"/>
        <v>19780.669999999998</v>
      </c>
      <c r="N554" s="270">
        <f t="shared" si="182"/>
        <v>21616.34</v>
      </c>
      <c r="O554" s="270">
        <f t="shared" si="182"/>
        <v>21616.34</v>
      </c>
      <c r="P554" s="270">
        <f t="shared" si="182"/>
        <v>21616.34</v>
      </c>
      <c r="Q554" s="270">
        <f t="shared" si="182"/>
        <v>21616.34</v>
      </c>
      <c r="R554" s="270">
        <f t="shared" si="182"/>
        <v>21616.34</v>
      </c>
      <c r="S554" s="270">
        <f t="shared" si="179"/>
        <v>21616.34</v>
      </c>
      <c r="T554" s="270">
        <f t="shared" si="179"/>
        <v>21616.34</v>
      </c>
      <c r="U554" s="270">
        <f t="shared" si="179"/>
        <v>21616.34</v>
      </c>
      <c r="V554" s="270">
        <f t="shared" si="179"/>
        <v>21616.34</v>
      </c>
      <c r="W554" s="270">
        <f t="shared" si="179"/>
        <v>21616.34</v>
      </c>
      <c r="X554" s="270">
        <f t="shared" si="179"/>
        <v>21616.34</v>
      </c>
      <c r="Y554" s="270">
        <f t="shared" si="179"/>
        <v>21616.34</v>
      </c>
      <c r="Z554" s="270">
        <f t="shared" si="179"/>
        <v>21616.34</v>
      </c>
      <c r="AA554" s="270">
        <f t="shared" si="179"/>
        <v>21616.34</v>
      </c>
      <c r="AB554" s="270">
        <f t="shared" si="179"/>
        <v>21616.34</v>
      </c>
      <c r="AC554" s="270">
        <f t="shared" si="179"/>
        <v>21616.34</v>
      </c>
      <c r="AD554" s="270">
        <f t="shared" si="182"/>
        <v>21616.34</v>
      </c>
      <c r="AE554" s="270">
        <f t="shared" si="181"/>
        <v>21616.34</v>
      </c>
      <c r="AF554" s="270">
        <f t="shared" si="180"/>
        <v>21616.34</v>
      </c>
      <c r="AG554" s="270">
        <f t="shared" si="180"/>
        <v>21616.34</v>
      </c>
      <c r="AH554" s="270">
        <f t="shared" si="180"/>
        <v>21616.34</v>
      </c>
      <c r="AI554" s="270">
        <f t="shared" si="180"/>
        <v>21616.34</v>
      </c>
      <c r="AJ554" s="270">
        <f t="shared" si="180"/>
        <v>21616.34</v>
      </c>
      <c r="AK554" s="270">
        <f t="shared" si="180"/>
        <v>21616.34</v>
      </c>
      <c r="AL554" s="270">
        <f t="shared" si="180"/>
        <v>21616.34</v>
      </c>
      <c r="AM554" s="270">
        <f t="shared" si="180"/>
        <v>21616.34</v>
      </c>
    </row>
    <row r="555" spans="2:39" ht="15.75" thickBot="1" x14ac:dyDescent="0.35">
      <c r="B555" s="56" t="str">
        <f>input_names!$C$3</f>
        <v>diesel</v>
      </c>
      <c r="C555" s="61">
        <v>153</v>
      </c>
      <c r="D555" s="270">
        <f t="shared" si="182"/>
        <v>14553</v>
      </c>
      <c r="E555" s="270">
        <f t="shared" si="182"/>
        <v>15725.98</v>
      </c>
      <c r="F555" s="270">
        <f t="shared" si="182"/>
        <v>17443.72</v>
      </c>
      <c r="G555" s="270">
        <f t="shared" si="182"/>
        <v>18387.2</v>
      </c>
      <c r="H555" s="270">
        <f t="shared" si="182"/>
        <v>18769.560000000001</v>
      </c>
      <c r="I555" s="270">
        <f t="shared" si="182"/>
        <v>20422.900000000001</v>
      </c>
      <c r="J555" s="270">
        <f t="shared" si="182"/>
        <v>13854.84</v>
      </c>
      <c r="K555" s="270">
        <f t="shared" si="182"/>
        <v>14885.26</v>
      </c>
      <c r="L555" s="270">
        <f t="shared" si="182"/>
        <v>17218</v>
      </c>
      <c r="M555" s="270">
        <f t="shared" si="182"/>
        <v>20160.739999999998</v>
      </c>
      <c r="N555" s="270">
        <f t="shared" si="182"/>
        <v>22010.21</v>
      </c>
      <c r="O555" s="270">
        <f t="shared" si="182"/>
        <v>22010.21</v>
      </c>
      <c r="P555" s="270">
        <f t="shared" si="182"/>
        <v>22010.21</v>
      </c>
      <c r="Q555" s="270">
        <f t="shared" si="182"/>
        <v>22010.21</v>
      </c>
      <c r="R555" s="270">
        <f t="shared" si="182"/>
        <v>22010.21</v>
      </c>
      <c r="S555" s="270">
        <f t="shared" si="179"/>
        <v>22010.21</v>
      </c>
      <c r="T555" s="270">
        <f t="shared" si="179"/>
        <v>22010.21</v>
      </c>
      <c r="U555" s="270">
        <f t="shared" si="179"/>
        <v>22010.21</v>
      </c>
      <c r="V555" s="270">
        <f t="shared" si="179"/>
        <v>22010.21</v>
      </c>
      <c r="W555" s="270">
        <f t="shared" si="179"/>
        <v>22010.21</v>
      </c>
      <c r="X555" s="270">
        <f t="shared" si="179"/>
        <v>22010.21</v>
      </c>
      <c r="Y555" s="270">
        <f t="shared" si="179"/>
        <v>22010.21</v>
      </c>
      <c r="Z555" s="270">
        <f t="shared" si="179"/>
        <v>22010.21</v>
      </c>
      <c r="AA555" s="270">
        <f t="shared" si="179"/>
        <v>22010.21</v>
      </c>
      <c r="AB555" s="270">
        <f t="shared" si="179"/>
        <v>22010.21</v>
      </c>
      <c r="AC555" s="270">
        <f t="shared" si="179"/>
        <v>22010.21</v>
      </c>
      <c r="AD555" s="270">
        <f t="shared" si="182"/>
        <v>22010.21</v>
      </c>
      <c r="AE555" s="270">
        <f t="shared" si="181"/>
        <v>22010.21</v>
      </c>
      <c r="AF555" s="270">
        <f t="shared" si="180"/>
        <v>22010.21</v>
      </c>
      <c r="AG555" s="270">
        <f t="shared" si="180"/>
        <v>22010.21</v>
      </c>
      <c r="AH555" s="270">
        <f t="shared" si="180"/>
        <v>22010.21</v>
      </c>
      <c r="AI555" s="270">
        <f t="shared" si="180"/>
        <v>22010.21</v>
      </c>
      <c r="AJ555" s="270">
        <f t="shared" si="180"/>
        <v>22010.21</v>
      </c>
      <c r="AK555" s="270">
        <f t="shared" si="180"/>
        <v>22010.21</v>
      </c>
      <c r="AL555" s="270">
        <f t="shared" si="180"/>
        <v>22010.21</v>
      </c>
      <c r="AM555" s="270">
        <f t="shared" si="180"/>
        <v>22010.21</v>
      </c>
    </row>
    <row r="556" spans="2:39" ht="15.75" thickBot="1" x14ac:dyDescent="0.35">
      <c r="B556" s="56" t="str">
        <f>input_names!$C$3</f>
        <v>diesel</v>
      </c>
      <c r="C556" s="61">
        <v>154</v>
      </c>
      <c r="D556" s="270">
        <f t="shared" si="182"/>
        <v>14751</v>
      </c>
      <c r="E556" s="270">
        <f t="shared" si="182"/>
        <v>15935.41</v>
      </c>
      <c r="F556" s="270">
        <f t="shared" si="182"/>
        <v>17766.41</v>
      </c>
      <c r="G556" s="270">
        <f t="shared" si="182"/>
        <v>18702.580000000002</v>
      </c>
      <c r="H556" s="270">
        <f t="shared" si="182"/>
        <v>19071.989999999998</v>
      </c>
      <c r="I556" s="270">
        <f t="shared" si="182"/>
        <v>20930.75</v>
      </c>
      <c r="J556" s="270">
        <f t="shared" si="182"/>
        <v>14070.43</v>
      </c>
      <c r="K556" s="270">
        <f t="shared" si="182"/>
        <v>15195.93</v>
      </c>
      <c r="L556" s="270">
        <f t="shared" si="182"/>
        <v>17556.3</v>
      </c>
      <c r="M556" s="270">
        <f t="shared" si="182"/>
        <v>20540.809999999998</v>
      </c>
      <c r="N556" s="270">
        <f t="shared" si="182"/>
        <v>22404.080000000002</v>
      </c>
      <c r="O556" s="270">
        <f t="shared" si="182"/>
        <v>22404.080000000002</v>
      </c>
      <c r="P556" s="270">
        <f t="shared" si="182"/>
        <v>22404.080000000002</v>
      </c>
      <c r="Q556" s="270">
        <f t="shared" si="182"/>
        <v>22404.080000000002</v>
      </c>
      <c r="R556" s="270">
        <f t="shared" si="182"/>
        <v>22404.080000000002</v>
      </c>
      <c r="S556" s="270">
        <f t="shared" si="179"/>
        <v>22404.080000000002</v>
      </c>
      <c r="T556" s="270">
        <f t="shared" si="179"/>
        <v>22404.080000000002</v>
      </c>
      <c r="U556" s="270">
        <f t="shared" si="179"/>
        <v>22404.080000000002</v>
      </c>
      <c r="V556" s="270">
        <f t="shared" si="179"/>
        <v>22404.080000000002</v>
      </c>
      <c r="W556" s="270">
        <f t="shared" ref="U556:AC584" si="183">+MIN(MAX(0,$C556-W$11),W$12-W$11)*W$17
+MIN(MAX(0,$C556-W$12),W$13-W$12)*W$18
+MIN(MAX(0,$C556-W$13),W$14-W$13)*W$19
+MIN(MAX(0,$C556-W$14),W$15-W$14)*W$20
+MAX(0,$C556-W$15)*W$21
+W$24*MAX(0,$C556-W$23)
+W$26</f>
        <v>22404.080000000002</v>
      </c>
      <c r="X556" s="270">
        <f t="shared" si="183"/>
        <v>22404.080000000002</v>
      </c>
      <c r="Y556" s="270">
        <f t="shared" si="183"/>
        <v>22404.080000000002</v>
      </c>
      <c r="Z556" s="270">
        <f t="shared" si="183"/>
        <v>22404.080000000002</v>
      </c>
      <c r="AA556" s="270">
        <f t="shared" si="183"/>
        <v>22404.080000000002</v>
      </c>
      <c r="AB556" s="270">
        <f t="shared" si="183"/>
        <v>22404.080000000002</v>
      </c>
      <c r="AC556" s="270">
        <f t="shared" si="183"/>
        <v>22404.080000000002</v>
      </c>
      <c r="AD556" s="270">
        <f t="shared" si="182"/>
        <v>22404.080000000002</v>
      </c>
      <c r="AE556" s="270">
        <f t="shared" si="181"/>
        <v>22404.080000000002</v>
      </c>
      <c r="AF556" s="270">
        <f t="shared" si="180"/>
        <v>22404.080000000002</v>
      </c>
      <c r="AG556" s="270">
        <f t="shared" si="180"/>
        <v>22404.080000000002</v>
      </c>
      <c r="AH556" s="270">
        <f t="shared" si="180"/>
        <v>22404.080000000002</v>
      </c>
      <c r="AI556" s="270">
        <f t="shared" si="180"/>
        <v>22404.080000000002</v>
      </c>
      <c r="AJ556" s="270">
        <f t="shared" si="180"/>
        <v>22404.080000000002</v>
      </c>
      <c r="AK556" s="270">
        <f t="shared" si="180"/>
        <v>22404.080000000002</v>
      </c>
      <c r="AL556" s="270">
        <f t="shared" si="180"/>
        <v>22404.080000000002</v>
      </c>
      <c r="AM556" s="270">
        <f t="shared" si="180"/>
        <v>22404.080000000002</v>
      </c>
    </row>
    <row r="557" spans="2:39" ht="15.75" thickBot="1" x14ac:dyDescent="0.35">
      <c r="B557" s="56" t="str">
        <f>input_names!$C$3</f>
        <v>diesel</v>
      </c>
      <c r="C557" s="61">
        <v>155</v>
      </c>
      <c r="D557" s="270">
        <f t="shared" si="182"/>
        <v>14949</v>
      </c>
      <c r="E557" s="270">
        <f t="shared" si="182"/>
        <v>16144.84</v>
      </c>
      <c r="F557" s="270">
        <f t="shared" si="182"/>
        <v>18089.099999999999</v>
      </c>
      <c r="G557" s="270">
        <f t="shared" si="182"/>
        <v>19017.96</v>
      </c>
      <c r="H557" s="270">
        <f t="shared" si="182"/>
        <v>19374.419999999998</v>
      </c>
      <c r="I557" s="270">
        <f t="shared" si="182"/>
        <v>21438.6</v>
      </c>
      <c r="J557" s="270">
        <f t="shared" si="182"/>
        <v>14286.02</v>
      </c>
      <c r="K557" s="270">
        <f t="shared" si="182"/>
        <v>15506.6</v>
      </c>
      <c r="L557" s="270">
        <f t="shared" si="182"/>
        <v>17894.599999999999</v>
      </c>
      <c r="M557" s="270">
        <f t="shared" si="182"/>
        <v>20920.879999999997</v>
      </c>
      <c r="N557" s="270">
        <f t="shared" si="182"/>
        <v>22797.95</v>
      </c>
      <c r="O557" s="270">
        <f t="shared" si="182"/>
        <v>22797.95</v>
      </c>
      <c r="P557" s="270">
        <f t="shared" si="182"/>
        <v>22797.95</v>
      </c>
      <c r="Q557" s="270">
        <f t="shared" si="182"/>
        <v>22797.95</v>
      </c>
      <c r="R557" s="270">
        <f t="shared" si="182"/>
        <v>22797.95</v>
      </c>
      <c r="S557" s="270">
        <f t="shared" ref="S557:T572" si="184">+MIN(MAX(0,$C557-S$11),S$12-S$11)*S$17
+MIN(MAX(0,$C557-S$12),S$13-S$12)*S$18
+MIN(MAX(0,$C557-S$13),S$14-S$13)*S$19
+MIN(MAX(0,$C557-S$14),S$15-S$14)*S$20
+MAX(0,$C557-S$15)*S$21
+S$24*MAX(0,$C557-S$23)
+S$26</f>
        <v>22797.95</v>
      </c>
      <c r="T557" s="270">
        <f t="shared" si="184"/>
        <v>22797.95</v>
      </c>
      <c r="U557" s="270">
        <f t="shared" si="183"/>
        <v>22797.95</v>
      </c>
      <c r="V557" s="270">
        <f t="shared" si="183"/>
        <v>22797.95</v>
      </c>
      <c r="W557" s="270">
        <f t="shared" si="183"/>
        <v>22797.95</v>
      </c>
      <c r="X557" s="270">
        <f t="shared" si="183"/>
        <v>22797.95</v>
      </c>
      <c r="Y557" s="270">
        <f t="shared" si="183"/>
        <v>22797.95</v>
      </c>
      <c r="Z557" s="270">
        <f t="shared" si="183"/>
        <v>22797.95</v>
      </c>
      <c r="AA557" s="270">
        <f t="shared" si="183"/>
        <v>22797.95</v>
      </c>
      <c r="AB557" s="270">
        <f t="shared" si="183"/>
        <v>22797.95</v>
      </c>
      <c r="AC557" s="270">
        <f t="shared" si="183"/>
        <v>22797.95</v>
      </c>
      <c r="AD557" s="270">
        <f t="shared" si="182"/>
        <v>22797.95</v>
      </c>
      <c r="AE557" s="270">
        <f t="shared" si="181"/>
        <v>22797.95</v>
      </c>
      <c r="AF557" s="270">
        <f t="shared" si="180"/>
        <v>22797.95</v>
      </c>
      <c r="AG557" s="270">
        <f t="shared" si="180"/>
        <v>22797.95</v>
      </c>
      <c r="AH557" s="270">
        <f t="shared" si="180"/>
        <v>22797.95</v>
      </c>
      <c r="AI557" s="270">
        <f t="shared" si="180"/>
        <v>22797.95</v>
      </c>
      <c r="AJ557" s="270">
        <f t="shared" si="180"/>
        <v>22797.95</v>
      </c>
      <c r="AK557" s="270">
        <f t="shared" si="180"/>
        <v>22797.95</v>
      </c>
      <c r="AL557" s="270">
        <f t="shared" si="180"/>
        <v>22797.95</v>
      </c>
      <c r="AM557" s="270">
        <f t="shared" si="180"/>
        <v>22797.95</v>
      </c>
    </row>
    <row r="558" spans="2:39" ht="15.75" thickBot="1" x14ac:dyDescent="0.35">
      <c r="B558" s="56" t="str">
        <f>input_names!$C$3</f>
        <v>diesel</v>
      </c>
      <c r="C558" s="61">
        <v>156</v>
      </c>
      <c r="D558" s="270">
        <f t="shared" si="182"/>
        <v>15147</v>
      </c>
      <c r="E558" s="270">
        <f t="shared" si="182"/>
        <v>16469.27</v>
      </c>
      <c r="F558" s="270">
        <f t="shared" si="182"/>
        <v>18411.79</v>
      </c>
      <c r="G558" s="270">
        <f t="shared" si="182"/>
        <v>19333.34</v>
      </c>
      <c r="H558" s="270">
        <f t="shared" si="182"/>
        <v>19676.849999999999</v>
      </c>
      <c r="I558" s="270">
        <f t="shared" si="182"/>
        <v>21946.449999999997</v>
      </c>
      <c r="J558" s="270">
        <f t="shared" si="182"/>
        <v>14585.61</v>
      </c>
      <c r="K558" s="270">
        <f t="shared" si="182"/>
        <v>15817.27</v>
      </c>
      <c r="L558" s="270">
        <f t="shared" si="182"/>
        <v>18232.900000000001</v>
      </c>
      <c r="M558" s="270">
        <f t="shared" si="182"/>
        <v>21300.949999999997</v>
      </c>
      <c r="N558" s="270">
        <f t="shared" si="182"/>
        <v>23191.82</v>
      </c>
      <c r="O558" s="270">
        <f t="shared" si="182"/>
        <v>23191.82</v>
      </c>
      <c r="P558" s="270">
        <f t="shared" si="182"/>
        <v>23191.82</v>
      </c>
      <c r="Q558" s="270">
        <f t="shared" si="182"/>
        <v>23191.82</v>
      </c>
      <c r="R558" s="270">
        <f t="shared" si="182"/>
        <v>23191.82</v>
      </c>
      <c r="S558" s="270">
        <f t="shared" si="184"/>
        <v>23191.82</v>
      </c>
      <c r="T558" s="270">
        <f t="shared" si="184"/>
        <v>23191.82</v>
      </c>
      <c r="U558" s="270">
        <f t="shared" si="183"/>
        <v>23191.82</v>
      </c>
      <c r="V558" s="270">
        <f t="shared" si="183"/>
        <v>23191.82</v>
      </c>
      <c r="W558" s="270">
        <f t="shared" si="183"/>
        <v>23191.82</v>
      </c>
      <c r="X558" s="270">
        <f t="shared" si="183"/>
        <v>23191.82</v>
      </c>
      <c r="Y558" s="270">
        <f t="shared" si="183"/>
        <v>23191.82</v>
      </c>
      <c r="Z558" s="270">
        <f t="shared" si="183"/>
        <v>23191.82</v>
      </c>
      <c r="AA558" s="270">
        <f t="shared" si="183"/>
        <v>23191.82</v>
      </c>
      <c r="AB558" s="270">
        <f t="shared" si="183"/>
        <v>23191.82</v>
      </c>
      <c r="AC558" s="270">
        <f t="shared" si="183"/>
        <v>23191.82</v>
      </c>
      <c r="AD558" s="270">
        <f t="shared" si="182"/>
        <v>23191.82</v>
      </c>
      <c r="AE558" s="270">
        <f t="shared" si="181"/>
        <v>23191.82</v>
      </c>
      <c r="AF558" s="270">
        <f t="shared" si="180"/>
        <v>23191.82</v>
      </c>
      <c r="AG558" s="270">
        <f t="shared" si="180"/>
        <v>23191.82</v>
      </c>
      <c r="AH558" s="270">
        <f t="shared" si="180"/>
        <v>23191.82</v>
      </c>
      <c r="AI558" s="270">
        <f t="shared" si="180"/>
        <v>23191.82</v>
      </c>
      <c r="AJ558" s="270">
        <f t="shared" si="180"/>
        <v>23191.82</v>
      </c>
      <c r="AK558" s="270">
        <f t="shared" si="180"/>
        <v>23191.82</v>
      </c>
      <c r="AL558" s="270">
        <f t="shared" si="180"/>
        <v>23191.82</v>
      </c>
      <c r="AM558" s="270">
        <f t="shared" si="180"/>
        <v>23191.82</v>
      </c>
    </row>
    <row r="559" spans="2:39" ht="15.75" thickBot="1" x14ac:dyDescent="0.35">
      <c r="B559" s="56" t="str">
        <f>input_names!$C$3</f>
        <v>diesel</v>
      </c>
      <c r="C559" s="61">
        <v>157</v>
      </c>
      <c r="D559" s="270">
        <f t="shared" si="182"/>
        <v>15345</v>
      </c>
      <c r="E559" s="270">
        <f t="shared" si="182"/>
        <v>16793.7</v>
      </c>
      <c r="F559" s="270">
        <f t="shared" si="182"/>
        <v>18734.48</v>
      </c>
      <c r="G559" s="270">
        <f t="shared" si="182"/>
        <v>19648.72</v>
      </c>
      <c r="H559" s="270">
        <f t="shared" si="182"/>
        <v>20193.28</v>
      </c>
      <c r="I559" s="270">
        <f t="shared" si="182"/>
        <v>22454.3</v>
      </c>
      <c r="J559" s="270">
        <f t="shared" si="182"/>
        <v>14885.2</v>
      </c>
      <c r="K559" s="270">
        <f t="shared" si="182"/>
        <v>16127.94</v>
      </c>
      <c r="L559" s="270">
        <f t="shared" si="182"/>
        <v>18571.2</v>
      </c>
      <c r="M559" s="270">
        <f t="shared" si="182"/>
        <v>21681.019999999997</v>
      </c>
      <c r="N559" s="270">
        <f t="shared" si="182"/>
        <v>23585.690000000002</v>
      </c>
      <c r="O559" s="270">
        <f t="shared" si="182"/>
        <v>23585.690000000002</v>
      </c>
      <c r="P559" s="270">
        <f t="shared" si="182"/>
        <v>23585.690000000002</v>
      </c>
      <c r="Q559" s="270">
        <f t="shared" si="182"/>
        <v>23585.690000000002</v>
      </c>
      <c r="R559" s="270">
        <f t="shared" si="182"/>
        <v>23585.690000000002</v>
      </c>
      <c r="S559" s="270">
        <f t="shared" si="184"/>
        <v>23585.690000000002</v>
      </c>
      <c r="T559" s="270">
        <f t="shared" si="184"/>
        <v>23585.690000000002</v>
      </c>
      <c r="U559" s="270">
        <f t="shared" si="183"/>
        <v>23585.690000000002</v>
      </c>
      <c r="V559" s="270">
        <f t="shared" si="183"/>
        <v>23585.690000000002</v>
      </c>
      <c r="W559" s="270">
        <f t="shared" si="183"/>
        <v>23585.690000000002</v>
      </c>
      <c r="X559" s="270">
        <f t="shared" si="183"/>
        <v>23585.690000000002</v>
      </c>
      <c r="Y559" s="270">
        <f t="shared" si="183"/>
        <v>23585.690000000002</v>
      </c>
      <c r="Z559" s="270">
        <f t="shared" si="183"/>
        <v>23585.690000000002</v>
      </c>
      <c r="AA559" s="270">
        <f t="shared" si="183"/>
        <v>23585.690000000002</v>
      </c>
      <c r="AB559" s="270">
        <f t="shared" si="183"/>
        <v>23585.690000000002</v>
      </c>
      <c r="AC559" s="270">
        <f t="shared" si="183"/>
        <v>23585.690000000002</v>
      </c>
      <c r="AD559" s="270">
        <f t="shared" si="182"/>
        <v>23585.690000000002</v>
      </c>
      <c r="AE559" s="270">
        <f t="shared" si="181"/>
        <v>23585.690000000002</v>
      </c>
      <c r="AF559" s="270">
        <f t="shared" si="180"/>
        <v>23585.690000000002</v>
      </c>
      <c r="AG559" s="270">
        <f t="shared" si="180"/>
        <v>23585.690000000002</v>
      </c>
      <c r="AH559" s="270">
        <f t="shared" si="180"/>
        <v>23585.690000000002</v>
      </c>
      <c r="AI559" s="270">
        <f t="shared" si="180"/>
        <v>23585.690000000002</v>
      </c>
      <c r="AJ559" s="270">
        <f t="shared" si="180"/>
        <v>23585.690000000002</v>
      </c>
      <c r="AK559" s="270">
        <f t="shared" si="180"/>
        <v>23585.690000000002</v>
      </c>
      <c r="AL559" s="270">
        <f t="shared" si="180"/>
        <v>23585.690000000002</v>
      </c>
      <c r="AM559" s="270">
        <f t="shared" si="180"/>
        <v>23585.690000000002</v>
      </c>
    </row>
    <row r="560" spans="2:39" ht="15.75" thickBot="1" x14ac:dyDescent="0.35">
      <c r="B560" s="56" t="str">
        <f>input_names!$C$3</f>
        <v>diesel</v>
      </c>
      <c r="C560" s="61">
        <v>158</v>
      </c>
      <c r="D560" s="270">
        <f t="shared" si="182"/>
        <v>15543</v>
      </c>
      <c r="E560" s="270">
        <f t="shared" si="182"/>
        <v>17118.13</v>
      </c>
      <c r="F560" s="270">
        <f t="shared" si="182"/>
        <v>19057.169999999998</v>
      </c>
      <c r="G560" s="270">
        <f t="shared" si="182"/>
        <v>19964.099999999999</v>
      </c>
      <c r="H560" s="270">
        <f t="shared" si="182"/>
        <v>20709.71</v>
      </c>
      <c r="I560" s="270">
        <f t="shared" si="182"/>
        <v>22962.15</v>
      </c>
      <c r="J560" s="270">
        <f t="shared" si="182"/>
        <v>15184.79</v>
      </c>
      <c r="K560" s="270">
        <f t="shared" si="182"/>
        <v>16438.61</v>
      </c>
      <c r="L560" s="270">
        <f t="shared" si="182"/>
        <v>18909.5</v>
      </c>
      <c r="M560" s="270">
        <f t="shared" si="182"/>
        <v>22061.09</v>
      </c>
      <c r="N560" s="270">
        <f t="shared" si="182"/>
        <v>24263.56</v>
      </c>
      <c r="O560" s="270">
        <f t="shared" si="182"/>
        <v>24263.56</v>
      </c>
      <c r="P560" s="270">
        <f t="shared" si="182"/>
        <v>24263.56</v>
      </c>
      <c r="Q560" s="270">
        <f t="shared" si="182"/>
        <v>24263.56</v>
      </c>
      <c r="R560" s="270">
        <f t="shared" si="182"/>
        <v>24263.56</v>
      </c>
      <c r="S560" s="270">
        <f t="shared" si="184"/>
        <v>24263.56</v>
      </c>
      <c r="T560" s="270">
        <f t="shared" si="184"/>
        <v>24263.56</v>
      </c>
      <c r="U560" s="270">
        <f t="shared" si="183"/>
        <v>24263.56</v>
      </c>
      <c r="V560" s="270">
        <f t="shared" si="183"/>
        <v>24263.56</v>
      </c>
      <c r="W560" s="270">
        <f t="shared" si="183"/>
        <v>24263.56</v>
      </c>
      <c r="X560" s="270">
        <f t="shared" si="183"/>
        <v>24263.56</v>
      </c>
      <c r="Y560" s="270">
        <f t="shared" si="183"/>
        <v>24263.56</v>
      </c>
      <c r="Z560" s="270">
        <f t="shared" si="183"/>
        <v>24263.56</v>
      </c>
      <c r="AA560" s="270">
        <f t="shared" si="183"/>
        <v>24263.56</v>
      </c>
      <c r="AB560" s="270">
        <f t="shared" si="183"/>
        <v>24263.56</v>
      </c>
      <c r="AC560" s="270">
        <f t="shared" si="183"/>
        <v>24263.56</v>
      </c>
      <c r="AD560" s="270">
        <f t="shared" si="182"/>
        <v>24263.56</v>
      </c>
      <c r="AE560" s="270">
        <f t="shared" si="181"/>
        <v>24263.56</v>
      </c>
      <c r="AF560" s="270">
        <f t="shared" si="180"/>
        <v>24263.56</v>
      </c>
      <c r="AG560" s="270">
        <f t="shared" si="180"/>
        <v>24263.56</v>
      </c>
      <c r="AH560" s="270">
        <f t="shared" si="180"/>
        <v>24263.56</v>
      </c>
      <c r="AI560" s="270">
        <f t="shared" si="180"/>
        <v>24263.56</v>
      </c>
      <c r="AJ560" s="270">
        <f t="shared" si="180"/>
        <v>24263.56</v>
      </c>
      <c r="AK560" s="270">
        <f t="shared" si="180"/>
        <v>24263.56</v>
      </c>
      <c r="AL560" s="270">
        <f t="shared" si="180"/>
        <v>24263.56</v>
      </c>
      <c r="AM560" s="270">
        <f t="shared" si="180"/>
        <v>24263.56</v>
      </c>
    </row>
    <row r="561" spans="2:39" ht="15.75" thickBot="1" x14ac:dyDescent="0.35">
      <c r="B561" s="56" t="str">
        <f>input_names!$C$3</f>
        <v>diesel</v>
      </c>
      <c r="C561" s="61">
        <v>159</v>
      </c>
      <c r="D561" s="270">
        <f t="shared" si="182"/>
        <v>15741</v>
      </c>
      <c r="E561" s="270">
        <f t="shared" si="182"/>
        <v>17442.560000000001</v>
      </c>
      <c r="F561" s="270">
        <f t="shared" si="182"/>
        <v>19379.86</v>
      </c>
      <c r="G561" s="270">
        <f t="shared" si="182"/>
        <v>20279.48</v>
      </c>
      <c r="H561" s="270">
        <f t="shared" si="182"/>
        <v>21226.14</v>
      </c>
      <c r="I561" s="270">
        <f t="shared" si="182"/>
        <v>23470</v>
      </c>
      <c r="J561" s="270">
        <f t="shared" si="182"/>
        <v>15484.380000000001</v>
      </c>
      <c r="K561" s="270">
        <f t="shared" si="182"/>
        <v>16749.28</v>
      </c>
      <c r="L561" s="270">
        <f t="shared" si="182"/>
        <v>19247.8</v>
      </c>
      <c r="M561" s="270">
        <f t="shared" si="182"/>
        <v>22441.16</v>
      </c>
      <c r="N561" s="270">
        <f t="shared" si="182"/>
        <v>24941.43</v>
      </c>
      <c r="O561" s="270">
        <f t="shared" si="182"/>
        <v>24941.43</v>
      </c>
      <c r="P561" s="270">
        <f t="shared" si="182"/>
        <v>24941.43</v>
      </c>
      <c r="Q561" s="270">
        <f t="shared" si="182"/>
        <v>24941.43</v>
      </c>
      <c r="R561" s="270">
        <f t="shared" si="182"/>
        <v>24941.43</v>
      </c>
      <c r="S561" s="270">
        <f t="shared" si="184"/>
        <v>24941.43</v>
      </c>
      <c r="T561" s="270">
        <f t="shared" si="184"/>
        <v>24941.43</v>
      </c>
      <c r="U561" s="270">
        <f t="shared" si="183"/>
        <v>24941.43</v>
      </c>
      <c r="V561" s="270">
        <f t="shared" si="183"/>
        <v>24941.43</v>
      </c>
      <c r="W561" s="270">
        <f t="shared" si="183"/>
        <v>24941.43</v>
      </c>
      <c r="X561" s="270">
        <f t="shared" si="183"/>
        <v>24941.43</v>
      </c>
      <c r="Y561" s="270">
        <f t="shared" si="183"/>
        <v>24941.43</v>
      </c>
      <c r="Z561" s="270">
        <f t="shared" si="183"/>
        <v>24941.43</v>
      </c>
      <c r="AA561" s="270">
        <f t="shared" si="183"/>
        <v>24941.43</v>
      </c>
      <c r="AB561" s="270">
        <f t="shared" si="183"/>
        <v>24941.43</v>
      </c>
      <c r="AC561" s="270">
        <f t="shared" si="183"/>
        <v>24941.43</v>
      </c>
      <c r="AD561" s="270">
        <f t="shared" ref="AD561:AE624" si="185">+MIN(MAX(0,$C561-AD$11),AD$12-AD$11)*AD$17
+MIN(MAX(0,$C561-AD$12),AD$13-AD$12)*AD$18
+MIN(MAX(0,$C561-AD$13),AD$14-AD$13)*AD$19
+MIN(MAX(0,$C561-AD$14),AD$15-AD$14)*AD$20
+MAX(0,$C561-AD$15)*AD$21
+AD$24*MAX(0,$C561-AD$23)
+AD$26</f>
        <v>24941.43</v>
      </c>
      <c r="AE561" s="270">
        <f t="shared" si="181"/>
        <v>24941.43</v>
      </c>
      <c r="AF561" s="270">
        <f t="shared" si="180"/>
        <v>24941.43</v>
      </c>
      <c r="AG561" s="270">
        <f t="shared" si="180"/>
        <v>24941.43</v>
      </c>
      <c r="AH561" s="270">
        <f t="shared" si="180"/>
        <v>24941.43</v>
      </c>
      <c r="AI561" s="270">
        <f t="shared" si="180"/>
        <v>24941.43</v>
      </c>
      <c r="AJ561" s="270">
        <f t="shared" si="180"/>
        <v>24941.43</v>
      </c>
      <c r="AK561" s="270">
        <f t="shared" si="180"/>
        <v>24941.43</v>
      </c>
      <c r="AL561" s="270">
        <f t="shared" si="180"/>
        <v>24941.43</v>
      </c>
      <c r="AM561" s="270">
        <f t="shared" si="180"/>
        <v>24941.43</v>
      </c>
    </row>
    <row r="562" spans="2:39" ht="15.75" thickBot="1" x14ac:dyDescent="0.35">
      <c r="B562" s="56" t="str">
        <f>input_names!$C$3</f>
        <v>diesel</v>
      </c>
      <c r="C562" s="61">
        <v>160</v>
      </c>
      <c r="D562" s="270">
        <f t="shared" ref="D562:S577" si="186">+MIN(MAX(0,$C562-D$11),D$12-D$11)*D$17
+MIN(MAX(0,$C562-D$12),D$13-D$12)*D$18
+MIN(MAX(0,$C562-D$13),D$14-D$13)*D$19
+MIN(MAX(0,$C562-D$14),D$15-D$14)*D$20
+MAX(0,$C562-D$15)*D$21
+D$24*MAX(0,$C562-D$23)
+D$26</f>
        <v>15939</v>
      </c>
      <c r="E562" s="270">
        <f t="shared" si="186"/>
        <v>17766.990000000002</v>
      </c>
      <c r="F562" s="270">
        <f t="shared" si="186"/>
        <v>19702.55</v>
      </c>
      <c r="G562" s="270">
        <f t="shared" si="186"/>
        <v>20594.86</v>
      </c>
      <c r="H562" s="270">
        <f t="shared" si="186"/>
        <v>21742.57</v>
      </c>
      <c r="I562" s="270">
        <f t="shared" si="186"/>
        <v>23977.85</v>
      </c>
      <c r="J562" s="270">
        <f t="shared" si="186"/>
        <v>15783.970000000001</v>
      </c>
      <c r="K562" s="270">
        <f t="shared" si="186"/>
        <v>17059.95</v>
      </c>
      <c r="L562" s="270">
        <f t="shared" si="186"/>
        <v>19586.099999999999</v>
      </c>
      <c r="M562" s="270">
        <f t="shared" si="186"/>
        <v>22821.23</v>
      </c>
      <c r="N562" s="270">
        <f t="shared" si="186"/>
        <v>25619.300000000003</v>
      </c>
      <c r="O562" s="270">
        <f t="shared" si="186"/>
        <v>25619.300000000003</v>
      </c>
      <c r="P562" s="270">
        <f t="shared" si="186"/>
        <v>25619.300000000003</v>
      </c>
      <c r="Q562" s="270">
        <f t="shared" si="186"/>
        <v>25619.300000000003</v>
      </c>
      <c r="R562" s="270">
        <f t="shared" si="186"/>
        <v>25619.300000000003</v>
      </c>
      <c r="S562" s="270">
        <f t="shared" si="184"/>
        <v>25619.300000000003</v>
      </c>
      <c r="T562" s="270">
        <f t="shared" si="184"/>
        <v>25619.300000000003</v>
      </c>
      <c r="U562" s="270">
        <f t="shared" si="183"/>
        <v>25619.300000000003</v>
      </c>
      <c r="V562" s="270">
        <f t="shared" si="183"/>
        <v>25619.300000000003</v>
      </c>
      <c r="W562" s="270">
        <f t="shared" si="183"/>
        <v>25619.300000000003</v>
      </c>
      <c r="X562" s="270">
        <f t="shared" si="183"/>
        <v>25619.300000000003</v>
      </c>
      <c r="Y562" s="270">
        <f t="shared" si="183"/>
        <v>25619.300000000003</v>
      </c>
      <c r="Z562" s="270">
        <f t="shared" si="183"/>
        <v>25619.300000000003</v>
      </c>
      <c r="AA562" s="270">
        <f t="shared" si="183"/>
        <v>25619.300000000003</v>
      </c>
      <c r="AB562" s="270">
        <f t="shared" si="183"/>
        <v>25619.300000000003</v>
      </c>
      <c r="AC562" s="270">
        <f t="shared" si="183"/>
        <v>25619.300000000003</v>
      </c>
      <c r="AD562" s="270">
        <f t="shared" si="185"/>
        <v>25619.300000000003</v>
      </c>
      <c r="AE562" s="270">
        <f t="shared" si="181"/>
        <v>25619.300000000003</v>
      </c>
      <c r="AF562" s="270">
        <f t="shared" si="180"/>
        <v>25619.300000000003</v>
      </c>
      <c r="AG562" s="270">
        <f t="shared" si="180"/>
        <v>25619.300000000003</v>
      </c>
      <c r="AH562" s="270">
        <f t="shared" si="180"/>
        <v>25619.300000000003</v>
      </c>
      <c r="AI562" s="270">
        <f t="shared" si="180"/>
        <v>25619.300000000003</v>
      </c>
      <c r="AJ562" s="270">
        <f t="shared" si="180"/>
        <v>25619.300000000003</v>
      </c>
      <c r="AK562" s="270">
        <f t="shared" si="180"/>
        <v>25619.300000000003</v>
      </c>
      <c r="AL562" s="270">
        <f t="shared" si="180"/>
        <v>25619.300000000003</v>
      </c>
      <c r="AM562" s="270">
        <f t="shared" si="180"/>
        <v>25619.300000000003</v>
      </c>
    </row>
    <row r="563" spans="2:39" ht="15.75" thickBot="1" x14ac:dyDescent="0.35">
      <c r="B563" s="56" t="str">
        <f>input_names!$C$3</f>
        <v>diesel</v>
      </c>
      <c r="C563" s="61">
        <v>161</v>
      </c>
      <c r="D563" s="270">
        <f t="shared" si="186"/>
        <v>16242</v>
      </c>
      <c r="E563" s="270">
        <f t="shared" si="186"/>
        <v>18091.420000000002</v>
      </c>
      <c r="F563" s="270">
        <f t="shared" si="186"/>
        <v>20025.239999999998</v>
      </c>
      <c r="G563" s="270">
        <f t="shared" si="186"/>
        <v>20910.239999999998</v>
      </c>
      <c r="H563" s="270">
        <f t="shared" si="186"/>
        <v>22259</v>
      </c>
      <c r="I563" s="270">
        <f t="shared" si="186"/>
        <v>24485.699999999997</v>
      </c>
      <c r="J563" s="270">
        <f t="shared" si="186"/>
        <v>16083.560000000001</v>
      </c>
      <c r="K563" s="270">
        <f t="shared" si="186"/>
        <v>17370.62</v>
      </c>
      <c r="L563" s="270">
        <f t="shared" si="186"/>
        <v>19924.400000000001</v>
      </c>
      <c r="M563" s="270">
        <f t="shared" si="186"/>
        <v>23201.3</v>
      </c>
      <c r="N563" s="270">
        <f t="shared" si="186"/>
        <v>26297.17</v>
      </c>
      <c r="O563" s="270">
        <f t="shared" si="186"/>
        <v>26297.17</v>
      </c>
      <c r="P563" s="270">
        <f t="shared" si="186"/>
        <v>26297.17</v>
      </c>
      <c r="Q563" s="270">
        <f t="shared" si="186"/>
        <v>26297.17</v>
      </c>
      <c r="R563" s="270">
        <f t="shared" si="186"/>
        <v>26297.17</v>
      </c>
      <c r="S563" s="270">
        <f t="shared" si="184"/>
        <v>26297.17</v>
      </c>
      <c r="T563" s="270">
        <f t="shared" si="184"/>
        <v>26297.17</v>
      </c>
      <c r="U563" s="270">
        <f t="shared" si="183"/>
        <v>26297.17</v>
      </c>
      <c r="V563" s="270">
        <f t="shared" si="183"/>
        <v>26297.17</v>
      </c>
      <c r="W563" s="270">
        <f t="shared" si="183"/>
        <v>26297.17</v>
      </c>
      <c r="X563" s="270">
        <f t="shared" si="183"/>
        <v>26297.17</v>
      </c>
      <c r="Y563" s="270">
        <f t="shared" si="183"/>
        <v>26297.17</v>
      </c>
      <c r="Z563" s="270">
        <f t="shared" si="183"/>
        <v>26297.17</v>
      </c>
      <c r="AA563" s="270">
        <f t="shared" si="183"/>
        <v>26297.17</v>
      </c>
      <c r="AB563" s="270">
        <f t="shared" si="183"/>
        <v>26297.17</v>
      </c>
      <c r="AC563" s="270">
        <f t="shared" si="183"/>
        <v>26297.17</v>
      </c>
      <c r="AD563" s="270">
        <f t="shared" si="185"/>
        <v>26297.17</v>
      </c>
      <c r="AE563" s="270">
        <f t="shared" si="181"/>
        <v>26297.17</v>
      </c>
      <c r="AF563" s="270">
        <f t="shared" si="180"/>
        <v>26297.17</v>
      </c>
      <c r="AG563" s="270">
        <f t="shared" si="180"/>
        <v>26297.17</v>
      </c>
      <c r="AH563" s="270">
        <f t="shared" si="180"/>
        <v>26297.17</v>
      </c>
      <c r="AI563" s="270">
        <f t="shared" si="180"/>
        <v>26297.17</v>
      </c>
      <c r="AJ563" s="270">
        <f t="shared" si="180"/>
        <v>26297.17</v>
      </c>
      <c r="AK563" s="270">
        <f t="shared" si="180"/>
        <v>26297.17</v>
      </c>
      <c r="AL563" s="270">
        <f t="shared" si="180"/>
        <v>26297.17</v>
      </c>
      <c r="AM563" s="270">
        <f t="shared" si="180"/>
        <v>26297.17</v>
      </c>
    </row>
    <row r="564" spans="2:39" ht="15.75" thickBot="1" x14ac:dyDescent="0.35">
      <c r="B564" s="56" t="str">
        <f>input_names!$C$3</f>
        <v>diesel</v>
      </c>
      <c r="C564" s="61">
        <v>162</v>
      </c>
      <c r="D564" s="270">
        <f t="shared" si="186"/>
        <v>16545</v>
      </c>
      <c r="E564" s="270">
        <f t="shared" si="186"/>
        <v>18415.849999999999</v>
      </c>
      <c r="F564" s="270">
        <f t="shared" si="186"/>
        <v>20347.93</v>
      </c>
      <c r="G564" s="270">
        <f t="shared" si="186"/>
        <v>21225.62</v>
      </c>
      <c r="H564" s="270">
        <f t="shared" si="186"/>
        <v>22775.43</v>
      </c>
      <c r="I564" s="270">
        <f t="shared" si="186"/>
        <v>24993.55</v>
      </c>
      <c r="J564" s="270">
        <f t="shared" si="186"/>
        <v>16383.150000000001</v>
      </c>
      <c r="K564" s="270">
        <f t="shared" si="186"/>
        <v>17681.29</v>
      </c>
      <c r="L564" s="270">
        <f t="shared" si="186"/>
        <v>20262.699999999997</v>
      </c>
      <c r="M564" s="270">
        <f t="shared" si="186"/>
        <v>23856.37</v>
      </c>
      <c r="N564" s="270">
        <f t="shared" si="186"/>
        <v>26975.040000000001</v>
      </c>
      <c r="O564" s="270">
        <f t="shared" si="186"/>
        <v>26975.040000000001</v>
      </c>
      <c r="P564" s="270">
        <f t="shared" si="186"/>
        <v>26975.040000000001</v>
      </c>
      <c r="Q564" s="270">
        <f t="shared" si="186"/>
        <v>26975.040000000001</v>
      </c>
      <c r="R564" s="270">
        <f t="shared" si="186"/>
        <v>26975.040000000001</v>
      </c>
      <c r="S564" s="270">
        <f t="shared" si="184"/>
        <v>26975.040000000001</v>
      </c>
      <c r="T564" s="270">
        <f t="shared" si="184"/>
        <v>26975.040000000001</v>
      </c>
      <c r="U564" s="270">
        <f t="shared" si="183"/>
        <v>26975.040000000001</v>
      </c>
      <c r="V564" s="270">
        <f t="shared" si="183"/>
        <v>26975.040000000001</v>
      </c>
      <c r="W564" s="270">
        <f t="shared" si="183"/>
        <v>26975.040000000001</v>
      </c>
      <c r="X564" s="270">
        <f t="shared" si="183"/>
        <v>26975.040000000001</v>
      </c>
      <c r="Y564" s="270">
        <f t="shared" si="183"/>
        <v>26975.040000000001</v>
      </c>
      <c r="Z564" s="270">
        <f t="shared" si="183"/>
        <v>26975.040000000001</v>
      </c>
      <c r="AA564" s="270">
        <f t="shared" si="183"/>
        <v>26975.040000000001</v>
      </c>
      <c r="AB564" s="270">
        <f t="shared" si="183"/>
        <v>26975.040000000001</v>
      </c>
      <c r="AC564" s="270">
        <f t="shared" si="183"/>
        <v>26975.040000000001</v>
      </c>
      <c r="AD564" s="270">
        <f t="shared" si="185"/>
        <v>26975.040000000001</v>
      </c>
      <c r="AE564" s="270">
        <f t="shared" si="181"/>
        <v>26975.040000000001</v>
      </c>
      <c r="AF564" s="270">
        <f t="shared" si="180"/>
        <v>26975.040000000001</v>
      </c>
      <c r="AG564" s="270">
        <f t="shared" si="180"/>
        <v>26975.040000000001</v>
      </c>
      <c r="AH564" s="270">
        <f t="shared" si="180"/>
        <v>26975.040000000001</v>
      </c>
      <c r="AI564" s="270">
        <f t="shared" si="180"/>
        <v>26975.040000000001</v>
      </c>
      <c r="AJ564" s="270">
        <f t="shared" ref="AF564:AM592" si="187">+MIN(MAX(0,$C564-AJ$11),AJ$12-AJ$11)*AJ$17
+MIN(MAX(0,$C564-AJ$12),AJ$13-AJ$12)*AJ$18
+MIN(MAX(0,$C564-AJ$13),AJ$14-AJ$13)*AJ$19
+MIN(MAX(0,$C564-AJ$14),AJ$15-AJ$14)*AJ$20
+MAX(0,$C564-AJ$15)*AJ$21
+AJ$24*MAX(0,$C564-AJ$23)
+AJ$26</f>
        <v>26975.040000000001</v>
      </c>
      <c r="AK564" s="270">
        <f t="shared" si="187"/>
        <v>26975.040000000001</v>
      </c>
      <c r="AL564" s="270">
        <f t="shared" si="187"/>
        <v>26975.040000000001</v>
      </c>
      <c r="AM564" s="270">
        <f t="shared" si="187"/>
        <v>26975.040000000001</v>
      </c>
    </row>
    <row r="565" spans="2:39" ht="15.75" thickBot="1" x14ac:dyDescent="0.35">
      <c r="B565" s="56" t="str">
        <f>input_names!$C$3</f>
        <v>diesel</v>
      </c>
      <c r="C565" s="61">
        <v>163</v>
      </c>
      <c r="D565" s="270">
        <f t="shared" si="186"/>
        <v>16848</v>
      </c>
      <c r="E565" s="270">
        <f t="shared" si="186"/>
        <v>18740.28</v>
      </c>
      <c r="F565" s="270">
        <f t="shared" si="186"/>
        <v>20670.62</v>
      </c>
      <c r="G565" s="270">
        <f t="shared" si="186"/>
        <v>21768</v>
      </c>
      <c r="H565" s="270">
        <f t="shared" si="186"/>
        <v>23291.86</v>
      </c>
      <c r="I565" s="270">
        <f t="shared" si="186"/>
        <v>25501.4</v>
      </c>
      <c r="J565" s="270">
        <f t="shared" si="186"/>
        <v>16682.740000000002</v>
      </c>
      <c r="K565" s="270">
        <f t="shared" si="186"/>
        <v>17991.96</v>
      </c>
      <c r="L565" s="270">
        <f t="shared" si="186"/>
        <v>20601</v>
      </c>
      <c r="M565" s="270">
        <f t="shared" si="186"/>
        <v>24511.439999999999</v>
      </c>
      <c r="N565" s="270">
        <f t="shared" si="186"/>
        <v>27652.91</v>
      </c>
      <c r="O565" s="270">
        <f t="shared" si="186"/>
        <v>27652.91</v>
      </c>
      <c r="P565" s="270">
        <f t="shared" si="186"/>
        <v>27652.91</v>
      </c>
      <c r="Q565" s="270">
        <f t="shared" si="186"/>
        <v>27652.91</v>
      </c>
      <c r="R565" s="270">
        <f t="shared" si="186"/>
        <v>27652.91</v>
      </c>
      <c r="S565" s="270">
        <f t="shared" si="184"/>
        <v>27652.91</v>
      </c>
      <c r="T565" s="270">
        <f t="shared" si="184"/>
        <v>27652.91</v>
      </c>
      <c r="U565" s="270">
        <f t="shared" si="183"/>
        <v>27652.91</v>
      </c>
      <c r="V565" s="270">
        <f t="shared" si="183"/>
        <v>27652.91</v>
      </c>
      <c r="W565" s="270">
        <f t="shared" si="183"/>
        <v>27652.91</v>
      </c>
      <c r="X565" s="270">
        <f t="shared" si="183"/>
        <v>27652.91</v>
      </c>
      <c r="Y565" s="270">
        <f t="shared" si="183"/>
        <v>27652.91</v>
      </c>
      <c r="Z565" s="270">
        <f t="shared" si="183"/>
        <v>27652.91</v>
      </c>
      <c r="AA565" s="270">
        <f t="shared" si="183"/>
        <v>27652.91</v>
      </c>
      <c r="AB565" s="270">
        <f t="shared" si="183"/>
        <v>27652.91</v>
      </c>
      <c r="AC565" s="270">
        <f t="shared" si="183"/>
        <v>27652.91</v>
      </c>
      <c r="AD565" s="270">
        <f t="shared" si="185"/>
        <v>27652.91</v>
      </c>
      <c r="AE565" s="270">
        <f t="shared" si="181"/>
        <v>27652.91</v>
      </c>
      <c r="AF565" s="270">
        <f t="shared" si="187"/>
        <v>27652.91</v>
      </c>
      <c r="AG565" s="270">
        <f t="shared" si="187"/>
        <v>27652.91</v>
      </c>
      <c r="AH565" s="270">
        <f t="shared" si="187"/>
        <v>27652.91</v>
      </c>
      <c r="AI565" s="270">
        <f t="shared" si="187"/>
        <v>27652.91</v>
      </c>
      <c r="AJ565" s="270">
        <f t="shared" si="187"/>
        <v>27652.91</v>
      </c>
      <c r="AK565" s="270">
        <f t="shared" si="187"/>
        <v>27652.91</v>
      </c>
      <c r="AL565" s="270">
        <f t="shared" si="187"/>
        <v>27652.91</v>
      </c>
      <c r="AM565" s="270">
        <f t="shared" si="187"/>
        <v>27652.91</v>
      </c>
    </row>
    <row r="566" spans="2:39" ht="15.75" thickBot="1" x14ac:dyDescent="0.35">
      <c r="B566" s="56" t="str">
        <f>input_names!$C$3</f>
        <v>diesel</v>
      </c>
      <c r="C566" s="61">
        <v>164</v>
      </c>
      <c r="D566" s="270">
        <f t="shared" si="186"/>
        <v>17151</v>
      </c>
      <c r="E566" s="270">
        <f t="shared" si="186"/>
        <v>19064.71</v>
      </c>
      <c r="F566" s="270">
        <f t="shared" si="186"/>
        <v>20993.309999999998</v>
      </c>
      <c r="G566" s="270">
        <f t="shared" si="186"/>
        <v>22310.379999999997</v>
      </c>
      <c r="H566" s="270">
        <f t="shared" si="186"/>
        <v>23808.29</v>
      </c>
      <c r="I566" s="270">
        <f t="shared" si="186"/>
        <v>26009.25</v>
      </c>
      <c r="J566" s="270">
        <f t="shared" si="186"/>
        <v>16982.330000000002</v>
      </c>
      <c r="K566" s="270">
        <f t="shared" si="186"/>
        <v>18302.63</v>
      </c>
      <c r="L566" s="270">
        <f t="shared" si="186"/>
        <v>20939.3</v>
      </c>
      <c r="M566" s="270">
        <f t="shared" si="186"/>
        <v>25166.510000000002</v>
      </c>
      <c r="N566" s="270">
        <f t="shared" si="186"/>
        <v>28330.78</v>
      </c>
      <c r="O566" s="270">
        <f t="shared" si="186"/>
        <v>28330.78</v>
      </c>
      <c r="P566" s="270">
        <f t="shared" si="186"/>
        <v>28330.78</v>
      </c>
      <c r="Q566" s="270">
        <f t="shared" si="186"/>
        <v>28330.78</v>
      </c>
      <c r="R566" s="270">
        <f t="shared" si="186"/>
        <v>28330.78</v>
      </c>
      <c r="S566" s="270">
        <f t="shared" si="184"/>
        <v>28330.78</v>
      </c>
      <c r="T566" s="270">
        <f t="shared" si="184"/>
        <v>28330.78</v>
      </c>
      <c r="U566" s="270">
        <f t="shared" si="183"/>
        <v>28330.78</v>
      </c>
      <c r="V566" s="270">
        <f t="shared" si="183"/>
        <v>28330.78</v>
      </c>
      <c r="W566" s="270">
        <f t="shared" si="183"/>
        <v>28330.78</v>
      </c>
      <c r="X566" s="270">
        <f t="shared" si="183"/>
        <v>28330.78</v>
      </c>
      <c r="Y566" s="270">
        <f t="shared" si="183"/>
        <v>28330.78</v>
      </c>
      <c r="Z566" s="270">
        <f t="shared" si="183"/>
        <v>28330.78</v>
      </c>
      <c r="AA566" s="270">
        <f t="shared" si="183"/>
        <v>28330.78</v>
      </c>
      <c r="AB566" s="270">
        <f t="shared" si="183"/>
        <v>28330.78</v>
      </c>
      <c r="AC566" s="270">
        <f t="shared" si="183"/>
        <v>28330.78</v>
      </c>
      <c r="AD566" s="270">
        <f t="shared" si="185"/>
        <v>28330.78</v>
      </c>
      <c r="AE566" s="270">
        <f t="shared" si="181"/>
        <v>28330.78</v>
      </c>
      <c r="AF566" s="270">
        <f t="shared" si="187"/>
        <v>28330.78</v>
      </c>
      <c r="AG566" s="270">
        <f t="shared" si="187"/>
        <v>28330.78</v>
      </c>
      <c r="AH566" s="270">
        <f t="shared" si="187"/>
        <v>28330.78</v>
      </c>
      <c r="AI566" s="270">
        <f t="shared" si="187"/>
        <v>28330.78</v>
      </c>
      <c r="AJ566" s="270">
        <f t="shared" si="187"/>
        <v>28330.78</v>
      </c>
      <c r="AK566" s="270">
        <f t="shared" si="187"/>
        <v>28330.78</v>
      </c>
      <c r="AL566" s="270">
        <f t="shared" si="187"/>
        <v>28330.78</v>
      </c>
      <c r="AM566" s="270">
        <f t="shared" si="187"/>
        <v>28330.78</v>
      </c>
    </row>
    <row r="567" spans="2:39" ht="15.75" thickBot="1" x14ac:dyDescent="0.35">
      <c r="B567" s="56" t="str">
        <f>input_names!$C$3</f>
        <v>diesel</v>
      </c>
      <c r="C567" s="61">
        <v>165</v>
      </c>
      <c r="D567" s="270">
        <f t="shared" si="186"/>
        <v>17454</v>
      </c>
      <c r="E567" s="270">
        <f t="shared" si="186"/>
        <v>19389.14</v>
      </c>
      <c r="F567" s="270">
        <f t="shared" si="186"/>
        <v>21316</v>
      </c>
      <c r="G567" s="270">
        <f t="shared" si="186"/>
        <v>22852.760000000002</v>
      </c>
      <c r="H567" s="270">
        <f t="shared" si="186"/>
        <v>24324.720000000001</v>
      </c>
      <c r="I567" s="270">
        <f t="shared" si="186"/>
        <v>26517.1</v>
      </c>
      <c r="J567" s="270">
        <f t="shared" si="186"/>
        <v>17281.919999999998</v>
      </c>
      <c r="K567" s="270">
        <f t="shared" si="186"/>
        <v>18613.3</v>
      </c>
      <c r="L567" s="270">
        <f t="shared" si="186"/>
        <v>21277.599999999999</v>
      </c>
      <c r="M567" s="270">
        <f t="shared" si="186"/>
        <v>25821.58</v>
      </c>
      <c r="N567" s="270">
        <f t="shared" si="186"/>
        <v>29008.65</v>
      </c>
      <c r="O567" s="270">
        <f t="shared" si="186"/>
        <v>29008.65</v>
      </c>
      <c r="P567" s="270">
        <f t="shared" si="186"/>
        <v>29008.65</v>
      </c>
      <c r="Q567" s="270">
        <f t="shared" si="186"/>
        <v>29008.65</v>
      </c>
      <c r="R567" s="270">
        <f t="shared" si="186"/>
        <v>29008.65</v>
      </c>
      <c r="S567" s="270">
        <f t="shared" si="184"/>
        <v>29008.65</v>
      </c>
      <c r="T567" s="270">
        <f t="shared" si="184"/>
        <v>29008.65</v>
      </c>
      <c r="U567" s="270">
        <f t="shared" si="183"/>
        <v>29008.65</v>
      </c>
      <c r="V567" s="270">
        <f t="shared" si="183"/>
        <v>29008.65</v>
      </c>
      <c r="W567" s="270">
        <f t="shared" si="183"/>
        <v>29008.65</v>
      </c>
      <c r="X567" s="270">
        <f t="shared" si="183"/>
        <v>29008.65</v>
      </c>
      <c r="Y567" s="270">
        <f t="shared" si="183"/>
        <v>29008.65</v>
      </c>
      <c r="Z567" s="270">
        <f t="shared" si="183"/>
        <v>29008.65</v>
      </c>
      <c r="AA567" s="270">
        <f t="shared" si="183"/>
        <v>29008.65</v>
      </c>
      <c r="AB567" s="270">
        <f t="shared" si="183"/>
        <v>29008.65</v>
      </c>
      <c r="AC567" s="270">
        <f t="shared" si="183"/>
        <v>29008.65</v>
      </c>
      <c r="AD567" s="270">
        <f t="shared" si="185"/>
        <v>29008.65</v>
      </c>
      <c r="AE567" s="270">
        <f t="shared" si="181"/>
        <v>29008.65</v>
      </c>
      <c r="AF567" s="270">
        <f t="shared" si="187"/>
        <v>29008.65</v>
      </c>
      <c r="AG567" s="270">
        <f t="shared" si="187"/>
        <v>29008.65</v>
      </c>
      <c r="AH567" s="270">
        <f t="shared" si="187"/>
        <v>29008.65</v>
      </c>
      <c r="AI567" s="270">
        <f t="shared" si="187"/>
        <v>29008.65</v>
      </c>
      <c r="AJ567" s="270">
        <f t="shared" si="187"/>
        <v>29008.65</v>
      </c>
      <c r="AK567" s="270">
        <f t="shared" si="187"/>
        <v>29008.65</v>
      </c>
      <c r="AL567" s="270">
        <f t="shared" si="187"/>
        <v>29008.65</v>
      </c>
      <c r="AM567" s="270">
        <f t="shared" si="187"/>
        <v>29008.65</v>
      </c>
    </row>
    <row r="568" spans="2:39" ht="15.75" thickBot="1" x14ac:dyDescent="0.35">
      <c r="B568" s="56" t="str">
        <f>input_names!$C$3</f>
        <v>diesel</v>
      </c>
      <c r="C568" s="61">
        <v>166</v>
      </c>
      <c r="D568" s="270">
        <f t="shared" si="186"/>
        <v>17757</v>
      </c>
      <c r="E568" s="270">
        <f t="shared" si="186"/>
        <v>19713.57</v>
      </c>
      <c r="F568" s="270">
        <f t="shared" si="186"/>
        <v>21638.690000000002</v>
      </c>
      <c r="G568" s="270">
        <f t="shared" si="186"/>
        <v>23395.14</v>
      </c>
      <c r="H568" s="270">
        <f t="shared" si="186"/>
        <v>24841.15</v>
      </c>
      <c r="I568" s="270">
        <f t="shared" si="186"/>
        <v>27024.949999999997</v>
      </c>
      <c r="J568" s="270">
        <f t="shared" si="186"/>
        <v>17581.510000000002</v>
      </c>
      <c r="K568" s="270">
        <f t="shared" si="186"/>
        <v>18923.97</v>
      </c>
      <c r="L568" s="270">
        <f t="shared" si="186"/>
        <v>21819.9</v>
      </c>
      <c r="M568" s="270">
        <f t="shared" si="186"/>
        <v>26476.65</v>
      </c>
      <c r="N568" s="270">
        <f t="shared" si="186"/>
        <v>29686.52</v>
      </c>
      <c r="O568" s="270">
        <f t="shared" si="186"/>
        <v>29686.52</v>
      </c>
      <c r="P568" s="270">
        <f t="shared" si="186"/>
        <v>29686.52</v>
      </c>
      <c r="Q568" s="270">
        <f t="shared" si="186"/>
        <v>29686.52</v>
      </c>
      <c r="R568" s="270">
        <f t="shared" si="186"/>
        <v>29686.52</v>
      </c>
      <c r="S568" s="270">
        <f t="shared" si="184"/>
        <v>29686.52</v>
      </c>
      <c r="T568" s="270">
        <f t="shared" si="184"/>
        <v>29686.52</v>
      </c>
      <c r="U568" s="270">
        <f t="shared" si="183"/>
        <v>29686.52</v>
      </c>
      <c r="V568" s="270">
        <f t="shared" si="183"/>
        <v>29686.52</v>
      </c>
      <c r="W568" s="270">
        <f t="shared" si="183"/>
        <v>29686.52</v>
      </c>
      <c r="X568" s="270">
        <f t="shared" si="183"/>
        <v>29686.52</v>
      </c>
      <c r="Y568" s="270">
        <f t="shared" si="183"/>
        <v>29686.52</v>
      </c>
      <c r="Z568" s="270">
        <f t="shared" si="183"/>
        <v>29686.52</v>
      </c>
      <c r="AA568" s="270">
        <f t="shared" si="183"/>
        <v>29686.52</v>
      </c>
      <c r="AB568" s="270">
        <f t="shared" si="183"/>
        <v>29686.52</v>
      </c>
      <c r="AC568" s="270">
        <f t="shared" si="183"/>
        <v>29686.52</v>
      </c>
      <c r="AD568" s="270">
        <f t="shared" si="185"/>
        <v>29686.52</v>
      </c>
      <c r="AE568" s="270">
        <f t="shared" si="181"/>
        <v>29686.52</v>
      </c>
      <c r="AF568" s="270">
        <f t="shared" si="187"/>
        <v>29686.52</v>
      </c>
      <c r="AG568" s="270">
        <f t="shared" si="187"/>
        <v>29686.52</v>
      </c>
      <c r="AH568" s="270">
        <f t="shared" si="187"/>
        <v>29686.52</v>
      </c>
      <c r="AI568" s="270">
        <f t="shared" si="187"/>
        <v>29686.52</v>
      </c>
      <c r="AJ568" s="270">
        <f t="shared" si="187"/>
        <v>29686.52</v>
      </c>
      <c r="AK568" s="270">
        <f t="shared" si="187"/>
        <v>29686.52</v>
      </c>
      <c r="AL568" s="270">
        <f t="shared" si="187"/>
        <v>29686.52</v>
      </c>
      <c r="AM568" s="270">
        <f t="shared" si="187"/>
        <v>29686.52</v>
      </c>
    </row>
    <row r="569" spans="2:39" ht="15.75" thickBot="1" x14ac:dyDescent="0.35">
      <c r="B569" s="56" t="str">
        <f>input_names!$C$3</f>
        <v>diesel</v>
      </c>
      <c r="C569" s="61">
        <v>167</v>
      </c>
      <c r="D569" s="270">
        <f t="shared" si="186"/>
        <v>18060</v>
      </c>
      <c r="E569" s="270">
        <f t="shared" si="186"/>
        <v>20038</v>
      </c>
      <c r="F569" s="270">
        <f t="shared" si="186"/>
        <v>21961.379999999997</v>
      </c>
      <c r="G569" s="270">
        <f t="shared" si="186"/>
        <v>23937.52</v>
      </c>
      <c r="H569" s="270">
        <f t="shared" si="186"/>
        <v>25357.58</v>
      </c>
      <c r="I569" s="270">
        <f t="shared" si="186"/>
        <v>27532.799999999999</v>
      </c>
      <c r="J569" s="270">
        <f t="shared" si="186"/>
        <v>17881.099999999999</v>
      </c>
      <c r="K569" s="270">
        <f t="shared" si="186"/>
        <v>19234.64</v>
      </c>
      <c r="L569" s="270">
        <f t="shared" si="186"/>
        <v>22362.199999999997</v>
      </c>
      <c r="M569" s="270">
        <f t="shared" si="186"/>
        <v>27131.72</v>
      </c>
      <c r="N569" s="270">
        <f t="shared" si="186"/>
        <v>30364.39</v>
      </c>
      <c r="O569" s="270">
        <f t="shared" si="186"/>
        <v>30364.39</v>
      </c>
      <c r="P569" s="270">
        <f t="shared" si="186"/>
        <v>30364.39</v>
      </c>
      <c r="Q569" s="270">
        <f t="shared" si="186"/>
        <v>30364.39</v>
      </c>
      <c r="R569" s="270">
        <f t="shared" si="186"/>
        <v>30364.39</v>
      </c>
      <c r="S569" s="270">
        <f t="shared" si="184"/>
        <v>30364.39</v>
      </c>
      <c r="T569" s="270">
        <f t="shared" si="184"/>
        <v>30364.39</v>
      </c>
      <c r="U569" s="270">
        <f t="shared" si="183"/>
        <v>30364.39</v>
      </c>
      <c r="V569" s="270">
        <f t="shared" si="183"/>
        <v>30364.39</v>
      </c>
      <c r="W569" s="270">
        <f t="shared" si="183"/>
        <v>30364.39</v>
      </c>
      <c r="X569" s="270">
        <f t="shared" si="183"/>
        <v>30364.39</v>
      </c>
      <c r="Y569" s="270">
        <f t="shared" si="183"/>
        <v>30364.39</v>
      </c>
      <c r="Z569" s="270">
        <f t="shared" si="183"/>
        <v>30364.39</v>
      </c>
      <c r="AA569" s="270">
        <f t="shared" si="183"/>
        <v>30364.39</v>
      </c>
      <c r="AB569" s="270">
        <f t="shared" si="183"/>
        <v>30364.39</v>
      </c>
      <c r="AC569" s="270">
        <f t="shared" si="183"/>
        <v>30364.39</v>
      </c>
      <c r="AD569" s="270">
        <f t="shared" si="185"/>
        <v>30364.39</v>
      </c>
      <c r="AE569" s="270">
        <f t="shared" si="181"/>
        <v>30364.39</v>
      </c>
      <c r="AF569" s="270">
        <f t="shared" si="187"/>
        <v>30364.39</v>
      </c>
      <c r="AG569" s="270">
        <f t="shared" si="187"/>
        <v>30364.39</v>
      </c>
      <c r="AH569" s="270">
        <f t="shared" si="187"/>
        <v>30364.39</v>
      </c>
      <c r="AI569" s="270">
        <f t="shared" si="187"/>
        <v>30364.39</v>
      </c>
      <c r="AJ569" s="270">
        <f t="shared" si="187"/>
        <v>30364.39</v>
      </c>
      <c r="AK569" s="270">
        <f t="shared" si="187"/>
        <v>30364.39</v>
      </c>
      <c r="AL569" s="270">
        <f t="shared" si="187"/>
        <v>30364.39</v>
      </c>
      <c r="AM569" s="270">
        <f t="shared" si="187"/>
        <v>30364.39</v>
      </c>
    </row>
    <row r="570" spans="2:39" ht="15.75" thickBot="1" x14ac:dyDescent="0.35">
      <c r="B570" s="56" t="str">
        <f>input_names!$C$3</f>
        <v>diesel</v>
      </c>
      <c r="C570" s="61">
        <v>168</v>
      </c>
      <c r="D570" s="270">
        <f t="shared" si="186"/>
        <v>18363</v>
      </c>
      <c r="E570" s="270">
        <f t="shared" si="186"/>
        <v>20362.43</v>
      </c>
      <c r="F570" s="270">
        <f t="shared" si="186"/>
        <v>22284.07</v>
      </c>
      <c r="G570" s="270">
        <f t="shared" si="186"/>
        <v>24479.9</v>
      </c>
      <c r="H570" s="270">
        <f t="shared" si="186"/>
        <v>25874.010000000002</v>
      </c>
      <c r="I570" s="270">
        <f t="shared" si="186"/>
        <v>28040.65</v>
      </c>
      <c r="J570" s="270">
        <f t="shared" si="186"/>
        <v>18180.690000000002</v>
      </c>
      <c r="K570" s="270">
        <f t="shared" si="186"/>
        <v>19545.310000000001</v>
      </c>
      <c r="L570" s="270">
        <f t="shared" si="186"/>
        <v>22904.5</v>
      </c>
      <c r="M570" s="270">
        <f t="shared" si="186"/>
        <v>27786.79</v>
      </c>
      <c r="N570" s="270">
        <f t="shared" si="186"/>
        <v>31042.260000000002</v>
      </c>
      <c r="O570" s="270">
        <f t="shared" si="186"/>
        <v>31042.260000000002</v>
      </c>
      <c r="P570" s="270">
        <f t="shared" si="186"/>
        <v>31042.260000000002</v>
      </c>
      <c r="Q570" s="270">
        <f t="shared" si="186"/>
        <v>31042.260000000002</v>
      </c>
      <c r="R570" s="270">
        <f t="shared" si="186"/>
        <v>31042.260000000002</v>
      </c>
      <c r="S570" s="270">
        <f t="shared" si="184"/>
        <v>31042.260000000002</v>
      </c>
      <c r="T570" s="270">
        <f t="shared" si="184"/>
        <v>31042.260000000002</v>
      </c>
      <c r="U570" s="270">
        <f t="shared" si="183"/>
        <v>31042.260000000002</v>
      </c>
      <c r="V570" s="270">
        <f t="shared" si="183"/>
        <v>31042.260000000002</v>
      </c>
      <c r="W570" s="270">
        <f t="shared" si="183"/>
        <v>31042.260000000002</v>
      </c>
      <c r="X570" s="270">
        <f t="shared" si="183"/>
        <v>31042.260000000002</v>
      </c>
      <c r="Y570" s="270">
        <f t="shared" si="183"/>
        <v>31042.260000000002</v>
      </c>
      <c r="Z570" s="270">
        <f t="shared" si="183"/>
        <v>31042.260000000002</v>
      </c>
      <c r="AA570" s="270">
        <f t="shared" si="183"/>
        <v>31042.260000000002</v>
      </c>
      <c r="AB570" s="270">
        <f t="shared" si="183"/>
        <v>31042.260000000002</v>
      </c>
      <c r="AC570" s="270">
        <f t="shared" si="183"/>
        <v>31042.260000000002</v>
      </c>
      <c r="AD570" s="270">
        <f t="shared" si="185"/>
        <v>31042.260000000002</v>
      </c>
      <c r="AE570" s="270">
        <f t="shared" si="181"/>
        <v>31042.260000000002</v>
      </c>
      <c r="AF570" s="270">
        <f t="shared" si="187"/>
        <v>31042.260000000002</v>
      </c>
      <c r="AG570" s="270">
        <f t="shared" si="187"/>
        <v>31042.260000000002</v>
      </c>
      <c r="AH570" s="270">
        <f t="shared" si="187"/>
        <v>31042.260000000002</v>
      </c>
      <c r="AI570" s="270">
        <f t="shared" si="187"/>
        <v>31042.260000000002</v>
      </c>
      <c r="AJ570" s="270">
        <f t="shared" si="187"/>
        <v>31042.260000000002</v>
      </c>
      <c r="AK570" s="270">
        <f t="shared" si="187"/>
        <v>31042.260000000002</v>
      </c>
      <c r="AL570" s="270">
        <f t="shared" si="187"/>
        <v>31042.260000000002</v>
      </c>
      <c r="AM570" s="270">
        <f t="shared" si="187"/>
        <v>31042.260000000002</v>
      </c>
    </row>
    <row r="571" spans="2:39" ht="15.75" thickBot="1" x14ac:dyDescent="0.35">
      <c r="B571" s="56" t="str">
        <f>input_names!$C$3</f>
        <v>diesel</v>
      </c>
      <c r="C571" s="61">
        <v>169</v>
      </c>
      <c r="D571" s="270">
        <f t="shared" si="186"/>
        <v>18666</v>
      </c>
      <c r="E571" s="270">
        <f t="shared" si="186"/>
        <v>20686.86</v>
      </c>
      <c r="F571" s="270">
        <f t="shared" si="186"/>
        <v>22842.760000000002</v>
      </c>
      <c r="G571" s="270">
        <f t="shared" si="186"/>
        <v>25022.28</v>
      </c>
      <c r="H571" s="270">
        <f t="shared" si="186"/>
        <v>26390.440000000002</v>
      </c>
      <c r="I571" s="270">
        <f t="shared" si="186"/>
        <v>28548.5</v>
      </c>
      <c r="J571" s="270">
        <f t="shared" si="186"/>
        <v>18480.28</v>
      </c>
      <c r="K571" s="270">
        <f t="shared" si="186"/>
        <v>20079.98</v>
      </c>
      <c r="L571" s="270">
        <f t="shared" si="186"/>
        <v>23446.799999999999</v>
      </c>
      <c r="M571" s="270">
        <f t="shared" si="186"/>
        <v>28441.86</v>
      </c>
      <c r="N571" s="270">
        <f t="shared" si="186"/>
        <v>31720.13</v>
      </c>
      <c r="O571" s="270">
        <f t="shared" si="186"/>
        <v>31720.13</v>
      </c>
      <c r="P571" s="270">
        <f t="shared" si="186"/>
        <v>31720.13</v>
      </c>
      <c r="Q571" s="270">
        <f t="shared" si="186"/>
        <v>31720.13</v>
      </c>
      <c r="R571" s="270">
        <f t="shared" si="186"/>
        <v>31720.13</v>
      </c>
      <c r="S571" s="270">
        <f t="shared" si="184"/>
        <v>31720.13</v>
      </c>
      <c r="T571" s="270">
        <f t="shared" si="184"/>
        <v>31720.13</v>
      </c>
      <c r="U571" s="270">
        <f t="shared" si="183"/>
        <v>31720.13</v>
      </c>
      <c r="V571" s="270">
        <f t="shared" si="183"/>
        <v>31720.13</v>
      </c>
      <c r="W571" s="270">
        <f t="shared" si="183"/>
        <v>31720.13</v>
      </c>
      <c r="X571" s="270">
        <f t="shared" si="183"/>
        <v>31720.13</v>
      </c>
      <c r="Y571" s="270">
        <f t="shared" si="183"/>
        <v>31720.13</v>
      </c>
      <c r="Z571" s="270">
        <f t="shared" si="183"/>
        <v>31720.13</v>
      </c>
      <c r="AA571" s="270">
        <f t="shared" si="183"/>
        <v>31720.13</v>
      </c>
      <c r="AB571" s="270">
        <f t="shared" si="183"/>
        <v>31720.13</v>
      </c>
      <c r="AC571" s="270">
        <f t="shared" si="183"/>
        <v>31720.13</v>
      </c>
      <c r="AD571" s="270">
        <f t="shared" si="185"/>
        <v>31720.13</v>
      </c>
      <c r="AE571" s="270">
        <f t="shared" si="181"/>
        <v>31720.13</v>
      </c>
      <c r="AF571" s="270">
        <f t="shared" si="187"/>
        <v>31720.13</v>
      </c>
      <c r="AG571" s="270">
        <f t="shared" si="187"/>
        <v>31720.13</v>
      </c>
      <c r="AH571" s="270">
        <f t="shared" si="187"/>
        <v>31720.13</v>
      </c>
      <c r="AI571" s="270">
        <f t="shared" si="187"/>
        <v>31720.13</v>
      </c>
      <c r="AJ571" s="270">
        <f t="shared" si="187"/>
        <v>31720.13</v>
      </c>
      <c r="AK571" s="270">
        <f t="shared" si="187"/>
        <v>31720.13</v>
      </c>
      <c r="AL571" s="270">
        <f t="shared" si="187"/>
        <v>31720.13</v>
      </c>
      <c r="AM571" s="270">
        <f t="shared" si="187"/>
        <v>31720.13</v>
      </c>
    </row>
    <row r="572" spans="2:39" ht="15.75" thickBot="1" x14ac:dyDescent="0.35">
      <c r="B572" s="56" t="str">
        <f>input_names!$C$3</f>
        <v>diesel</v>
      </c>
      <c r="C572" s="61">
        <v>170</v>
      </c>
      <c r="D572" s="270">
        <f t="shared" si="186"/>
        <v>18969</v>
      </c>
      <c r="E572" s="270">
        <f t="shared" si="186"/>
        <v>21011.29</v>
      </c>
      <c r="F572" s="270">
        <f t="shared" si="186"/>
        <v>23401.449999999997</v>
      </c>
      <c r="G572" s="270">
        <f t="shared" si="186"/>
        <v>25564.66</v>
      </c>
      <c r="H572" s="270">
        <f t="shared" si="186"/>
        <v>26906.870000000003</v>
      </c>
      <c r="I572" s="270">
        <f t="shared" si="186"/>
        <v>29056.35</v>
      </c>
      <c r="J572" s="270">
        <f t="shared" si="186"/>
        <v>18779.87</v>
      </c>
      <c r="K572" s="270">
        <f t="shared" si="186"/>
        <v>20614.650000000001</v>
      </c>
      <c r="L572" s="270">
        <f t="shared" si="186"/>
        <v>23989.1</v>
      </c>
      <c r="M572" s="270">
        <f t="shared" si="186"/>
        <v>29096.93</v>
      </c>
      <c r="N572" s="270">
        <f t="shared" si="186"/>
        <v>32398</v>
      </c>
      <c r="O572" s="270">
        <f t="shared" si="186"/>
        <v>32398</v>
      </c>
      <c r="P572" s="270">
        <f t="shared" si="186"/>
        <v>32398</v>
      </c>
      <c r="Q572" s="270">
        <f t="shared" si="186"/>
        <v>32398</v>
      </c>
      <c r="R572" s="270">
        <f t="shared" si="186"/>
        <v>32398</v>
      </c>
      <c r="S572" s="270">
        <f t="shared" si="184"/>
        <v>32398</v>
      </c>
      <c r="T572" s="270">
        <f t="shared" si="184"/>
        <v>32398</v>
      </c>
      <c r="U572" s="270">
        <f t="shared" si="183"/>
        <v>32398</v>
      </c>
      <c r="V572" s="270">
        <f t="shared" si="183"/>
        <v>32398</v>
      </c>
      <c r="W572" s="270">
        <f t="shared" si="183"/>
        <v>32398</v>
      </c>
      <c r="X572" s="270">
        <f t="shared" si="183"/>
        <v>32398</v>
      </c>
      <c r="Y572" s="270">
        <f t="shared" si="183"/>
        <v>32398</v>
      </c>
      <c r="Z572" s="270">
        <f t="shared" si="183"/>
        <v>32398</v>
      </c>
      <c r="AA572" s="270">
        <f t="shared" si="183"/>
        <v>32398</v>
      </c>
      <c r="AB572" s="270">
        <f t="shared" si="183"/>
        <v>32398</v>
      </c>
      <c r="AC572" s="270">
        <f t="shared" si="183"/>
        <v>32398</v>
      </c>
      <c r="AD572" s="270">
        <f t="shared" si="185"/>
        <v>32398</v>
      </c>
      <c r="AE572" s="270">
        <f t="shared" si="181"/>
        <v>32398</v>
      </c>
      <c r="AF572" s="270">
        <f t="shared" si="187"/>
        <v>32398</v>
      </c>
      <c r="AG572" s="270">
        <f t="shared" si="187"/>
        <v>32398</v>
      </c>
      <c r="AH572" s="270">
        <f t="shared" si="187"/>
        <v>32398</v>
      </c>
      <c r="AI572" s="270">
        <f t="shared" si="187"/>
        <v>32398</v>
      </c>
      <c r="AJ572" s="270">
        <f t="shared" si="187"/>
        <v>32398</v>
      </c>
      <c r="AK572" s="270">
        <f t="shared" si="187"/>
        <v>32398</v>
      </c>
      <c r="AL572" s="270">
        <f t="shared" si="187"/>
        <v>32398</v>
      </c>
      <c r="AM572" s="270">
        <f t="shared" si="187"/>
        <v>32398</v>
      </c>
    </row>
    <row r="573" spans="2:39" ht="15.75" thickBot="1" x14ac:dyDescent="0.35">
      <c r="B573" s="56" t="str">
        <f>input_names!$C$3</f>
        <v>diesel</v>
      </c>
      <c r="C573" s="61">
        <v>171</v>
      </c>
      <c r="D573" s="270">
        <f t="shared" si="186"/>
        <v>19272</v>
      </c>
      <c r="E573" s="270">
        <f t="shared" si="186"/>
        <v>21335.72</v>
      </c>
      <c r="F573" s="270">
        <f t="shared" si="186"/>
        <v>23960.14</v>
      </c>
      <c r="G573" s="270">
        <f t="shared" si="186"/>
        <v>26107.040000000001</v>
      </c>
      <c r="H573" s="270">
        <f t="shared" si="186"/>
        <v>27423.300000000003</v>
      </c>
      <c r="I573" s="270">
        <f t="shared" si="186"/>
        <v>29564.199999999997</v>
      </c>
      <c r="J573" s="270">
        <f t="shared" si="186"/>
        <v>19079.46</v>
      </c>
      <c r="K573" s="270">
        <f t="shared" si="186"/>
        <v>21149.32</v>
      </c>
      <c r="L573" s="270">
        <f t="shared" si="186"/>
        <v>24531.4</v>
      </c>
      <c r="M573" s="270">
        <f t="shared" si="186"/>
        <v>29752</v>
      </c>
      <c r="N573" s="270">
        <f t="shared" si="186"/>
        <v>33075.870000000003</v>
      </c>
      <c r="O573" s="270">
        <f t="shared" si="186"/>
        <v>33075.870000000003</v>
      </c>
      <c r="P573" s="270">
        <f t="shared" si="186"/>
        <v>33075.870000000003</v>
      </c>
      <c r="Q573" s="270">
        <f t="shared" si="186"/>
        <v>33075.870000000003</v>
      </c>
      <c r="R573" s="270">
        <f t="shared" si="186"/>
        <v>33075.870000000003</v>
      </c>
      <c r="S573" s="270">
        <f t="shared" si="186"/>
        <v>33075.870000000003</v>
      </c>
      <c r="T573" s="270">
        <f t="shared" ref="S573:T618" si="188">+MIN(MAX(0,$C573-T$11),T$12-T$11)*T$17
+MIN(MAX(0,$C573-T$12),T$13-T$12)*T$18
+MIN(MAX(0,$C573-T$13),T$14-T$13)*T$19
+MIN(MAX(0,$C573-T$14),T$15-T$14)*T$20
+MAX(0,$C573-T$15)*T$21
+T$24*MAX(0,$C573-T$23)
+T$26</f>
        <v>33075.870000000003</v>
      </c>
      <c r="U573" s="270">
        <f t="shared" si="183"/>
        <v>33075.870000000003</v>
      </c>
      <c r="V573" s="270">
        <f t="shared" si="183"/>
        <v>33075.870000000003</v>
      </c>
      <c r="W573" s="270">
        <f t="shared" si="183"/>
        <v>33075.870000000003</v>
      </c>
      <c r="X573" s="270">
        <f t="shared" si="183"/>
        <v>33075.870000000003</v>
      </c>
      <c r="Y573" s="270">
        <f t="shared" si="183"/>
        <v>33075.870000000003</v>
      </c>
      <c r="Z573" s="270">
        <f t="shared" si="183"/>
        <v>33075.870000000003</v>
      </c>
      <c r="AA573" s="270">
        <f t="shared" si="183"/>
        <v>33075.870000000003</v>
      </c>
      <c r="AB573" s="270">
        <f t="shared" si="183"/>
        <v>33075.870000000003</v>
      </c>
      <c r="AC573" s="270">
        <f t="shared" si="183"/>
        <v>33075.870000000003</v>
      </c>
      <c r="AD573" s="270">
        <f t="shared" si="185"/>
        <v>33075.870000000003</v>
      </c>
      <c r="AE573" s="270">
        <f t="shared" si="181"/>
        <v>33075.870000000003</v>
      </c>
      <c r="AF573" s="270">
        <f t="shared" si="187"/>
        <v>33075.870000000003</v>
      </c>
      <c r="AG573" s="270">
        <f t="shared" si="187"/>
        <v>33075.870000000003</v>
      </c>
      <c r="AH573" s="270">
        <f t="shared" si="187"/>
        <v>33075.870000000003</v>
      </c>
      <c r="AI573" s="270">
        <f t="shared" si="187"/>
        <v>33075.870000000003</v>
      </c>
      <c r="AJ573" s="270">
        <f t="shared" si="187"/>
        <v>33075.870000000003</v>
      </c>
      <c r="AK573" s="270">
        <f t="shared" si="187"/>
        <v>33075.870000000003</v>
      </c>
      <c r="AL573" s="270">
        <f t="shared" si="187"/>
        <v>33075.870000000003</v>
      </c>
      <c r="AM573" s="270">
        <f t="shared" si="187"/>
        <v>33075.870000000003</v>
      </c>
    </row>
    <row r="574" spans="2:39" ht="15.75" thickBot="1" x14ac:dyDescent="0.35">
      <c r="B574" s="56" t="str">
        <f>input_names!$C$3</f>
        <v>diesel</v>
      </c>
      <c r="C574" s="61">
        <v>172</v>
      </c>
      <c r="D574" s="270">
        <f t="shared" si="186"/>
        <v>19575</v>
      </c>
      <c r="E574" s="270">
        <f t="shared" si="186"/>
        <v>21660.15</v>
      </c>
      <c r="F574" s="270">
        <f t="shared" si="186"/>
        <v>24518.83</v>
      </c>
      <c r="G574" s="270">
        <f t="shared" si="186"/>
        <v>26649.42</v>
      </c>
      <c r="H574" s="270">
        <f t="shared" si="186"/>
        <v>27939.730000000003</v>
      </c>
      <c r="I574" s="270">
        <f t="shared" si="186"/>
        <v>30072.05</v>
      </c>
      <c r="J574" s="270">
        <f t="shared" si="186"/>
        <v>19379.05</v>
      </c>
      <c r="K574" s="270">
        <f t="shared" si="186"/>
        <v>21683.989999999998</v>
      </c>
      <c r="L574" s="270">
        <f t="shared" si="186"/>
        <v>25073.699999999997</v>
      </c>
      <c r="M574" s="270">
        <f t="shared" si="186"/>
        <v>30407.07</v>
      </c>
      <c r="N574" s="270">
        <f t="shared" si="186"/>
        <v>33753.74</v>
      </c>
      <c r="O574" s="270">
        <f t="shared" si="186"/>
        <v>33753.74</v>
      </c>
      <c r="P574" s="270">
        <f t="shared" si="186"/>
        <v>33753.74</v>
      </c>
      <c r="Q574" s="270">
        <f t="shared" si="186"/>
        <v>33753.74</v>
      </c>
      <c r="R574" s="270">
        <f t="shared" si="186"/>
        <v>33753.74</v>
      </c>
      <c r="S574" s="270">
        <f t="shared" si="186"/>
        <v>33753.74</v>
      </c>
      <c r="T574" s="270">
        <f t="shared" si="188"/>
        <v>33753.74</v>
      </c>
      <c r="U574" s="270">
        <f t="shared" si="183"/>
        <v>33753.74</v>
      </c>
      <c r="V574" s="270">
        <f t="shared" si="183"/>
        <v>33753.74</v>
      </c>
      <c r="W574" s="270">
        <f t="shared" si="183"/>
        <v>33753.74</v>
      </c>
      <c r="X574" s="270">
        <f t="shared" si="183"/>
        <v>33753.74</v>
      </c>
      <c r="Y574" s="270">
        <f t="shared" si="183"/>
        <v>33753.74</v>
      </c>
      <c r="Z574" s="270">
        <f t="shared" si="183"/>
        <v>33753.74</v>
      </c>
      <c r="AA574" s="270">
        <f t="shared" si="183"/>
        <v>33753.74</v>
      </c>
      <c r="AB574" s="270">
        <f t="shared" si="183"/>
        <v>33753.74</v>
      </c>
      <c r="AC574" s="270">
        <f t="shared" si="183"/>
        <v>33753.74</v>
      </c>
      <c r="AD574" s="270">
        <f t="shared" si="185"/>
        <v>33753.74</v>
      </c>
      <c r="AE574" s="270">
        <f t="shared" si="181"/>
        <v>33753.74</v>
      </c>
      <c r="AF574" s="270">
        <f t="shared" si="187"/>
        <v>33753.74</v>
      </c>
      <c r="AG574" s="270">
        <f t="shared" si="187"/>
        <v>33753.74</v>
      </c>
      <c r="AH574" s="270">
        <f t="shared" si="187"/>
        <v>33753.74</v>
      </c>
      <c r="AI574" s="270">
        <f t="shared" si="187"/>
        <v>33753.74</v>
      </c>
      <c r="AJ574" s="270">
        <f t="shared" si="187"/>
        <v>33753.74</v>
      </c>
      <c r="AK574" s="270">
        <f t="shared" si="187"/>
        <v>33753.74</v>
      </c>
      <c r="AL574" s="270">
        <f t="shared" si="187"/>
        <v>33753.74</v>
      </c>
      <c r="AM574" s="270">
        <f t="shared" si="187"/>
        <v>33753.74</v>
      </c>
    </row>
    <row r="575" spans="2:39" ht="15.75" thickBot="1" x14ac:dyDescent="0.35">
      <c r="B575" s="56" t="str">
        <f>input_names!$C$3</f>
        <v>diesel</v>
      </c>
      <c r="C575" s="61">
        <v>173</v>
      </c>
      <c r="D575" s="270">
        <f t="shared" si="186"/>
        <v>19878</v>
      </c>
      <c r="E575" s="270">
        <f t="shared" si="186"/>
        <v>21984.58</v>
      </c>
      <c r="F575" s="270">
        <f t="shared" si="186"/>
        <v>25077.52</v>
      </c>
      <c r="G575" s="270">
        <f t="shared" si="186"/>
        <v>27191.8</v>
      </c>
      <c r="H575" s="270">
        <f t="shared" si="186"/>
        <v>28456.16</v>
      </c>
      <c r="I575" s="270">
        <f t="shared" si="186"/>
        <v>30579.9</v>
      </c>
      <c r="J575" s="270">
        <f t="shared" si="186"/>
        <v>19894.64</v>
      </c>
      <c r="K575" s="270">
        <f t="shared" si="186"/>
        <v>22218.66</v>
      </c>
      <c r="L575" s="270">
        <f t="shared" si="186"/>
        <v>25616</v>
      </c>
      <c r="M575" s="270">
        <f t="shared" si="186"/>
        <v>31062.14</v>
      </c>
      <c r="N575" s="270">
        <f t="shared" si="186"/>
        <v>34431.61</v>
      </c>
      <c r="O575" s="270">
        <f t="shared" si="186"/>
        <v>34431.61</v>
      </c>
      <c r="P575" s="270">
        <f t="shared" si="186"/>
        <v>34431.61</v>
      </c>
      <c r="Q575" s="270">
        <f t="shared" si="186"/>
        <v>34431.61</v>
      </c>
      <c r="R575" s="270">
        <f t="shared" si="186"/>
        <v>34431.61</v>
      </c>
      <c r="S575" s="270">
        <f t="shared" si="186"/>
        <v>34431.61</v>
      </c>
      <c r="T575" s="270">
        <f t="shared" si="188"/>
        <v>34431.61</v>
      </c>
      <c r="U575" s="270">
        <f t="shared" si="183"/>
        <v>34431.61</v>
      </c>
      <c r="V575" s="270">
        <f t="shared" si="183"/>
        <v>34431.61</v>
      </c>
      <c r="W575" s="270">
        <f t="shared" si="183"/>
        <v>34431.61</v>
      </c>
      <c r="X575" s="270">
        <f t="shared" si="183"/>
        <v>34431.61</v>
      </c>
      <c r="Y575" s="270">
        <f t="shared" si="183"/>
        <v>34431.61</v>
      </c>
      <c r="Z575" s="270">
        <f t="shared" si="183"/>
        <v>34431.61</v>
      </c>
      <c r="AA575" s="270">
        <f t="shared" si="183"/>
        <v>34431.61</v>
      </c>
      <c r="AB575" s="270">
        <f t="shared" si="183"/>
        <v>34431.61</v>
      </c>
      <c r="AC575" s="270">
        <f t="shared" si="183"/>
        <v>34431.61</v>
      </c>
      <c r="AD575" s="270">
        <f t="shared" si="185"/>
        <v>34431.61</v>
      </c>
      <c r="AE575" s="270">
        <f t="shared" si="181"/>
        <v>34431.61</v>
      </c>
      <c r="AF575" s="270">
        <f t="shared" si="187"/>
        <v>34431.61</v>
      </c>
      <c r="AG575" s="270">
        <f t="shared" si="187"/>
        <v>34431.61</v>
      </c>
      <c r="AH575" s="270">
        <f t="shared" si="187"/>
        <v>34431.61</v>
      </c>
      <c r="AI575" s="270">
        <f t="shared" si="187"/>
        <v>34431.61</v>
      </c>
      <c r="AJ575" s="270">
        <f t="shared" si="187"/>
        <v>34431.61</v>
      </c>
      <c r="AK575" s="270">
        <f t="shared" si="187"/>
        <v>34431.61</v>
      </c>
      <c r="AL575" s="270">
        <f t="shared" si="187"/>
        <v>34431.61</v>
      </c>
      <c r="AM575" s="270">
        <f t="shared" si="187"/>
        <v>34431.61</v>
      </c>
    </row>
    <row r="576" spans="2:39" ht="15.75" thickBot="1" x14ac:dyDescent="0.35">
      <c r="B576" s="56" t="str">
        <f>input_names!$C$3</f>
        <v>diesel</v>
      </c>
      <c r="C576" s="61">
        <v>174</v>
      </c>
      <c r="D576" s="270">
        <f t="shared" si="186"/>
        <v>20181</v>
      </c>
      <c r="E576" s="270">
        <f t="shared" si="186"/>
        <v>22309.010000000002</v>
      </c>
      <c r="F576" s="270">
        <f t="shared" si="186"/>
        <v>25636.21</v>
      </c>
      <c r="G576" s="270">
        <f t="shared" si="186"/>
        <v>27734.18</v>
      </c>
      <c r="H576" s="270">
        <f t="shared" si="186"/>
        <v>28972.59</v>
      </c>
      <c r="I576" s="270">
        <f t="shared" si="186"/>
        <v>31087.75</v>
      </c>
      <c r="J576" s="270">
        <f t="shared" si="186"/>
        <v>20410.23</v>
      </c>
      <c r="K576" s="270">
        <f t="shared" si="186"/>
        <v>22753.33</v>
      </c>
      <c r="L576" s="270">
        <f t="shared" si="186"/>
        <v>26158.3</v>
      </c>
      <c r="M576" s="270">
        <f t="shared" si="186"/>
        <v>31717.21</v>
      </c>
      <c r="N576" s="270">
        <f t="shared" si="186"/>
        <v>35109.479999999996</v>
      </c>
      <c r="O576" s="270">
        <f t="shared" si="186"/>
        <v>35109.479999999996</v>
      </c>
      <c r="P576" s="270">
        <f t="shared" si="186"/>
        <v>35109.479999999996</v>
      </c>
      <c r="Q576" s="270">
        <f t="shared" si="186"/>
        <v>35109.479999999996</v>
      </c>
      <c r="R576" s="270">
        <f t="shared" si="186"/>
        <v>35109.479999999996</v>
      </c>
      <c r="S576" s="270">
        <f t="shared" si="186"/>
        <v>35109.479999999996</v>
      </c>
      <c r="T576" s="270">
        <f t="shared" si="188"/>
        <v>35109.479999999996</v>
      </c>
      <c r="U576" s="270">
        <f t="shared" si="183"/>
        <v>35109.479999999996</v>
      </c>
      <c r="V576" s="270">
        <f t="shared" si="183"/>
        <v>35109.479999999996</v>
      </c>
      <c r="W576" s="270">
        <f t="shared" si="183"/>
        <v>35109.479999999996</v>
      </c>
      <c r="X576" s="270">
        <f t="shared" si="183"/>
        <v>35109.479999999996</v>
      </c>
      <c r="Y576" s="270">
        <f t="shared" si="183"/>
        <v>35109.479999999996</v>
      </c>
      <c r="Z576" s="270">
        <f t="shared" si="183"/>
        <v>35109.479999999996</v>
      </c>
      <c r="AA576" s="270">
        <f t="shared" si="183"/>
        <v>35109.479999999996</v>
      </c>
      <c r="AB576" s="270">
        <f t="shared" si="183"/>
        <v>35109.479999999996</v>
      </c>
      <c r="AC576" s="270">
        <f t="shared" si="183"/>
        <v>35109.479999999996</v>
      </c>
      <c r="AD576" s="270">
        <f t="shared" si="185"/>
        <v>35109.479999999996</v>
      </c>
      <c r="AE576" s="270">
        <f t="shared" si="181"/>
        <v>35109.479999999996</v>
      </c>
      <c r="AF576" s="270">
        <f t="shared" si="187"/>
        <v>35109.479999999996</v>
      </c>
      <c r="AG576" s="270">
        <f t="shared" si="187"/>
        <v>35109.479999999996</v>
      </c>
      <c r="AH576" s="270">
        <f t="shared" si="187"/>
        <v>35109.479999999996</v>
      </c>
      <c r="AI576" s="270">
        <f t="shared" si="187"/>
        <v>35109.479999999996</v>
      </c>
      <c r="AJ576" s="270">
        <f t="shared" si="187"/>
        <v>35109.479999999996</v>
      </c>
      <c r="AK576" s="270">
        <f t="shared" si="187"/>
        <v>35109.479999999996</v>
      </c>
      <c r="AL576" s="270">
        <f t="shared" si="187"/>
        <v>35109.479999999996</v>
      </c>
      <c r="AM576" s="270">
        <f t="shared" si="187"/>
        <v>35109.479999999996</v>
      </c>
    </row>
    <row r="577" spans="2:39" ht="15.75" thickBot="1" x14ac:dyDescent="0.35">
      <c r="B577" s="56" t="str">
        <f>input_names!$C$3</f>
        <v>diesel</v>
      </c>
      <c r="C577" s="61">
        <v>175</v>
      </c>
      <c r="D577" s="270">
        <f t="shared" si="186"/>
        <v>20484</v>
      </c>
      <c r="E577" s="270">
        <f t="shared" si="186"/>
        <v>22871.440000000002</v>
      </c>
      <c r="F577" s="270">
        <f t="shared" si="186"/>
        <v>26194.9</v>
      </c>
      <c r="G577" s="270">
        <f t="shared" si="186"/>
        <v>28276.559999999998</v>
      </c>
      <c r="H577" s="270">
        <f t="shared" si="186"/>
        <v>29489.02</v>
      </c>
      <c r="I577" s="270">
        <f t="shared" si="186"/>
        <v>31595.599999999999</v>
      </c>
      <c r="J577" s="270">
        <f t="shared" si="186"/>
        <v>20925.82</v>
      </c>
      <c r="K577" s="270">
        <f t="shared" si="186"/>
        <v>23288</v>
      </c>
      <c r="L577" s="270">
        <f t="shared" si="186"/>
        <v>26700.6</v>
      </c>
      <c r="M577" s="270">
        <f t="shared" si="186"/>
        <v>32372.28</v>
      </c>
      <c r="N577" s="270">
        <f t="shared" si="186"/>
        <v>35787.35</v>
      </c>
      <c r="O577" s="270">
        <f t="shared" si="186"/>
        <v>35787.35</v>
      </c>
      <c r="P577" s="270">
        <f t="shared" si="186"/>
        <v>35787.35</v>
      </c>
      <c r="Q577" s="270">
        <f t="shared" si="186"/>
        <v>35787.35</v>
      </c>
      <c r="R577" s="270">
        <f t="shared" si="186"/>
        <v>35787.35</v>
      </c>
      <c r="S577" s="270">
        <f t="shared" si="186"/>
        <v>35787.35</v>
      </c>
      <c r="T577" s="270">
        <f t="shared" si="188"/>
        <v>35787.35</v>
      </c>
      <c r="U577" s="270">
        <f t="shared" si="183"/>
        <v>35787.35</v>
      </c>
      <c r="V577" s="270">
        <f t="shared" si="183"/>
        <v>35787.35</v>
      </c>
      <c r="W577" s="270">
        <f t="shared" si="183"/>
        <v>35787.35</v>
      </c>
      <c r="X577" s="270">
        <f t="shared" si="183"/>
        <v>35787.35</v>
      </c>
      <c r="Y577" s="270">
        <f t="shared" si="183"/>
        <v>35787.35</v>
      </c>
      <c r="Z577" s="270">
        <f t="shared" si="183"/>
        <v>35787.35</v>
      </c>
      <c r="AA577" s="270">
        <f t="shared" si="183"/>
        <v>35787.35</v>
      </c>
      <c r="AB577" s="270">
        <f t="shared" si="183"/>
        <v>35787.35</v>
      </c>
      <c r="AC577" s="270">
        <f t="shared" si="183"/>
        <v>35787.35</v>
      </c>
      <c r="AD577" s="270">
        <f t="shared" si="185"/>
        <v>35787.35</v>
      </c>
      <c r="AE577" s="270">
        <f t="shared" si="181"/>
        <v>35787.35</v>
      </c>
      <c r="AF577" s="270">
        <f t="shared" si="187"/>
        <v>35787.35</v>
      </c>
      <c r="AG577" s="270">
        <f t="shared" si="187"/>
        <v>35787.35</v>
      </c>
      <c r="AH577" s="270">
        <f t="shared" si="187"/>
        <v>35787.35</v>
      </c>
      <c r="AI577" s="270">
        <f t="shared" si="187"/>
        <v>35787.35</v>
      </c>
      <c r="AJ577" s="270">
        <f t="shared" si="187"/>
        <v>35787.35</v>
      </c>
      <c r="AK577" s="270">
        <f t="shared" si="187"/>
        <v>35787.35</v>
      </c>
      <c r="AL577" s="270">
        <f t="shared" si="187"/>
        <v>35787.35</v>
      </c>
      <c r="AM577" s="270">
        <f t="shared" si="187"/>
        <v>35787.35</v>
      </c>
    </row>
    <row r="578" spans="2:39" ht="15.75" thickBot="1" x14ac:dyDescent="0.35">
      <c r="B578" s="56" t="str">
        <f>input_names!$C$3</f>
        <v>diesel</v>
      </c>
      <c r="C578" s="61">
        <v>176</v>
      </c>
      <c r="D578" s="270">
        <f t="shared" ref="D578:S593" si="189">+MIN(MAX(0,$C578-D$11),D$12-D$11)*D$17
+MIN(MAX(0,$C578-D$12),D$13-D$12)*D$18
+MIN(MAX(0,$C578-D$13),D$14-D$13)*D$19
+MIN(MAX(0,$C578-D$14),D$15-D$14)*D$20
+MAX(0,$C578-D$15)*D$21
+D$24*MAX(0,$C578-D$23)
+D$26</f>
        <v>20787</v>
      </c>
      <c r="E578" s="270">
        <f t="shared" si="189"/>
        <v>23433.870000000003</v>
      </c>
      <c r="F578" s="270">
        <f t="shared" si="189"/>
        <v>26753.59</v>
      </c>
      <c r="G578" s="270">
        <f t="shared" si="189"/>
        <v>28818.94</v>
      </c>
      <c r="H578" s="270">
        <f t="shared" si="189"/>
        <v>30005.45</v>
      </c>
      <c r="I578" s="270">
        <f t="shared" si="189"/>
        <v>32103.449999999997</v>
      </c>
      <c r="J578" s="270">
        <f t="shared" si="189"/>
        <v>21441.41</v>
      </c>
      <c r="K578" s="270">
        <f t="shared" si="189"/>
        <v>23822.67</v>
      </c>
      <c r="L578" s="270">
        <f t="shared" si="189"/>
        <v>27242.9</v>
      </c>
      <c r="M578" s="270">
        <f t="shared" si="189"/>
        <v>33027.35</v>
      </c>
      <c r="N578" s="270">
        <f t="shared" si="189"/>
        <v>36465.22</v>
      </c>
      <c r="O578" s="270">
        <f t="shared" si="189"/>
        <v>36465.22</v>
      </c>
      <c r="P578" s="270">
        <f t="shared" si="189"/>
        <v>36465.22</v>
      </c>
      <c r="Q578" s="270">
        <f t="shared" si="189"/>
        <v>36465.22</v>
      </c>
      <c r="R578" s="270">
        <f t="shared" si="189"/>
        <v>36465.22</v>
      </c>
      <c r="S578" s="270">
        <f t="shared" si="189"/>
        <v>36465.22</v>
      </c>
      <c r="T578" s="270">
        <f t="shared" si="188"/>
        <v>36465.22</v>
      </c>
      <c r="U578" s="270">
        <f t="shared" si="183"/>
        <v>36465.22</v>
      </c>
      <c r="V578" s="270">
        <f t="shared" si="183"/>
        <v>36465.22</v>
      </c>
      <c r="W578" s="270">
        <f t="shared" si="183"/>
        <v>36465.22</v>
      </c>
      <c r="X578" s="270">
        <f t="shared" si="183"/>
        <v>36465.22</v>
      </c>
      <c r="Y578" s="270">
        <f t="shared" si="183"/>
        <v>36465.22</v>
      </c>
      <c r="Z578" s="270">
        <f t="shared" si="183"/>
        <v>36465.22</v>
      </c>
      <c r="AA578" s="270">
        <f t="shared" si="183"/>
        <v>36465.22</v>
      </c>
      <c r="AB578" s="270">
        <f t="shared" si="183"/>
        <v>36465.22</v>
      </c>
      <c r="AC578" s="270">
        <f t="shared" si="183"/>
        <v>36465.22</v>
      </c>
      <c r="AD578" s="270">
        <f t="shared" si="185"/>
        <v>36465.22</v>
      </c>
      <c r="AE578" s="270">
        <f t="shared" si="181"/>
        <v>36465.22</v>
      </c>
      <c r="AF578" s="270">
        <f t="shared" si="187"/>
        <v>36465.22</v>
      </c>
      <c r="AG578" s="270">
        <f t="shared" si="187"/>
        <v>36465.22</v>
      </c>
      <c r="AH578" s="270">
        <f t="shared" si="187"/>
        <v>36465.22</v>
      </c>
      <c r="AI578" s="270">
        <f t="shared" si="187"/>
        <v>36465.22</v>
      </c>
      <c r="AJ578" s="270">
        <f t="shared" si="187"/>
        <v>36465.22</v>
      </c>
      <c r="AK578" s="270">
        <f t="shared" si="187"/>
        <v>36465.22</v>
      </c>
      <c r="AL578" s="270">
        <f t="shared" si="187"/>
        <v>36465.22</v>
      </c>
      <c r="AM578" s="270">
        <f t="shared" si="187"/>
        <v>36465.22</v>
      </c>
    </row>
    <row r="579" spans="2:39" ht="15.75" thickBot="1" x14ac:dyDescent="0.35">
      <c r="B579" s="56" t="str">
        <f>input_names!$C$3</f>
        <v>diesel</v>
      </c>
      <c r="C579" s="61">
        <v>177</v>
      </c>
      <c r="D579" s="270">
        <f t="shared" si="189"/>
        <v>21090</v>
      </c>
      <c r="E579" s="270">
        <f t="shared" si="189"/>
        <v>23996.300000000003</v>
      </c>
      <c r="F579" s="270">
        <f t="shared" si="189"/>
        <v>27312.28</v>
      </c>
      <c r="G579" s="270">
        <f t="shared" si="189"/>
        <v>29361.32</v>
      </c>
      <c r="H579" s="270">
        <f t="shared" si="189"/>
        <v>30521.88</v>
      </c>
      <c r="I579" s="270">
        <f t="shared" si="189"/>
        <v>32611.3</v>
      </c>
      <c r="J579" s="270">
        <f t="shared" si="189"/>
        <v>21957</v>
      </c>
      <c r="K579" s="270">
        <f t="shared" si="189"/>
        <v>24357.34</v>
      </c>
      <c r="L579" s="270">
        <f t="shared" si="189"/>
        <v>27785.199999999997</v>
      </c>
      <c r="M579" s="270">
        <f t="shared" si="189"/>
        <v>33682.42</v>
      </c>
      <c r="N579" s="270">
        <f t="shared" si="189"/>
        <v>37143.089999999997</v>
      </c>
      <c r="O579" s="270">
        <f t="shared" si="189"/>
        <v>37143.089999999997</v>
      </c>
      <c r="P579" s="270">
        <f t="shared" si="189"/>
        <v>37143.089999999997</v>
      </c>
      <c r="Q579" s="270">
        <f t="shared" si="189"/>
        <v>37143.089999999997</v>
      </c>
      <c r="R579" s="270">
        <f t="shared" si="189"/>
        <v>37143.089999999997</v>
      </c>
      <c r="S579" s="270">
        <f t="shared" si="189"/>
        <v>37143.089999999997</v>
      </c>
      <c r="T579" s="270">
        <f t="shared" si="188"/>
        <v>37143.089999999997</v>
      </c>
      <c r="U579" s="270">
        <f t="shared" si="183"/>
        <v>37143.089999999997</v>
      </c>
      <c r="V579" s="270">
        <f t="shared" si="183"/>
        <v>37143.089999999997</v>
      </c>
      <c r="W579" s="270">
        <f t="shared" si="183"/>
        <v>37143.089999999997</v>
      </c>
      <c r="X579" s="270">
        <f t="shared" si="183"/>
        <v>37143.089999999997</v>
      </c>
      <c r="Y579" s="270">
        <f t="shared" si="183"/>
        <v>37143.089999999997</v>
      </c>
      <c r="Z579" s="270">
        <f t="shared" si="183"/>
        <v>37143.089999999997</v>
      </c>
      <c r="AA579" s="270">
        <f t="shared" si="183"/>
        <v>37143.089999999997</v>
      </c>
      <c r="AB579" s="270">
        <f t="shared" si="183"/>
        <v>37143.089999999997</v>
      </c>
      <c r="AC579" s="270">
        <f t="shared" si="183"/>
        <v>37143.089999999997</v>
      </c>
      <c r="AD579" s="270">
        <f t="shared" si="185"/>
        <v>37143.089999999997</v>
      </c>
      <c r="AE579" s="270">
        <f t="shared" si="181"/>
        <v>37143.089999999997</v>
      </c>
      <c r="AF579" s="270">
        <f t="shared" si="187"/>
        <v>37143.089999999997</v>
      </c>
      <c r="AG579" s="270">
        <f t="shared" si="187"/>
        <v>37143.089999999997</v>
      </c>
      <c r="AH579" s="270">
        <f t="shared" si="187"/>
        <v>37143.089999999997</v>
      </c>
      <c r="AI579" s="270">
        <f t="shared" si="187"/>
        <v>37143.089999999997</v>
      </c>
      <c r="AJ579" s="270">
        <f t="shared" si="187"/>
        <v>37143.089999999997</v>
      </c>
      <c r="AK579" s="270">
        <f t="shared" si="187"/>
        <v>37143.089999999997</v>
      </c>
      <c r="AL579" s="270">
        <f t="shared" si="187"/>
        <v>37143.089999999997</v>
      </c>
      <c r="AM579" s="270">
        <f t="shared" si="187"/>
        <v>37143.089999999997</v>
      </c>
    </row>
    <row r="580" spans="2:39" ht="15.75" thickBot="1" x14ac:dyDescent="0.35">
      <c r="B580" s="56" t="str">
        <f>input_names!$C$3</f>
        <v>diesel</v>
      </c>
      <c r="C580" s="61">
        <v>178</v>
      </c>
      <c r="D580" s="270">
        <f t="shared" si="189"/>
        <v>21393</v>
      </c>
      <c r="E580" s="270">
        <f t="shared" si="189"/>
        <v>24558.730000000003</v>
      </c>
      <c r="F580" s="270">
        <f t="shared" si="189"/>
        <v>27870.97</v>
      </c>
      <c r="G580" s="270">
        <f t="shared" si="189"/>
        <v>29903.699999999997</v>
      </c>
      <c r="H580" s="270">
        <f t="shared" si="189"/>
        <v>31038.31</v>
      </c>
      <c r="I580" s="270">
        <f t="shared" si="189"/>
        <v>33119.15</v>
      </c>
      <c r="J580" s="270">
        <f t="shared" si="189"/>
        <v>22472.59</v>
      </c>
      <c r="K580" s="270">
        <f t="shared" si="189"/>
        <v>24892.010000000002</v>
      </c>
      <c r="L580" s="270">
        <f t="shared" si="189"/>
        <v>28327.5</v>
      </c>
      <c r="M580" s="270">
        <f t="shared" si="189"/>
        <v>34337.49</v>
      </c>
      <c r="N580" s="270">
        <f t="shared" si="189"/>
        <v>37820.959999999999</v>
      </c>
      <c r="O580" s="270">
        <f t="shared" si="189"/>
        <v>37820.959999999999</v>
      </c>
      <c r="P580" s="270">
        <f t="shared" si="189"/>
        <v>37820.959999999999</v>
      </c>
      <c r="Q580" s="270">
        <f t="shared" si="189"/>
        <v>37820.959999999999</v>
      </c>
      <c r="R580" s="270">
        <f t="shared" si="189"/>
        <v>37820.959999999999</v>
      </c>
      <c r="S580" s="270">
        <f t="shared" si="189"/>
        <v>37820.959999999999</v>
      </c>
      <c r="T580" s="270">
        <f t="shared" si="188"/>
        <v>37820.959999999999</v>
      </c>
      <c r="U580" s="270">
        <f t="shared" si="183"/>
        <v>37820.959999999999</v>
      </c>
      <c r="V580" s="270">
        <f t="shared" si="183"/>
        <v>37820.959999999999</v>
      </c>
      <c r="W580" s="270">
        <f t="shared" si="183"/>
        <v>37820.959999999999</v>
      </c>
      <c r="X580" s="270">
        <f t="shared" si="183"/>
        <v>37820.959999999999</v>
      </c>
      <c r="Y580" s="270">
        <f t="shared" si="183"/>
        <v>37820.959999999999</v>
      </c>
      <c r="Z580" s="270">
        <f t="shared" si="183"/>
        <v>37820.959999999999</v>
      </c>
      <c r="AA580" s="270">
        <f t="shared" si="183"/>
        <v>37820.959999999999</v>
      </c>
      <c r="AB580" s="270">
        <f t="shared" si="183"/>
        <v>37820.959999999999</v>
      </c>
      <c r="AC580" s="270">
        <f t="shared" si="183"/>
        <v>37820.959999999999</v>
      </c>
      <c r="AD580" s="270">
        <f t="shared" si="185"/>
        <v>37820.959999999999</v>
      </c>
      <c r="AE580" s="270">
        <f t="shared" si="181"/>
        <v>37820.959999999999</v>
      </c>
      <c r="AF580" s="270">
        <f t="shared" si="187"/>
        <v>37820.959999999999</v>
      </c>
      <c r="AG580" s="270">
        <f t="shared" si="187"/>
        <v>37820.959999999999</v>
      </c>
      <c r="AH580" s="270">
        <f t="shared" si="187"/>
        <v>37820.959999999999</v>
      </c>
      <c r="AI580" s="270">
        <f t="shared" si="187"/>
        <v>37820.959999999999</v>
      </c>
      <c r="AJ580" s="270">
        <f t="shared" si="187"/>
        <v>37820.959999999999</v>
      </c>
      <c r="AK580" s="270">
        <f t="shared" si="187"/>
        <v>37820.959999999999</v>
      </c>
      <c r="AL580" s="270">
        <f t="shared" si="187"/>
        <v>37820.959999999999</v>
      </c>
      <c r="AM580" s="270">
        <f t="shared" si="187"/>
        <v>37820.959999999999</v>
      </c>
    </row>
    <row r="581" spans="2:39" ht="15.75" thickBot="1" x14ac:dyDescent="0.35">
      <c r="B581" s="56" t="str">
        <f>input_names!$C$3</f>
        <v>diesel</v>
      </c>
      <c r="C581" s="61">
        <v>179</v>
      </c>
      <c r="D581" s="270">
        <f t="shared" si="189"/>
        <v>21696</v>
      </c>
      <c r="E581" s="270">
        <f t="shared" si="189"/>
        <v>25121.16</v>
      </c>
      <c r="F581" s="270">
        <f t="shared" si="189"/>
        <v>28429.66</v>
      </c>
      <c r="G581" s="270">
        <f t="shared" si="189"/>
        <v>30446.080000000002</v>
      </c>
      <c r="H581" s="270">
        <f t="shared" si="189"/>
        <v>31554.74</v>
      </c>
      <c r="I581" s="270">
        <f t="shared" si="189"/>
        <v>33627</v>
      </c>
      <c r="J581" s="270">
        <f t="shared" si="189"/>
        <v>22988.18</v>
      </c>
      <c r="K581" s="270">
        <f t="shared" si="189"/>
        <v>25426.68</v>
      </c>
      <c r="L581" s="270">
        <f t="shared" si="189"/>
        <v>28869.8</v>
      </c>
      <c r="M581" s="270">
        <f t="shared" si="189"/>
        <v>34992.559999999998</v>
      </c>
      <c r="N581" s="270">
        <f t="shared" si="189"/>
        <v>38498.83</v>
      </c>
      <c r="O581" s="270">
        <f t="shared" si="189"/>
        <v>38498.83</v>
      </c>
      <c r="P581" s="270">
        <f t="shared" si="189"/>
        <v>38498.83</v>
      </c>
      <c r="Q581" s="270">
        <f t="shared" si="189"/>
        <v>38498.83</v>
      </c>
      <c r="R581" s="270">
        <f t="shared" si="189"/>
        <v>38498.83</v>
      </c>
      <c r="S581" s="270">
        <f t="shared" si="189"/>
        <v>38498.83</v>
      </c>
      <c r="T581" s="270">
        <f t="shared" si="188"/>
        <v>38498.83</v>
      </c>
      <c r="U581" s="270">
        <f t="shared" si="183"/>
        <v>38498.83</v>
      </c>
      <c r="V581" s="270">
        <f t="shared" si="183"/>
        <v>38498.83</v>
      </c>
      <c r="W581" s="270">
        <f t="shared" si="183"/>
        <v>38498.83</v>
      </c>
      <c r="X581" s="270">
        <f t="shared" si="183"/>
        <v>38498.83</v>
      </c>
      <c r="Y581" s="270">
        <f t="shared" si="183"/>
        <v>38498.83</v>
      </c>
      <c r="Z581" s="270">
        <f t="shared" si="183"/>
        <v>38498.83</v>
      </c>
      <c r="AA581" s="270">
        <f t="shared" si="183"/>
        <v>38498.83</v>
      </c>
      <c r="AB581" s="270">
        <f t="shared" si="183"/>
        <v>38498.83</v>
      </c>
      <c r="AC581" s="270">
        <f t="shared" si="183"/>
        <v>38498.83</v>
      </c>
      <c r="AD581" s="270">
        <f t="shared" si="185"/>
        <v>38498.83</v>
      </c>
      <c r="AE581" s="270">
        <f t="shared" si="181"/>
        <v>38498.83</v>
      </c>
      <c r="AF581" s="270">
        <f t="shared" si="187"/>
        <v>38498.83</v>
      </c>
      <c r="AG581" s="270">
        <f t="shared" si="187"/>
        <v>38498.83</v>
      </c>
      <c r="AH581" s="270">
        <f t="shared" si="187"/>
        <v>38498.83</v>
      </c>
      <c r="AI581" s="270">
        <f t="shared" si="187"/>
        <v>38498.83</v>
      </c>
      <c r="AJ581" s="270">
        <f t="shared" si="187"/>
        <v>38498.83</v>
      </c>
      <c r="AK581" s="270">
        <f t="shared" si="187"/>
        <v>38498.83</v>
      </c>
      <c r="AL581" s="270">
        <f t="shared" si="187"/>
        <v>38498.83</v>
      </c>
      <c r="AM581" s="270">
        <f t="shared" si="187"/>
        <v>38498.83</v>
      </c>
    </row>
    <row r="582" spans="2:39" ht="15.75" thickBot="1" x14ac:dyDescent="0.35">
      <c r="B582" s="56" t="str">
        <f>input_names!$C$3</f>
        <v>diesel</v>
      </c>
      <c r="C582" s="61">
        <v>180</v>
      </c>
      <c r="D582" s="270">
        <f t="shared" si="189"/>
        <v>21999</v>
      </c>
      <c r="E582" s="270">
        <f t="shared" si="189"/>
        <v>25683.59</v>
      </c>
      <c r="F582" s="270">
        <f t="shared" si="189"/>
        <v>28988.35</v>
      </c>
      <c r="G582" s="270">
        <f t="shared" si="189"/>
        <v>30988.46</v>
      </c>
      <c r="H582" s="270">
        <f t="shared" si="189"/>
        <v>32071.17</v>
      </c>
      <c r="I582" s="270">
        <f t="shared" si="189"/>
        <v>34134.85</v>
      </c>
      <c r="J582" s="270">
        <f t="shared" si="189"/>
        <v>23503.77</v>
      </c>
      <c r="K582" s="270">
        <f t="shared" si="189"/>
        <v>25961.35</v>
      </c>
      <c r="L582" s="270">
        <f t="shared" si="189"/>
        <v>29412.1</v>
      </c>
      <c r="M582" s="270">
        <f t="shared" si="189"/>
        <v>35647.629999999997</v>
      </c>
      <c r="N582" s="270">
        <f t="shared" si="189"/>
        <v>39176.699999999997</v>
      </c>
      <c r="O582" s="270">
        <f t="shared" si="189"/>
        <v>39176.699999999997</v>
      </c>
      <c r="P582" s="270">
        <f t="shared" si="189"/>
        <v>39176.699999999997</v>
      </c>
      <c r="Q582" s="270">
        <f t="shared" si="189"/>
        <v>39176.699999999997</v>
      </c>
      <c r="R582" s="270">
        <f t="shared" si="189"/>
        <v>39176.699999999997</v>
      </c>
      <c r="S582" s="270">
        <f t="shared" si="189"/>
        <v>39176.699999999997</v>
      </c>
      <c r="T582" s="270">
        <f t="shared" si="188"/>
        <v>39176.699999999997</v>
      </c>
      <c r="U582" s="270">
        <f t="shared" si="183"/>
        <v>39176.699999999997</v>
      </c>
      <c r="V582" s="270">
        <f t="shared" si="183"/>
        <v>39176.699999999997</v>
      </c>
      <c r="W582" s="270">
        <f t="shared" si="183"/>
        <v>39176.699999999997</v>
      </c>
      <c r="X582" s="270">
        <f t="shared" si="183"/>
        <v>39176.699999999997</v>
      </c>
      <c r="Y582" s="270">
        <f t="shared" si="183"/>
        <v>39176.699999999997</v>
      </c>
      <c r="Z582" s="270">
        <f t="shared" si="183"/>
        <v>39176.699999999997</v>
      </c>
      <c r="AA582" s="270">
        <f t="shared" si="183"/>
        <v>39176.699999999997</v>
      </c>
      <c r="AB582" s="270">
        <f t="shared" si="183"/>
        <v>39176.699999999997</v>
      </c>
      <c r="AC582" s="270">
        <f t="shared" si="183"/>
        <v>39176.699999999997</v>
      </c>
      <c r="AD582" s="270">
        <f t="shared" si="185"/>
        <v>39176.699999999997</v>
      </c>
      <c r="AE582" s="270">
        <f t="shared" si="181"/>
        <v>39176.699999999997</v>
      </c>
      <c r="AF582" s="270">
        <f t="shared" si="187"/>
        <v>39176.699999999997</v>
      </c>
      <c r="AG582" s="270">
        <f t="shared" si="187"/>
        <v>39176.699999999997</v>
      </c>
      <c r="AH582" s="270">
        <f t="shared" si="187"/>
        <v>39176.699999999997</v>
      </c>
      <c r="AI582" s="270">
        <f t="shared" si="187"/>
        <v>39176.699999999997</v>
      </c>
      <c r="AJ582" s="270">
        <f t="shared" si="187"/>
        <v>39176.699999999997</v>
      </c>
      <c r="AK582" s="270">
        <f t="shared" si="187"/>
        <v>39176.699999999997</v>
      </c>
      <c r="AL582" s="270">
        <f t="shared" si="187"/>
        <v>39176.699999999997</v>
      </c>
      <c r="AM582" s="270">
        <f t="shared" si="187"/>
        <v>39176.699999999997</v>
      </c>
    </row>
    <row r="583" spans="2:39" ht="15.75" thickBot="1" x14ac:dyDescent="0.35">
      <c r="B583" s="56" t="str">
        <f>input_names!$C$3</f>
        <v>diesel</v>
      </c>
      <c r="C583" s="61">
        <v>181</v>
      </c>
      <c r="D583" s="270">
        <f t="shared" si="189"/>
        <v>22519</v>
      </c>
      <c r="E583" s="270">
        <f t="shared" si="189"/>
        <v>26246.02</v>
      </c>
      <c r="F583" s="270">
        <f t="shared" si="189"/>
        <v>29547.040000000001</v>
      </c>
      <c r="G583" s="270">
        <f t="shared" si="189"/>
        <v>31530.84</v>
      </c>
      <c r="H583" s="270">
        <f t="shared" si="189"/>
        <v>32587.599999999999</v>
      </c>
      <c r="I583" s="270">
        <f t="shared" si="189"/>
        <v>34642.699999999997</v>
      </c>
      <c r="J583" s="270">
        <f t="shared" si="189"/>
        <v>24019.360000000001</v>
      </c>
      <c r="K583" s="270">
        <f t="shared" si="189"/>
        <v>26496.02</v>
      </c>
      <c r="L583" s="270">
        <f t="shared" si="189"/>
        <v>29954.400000000001</v>
      </c>
      <c r="M583" s="270">
        <f t="shared" si="189"/>
        <v>36302.699999999997</v>
      </c>
      <c r="N583" s="270">
        <f t="shared" si="189"/>
        <v>39854.57</v>
      </c>
      <c r="O583" s="270">
        <f t="shared" si="189"/>
        <v>39854.57</v>
      </c>
      <c r="P583" s="270">
        <f t="shared" si="189"/>
        <v>39854.57</v>
      </c>
      <c r="Q583" s="270">
        <f t="shared" si="189"/>
        <v>39854.57</v>
      </c>
      <c r="R583" s="270">
        <f t="shared" si="189"/>
        <v>39854.57</v>
      </c>
      <c r="S583" s="270">
        <f t="shared" si="189"/>
        <v>39854.57</v>
      </c>
      <c r="T583" s="270">
        <f t="shared" si="188"/>
        <v>39854.57</v>
      </c>
      <c r="U583" s="270">
        <f t="shared" si="183"/>
        <v>39854.57</v>
      </c>
      <c r="V583" s="270">
        <f t="shared" si="183"/>
        <v>39854.57</v>
      </c>
      <c r="W583" s="270">
        <f t="shared" si="183"/>
        <v>39854.57</v>
      </c>
      <c r="X583" s="270">
        <f t="shared" si="183"/>
        <v>39854.57</v>
      </c>
      <c r="Y583" s="270">
        <f t="shared" si="183"/>
        <v>39854.57</v>
      </c>
      <c r="Z583" s="270">
        <f t="shared" si="183"/>
        <v>39854.57</v>
      </c>
      <c r="AA583" s="270">
        <f t="shared" si="183"/>
        <v>39854.57</v>
      </c>
      <c r="AB583" s="270">
        <f t="shared" si="183"/>
        <v>39854.57</v>
      </c>
      <c r="AC583" s="270">
        <f t="shared" si="183"/>
        <v>39854.57</v>
      </c>
      <c r="AD583" s="270">
        <f t="shared" si="185"/>
        <v>39854.57</v>
      </c>
      <c r="AE583" s="270">
        <f t="shared" si="185"/>
        <v>39854.57</v>
      </c>
      <c r="AF583" s="270">
        <f t="shared" si="187"/>
        <v>39854.57</v>
      </c>
      <c r="AG583" s="270">
        <f t="shared" si="187"/>
        <v>39854.57</v>
      </c>
      <c r="AH583" s="270">
        <f t="shared" si="187"/>
        <v>39854.57</v>
      </c>
      <c r="AI583" s="270">
        <f t="shared" si="187"/>
        <v>39854.57</v>
      </c>
      <c r="AJ583" s="270">
        <f t="shared" si="187"/>
        <v>39854.57</v>
      </c>
      <c r="AK583" s="270">
        <f t="shared" si="187"/>
        <v>39854.57</v>
      </c>
      <c r="AL583" s="270">
        <f t="shared" si="187"/>
        <v>39854.57</v>
      </c>
      <c r="AM583" s="270">
        <f t="shared" si="187"/>
        <v>39854.57</v>
      </c>
    </row>
    <row r="584" spans="2:39" ht="15.75" thickBot="1" x14ac:dyDescent="0.35">
      <c r="B584" s="56" t="str">
        <f>input_names!$C$3</f>
        <v>diesel</v>
      </c>
      <c r="C584" s="61">
        <v>182</v>
      </c>
      <c r="D584" s="270">
        <f t="shared" si="189"/>
        <v>23039</v>
      </c>
      <c r="E584" s="270">
        <f t="shared" si="189"/>
        <v>26808.45</v>
      </c>
      <c r="F584" s="270">
        <f t="shared" si="189"/>
        <v>30105.73</v>
      </c>
      <c r="G584" s="270">
        <f t="shared" si="189"/>
        <v>32073.22</v>
      </c>
      <c r="H584" s="270">
        <f t="shared" si="189"/>
        <v>33104.03</v>
      </c>
      <c r="I584" s="270">
        <f t="shared" si="189"/>
        <v>35150.550000000003</v>
      </c>
      <c r="J584" s="270">
        <f t="shared" si="189"/>
        <v>24534.95</v>
      </c>
      <c r="K584" s="270">
        <f t="shared" si="189"/>
        <v>27030.690000000002</v>
      </c>
      <c r="L584" s="270">
        <f t="shared" si="189"/>
        <v>30496.699999999997</v>
      </c>
      <c r="M584" s="270">
        <f t="shared" si="189"/>
        <v>36957.769999999997</v>
      </c>
      <c r="N584" s="270">
        <f t="shared" si="189"/>
        <v>40532.44</v>
      </c>
      <c r="O584" s="270">
        <f t="shared" si="189"/>
        <v>40532.44</v>
      </c>
      <c r="P584" s="270">
        <f t="shared" si="189"/>
        <v>40532.44</v>
      </c>
      <c r="Q584" s="270">
        <f t="shared" si="189"/>
        <v>40532.44</v>
      </c>
      <c r="R584" s="270">
        <f t="shared" si="189"/>
        <v>40532.44</v>
      </c>
      <c r="S584" s="270">
        <f t="shared" si="188"/>
        <v>40532.44</v>
      </c>
      <c r="T584" s="270">
        <f t="shared" si="188"/>
        <v>40532.44</v>
      </c>
      <c r="U584" s="270">
        <f t="shared" si="183"/>
        <v>40532.44</v>
      </c>
      <c r="V584" s="270">
        <f t="shared" si="183"/>
        <v>40532.44</v>
      </c>
      <c r="W584" s="270">
        <f t="shared" si="183"/>
        <v>40532.44</v>
      </c>
      <c r="X584" s="270">
        <f t="shared" si="183"/>
        <v>40532.44</v>
      </c>
      <c r="Y584" s="270">
        <f t="shared" si="183"/>
        <v>40532.44</v>
      </c>
      <c r="Z584" s="270">
        <f t="shared" ref="U584:AC612" si="190">+MIN(MAX(0,$C584-Z$11),Z$12-Z$11)*Z$17
+MIN(MAX(0,$C584-Z$12),Z$13-Z$12)*Z$18
+MIN(MAX(0,$C584-Z$13),Z$14-Z$13)*Z$19
+MIN(MAX(0,$C584-Z$14),Z$15-Z$14)*Z$20
+MAX(0,$C584-Z$15)*Z$21
+Z$24*MAX(0,$C584-Z$23)
+Z$26</f>
        <v>40532.44</v>
      </c>
      <c r="AA584" s="270">
        <f t="shared" si="190"/>
        <v>40532.44</v>
      </c>
      <c r="AB584" s="270">
        <f t="shared" si="190"/>
        <v>40532.44</v>
      </c>
      <c r="AC584" s="270">
        <f t="shared" si="190"/>
        <v>40532.44</v>
      </c>
      <c r="AD584" s="270">
        <f t="shared" si="185"/>
        <v>40532.44</v>
      </c>
      <c r="AE584" s="270">
        <f t="shared" si="185"/>
        <v>40532.44</v>
      </c>
      <c r="AF584" s="270">
        <f t="shared" si="187"/>
        <v>40532.44</v>
      </c>
      <c r="AG584" s="270">
        <f t="shared" si="187"/>
        <v>40532.44</v>
      </c>
      <c r="AH584" s="270">
        <f t="shared" si="187"/>
        <v>40532.44</v>
      </c>
      <c r="AI584" s="270">
        <f t="shared" si="187"/>
        <v>40532.44</v>
      </c>
      <c r="AJ584" s="270">
        <f t="shared" si="187"/>
        <v>40532.44</v>
      </c>
      <c r="AK584" s="270">
        <f t="shared" si="187"/>
        <v>40532.44</v>
      </c>
      <c r="AL584" s="270">
        <f t="shared" si="187"/>
        <v>40532.44</v>
      </c>
      <c r="AM584" s="270">
        <f t="shared" si="187"/>
        <v>40532.44</v>
      </c>
    </row>
    <row r="585" spans="2:39" ht="15.75" thickBot="1" x14ac:dyDescent="0.35">
      <c r="B585" s="56" t="str">
        <f>input_names!$C$3</f>
        <v>diesel</v>
      </c>
      <c r="C585" s="61">
        <v>183</v>
      </c>
      <c r="D585" s="270">
        <f t="shared" si="189"/>
        <v>23559</v>
      </c>
      <c r="E585" s="270">
        <f t="shared" si="189"/>
        <v>27370.880000000001</v>
      </c>
      <c r="F585" s="270">
        <f t="shared" si="189"/>
        <v>30664.42</v>
      </c>
      <c r="G585" s="270">
        <f t="shared" si="189"/>
        <v>32615.599999999999</v>
      </c>
      <c r="H585" s="270">
        <f t="shared" si="189"/>
        <v>33620.46</v>
      </c>
      <c r="I585" s="270">
        <f t="shared" si="189"/>
        <v>35658.400000000001</v>
      </c>
      <c r="J585" s="270">
        <f t="shared" si="189"/>
        <v>25050.54</v>
      </c>
      <c r="K585" s="270">
        <f t="shared" si="189"/>
        <v>27565.360000000001</v>
      </c>
      <c r="L585" s="270">
        <f t="shared" si="189"/>
        <v>31039</v>
      </c>
      <c r="M585" s="270">
        <f t="shared" si="189"/>
        <v>37612.839999999997</v>
      </c>
      <c r="N585" s="270">
        <f t="shared" si="189"/>
        <v>41210.31</v>
      </c>
      <c r="O585" s="270">
        <f t="shared" si="189"/>
        <v>41210.31</v>
      </c>
      <c r="P585" s="270">
        <f t="shared" si="189"/>
        <v>41210.31</v>
      </c>
      <c r="Q585" s="270">
        <f t="shared" si="189"/>
        <v>41210.31</v>
      </c>
      <c r="R585" s="270">
        <f t="shared" si="189"/>
        <v>41210.31</v>
      </c>
      <c r="S585" s="270">
        <f t="shared" si="188"/>
        <v>41210.31</v>
      </c>
      <c r="T585" s="270">
        <f t="shared" si="188"/>
        <v>41210.31</v>
      </c>
      <c r="U585" s="270">
        <f t="shared" si="190"/>
        <v>41210.31</v>
      </c>
      <c r="V585" s="270">
        <f t="shared" si="190"/>
        <v>41210.31</v>
      </c>
      <c r="W585" s="270">
        <f t="shared" si="190"/>
        <v>41210.31</v>
      </c>
      <c r="X585" s="270">
        <f t="shared" si="190"/>
        <v>41210.31</v>
      </c>
      <c r="Y585" s="270">
        <f t="shared" si="190"/>
        <v>41210.31</v>
      </c>
      <c r="Z585" s="270">
        <f t="shared" si="190"/>
        <v>41210.31</v>
      </c>
      <c r="AA585" s="270">
        <f t="shared" si="190"/>
        <v>41210.31</v>
      </c>
      <c r="AB585" s="270">
        <f t="shared" si="190"/>
        <v>41210.31</v>
      </c>
      <c r="AC585" s="270">
        <f t="shared" si="190"/>
        <v>41210.31</v>
      </c>
      <c r="AD585" s="270">
        <f t="shared" si="185"/>
        <v>41210.31</v>
      </c>
      <c r="AE585" s="270">
        <f t="shared" si="185"/>
        <v>41210.31</v>
      </c>
      <c r="AF585" s="270">
        <f t="shared" si="187"/>
        <v>41210.31</v>
      </c>
      <c r="AG585" s="270">
        <f t="shared" si="187"/>
        <v>41210.31</v>
      </c>
      <c r="AH585" s="270">
        <f t="shared" si="187"/>
        <v>41210.31</v>
      </c>
      <c r="AI585" s="270">
        <f t="shared" si="187"/>
        <v>41210.31</v>
      </c>
      <c r="AJ585" s="270">
        <f t="shared" si="187"/>
        <v>41210.31</v>
      </c>
      <c r="AK585" s="270">
        <f t="shared" si="187"/>
        <v>41210.31</v>
      </c>
      <c r="AL585" s="270">
        <f t="shared" si="187"/>
        <v>41210.31</v>
      </c>
      <c r="AM585" s="270">
        <f t="shared" si="187"/>
        <v>41210.31</v>
      </c>
    </row>
    <row r="586" spans="2:39" ht="15.75" thickBot="1" x14ac:dyDescent="0.35">
      <c r="B586" s="56" t="str">
        <f>input_names!$C$3</f>
        <v>diesel</v>
      </c>
      <c r="C586" s="61">
        <v>184</v>
      </c>
      <c r="D586" s="270">
        <f t="shared" si="189"/>
        <v>24079</v>
      </c>
      <c r="E586" s="270">
        <f t="shared" si="189"/>
        <v>27933.31</v>
      </c>
      <c r="F586" s="270">
        <f t="shared" si="189"/>
        <v>31223.11</v>
      </c>
      <c r="G586" s="270">
        <f t="shared" si="189"/>
        <v>33157.979999999996</v>
      </c>
      <c r="H586" s="270">
        <f t="shared" si="189"/>
        <v>34136.89</v>
      </c>
      <c r="I586" s="270">
        <f t="shared" si="189"/>
        <v>36166.25</v>
      </c>
      <c r="J586" s="270">
        <f t="shared" si="189"/>
        <v>25566.13</v>
      </c>
      <c r="K586" s="270">
        <f t="shared" si="189"/>
        <v>28100.03</v>
      </c>
      <c r="L586" s="270">
        <f t="shared" si="189"/>
        <v>31581.3</v>
      </c>
      <c r="M586" s="270">
        <f t="shared" si="189"/>
        <v>38267.910000000003</v>
      </c>
      <c r="N586" s="270">
        <f t="shared" si="189"/>
        <v>41888.18</v>
      </c>
      <c r="O586" s="270">
        <f t="shared" si="189"/>
        <v>41888.18</v>
      </c>
      <c r="P586" s="270">
        <f t="shared" si="189"/>
        <v>41888.18</v>
      </c>
      <c r="Q586" s="270">
        <f t="shared" si="189"/>
        <v>41888.18</v>
      </c>
      <c r="R586" s="270">
        <f t="shared" si="189"/>
        <v>41888.18</v>
      </c>
      <c r="S586" s="270">
        <f t="shared" si="188"/>
        <v>41888.18</v>
      </c>
      <c r="T586" s="270">
        <f t="shared" si="188"/>
        <v>41888.18</v>
      </c>
      <c r="U586" s="270">
        <f t="shared" si="190"/>
        <v>41888.18</v>
      </c>
      <c r="V586" s="270">
        <f t="shared" si="190"/>
        <v>41888.18</v>
      </c>
      <c r="W586" s="270">
        <f t="shared" si="190"/>
        <v>41888.18</v>
      </c>
      <c r="X586" s="270">
        <f t="shared" si="190"/>
        <v>41888.18</v>
      </c>
      <c r="Y586" s="270">
        <f t="shared" si="190"/>
        <v>41888.18</v>
      </c>
      <c r="Z586" s="270">
        <f t="shared" si="190"/>
        <v>41888.18</v>
      </c>
      <c r="AA586" s="270">
        <f t="shared" si="190"/>
        <v>41888.18</v>
      </c>
      <c r="AB586" s="270">
        <f t="shared" si="190"/>
        <v>41888.18</v>
      </c>
      <c r="AC586" s="270">
        <f t="shared" si="190"/>
        <v>41888.18</v>
      </c>
      <c r="AD586" s="270">
        <f t="shared" si="185"/>
        <v>41888.18</v>
      </c>
      <c r="AE586" s="270">
        <f t="shared" si="185"/>
        <v>41888.18</v>
      </c>
      <c r="AF586" s="270">
        <f t="shared" si="187"/>
        <v>41888.18</v>
      </c>
      <c r="AG586" s="270">
        <f t="shared" si="187"/>
        <v>41888.18</v>
      </c>
      <c r="AH586" s="270">
        <f t="shared" si="187"/>
        <v>41888.18</v>
      </c>
      <c r="AI586" s="270">
        <f t="shared" si="187"/>
        <v>41888.18</v>
      </c>
      <c r="AJ586" s="270">
        <f t="shared" si="187"/>
        <v>41888.18</v>
      </c>
      <c r="AK586" s="270">
        <f t="shared" si="187"/>
        <v>41888.18</v>
      </c>
      <c r="AL586" s="270">
        <f t="shared" si="187"/>
        <v>41888.18</v>
      </c>
      <c r="AM586" s="270">
        <f t="shared" si="187"/>
        <v>41888.18</v>
      </c>
    </row>
    <row r="587" spans="2:39" ht="15.75" thickBot="1" x14ac:dyDescent="0.35">
      <c r="B587" s="56" t="str">
        <f>input_names!$C$3</f>
        <v>diesel</v>
      </c>
      <c r="C587" s="61">
        <v>185</v>
      </c>
      <c r="D587" s="270">
        <f t="shared" si="189"/>
        <v>24599</v>
      </c>
      <c r="E587" s="270">
        <f t="shared" si="189"/>
        <v>28495.74</v>
      </c>
      <c r="F587" s="270">
        <f t="shared" si="189"/>
        <v>31781.8</v>
      </c>
      <c r="G587" s="270">
        <f t="shared" si="189"/>
        <v>33700.36</v>
      </c>
      <c r="H587" s="270">
        <f t="shared" si="189"/>
        <v>34653.32</v>
      </c>
      <c r="I587" s="270">
        <f t="shared" si="189"/>
        <v>36674.1</v>
      </c>
      <c r="J587" s="270">
        <f t="shared" si="189"/>
        <v>26081.72</v>
      </c>
      <c r="K587" s="270">
        <f t="shared" si="189"/>
        <v>28634.7</v>
      </c>
      <c r="L587" s="270">
        <f t="shared" si="189"/>
        <v>32123.599999999999</v>
      </c>
      <c r="M587" s="270">
        <f t="shared" si="189"/>
        <v>38922.979999999996</v>
      </c>
      <c r="N587" s="270">
        <f t="shared" si="189"/>
        <v>42566.05</v>
      </c>
      <c r="O587" s="270">
        <f t="shared" si="189"/>
        <v>42566.05</v>
      </c>
      <c r="P587" s="270">
        <f t="shared" si="189"/>
        <v>42566.05</v>
      </c>
      <c r="Q587" s="270">
        <f t="shared" si="189"/>
        <v>42566.05</v>
      </c>
      <c r="R587" s="270">
        <f t="shared" si="189"/>
        <v>42566.05</v>
      </c>
      <c r="S587" s="270">
        <f t="shared" si="188"/>
        <v>42566.05</v>
      </c>
      <c r="T587" s="270">
        <f t="shared" si="188"/>
        <v>42566.05</v>
      </c>
      <c r="U587" s="270">
        <f t="shared" si="190"/>
        <v>42566.05</v>
      </c>
      <c r="V587" s="270">
        <f t="shared" si="190"/>
        <v>42566.05</v>
      </c>
      <c r="W587" s="270">
        <f t="shared" si="190"/>
        <v>42566.05</v>
      </c>
      <c r="X587" s="270">
        <f t="shared" si="190"/>
        <v>42566.05</v>
      </c>
      <c r="Y587" s="270">
        <f t="shared" si="190"/>
        <v>42566.05</v>
      </c>
      <c r="Z587" s="270">
        <f t="shared" si="190"/>
        <v>42566.05</v>
      </c>
      <c r="AA587" s="270">
        <f t="shared" si="190"/>
        <v>42566.05</v>
      </c>
      <c r="AB587" s="270">
        <f t="shared" si="190"/>
        <v>42566.05</v>
      </c>
      <c r="AC587" s="270">
        <f t="shared" si="190"/>
        <v>42566.05</v>
      </c>
      <c r="AD587" s="270">
        <f t="shared" si="185"/>
        <v>42566.05</v>
      </c>
      <c r="AE587" s="270">
        <f t="shared" si="185"/>
        <v>42566.05</v>
      </c>
      <c r="AF587" s="270">
        <f t="shared" si="187"/>
        <v>42566.05</v>
      </c>
      <c r="AG587" s="270">
        <f t="shared" si="187"/>
        <v>42566.05</v>
      </c>
      <c r="AH587" s="270">
        <f t="shared" si="187"/>
        <v>42566.05</v>
      </c>
      <c r="AI587" s="270">
        <f t="shared" si="187"/>
        <v>42566.05</v>
      </c>
      <c r="AJ587" s="270">
        <f t="shared" si="187"/>
        <v>42566.05</v>
      </c>
      <c r="AK587" s="270">
        <f t="shared" si="187"/>
        <v>42566.05</v>
      </c>
      <c r="AL587" s="270">
        <f t="shared" si="187"/>
        <v>42566.05</v>
      </c>
      <c r="AM587" s="270">
        <f t="shared" si="187"/>
        <v>42566.05</v>
      </c>
    </row>
    <row r="588" spans="2:39" ht="15.75" thickBot="1" x14ac:dyDescent="0.35">
      <c r="B588" s="56" t="str">
        <f>input_names!$C$3</f>
        <v>diesel</v>
      </c>
      <c r="C588" s="61">
        <v>186</v>
      </c>
      <c r="D588" s="270">
        <f t="shared" si="189"/>
        <v>25119</v>
      </c>
      <c r="E588" s="270">
        <f t="shared" si="189"/>
        <v>29058.17</v>
      </c>
      <c r="F588" s="270">
        <f t="shared" si="189"/>
        <v>32340.489999999998</v>
      </c>
      <c r="G588" s="270">
        <f t="shared" si="189"/>
        <v>34242.74</v>
      </c>
      <c r="H588" s="270">
        <f t="shared" si="189"/>
        <v>35169.75</v>
      </c>
      <c r="I588" s="270">
        <f t="shared" si="189"/>
        <v>37181.949999999997</v>
      </c>
      <c r="J588" s="270">
        <f t="shared" si="189"/>
        <v>26597.309999999998</v>
      </c>
      <c r="K588" s="270">
        <f t="shared" si="189"/>
        <v>29169.370000000003</v>
      </c>
      <c r="L588" s="270">
        <f t="shared" si="189"/>
        <v>32665.9</v>
      </c>
      <c r="M588" s="270">
        <f t="shared" si="189"/>
        <v>39578.050000000003</v>
      </c>
      <c r="N588" s="270">
        <f t="shared" si="189"/>
        <v>43243.92</v>
      </c>
      <c r="O588" s="270">
        <f t="shared" si="189"/>
        <v>43243.92</v>
      </c>
      <c r="P588" s="270">
        <f t="shared" si="189"/>
        <v>43243.92</v>
      </c>
      <c r="Q588" s="270">
        <f t="shared" si="189"/>
        <v>43243.92</v>
      </c>
      <c r="R588" s="270">
        <f t="shared" si="189"/>
        <v>43243.92</v>
      </c>
      <c r="S588" s="270">
        <f t="shared" si="188"/>
        <v>43243.92</v>
      </c>
      <c r="T588" s="270">
        <f t="shared" si="188"/>
        <v>43243.92</v>
      </c>
      <c r="U588" s="270">
        <f t="shared" si="190"/>
        <v>43243.92</v>
      </c>
      <c r="V588" s="270">
        <f t="shared" si="190"/>
        <v>43243.92</v>
      </c>
      <c r="W588" s="270">
        <f t="shared" si="190"/>
        <v>43243.92</v>
      </c>
      <c r="X588" s="270">
        <f t="shared" si="190"/>
        <v>43243.92</v>
      </c>
      <c r="Y588" s="270">
        <f t="shared" si="190"/>
        <v>43243.92</v>
      </c>
      <c r="Z588" s="270">
        <f t="shared" si="190"/>
        <v>43243.92</v>
      </c>
      <c r="AA588" s="270">
        <f t="shared" si="190"/>
        <v>43243.92</v>
      </c>
      <c r="AB588" s="270">
        <f t="shared" si="190"/>
        <v>43243.92</v>
      </c>
      <c r="AC588" s="270">
        <f t="shared" si="190"/>
        <v>43243.92</v>
      </c>
      <c r="AD588" s="270">
        <f t="shared" si="185"/>
        <v>43243.92</v>
      </c>
      <c r="AE588" s="270">
        <f t="shared" si="185"/>
        <v>43243.92</v>
      </c>
      <c r="AF588" s="270">
        <f t="shared" si="187"/>
        <v>43243.92</v>
      </c>
      <c r="AG588" s="270">
        <f t="shared" si="187"/>
        <v>43243.92</v>
      </c>
      <c r="AH588" s="270">
        <f t="shared" si="187"/>
        <v>43243.92</v>
      </c>
      <c r="AI588" s="270">
        <f t="shared" si="187"/>
        <v>43243.92</v>
      </c>
      <c r="AJ588" s="270">
        <f t="shared" si="187"/>
        <v>43243.92</v>
      </c>
      <c r="AK588" s="270">
        <f t="shared" si="187"/>
        <v>43243.92</v>
      </c>
      <c r="AL588" s="270">
        <f t="shared" si="187"/>
        <v>43243.92</v>
      </c>
      <c r="AM588" s="270">
        <f t="shared" si="187"/>
        <v>43243.92</v>
      </c>
    </row>
    <row r="589" spans="2:39" ht="15.75" thickBot="1" x14ac:dyDescent="0.35">
      <c r="B589" s="56" t="str">
        <f>input_names!$C$3</f>
        <v>diesel</v>
      </c>
      <c r="C589" s="61">
        <v>187</v>
      </c>
      <c r="D589" s="270">
        <f t="shared" si="189"/>
        <v>25639</v>
      </c>
      <c r="E589" s="270">
        <f t="shared" si="189"/>
        <v>29620.6</v>
      </c>
      <c r="F589" s="270">
        <f t="shared" si="189"/>
        <v>32899.18</v>
      </c>
      <c r="G589" s="270">
        <f t="shared" si="189"/>
        <v>34785.119999999995</v>
      </c>
      <c r="H589" s="270">
        <f t="shared" si="189"/>
        <v>35686.18</v>
      </c>
      <c r="I589" s="270">
        <f t="shared" si="189"/>
        <v>37689.800000000003</v>
      </c>
      <c r="J589" s="270">
        <f t="shared" si="189"/>
        <v>27112.9</v>
      </c>
      <c r="K589" s="270">
        <f t="shared" si="189"/>
        <v>29704.04</v>
      </c>
      <c r="L589" s="270">
        <f t="shared" si="189"/>
        <v>33208.199999999997</v>
      </c>
      <c r="M589" s="270">
        <f t="shared" si="189"/>
        <v>40233.119999999995</v>
      </c>
      <c r="N589" s="270">
        <f t="shared" si="189"/>
        <v>43921.79</v>
      </c>
      <c r="O589" s="270">
        <f t="shared" si="189"/>
        <v>43921.79</v>
      </c>
      <c r="P589" s="270">
        <f t="shared" si="189"/>
        <v>43921.79</v>
      </c>
      <c r="Q589" s="270">
        <f t="shared" si="189"/>
        <v>43921.79</v>
      </c>
      <c r="R589" s="270">
        <f t="shared" si="189"/>
        <v>43921.79</v>
      </c>
      <c r="S589" s="270">
        <f t="shared" si="188"/>
        <v>43921.79</v>
      </c>
      <c r="T589" s="270">
        <f t="shared" si="188"/>
        <v>43921.79</v>
      </c>
      <c r="U589" s="270">
        <f t="shared" si="190"/>
        <v>43921.79</v>
      </c>
      <c r="V589" s="270">
        <f t="shared" si="190"/>
        <v>43921.79</v>
      </c>
      <c r="W589" s="270">
        <f t="shared" si="190"/>
        <v>43921.79</v>
      </c>
      <c r="X589" s="270">
        <f t="shared" si="190"/>
        <v>43921.79</v>
      </c>
      <c r="Y589" s="270">
        <f t="shared" si="190"/>
        <v>43921.79</v>
      </c>
      <c r="Z589" s="270">
        <f t="shared" si="190"/>
        <v>43921.79</v>
      </c>
      <c r="AA589" s="270">
        <f t="shared" si="190"/>
        <v>43921.79</v>
      </c>
      <c r="AB589" s="270">
        <f t="shared" si="190"/>
        <v>43921.79</v>
      </c>
      <c r="AC589" s="270">
        <f t="shared" si="190"/>
        <v>43921.79</v>
      </c>
      <c r="AD589" s="270">
        <f t="shared" si="185"/>
        <v>43921.79</v>
      </c>
      <c r="AE589" s="270">
        <f t="shared" si="185"/>
        <v>43921.79</v>
      </c>
      <c r="AF589" s="270">
        <f t="shared" si="187"/>
        <v>43921.79</v>
      </c>
      <c r="AG589" s="270">
        <f t="shared" si="187"/>
        <v>43921.79</v>
      </c>
      <c r="AH589" s="270">
        <f t="shared" si="187"/>
        <v>43921.79</v>
      </c>
      <c r="AI589" s="270">
        <f t="shared" si="187"/>
        <v>43921.79</v>
      </c>
      <c r="AJ589" s="270">
        <f t="shared" si="187"/>
        <v>43921.79</v>
      </c>
      <c r="AK589" s="270">
        <f t="shared" si="187"/>
        <v>43921.79</v>
      </c>
      <c r="AL589" s="270">
        <f t="shared" si="187"/>
        <v>43921.79</v>
      </c>
      <c r="AM589" s="270">
        <f t="shared" si="187"/>
        <v>43921.79</v>
      </c>
    </row>
    <row r="590" spans="2:39" ht="15.75" thickBot="1" x14ac:dyDescent="0.35">
      <c r="B590" s="56" t="str">
        <f>input_names!$C$3</f>
        <v>diesel</v>
      </c>
      <c r="C590" s="61">
        <v>188</v>
      </c>
      <c r="D590" s="270">
        <f t="shared" si="189"/>
        <v>26159</v>
      </c>
      <c r="E590" s="270">
        <f t="shared" si="189"/>
        <v>30183.03</v>
      </c>
      <c r="F590" s="270">
        <f t="shared" si="189"/>
        <v>33457.869999999995</v>
      </c>
      <c r="G590" s="270">
        <f t="shared" si="189"/>
        <v>35327.5</v>
      </c>
      <c r="H590" s="270">
        <f t="shared" si="189"/>
        <v>36202.61</v>
      </c>
      <c r="I590" s="270">
        <f t="shared" si="189"/>
        <v>38197.65</v>
      </c>
      <c r="J590" s="270">
        <f t="shared" si="189"/>
        <v>27628.489999999998</v>
      </c>
      <c r="K590" s="270">
        <f t="shared" si="189"/>
        <v>30238.71</v>
      </c>
      <c r="L590" s="270">
        <f t="shared" si="189"/>
        <v>33750.5</v>
      </c>
      <c r="M590" s="270">
        <f t="shared" si="189"/>
        <v>40888.19</v>
      </c>
      <c r="N590" s="270">
        <f t="shared" si="189"/>
        <v>44599.66</v>
      </c>
      <c r="O590" s="270">
        <f t="shared" si="189"/>
        <v>44599.66</v>
      </c>
      <c r="P590" s="270">
        <f t="shared" si="189"/>
        <v>44599.66</v>
      </c>
      <c r="Q590" s="270">
        <f t="shared" si="189"/>
        <v>44599.66</v>
      </c>
      <c r="R590" s="270">
        <f t="shared" si="189"/>
        <v>44599.66</v>
      </c>
      <c r="S590" s="270">
        <f t="shared" si="188"/>
        <v>44599.66</v>
      </c>
      <c r="T590" s="270">
        <f t="shared" si="188"/>
        <v>44599.66</v>
      </c>
      <c r="U590" s="270">
        <f t="shared" si="190"/>
        <v>44599.66</v>
      </c>
      <c r="V590" s="270">
        <f t="shared" si="190"/>
        <v>44599.66</v>
      </c>
      <c r="W590" s="270">
        <f t="shared" si="190"/>
        <v>44599.66</v>
      </c>
      <c r="X590" s="270">
        <f t="shared" si="190"/>
        <v>44599.66</v>
      </c>
      <c r="Y590" s="270">
        <f t="shared" si="190"/>
        <v>44599.66</v>
      </c>
      <c r="Z590" s="270">
        <f t="shared" si="190"/>
        <v>44599.66</v>
      </c>
      <c r="AA590" s="270">
        <f t="shared" si="190"/>
        <v>44599.66</v>
      </c>
      <c r="AB590" s="270">
        <f t="shared" si="190"/>
        <v>44599.66</v>
      </c>
      <c r="AC590" s="270">
        <f t="shared" si="190"/>
        <v>44599.66</v>
      </c>
      <c r="AD590" s="270">
        <f t="shared" si="185"/>
        <v>44599.66</v>
      </c>
      <c r="AE590" s="270">
        <f t="shared" si="185"/>
        <v>44599.66</v>
      </c>
      <c r="AF590" s="270">
        <f t="shared" si="187"/>
        <v>44599.66</v>
      </c>
      <c r="AG590" s="270">
        <f t="shared" si="187"/>
        <v>44599.66</v>
      </c>
      <c r="AH590" s="270">
        <f t="shared" si="187"/>
        <v>44599.66</v>
      </c>
      <c r="AI590" s="270">
        <f t="shared" si="187"/>
        <v>44599.66</v>
      </c>
      <c r="AJ590" s="270">
        <f t="shared" si="187"/>
        <v>44599.66</v>
      </c>
      <c r="AK590" s="270">
        <f t="shared" si="187"/>
        <v>44599.66</v>
      </c>
      <c r="AL590" s="270">
        <f t="shared" si="187"/>
        <v>44599.66</v>
      </c>
      <c r="AM590" s="270">
        <f t="shared" si="187"/>
        <v>44599.66</v>
      </c>
    </row>
    <row r="591" spans="2:39" ht="15.75" thickBot="1" x14ac:dyDescent="0.35">
      <c r="B591" s="56" t="str">
        <f>input_names!$C$3</f>
        <v>diesel</v>
      </c>
      <c r="C591" s="61">
        <v>189</v>
      </c>
      <c r="D591" s="270">
        <f t="shared" si="189"/>
        <v>26679</v>
      </c>
      <c r="E591" s="270">
        <f t="shared" si="189"/>
        <v>30745.46</v>
      </c>
      <c r="F591" s="270">
        <f t="shared" si="189"/>
        <v>34016.559999999998</v>
      </c>
      <c r="G591" s="270">
        <f t="shared" si="189"/>
        <v>35869.879999999997</v>
      </c>
      <c r="H591" s="270">
        <f t="shared" si="189"/>
        <v>36719.040000000001</v>
      </c>
      <c r="I591" s="270">
        <f t="shared" si="189"/>
        <v>38705.5</v>
      </c>
      <c r="J591" s="270">
        <f t="shared" si="189"/>
        <v>28144.080000000002</v>
      </c>
      <c r="K591" s="270">
        <f t="shared" si="189"/>
        <v>30773.38</v>
      </c>
      <c r="L591" s="270">
        <f t="shared" si="189"/>
        <v>34292.800000000003</v>
      </c>
      <c r="M591" s="270">
        <f t="shared" si="189"/>
        <v>41543.259999999995</v>
      </c>
      <c r="N591" s="270">
        <f t="shared" si="189"/>
        <v>45277.53</v>
      </c>
      <c r="O591" s="270">
        <f t="shared" si="189"/>
        <v>45277.53</v>
      </c>
      <c r="P591" s="270">
        <f t="shared" si="189"/>
        <v>45277.53</v>
      </c>
      <c r="Q591" s="270">
        <f t="shared" si="189"/>
        <v>45277.53</v>
      </c>
      <c r="R591" s="270">
        <f t="shared" si="189"/>
        <v>45277.53</v>
      </c>
      <c r="S591" s="270">
        <f t="shared" si="188"/>
        <v>45277.53</v>
      </c>
      <c r="T591" s="270">
        <f t="shared" si="188"/>
        <v>45277.53</v>
      </c>
      <c r="U591" s="270">
        <f t="shared" si="190"/>
        <v>45277.53</v>
      </c>
      <c r="V591" s="270">
        <f t="shared" si="190"/>
        <v>45277.53</v>
      </c>
      <c r="W591" s="270">
        <f t="shared" si="190"/>
        <v>45277.53</v>
      </c>
      <c r="X591" s="270">
        <f t="shared" si="190"/>
        <v>45277.53</v>
      </c>
      <c r="Y591" s="270">
        <f t="shared" si="190"/>
        <v>45277.53</v>
      </c>
      <c r="Z591" s="270">
        <f t="shared" si="190"/>
        <v>45277.53</v>
      </c>
      <c r="AA591" s="270">
        <f t="shared" si="190"/>
        <v>45277.53</v>
      </c>
      <c r="AB591" s="270">
        <f t="shared" si="190"/>
        <v>45277.53</v>
      </c>
      <c r="AC591" s="270">
        <f t="shared" si="190"/>
        <v>45277.53</v>
      </c>
      <c r="AD591" s="270">
        <f t="shared" si="185"/>
        <v>45277.53</v>
      </c>
      <c r="AE591" s="270">
        <f t="shared" si="185"/>
        <v>45277.53</v>
      </c>
      <c r="AF591" s="270">
        <f t="shared" si="187"/>
        <v>45277.53</v>
      </c>
      <c r="AG591" s="270">
        <f t="shared" si="187"/>
        <v>45277.53</v>
      </c>
      <c r="AH591" s="270">
        <f t="shared" si="187"/>
        <v>45277.53</v>
      </c>
      <c r="AI591" s="270">
        <f t="shared" si="187"/>
        <v>45277.53</v>
      </c>
      <c r="AJ591" s="270">
        <f t="shared" si="187"/>
        <v>45277.53</v>
      </c>
      <c r="AK591" s="270">
        <f t="shared" si="187"/>
        <v>45277.53</v>
      </c>
      <c r="AL591" s="270">
        <f t="shared" si="187"/>
        <v>45277.53</v>
      </c>
      <c r="AM591" s="270">
        <f t="shared" si="187"/>
        <v>45277.53</v>
      </c>
    </row>
    <row r="592" spans="2:39" ht="15.75" thickBot="1" x14ac:dyDescent="0.35">
      <c r="B592" s="56" t="str">
        <f>input_names!$C$3</f>
        <v>diesel</v>
      </c>
      <c r="C592" s="61">
        <v>190</v>
      </c>
      <c r="D592" s="270">
        <f t="shared" si="189"/>
        <v>27199</v>
      </c>
      <c r="E592" s="270">
        <f t="shared" si="189"/>
        <v>31307.89</v>
      </c>
      <c r="F592" s="270">
        <f t="shared" si="189"/>
        <v>34575.25</v>
      </c>
      <c r="G592" s="270">
        <f t="shared" si="189"/>
        <v>36412.26</v>
      </c>
      <c r="H592" s="270">
        <f t="shared" si="189"/>
        <v>37235.47</v>
      </c>
      <c r="I592" s="270">
        <f t="shared" si="189"/>
        <v>39213.35</v>
      </c>
      <c r="J592" s="270">
        <f t="shared" si="189"/>
        <v>28659.67</v>
      </c>
      <c r="K592" s="270">
        <f t="shared" si="189"/>
        <v>31308.050000000003</v>
      </c>
      <c r="L592" s="270">
        <f t="shared" si="189"/>
        <v>34835.1</v>
      </c>
      <c r="M592" s="270">
        <f t="shared" si="189"/>
        <v>42198.33</v>
      </c>
      <c r="N592" s="270">
        <f t="shared" si="189"/>
        <v>45955.4</v>
      </c>
      <c r="O592" s="270">
        <f t="shared" si="189"/>
        <v>45955.4</v>
      </c>
      <c r="P592" s="270">
        <f t="shared" si="189"/>
        <v>45955.4</v>
      </c>
      <c r="Q592" s="270">
        <f t="shared" si="189"/>
        <v>45955.4</v>
      </c>
      <c r="R592" s="270">
        <f t="shared" si="189"/>
        <v>45955.4</v>
      </c>
      <c r="S592" s="270">
        <f t="shared" si="188"/>
        <v>45955.4</v>
      </c>
      <c r="T592" s="270">
        <f t="shared" si="188"/>
        <v>45955.4</v>
      </c>
      <c r="U592" s="270">
        <f t="shared" si="190"/>
        <v>45955.4</v>
      </c>
      <c r="V592" s="270">
        <f t="shared" si="190"/>
        <v>45955.4</v>
      </c>
      <c r="W592" s="270">
        <f t="shared" si="190"/>
        <v>45955.4</v>
      </c>
      <c r="X592" s="270">
        <f t="shared" si="190"/>
        <v>45955.4</v>
      </c>
      <c r="Y592" s="270">
        <f t="shared" si="190"/>
        <v>45955.4</v>
      </c>
      <c r="Z592" s="270">
        <f t="shared" si="190"/>
        <v>45955.4</v>
      </c>
      <c r="AA592" s="270">
        <f t="shared" si="190"/>
        <v>45955.4</v>
      </c>
      <c r="AB592" s="270">
        <f t="shared" si="190"/>
        <v>45955.4</v>
      </c>
      <c r="AC592" s="270">
        <f t="shared" si="190"/>
        <v>45955.4</v>
      </c>
      <c r="AD592" s="270">
        <f t="shared" si="185"/>
        <v>45955.4</v>
      </c>
      <c r="AE592" s="270">
        <f t="shared" si="185"/>
        <v>45955.4</v>
      </c>
      <c r="AF592" s="270">
        <f t="shared" si="187"/>
        <v>45955.4</v>
      </c>
      <c r="AG592" s="270">
        <f t="shared" si="187"/>
        <v>45955.4</v>
      </c>
      <c r="AH592" s="270">
        <f t="shared" si="187"/>
        <v>45955.4</v>
      </c>
      <c r="AI592" s="270">
        <f t="shared" si="187"/>
        <v>45955.4</v>
      </c>
      <c r="AJ592" s="270">
        <f t="shared" si="187"/>
        <v>45955.4</v>
      </c>
      <c r="AK592" s="270">
        <f t="shared" si="187"/>
        <v>45955.4</v>
      </c>
      <c r="AL592" s="270">
        <f t="shared" si="187"/>
        <v>45955.4</v>
      </c>
      <c r="AM592" s="270">
        <f t="shared" ref="AF592:AM621" si="191">+MIN(MAX(0,$C592-AM$11),AM$12-AM$11)*AM$17
+MIN(MAX(0,$C592-AM$12),AM$13-AM$12)*AM$18
+MIN(MAX(0,$C592-AM$13),AM$14-AM$13)*AM$19
+MIN(MAX(0,$C592-AM$14),AM$15-AM$14)*AM$20
+MAX(0,$C592-AM$15)*AM$21
+AM$24*MAX(0,$C592-AM$23)
+AM$26</f>
        <v>45955.4</v>
      </c>
    </row>
    <row r="593" spans="2:39" ht="15.75" thickBot="1" x14ac:dyDescent="0.35">
      <c r="B593" s="56" t="str">
        <f>input_names!$C$3</f>
        <v>diesel</v>
      </c>
      <c r="C593" s="61">
        <v>191</v>
      </c>
      <c r="D593" s="270">
        <f t="shared" si="189"/>
        <v>27719</v>
      </c>
      <c r="E593" s="270">
        <f t="shared" si="189"/>
        <v>31870.32</v>
      </c>
      <c r="F593" s="270">
        <f t="shared" si="189"/>
        <v>35133.94</v>
      </c>
      <c r="G593" s="270">
        <f t="shared" si="189"/>
        <v>36954.639999999999</v>
      </c>
      <c r="H593" s="270">
        <f t="shared" si="189"/>
        <v>37751.9</v>
      </c>
      <c r="I593" s="270">
        <f t="shared" si="189"/>
        <v>39721.199999999997</v>
      </c>
      <c r="J593" s="270">
        <f t="shared" si="189"/>
        <v>29175.260000000002</v>
      </c>
      <c r="K593" s="270">
        <f t="shared" si="189"/>
        <v>31842.720000000001</v>
      </c>
      <c r="L593" s="270">
        <f t="shared" si="189"/>
        <v>35377.4</v>
      </c>
      <c r="M593" s="270">
        <f t="shared" si="189"/>
        <v>42853.4</v>
      </c>
      <c r="N593" s="270">
        <f t="shared" si="189"/>
        <v>46633.270000000004</v>
      </c>
      <c r="O593" s="270">
        <f t="shared" si="189"/>
        <v>46633.270000000004</v>
      </c>
      <c r="P593" s="270">
        <f t="shared" si="189"/>
        <v>46633.270000000004</v>
      </c>
      <c r="Q593" s="270">
        <f t="shared" si="189"/>
        <v>46633.270000000004</v>
      </c>
      <c r="R593" s="270">
        <f t="shared" si="189"/>
        <v>46633.270000000004</v>
      </c>
      <c r="S593" s="270">
        <f t="shared" si="188"/>
        <v>46633.270000000004</v>
      </c>
      <c r="T593" s="270">
        <f t="shared" si="188"/>
        <v>46633.270000000004</v>
      </c>
      <c r="U593" s="270">
        <f t="shared" si="190"/>
        <v>46633.270000000004</v>
      </c>
      <c r="V593" s="270">
        <f t="shared" si="190"/>
        <v>46633.270000000004</v>
      </c>
      <c r="W593" s="270">
        <f t="shared" si="190"/>
        <v>46633.270000000004</v>
      </c>
      <c r="X593" s="270">
        <f t="shared" si="190"/>
        <v>46633.270000000004</v>
      </c>
      <c r="Y593" s="270">
        <f t="shared" si="190"/>
        <v>46633.270000000004</v>
      </c>
      <c r="Z593" s="270">
        <f t="shared" si="190"/>
        <v>46633.270000000004</v>
      </c>
      <c r="AA593" s="270">
        <f t="shared" si="190"/>
        <v>46633.270000000004</v>
      </c>
      <c r="AB593" s="270">
        <f t="shared" si="190"/>
        <v>46633.270000000004</v>
      </c>
      <c r="AC593" s="270">
        <f t="shared" si="190"/>
        <v>46633.270000000004</v>
      </c>
      <c r="AD593" s="270">
        <f t="shared" si="185"/>
        <v>46633.270000000004</v>
      </c>
      <c r="AE593" s="270">
        <f t="shared" si="185"/>
        <v>46633.270000000004</v>
      </c>
      <c r="AF593" s="270">
        <f t="shared" si="191"/>
        <v>46633.270000000004</v>
      </c>
      <c r="AG593" s="270">
        <f t="shared" si="191"/>
        <v>46633.270000000004</v>
      </c>
      <c r="AH593" s="270">
        <f t="shared" si="191"/>
        <v>46633.270000000004</v>
      </c>
      <c r="AI593" s="270">
        <f t="shared" si="191"/>
        <v>46633.270000000004</v>
      </c>
      <c r="AJ593" s="270">
        <f t="shared" si="191"/>
        <v>46633.270000000004</v>
      </c>
      <c r="AK593" s="270">
        <f t="shared" si="191"/>
        <v>46633.270000000004</v>
      </c>
      <c r="AL593" s="270">
        <f t="shared" si="191"/>
        <v>46633.270000000004</v>
      </c>
      <c r="AM593" s="270">
        <f t="shared" si="191"/>
        <v>46633.270000000004</v>
      </c>
    </row>
    <row r="594" spans="2:39" ht="15.75" thickBot="1" x14ac:dyDescent="0.35">
      <c r="B594" s="56" t="str">
        <f>input_names!$C$3</f>
        <v>diesel</v>
      </c>
      <c r="C594" s="61">
        <v>192</v>
      </c>
      <c r="D594" s="270">
        <f t="shared" ref="D594:R609" si="192">+MIN(MAX(0,$C594-D$11),D$12-D$11)*D$17
+MIN(MAX(0,$C594-D$12),D$13-D$12)*D$18
+MIN(MAX(0,$C594-D$13),D$14-D$13)*D$19
+MIN(MAX(0,$C594-D$14),D$15-D$14)*D$20
+MAX(0,$C594-D$15)*D$21
+D$24*MAX(0,$C594-D$23)
+D$26</f>
        <v>28239</v>
      </c>
      <c r="E594" s="270">
        <f t="shared" si="192"/>
        <v>32432.75</v>
      </c>
      <c r="F594" s="270">
        <f t="shared" si="192"/>
        <v>35692.629999999997</v>
      </c>
      <c r="G594" s="270">
        <f t="shared" si="192"/>
        <v>37497.019999999997</v>
      </c>
      <c r="H594" s="270">
        <f t="shared" si="192"/>
        <v>38268.33</v>
      </c>
      <c r="I594" s="270">
        <f t="shared" si="192"/>
        <v>40229.050000000003</v>
      </c>
      <c r="J594" s="270">
        <f t="shared" si="192"/>
        <v>29690.85</v>
      </c>
      <c r="K594" s="270">
        <f t="shared" si="192"/>
        <v>32377.39</v>
      </c>
      <c r="L594" s="270">
        <f t="shared" si="192"/>
        <v>35919.699999999997</v>
      </c>
      <c r="M594" s="270">
        <f t="shared" si="192"/>
        <v>43508.47</v>
      </c>
      <c r="N594" s="270">
        <f t="shared" si="192"/>
        <v>47311.14</v>
      </c>
      <c r="O594" s="270">
        <f t="shared" si="192"/>
        <v>47311.14</v>
      </c>
      <c r="P594" s="270">
        <f t="shared" si="192"/>
        <v>47311.14</v>
      </c>
      <c r="Q594" s="270">
        <f t="shared" si="192"/>
        <v>47311.14</v>
      </c>
      <c r="R594" s="270">
        <f t="shared" si="192"/>
        <v>47311.14</v>
      </c>
      <c r="S594" s="270">
        <f t="shared" si="188"/>
        <v>47311.14</v>
      </c>
      <c r="T594" s="270">
        <f t="shared" si="188"/>
        <v>47311.14</v>
      </c>
      <c r="U594" s="270">
        <f t="shared" si="190"/>
        <v>47311.14</v>
      </c>
      <c r="V594" s="270">
        <f t="shared" si="190"/>
        <v>47311.14</v>
      </c>
      <c r="W594" s="270">
        <f t="shared" si="190"/>
        <v>47311.14</v>
      </c>
      <c r="X594" s="270">
        <f t="shared" si="190"/>
        <v>47311.14</v>
      </c>
      <c r="Y594" s="270">
        <f t="shared" si="190"/>
        <v>47311.14</v>
      </c>
      <c r="Z594" s="270">
        <f t="shared" si="190"/>
        <v>47311.14</v>
      </c>
      <c r="AA594" s="270">
        <f t="shared" si="190"/>
        <v>47311.14</v>
      </c>
      <c r="AB594" s="270">
        <f t="shared" si="190"/>
        <v>47311.14</v>
      </c>
      <c r="AC594" s="270">
        <f t="shared" si="190"/>
        <v>47311.14</v>
      </c>
      <c r="AD594" s="270">
        <f t="shared" si="185"/>
        <v>47311.14</v>
      </c>
      <c r="AE594" s="270">
        <f t="shared" si="185"/>
        <v>47311.14</v>
      </c>
      <c r="AF594" s="270">
        <f t="shared" si="191"/>
        <v>47311.14</v>
      </c>
      <c r="AG594" s="270">
        <f t="shared" si="191"/>
        <v>47311.14</v>
      </c>
      <c r="AH594" s="270">
        <f t="shared" si="191"/>
        <v>47311.14</v>
      </c>
      <c r="AI594" s="270">
        <f t="shared" si="191"/>
        <v>47311.14</v>
      </c>
      <c r="AJ594" s="270">
        <f t="shared" si="191"/>
        <v>47311.14</v>
      </c>
      <c r="AK594" s="270">
        <f t="shared" si="191"/>
        <v>47311.14</v>
      </c>
      <c r="AL594" s="270">
        <f t="shared" si="191"/>
        <v>47311.14</v>
      </c>
      <c r="AM594" s="270">
        <f t="shared" si="191"/>
        <v>47311.14</v>
      </c>
    </row>
    <row r="595" spans="2:39" ht="15.75" thickBot="1" x14ac:dyDescent="0.35">
      <c r="B595" s="56" t="str">
        <f>input_names!$C$3</f>
        <v>diesel</v>
      </c>
      <c r="C595" s="61">
        <v>193</v>
      </c>
      <c r="D595" s="270">
        <f t="shared" si="192"/>
        <v>28759</v>
      </c>
      <c r="E595" s="270">
        <f t="shared" si="192"/>
        <v>32995.18</v>
      </c>
      <c r="F595" s="270">
        <f t="shared" si="192"/>
        <v>36251.32</v>
      </c>
      <c r="G595" s="270">
        <f t="shared" si="192"/>
        <v>38039.4</v>
      </c>
      <c r="H595" s="270">
        <f t="shared" si="192"/>
        <v>38784.76</v>
      </c>
      <c r="I595" s="270">
        <f t="shared" si="192"/>
        <v>40736.9</v>
      </c>
      <c r="J595" s="270">
        <f t="shared" si="192"/>
        <v>30206.440000000002</v>
      </c>
      <c r="K595" s="270">
        <f t="shared" si="192"/>
        <v>32912.06</v>
      </c>
      <c r="L595" s="270">
        <f t="shared" si="192"/>
        <v>36462</v>
      </c>
      <c r="M595" s="270">
        <f t="shared" si="192"/>
        <v>44163.54</v>
      </c>
      <c r="N595" s="270">
        <f t="shared" si="192"/>
        <v>47989.01</v>
      </c>
      <c r="O595" s="270">
        <f t="shared" si="192"/>
        <v>47989.01</v>
      </c>
      <c r="P595" s="270">
        <f t="shared" si="192"/>
        <v>47989.01</v>
      </c>
      <c r="Q595" s="270">
        <f t="shared" si="192"/>
        <v>47989.01</v>
      </c>
      <c r="R595" s="270">
        <f t="shared" si="192"/>
        <v>47989.01</v>
      </c>
      <c r="S595" s="270">
        <f t="shared" si="188"/>
        <v>47989.01</v>
      </c>
      <c r="T595" s="270">
        <f t="shared" si="188"/>
        <v>47989.01</v>
      </c>
      <c r="U595" s="270">
        <f t="shared" si="190"/>
        <v>47989.01</v>
      </c>
      <c r="V595" s="270">
        <f t="shared" si="190"/>
        <v>47989.01</v>
      </c>
      <c r="W595" s="270">
        <f t="shared" si="190"/>
        <v>47989.01</v>
      </c>
      <c r="X595" s="270">
        <f t="shared" si="190"/>
        <v>47989.01</v>
      </c>
      <c r="Y595" s="270">
        <f t="shared" si="190"/>
        <v>47989.01</v>
      </c>
      <c r="Z595" s="270">
        <f t="shared" si="190"/>
        <v>47989.01</v>
      </c>
      <c r="AA595" s="270">
        <f t="shared" si="190"/>
        <v>47989.01</v>
      </c>
      <c r="AB595" s="270">
        <f t="shared" si="190"/>
        <v>47989.01</v>
      </c>
      <c r="AC595" s="270">
        <f t="shared" si="190"/>
        <v>47989.01</v>
      </c>
      <c r="AD595" s="270">
        <f t="shared" si="185"/>
        <v>47989.01</v>
      </c>
      <c r="AE595" s="270">
        <f t="shared" si="185"/>
        <v>47989.01</v>
      </c>
      <c r="AF595" s="270">
        <f t="shared" si="191"/>
        <v>47989.01</v>
      </c>
      <c r="AG595" s="270">
        <f t="shared" si="191"/>
        <v>47989.01</v>
      </c>
      <c r="AH595" s="270">
        <f t="shared" si="191"/>
        <v>47989.01</v>
      </c>
      <c r="AI595" s="270">
        <f t="shared" si="191"/>
        <v>47989.01</v>
      </c>
      <c r="AJ595" s="270">
        <f t="shared" si="191"/>
        <v>47989.01</v>
      </c>
      <c r="AK595" s="270">
        <f t="shared" si="191"/>
        <v>47989.01</v>
      </c>
      <c r="AL595" s="270">
        <f t="shared" si="191"/>
        <v>47989.01</v>
      </c>
      <c r="AM595" s="270">
        <f t="shared" si="191"/>
        <v>47989.01</v>
      </c>
    </row>
    <row r="596" spans="2:39" ht="15.75" thickBot="1" x14ac:dyDescent="0.35">
      <c r="B596" s="56" t="str">
        <f>input_names!$C$3</f>
        <v>diesel</v>
      </c>
      <c r="C596" s="61">
        <v>194</v>
      </c>
      <c r="D596" s="270">
        <f t="shared" si="192"/>
        <v>29279</v>
      </c>
      <c r="E596" s="270">
        <f t="shared" si="192"/>
        <v>33557.61</v>
      </c>
      <c r="F596" s="270">
        <f t="shared" si="192"/>
        <v>36810.01</v>
      </c>
      <c r="G596" s="270">
        <f t="shared" si="192"/>
        <v>38581.78</v>
      </c>
      <c r="H596" s="270">
        <f t="shared" si="192"/>
        <v>39301.19</v>
      </c>
      <c r="I596" s="270">
        <f t="shared" si="192"/>
        <v>41244.75</v>
      </c>
      <c r="J596" s="270">
        <f t="shared" si="192"/>
        <v>30722.03</v>
      </c>
      <c r="K596" s="270">
        <f t="shared" si="192"/>
        <v>33446.729999999996</v>
      </c>
      <c r="L596" s="270">
        <f t="shared" si="192"/>
        <v>37004.300000000003</v>
      </c>
      <c r="M596" s="270">
        <f t="shared" si="192"/>
        <v>44818.61</v>
      </c>
      <c r="N596" s="270">
        <f t="shared" si="192"/>
        <v>48666.880000000005</v>
      </c>
      <c r="O596" s="270">
        <f t="shared" si="192"/>
        <v>48666.880000000005</v>
      </c>
      <c r="P596" s="270">
        <f t="shared" si="192"/>
        <v>48666.880000000005</v>
      </c>
      <c r="Q596" s="270">
        <f t="shared" si="192"/>
        <v>48666.880000000005</v>
      </c>
      <c r="R596" s="270">
        <f t="shared" si="192"/>
        <v>48666.880000000005</v>
      </c>
      <c r="S596" s="270">
        <f t="shared" si="188"/>
        <v>48666.880000000005</v>
      </c>
      <c r="T596" s="270">
        <f t="shared" si="188"/>
        <v>48666.880000000005</v>
      </c>
      <c r="U596" s="270">
        <f t="shared" si="190"/>
        <v>48666.880000000005</v>
      </c>
      <c r="V596" s="270">
        <f t="shared" si="190"/>
        <v>48666.880000000005</v>
      </c>
      <c r="W596" s="270">
        <f t="shared" si="190"/>
        <v>48666.880000000005</v>
      </c>
      <c r="X596" s="270">
        <f t="shared" si="190"/>
        <v>48666.880000000005</v>
      </c>
      <c r="Y596" s="270">
        <f t="shared" si="190"/>
        <v>48666.880000000005</v>
      </c>
      <c r="Z596" s="270">
        <f t="shared" si="190"/>
        <v>48666.880000000005</v>
      </c>
      <c r="AA596" s="270">
        <f t="shared" si="190"/>
        <v>48666.880000000005</v>
      </c>
      <c r="AB596" s="270">
        <f t="shared" si="190"/>
        <v>48666.880000000005</v>
      </c>
      <c r="AC596" s="270">
        <f t="shared" si="190"/>
        <v>48666.880000000005</v>
      </c>
      <c r="AD596" s="270">
        <f t="shared" si="185"/>
        <v>48666.880000000005</v>
      </c>
      <c r="AE596" s="270">
        <f t="shared" si="185"/>
        <v>48666.880000000005</v>
      </c>
      <c r="AF596" s="270">
        <f t="shared" si="191"/>
        <v>48666.880000000005</v>
      </c>
      <c r="AG596" s="270">
        <f t="shared" si="191"/>
        <v>48666.880000000005</v>
      </c>
      <c r="AH596" s="270">
        <f t="shared" si="191"/>
        <v>48666.880000000005</v>
      </c>
      <c r="AI596" s="270">
        <f t="shared" si="191"/>
        <v>48666.880000000005</v>
      </c>
      <c r="AJ596" s="270">
        <f t="shared" si="191"/>
        <v>48666.880000000005</v>
      </c>
      <c r="AK596" s="270">
        <f t="shared" si="191"/>
        <v>48666.880000000005</v>
      </c>
      <c r="AL596" s="270">
        <f t="shared" si="191"/>
        <v>48666.880000000005</v>
      </c>
      <c r="AM596" s="270">
        <f t="shared" si="191"/>
        <v>48666.880000000005</v>
      </c>
    </row>
    <row r="597" spans="2:39" ht="15.75" thickBot="1" x14ac:dyDescent="0.35">
      <c r="B597" s="56" t="str">
        <f>input_names!$C$3</f>
        <v>diesel</v>
      </c>
      <c r="C597" s="61">
        <v>195</v>
      </c>
      <c r="D597" s="270">
        <f t="shared" si="192"/>
        <v>29799</v>
      </c>
      <c r="E597" s="270">
        <f t="shared" si="192"/>
        <v>34120.04</v>
      </c>
      <c r="F597" s="270">
        <f t="shared" si="192"/>
        <v>37368.699999999997</v>
      </c>
      <c r="G597" s="270">
        <f t="shared" si="192"/>
        <v>39124.160000000003</v>
      </c>
      <c r="H597" s="270">
        <f t="shared" si="192"/>
        <v>39817.620000000003</v>
      </c>
      <c r="I597" s="270">
        <f t="shared" si="192"/>
        <v>41752.6</v>
      </c>
      <c r="J597" s="270">
        <f t="shared" si="192"/>
        <v>31237.620000000003</v>
      </c>
      <c r="K597" s="270">
        <f t="shared" si="192"/>
        <v>33981.4</v>
      </c>
      <c r="L597" s="270">
        <f t="shared" si="192"/>
        <v>37546.6</v>
      </c>
      <c r="M597" s="270">
        <f t="shared" si="192"/>
        <v>45473.68</v>
      </c>
      <c r="N597" s="270">
        <f t="shared" si="192"/>
        <v>49344.75</v>
      </c>
      <c r="O597" s="270">
        <f t="shared" si="192"/>
        <v>49344.75</v>
      </c>
      <c r="P597" s="270">
        <f t="shared" si="192"/>
        <v>49344.75</v>
      </c>
      <c r="Q597" s="270">
        <f t="shared" si="192"/>
        <v>49344.75</v>
      </c>
      <c r="R597" s="270">
        <f t="shared" si="192"/>
        <v>49344.75</v>
      </c>
      <c r="S597" s="270">
        <f t="shared" si="188"/>
        <v>49344.75</v>
      </c>
      <c r="T597" s="270">
        <f t="shared" si="188"/>
        <v>49344.75</v>
      </c>
      <c r="U597" s="270">
        <f t="shared" si="190"/>
        <v>49344.75</v>
      </c>
      <c r="V597" s="270">
        <f t="shared" si="190"/>
        <v>49344.75</v>
      </c>
      <c r="W597" s="270">
        <f t="shared" si="190"/>
        <v>49344.75</v>
      </c>
      <c r="X597" s="270">
        <f t="shared" si="190"/>
        <v>49344.75</v>
      </c>
      <c r="Y597" s="270">
        <f t="shared" si="190"/>
        <v>49344.75</v>
      </c>
      <c r="Z597" s="270">
        <f t="shared" si="190"/>
        <v>49344.75</v>
      </c>
      <c r="AA597" s="270">
        <f t="shared" si="190"/>
        <v>49344.75</v>
      </c>
      <c r="AB597" s="270">
        <f t="shared" si="190"/>
        <v>49344.75</v>
      </c>
      <c r="AC597" s="270">
        <f t="shared" si="190"/>
        <v>49344.75</v>
      </c>
      <c r="AD597" s="270">
        <f t="shared" si="185"/>
        <v>49344.75</v>
      </c>
      <c r="AE597" s="270">
        <f t="shared" si="185"/>
        <v>49344.75</v>
      </c>
      <c r="AF597" s="270">
        <f t="shared" si="191"/>
        <v>49344.75</v>
      </c>
      <c r="AG597" s="270">
        <f t="shared" si="191"/>
        <v>49344.75</v>
      </c>
      <c r="AH597" s="270">
        <f t="shared" si="191"/>
        <v>49344.75</v>
      </c>
      <c r="AI597" s="270">
        <f t="shared" si="191"/>
        <v>49344.75</v>
      </c>
      <c r="AJ597" s="270">
        <f t="shared" si="191"/>
        <v>49344.75</v>
      </c>
      <c r="AK597" s="270">
        <f t="shared" si="191"/>
        <v>49344.75</v>
      </c>
      <c r="AL597" s="270">
        <f t="shared" si="191"/>
        <v>49344.75</v>
      </c>
      <c r="AM597" s="270">
        <f t="shared" si="191"/>
        <v>49344.75</v>
      </c>
    </row>
    <row r="598" spans="2:39" ht="15.75" thickBot="1" x14ac:dyDescent="0.35">
      <c r="B598" s="56" t="str">
        <f>input_names!$C$3</f>
        <v>diesel</v>
      </c>
      <c r="C598" s="61">
        <v>196</v>
      </c>
      <c r="D598" s="270">
        <f t="shared" si="192"/>
        <v>30319</v>
      </c>
      <c r="E598" s="270">
        <f t="shared" si="192"/>
        <v>34682.47</v>
      </c>
      <c r="F598" s="270">
        <f t="shared" si="192"/>
        <v>37927.39</v>
      </c>
      <c r="G598" s="270">
        <f t="shared" si="192"/>
        <v>39666.54</v>
      </c>
      <c r="H598" s="270">
        <f t="shared" si="192"/>
        <v>40334.050000000003</v>
      </c>
      <c r="I598" s="270">
        <f t="shared" si="192"/>
        <v>42260.45</v>
      </c>
      <c r="J598" s="270">
        <f t="shared" si="192"/>
        <v>31753.21</v>
      </c>
      <c r="K598" s="270">
        <f t="shared" si="192"/>
        <v>34516.07</v>
      </c>
      <c r="L598" s="270">
        <f t="shared" si="192"/>
        <v>38088.9</v>
      </c>
      <c r="M598" s="270">
        <f t="shared" si="192"/>
        <v>46128.75</v>
      </c>
      <c r="N598" s="270">
        <f t="shared" si="192"/>
        <v>50022.62</v>
      </c>
      <c r="O598" s="270">
        <f t="shared" si="192"/>
        <v>50022.62</v>
      </c>
      <c r="P598" s="270">
        <f t="shared" si="192"/>
        <v>50022.62</v>
      </c>
      <c r="Q598" s="270">
        <f t="shared" si="192"/>
        <v>50022.62</v>
      </c>
      <c r="R598" s="270">
        <f t="shared" si="192"/>
        <v>50022.62</v>
      </c>
      <c r="S598" s="270">
        <f t="shared" si="188"/>
        <v>50022.62</v>
      </c>
      <c r="T598" s="270">
        <f t="shared" si="188"/>
        <v>50022.62</v>
      </c>
      <c r="U598" s="270">
        <f t="shared" si="190"/>
        <v>50022.62</v>
      </c>
      <c r="V598" s="270">
        <f t="shared" si="190"/>
        <v>50022.62</v>
      </c>
      <c r="W598" s="270">
        <f t="shared" si="190"/>
        <v>50022.62</v>
      </c>
      <c r="X598" s="270">
        <f t="shared" si="190"/>
        <v>50022.62</v>
      </c>
      <c r="Y598" s="270">
        <f t="shared" si="190"/>
        <v>50022.62</v>
      </c>
      <c r="Z598" s="270">
        <f t="shared" si="190"/>
        <v>50022.62</v>
      </c>
      <c r="AA598" s="270">
        <f t="shared" si="190"/>
        <v>50022.62</v>
      </c>
      <c r="AB598" s="270">
        <f t="shared" si="190"/>
        <v>50022.62</v>
      </c>
      <c r="AC598" s="270">
        <f t="shared" si="190"/>
        <v>50022.62</v>
      </c>
      <c r="AD598" s="270">
        <f t="shared" si="185"/>
        <v>50022.62</v>
      </c>
      <c r="AE598" s="270">
        <f t="shared" si="185"/>
        <v>50022.62</v>
      </c>
      <c r="AF598" s="270">
        <f t="shared" si="191"/>
        <v>50022.62</v>
      </c>
      <c r="AG598" s="270">
        <f t="shared" si="191"/>
        <v>50022.62</v>
      </c>
      <c r="AH598" s="270">
        <f t="shared" si="191"/>
        <v>50022.62</v>
      </c>
      <c r="AI598" s="270">
        <f t="shared" si="191"/>
        <v>50022.62</v>
      </c>
      <c r="AJ598" s="270">
        <f t="shared" si="191"/>
        <v>50022.62</v>
      </c>
      <c r="AK598" s="270">
        <f t="shared" si="191"/>
        <v>50022.62</v>
      </c>
      <c r="AL598" s="270">
        <f t="shared" si="191"/>
        <v>50022.62</v>
      </c>
      <c r="AM598" s="270">
        <f t="shared" si="191"/>
        <v>50022.62</v>
      </c>
    </row>
    <row r="599" spans="2:39" ht="15.75" thickBot="1" x14ac:dyDescent="0.35">
      <c r="B599" s="56" t="str">
        <f>input_names!$C$3</f>
        <v>diesel</v>
      </c>
      <c r="C599" s="61">
        <v>197</v>
      </c>
      <c r="D599" s="270">
        <f t="shared" si="192"/>
        <v>30839</v>
      </c>
      <c r="E599" s="270">
        <f t="shared" si="192"/>
        <v>35244.9</v>
      </c>
      <c r="F599" s="270">
        <f t="shared" si="192"/>
        <v>38486.080000000002</v>
      </c>
      <c r="G599" s="270">
        <f t="shared" si="192"/>
        <v>40208.92</v>
      </c>
      <c r="H599" s="270">
        <f t="shared" si="192"/>
        <v>40850.480000000003</v>
      </c>
      <c r="I599" s="270">
        <f t="shared" si="192"/>
        <v>42768.3</v>
      </c>
      <c r="J599" s="270">
        <f t="shared" si="192"/>
        <v>32268.800000000003</v>
      </c>
      <c r="K599" s="270">
        <f t="shared" si="192"/>
        <v>35050.74</v>
      </c>
      <c r="L599" s="270">
        <f t="shared" si="192"/>
        <v>38631.199999999997</v>
      </c>
      <c r="M599" s="270">
        <f t="shared" si="192"/>
        <v>46783.82</v>
      </c>
      <c r="N599" s="270">
        <f t="shared" si="192"/>
        <v>50700.49</v>
      </c>
      <c r="O599" s="270">
        <f t="shared" si="192"/>
        <v>50700.49</v>
      </c>
      <c r="P599" s="270">
        <f t="shared" si="192"/>
        <v>50700.49</v>
      </c>
      <c r="Q599" s="270">
        <f t="shared" si="192"/>
        <v>50700.49</v>
      </c>
      <c r="R599" s="270">
        <f t="shared" si="192"/>
        <v>50700.49</v>
      </c>
      <c r="S599" s="270">
        <f t="shared" si="188"/>
        <v>50700.49</v>
      </c>
      <c r="T599" s="270">
        <f t="shared" si="188"/>
        <v>50700.49</v>
      </c>
      <c r="U599" s="270">
        <f t="shared" si="190"/>
        <v>50700.49</v>
      </c>
      <c r="V599" s="270">
        <f t="shared" si="190"/>
        <v>50700.49</v>
      </c>
      <c r="W599" s="270">
        <f t="shared" si="190"/>
        <v>50700.49</v>
      </c>
      <c r="X599" s="270">
        <f t="shared" si="190"/>
        <v>50700.49</v>
      </c>
      <c r="Y599" s="270">
        <f t="shared" si="190"/>
        <v>50700.49</v>
      </c>
      <c r="Z599" s="270">
        <f t="shared" si="190"/>
        <v>50700.49</v>
      </c>
      <c r="AA599" s="270">
        <f t="shared" si="190"/>
        <v>50700.49</v>
      </c>
      <c r="AB599" s="270">
        <f t="shared" si="190"/>
        <v>50700.49</v>
      </c>
      <c r="AC599" s="270">
        <f t="shared" si="190"/>
        <v>50700.49</v>
      </c>
      <c r="AD599" s="270">
        <f t="shared" si="185"/>
        <v>50700.49</v>
      </c>
      <c r="AE599" s="270">
        <f t="shared" si="185"/>
        <v>50700.49</v>
      </c>
      <c r="AF599" s="270">
        <f t="shared" si="191"/>
        <v>50700.49</v>
      </c>
      <c r="AG599" s="270">
        <f t="shared" si="191"/>
        <v>50700.49</v>
      </c>
      <c r="AH599" s="270">
        <f t="shared" si="191"/>
        <v>50700.49</v>
      </c>
      <c r="AI599" s="270">
        <f t="shared" si="191"/>
        <v>50700.49</v>
      </c>
      <c r="AJ599" s="270">
        <f t="shared" si="191"/>
        <v>50700.49</v>
      </c>
      <c r="AK599" s="270">
        <f t="shared" si="191"/>
        <v>50700.49</v>
      </c>
      <c r="AL599" s="270">
        <f t="shared" si="191"/>
        <v>50700.49</v>
      </c>
      <c r="AM599" s="270">
        <f t="shared" si="191"/>
        <v>50700.49</v>
      </c>
    </row>
    <row r="600" spans="2:39" ht="15.75" thickBot="1" x14ac:dyDescent="0.35">
      <c r="B600" s="56" t="str">
        <f>input_names!$C$3</f>
        <v>diesel</v>
      </c>
      <c r="C600" s="61">
        <v>198</v>
      </c>
      <c r="D600" s="270">
        <f t="shared" si="192"/>
        <v>31359</v>
      </c>
      <c r="E600" s="270">
        <f t="shared" si="192"/>
        <v>35807.33</v>
      </c>
      <c r="F600" s="270">
        <f t="shared" si="192"/>
        <v>39044.770000000004</v>
      </c>
      <c r="G600" s="270">
        <f t="shared" si="192"/>
        <v>40751.300000000003</v>
      </c>
      <c r="H600" s="270">
        <f t="shared" si="192"/>
        <v>41366.910000000003</v>
      </c>
      <c r="I600" s="270">
        <f t="shared" si="192"/>
        <v>43276.15</v>
      </c>
      <c r="J600" s="270">
        <f t="shared" si="192"/>
        <v>32784.39</v>
      </c>
      <c r="K600" s="270">
        <f t="shared" si="192"/>
        <v>35585.410000000003</v>
      </c>
      <c r="L600" s="270">
        <f t="shared" si="192"/>
        <v>39173.5</v>
      </c>
      <c r="M600" s="270">
        <f t="shared" si="192"/>
        <v>47438.89</v>
      </c>
      <c r="N600" s="270">
        <f t="shared" si="192"/>
        <v>51378.36</v>
      </c>
      <c r="O600" s="270">
        <f t="shared" si="192"/>
        <v>51378.36</v>
      </c>
      <c r="P600" s="270">
        <f t="shared" si="192"/>
        <v>51378.36</v>
      </c>
      <c r="Q600" s="270">
        <f t="shared" si="192"/>
        <v>51378.36</v>
      </c>
      <c r="R600" s="270">
        <f t="shared" si="192"/>
        <v>51378.36</v>
      </c>
      <c r="S600" s="270">
        <f t="shared" si="188"/>
        <v>51378.36</v>
      </c>
      <c r="T600" s="270">
        <f t="shared" si="188"/>
        <v>51378.36</v>
      </c>
      <c r="U600" s="270">
        <f t="shared" si="190"/>
        <v>51378.36</v>
      </c>
      <c r="V600" s="270">
        <f t="shared" si="190"/>
        <v>51378.36</v>
      </c>
      <c r="W600" s="270">
        <f t="shared" si="190"/>
        <v>51378.36</v>
      </c>
      <c r="X600" s="270">
        <f t="shared" si="190"/>
        <v>51378.36</v>
      </c>
      <c r="Y600" s="270">
        <f t="shared" si="190"/>
        <v>51378.36</v>
      </c>
      <c r="Z600" s="270">
        <f t="shared" si="190"/>
        <v>51378.36</v>
      </c>
      <c r="AA600" s="270">
        <f t="shared" si="190"/>
        <v>51378.36</v>
      </c>
      <c r="AB600" s="270">
        <f t="shared" si="190"/>
        <v>51378.36</v>
      </c>
      <c r="AC600" s="270">
        <f t="shared" si="190"/>
        <v>51378.36</v>
      </c>
      <c r="AD600" s="270">
        <f t="shared" si="185"/>
        <v>51378.36</v>
      </c>
      <c r="AE600" s="270">
        <f t="shared" si="185"/>
        <v>51378.36</v>
      </c>
      <c r="AF600" s="270">
        <f t="shared" si="191"/>
        <v>51378.36</v>
      </c>
      <c r="AG600" s="270">
        <f t="shared" si="191"/>
        <v>51378.36</v>
      </c>
      <c r="AH600" s="270">
        <f t="shared" si="191"/>
        <v>51378.36</v>
      </c>
      <c r="AI600" s="270">
        <f t="shared" si="191"/>
        <v>51378.36</v>
      </c>
      <c r="AJ600" s="270">
        <f t="shared" si="191"/>
        <v>51378.36</v>
      </c>
      <c r="AK600" s="270">
        <f t="shared" si="191"/>
        <v>51378.36</v>
      </c>
      <c r="AL600" s="270">
        <f t="shared" si="191"/>
        <v>51378.36</v>
      </c>
      <c r="AM600" s="270">
        <f t="shared" si="191"/>
        <v>51378.36</v>
      </c>
    </row>
    <row r="601" spans="2:39" ht="15.75" thickBot="1" x14ac:dyDescent="0.35">
      <c r="B601" s="56" t="str">
        <f>input_names!$C$3</f>
        <v>diesel</v>
      </c>
      <c r="C601" s="61">
        <v>199</v>
      </c>
      <c r="D601" s="270">
        <f t="shared" si="192"/>
        <v>31879</v>
      </c>
      <c r="E601" s="270">
        <f t="shared" si="192"/>
        <v>36369.760000000002</v>
      </c>
      <c r="F601" s="270">
        <f t="shared" si="192"/>
        <v>39603.46</v>
      </c>
      <c r="G601" s="270">
        <f t="shared" si="192"/>
        <v>41293.68</v>
      </c>
      <c r="H601" s="270">
        <f t="shared" si="192"/>
        <v>41883.339999999997</v>
      </c>
      <c r="I601" s="270">
        <f t="shared" si="192"/>
        <v>43784</v>
      </c>
      <c r="J601" s="270">
        <f t="shared" si="192"/>
        <v>33299.979999999996</v>
      </c>
      <c r="K601" s="270">
        <f t="shared" si="192"/>
        <v>36120.080000000002</v>
      </c>
      <c r="L601" s="270">
        <f t="shared" si="192"/>
        <v>39715.800000000003</v>
      </c>
      <c r="M601" s="270">
        <f t="shared" si="192"/>
        <v>48093.96</v>
      </c>
      <c r="N601" s="270">
        <f t="shared" si="192"/>
        <v>52056.23</v>
      </c>
      <c r="O601" s="270">
        <f t="shared" si="192"/>
        <v>52056.23</v>
      </c>
      <c r="P601" s="270">
        <f t="shared" si="192"/>
        <v>52056.23</v>
      </c>
      <c r="Q601" s="270">
        <f t="shared" si="192"/>
        <v>52056.23</v>
      </c>
      <c r="R601" s="270">
        <f t="shared" si="192"/>
        <v>52056.23</v>
      </c>
      <c r="S601" s="270">
        <f t="shared" si="188"/>
        <v>52056.23</v>
      </c>
      <c r="T601" s="270">
        <f t="shared" si="188"/>
        <v>52056.23</v>
      </c>
      <c r="U601" s="270">
        <f t="shared" si="190"/>
        <v>52056.23</v>
      </c>
      <c r="V601" s="270">
        <f t="shared" si="190"/>
        <v>52056.23</v>
      </c>
      <c r="W601" s="270">
        <f t="shared" si="190"/>
        <v>52056.23</v>
      </c>
      <c r="X601" s="270">
        <f t="shared" si="190"/>
        <v>52056.23</v>
      </c>
      <c r="Y601" s="270">
        <f t="shared" si="190"/>
        <v>52056.23</v>
      </c>
      <c r="Z601" s="270">
        <f t="shared" si="190"/>
        <v>52056.23</v>
      </c>
      <c r="AA601" s="270">
        <f t="shared" si="190"/>
        <v>52056.23</v>
      </c>
      <c r="AB601" s="270">
        <f t="shared" si="190"/>
        <v>52056.23</v>
      </c>
      <c r="AC601" s="270">
        <f t="shared" si="190"/>
        <v>52056.23</v>
      </c>
      <c r="AD601" s="270">
        <f t="shared" si="185"/>
        <v>52056.23</v>
      </c>
      <c r="AE601" s="270">
        <f t="shared" si="185"/>
        <v>52056.23</v>
      </c>
      <c r="AF601" s="270">
        <f t="shared" si="191"/>
        <v>52056.23</v>
      </c>
      <c r="AG601" s="270">
        <f t="shared" si="191"/>
        <v>52056.23</v>
      </c>
      <c r="AH601" s="270">
        <f t="shared" si="191"/>
        <v>52056.23</v>
      </c>
      <c r="AI601" s="270">
        <f t="shared" si="191"/>
        <v>52056.23</v>
      </c>
      <c r="AJ601" s="270">
        <f t="shared" si="191"/>
        <v>52056.23</v>
      </c>
      <c r="AK601" s="270">
        <f t="shared" si="191"/>
        <v>52056.23</v>
      </c>
      <c r="AL601" s="270">
        <f t="shared" si="191"/>
        <v>52056.23</v>
      </c>
      <c r="AM601" s="270">
        <f t="shared" si="191"/>
        <v>52056.23</v>
      </c>
    </row>
    <row r="602" spans="2:39" ht="15.75" thickBot="1" x14ac:dyDescent="0.35">
      <c r="B602" s="56" t="str">
        <f>input_names!$C$3</f>
        <v>diesel</v>
      </c>
      <c r="C602" s="61">
        <v>200</v>
      </c>
      <c r="D602" s="270">
        <f t="shared" si="192"/>
        <v>32399</v>
      </c>
      <c r="E602" s="270">
        <f t="shared" si="192"/>
        <v>36932.19</v>
      </c>
      <c r="F602" s="270">
        <f t="shared" si="192"/>
        <v>40162.15</v>
      </c>
      <c r="G602" s="270">
        <f t="shared" si="192"/>
        <v>41836.06</v>
      </c>
      <c r="H602" s="270">
        <f t="shared" si="192"/>
        <v>42399.770000000004</v>
      </c>
      <c r="I602" s="270">
        <f t="shared" si="192"/>
        <v>44291.85</v>
      </c>
      <c r="J602" s="270">
        <f t="shared" si="192"/>
        <v>33815.57</v>
      </c>
      <c r="K602" s="270">
        <f t="shared" si="192"/>
        <v>36654.75</v>
      </c>
      <c r="L602" s="270">
        <f t="shared" si="192"/>
        <v>40258.1</v>
      </c>
      <c r="M602" s="270">
        <f t="shared" si="192"/>
        <v>48749.03</v>
      </c>
      <c r="N602" s="270">
        <f t="shared" si="192"/>
        <v>52734.1</v>
      </c>
      <c r="O602" s="270">
        <f t="shared" si="192"/>
        <v>52734.1</v>
      </c>
      <c r="P602" s="270">
        <f t="shared" si="192"/>
        <v>52734.1</v>
      </c>
      <c r="Q602" s="270">
        <f t="shared" si="192"/>
        <v>52734.1</v>
      </c>
      <c r="R602" s="270">
        <f t="shared" si="192"/>
        <v>52734.1</v>
      </c>
      <c r="S602" s="270">
        <f t="shared" si="188"/>
        <v>52734.1</v>
      </c>
      <c r="T602" s="270">
        <f t="shared" si="188"/>
        <v>52734.1</v>
      </c>
      <c r="U602" s="270">
        <f t="shared" si="190"/>
        <v>52734.1</v>
      </c>
      <c r="V602" s="270">
        <f t="shared" si="190"/>
        <v>52734.1</v>
      </c>
      <c r="W602" s="270">
        <f t="shared" si="190"/>
        <v>52734.1</v>
      </c>
      <c r="X602" s="270">
        <f t="shared" si="190"/>
        <v>52734.1</v>
      </c>
      <c r="Y602" s="270">
        <f t="shared" si="190"/>
        <v>52734.1</v>
      </c>
      <c r="Z602" s="270">
        <f t="shared" si="190"/>
        <v>52734.1</v>
      </c>
      <c r="AA602" s="270">
        <f t="shared" si="190"/>
        <v>52734.1</v>
      </c>
      <c r="AB602" s="270">
        <f t="shared" si="190"/>
        <v>52734.1</v>
      </c>
      <c r="AC602" s="270">
        <f t="shared" si="190"/>
        <v>52734.1</v>
      </c>
      <c r="AD602" s="270">
        <f t="shared" si="185"/>
        <v>52734.1</v>
      </c>
      <c r="AE602" s="270">
        <f t="shared" si="185"/>
        <v>52734.1</v>
      </c>
      <c r="AF602" s="270">
        <f t="shared" si="191"/>
        <v>52734.1</v>
      </c>
      <c r="AG602" s="270">
        <f t="shared" si="191"/>
        <v>52734.1</v>
      </c>
      <c r="AH602" s="270">
        <f t="shared" si="191"/>
        <v>52734.1</v>
      </c>
      <c r="AI602" s="270">
        <f t="shared" si="191"/>
        <v>52734.1</v>
      </c>
      <c r="AJ602" s="270">
        <f t="shared" si="191"/>
        <v>52734.1</v>
      </c>
      <c r="AK602" s="270">
        <f t="shared" si="191"/>
        <v>52734.1</v>
      </c>
      <c r="AL602" s="270">
        <f t="shared" si="191"/>
        <v>52734.1</v>
      </c>
      <c r="AM602" s="270">
        <f t="shared" si="191"/>
        <v>52734.1</v>
      </c>
    </row>
    <row r="603" spans="2:39" ht="15.75" thickBot="1" x14ac:dyDescent="0.35">
      <c r="B603" s="56" t="str">
        <f>input_names!$C$3</f>
        <v>diesel</v>
      </c>
      <c r="C603" s="61">
        <v>201</v>
      </c>
      <c r="D603" s="270">
        <f t="shared" si="192"/>
        <v>32919</v>
      </c>
      <c r="E603" s="270">
        <f t="shared" si="192"/>
        <v>37494.620000000003</v>
      </c>
      <c r="F603" s="270">
        <f t="shared" si="192"/>
        <v>40720.839999999997</v>
      </c>
      <c r="G603" s="270">
        <f t="shared" si="192"/>
        <v>42378.44</v>
      </c>
      <c r="H603" s="270">
        <f t="shared" si="192"/>
        <v>42916.2</v>
      </c>
      <c r="I603" s="270">
        <f t="shared" si="192"/>
        <v>44799.7</v>
      </c>
      <c r="J603" s="270">
        <f t="shared" si="192"/>
        <v>34331.160000000003</v>
      </c>
      <c r="K603" s="270">
        <f t="shared" si="192"/>
        <v>37189.42</v>
      </c>
      <c r="L603" s="270">
        <f t="shared" si="192"/>
        <v>40800.400000000001</v>
      </c>
      <c r="M603" s="270">
        <f t="shared" si="192"/>
        <v>49404.1</v>
      </c>
      <c r="N603" s="270">
        <f t="shared" si="192"/>
        <v>53411.97</v>
      </c>
      <c r="O603" s="270">
        <f t="shared" si="192"/>
        <v>53411.97</v>
      </c>
      <c r="P603" s="270">
        <f t="shared" si="192"/>
        <v>53411.97</v>
      </c>
      <c r="Q603" s="270">
        <f t="shared" si="192"/>
        <v>53411.97</v>
      </c>
      <c r="R603" s="270">
        <f t="shared" si="192"/>
        <v>53411.97</v>
      </c>
      <c r="S603" s="270">
        <f t="shared" si="188"/>
        <v>53411.97</v>
      </c>
      <c r="T603" s="270">
        <f t="shared" si="188"/>
        <v>53411.97</v>
      </c>
      <c r="U603" s="270">
        <f t="shared" si="190"/>
        <v>53411.97</v>
      </c>
      <c r="V603" s="270">
        <f t="shared" si="190"/>
        <v>53411.97</v>
      </c>
      <c r="W603" s="270">
        <f t="shared" si="190"/>
        <v>53411.97</v>
      </c>
      <c r="X603" s="270">
        <f t="shared" si="190"/>
        <v>53411.97</v>
      </c>
      <c r="Y603" s="270">
        <f t="shared" si="190"/>
        <v>53411.97</v>
      </c>
      <c r="Z603" s="270">
        <f t="shared" si="190"/>
        <v>53411.97</v>
      </c>
      <c r="AA603" s="270">
        <f t="shared" si="190"/>
        <v>53411.97</v>
      </c>
      <c r="AB603" s="270">
        <f t="shared" si="190"/>
        <v>53411.97</v>
      </c>
      <c r="AC603" s="270">
        <f t="shared" si="190"/>
        <v>53411.97</v>
      </c>
      <c r="AD603" s="270">
        <f t="shared" si="185"/>
        <v>53411.97</v>
      </c>
      <c r="AE603" s="270">
        <f t="shared" si="185"/>
        <v>53411.97</v>
      </c>
      <c r="AF603" s="270">
        <f t="shared" si="191"/>
        <v>53411.97</v>
      </c>
      <c r="AG603" s="270">
        <f t="shared" si="191"/>
        <v>53411.97</v>
      </c>
      <c r="AH603" s="270">
        <f t="shared" si="191"/>
        <v>53411.97</v>
      </c>
      <c r="AI603" s="270">
        <f t="shared" si="191"/>
        <v>53411.97</v>
      </c>
      <c r="AJ603" s="270">
        <f t="shared" si="191"/>
        <v>53411.97</v>
      </c>
      <c r="AK603" s="270">
        <f t="shared" si="191"/>
        <v>53411.97</v>
      </c>
      <c r="AL603" s="270">
        <f t="shared" si="191"/>
        <v>53411.97</v>
      </c>
      <c r="AM603" s="270">
        <f t="shared" si="191"/>
        <v>53411.97</v>
      </c>
    </row>
    <row r="604" spans="2:39" ht="15.75" thickBot="1" x14ac:dyDescent="0.35">
      <c r="B604" s="56" t="str">
        <f>input_names!$C$3</f>
        <v>diesel</v>
      </c>
      <c r="C604" s="61">
        <v>202</v>
      </c>
      <c r="D604" s="270">
        <f t="shared" si="192"/>
        <v>33439</v>
      </c>
      <c r="E604" s="270">
        <f t="shared" si="192"/>
        <v>38057.050000000003</v>
      </c>
      <c r="F604" s="270">
        <f t="shared" si="192"/>
        <v>41279.53</v>
      </c>
      <c r="G604" s="270">
        <f t="shared" si="192"/>
        <v>42920.82</v>
      </c>
      <c r="H604" s="270">
        <f t="shared" si="192"/>
        <v>43432.630000000005</v>
      </c>
      <c r="I604" s="270">
        <f t="shared" si="192"/>
        <v>45307.55</v>
      </c>
      <c r="J604" s="270">
        <f t="shared" si="192"/>
        <v>34846.75</v>
      </c>
      <c r="K604" s="270">
        <f t="shared" si="192"/>
        <v>37724.089999999997</v>
      </c>
      <c r="L604" s="270">
        <f t="shared" si="192"/>
        <v>41342.699999999997</v>
      </c>
      <c r="M604" s="270">
        <f t="shared" si="192"/>
        <v>50059.17</v>
      </c>
      <c r="N604" s="270">
        <f t="shared" si="192"/>
        <v>54089.84</v>
      </c>
      <c r="O604" s="270">
        <f t="shared" si="192"/>
        <v>54089.84</v>
      </c>
      <c r="P604" s="270">
        <f t="shared" si="192"/>
        <v>54089.84</v>
      </c>
      <c r="Q604" s="270">
        <f t="shared" si="192"/>
        <v>54089.84</v>
      </c>
      <c r="R604" s="270">
        <f t="shared" si="192"/>
        <v>54089.84</v>
      </c>
      <c r="S604" s="270">
        <f t="shared" si="188"/>
        <v>54089.84</v>
      </c>
      <c r="T604" s="270">
        <f t="shared" si="188"/>
        <v>54089.84</v>
      </c>
      <c r="U604" s="270">
        <f t="shared" si="190"/>
        <v>54089.84</v>
      </c>
      <c r="V604" s="270">
        <f t="shared" si="190"/>
        <v>54089.84</v>
      </c>
      <c r="W604" s="270">
        <f t="shared" si="190"/>
        <v>54089.84</v>
      </c>
      <c r="X604" s="270">
        <f t="shared" si="190"/>
        <v>54089.84</v>
      </c>
      <c r="Y604" s="270">
        <f t="shared" si="190"/>
        <v>54089.84</v>
      </c>
      <c r="Z604" s="270">
        <f t="shared" si="190"/>
        <v>54089.84</v>
      </c>
      <c r="AA604" s="270">
        <f t="shared" si="190"/>
        <v>54089.84</v>
      </c>
      <c r="AB604" s="270">
        <f t="shared" si="190"/>
        <v>54089.84</v>
      </c>
      <c r="AC604" s="270">
        <f t="shared" si="190"/>
        <v>54089.84</v>
      </c>
      <c r="AD604" s="270">
        <f t="shared" si="185"/>
        <v>54089.84</v>
      </c>
      <c r="AE604" s="270">
        <f t="shared" si="185"/>
        <v>54089.84</v>
      </c>
      <c r="AF604" s="270">
        <f t="shared" si="191"/>
        <v>54089.84</v>
      </c>
      <c r="AG604" s="270">
        <f t="shared" si="191"/>
        <v>54089.84</v>
      </c>
      <c r="AH604" s="270">
        <f t="shared" si="191"/>
        <v>54089.84</v>
      </c>
      <c r="AI604" s="270">
        <f t="shared" si="191"/>
        <v>54089.84</v>
      </c>
      <c r="AJ604" s="270">
        <f t="shared" si="191"/>
        <v>54089.84</v>
      </c>
      <c r="AK604" s="270">
        <f t="shared" si="191"/>
        <v>54089.84</v>
      </c>
      <c r="AL604" s="270">
        <f t="shared" si="191"/>
        <v>54089.84</v>
      </c>
      <c r="AM604" s="270">
        <f t="shared" si="191"/>
        <v>54089.84</v>
      </c>
    </row>
    <row r="605" spans="2:39" ht="15.75" thickBot="1" x14ac:dyDescent="0.35">
      <c r="B605" s="56" t="str">
        <f>input_names!$C$3</f>
        <v>diesel</v>
      </c>
      <c r="C605" s="61">
        <v>203</v>
      </c>
      <c r="D605" s="270">
        <f t="shared" si="192"/>
        <v>33959</v>
      </c>
      <c r="E605" s="270">
        <f t="shared" si="192"/>
        <v>38619.480000000003</v>
      </c>
      <c r="F605" s="270">
        <f t="shared" si="192"/>
        <v>41838.22</v>
      </c>
      <c r="G605" s="270">
        <f t="shared" si="192"/>
        <v>43463.199999999997</v>
      </c>
      <c r="H605" s="270">
        <f t="shared" si="192"/>
        <v>43949.06</v>
      </c>
      <c r="I605" s="270">
        <f t="shared" si="192"/>
        <v>45815.4</v>
      </c>
      <c r="J605" s="270">
        <f t="shared" si="192"/>
        <v>35362.339999999997</v>
      </c>
      <c r="K605" s="270">
        <f t="shared" si="192"/>
        <v>38258.76</v>
      </c>
      <c r="L605" s="270">
        <f t="shared" si="192"/>
        <v>41885</v>
      </c>
      <c r="M605" s="270">
        <f t="shared" si="192"/>
        <v>50714.239999999998</v>
      </c>
      <c r="N605" s="270">
        <f t="shared" si="192"/>
        <v>54767.71</v>
      </c>
      <c r="O605" s="270">
        <f t="shared" si="192"/>
        <v>54767.71</v>
      </c>
      <c r="P605" s="270">
        <f t="shared" si="192"/>
        <v>54767.71</v>
      </c>
      <c r="Q605" s="270">
        <f t="shared" si="192"/>
        <v>54767.71</v>
      </c>
      <c r="R605" s="270">
        <f t="shared" si="192"/>
        <v>54767.71</v>
      </c>
      <c r="S605" s="270">
        <f t="shared" si="188"/>
        <v>54767.71</v>
      </c>
      <c r="T605" s="270">
        <f t="shared" si="188"/>
        <v>54767.71</v>
      </c>
      <c r="U605" s="270">
        <f t="shared" si="190"/>
        <v>54767.71</v>
      </c>
      <c r="V605" s="270">
        <f t="shared" si="190"/>
        <v>54767.71</v>
      </c>
      <c r="W605" s="270">
        <f t="shared" si="190"/>
        <v>54767.71</v>
      </c>
      <c r="X605" s="270">
        <f t="shared" si="190"/>
        <v>54767.71</v>
      </c>
      <c r="Y605" s="270">
        <f t="shared" si="190"/>
        <v>54767.71</v>
      </c>
      <c r="Z605" s="270">
        <f t="shared" si="190"/>
        <v>54767.71</v>
      </c>
      <c r="AA605" s="270">
        <f t="shared" si="190"/>
        <v>54767.71</v>
      </c>
      <c r="AB605" s="270">
        <f t="shared" si="190"/>
        <v>54767.71</v>
      </c>
      <c r="AC605" s="270">
        <f t="shared" si="190"/>
        <v>54767.71</v>
      </c>
      <c r="AD605" s="270">
        <f t="shared" si="185"/>
        <v>54767.71</v>
      </c>
      <c r="AE605" s="270">
        <f t="shared" si="185"/>
        <v>54767.71</v>
      </c>
      <c r="AF605" s="270">
        <f t="shared" si="191"/>
        <v>54767.71</v>
      </c>
      <c r="AG605" s="270">
        <f t="shared" si="191"/>
        <v>54767.71</v>
      </c>
      <c r="AH605" s="270">
        <f t="shared" si="191"/>
        <v>54767.71</v>
      </c>
      <c r="AI605" s="270">
        <f t="shared" si="191"/>
        <v>54767.71</v>
      </c>
      <c r="AJ605" s="270">
        <f t="shared" si="191"/>
        <v>54767.71</v>
      </c>
      <c r="AK605" s="270">
        <f t="shared" si="191"/>
        <v>54767.71</v>
      </c>
      <c r="AL605" s="270">
        <f t="shared" si="191"/>
        <v>54767.71</v>
      </c>
      <c r="AM605" s="270">
        <f t="shared" si="191"/>
        <v>54767.71</v>
      </c>
    </row>
    <row r="606" spans="2:39" ht="15.75" thickBot="1" x14ac:dyDescent="0.35">
      <c r="B606" s="56" t="str">
        <f>input_names!$C$3</f>
        <v>diesel</v>
      </c>
      <c r="C606" s="61">
        <v>204</v>
      </c>
      <c r="D606" s="270">
        <f t="shared" si="192"/>
        <v>34479</v>
      </c>
      <c r="E606" s="270">
        <f t="shared" si="192"/>
        <v>39181.910000000003</v>
      </c>
      <c r="F606" s="270">
        <f t="shared" si="192"/>
        <v>42396.91</v>
      </c>
      <c r="G606" s="270">
        <f t="shared" si="192"/>
        <v>44005.58</v>
      </c>
      <c r="H606" s="270">
        <f t="shared" si="192"/>
        <v>44465.490000000005</v>
      </c>
      <c r="I606" s="270">
        <f t="shared" si="192"/>
        <v>46323.25</v>
      </c>
      <c r="J606" s="270">
        <f t="shared" si="192"/>
        <v>35877.93</v>
      </c>
      <c r="K606" s="270">
        <f t="shared" si="192"/>
        <v>38793.43</v>
      </c>
      <c r="L606" s="270">
        <f t="shared" si="192"/>
        <v>42427.3</v>
      </c>
      <c r="M606" s="270">
        <f t="shared" si="192"/>
        <v>51369.31</v>
      </c>
      <c r="N606" s="270">
        <f t="shared" si="192"/>
        <v>55445.58</v>
      </c>
      <c r="O606" s="270">
        <f t="shared" si="192"/>
        <v>55445.58</v>
      </c>
      <c r="P606" s="270">
        <f t="shared" si="192"/>
        <v>55445.58</v>
      </c>
      <c r="Q606" s="270">
        <f t="shared" si="192"/>
        <v>55445.58</v>
      </c>
      <c r="R606" s="270">
        <f t="shared" si="192"/>
        <v>55445.58</v>
      </c>
      <c r="S606" s="270">
        <f t="shared" si="188"/>
        <v>55445.58</v>
      </c>
      <c r="T606" s="270">
        <f t="shared" si="188"/>
        <v>55445.58</v>
      </c>
      <c r="U606" s="270">
        <f t="shared" si="190"/>
        <v>55445.58</v>
      </c>
      <c r="V606" s="270">
        <f t="shared" si="190"/>
        <v>55445.58</v>
      </c>
      <c r="W606" s="270">
        <f t="shared" si="190"/>
        <v>55445.58</v>
      </c>
      <c r="X606" s="270">
        <f t="shared" si="190"/>
        <v>55445.58</v>
      </c>
      <c r="Y606" s="270">
        <f t="shared" si="190"/>
        <v>55445.58</v>
      </c>
      <c r="Z606" s="270">
        <f t="shared" si="190"/>
        <v>55445.58</v>
      </c>
      <c r="AA606" s="270">
        <f t="shared" si="190"/>
        <v>55445.58</v>
      </c>
      <c r="AB606" s="270">
        <f t="shared" si="190"/>
        <v>55445.58</v>
      </c>
      <c r="AC606" s="270">
        <f t="shared" si="190"/>
        <v>55445.58</v>
      </c>
      <c r="AD606" s="270">
        <f t="shared" si="185"/>
        <v>55445.58</v>
      </c>
      <c r="AE606" s="270">
        <f t="shared" si="185"/>
        <v>55445.58</v>
      </c>
      <c r="AF606" s="270">
        <f t="shared" si="191"/>
        <v>55445.58</v>
      </c>
      <c r="AG606" s="270">
        <f t="shared" si="191"/>
        <v>55445.58</v>
      </c>
      <c r="AH606" s="270">
        <f t="shared" si="191"/>
        <v>55445.58</v>
      </c>
      <c r="AI606" s="270">
        <f t="shared" si="191"/>
        <v>55445.58</v>
      </c>
      <c r="AJ606" s="270">
        <f t="shared" si="191"/>
        <v>55445.58</v>
      </c>
      <c r="AK606" s="270">
        <f t="shared" si="191"/>
        <v>55445.58</v>
      </c>
      <c r="AL606" s="270">
        <f t="shared" si="191"/>
        <v>55445.58</v>
      </c>
      <c r="AM606" s="270">
        <f t="shared" si="191"/>
        <v>55445.58</v>
      </c>
    </row>
    <row r="607" spans="2:39" ht="15.75" thickBot="1" x14ac:dyDescent="0.35">
      <c r="B607" s="56" t="str">
        <f>input_names!$C$3</f>
        <v>diesel</v>
      </c>
      <c r="C607" s="61">
        <v>205</v>
      </c>
      <c r="D607" s="270">
        <f t="shared" si="192"/>
        <v>34999</v>
      </c>
      <c r="E607" s="270">
        <f t="shared" si="192"/>
        <v>39744.339999999997</v>
      </c>
      <c r="F607" s="270">
        <f t="shared" si="192"/>
        <v>42955.6</v>
      </c>
      <c r="G607" s="270">
        <f t="shared" si="192"/>
        <v>44547.96</v>
      </c>
      <c r="H607" s="270">
        <f t="shared" si="192"/>
        <v>44981.919999999998</v>
      </c>
      <c r="I607" s="270">
        <f t="shared" si="192"/>
        <v>46831.1</v>
      </c>
      <c r="J607" s="270">
        <f t="shared" si="192"/>
        <v>36393.520000000004</v>
      </c>
      <c r="K607" s="270">
        <f t="shared" si="192"/>
        <v>39328.1</v>
      </c>
      <c r="L607" s="270">
        <f t="shared" si="192"/>
        <v>42969.599999999999</v>
      </c>
      <c r="M607" s="270">
        <f t="shared" si="192"/>
        <v>52024.38</v>
      </c>
      <c r="N607" s="270">
        <f t="shared" si="192"/>
        <v>56123.45</v>
      </c>
      <c r="O607" s="270">
        <f t="shared" si="192"/>
        <v>56123.45</v>
      </c>
      <c r="P607" s="270">
        <f t="shared" si="192"/>
        <v>56123.45</v>
      </c>
      <c r="Q607" s="270">
        <f t="shared" si="192"/>
        <v>56123.45</v>
      </c>
      <c r="R607" s="270">
        <f t="shared" si="192"/>
        <v>56123.45</v>
      </c>
      <c r="S607" s="270">
        <f t="shared" si="188"/>
        <v>56123.45</v>
      </c>
      <c r="T607" s="270">
        <f t="shared" si="188"/>
        <v>56123.45</v>
      </c>
      <c r="U607" s="270">
        <f t="shared" si="190"/>
        <v>56123.45</v>
      </c>
      <c r="V607" s="270">
        <f t="shared" si="190"/>
        <v>56123.45</v>
      </c>
      <c r="W607" s="270">
        <f t="shared" si="190"/>
        <v>56123.45</v>
      </c>
      <c r="X607" s="270">
        <f t="shared" si="190"/>
        <v>56123.45</v>
      </c>
      <c r="Y607" s="270">
        <f t="shared" si="190"/>
        <v>56123.45</v>
      </c>
      <c r="Z607" s="270">
        <f t="shared" si="190"/>
        <v>56123.45</v>
      </c>
      <c r="AA607" s="270">
        <f t="shared" si="190"/>
        <v>56123.45</v>
      </c>
      <c r="AB607" s="270">
        <f t="shared" si="190"/>
        <v>56123.45</v>
      </c>
      <c r="AC607" s="270">
        <f t="shared" si="190"/>
        <v>56123.45</v>
      </c>
      <c r="AD607" s="270">
        <f t="shared" si="185"/>
        <v>56123.45</v>
      </c>
      <c r="AE607" s="270">
        <f t="shared" si="185"/>
        <v>56123.45</v>
      </c>
      <c r="AF607" s="270">
        <f t="shared" si="191"/>
        <v>56123.45</v>
      </c>
      <c r="AG607" s="270">
        <f t="shared" si="191"/>
        <v>56123.45</v>
      </c>
      <c r="AH607" s="270">
        <f t="shared" si="191"/>
        <v>56123.45</v>
      </c>
      <c r="AI607" s="270">
        <f t="shared" si="191"/>
        <v>56123.45</v>
      </c>
      <c r="AJ607" s="270">
        <f t="shared" si="191"/>
        <v>56123.45</v>
      </c>
      <c r="AK607" s="270">
        <f t="shared" si="191"/>
        <v>56123.45</v>
      </c>
      <c r="AL607" s="270">
        <f t="shared" si="191"/>
        <v>56123.45</v>
      </c>
      <c r="AM607" s="270">
        <f t="shared" si="191"/>
        <v>56123.45</v>
      </c>
    </row>
    <row r="608" spans="2:39" ht="15.75" thickBot="1" x14ac:dyDescent="0.35">
      <c r="B608" s="56" t="str">
        <f>input_names!$C$3</f>
        <v>diesel</v>
      </c>
      <c r="C608" s="61">
        <v>206</v>
      </c>
      <c r="D608" s="270">
        <f t="shared" si="192"/>
        <v>35519</v>
      </c>
      <c r="E608" s="270">
        <f t="shared" si="192"/>
        <v>40306.770000000004</v>
      </c>
      <c r="F608" s="270">
        <f t="shared" si="192"/>
        <v>43514.29</v>
      </c>
      <c r="G608" s="270">
        <f t="shared" si="192"/>
        <v>45090.34</v>
      </c>
      <c r="H608" s="270">
        <f t="shared" si="192"/>
        <v>45498.35</v>
      </c>
      <c r="I608" s="270">
        <f t="shared" si="192"/>
        <v>47338.95</v>
      </c>
      <c r="J608" s="270">
        <f t="shared" si="192"/>
        <v>36909.11</v>
      </c>
      <c r="K608" s="270">
        <f t="shared" si="192"/>
        <v>39862.770000000004</v>
      </c>
      <c r="L608" s="270">
        <f t="shared" si="192"/>
        <v>43511.9</v>
      </c>
      <c r="M608" s="270">
        <f t="shared" si="192"/>
        <v>52679.45</v>
      </c>
      <c r="N608" s="270">
        <f t="shared" si="192"/>
        <v>56801.32</v>
      </c>
      <c r="O608" s="270">
        <f t="shared" si="192"/>
        <v>56801.32</v>
      </c>
      <c r="P608" s="270">
        <f t="shared" si="192"/>
        <v>56801.32</v>
      </c>
      <c r="Q608" s="270">
        <f t="shared" si="192"/>
        <v>56801.32</v>
      </c>
      <c r="R608" s="270">
        <f t="shared" si="192"/>
        <v>56801.32</v>
      </c>
      <c r="S608" s="270">
        <f t="shared" si="188"/>
        <v>56801.32</v>
      </c>
      <c r="T608" s="270">
        <f t="shared" si="188"/>
        <v>56801.32</v>
      </c>
      <c r="U608" s="270">
        <f t="shared" si="190"/>
        <v>56801.32</v>
      </c>
      <c r="V608" s="270">
        <f t="shared" si="190"/>
        <v>56801.32</v>
      </c>
      <c r="W608" s="270">
        <f t="shared" si="190"/>
        <v>56801.32</v>
      </c>
      <c r="X608" s="270">
        <f t="shared" si="190"/>
        <v>56801.32</v>
      </c>
      <c r="Y608" s="270">
        <f t="shared" si="190"/>
        <v>56801.32</v>
      </c>
      <c r="Z608" s="270">
        <f t="shared" si="190"/>
        <v>56801.32</v>
      </c>
      <c r="AA608" s="270">
        <f t="shared" si="190"/>
        <v>56801.32</v>
      </c>
      <c r="AB608" s="270">
        <f t="shared" si="190"/>
        <v>56801.32</v>
      </c>
      <c r="AC608" s="270">
        <f t="shared" si="190"/>
        <v>56801.32</v>
      </c>
      <c r="AD608" s="270">
        <f t="shared" si="185"/>
        <v>56801.32</v>
      </c>
      <c r="AE608" s="270">
        <f t="shared" si="185"/>
        <v>56801.32</v>
      </c>
      <c r="AF608" s="270">
        <f t="shared" si="191"/>
        <v>56801.32</v>
      </c>
      <c r="AG608" s="270">
        <f t="shared" si="191"/>
        <v>56801.32</v>
      </c>
      <c r="AH608" s="270">
        <f t="shared" si="191"/>
        <v>56801.32</v>
      </c>
      <c r="AI608" s="270">
        <f t="shared" si="191"/>
        <v>56801.32</v>
      </c>
      <c r="AJ608" s="270">
        <f t="shared" si="191"/>
        <v>56801.32</v>
      </c>
      <c r="AK608" s="270">
        <f t="shared" si="191"/>
        <v>56801.32</v>
      </c>
      <c r="AL608" s="270">
        <f t="shared" si="191"/>
        <v>56801.32</v>
      </c>
      <c r="AM608" s="270">
        <f t="shared" si="191"/>
        <v>56801.32</v>
      </c>
    </row>
    <row r="609" spans="2:39" ht="15.75" thickBot="1" x14ac:dyDescent="0.35">
      <c r="B609" s="56" t="str">
        <f>input_names!$C$3</f>
        <v>diesel</v>
      </c>
      <c r="C609" s="61">
        <v>207</v>
      </c>
      <c r="D609" s="270">
        <f t="shared" si="192"/>
        <v>36039</v>
      </c>
      <c r="E609" s="270">
        <f t="shared" si="192"/>
        <v>40869.199999999997</v>
      </c>
      <c r="F609" s="270">
        <f t="shared" si="192"/>
        <v>44072.979999999996</v>
      </c>
      <c r="G609" s="270">
        <f t="shared" si="192"/>
        <v>45632.72</v>
      </c>
      <c r="H609" s="270">
        <f t="shared" si="192"/>
        <v>46014.78</v>
      </c>
      <c r="I609" s="270">
        <f t="shared" si="192"/>
        <v>47846.8</v>
      </c>
      <c r="J609" s="270">
        <f t="shared" si="192"/>
        <v>37424.699999999997</v>
      </c>
      <c r="K609" s="270">
        <f t="shared" si="192"/>
        <v>40397.440000000002</v>
      </c>
      <c r="L609" s="270">
        <f t="shared" si="192"/>
        <v>44054.2</v>
      </c>
      <c r="M609" s="270">
        <f t="shared" si="192"/>
        <v>53334.52</v>
      </c>
      <c r="N609" s="270">
        <f t="shared" si="192"/>
        <v>57479.19</v>
      </c>
      <c r="O609" s="270">
        <f t="shared" si="192"/>
        <v>57479.19</v>
      </c>
      <c r="P609" s="270">
        <f t="shared" si="192"/>
        <v>57479.19</v>
      </c>
      <c r="Q609" s="270">
        <f t="shared" si="192"/>
        <v>57479.19</v>
      </c>
      <c r="R609" s="270">
        <f t="shared" si="192"/>
        <v>57479.19</v>
      </c>
      <c r="S609" s="270">
        <f t="shared" si="188"/>
        <v>57479.19</v>
      </c>
      <c r="T609" s="270">
        <f t="shared" si="188"/>
        <v>57479.19</v>
      </c>
      <c r="U609" s="270">
        <f t="shared" si="190"/>
        <v>57479.19</v>
      </c>
      <c r="V609" s="270">
        <f t="shared" si="190"/>
        <v>57479.19</v>
      </c>
      <c r="W609" s="270">
        <f t="shared" si="190"/>
        <v>57479.19</v>
      </c>
      <c r="X609" s="270">
        <f t="shared" si="190"/>
        <v>57479.19</v>
      </c>
      <c r="Y609" s="270">
        <f t="shared" si="190"/>
        <v>57479.19</v>
      </c>
      <c r="Z609" s="270">
        <f t="shared" si="190"/>
        <v>57479.19</v>
      </c>
      <c r="AA609" s="270">
        <f t="shared" si="190"/>
        <v>57479.19</v>
      </c>
      <c r="AB609" s="270">
        <f t="shared" si="190"/>
        <v>57479.19</v>
      </c>
      <c r="AC609" s="270">
        <f t="shared" si="190"/>
        <v>57479.19</v>
      </c>
      <c r="AD609" s="270">
        <f t="shared" si="185"/>
        <v>57479.19</v>
      </c>
      <c r="AE609" s="270">
        <f t="shared" si="185"/>
        <v>57479.19</v>
      </c>
      <c r="AF609" s="270">
        <f t="shared" si="191"/>
        <v>57479.19</v>
      </c>
      <c r="AG609" s="270">
        <f t="shared" si="191"/>
        <v>57479.19</v>
      </c>
      <c r="AH609" s="270">
        <f t="shared" si="191"/>
        <v>57479.19</v>
      </c>
      <c r="AI609" s="270">
        <f t="shared" si="191"/>
        <v>57479.19</v>
      </c>
      <c r="AJ609" s="270">
        <f t="shared" si="191"/>
        <v>57479.19</v>
      </c>
      <c r="AK609" s="270">
        <f t="shared" si="191"/>
        <v>57479.19</v>
      </c>
      <c r="AL609" s="270">
        <f t="shared" si="191"/>
        <v>57479.19</v>
      </c>
      <c r="AM609" s="270">
        <f t="shared" si="191"/>
        <v>57479.19</v>
      </c>
    </row>
    <row r="610" spans="2:39" ht="15.75" thickBot="1" x14ac:dyDescent="0.35">
      <c r="B610" s="56" t="str">
        <f>input_names!$C$3</f>
        <v>diesel</v>
      </c>
      <c r="C610" s="61">
        <v>208</v>
      </c>
      <c r="D610" s="270">
        <f t="shared" ref="D610:AD625" si="193">+MIN(MAX(0,$C610-D$11),D$12-D$11)*D$17
+MIN(MAX(0,$C610-D$12),D$13-D$12)*D$18
+MIN(MAX(0,$C610-D$13),D$14-D$13)*D$19
+MIN(MAX(0,$C610-D$14),D$15-D$14)*D$20
+MAX(0,$C610-D$15)*D$21
+D$24*MAX(0,$C610-D$23)
+D$26</f>
        <v>36559</v>
      </c>
      <c r="E610" s="270">
        <f t="shared" si="193"/>
        <v>41431.630000000005</v>
      </c>
      <c r="F610" s="270">
        <f t="shared" si="193"/>
        <v>44631.67</v>
      </c>
      <c r="G610" s="270">
        <f t="shared" si="193"/>
        <v>46175.1</v>
      </c>
      <c r="H610" s="270">
        <f t="shared" si="193"/>
        <v>46531.21</v>
      </c>
      <c r="I610" s="270">
        <f t="shared" si="193"/>
        <v>48354.65</v>
      </c>
      <c r="J610" s="270">
        <f t="shared" si="193"/>
        <v>37940.29</v>
      </c>
      <c r="K610" s="270">
        <f t="shared" si="193"/>
        <v>40932.11</v>
      </c>
      <c r="L610" s="270">
        <f t="shared" si="193"/>
        <v>44596.5</v>
      </c>
      <c r="M610" s="270">
        <f t="shared" si="193"/>
        <v>53989.59</v>
      </c>
      <c r="N610" s="270">
        <f t="shared" si="193"/>
        <v>58157.06</v>
      </c>
      <c r="O610" s="270">
        <f t="shared" si="193"/>
        <v>58157.06</v>
      </c>
      <c r="P610" s="270">
        <f t="shared" si="193"/>
        <v>58157.06</v>
      </c>
      <c r="Q610" s="270">
        <f t="shared" si="193"/>
        <v>58157.06</v>
      </c>
      <c r="R610" s="270">
        <f t="shared" si="193"/>
        <v>58157.06</v>
      </c>
      <c r="S610" s="270">
        <f t="shared" si="188"/>
        <v>58157.06</v>
      </c>
      <c r="T610" s="270">
        <f t="shared" si="188"/>
        <v>58157.06</v>
      </c>
      <c r="U610" s="270">
        <f t="shared" si="190"/>
        <v>58157.06</v>
      </c>
      <c r="V610" s="270">
        <f t="shared" si="190"/>
        <v>58157.06</v>
      </c>
      <c r="W610" s="270">
        <f t="shared" si="190"/>
        <v>58157.06</v>
      </c>
      <c r="X610" s="270">
        <f t="shared" si="190"/>
        <v>58157.06</v>
      </c>
      <c r="Y610" s="270">
        <f t="shared" si="190"/>
        <v>58157.06</v>
      </c>
      <c r="Z610" s="270">
        <f t="shared" si="190"/>
        <v>58157.06</v>
      </c>
      <c r="AA610" s="270">
        <f t="shared" si="190"/>
        <v>58157.06</v>
      </c>
      <c r="AB610" s="270">
        <f t="shared" si="190"/>
        <v>58157.06</v>
      </c>
      <c r="AC610" s="270">
        <f t="shared" si="190"/>
        <v>58157.06</v>
      </c>
      <c r="AD610" s="270">
        <f t="shared" si="185"/>
        <v>58157.06</v>
      </c>
      <c r="AE610" s="270">
        <f t="shared" si="185"/>
        <v>58157.06</v>
      </c>
      <c r="AF610" s="270">
        <f t="shared" si="191"/>
        <v>58157.06</v>
      </c>
      <c r="AG610" s="270">
        <f t="shared" si="191"/>
        <v>58157.06</v>
      </c>
      <c r="AH610" s="270">
        <f t="shared" si="191"/>
        <v>58157.06</v>
      </c>
      <c r="AI610" s="270">
        <f t="shared" si="191"/>
        <v>58157.06</v>
      </c>
      <c r="AJ610" s="270">
        <f t="shared" si="191"/>
        <v>58157.06</v>
      </c>
      <c r="AK610" s="270">
        <f t="shared" si="191"/>
        <v>58157.06</v>
      </c>
      <c r="AL610" s="270">
        <f t="shared" si="191"/>
        <v>58157.06</v>
      </c>
      <c r="AM610" s="270">
        <f t="shared" si="191"/>
        <v>58157.06</v>
      </c>
    </row>
    <row r="611" spans="2:39" ht="15.75" thickBot="1" x14ac:dyDescent="0.35">
      <c r="B611" s="56" t="str">
        <f>input_names!$C$3</f>
        <v>diesel</v>
      </c>
      <c r="C611" s="61">
        <v>209</v>
      </c>
      <c r="D611" s="270">
        <f t="shared" si="193"/>
        <v>37079</v>
      </c>
      <c r="E611" s="270">
        <f t="shared" si="193"/>
        <v>41994.06</v>
      </c>
      <c r="F611" s="270">
        <f t="shared" si="193"/>
        <v>45190.36</v>
      </c>
      <c r="G611" s="270">
        <f t="shared" si="193"/>
        <v>46717.479999999996</v>
      </c>
      <c r="H611" s="270">
        <f t="shared" si="193"/>
        <v>47047.64</v>
      </c>
      <c r="I611" s="270">
        <f t="shared" si="193"/>
        <v>48862.5</v>
      </c>
      <c r="J611" s="270">
        <f t="shared" si="193"/>
        <v>38455.880000000005</v>
      </c>
      <c r="K611" s="270">
        <f t="shared" si="193"/>
        <v>41466.78</v>
      </c>
      <c r="L611" s="270">
        <f t="shared" si="193"/>
        <v>45138.8</v>
      </c>
      <c r="M611" s="270">
        <f t="shared" si="193"/>
        <v>54644.66</v>
      </c>
      <c r="N611" s="270">
        <f t="shared" si="193"/>
        <v>58834.93</v>
      </c>
      <c r="O611" s="270">
        <f t="shared" si="193"/>
        <v>58834.93</v>
      </c>
      <c r="P611" s="270">
        <f t="shared" si="193"/>
        <v>58834.93</v>
      </c>
      <c r="Q611" s="270">
        <f t="shared" si="193"/>
        <v>58834.93</v>
      </c>
      <c r="R611" s="270">
        <f t="shared" si="193"/>
        <v>58834.93</v>
      </c>
      <c r="S611" s="270">
        <f t="shared" si="188"/>
        <v>58834.93</v>
      </c>
      <c r="T611" s="270">
        <f t="shared" si="188"/>
        <v>58834.93</v>
      </c>
      <c r="U611" s="270">
        <f t="shared" si="190"/>
        <v>58834.93</v>
      </c>
      <c r="V611" s="270">
        <f t="shared" si="190"/>
        <v>58834.93</v>
      </c>
      <c r="W611" s="270">
        <f t="shared" si="190"/>
        <v>58834.93</v>
      </c>
      <c r="X611" s="270">
        <f t="shared" si="190"/>
        <v>58834.93</v>
      </c>
      <c r="Y611" s="270">
        <f t="shared" si="190"/>
        <v>58834.93</v>
      </c>
      <c r="Z611" s="270">
        <f t="shared" si="190"/>
        <v>58834.93</v>
      </c>
      <c r="AA611" s="270">
        <f t="shared" si="190"/>
        <v>58834.93</v>
      </c>
      <c r="AB611" s="270">
        <f t="shared" si="190"/>
        <v>58834.93</v>
      </c>
      <c r="AC611" s="270">
        <f t="shared" si="190"/>
        <v>58834.93</v>
      </c>
      <c r="AD611" s="270">
        <f t="shared" si="185"/>
        <v>58834.93</v>
      </c>
      <c r="AE611" s="270">
        <f t="shared" si="185"/>
        <v>58834.93</v>
      </c>
      <c r="AF611" s="270">
        <f t="shared" si="191"/>
        <v>58834.93</v>
      </c>
      <c r="AG611" s="270">
        <f t="shared" si="191"/>
        <v>58834.93</v>
      </c>
      <c r="AH611" s="270">
        <f t="shared" si="191"/>
        <v>58834.93</v>
      </c>
      <c r="AI611" s="270">
        <f t="shared" si="191"/>
        <v>58834.93</v>
      </c>
      <c r="AJ611" s="270">
        <f t="shared" si="191"/>
        <v>58834.93</v>
      </c>
      <c r="AK611" s="270">
        <f t="shared" si="191"/>
        <v>58834.93</v>
      </c>
      <c r="AL611" s="270">
        <f t="shared" si="191"/>
        <v>58834.93</v>
      </c>
      <c r="AM611" s="270">
        <f t="shared" si="191"/>
        <v>58834.93</v>
      </c>
    </row>
    <row r="612" spans="2:39" ht="15.75" thickBot="1" x14ac:dyDescent="0.35">
      <c r="B612" s="56" t="str">
        <f>input_names!$C$3</f>
        <v>diesel</v>
      </c>
      <c r="C612" s="61">
        <v>210</v>
      </c>
      <c r="D612" s="270">
        <f t="shared" si="193"/>
        <v>37599</v>
      </c>
      <c r="E612" s="270">
        <f t="shared" si="193"/>
        <v>42556.490000000005</v>
      </c>
      <c r="F612" s="270">
        <f t="shared" si="193"/>
        <v>45749.05</v>
      </c>
      <c r="G612" s="270">
        <f t="shared" si="193"/>
        <v>47259.86</v>
      </c>
      <c r="H612" s="270">
        <f t="shared" si="193"/>
        <v>47564.07</v>
      </c>
      <c r="I612" s="270">
        <f t="shared" si="193"/>
        <v>49370.35</v>
      </c>
      <c r="J612" s="270">
        <f t="shared" si="193"/>
        <v>38971.47</v>
      </c>
      <c r="K612" s="270">
        <f t="shared" si="193"/>
        <v>42001.45</v>
      </c>
      <c r="L612" s="270">
        <f t="shared" si="193"/>
        <v>45681.1</v>
      </c>
      <c r="M612" s="270">
        <f t="shared" si="193"/>
        <v>55299.729999999996</v>
      </c>
      <c r="N612" s="270">
        <f t="shared" si="193"/>
        <v>59512.800000000003</v>
      </c>
      <c r="O612" s="270">
        <f t="shared" si="193"/>
        <v>59512.800000000003</v>
      </c>
      <c r="P612" s="270">
        <f t="shared" si="193"/>
        <v>59512.800000000003</v>
      </c>
      <c r="Q612" s="270">
        <f t="shared" si="193"/>
        <v>59512.800000000003</v>
      </c>
      <c r="R612" s="270">
        <f t="shared" si="193"/>
        <v>59512.800000000003</v>
      </c>
      <c r="S612" s="270">
        <f t="shared" si="188"/>
        <v>59512.800000000003</v>
      </c>
      <c r="T612" s="270">
        <f t="shared" si="188"/>
        <v>59512.800000000003</v>
      </c>
      <c r="U612" s="270">
        <f t="shared" si="190"/>
        <v>59512.800000000003</v>
      </c>
      <c r="V612" s="270">
        <f t="shared" si="190"/>
        <v>59512.800000000003</v>
      </c>
      <c r="W612" s="270">
        <f t="shared" si="190"/>
        <v>59512.800000000003</v>
      </c>
      <c r="X612" s="270">
        <f t="shared" si="190"/>
        <v>59512.800000000003</v>
      </c>
      <c r="Y612" s="270">
        <f t="shared" si="190"/>
        <v>59512.800000000003</v>
      </c>
      <c r="Z612" s="270">
        <f t="shared" si="190"/>
        <v>59512.800000000003</v>
      </c>
      <c r="AA612" s="270">
        <f t="shared" si="190"/>
        <v>59512.800000000003</v>
      </c>
      <c r="AB612" s="270">
        <f t="shared" si="190"/>
        <v>59512.800000000003</v>
      </c>
      <c r="AC612" s="270">
        <f t="shared" ref="U612:AC641" si="194">+MIN(MAX(0,$C612-AC$11),AC$12-AC$11)*AC$17
+MIN(MAX(0,$C612-AC$12),AC$13-AC$12)*AC$18
+MIN(MAX(0,$C612-AC$13),AC$14-AC$13)*AC$19
+MIN(MAX(0,$C612-AC$14),AC$15-AC$14)*AC$20
+MAX(0,$C612-AC$15)*AC$21
+AC$24*MAX(0,$C612-AC$23)
+AC$26</f>
        <v>59512.800000000003</v>
      </c>
      <c r="AD612" s="270">
        <f t="shared" si="185"/>
        <v>59512.800000000003</v>
      </c>
      <c r="AE612" s="270">
        <f t="shared" si="185"/>
        <v>59512.800000000003</v>
      </c>
      <c r="AF612" s="270">
        <f t="shared" si="191"/>
        <v>59512.800000000003</v>
      </c>
      <c r="AG612" s="270">
        <f t="shared" si="191"/>
        <v>59512.800000000003</v>
      </c>
      <c r="AH612" s="270">
        <f t="shared" si="191"/>
        <v>59512.800000000003</v>
      </c>
      <c r="AI612" s="270">
        <f t="shared" si="191"/>
        <v>59512.800000000003</v>
      </c>
      <c r="AJ612" s="270">
        <f t="shared" si="191"/>
        <v>59512.800000000003</v>
      </c>
      <c r="AK612" s="270">
        <f t="shared" si="191"/>
        <v>59512.800000000003</v>
      </c>
      <c r="AL612" s="270">
        <f t="shared" si="191"/>
        <v>59512.800000000003</v>
      </c>
      <c r="AM612" s="270">
        <f t="shared" si="191"/>
        <v>59512.800000000003</v>
      </c>
    </row>
    <row r="613" spans="2:39" ht="15.75" thickBot="1" x14ac:dyDescent="0.35">
      <c r="B613" s="56" t="str">
        <f>input_names!$C$3</f>
        <v>diesel</v>
      </c>
      <c r="C613" s="61">
        <v>211</v>
      </c>
      <c r="D613" s="270">
        <f t="shared" si="193"/>
        <v>38119</v>
      </c>
      <c r="E613" s="270">
        <f t="shared" si="193"/>
        <v>43118.92</v>
      </c>
      <c r="F613" s="270">
        <f t="shared" si="193"/>
        <v>46307.74</v>
      </c>
      <c r="G613" s="270">
        <f t="shared" si="193"/>
        <v>47802.239999999998</v>
      </c>
      <c r="H613" s="270">
        <f t="shared" si="193"/>
        <v>48080.5</v>
      </c>
      <c r="I613" s="270">
        <f t="shared" si="193"/>
        <v>49878.2</v>
      </c>
      <c r="J613" s="270">
        <f t="shared" si="193"/>
        <v>39487.06</v>
      </c>
      <c r="K613" s="270">
        <f t="shared" si="193"/>
        <v>42536.12</v>
      </c>
      <c r="L613" s="270">
        <f t="shared" si="193"/>
        <v>46223.4</v>
      </c>
      <c r="M613" s="270">
        <f t="shared" si="193"/>
        <v>55954.8</v>
      </c>
      <c r="N613" s="270">
        <f t="shared" si="193"/>
        <v>60190.67</v>
      </c>
      <c r="O613" s="270">
        <f t="shared" si="193"/>
        <v>60190.67</v>
      </c>
      <c r="P613" s="270">
        <f t="shared" si="193"/>
        <v>60190.67</v>
      </c>
      <c r="Q613" s="270">
        <f t="shared" si="193"/>
        <v>60190.67</v>
      </c>
      <c r="R613" s="270">
        <f t="shared" si="193"/>
        <v>60190.67</v>
      </c>
      <c r="S613" s="270">
        <f t="shared" si="188"/>
        <v>60190.67</v>
      </c>
      <c r="T613" s="270">
        <f t="shared" si="188"/>
        <v>60190.67</v>
      </c>
      <c r="U613" s="270">
        <f t="shared" si="194"/>
        <v>60190.67</v>
      </c>
      <c r="V613" s="270">
        <f t="shared" si="194"/>
        <v>60190.67</v>
      </c>
      <c r="W613" s="270">
        <f t="shared" si="194"/>
        <v>60190.67</v>
      </c>
      <c r="X613" s="270">
        <f t="shared" si="194"/>
        <v>60190.67</v>
      </c>
      <c r="Y613" s="270">
        <f t="shared" si="194"/>
        <v>60190.67</v>
      </c>
      <c r="Z613" s="270">
        <f t="shared" si="194"/>
        <v>60190.67</v>
      </c>
      <c r="AA613" s="270">
        <f t="shared" si="194"/>
        <v>60190.67</v>
      </c>
      <c r="AB613" s="270">
        <f t="shared" si="194"/>
        <v>60190.67</v>
      </c>
      <c r="AC613" s="270">
        <f t="shared" si="194"/>
        <v>60190.67</v>
      </c>
      <c r="AD613" s="270">
        <f t="shared" si="185"/>
        <v>60190.67</v>
      </c>
      <c r="AE613" s="270">
        <f t="shared" si="185"/>
        <v>60190.67</v>
      </c>
      <c r="AF613" s="270">
        <f t="shared" si="191"/>
        <v>60190.67</v>
      </c>
      <c r="AG613" s="270">
        <f t="shared" si="191"/>
        <v>60190.67</v>
      </c>
      <c r="AH613" s="270">
        <f t="shared" si="191"/>
        <v>60190.67</v>
      </c>
      <c r="AI613" s="270">
        <f t="shared" si="191"/>
        <v>60190.67</v>
      </c>
      <c r="AJ613" s="270">
        <f t="shared" si="191"/>
        <v>60190.67</v>
      </c>
      <c r="AK613" s="270">
        <f t="shared" si="191"/>
        <v>60190.67</v>
      </c>
      <c r="AL613" s="270">
        <f t="shared" si="191"/>
        <v>60190.67</v>
      </c>
      <c r="AM613" s="270">
        <f t="shared" si="191"/>
        <v>60190.67</v>
      </c>
    </row>
    <row r="614" spans="2:39" ht="15.75" thickBot="1" x14ac:dyDescent="0.35">
      <c r="B614" s="56" t="str">
        <f>input_names!$C$3</f>
        <v>diesel</v>
      </c>
      <c r="C614" s="61">
        <v>212</v>
      </c>
      <c r="D614" s="270">
        <f t="shared" si="193"/>
        <v>38639</v>
      </c>
      <c r="E614" s="270">
        <f t="shared" si="193"/>
        <v>43681.35</v>
      </c>
      <c r="F614" s="270">
        <f t="shared" si="193"/>
        <v>46866.43</v>
      </c>
      <c r="G614" s="270">
        <f t="shared" si="193"/>
        <v>48344.619999999995</v>
      </c>
      <c r="H614" s="270">
        <f t="shared" si="193"/>
        <v>48596.93</v>
      </c>
      <c r="I614" s="270">
        <f t="shared" si="193"/>
        <v>50386.05</v>
      </c>
      <c r="J614" s="270">
        <f t="shared" si="193"/>
        <v>40002.65</v>
      </c>
      <c r="K614" s="270">
        <f t="shared" si="193"/>
        <v>43070.79</v>
      </c>
      <c r="L614" s="270">
        <f t="shared" si="193"/>
        <v>46765.7</v>
      </c>
      <c r="M614" s="270">
        <f t="shared" si="193"/>
        <v>56609.869999999995</v>
      </c>
      <c r="N614" s="270">
        <f t="shared" si="193"/>
        <v>60868.54</v>
      </c>
      <c r="O614" s="270">
        <f t="shared" si="193"/>
        <v>60868.54</v>
      </c>
      <c r="P614" s="270">
        <f t="shared" si="193"/>
        <v>60868.54</v>
      </c>
      <c r="Q614" s="270">
        <f t="shared" si="193"/>
        <v>60868.54</v>
      </c>
      <c r="R614" s="270">
        <f t="shared" si="193"/>
        <v>60868.54</v>
      </c>
      <c r="S614" s="270">
        <f t="shared" si="188"/>
        <v>60868.54</v>
      </c>
      <c r="T614" s="270">
        <f t="shared" si="188"/>
        <v>60868.54</v>
      </c>
      <c r="U614" s="270">
        <f t="shared" si="194"/>
        <v>60868.54</v>
      </c>
      <c r="V614" s="270">
        <f t="shared" si="194"/>
        <v>60868.54</v>
      </c>
      <c r="W614" s="270">
        <f t="shared" si="194"/>
        <v>60868.54</v>
      </c>
      <c r="X614" s="270">
        <f t="shared" si="194"/>
        <v>60868.54</v>
      </c>
      <c r="Y614" s="270">
        <f t="shared" si="194"/>
        <v>60868.54</v>
      </c>
      <c r="Z614" s="270">
        <f t="shared" si="194"/>
        <v>60868.54</v>
      </c>
      <c r="AA614" s="270">
        <f t="shared" si="194"/>
        <v>60868.54</v>
      </c>
      <c r="AB614" s="270">
        <f t="shared" si="194"/>
        <v>60868.54</v>
      </c>
      <c r="AC614" s="270">
        <f t="shared" si="194"/>
        <v>60868.54</v>
      </c>
      <c r="AD614" s="270">
        <f t="shared" si="185"/>
        <v>60868.54</v>
      </c>
      <c r="AE614" s="270">
        <f t="shared" si="185"/>
        <v>60868.54</v>
      </c>
      <c r="AF614" s="270">
        <f t="shared" si="191"/>
        <v>60868.54</v>
      </c>
      <c r="AG614" s="270">
        <f t="shared" si="191"/>
        <v>60868.54</v>
      </c>
      <c r="AH614" s="270">
        <f t="shared" si="191"/>
        <v>60868.54</v>
      </c>
      <c r="AI614" s="270">
        <f t="shared" si="191"/>
        <v>60868.54</v>
      </c>
      <c r="AJ614" s="270">
        <f t="shared" si="191"/>
        <v>60868.54</v>
      </c>
      <c r="AK614" s="270">
        <f t="shared" si="191"/>
        <v>60868.54</v>
      </c>
      <c r="AL614" s="270">
        <f t="shared" si="191"/>
        <v>60868.54</v>
      </c>
      <c r="AM614" s="270">
        <f t="shared" si="191"/>
        <v>60868.54</v>
      </c>
    </row>
    <row r="615" spans="2:39" ht="15.75" thickBot="1" x14ac:dyDescent="0.35">
      <c r="B615" s="56" t="str">
        <f>input_names!$C$3</f>
        <v>diesel</v>
      </c>
      <c r="C615" s="61">
        <v>213</v>
      </c>
      <c r="D615" s="270">
        <f t="shared" si="193"/>
        <v>39159</v>
      </c>
      <c r="E615" s="270">
        <f t="shared" si="193"/>
        <v>44243.78</v>
      </c>
      <c r="F615" s="270">
        <f t="shared" si="193"/>
        <v>47425.119999999995</v>
      </c>
      <c r="G615" s="270">
        <f t="shared" si="193"/>
        <v>48887</v>
      </c>
      <c r="H615" s="270">
        <f t="shared" si="193"/>
        <v>49113.36</v>
      </c>
      <c r="I615" s="270">
        <f t="shared" si="193"/>
        <v>50893.9</v>
      </c>
      <c r="J615" s="270">
        <f t="shared" si="193"/>
        <v>40518.239999999998</v>
      </c>
      <c r="K615" s="270">
        <f t="shared" si="193"/>
        <v>43605.46</v>
      </c>
      <c r="L615" s="270">
        <f t="shared" si="193"/>
        <v>47308</v>
      </c>
      <c r="M615" s="270">
        <f t="shared" si="193"/>
        <v>57264.94</v>
      </c>
      <c r="N615" s="270">
        <f t="shared" si="193"/>
        <v>61546.41</v>
      </c>
      <c r="O615" s="270">
        <f t="shared" si="193"/>
        <v>61546.41</v>
      </c>
      <c r="P615" s="270">
        <f t="shared" si="193"/>
        <v>61546.41</v>
      </c>
      <c r="Q615" s="270">
        <f t="shared" si="193"/>
        <v>61546.41</v>
      </c>
      <c r="R615" s="270">
        <f t="shared" si="193"/>
        <v>61546.41</v>
      </c>
      <c r="S615" s="270">
        <f t="shared" si="188"/>
        <v>61546.41</v>
      </c>
      <c r="T615" s="270">
        <f t="shared" si="188"/>
        <v>61546.41</v>
      </c>
      <c r="U615" s="270">
        <f t="shared" si="194"/>
        <v>61546.41</v>
      </c>
      <c r="V615" s="270">
        <f t="shared" si="194"/>
        <v>61546.41</v>
      </c>
      <c r="W615" s="270">
        <f t="shared" si="194"/>
        <v>61546.41</v>
      </c>
      <c r="X615" s="270">
        <f t="shared" si="194"/>
        <v>61546.41</v>
      </c>
      <c r="Y615" s="270">
        <f t="shared" si="194"/>
        <v>61546.41</v>
      </c>
      <c r="Z615" s="270">
        <f t="shared" si="194"/>
        <v>61546.41</v>
      </c>
      <c r="AA615" s="270">
        <f t="shared" si="194"/>
        <v>61546.41</v>
      </c>
      <c r="AB615" s="270">
        <f t="shared" si="194"/>
        <v>61546.41</v>
      </c>
      <c r="AC615" s="270">
        <f t="shared" si="194"/>
        <v>61546.41</v>
      </c>
      <c r="AD615" s="270">
        <f t="shared" si="185"/>
        <v>61546.41</v>
      </c>
      <c r="AE615" s="270">
        <f t="shared" si="185"/>
        <v>61546.41</v>
      </c>
      <c r="AF615" s="270">
        <f t="shared" si="191"/>
        <v>61546.41</v>
      </c>
      <c r="AG615" s="270">
        <f t="shared" si="191"/>
        <v>61546.41</v>
      </c>
      <c r="AH615" s="270">
        <f t="shared" si="191"/>
        <v>61546.41</v>
      </c>
      <c r="AI615" s="270">
        <f t="shared" si="191"/>
        <v>61546.41</v>
      </c>
      <c r="AJ615" s="270">
        <f t="shared" si="191"/>
        <v>61546.41</v>
      </c>
      <c r="AK615" s="270">
        <f t="shared" si="191"/>
        <v>61546.41</v>
      </c>
      <c r="AL615" s="270">
        <f t="shared" si="191"/>
        <v>61546.41</v>
      </c>
      <c r="AM615" s="270">
        <f t="shared" si="191"/>
        <v>61546.41</v>
      </c>
    </row>
    <row r="616" spans="2:39" ht="15.75" thickBot="1" x14ac:dyDescent="0.35">
      <c r="B616" s="56" t="str">
        <f>input_names!$C$3</f>
        <v>diesel</v>
      </c>
      <c r="C616" s="61">
        <v>214</v>
      </c>
      <c r="D616" s="270">
        <f t="shared" si="193"/>
        <v>39679</v>
      </c>
      <c r="E616" s="270">
        <f t="shared" si="193"/>
        <v>44806.21</v>
      </c>
      <c r="F616" s="270">
        <f t="shared" si="193"/>
        <v>47983.81</v>
      </c>
      <c r="G616" s="270">
        <f t="shared" si="193"/>
        <v>49429.38</v>
      </c>
      <c r="H616" s="270">
        <f t="shared" si="193"/>
        <v>49629.79</v>
      </c>
      <c r="I616" s="270">
        <f t="shared" si="193"/>
        <v>51401.75</v>
      </c>
      <c r="J616" s="270">
        <f t="shared" si="193"/>
        <v>41033.83</v>
      </c>
      <c r="K616" s="270">
        <f t="shared" si="193"/>
        <v>44140.130000000005</v>
      </c>
      <c r="L616" s="270">
        <f t="shared" si="193"/>
        <v>47850.3</v>
      </c>
      <c r="M616" s="270">
        <f t="shared" si="193"/>
        <v>57920.009999999995</v>
      </c>
      <c r="N616" s="270">
        <f t="shared" si="193"/>
        <v>62224.28</v>
      </c>
      <c r="O616" s="270">
        <f t="shared" si="193"/>
        <v>62224.28</v>
      </c>
      <c r="P616" s="270">
        <f t="shared" si="193"/>
        <v>62224.28</v>
      </c>
      <c r="Q616" s="270">
        <f t="shared" si="193"/>
        <v>62224.28</v>
      </c>
      <c r="R616" s="270">
        <f t="shared" si="193"/>
        <v>62224.28</v>
      </c>
      <c r="S616" s="270">
        <f t="shared" si="188"/>
        <v>62224.28</v>
      </c>
      <c r="T616" s="270">
        <f t="shared" si="188"/>
        <v>62224.28</v>
      </c>
      <c r="U616" s="270">
        <f t="shared" si="194"/>
        <v>62224.28</v>
      </c>
      <c r="V616" s="270">
        <f t="shared" si="194"/>
        <v>62224.28</v>
      </c>
      <c r="W616" s="270">
        <f t="shared" si="194"/>
        <v>62224.28</v>
      </c>
      <c r="X616" s="270">
        <f t="shared" si="194"/>
        <v>62224.28</v>
      </c>
      <c r="Y616" s="270">
        <f t="shared" si="194"/>
        <v>62224.28</v>
      </c>
      <c r="Z616" s="270">
        <f t="shared" si="194"/>
        <v>62224.28</v>
      </c>
      <c r="AA616" s="270">
        <f t="shared" si="194"/>
        <v>62224.28</v>
      </c>
      <c r="AB616" s="270">
        <f t="shared" si="194"/>
        <v>62224.28</v>
      </c>
      <c r="AC616" s="270">
        <f t="shared" si="194"/>
        <v>62224.28</v>
      </c>
      <c r="AD616" s="270">
        <f t="shared" si="185"/>
        <v>62224.28</v>
      </c>
      <c r="AE616" s="270">
        <f t="shared" si="185"/>
        <v>62224.28</v>
      </c>
      <c r="AF616" s="270">
        <f t="shared" si="191"/>
        <v>62224.28</v>
      </c>
      <c r="AG616" s="270">
        <f t="shared" si="191"/>
        <v>62224.28</v>
      </c>
      <c r="AH616" s="270">
        <f t="shared" si="191"/>
        <v>62224.28</v>
      </c>
      <c r="AI616" s="270">
        <f t="shared" si="191"/>
        <v>62224.28</v>
      </c>
      <c r="AJ616" s="270">
        <f t="shared" si="191"/>
        <v>62224.28</v>
      </c>
      <c r="AK616" s="270">
        <f t="shared" si="191"/>
        <v>62224.28</v>
      </c>
      <c r="AL616" s="270">
        <f t="shared" si="191"/>
        <v>62224.28</v>
      </c>
      <c r="AM616" s="270">
        <f t="shared" si="191"/>
        <v>62224.28</v>
      </c>
    </row>
    <row r="617" spans="2:39" ht="15.75" thickBot="1" x14ac:dyDescent="0.35">
      <c r="B617" s="56" t="str">
        <f>input_names!$C$3</f>
        <v>diesel</v>
      </c>
      <c r="C617" s="61">
        <v>215</v>
      </c>
      <c r="D617" s="270">
        <f t="shared" si="193"/>
        <v>40199</v>
      </c>
      <c r="E617" s="270">
        <f t="shared" si="193"/>
        <v>45368.639999999999</v>
      </c>
      <c r="F617" s="270">
        <f t="shared" si="193"/>
        <v>48542.5</v>
      </c>
      <c r="G617" s="270">
        <f t="shared" si="193"/>
        <v>49971.759999999995</v>
      </c>
      <c r="H617" s="270">
        <f t="shared" si="193"/>
        <v>50146.22</v>
      </c>
      <c r="I617" s="270">
        <f t="shared" si="193"/>
        <v>51909.599999999999</v>
      </c>
      <c r="J617" s="270">
        <f t="shared" si="193"/>
        <v>41549.42</v>
      </c>
      <c r="K617" s="270">
        <f t="shared" si="193"/>
        <v>44674.8</v>
      </c>
      <c r="L617" s="270">
        <f t="shared" si="193"/>
        <v>48392.6</v>
      </c>
      <c r="M617" s="270">
        <f t="shared" si="193"/>
        <v>58575.08</v>
      </c>
      <c r="N617" s="270">
        <f t="shared" si="193"/>
        <v>62902.15</v>
      </c>
      <c r="O617" s="270">
        <f t="shared" si="193"/>
        <v>62902.15</v>
      </c>
      <c r="P617" s="270">
        <f t="shared" si="193"/>
        <v>62902.15</v>
      </c>
      <c r="Q617" s="270">
        <f t="shared" si="193"/>
        <v>62902.15</v>
      </c>
      <c r="R617" s="270">
        <f t="shared" si="193"/>
        <v>62902.15</v>
      </c>
      <c r="S617" s="270">
        <f t="shared" si="188"/>
        <v>62902.15</v>
      </c>
      <c r="T617" s="270">
        <f t="shared" si="188"/>
        <v>62902.15</v>
      </c>
      <c r="U617" s="270">
        <f t="shared" si="194"/>
        <v>62902.15</v>
      </c>
      <c r="V617" s="270">
        <f t="shared" si="194"/>
        <v>62902.15</v>
      </c>
      <c r="W617" s="270">
        <f t="shared" si="194"/>
        <v>62902.15</v>
      </c>
      <c r="X617" s="270">
        <f t="shared" si="194"/>
        <v>62902.15</v>
      </c>
      <c r="Y617" s="270">
        <f t="shared" si="194"/>
        <v>62902.15</v>
      </c>
      <c r="Z617" s="270">
        <f t="shared" si="194"/>
        <v>62902.15</v>
      </c>
      <c r="AA617" s="270">
        <f t="shared" si="194"/>
        <v>62902.15</v>
      </c>
      <c r="AB617" s="270">
        <f t="shared" si="194"/>
        <v>62902.15</v>
      </c>
      <c r="AC617" s="270">
        <f t="shared" si="194"/>
        <v>62902.15</v>
      </c>
      <c r="AD617" s="270">
        <f t="shared" si="185"/>
        <v>62902.15</v>
      </c>
      <c r="AE617" s="270">
        <f t="shared" si="185"/>
        <v>62902.15</v>
      </c>
      <c r="AF617" s="270">
        <f t="shared" si="191"/>
        <v>62902.15</v>
      </c>
      <c r="AG617" s="270">
        <f t="shared" si="191"/>
        <v>62902.15</v>
      </c>
      <c r="AH617" s="270">
        <f t="shared" si="191"/>
        <v>62902.15</v>
      </c>
      <c r="AI617" s="270">
        <f t="shared" si="191"/>
        <v>62902.15</v>
      </c>
      <c r="AJ617" s="270">
        <f t="shared" si="191"/>
        <v>62902.15</v>
      </c>
      <c r="AK617" s="270">
        <f t="shared" si="191"/>
        <v>62902.15</v>
      </c>
      <c r="AL617" s="270">
        <f t="shared" si="191"/>
        <v>62902.15</v>
      </c>
      <c r="AM617" s="270">
        <f t="shared" si="191"/>
        <v>62902.15</v>
      </c>
    </row>
    <row r="618" spans="2:39" ht="15.75" thickBot="1" x14ac:dyDescent="0.35">
      <c r="B618" s="56" t="str">
        <f>input_names!$C$3</f>
        <v>diesel</v>
      </c>
      <c r="C618" s="61">
        <v>216</v>
      </c>
      <c r="D618" s="270">
        <f t="shared" si="193"/>
        <v>40719</v>
      </c>
      <c r="E618" s="270">
        <f t="shared" si="193"/>
        <v>45931.07</v>
      </c>
      <c r="F618" s="270">
        <f t="shared" si="193"/>
        <v>49101.19</v>
      </c>
      <c r="G618" s="270">
        <f t="shared" si="193"/>
        <v>50514.14</v>
      </c>
      <c r="H618" s="270">
        <f t="shared" si="193"/>
        <v>50662.65</v>
      </c>
      <c r="I618" s="270">
        <f t="shared" si="193"/>
        <v>52417.45</v>
      </c>
      <c r="J618" s="270">
        <f t="shared" si="193"/>
        <v>42065.01</v>
      </c>
      <c r="K618" s="270">
        <f t="shared" si="193"/>
        <v>45209.47</v>
      </c>
      <c r="L618" s="270">
        <f t="shared" si="193"/>
        <v>48934.9</v>
      </c>
      <c r="M618" s="270">
        <f t="shared" si="193"/>
        <v>59230.15</v>
      </c>
      <c r="N618" s="270">
        <f t="shared" si="193"/>
        <v>63580.020000000004</v>
      </c>
      <c r="O618" s="270">
        <f t="shared" si="193"/>
        <v>63580.020000000004</v>
      </c>
      <c r="P618" s="270">
        <f t="shared" si="193"/>
        <v>63580.020000000004</v>
      </c>
      <c r="Q618" s="270">
        <f t="shared" si="193"/>
        <v>63580.020000000004</v>
      </c>
      <c r="R618" s="270">
        <f t="shared" si="193"/>
        <v>63580.020000000004</v>
      </c>
      <c r="S618" s="270">
        <f t="shared" si="188"/>
        <v>63580.020000000004</v>
      </c>
      <c r="T618" s="270">
        <f t="shared" si="188"/>
        <v>63580.020000000004</v>
      </c>
      <c r="U618" s="270">
        <f t="shared" si="194"/>
        <v>63580.020000000004</v>
      </c>
      <c r="V618" s="270">
        <f t="shared" si="194"/>
        <v>63580.020000000004</v>
      </c>
      <c r="W618" s="270">
        <f t="shared" si="194"/>
        <v>63580.020000000004</v>
      </c>
      <c r="X618" s="270">
        <f t="shared" si="194"/>
        <v>63580.020000000004</v>
      </c>
      <c r="Y618" s="270">
        <f t="shared" si="194"/>
        <v>63580.020000000004</v>
      </c>
      <c r="Z618" s="270">
        <f t="shared" si="194"/>
        <v>63580.020000000004</v>
      </c>
      <c r="AA618" s="270">
        <f t="shared" si="194"/>
        <v>63580.020000000004</v>
      </c>
      <c r="AB618" s="270">
        <f t="shared" si="194"/>
        <v>63580.020000000004</v>
      </c>
      <c r="AC618" s="270">
        <f t="shared" si="194"/>
        <v>63580.020000000004</v>
      </c>
      <c r="AD618" s="270">
        <f t="shared" si="185"/>
        <v>63580.020000000004</v>
      </c>
      <c r="AE618" s="270">
        <f t="shared" si="185"/>
        <v>63580.020000000004</v>
      </c>
      <c r="AF618" s="270">
        <f t="shared" si="191"/>
        <v>63580.020000000004</v>
      </c>
      <c r="AG618" s="270">
        <f t="shared" si="191"/>
        <v>63580.020000000004</v>
      </c>
      <c r="AH618" s="270">
        <f t="shared" si="191"/>
        <v>63580.020000000004</v>
      </c>
      <c r="AI618" s="270">
        <f t="shared" si="191"/>
        <v>63580.020000000004</v>
      </c>
      <c r="AJ618" s="270">
        <f t="shared" si="191"/>
        <v>63580.020000000004</v>
      </c>
      <c r="AK618" s="270">
        <f t="shared" si="191"/>
        <v>63580.020000000004</v>
      </c>
      <c r="AL618" s="270">
        <f t="shared" si="191"/>
        <v>63580.020000000004</v>
      </c>
      <c r="AM618" s="270">
        <f t="shared" si="191"/>
        <v>63580.020000000004</v>
      </c>
    </row>
    <row r="619" spans="2:39" ht="15.75" thickBot="1" x14ac:dyDescent="0.35">
      <c r="B619" s="56" t="str">
        <f>input_names!$C$3</f>
        <v>diesel</v>
      </c>
      <c r="C619" s="61">
        <v>217</v>
      </c>
      <c r="D619" s="270">
        <f t="shared" si="193"/>
        <v>41239</v>
      </c>
      <c r="E619" s="270">
        <f t="shared" si="193"/>
        <v>46493.5</v>
      </c>
      <c r="F619" s="270">
        <f t="shared" si="193"/>
        <v>49659.88</v>
      </c>
      <c r="G619" s="270">
        <f t="shared" si="193"/>
        <v>51056.52</v>
      </c>
      <c r="H619" s="270">
        <f t="shared" si="193"/>
        <v>51179.08</v>
      </c>
      <c r="I619" s="270">
        <f t="shared" si="193"/>
        <v>52925.3</v>
      </c>
      <c r="J619" s="270">
        <f t="shared" si="193"/>
        <v>42580.6</v>
      </c>
      <c r="K619" s="270">
        <f t="shared" si="193"/>
        <v>45744.14</v>
      </c>
      <c r="L619" s="270">
        <f t="shared" si="193"/>
        <v>49477.2</v>
      </c>
      <c r="M619" s="270">
        <f t="shared" si="193"/>
        <v>59885.22</v>
      </c>
      <c r="N619" s="270">
        <f t="shared" si="193"/>
        <v>64257.89</v>
      </c>
      <c r="O619" s="270">
        <f t="shared" si="193"/>
        <v>64257.89</v>
      </c>
      <c r="P619" s="270">
        <f t="shared" si="193"/>
        <v>64257.89</v>
      </c>
      <c r="Q619" s="270">
        <f t="shared" si="193"/>
        <v>64257.89</v>
      </c>
      <c r="R619" s="270">
        <f t="shared" si="193"/>
        <v>64257.89</v>
      </c>
      <c r="S619" s="270">
        <f t="shared" si="193"/>
        <v>64257.89</v>
      </c>
      <c r="T619" s="270">
        <f t="shared" si="193"/>
        <v>64257.89</v>
      </c>
      <c r="U619" s="270">
        <f t="shared" si="194"/>
        <v>64257.89</v>
      </c>
      <c r="V619" s="270">
        <f t="shared" si="194"/>
        <v>64257.89</v>
      </c>
      <c r="W619" s="270">
        <f t="shared" si="194"/>
        <v>64257.89</v>
      </c>
      <c r="X619" s="270">
        <f t="shared" si="194"/>
        <v>64257.89</v>
      </c>
      <c r="Y619" s="270">
        <f t="shared" si="194"/>
        <v>64257.89</v>
      </c>
      <c r="Z619" s="270">
        <f t="shared" si="194"/>
        <v>64257.89</v>
      </c>
      <c r="AA619" s="270">
        <f t="shared" si="194"/>
        <v>64257.89</v>
      </c>
      <c r="AB619" s="270">
        <f t="shared" si="194"/>
        <v>64257.89</v>
      </c>
      <c r="AC619" s="270">
        <f t="shared" si="194"/>
        <v>64257.89</v>
      </c>
      <c r="AD619" s="270">
        <f t="shared" si="185"/>
        <v>64257.89</v>
      </c>
      <c r="AE619" s="270">
        <f t="shared" si="185"/>
        <v>64257.89</v>
      </c>
      <c r="AF619" s="270">
        <f t="shared" si="191"/>
        <v>64257.89</v>
      </c>
      <c r="AG619" s="270">
        <f t="shared" si="191"/>
        <v>64257.89</v>
      </c>
      <c r="AH619" s="270">
        <f t="shared" si="191"/>
        <v>64257.89</v>
      </c>
      <c r="AI619" s="270">
        <f t="shared" si="191"/>
        <v>64257.89</v>
      </c>
      <c r="AJ619" s="270">
        <f t="shared" si="191"/>
        <v>64257.89</v>
      </c>
      <c r="AK619" s="270">
        <f t="shared" si="191"/>
        <v>64257.89</v>
      </c>
      <c r="AL619" s="270">
        <f t="shared" si="191"/>
        <v>64257.89</v>
      </c>
      <c r="AM619" s="270">
        <f t="shared" si="191"/>
        <v>64257.89</v>
      </c>
    </row>
    <row r="620" spans="2:39" ht="15.75" thickBot="1" x14ac:dyDescent="0.35">
      <c r="B620" s="56" t="str">
        <f>input_names!$C$3</f>
        <v>diesel</v>
      </c>
      <c r="C620" s="61">
        <v>218</v>
      </c>
      <c r="D620" s="270">
        <f t="shared" si="193"/>
        <v>41759</v>
      </c>
      <c r="E620" s="270">
        <f t="shared" si="193"/>
        <v>47055.93</v>
      </c>
      <c r="F620" s="270">
        <f t="shared" si="193"/>
        <v>50218.57</v>
      </c>
      <c r="G620" s="270">
        <f t="shared" si="193"/>
        <v>51598.9</v>
      </c>
      <c r="H620" s="270">
        <f t="shared" si="193"/>
        <v>51695.51</v>
      </c>
      <c r="I620" s="270">
        <f t="shared" si="193"/>
        <v>53433.15</v>
      </c>
      <c r="J620" s="270">
        <f t="shared" si="193"/>
        <v>43096.19</v>
      </c>
      <c r="K620" s="270">
        <f t="shared" si="193"/>
        <v>46278.81</v>
      </c>
      <c r="L620" s="270">
        <f t="shared" si="193"/>
        <v>50019.5</v>
      </c>
      <c r="M620" s="270">
        <f t="shared" si="193"/>
        <v>60540.29</v>
      </c>
      <c r="N620" s="270">
        <f t="shared" si="193"/>
        <v>64935.76</v>
      </c>
      <c r="O620" s="270">
        <f t="shared" si="193"/>
        <v>64935.76</v>
      </c>
      <c r="P620" s="270">
        <f t="shared" si="193"/>
        <v>64935.76</v>
      </c>
      <c r="Q620" s="270">
        <f t="shared" si="193"/>
        <v>64935.76</v>
      </c>
      <c r="R620" s="270">
        <f t="shared" si="193"/>
        <v>64935.76</v>
      </c>
      <c r="S620" s="270">
        <f t="shared" si="193"/>
        <v>64935.76</v>
      </c>
      <c r="T620" s="270">
        <f t="shared" si="193"/>
        <v>64935.76</v>
      </c>
      <c r="U620" s="270">
        <f t="shared" si="194"/>
        <v>64935.76</v>
      </c>
      <c r="V620" s="270">
        <f t="shared" si="194"/>
        <v>64935.76</v>
      </c>
      <c r="W620" s="270">
        <f t="shared" si="194"/>
        <v>64935.76</v>
      </c>
      <c r="X620" s="270">
        <f t="shared" si="194"/>
        <v>64935.76</v>
      </c>
      <c r="Y620" s="270">
        <f t="shared" si="194"/>
        <v>64935.76</v>
      </c>
      <c r="Z620" s="270">
        <f t="shared" si="194"/>
        <v>64935.76</v>
      </c>
      <c r="AA620" s="270">
        <f t="shared" si="194"/>
        <v>64935.76</v>
      </c>
      <c r="AB620" s="270">
        <f t="shared" si="194"/>
        <v>64935.76</v>
      </c>
      <c r="AC620" s="270">
        <f t="shared" si="194"/>
        <v>64935.76</v>
      </c>
      <c r="AD620" s="270">
        <f t="shared" si="185"/>
        <v>64935.76</v>
      </c>
      <c r="AE620" s="270">
        <f t="shared" si="185"/>
        <v>64935.76</v>
      </c>
      <c r="AF620" s="270">
        <f t="shared" si="191"/>
        <v>64935.76</v>
      </c>
      <c r="AG620" s="270">
        <f t="shared" si="191"/>
        <v>64935.76</v>
      </c>
      <c r="AH620" s="270">
        <f t="shared" si="191"/>
        <v>64935.76</v>
      </c>
      <c r="AI620" s="270">
        <f t="shared" si="191"/>
        <v>64935.76</v>
      </c>
      <c r="AJ620" s="270">
        <f t="shared" si="191"/>
        <v>64935.76</v>
      </c>
      <c r="AK620" s="270">
        <f t="shared" si="191"/>
        <v>64935.76</v>
      </c>
      <c r="AL620" s="270">
        <f t="shared" si="191"/>
        <v>64935.76</v>
      </c>
      <c r="AM620" s="270">
        <f t="shared" si="191"/>
        <v>64935.76</v>
      </c>
    </row>
    <row r="621" spans="2:39" ht="15.75" thickBot="1" x14ac:dyDescent="0.35">
      <c r="B621" s="56" t="str">
        <f>input_names!$C$3</f>
        <v>diesel</v>
      </c>
      <c r="C621" s="61">
        <v>219</v>
      </c>
      <c r="D621" s="270">
        <f t="shared" si="193"/>
        <v>42279</v>
      </c>
      <c r="E621" s="270">
        <f t="shared" si="193"/>
        <v>47618.36</v>
      </c>
      <c r="F621" s="270">
        <f t="shared" si="193"/>
        <v>50777.26</v>
      </c>
      <c r="G621" s="270">
        <f t="shared" si="193"/>
        <v>52141.279999999999</v>
      </c>
      <c r="H621" s="270">
        <f t="shared" si="193"/>
        <v>52211.94</v>
      </c>
      <c r="I621" s="270">
        <f t="shared" si="193"/>
        <v>53941</v>
      </c>
      <c r="J621" s="270">
        <f t="shared" si="193"/>
        <v>43611.78</v>
      </c>
      <c r="K621" s="270">
        <f t="shared" si="193"/>
        <v>46813.479999999996</v>
      </c>
      <c r="L621" s="270">
        <f t="shared" si="193"/>
        <v>50561.8</v>
      </c>
      <c r="M621" s="270">
        <f t="shared" si="193"/>
        <v>61195.360000000001</v>
      </c>
      <c r="N621" s="270">
        <f t="shared" si="193"/>
        <v>65613.63</v>
      </c>
      <c r="O621" s="270">
        <f t="shared" si="193"/>
        <v>65613.63</v>
      </c>
      <c r="P621" s="270">
        <f t="shared" si="193"/>
        <v>65613.63</v>
      </c>
      <c r="Q621" s="270">
        <f t="shared" si="193"/>
        <v>65613.63</v>
      </c>
      <c r="R621" s="270">
        <f t="shared" si="193"/>
        <v>65613.63</v>
      </c>
      <c r="S621" s="270">
        <f t="shared" si="193"/>
        <v>65613.63</v>
      </c>
      <c r="T621" s="270">
        <f t="shared" si="193"/>
        <v>65613.63</v>
      </c>
      <c r="U621" s="270">
        <f t="shared" si="194"/>
        <v>65613.63</v>
      </c>
      <c r="V621" s="270">
        <f t="shared" si="194"/>
        <v>65613.63</v>
      </c>
      <c r="W621" s="270">
        <f t="shared" si="194"/>
        <v>65613.63</v>
      </c>
      <c r="X621" s="270">
        <f t="shared" si="194"/>
        <v>65613.63</v>
      </c>
      <c r="Y621" s="270">
        <f t="shared" si="194"/>
        <v>65613.63</v>
      </c>
      <c r="Z621" s="270">
        <f t="shared" si="194"/>
        <v>65613.63</v>
      </c>
      <c r="AA621" s="270">
        <f t="shared" si="194"/>
        <v>65613.63</v>
      </c>
      <c r="AB621" s="270">
        <f t="shared" si="194"/>
        <v>65613.63</v>
      </c>
      <c r="AC621" s="270">
        <f t="shared" si="194"/>
        <v>65613.63</v>
      </c>
      <c r="AD621" s="270">
        <f t="shared" si="185"/>
        <v>65613.63</v>
      </c>
      <c r="AE621" s="270">
        <f t="shared" si="185"/>
        <v>65613.63</v>
      </c>
      <c r="AF621" s="270">
        <f t="shared" si="191"/>
        <v>65613.63</v>
      </c>
      <c r="AG621" s="270">
        <f t="shared" ref="AF621:AM649" si="195">+MIN(MAX(0,$C621-AG$11),AG$12-AG$11)*AG$17
+MIN(MAX(0,$C621-AG$12),AG$13-AG$12)*AG$18
+MIN(MAX(0,$C621-AG$13),AG$14-AG$13)*AG$19
+MIN(MAX(0,$C621-AG$14),AG$15-AG$14)*AG$20
+MAX(0,$C621-AG$15)*AG$21
+AG$24*MAX(0,$C621-AG$23)
+AG$26</f>
        <v>65613.63</v>
      </c>
      <c r="AH621" s="270">
        <f t="shared" si="195"/>
        <v>65613.63</v>
      </c>
      <c r="AI621" s="270">
        <f t="shared" si="195"/>
        <v>65613.63</v>
      </c>
      <c r="AJ621" s="270">
        <f t="shared" si="195"/>
        <v>65613.63</v>
      </c>
      <c r="AK621" s="270">
        <f t="shared" si="195"/>
        <v>65613.63</v>
      </c>
      <c r="AL621" s="270">
        <f t="shared" si="195"/>
        <v>65613.63</v>
      </c>
      <c r="AM621" s="270">
        <f t="shared" si="195"/>
        <v>65613.63</v>
      </c>
    </row>
    <row r="622" spans="2:39" ht="15.75" thickBot="1" x14ac:dyDescent="0.35">
      <c r="B622" s="56" t="str">
        <f>input_names!$C$3</f>
        <v>diesel</v>
      </c>
      <c r="C622" s="61">
        <v>220</v>
      </c>
      <c r="D622" s="270">
        <f t="shared" si="193"/>
        <v>42799</v>
      </c>
      <c r="E622" s="270">
        <f t="shared" si="193"/>
        <v>48180.79</v>
      </c>
      <c r="F622" s="270">
        <f t="shared" si="193"/>
        <v>51335.95</v>
      </c>
      <c r="G622" s="270">
        <f t="shared" si="193"/>
        <v>52683.66</v>
      </c>
      <c r="H622" s="270">
        <f t="shared" si="193"/>
        <v>52728.37</v>
      </c>
      <c r="I622" s="270">
        <f t="shared" si="193"/>
        <v>54448.85</v>
      </c>
      <c r="J622" s="270">
        <f t="shared" si="193"/>
        <v>44127.37</v>
      </c>
      <c r="K622" s="270">
        <f t="shared" si="193"/>
        <v>47348.15</v>
      </c>
      <c r="L622" s="270">
        <f t="shared" si="193"/>
        <v>51104.1</v>
      </c>
      <c r="M622" s="270">
        <f t="shared" si="193"/>
        <v>61850.43</v>
      </c>
      <c r="N622" s="270">
        <f t="shared" si="193"/>
        <v>66291.5</v>
      </c>
      <c r="O622" s="270">
        <f t="shared" si="193"/>
        <v>66291.5</v>
      </c>
      <c r="P622" s="270">
        <f t="shared" si="193"/>
        <v>66291.5</v>
      </c>
      <c r="Q622" s="270">
        <f t="shared" si="193"/>
        <v>66291.5</v>
      </c>
      <c r="R622" s="270">
        <f t="shared" si="193"/>
        <v>66291.5</v>
      </c>
      <c r="S622" s="270">
        <f t="shared" si="193"/>
        <v>66291.5</v>
      </c>
      <c r="T622" s="270">
        <f t="shared" si="193"/>
        <v>66291.5</v>
      </c>
      <c r="U622" s="270">
        <f t="shared" si="194"/>
        <v>66291.5</v>
      </c>
      <c r="V622" s="270">
        <f t="shared" si="194"/>
        <v>66291.5</v>
      </c>
      <c r="W622" s="270">
        <f t="shared" si="194"/>
        <v>66291.5</v>
      </c>
      <c r="X622" s="270">
        <f t="shared" si="194"/>
        <v>66291.5</v>
      </c>
      <c r="Y622" s="270">
        <f t="shared" si="194"/>
        <v>66291.5</v>
      </c>
      <c r="Z622" s="270">
        <f t="shared" si="194"/>
        <v>66291.5</v>
      </c>
      <c r="AA622" s="270">
        <f t="shared" si="194"/>
        <v>66291.5</v>
      </c>
      <c r="AB622" s="270">
        <f t="shared" si="194"/>
        <v>66291.5</v>
      </c>
      <c r="AC622" s="270">
        <f t="shared" si="194"/>
        <v>66291.5</v>
      </c>
      <c r="AD622" s="270">
        <f t="shared" si="185"/>
        <v>66291.5</v>
      </c>
      <c r="AE622" s="270">
        <f t="shared" si="185"/>
        <v>66291.5</v>
      </c>
      <c r="AF622" s="270">
        <f t="shared" si="195"/>
        <v>66291.5</v>
      </c>
      <c r="AG622" s="270">
        <f t="shared" si="195"/>
        <v>66291.5</v>
      </c>
      <c r="AH622" s="270">
        <f t="shared" si="195"/>
        <v>66291.5</v>
      </c>
      <c r="AI622" s="270">
        <f t="shared" si="195"/>
        <v>66291.5</v>
      </c>
      <c r="AJ622" s="270">
        <f t="shared" si="195"/>
        <v>66291.5</v>
      </c>
      <c r="AK622" s="270">
        <f t="shared" si="195"/>
        <v>66291.5</v>
      </c>
      <c r="AL622" s="270">
        <f t="shared" si="195"/>
        <v>66291.5</v>
      </c>
      <c r="AM622" s="270">
        <f t="shared" si="195"/>
        <v>66291.5</v>
      </c>
    </row>
    <row r="623" spans="2:39" ht="15.75" thickBot="1" x14ac:dyDescent="0.35">
      <c r="B623" s="56" t="str">
        <f>input_names!$C$3</f>
        <v>diesel</v>
      </c>
      <c r="C623" s="61">
        <v>221</v>
      </c>
      <c r="D623" s="270">
        <f t="shared" si="193"/>
        <v>43319</v>
      </c>
      <c r="E623" s="270">
        <f t="shared" si="193"/>
        <v>48743.22</v>
      </c>
      <c r="F623" s="270">
        <f t="shared" si="193"/>
        <v>51894.64</v>
      </c>
      <c r="G623" s="270">
        <f t="shared" si="193"/>
        <v>53226.04</v>
      </c>
      <c r="H623" s="270">
        <f t="shared" si="193"/>
        <v>53244.800000000003</v>
      </c>
      <c r="I623" s="270">
        <f t="shared" si="193"/>
        <v>54956.7</v>
      </c>
      <c r="J623" s="270">
        <f t="shared" si="193"/>
        <v>44642.96</v>
      </c>
      <c r="K623" s="270">
        <f t="shared" si="193"/>
        <v>47882.82</v>
      </c>
      <c r="L623" s="270">
        <f t="shared" si="193"/>
        <v>51646.400000000001</v>
      </c>
      <c r="M623" s="270">
        <f t="shared" si="193"/>
        <v>62505.5</v>
      </c>
      <c r="N623" s="270">
        <f t="shared" si="193"/>
        <v>66969.37</v>
      </c>
      <c r="O623" s="270">
        <f t="shared" si="193"/>
        <v>66969.37</v>
      </c>
      <c r="P623" s="270">
        <f t="shared" si="193"/>
        <v>66969.37</v>
      </c>
      <c r="Q623" s="270">
        <f t="shared" si="193"/>
        <v>66969.37</v>
      </c>
      <c r="R623" s="270">
        <f t="shared" si="193"/>
        <v>66969.37</v>
      </c>
      <c r="S623" s="270">
        <f t="shared" si="193"/>
        <v>66969.37</v>
      </c>
      <c r="T623" s="270">
        <f t="shared" si="193"/>
        <v>66969.37</v>
      </c>
      <c r="U623" s="270">
        <f t="shared" si="194"/>
        <v>66969.37</v>
      </c>
      <c r="V623" s="270">
        <f t="shared" si="194"/>
        <v>66969.37</v>
      </c>
      <c r="W623" s="270">
        <f t="shared" si="194"/>
        <v>66969.37</v>
      </c>
      <c r="X623" s="270">
        <f t="shared" si="194"/>
        <v>66969.37</v>
      </c>
      <c r="Y623" s="270">
        <f t="shared" si="194"/>
        <v>66969.37</v>
      </c>
      <c r="Z623" s="270">
        <f t="shared" si="194"/>
        <v>66969.37</v>
      </c>
      <c r="AA623" s="270">
        <f t="shared" si="194"/>
        <v>66969.37</v>
      </c>
      <c r="AB623" s="270">
        <f t="shared" si="194"/>
        <v>66969.37</v>
      </c>
      <c r="AC623" s="270">
        <f t="shared" si="194"/>
        <v>66969.37</v>
      </c>
      <c r="AD623" s="270">
        <f t="shared" si="185"/>
        <v>66969.37</v>
      </c>
      <c r="AE623" s="270">
        <f t="shared" si="185"/>
        <v>66969.37</v>
      </c>
      <c r="AF623" s="270">
        <f t="shared" si="195"/>
        <v>66969.37</v>
      </c>
      <c r="AG623" s="270">
        <f t="shared" si="195"/>
        <v>66969.37</v>
      </c>
      <c r="AH623" s="270">
        <f t="shared" si="195"/>
        <v>66969.37</v>
      </c>
      <c r="AI623" s="270">
        <f t="shared" si="195"/>
        <v>66969.37</v>
      </c>
      <c r="AJ623" s="270">
        <f t="shared" si="195"/>
        <v>66969.37</v>
      </c>
      <c r="AK623" s="270">
        <f t="shared" si="195"/>
        <v>66969.37</v>
      </c>
      <c r="AL623" s="270">
        <f t="shared" si="195"/>
        <v>66969.37</v>
      </c>
      <c r="AM623" s="270">
        <f t="shared" si="195"/>
        <v>66969.37</v>
      </c>
    </row>
    <row r="624" spans="2:39" ht="15.75" thickBot="1" x14ac:dyDescent="0.35">
      <c r="B624" s="56" t="str">
        <f>input_names!$C$3</f>
        <v>diesel</v>
      </c>
      <c r="C624" s="61">
        <v>222</v>
      </c>
      <c r="D624" s="270">
        <f t="shared" si="193"/>
        <v>43839</v>
      </c>
      <c r="E624" s="270">
        <f t="shared" si="193"/>
        <v>49305.65</v>
      </c>
      <c r="F624" s="270">
        <f t="shared" si="193"/>
        <v>52453.33</v>
      </c>
      <c r="G624" s="270">
        <f t="shared" si="193"/>
        <v>53768.42</v>
      </c>
      <c r="H624" s="270">
        <f t="shared" si="193"/>
        <v>53761.23</v>
      </c>
      <c r="I624" s="270">
        <f t="shared" si="193"/>
        <v>55464.55</v>
      </c>
      <c r="J624" s="270">
        <f t="shared" si="193"/>
        <v>45158.55</v>
      </c>
      <c r="K624" s="270">
        <f t="shared" si="193"/>
        <v>48417.49</v>
      </c>
      <c r="L624" s="270">
        <f t="shared" si="193"/>
        <v>52188.7</v>
      </c>
      <c r="M624" s="270">
        <f t="shared" si="193"/>
        <v>63160.57</v>
      </c>
      <c r="N624" s="270">
        <f t="shared" si="193"/>
        <v>67647.240000000005</v>
      </c>
      <c r="O624" s="270">
        <f t="shared" si="193"/>
        <v>67647.240000000005</v>
      </c>
      <c r="P624" s="270">
        <f t="shared" si="193"/>
        <v>67647.240000000005</v>
      </c>
      <c r="Q624" s="270">
        <f t="shared" si="193"/>
        <v>67647.240000000005</v>
      </c>
      <c r="R624" s="270">
        <f t="shared" si="193"/>
        <v>67647.240000000005</v>
      </c>
      <c r="S624" s="270">
        <f t="shared" si="193"/>
        <v>67647.240000000005</v>
      </c>
      <c r="T624" s="270">
        <f t="shared" si="193"/>
        <v>67647.240000000005</v>
      </c>
      <c r="U624" s="270">
        <f t="shared" si="194"/>
        <v>67647.240000000005</v>
      </c>
      <c r="V624" s="270">
        <f t="shared" si="194"/>
        <v>67647.240000000005</v>
      </c>
      <c r="W624" s="270">
        <f t="shared" si="194"/>
        <v>67647.240000000005</v>
      </c>
      <c r="X624" s="270">
        <f t="shared" si="194"/>
        <v>67647.240000000005</v>
      </c>
      <c r="Y624" s="270">
        <f t="shared" si="194"/>
        <v>67647.240000000005</v>
      </c>
      <c r="Z624" s="270">
        <f t="shared" si="194"/>
        <v>67647.240000000005</v>
      </c>
      <c r="AA624" s="270">
        <f t="shared" si="194"/>
        <v>67647.240000000005</v>
      </c>
      <c r="AB624" s="270">
        <f t="shared" si="194"/>
        <v>67647.240000000005</v>
      </c>
      <c r="AC624" s="270">
        <f t="shared" si="194"/>
        <v>67647.240000000005</v>
      </c>
      <c r="AD624" s="270">
        <f t="shared" si="185"/>
        <v>67647.240000000005</v>
      </c>
      <c r="AE624" s="270">
        <f t="shared" si="185"/>
        <v>67647.240000000005</v>
      </c>
      <c r="AF624" s="270">
        <f t="shared" si="195"/>
        <v>67647.240000000005</v>
      </c>
      <c r="AG624" s="270">
        <f t="shared" si="195"/>
        <v>67647.240000000005</v>
      </c>
      <c r="AH624" s="270">
        <f t="shared" si="195"/>
        <v>67647.240000000005</v>
      </c>
      <c r="AI624" s="270">
        <f t="shared" si="195"/>
        <v>67647.240000000005</v>
      </c>
      <c r="AJ624" s="270">
        <f t="shared" si="195"/>
        <v>67647.240000000005</v>
      </c>
      <c r="AK624" s="270">
        <f t="shared" si="195"/>
        <v>67647.240000000005</v>
      </c>
      <c r="AL624" s="270">
        <f t="shared" si="195"/>
        <v>67647.240000000005</v>
      </c>
      <c r="AM624" s="270">
        <f t="shared" si="195"/>
        <v>67647.240000000005</v>
      </c>
    </row>
    <row r="625" spans="2:39" ht="15.75" thickBot="1" x14ac:dyDescent="0.35">
      <c r="B625" s="56" t="str">
        <f>input_names!$C$3</f>
        <v>diesel</v>
      </c>
      <c r="C625" s="61">
        <v>223</v>
      </c>
      <c r="D625" s="270">
        <f t="shared" si="193"/>
        <v>44359</v>
      </c>
      <c r="E625" s="270">
        <f t="shared" si="193"/>
        <v>49868.08</v>
      </c>
      <c r="F625" s="270">
        <f t="shared" si="193"/>
        <v>53012.020000000004</v>
      </c>
      <c r="G625" s="270">
        <f t="shared" si="193"/>
        <v>54310.8</v>
      </c>
      <c r="H625" s="270">
        <f t="shared" si="193"/>
        <v>54277.66</v>
      </c>
      <c r="I625" s="270">
        <f t="shared" si="193"/>
        <v>55972.4</v>
      </c>
      <c r="J625" s="270">
        <f t="shared" si="193"/>
        <v>45674.14</v>
      </c>
      <c r="K625" s="270">
        <f t="shared" si="193"/>
        <v>48952.160000000003</v>
      </c>
      <c r="L625" s="270">
        <f t="shared" si="193"/>
        <v>52731</v>
      </c>
      <c r="M625" s="270">
        <f t="shared" si="193"/>
        <v>63815.64</v>
      </c>
      <c r="N625" s="270">
        <f t="shared" si="193"/>
        <v>68325.11</v>
      </c>
      <c r="O625" s="270">
        <f t="shared" si="193"/>
        <v>68325.11</v>
      </c>
      <c r="P625" s="270">
        <f t="shared" si="193"/>
        <v>68325.11</v>
      </c>
      <c r="Q625" s="270">
        <f t="shared" si="193"/>
        <v>68325.11</v>
      </c>
      <c r="R625" s="270">
        <f t="shared" si="193"/>
        <v>68325.11</v>
      </c>
      <c r="S625" s="270">
        <f t="shared" ref="S625:T640" si="196">+MIN(MAX(0,$C625-S$11),S$12-S$11)*S$17
+MIN(MAX(0,$C625-S$12),S$13-S$12)*S$18
+MIN(MAX(0,$C625-S$13),S$14-S$13)*S$19
+MIN(MAX(0,$C625-S$14),S$15-S$14)*S$20
+MAX(0,$C625-S$15)*S$21
+S$24*MAX(0,$C625-S$23)
+S$26</f>
        <v>68325.11</v>
      </c>
      <c r="T625" s="270">
        <f t="shared" si="196"/>
        <v>68325.11</v>
      </c>
      <c r="U625" s="270">
        <f t="shared" si="194"/>
        <v>68325.11</v>
      </c>
      <c r="V625" s="270">
        <f t="shared" si="194"/>
        <v>68325.11</v>
      </c>
      <c r="W625" s="270">
        <f t="shared" si="194"/>
        <v>68325.11</v>
      </c>
      <c r="X625" s="270">
        <f t="shared" si="194"/>
        <v>68325.11</v>
      </c>
      <c r="Y625" s="270">
        <f t="shared" si="194"/>
        <v>68325.11</v>
      </c>
      <c r="Z625" s="270">
        <f t="shared" si="194"/>
        <v>68325.11</v>
      </c>
      <c r="AA625" s="270">
        <f t="shared" si="194"/>
        <v>68325.11</v>
      </c>
      <c r="AB625" s="270">
        <f t="shared" si="194"/>
        <v>68325.11</v>
      </c>
      <c r="AC625" s="270">
        <f t="shared" si="194"/>
        <v>68325.11</v>
      </c>
      <c r="AD625" s="270">
        <f t="shared" si="193"/>
        <v>68325.11</v>
      </c>
      <c r="AE625" s="270">
        <f t="shared" ref="AD625:AE688" si="197">+MIN(MAX(0,$C625-AE$11),AE$12-AE$11)*AE$17
+MIN(MAX(0,$C625-AE$12),AE$13-AE$12)*AE$18
+MIN(MAX(0,$C625-AE$13),AE$14-AE$13)*AE$19
+MIN(MAX(0,$C625-AE$14),AE$15-AE$14)*AE$20
+MAX(0,$C625-AE$15)*AE$21
+AE$24*MAX(0,$C625-AE$23)
+AE$26</f>
        <v>68325.11</v>
      </c>
      <c r="AF625" s="270">
        <f t="shared" si="195"/>
        <v>68325.11</v>
      </c>
      <c r="AG625" s="270">
        <f t="shared" si="195"/>
        <v>68325.11</v>
      </c>
      <c r="AH625" s="270">
        <f t="shared" si="195"/>
        <v>68325.11</v>
      </c>
      <c r="AI625" s="270">
        <f t="shared" si="195"/>
        <v>68325.11</v>
      </c>
      <c r="AJ625" s="270">
        <f t="shared" si="195"/>
        <v>68325.11</v>
      </c>
      <c r="AK625" s="270">
        <f t="shared" si="195"/>
        <v>68325.11</v>
      </c>
      <c r="AL625" s="270">
        <f t="shared" si="195"/>
        <v>68325.11</v>
      </c>
      <c r="AM625" s="270">
        <f t="shared" si="195"/>
        <v>68325.11</v>
      </c>
    </row>
    <row r="626" spans="2:39" ht="15.75" thickBot="1" x14ac:dyDescent="0.35">
      <c r="B626" s="56" t="str">
        <f>input_names!$C$3</f>
        <v>diesel</v>
      </c>
      <c r="C626" s="61">
        <v>224</v>
      </c>
      <c r="D626" s="270">
        <f t="shared" ref="D626:S641" si="198">+MIN(MAX(0,$C626-D$11),D$12-D$11)*D$17
+MIN(MAX(0,$C626-D$12),D$13-D$12)*D$18
+MIN(MAX(0,$C626-D$13),D$14-D$13)*D$19
+MIN(MAX(0,$C626-D$14),D$15-D$14)*D$20
+MAX(0,$C626-D$15)*D$21
+D$24*MAX(0,$C626-D$23)
+D$26</f>
        <v>44879</v>
      </c>
      <c r="E626" s="270">
        <f t="shared" si="198"/>
        <v>50430.51</v>
      </c>
      <c r="F626" s="270">
        <f t="shared" si="198"/>
        <v>53570.71</v>
      </c>
      <c r="G626" s="270">
        <f t="shared" si="198"/>
        <v>54853.18</v>
      </c>
      <c r="H626" s="270">
        <f t="shared" si="198"/>
        <v>54794.090000000004</v>
      </c>
      <c r="I626" s="270">
        <f t="shared" si="198"/>
        <v>56480.25</v>
      </c>
      <c r="J626" s="270">
        <f t="shared" si="198"/>
        <v>46189.73</v>
      </c>
      <c r="K626" s="270">
        <f t="shared" si="198"/>
        <v>49486.83</v>
      </c>
      <c r="L626" s="270">
        <f t="shared" si="198"/>
        <v>53273.3</v>
      </c>
      <c r="M626" s="270">
        <f t="shared" si="198"/>
        <v>64470.71</v>
      </c>
      <c r="N626" s="270">
        <f t="shared" si="198"/>
        <v>69002.98</v>
      </c>
      <c r="O626" s="270">
        <f t="shared" si="198"/>
        <v>69002.98</v>
      </c>
      <c r="P626" s="270">
        <f t="shared" si="198"/>
        <v>69002.98</v>
      </c>
      <c r="Q626" s="270">
        <f t="shared" si="198"/>
        <v>69002.98</v>
      </c>
      <c r="R626" s="270">
        <f t="shared" si="198"/>
        <v>69002.98</v>
      </c>
      <c r="S626" s="270">
        <f t="shared" si="196"/>
        <v>69002.98</v>
      </c>
      <c r="T626" s="270">
        <f t="shared" si="196"/>
        <v>69002.98</v>
      </c>
      <c r="U626" s="270">
        <f t="shared" si="194"/>
        <v>69002.98</v>
      </c>
      <c r="V626" s="270">
        <f t="shared" si="194"/>
        <v>69002.98</v>
      </c>
      <c r="W626" s="270">
        <f t="shared" si="194"/>
        <v>69002.98</v>
      </c>
      <c r="X626" s="270">
        <f t="shared" si="194"/>
        <v>69002.98</v>
      </c>
      <c r="Y626" s="270">
        <f t="shared" si="194"/>
        <v>69002.98</v>
      </c>
      <c r="Z626" s="270">
        <f t="shared" si="194"/>
        <v>69002.98</v>
      </c>
      <c r="AA626" s="270">
        <f t="shared" si="194"/>
        <v>69002.98</v>
      </c>
      <c r="AB626" s="270">
        <f t="shared" si="194"/>
        <v>69002.98</v>
      </c>
      <c r="AC626" s="270">
        <f t="shared" si="194"/>
        <v>69002.98</v>
      </c>
      <c r="AD626" s="270">
        <f t="shared" si="197"/>
        <v>69002.98</v>
      </c>
      <c r="AE626" s="270">
        <f t="shared" si="197"/>
        <v>69002.98</v>
      </c>
      <c r="AF626" s="270">
        <f t="shared" si="195"/>
        <v>69002.98</v>
      </c>
      <c r="AG626" s="270">
        <f t="shared" si="195"/>
        <v>69002.98</v>
      </c>
      <c r="AH626" s="270">
        <f t="shared" si="195"/>
        <v>69002.98</v>
      </c>
      <c r="AI626" s="270">
        <f t="shared" si="195"/>
        <v>69002.98</v>
      </c>
      <c r="AJ626" s="270">
        <f t="shared" si="195"/>
        <v>69002.98</v>
      </c>
      <c r="AK626" s="270">
        <f t="shared" si="195"/>
        <v>69002.98</v>
      </c>
      <c r="AL626" s="270">
        <f t="shared" si="195"/>
        <v>69002.98</v>
      </c>
      <c r="AM626" s="270">
        <f t="shared" si="195"/>
        <v>69002.98</v>
      </c>
    </row>
    <row r="627" spans="2:39" ht="15.75" thickBot="1" x14ac:dyDescent="0.35">
      <c r="B627" s="56" t="str">
        <f>input_names!$C$3</f>
        <v>diesel</v>
      </c>
      <c r="C627" s="61">
        <v>225</v>
      </c>
      <c r="D627" s="270">
        <f t="shared" si="198"/>
        <v>45399</v>
      </c>
      <c r="E627" s="270">
        <f t="shared" si="198"/>
        <v>50992.94</v>
      </c>
      <c r="F627" s="270">
        <f t="shared" si="198"/>
        <v>54129.4</v>
      </c>
      <c r="G627" s="270">
        <f t="shared" si="198"/>
        <v>55395.56</v>
      </c>
      <c r="H627" s="270">
        <f t="shared" si="198"/>
        <v>55310.520000000004</v>
      </c>
      <c r="I627" s="270">
        <f t="shared" si="198"/>
        <v>56988.1</v>
      </c>
      <c r="J627" s="270">
        <f t="shared" si="198"/>
        <v>46705.32</v>
      </c>
      <c r="K627" s="270">
        <f t="shared" si="198"/>
        <v>50021.5</v>
      </c>
      <c r="L627" s="270">
        <f t="shared" si="198"/>
        <v>53815.6</v>
      </c>
      <c r="M627" s="270">
        <f t="shared" si="198"/>
        <v>65125.78</v>
      </c>
      <c r="N627" s="270">
        <f t="shared" si="198"/>
        <v>69680.850000000006</v>
      </c>
      <c r="O627" s="270">
        <f t="shared" si="198"/>
        <v>69680.850000000006</v>
      </c>
      <c r="P627" s="270">
        <f t="shared" si="198"/>
        <v>69680.850000000006</v>
      </c>
      <c r="Q627" s="270">
        <f t="shared" si="198"/>
        <v>69680.850000000006</v>
      </c>
      <c r="R627" s="270">
        <f t="shared" si="198"/>
        <v>69680.850000000006</v>
      </c>
      <c r="S627" s="270">
        <f t="shared" si="196"/>
        <v>69680.850000000006</v>
      </c>
      <c r="T627" s="270">
        <f t="shared" si="196"/>
        <v>69680.850000000006</v>
      </c>
      <c r="U627" s="270">
        <f t="shared" si="194"/>
        <v>69680.850000000006</v>
      </c>
      <c r="V627" s="270">
        <f t="shared" si="194"/>
        <v>69680.850000000006</v>
      </c>
      <c r="W627" s="270">
        <f t="shared" si="194"/>
        <v>69680.850000000006</v>
      </c>
      <c r="X627" s="270">
        <f t="shared" si="194"/>
        <v>69680.850000000006</v>
      </c>
      <c r="Y627" s="270">
        <f t="shared" si="194"/>
        <v>69680.850000000006</v>
      </c>
      <c r="Z627" s="270">
        <f t="shared" si="194"/>
        <v>69680.850000000006</v>
      </c>
      <c r="AA627" s="270">
        <f t="shared" si="194"/>
        <v>69680.850000000006</v>
      </c>
      <c r="AB627" s="270">
        <f t="shared" si="194"/>
        <v>69680.850000000006</v>
      </c>
      <c r="AC627" s="270">
        <f t="shared" si="194"/>
        <v>69680.850000000006</v>
      </c>
      <c r="AD627" s="270">
        <f t="shared" si="197"/>
        <v>69680.850000000006</v>
      </c>
      <c r="AE627" s="270">
        <f t="shared" si="197"/>
        <v>69680.850000000006</v>
      </c>
      <c r="AF627" s="270">
        <f t="shared" si="195"/>
        <v>69680.850000000006</v>
      </c>
      <c r="AG627" s="270">
        <f t="shared" si="195"/>
        <v>69680.850000000006</v>
      </c>
      <c r="AH627" s="270">
        <f t="shared" si="195"/>
        <v>69680.850000000006</v>
      </c>
      <c r="AI627" s="270">
        <f t="shared" si="195"/>
        <v>69680.850000000006</v>
      </c>
      <c r="AJ627" s="270">
        <f t="shared" si="195"/>
        <v>69680.850000000006</v>
      </c>
      <c r="AK627" s="270">
        <f t="shared" si="195"/>
        <v>69680.850000000006</v>
      </c>
      <c r="AL627" s="270">
        <f t="shared" si="195"/>
        <v>69680.850000000006</v>
      </c>
      <c r="AM627" s="270">
        <f t="shared" si="195"/>
        <v>69680.850000000006</v>
      </c>
    </row>
    <row r="628" spans="2:39" ht="15.75" thickBot="1" x14ac:dyDescent="0.35">
      <c r="B628" s="56" t="str">
        <f>input_names!$C$3</f>
        <v>diesel</v>
      </c>
      <c r="C628" s="61">
        <v>226</v>
      </c>
      <c r="D628" s="270">
        <f t="shared" si="198"/>
        <v>45919</v>
      </c>
      <c r="E628" s="270">
        <f t="shared" si="198"/>
        <v>51555.37</v>
      </c>
      <c r="F628" s="270">
        <f t="shared" si="198"/>
        <v>54688.09</v>
      </c>
      <c r="G628" s="270">
        <f t="shared" si="198"/>
        <v>55937.94</v>
      </c>
      <c r="H628" s="270">
        <f t="shared" si="198"/>
        <v>55826.95</v>
      </c>
      <c r="I628" s="270">
        <f t="shared" si="198"/>
        <v>57495.95</v>
      </c>
      <c r="J628" s="270">
        <f t="shared" si="198"/>
        <v>47220.91</v>
      </c>
      <c r="K628" s="270">
        <f t="shared" si="198"/>
        <v>50556.17</v>
      </c>
      <c r="L628" s="270">
        <f t="shared" si="198"/>
        <v>54357.9</v>
      </c>
      <c r="M628" s="270">
        <f t="shared" si="198"/>
        <v>65780.850000000006</v>
      </c>
      <c r="N628" s="270">
        <f t="shared" si="198"/>
        <v>70358.720000000001</v>
      </c>
      <c r="O628" s="270">
        <f t="shared" si="198"/>
        <v>70358.720000000001</v>
      </c>
      <c r="P628" s="270">
        <f t="shared" si="198"/>
        <v>70358.720000000001</v>
      </c>
      <c r="Q628" s="270">
        <f t="shared" si="198"/>
        <v>70358.720000000001</v>
      </c>
      <c r="R628" s="270">
        <f t="shared" si="198"/>
        <v>70358.720000000001</v>
      </c>
      <c r="S628" s="270">
        <f t="shared" si="196"/>
        <v>70358.720000000001</v>
      </c>
      <c r="T628" s="270">
        <f t="shared" si="196"/>
        <v>70358.720000000001</v>
      </c>
      <c r="U628" s="270">
        <f t="shared" si="194"/>
        <v>70358.720000000001</v>
      </c>
      <c r="V628" s="270">
        <f t="shared" si="194"/>
        <v>70358.720000000001</v>
      </c>
      <c r="W628" s="270">
        <f t="shared" si="194"/>
        <v>70358.720000000001</v>
      </c>
      <c r="X628" s="270">
        <f t="shared" si="194"/>
        <v>70358.720000000001</v>
      </c>
      <c r="Y628" s="270">
        <f t="shared" si="194"/>
        <v>70358.720000000001</v>
      </c>
      <c r="Z628" s="270">
        <f t="shared" si="194"/>
        <v>70358.720000000001</v>
      </c>
      <c r="AA628" s="270">
        <f t="shared" si="194"/>
        <v>70358.720000000001</v>
      </c>
      <c r="AB628" s="270">
        <f t="shared" si="194"/>
        <v>70358.720000000001</v>
      </c>
      <c r="AC628" s="270">
        <f t="shared" si="194"/>
        <v>70358.720000000001</v>
      </c>
      <c r="AD628" s="270">
        <f t="shared" si="197"/>
        <v>70358.720000000001</v>
      </c>
      <c r="AE628" s="270">
        <f t="shared" si="197"/>
        <v>70358.720000000001</v>
      </c>
      <c r="AF628" s="270">
        <f t="shared" si="195"/>
        <v>70358.720000000001</v>
      </c>
      <c r="AG628" s="270">
        <f t="shared" si="195"/>
        <v>70358.720000000001</v>
      </c>
      <c r="AH628" s="270">
        <f t="shared" si="195"/>
        <v>70358.720000000001</v>
      </c>
      <c r="AI628" s="270">
        <f t="shared" si="195"/>
        <v>70358.720000000001</v>
      </c>
      <c r="AJ628" s="270">
        <f t="shared" si="195"/>
        <v>70358.720000000001</v>
      </c>
      <c r="AK628" s="270">
        <f t="shared" si="195"/>
        <v>70358.720000000001</v>
      </c>
      <c r="AL628" s="270">
        <f t="shared" si="195"/>
        <v>70358.720000000001</v>
      </c>
      <c r="AM628" s="270">
        <f t="shared" si="195"/>
        <v>70358.720000000001</v>
      </c>
    </row>
    <row r="629" spans="2:39" ht="15.75" thickBot="1" x14ac:dyDescent="0.35">
      <c r="B629" s="56" t="str">
        <f>input_names!$C$3</f>
        <v>diesel</v>
      </c>
      <c r="C629" s="61">
        <v>227</v>
      </c>
      <c r="D629" s="270">
        <f t="shared" si="198"/>
        <v>46439</v>
      </c>
      <c r="E629" s="270">
        <f t="shared" si="198"/>
        <v>52117.8</v>
      </c>
      <c r="F629" s="270">
        <f t="shared" si="198"/>
        <v>55246.78</v>
      </c>
      <c r="G629" s="270">
        <f t="shared" si="198"/>
        <v>56480.32</v>
      </c>
      <c r="H629" s="270">
        <f t="shared" si="198"/>
        <v>56343.380000000005</v>
      </c>
      <c r="I629" s="270">
        <f t="shared" si="198"/>
        <v>58003.8</v>
      </c>
      <c r="J629" s="270">
        <f t="shared" si="198"/>
        <v>47736.5</v>
      </c>
      <c r="K629" s="270">
        <f t="shared" si="198"/>
        <v>51090.84</v>
      </c>
      <c r="L629" s="270">
        <f t="shared" si="198"/>
        <v>54900.2</v>
      </c>
      <c r="M629" s="270">
        <f t="shared" si="198"/>
        <v>66435.92</v>
      </c>
      <c r="N629" s="270">
        <f t="shared" si="198"/>
        <v>71036.59</v>
      </c>
      <c r="O629" s="270">
        <f t="shared" si="198"/>
        <v>71036.59</v>
      </c>
      <c r="P629" s="270">
        <f t="shared" si="198"/>
        <v>71036.59</v>
      </c>
      <c r="Q629" s="270">
        <f t="shared" si="198"/>
        <v>71036.59</v>
      </c>
      <c r="R629" s="270">
        <f t="shared" si="198"/>
        <v>71036.59</v>
      </c>
      <c r="S629" s="270">
        <f t="shared" si="196"/>
        <v>71036.59</v>
      </c>
      <c r="T629" s="270">
        <f t="shared" si="196"/>
        <v>71036.59</v>
      </c>
      <c r="U629" s="270">
        <f t="shared" si="194"/>
        <v>71036.59</v>
      </c>
      <c r="V629" s="270">
        <f t="shared" si="194"/>
        <v>71036.59</v>
      </c>
      <c r="W629" s="270">
        <f t="shared" si="194"/>
        <v>71036.59</v>
      </c>
      <c r="X629" s="270">
        <f t="shared" si="194"/>
        <v>71036.59</v>
      </c>
      <c r="Y629" s="270">
        <f t="shared" si="194"/>
        <v>71036.59</v>
      </c>
      <c r="Z629" s="270">
        <f t="shared" si="194"/>
        <v>71036.59</v>
      </c>
      <c r="AA629" s="270">
        <f t="shared" si="194"/>
        <v>71036.59</v>
      </c>
      <c r="AB629" s="270">
        <f t="shared" si="194"/>
        <v>71036.59</v>
      </c>
      <c r="AC629" s="270">
        <f t="shared" si="194"/>
        <v>71036.59</v>
      </c>
      <c r="AD629" s="270">
        <f t="shared" si="197"/>
        <v>71036.59</v>
      </c>
      <c r="AE629" s="270">
        <f t="shared" si="197"/>
        <v>71036.59</v>
      </c>
      <c r="AF629" s="270">
        <f t="shared" si="195"/>
        <v>71036.59</v>
      </c>
      <c r="AG629" s="270">
        <f t="shared" si="195"/>
        <v>71036.59</v>
      </c>
      <c r="AH629" s="270">
        <f t="shared" si="195"/>
        <v>71036.59</v>
      </c>
      <c r="AI629" s="270">
        <f t="shared" si="195"/>
        <v>71036.59</v>
      </c>
      <c r="AJ629" s="270">
        <f t="shared" si="195"/>
        <v>71036.59</v>
      </c>
      <c r="AK629" s="270">
        <f t="shared" si="195"/>
        <v>71036.59</v>
      </c>
      <c r="AL629" s="270">
        <f t="shared" si="195"/>
        <v>71036.59</v>
      </c>
      <c r="AM629" s="270">
        <f t="shared" si="195"/>
        <v>71036.59</v>
      </c>
    </row>
    <row r="630" spans="2:39" ht="15.75" thickBot="1" x14ac:dyDescent="0.35">
      <c r="B630" s="56" t="str">
        <f>input_names!$C$3</f>
        <v>diesel</v>
      </c>
      <c r="C630" s="61">
        <v>228</v>
      </c>
      <c r="D630" s="270">
        <f t="shared" si="198"/>
        <v>46959</v>
      </c>
      <c r="E630" s="270">
        <f t="shared" si="198"/>
        <v>52680.23</v>
      </c>
      <c r="F630" s="270">
        <f t="shared" si="198"/>
        <v>55805.47</v>
      </c>
      <c r="G630" s="270">
        <f t="shared" si="198"/>
        <v>57022.7</v>
      </c>
      <c r="H630" s="270">
        <f t="shared" si="198"/>
        <v>56859.81</v>
      </c>
      <c r="I630" s="270">
        <f t="shared" si="198"/>
        <v>58511.65</v>
      </c>
      <c r="J630" s="270">
        <f t="shared" si="198"/>
        <v>48252.09</v>
      </c>
      <c r="K630" s="270">
        <f t="shared" si="198"/>
        <v>51625.51</v>
      </c>
      <c r="L630" s="270">
        <f t="shared" si="198"/>
        <v>55442.5</v>
      </c>
      <c r="M630" s="270">
        <f t="shared" si="198"/>
        <v>67090.989999999991</v>
      </c>
      <c r="N630" s="270">
        <f t="shared" si="198"/>
        <v>71714.459999999992</v>
      </c>
      <c r="O630" s="270">
        <f t="shared" si="198"/>
        <v>71714.459999999992</v>
      </c>
      <c r="P630" s="270">
        <f t="shared" si="198"/>
        <v>71714.459999999992</v>
      </c>
      <c r="Q630" s="270">
        <f t="shared" si="198"/>
        <v>71714.459999999992</v>
      </c>
      <c r="R630" s="270">
        <f t="shared" si="198"/>
        <v>71714.459999999992</v>
      </c>
      <c r="S630" s="270">
        <f t="shared" si="196"/>
        <v>71714.459999999992</v>
      </c>
      <c r="T630" s="270">
        <f t="shared" si="196"/>
        <v>71714.459999999992</v>
      </c>
      <c r="U630" s="270">
        <f t="shared" si="194"/>
        <v>71714.459999999992</v>
      </c>
      <c r="V630" s="270">
        <f t="shared" si="194"/>
        <v>71714.459999999992</v>
      </c>
      <c r="W630" s="270">
        <f t="shared" si="194"/>
        <v>71714.459999999992</v>
      </c>
      <c r="X630" s="270">
        <f t="shared" si="194"/>
        <v>71714.459999999992</v>
      </c>
      <c r="Y630" s="270">
        <f t="shared" si="194"/>
        <v>71714.459999999992</v>
      </c>
      <c r="Z630" s="270">
        <f t="shared" si="194"/>
        <v>71714.459999999992</v>
      </c>
      <c r="AA630" s="270">
        <f t="shared" si="194"/>
        <v>71714.459999999992</v>
      </c>
      <c r="AB630" s="270">
        <f t="shared" si="194"/>
        <v>71714.459999999992</v>
      </c>
      <c r="AC630" s="270">
        <f t="shared" si="194"/>
        <v>71714.459999999992</v>
      </c>
      <c r="AD630" s="270">
        <f t="shared" si="197"/>
        <v>71714.459999999992</v>
      </c>
      <c r="AE630" s="270">
        <f t="shared" si="197"/>
        <v>71714.459999999992</v>
      </c>
      <c r="AF630" s="270">
        <f t="shared" si="195"/>
        <v>71714.459999999992</v>
      </c>
      <c r="AG630" s="270">
        <f t="shared" si="195"/>
        <v>71714.459999999992</v>
      </c>
      <c r="AH630" s="270">
        <f t="shared" si="195"/>
        <v>71714.459999999992</v>
      </c>
      <c r="AI630" s="270">
        <f t="shared" si="195"/>
        <v>71714.459999999992</v>
      </c>
      <c r="AJ630" s="270">
        <f t="shared" si="195"/>
        <v>71714.459999999992</v>
      </c>
      <c r="AK630" s="270">
        <f t="shared" si="195"/>
        <v>71714.459999999992</v>
      </c>
      <c r="AL630" s="270">
        <f t="shared" si="195"/>
        <v>71714.459999999992</v>
      </c>
      <c r="AM630" s="270">
        <f t="shared" si="195"/>
        <v>71714.459999999992</v>
      </c>
    </row>
    <row r="631" spans="2:39" ht="15.75" thickBot="1" x14ac:dyDescent="0.35">
      <c r="B631" s="56" t="str">
        <f>input_names!$C$3</f>
        <v>diesel</v>
      </c>
      <c r="C631" s="61">
        <v>229</v>
      </c>
      <c r="D631" s="270">
        <f t="shared" si="198"/>
        <v>47479</v>
      </c>
      <c r="E631" s="270">
        <f t="shared" si="198"/>
        <v>53242.66</v>
      </c>
      <c r="F631" s="270">
        <f t="shared" si="198"/>
        <v>56364.160000000003</v>
      </c>
      <c r="G631" s="270">
        <f t="shared" si="198"/>
        <v>57565.08</v>
      </c>
      <c r="H631" s="270">
        <f t="shared" si="198"/>
        <v>57376.240000000005</v>
      </c>
      <c r="I631" s="270">
        <f t="shared" si="198"/>
        <v>59019.5</v>
      </c>
      <c r="J631" s="270">
        <f t="shared" si="198"/>
        <v>48767.68</v>
      </c>
      <c r="K631" s="270">
        <f t="shared" si="198"/>
        <v>52160.18</v>
      </c>
      <c r="L631" s="270">
        <f t="shared" si="198"/>
        <v>55984.800000000003</v>
      </c>
      <c r="M631" s="270">
        <f t="shared" si="198"/>
        <v>67746.06</v>
      </c>
      <c r="N631" s="270">
        <f t="shared" si="198"/>
        <v>72392.33</v>
      </c>
      <c r="O631" s="270">
        <f t="shared" si="198"/>
        <v>72392.33</v>
      </c>
      <c r="P631" s="270">
        <f t="shared" si="198"/>
        <v>72392.33</v>
      </c>
      <c r="Q631" s="270">
        <f t="shared" si="198"/>
        <v>72392.33</v>
      </c>
      <c r="R631" s="270">
        <f t="shared" si="198"/>
        <v>72392.33</v>
      </c>
      <c r="S631" s="270">
        <f t="shared" si="196"/>
        <v>72392.33</v>
      </c>
      <c r="T631" s="270">
        <f t="shared" si="196"/>
        <v>72392.33</v>
      </c>
      <c r="U631" s="270">
        <f t="shared" si="194"/>
        <v>72392.33</v>
      </c>
      <c r="V631" s="270">
        <f t="shared" si="194"/>
        <v>72392.33</v>
      </c>
      <c r="W631" s="270">
        <f t="shared" si="194"/>
        <v>72392.33</v>
      </c>
      <c r="X631" s="270">
        <f t="shared" si="194"/>
        <v>72392.33</v>
      </c>
      <c r="Y631" s="270">
        <f t="shared" si="194"/>
        <v>72392.33</v>
      </c>
      <c r="Z631" s="270">
        <f t="shared" si="194"/>
        <v>72392.33</v>
      </c>
      <c r="AA631" s="270">
        <f t="shared" si="194"/>
        <v>72392.33</v>
      </c>
      <c r="AB631" s="270">
        <f t="shared" si="194"/>
        <v>72392.33</v>
      </c>
      <c r="AC631" s="270">
        <f t="shared" si="194"/>
        <v>72392.33</v>
      </c>
      <c r="AD631" s="270">
        <f t="shared" si="197"/>
        <v>72392.33</v>
      </c>
      <c r="AE631" s="270">
        <f t="shared" si="197"/>
        <v>72392.33</v>
      </c>
      <c r="AF631" s="270">
        <f t="shared" si="195"/>
        <v>72392.33</v>
      </c>
      <c r="AG631" s="270">
        <f t="shared" si="195"/>
        <v>72392.33</v>
      </c>
      <c r="AH631" s="270">
        <f t="shared" si="195"/>
        <v>72392.33</v>
      </c>
      <c r="AI631" s="270">
        <f t="shared" si="195"/>
        <v>72392.33</v>
      </c>
      <c r="AJ631" s="270">
        <f t="shared" si="195"/>
        <v>72392.33</v>
      </c>
      <c r="AK631" s="270">
        <f t="shared" si="195"/>
        <v>72392.33</v>
      </c>
      <c r="AL631" s="270">
        <f t="shared" si="195"/>
        <v>72392.33</v>
      </c>
      <c r="AM631" s="270">
        <f t="shared" si="195"/>
        <v>72392.33</v>
      </c>
    </row>
    <row r="632" spans="2:39" ht="15.75" thickBot="1" x14ac:dyDescent="0.35">
      <c r="B632" s="56" t="str">
        <f>input_names!$C$3</f>
        <v>diesel</v>
      </c>
      <c r="C632" s="61">
        <v>230</v>
      </c>
      <c r="D632" s="270">
        <f t="shared" si="198"/>
        <v>47999</v>
      </c>
      <c r="E632" s="270">
        <f t="shared" si="198"/>
        <v>53805.090000000004</v>
      </c>
      <c r="F632" s="270">
        <f t="shared" si="198"/>
        <v>56922.85</v>
      </c>
      <c r="G632" s="270">
        <f t="shared" si="198"/>
        <v>58107.46</v>
      </c>
      <c r="H632" s="270">
        <f t="shared" si="198"/>
        <v>57892.67</v>
      </c>
      <c r="I632" s="270">
        <f t="shared" si="198"/>
        <v>59527.35</v>
      </c>
      <c r="J632" s="270">
        <f t="shared" si="198"/>
        <v>49283.270000000004</v>
      </c>
      <c r="K632" s="270">
        <f t="shared" si="198"/>
        <v>52694.85</v>
      </c>
      <c r="L632" s="270">
        <f t="shared" si="198"/>
        <v>56527.1</v>
      </c>
      <c r="M632" s="270">
        <f t="shared" si="198"/>
        <v>68401.13</v>
      </c>
      <c r="N632" s="270">
        <f t="shared" si="198"/>
        <v>73070.2</v>
      </c>
      <c r="O632" s="270">
        <f t="shared" si="198"/>
        <v>73070.2</v>
      </c>
      <c r="P632" s="270">
        <f t="shared" si="198"/>
        <v>73070.2</v>
      </c>
      <c r="Q632" s="270">
        <f t="shared" si="198"/>
        <v>73070.2</v>
      </c>
      <c r="R632" s="270">
        <f t="shared" si="198"/>
        <v>73070.2</v>
      </c>
      <c r="S632" s="270">
        <f t="shared" si="196"/>
        <v>73070.2</v>
      </c>
      <c r="T632" s="270">
        <f t="shared" si="196"/>
        <v>73070.2</v>
      </c>
      <c r="U632" s="270">
        <f t="shared" si="194"/>
        <v>73070.2</v>
      </c>
      <c r="V632" s="270">
        <f t="shared" si="194"/>
        <v>73070.2</v>
      </c>
      <c r="W632" s="270">
        <f t="shared" si="194"/>
        <v>73070.2</v>
      </c>
      <c r="X632" s="270">
        <f t="shared" si="194"/>
        <v>73070.2</v>
      </c>
      <c r="Y632" s="270">
        <f t="shared" si="194"/>
        <v>73070.2</v>
      </c>
      <c r="Z632" s="270">
        <f t="shared" si="194"/>
        <v>73070.2</v>
      </c>
      <c r="AA632" s="270">
        <f t="shared" si="194"/>
        <v>73070.2</v>
      </c>
      <c r="AB632" s="270">
        <f t="shared" si="194"/>
        <v>73070.2</v>
      </c>
      <c r="AC632" s="270">
        <f t="shared" si="194"/>
        <v>73070.2</v>
      </c>
      <c r="AD632" s="270">
        <f t="shared" si="197"/>
        <v>73070.2</v>
      </c>
      <c r="AE632" s="270">
        <f t="shared" si="197"/>
        <v>73070.2</v>
      </c>
      <c r="AF632" s="270">
        <f t="shared" si="195"/>
        <v>73070.2</v>
      </c>
      <c r="AG632" s="270">
        <f t="shared" si="195"/>
        <v>73070.2</v>
      </c>
      <c r="AH632" s="270">
        <f t="shared" si="195"/>
        <v>73070.2</v>
      </c>
      <c r="AI632" s="270">
        <f t="shared" si="195"/>
        <v>73070.2</v>
      </c>
      <c r="AJ632" s="270">
        <f t="shared" si="195"/>
        <v>73070.2</v>
      </c>
      <c r="AK632" s="270">
        <f t="shared" si="195"/>
        <v>73070.2</v>
      </c>
      <c r="AL632" s="270">
        <f t="shared" si="195"/>
        <v>73070.2</v>
      </c>
      <c r="AM632" s="270">
        <f t="shared" si="195"/>
        <v>73070.2</v>
      </c>
    </row>
    <row r="633" spans="2:39" ht="15.75" thickBot="1" x14ac:dyDescent="0.35">
      <c r="B633" s="56" t="str">
        <f>input_names!$C$3</f>
        <v>diesel</v>
      </c>
      <c r="C633" s="61">
        <v>231</v>
      </c>
      <c r="D633" s="270">
        <f t="shared" si="198"/>
        <v>48519</v>
      </c>
      <c r="E633" s="270">
        <f t="shared" si="198"/>
        <v>54367.520000000004</v>
      </c>
      <c r="F633" s="270">
        <f t="shared" si="198"/>
        <v>57481.54</v>
      </c>
      <c r="G633" s="270">
        <f t="shared" si="198"/>
        <v>58649.84</v>
      </c>
      <c r="H633" s="270">
        <f t="shared" si="198"/>
        <v>58409.1</v>
      </c>
      <c r="I633" s="270">
        <f t="shared" si="198"/>
        <v>60035.199999999997</v>
      </c>
      <c r="J633" s="270">
        <f t="shared" si="198"/>
        <v>49798.86</v>
      </c>
      <c r="K633" s="270">
        <f t="shared" si="198"/>
        <v>53229.520000000004</v>
      </c>
      <c r="L633" s="270">
        <f t="shared" si="198"/>
        <v>57069.4</v>
      </c>
      <c r="M633" s="270">
        <f t="shared" si="198"/>
        <v>69056.2</v>
      </c>
      <c r="N633" s="270">
        <f t="shared" si="198"/>
        <v>73748.070000000007</v>
      </c>
      <c r="O633" s="270">
        <f t="shared" si="198"/>
        <v>73748.070000000007</v>
      </c>
      <c r="P633" s="270">
        <f t="shared" si="198"/>
        <v>73748.070000000007</v>
      </c>
      <c r="Q633" s="270">
        <f t="shared" si="198"/>
        <v>73748.070000000007</v>
      </c>
      <c r="R633" s="270">
        <f t="shared" si="198"/>
        <v>73748.070000000007</v>
      </c>
      <c r="S633" s="270">
        <f t="shared" si="196"/>
        <v>73748.070000000007</v>
      </c>
      <c r="T633" s="270">
        <f t="shared" si="196"/>
        <v>73748.070000000007</v>
      </c>
      <c r="U633" s="270">
        <f t="shared" si="194"/>
        <v>73748.070000000007</v>
      </c>
      <c r="V633" s="270">
        <f t="shared" si="194"/>
        <v>73748.070000000007</v>
      </c>
      <c r="W633" s="270">
        <f t="shared" si="194"/>
        <v>73748.070000000007</v>
      </c>
      <c r="X633" s="270">
        <f t="shared" si="194"/>
        <v>73748.070000000007</v>
      </c>
      <c r="Y633" s="270">
        <f t="shared" si="194"/>
        <v>73748.070000000007</v>
      </c>
      <c r="Z633" s="270">
        <f t="shared" si="194"/>
        <v>73748.070000000007</v>
      </c>
      <c r="AA633" s="270">
        <f t="shared" si="194"/>
        <v>73748.070000000007</v>
      </c>
      <c r="AB633" s="270">
        <f t="shared" si="194"/>
        <v>73748.070000000007</v>
      </c>
      <c r="AC633" s="270">
        <f t="shared" si="194"/>
        <v>73748.070000000007</v>
      </c>
      <c r="AD633" s="270">
        <f t="shared" si="197"/>
        <v>73748.070000000007</v>
      </c>
      <c r="AE633" s="270">
        <f t="shared" si="197"/>
        <v>73748.070000000007</v>
      </c>
      <c r="AF633" s="270">
        <f t="shared" si="195"/>
        <v>73748.070000000007</v>
      </c>
      <c r="AG633" s="270">
        <f t="shared" si="195"/>
        <v>73748.070000000007</v>
      </c>
      <c r="AH633" s="270">
        <f t="shared" si="195"/>
        <v>73748.070000000007</v>
      </c>
      <c r="AI633" s="270">
        <f t="shared" si="195"/>
        <v>73748.070000000007</v>
      </c>
      <c r="AJ633" s="270">
        <f t="shared" si="195"/>
        <v>73748.070000000007</v>
      </c>
      <c r="AK633" s="270">
        <f t="shared" si="195"/>
        <v>73748.070000000007</v>
      </c>
      <c r="AL633" s="270">
        <f t="shared" si="195"/>
        <v>73748.070000000007</v>
      </c>
      <c r="AM633" s="270">
        <f t="shared" si="195"/>
        <v>73748.070000000007</v>
      </c>
    </row>
    <row r="634" spans="2:39" ht="15.75" thickBot="1" x14ac:dyDescent="0.35">
      <c r="B634" s="56" t="str">
        <f>input_names!$C$3</f>
        <v>diesel</v>
      </c>
      <c r="C634" s="61">
        <v>232</v>
      </c>
      <c r="D634" s="270">
        <f t="shared" si="198"/>
        <v>49039</v>
      </c>
      <c r="E634" s="270">
        <f t="shared" si="198"/>
        <v>54929.95</v>
      </c>
      <c r="F634" s="270">
        <f t="shared" si="198"/>
        <v>58040.229999999996</v>
      </c>
      <c r="G634" s="270">
        <f t="shared" si="198"/>
        <v>59192.22</v>
      </c>
      <c r="H634" s="270">
        <f t="shared" si="198"/>
        <v>58925.53</v>
      </c>
      <c r="I634" s="270">
        <f t="shared" si="198"/>
        <v>60543.05</v>
      </c>
      <c r="J634" s="270">
        <f t="shared" si="198"/>
        <v>50314.45</v>
      </c>
      <c r="K634" s="270">
        <f t="shared" si="198"/>
        <v>53764.19</v>
      </c>
      <c r="L634" s="270">
        <f t="shared" si="198"/>
        <v>57611.7</v>
      </c>
      <c r="M634" s="270">
        <f t="shared" si="198"/>
        <v>69711.27</v>
      </c>
      <c r="N634" s="270">
        <f t="shared" si="198"/>
        <v>74425.94</v>
      </c>
      <c r="O634" s="270">
        <f t="shared" si="198"/>
        <v>74425.94</v>
      </c>
      <c r="P634" s="270">
        <f t="shared" si="198"/>
        <v>74425.94</v>
      </c>
      <c r="Q634" s="270">
        <f t="shared" si="198"/>
        <v>74425.94</v>
      </c>
      <c r="R634" s="270">
        <f t="shared" si="198"/>
        <v>74425.94</v>
      </c>
      <c r="S634" s="270">
        <f t="shared" si="196"/>
        <v>74425.94</v>
      </c>
      <c r="T634" s="270">
        <f t="shared" si="196"/>
        <v>74425.94</v>
      </c>
      <c r="U634" s="270">
        <f t="shared" si="194"/>
        <v>74425.94</v>
      </c>
      <c r="V634" s="270">
        <f t="shared" si="194"/>
        <v>74425.94</v>
      </c>
      <c r="W634" s="270">
        <f t="shared" si="194"/>
        <v>74425.94</v>
      </c>
      <c r="X634" s="270">
        <f t="shared" si="194"/>
        <v>74425.94</v>
      </c>
      <c r="Y634" s="270">
        <f t="shared" si="194"/>
        <v>74425.94</v>
      </c>
      <c r="Z634" s="270">
        <f t="shared" si="194"/>
        <v>74425.94</v>
      </c>
      <c r="AA634" s="270">
        <f t="shared" si="194"/>
        <v>74425.94</v>
      </c>
      <c r="AB634" s="270">
        <f t="shared" si="194"/>
        <v>74425.94</v>
      </c>
      <c r="AC634" s="270">
        <f t="shared" si="194"/>
        <v>74425.94</v>
      </c>
      <c r="AD634" s="270">
        <f t="shared" si="197"/>
        <v>74425.94</v>
      </c>
      <c r="AE634" s="270">
        <f t="shared" si="197"/>
        <v>74425.94</v>
      </c>
      <c r="AF634" s="270">
        <f t="shared" si="195"/>
        <v>74425.94</v>
      </c>
      <c r="AG634" s="270">
        <f t="shared" si="195"/>
        <v>74425.94</v>
      </c>
      <c r="AH634" s="270">
        <f t="shared" si="195"/>
        <v>74425.94</v>
      </c>
      <c r="AI634" s="270">
        <f t="shared" si="195"/>
        <v>74425.94</v>
      </c>
      <c r="AJ634" s="270">
        <f t="shared" si="195"/>
        <v>74425.94</v>
      </c>
      <c r="AK634" s="270">
        <f t="shared" si="195"/>
        <v>74425.94</v>
      </c>
      <c r="AL634" s="270">
        <f t="shared" si="195"/>
        <v>74425.94</v>
      </c>
      <c r="AM634" s="270">
        <f t="shared" si="195"/>
        <v>74425.94</v>
      </c>
    </row>
    <row r="635" spans="2:39" ht="15.75" thickBot="1" x14ac:dyDescent="0.35">
      <c r="B635" s="56" t="str">
        <f>input_names!$C$3</f>
        <v>diesel</v>
      </c>
      <c r="C635" s="61">
        <v>233</v>
      </c>
      <c r="D635" s="270">
        <f t="shared" si="198"/>
        <v>49559</v>
      </c>
      <c r="E635" s="270">
        <f t="shared" si="198"/>
        <v>55492.380000000005</v>
      </c>
      <c r="F635" s="270">
        <f t="shared" si="198"/>
        <v>58598.92</v>
      </c>
      <c r="G635" s="270">
        <f t="shared" si="198"/>
        <v>59734.6</v>
      </c>
      <c r="H635" s="270">
        <f t="shared" si="198"/>
        <v>59441.96</v>
      </c>
      <c r="I635" s="270">
        <f t="shared" si="198"/>
        <v>61050.9</v>
      </c>
      <c r="J635" s="270">
        <f t="shared" si="198"/>
        <v>50830.04</v>
      </c>
      <c r="K635" s="270">
        <f t="shared" si="198"/>
        <v>54298.86</v>
      </c>
      <c r="L635" s="270">
        <f t="shared" si="198"/>
        <v>58154</v>
      </c>
      <c r="M635" s="270">
        <f t="shared" si="198"/>
        <v>70366.34</v>
      </c>
      <c r="N635" s="270">
        <f t="shared" si="198"/>
        <v>75103.81</v>
      </c>
      <c r="O635" s="270">
        <f t="shared" si="198"/>
        <v>75103.81</v>
      </c>
      <c r="P635" s="270">
        <f t="shared" si="198"/>
        <v>75103.81</v>
      </c>
      <c r="Q635" s="270">
        <f t="shared" si="198"/>
        <v>75103.81</v>
      </c>
      <c r="R635" s="270">
        <f t="shared" si="198"/>
        <v>75103.81</v>
      </c>
      <c r="S635" s="270">
        <f t="shared" si="196"/>
        <v>75103.81</v>
      </c>
      <c r="T635" s="270">
        <f t="shared" si="196"/>
        <v>75103.81</v>
      </c>
      <c r="U635" s="270">
        <f t="shared" si="194"/>
        <v>75103.81</v>
      </c>
      <c r="V635" s="270">
        <f t="shared" si="194"/>
        <v>75103.81</v>
      </c>
      <c r="W635" s="270">
        <f t="shared" si="194"/>
        <v>75103.81</v>
      </c>
      <c r="X635" s="270">
        <f t="shared" si="194"/>
        <v>75103.81</v>
      </c>
      <c r="Y635" s="270">
        <f t="shared" si="194"/>
        <v>75103.81</v>
      </c>
      <c r="Z635" s="270">
        <f t="shared" si="194"/>
        <v>75103.81</v>
      </c>
      <c r="AA635" s="270">
        <f t="shared" si="194"/>
        <v>75103.81</v>
      </c>
      <c r="AB635" s="270">
        <f t="shared" si="194"/>
        <v>75103.81</v>
      </c>
      <c r="AC635" s="270">
        <f t="shared" si="194"/>
        <v>75103.81</v>
      </c>
      <c r="AD635" s="270">
        <f t="shared" si="197"/>
        <v>75103.81</v>
      </c>
      <c r="AE635" s="270">
        <f t="shared" si="197"/>
        <v>75103.81</v>
      </c>
      <c r="AF635" s="270">
        <f t="shared" si="195"/>
        <v>75103.81</v>
      </c>
      <c r="AG635" s="270">
        <f t="shared" si="195"/>
        <v>75103.81</v>
      </c>
      <c r="AH635" s="270">
        <f t="shared" si="195"/>
        <v>75103.81</v>
      </c>
      <c r="AI635" s="270">
        <f t="shared" si="195"/>
        <v>75103.81</v>
      </c>
      <c r="AJ635" s="270">
        <f t="shared" si="195"/>
        <v>75103.81</v>
      </c>
      <c r="AK635" s="270">
        <f t="shared" si="195"/>
        <v>75103.81</v>
      </c>
      <c r="AL635" s="270">
        <f t="shared" si="195"/>
        <v>75103.81</v>
      </c>
      <c r="AM635" s="270">
        <f t="shared" si="195"/>
        <v>75103.81</v>
      </c>
    </row>
    <row r="636" spans="2:39" ht="15.75" thickBot="1" x14ac:dyDescent="0.35">
      <c r="B636" s="56" t="str">
        <f>input_names!$C$3</f>
        <v>diesel</v>
      </c>
      <c r="C636" s="61">
        <v>234</v>
      </c>
      <c r="D636" s="270">
        <f t="shared" si="198"/>
        <v>50079</v>
      </c>
      <c r="E636" s="270">
        <f t="shared" si="198"/>
        <v>56054.81</v>
      </c>
      <c r="F636" s="270">
        <f t="shared" si="198"/>
        <v>59157.61</v>
      </c>
      <c r="G636" s="270">
        <f t="shared" si="198"/>
        <v>60276.979999999996</v>
      </c>
      <c r="H636" s="270">
        <f t="shared" si="198"/>
        <v>59958.39</v>
      </c>
      <c r="I636" s="270">
        <f t="shared" si="198"/>
        <v>61558.75</v>
      </c>
      <c r="J636" s="270">
        <f t="shared" si="198"/>
        <v>51345.630000000005</v>
      </c>
      <c r="K636" s="270">
        <f t="shared" si="198"/>
        <v>54833.53</v>
      </c>
      <c r="L636" s="270">
        <f t="shared" si="198"/>
        <v>58696.3</v>
      </c>
      <c r="M636" s="270">
        <f t="shared" si="198"/>
        <v>71021.41</v>
      </c>
      <c r="N636" s="270">
        <f t="shared" si="198"/>
        <v>75781.679999999993</v>
      </c>
      <c r="O636" s="270">
        <f t="shared" si="198"/>
        <v>75781.679999999993</v>
      </c>
      <c r="P636" s="270">
        <f t="shared" si="198"/>
        <v>75781.679999999993</v>
      </c>
      <c r="Q636" s="270">
        <f t="shared" si="198"/>
        <v>75781.679999999993</v>
      </c>
      <c r="R636" s="270">
        <f t="shared" si="198"/>
        <v>75781.679999999993</v>
      </c>
      <c r="S636" s="270">
        <f t="shared" si="196"/>
        <v>75781.679999999993</v>
      </c>
      <c r="T636" s="270">
        <f t="shared" si="196"/>
        <v>75781.679999999993</v>
      </c>
      <c r="U636" s="270">
        <f t="shared" si="194"/>
        <v>75781.679999999993</v>
      </c>
      <c r="V636" s="270">
        <f t="shared" si="194"/>
        <v>75781.679999999993</v>
      </c>
      <c r="W636" s="270">
        <f t="shared" si="194"/>
        <v>75781.679999999993</v>
      </c>
      <c r="X636" s="270">
        <f t="shared" si="194"/>
        <v>75781.679999999993</v>
      </c>
      <c r="Y636" s="270">
        <f t="shared" si="194"/>
        <v>75781.679999999993</v>
      </c>
      <c r="Z636" s="270">
        <f t="shared" si="194"/>
        <v>75781.679999999993</v>
      </c>
      <c r="AA636" s="270">
        <f t="shared" si="194"/>
        <v>75781.679999999993</v>
      </c>
      <c r="AB636" s="270">
        <f t="shared" si="194"/>
        <v>75781.679999999993</v>
      </c>
      <c r="AC636" s="270">
        <f t="shared" si="194"/>
        <v>75781.679999999993</v>
      </c>
      <c r="AD636" s="270">
        <f t="shared" si="197"/>
        <v>75781.679999999993</v>
      </c>
      <c r="AE636" s="270">
        <f t="shared" si="197"/>
        <v>75781.679999999993</v>
      </c>
      <c r="AF636" s="270">
        <f t="shared" si="195"/>
        <v>75781.679999999993</v>
      </c>
      <c r="AG636" s="270">
        <f t="shared" si="195"/>
        <v>75781.679999999993</v>
      </c>
      <c r="AH636" s="270">
        <f t="shared" si="195"/>
        <v>75781.679999999993</v>
      </c>
      <c r="AI636" s="270">
        <f t="shared" si="195"/>
        <v>75781.679999999993</v>
      </c>
      <c r="AJ636" s="270">
        <f t="shared" si="195"/>
        <v>75781.679999999993</v>
      </c>
      <c r="AK636" s="270">
        <f t="shared" si="195"/>
        <v>75781.679999999993</v>
      </c>
      <c r="AL636" s="270">
        <f t="shared" si="195"/>
        <v>75781.679999999993</v>
      </c>
      <c r="AM636" s="270">
        <f t="shared" si="195"/>
        <v>75781.679999999993</v>
      </c>
    </row>
    <row r="637" spans="2:39" ht="15.75" thickBot="1" x14ac:dyDescent="0.35">
      <c r="B637" s="56" t="str">
        <f>input_names!$C$3</f>
        <v>diesel</v>
      </c>
      <c r="C637" s="61">
        <v>235</v>
      </c>
      <c r="D637" s="270">
        <f t="shared" si="198"/>
        <v>50599</v>
      </c>
      <c r="E637" s="270">
        <f t="shared" si="198"/>
        <v>56617.240000000005</v>
      </c>
      <c r="F637" s="270">
        <f t="shared" si="198"/>
        <v>59716.3</v>
      </c>
      <c r="G637" s="270">
        <f t="shared" si="198"/>
        <v>60819.360000000001</v>
      </c>
      <c r="H637" s="270">
        <f t="shared" si="198"/>
        <v>60474.82</v>
      </c>
      <c r="I637" s="270">
        <f t="shared" si="198"/>
        <v>62066.6</v>
      </c>
      <c r="J637" s="270">
        <f t="shared" si="198"/>
        <v>51861.22</v>
      </c>
      <c r="K637" s="270">
        <f t="shared" si="198"/>
        <v>55368.2</v>
      </c>
      <c r="L637" s="270">
        <f t="shared" si="198"/>
        <v>59238.6</v>
      </c>
      <c r="M637" s="270">
        <f t="shared" si="198"/>
        <v>71676.479999999996</v>
      </c>
      <c r="N637" s="270">
        <f t="shared" si="198"/>
        <v>76459.55</v>
      </c>
      <c r="O637" s="270">
        <f t="shared" si="198"/>
        <v>76459.55</v>
      </c>
      <c r="P637" s="270">
        <f t="shared" si="198"/>
        <v>76459.55</v>
      </c>
      <c r="Q637" s="270">
        <f t="shared" si="198"/>
        <v>76459.55</v>
      </c>
      <c r="R637" s="270">
        <f t="shared" si="198"/>
        <v>76459.55</v>
      </c>
      <c r="S637" s="270">
        <f t="shared" si="196"/>
        <v>76459.55</v>
      </c>
      <c r="T637" s="270">
        <f t="shared" si="196"/>
        <v>76459.55</v>
      </c>
      <c r="U637" s="270">
        <f t="shared" si="194"/>
        <v>76459.55</v>
      </c>
      <c r="V637" s="270">
        <f t="shared" si="194"/>
        <v>76459.55</v>
      </c>
      <c r="W637" s="270">
        <f t="shared" si="194"/>
        <v>76459.55</v>
      </c>
      <c r="X637" s="270">
        <f t="shared" si="194"/>
        <v>76459.55</v>
      </c>
      <c r="Y637" s="270">
        <f t="shared" si="194"/>
        <v>76459.55</v>
      </c>
      <c r="Z637" s="270">
        <f t="shared" si="194"/>
        <v>76459.55</v>
      </c>
      <c r="AA637" s="270">
        <f t="shared" si="194"/>
        <v>76459.55</v>
      </c>
      <c r="AB637" s="270">
        <f t="shared" si="194"/>
        <v>76459.55</v>
      </c>
      <c r="AC637" s="270">
        <f t="shared" si="194"/>
        <v>76459.55</v>
      </c>
      <c r="AD637" s="270">
        <f t="shared" si="197"/>
        <v>76459.55</v>
      </c>
      <c r="AE637" s="270">
        <f t="shared" si="197"/>
        <v>76459.55</v>
      </c>
      <c r="AF637" s="270">
        <f t="shared" si="195"/>
        <v>76459.55</v>
      </c>
      <c r="AG637" s="270">
        <f t="shared" si="195"/>
        <v>76459.55</v>
      </c>
      <c r="AH637" s="270">
        <f t="shared" si="195"/>
        <v>76459.55</v>
      </c>
      <c r="AI637" s="270">
        <f t="shared" si="195"/>
        <v>76459.55</v>
      </c>
      <c r="AJ637" s="270">
        <f t="shared" si="195"/>
        <v>76459.55</v>
      </c>
      <c r="AK637" s="270">
        <f t="shared" si="195"/>
        <v>76459.55</v>
      </c>
      <c r="AL637" s="270">
        <f t="shared" si="195"/>
        <v>76459.55</v>
      </c>
      <c r="AM637" s="270">
        <f t="shared" si="195"/>
        <v>76459.55</v>
      </c>
    </row>
    <row r="638" spans="2:39" ht="15.75" thickBot="1" x14ac:dyDescent="0.35">
      <c r="B638" s="56" t="str">
        <f>input_names!$C$3</f>
        <v>diesel</v>
      </c>
      <c r="C638" s="61">
        <v>236</v>
      </c>
      <c r="D638" s="270">
        <f t="shared" si="198"/>
        <v>51119</v>
      </c>
      <c r="E638" s="270">
        <f t="shared" si="198"/>
        <v>57179.67</v>
      </c>
      <c r="F638" s="270">
        <f t="shared" si="198"/>
        <v>60274.99</v>
      </c>
      <c r="G638" s="270">
        <f t="shared" si="198"/>
        <v>61361.74</v>
      </c>
      <c r="H638" s="270">
        <f t="shared" si="198"/>
        <v>60991.25</v>
      </c>
      <c r="I638" s="270">
        <f t="shared" si="198"/>
        <v>62574.45</v>
      </c>
      <c r="J638" s="270">
        <f t="shared" si="198"/>
        <v>52376.81</v>
      </c>
      <c r="K638" s="270">
        <f t="shared" si="198"/>
        <v>55902.87</v>
      </c>
      <c r="L638" s="270">
        <f t="shared" si="198"/>
        <v>59780.9</v>
      </c>
      <c r="M638" s="270">
        <f t="shared" si="198"/>
        <v>72331.55</v>
      </c>
      <c r="N638" s="270">
        <f t="shared" si="198"/>
        <v>77137.42</v>
      </c>
      <c r="O638" s="270">
        <f t="shared" si="198"/>
        <v>77137.42</v>
      </c>
      <c r="P638" s="270">
        <f t="shared" si="198"/>
        <v>77137.42</v>
      </c>
      <c r="Q638" s="270">
        <f t="shared" si="198"/>
        <v>77137.42</v>
      </c>
      <c r="R638" s="270">
        <f t="shared" si="198"/>
        <v>77137.42</v>
      </c>
      <c r="S638" s="270">
        <f t="shared" si="196"/>
        <v>77137.42</v>
      </c>
      <c r="T638" s="270">
        <f t="shared" si="196"/>
        <v>77137.42</v>
      </c>
      <c r="U638" s="270">
        <f t="shared" si="194"/>
        <v>77137.42</v>
      </c>
      <c r="V638" s="270">
        <f t="shared" si="194"/>
        <v>77137.42</v>
      </c>
      <c r="W638" s="270">
        <f t="shared" si="194"/>
        <v>77137.42</v>
      </c>
      <c r="X638" s="270">
        <f t="shared" si="194"/>
        <v>77137.42</v>
      </c>
      <c r="Y638" s="270">
        <f t="shared" si="194"/>
        <v>77137.42</v>
      </c>
      <c r="Z638" s="270">
        <f t="shared" si="194"/>
        <v>77137.42</v>
      </c>
      <c r="AA638" s="270">
        <f t="shared" si="194"/>
        <v>77137.42</v>
      </c>
      <c r="AB638" s="270">
        <f t="shared" si="194"/>
        <v>77137.42</v>
      </c>
      <c r="AC638" s="270">
        <f t="shared" si="194"/>
        <v>77137.42</v>
      </c>
      <c r="AD638" s="270">
        <f t="shared" si="197"/>
        <v>77137.42</v>
      </c>
      <c r="AE638" s="270">
        <f t="shared" si="197"/>
        <v>77137.42</v>
      </c>
      <c r="AF638" s="270">
        <f t="shared" si="195"/>
        <v>77137.42</v>
      </c>
      <c r="AG638" s="270">
        <f t="shared" si="195"/>
        <v>77137.42</v>
      </c>
      <c r="AH638" s="270">
        <f t="shared" si="195"/>
        <v>77137.42</v>
      </c>
      <c r="AI638" s="270">
        <f t="shared" si="195"/>
        <v>77137.42</v>
      </c>
      <c r="AJ638" s="270">
        <f t="shared" si="195"/>
        <v>77137.42</v>
      </c>
      <c r="AK638" s="270">
        <f t="shared" si="195"/>
        <v>77137.42</v>
      </c>
      <c r="AL638" s="270">
        <f t="shared" si="195"/>
        <v>77137.42</v>
      </c>
      <c r="AM638" s="270">
        <f t="shared" si="195"/>
        <v>77137.42</v>
      </c>
    </row>
    <row r="639" spans="2:39" ht="15.75" thickBot="1" x14ac:dyDescent="0.35">
      <c r="B639" s="56" t="str">
        <f>input_names!$C$3</f>
        <v>diesel</v>
      </c>
      <c r="C639" s="61">
        <v>237</v>
      </c>
      <c r="D639" s="270">
        <f t="shared" si="198"/>
        <v>51639</v>
      </c>
      <c r="E639" s="270">
        <f t="shared" si="198"/>
        <v>57742.1</v>
      </c>
      <c r="F639" s="270">
        <f t="shared" si="198"/>
        <v>60833.68</v>
      </c>
      <c r="G639" s="270">
        <f t="shared" si="198"/>
        <v>61904.119999999995</v>
      </c>
      <c r="H639" s="270">
        <f t="shared" si="198"/>
        <v>61507.68</v>
      </c>
      <c r="I639" s="270">
        <f t="shared" si="198"/>
        <v>63082.3</v>
      </c>
      <c r="J639" s="270">
        <f t="shared" si="198"/>
        <v>52892.4</v>
      </c>
      <c r="K639" s="270">
        <f t="shared" si="198"/>
        <v>56437.54</v>
      </c>
      <c r="L639" s="270">
        <f t="shared" si="198"/>
        <v>60323.199999999997</v>
      </c>
      <c r="M639" s="270">
        <f t="shared" si="198"/>
        <v>72986.62</v>
      </c>
      <c r="N639" s="270">
        <f t="shared" si="198"/>
        <v>77815.290000000008</v>
      </c>
      <c r="O639" s="270">
        <f t="shared" si="198"/>
        <v>77815.290000000008</v>
      </c>
      <c r="P639" s="270">
        <f t="shared" si="198"/>
        <v>77815.290000000008</v>
      </c>
      <c r="Q639" s="270">
        <f t="shared" si="198"/>
        <v>77815.290000000008</v>
      </c>
      <c r="R639" s="270">
        <f t="shared" si="198"/>
        <v>77815.290000000008</v>
      </c>
      <c r="S639" s="270">
        <f t="shared" si="196"/>
        <v>77815.290000000008</v>
      </c>
      <c r="T639" s="270">
        <f t="shared" si="196"/>
        <v>77815.290000000008</v>
      </c>
      <c r="U639" s="270">
        <f t="shared" si="194"/>
        <v>77815.290000000008</v>
      </c>
      <c r="V639" s="270">
        <f t="shared" si="194"/>
        <v>77815.290000000008</v>
      </c>
      <c r="W639" s="270">
        <f t="shared" si="194"/>
        <v>77815.290000000008</v>
      </c>
      <c r="X639" s="270">
        <f t="shared" si="194"/>
        <v>77815.290000000008</v>
      </c>
      <c r="Y639" s="270">
        <f t="shared" si="194"/>
        <v>77815.290000000008</v>
      </c>
      <c r="Z639" s="270">
        <f t="shared" si="194"/>
        <v>77815.290000000008</v>
      </c>
      <c r="AA639" s="270">
        <f t="shared" si="194"/>
        <v>77815.290000000008</v>
      </c>
      <c r="AB639" s="270">
        <f t="shared" si="194"/>
        <v>77815.290000000008</v>
      </c>
      <c r="AC639" s="270">
        <f t="shared" si="194"/>
        <v>77815.290000000008</v>
      </c>
      <c r="AD639" s="270">
        <f t="shared" si="197"/>
        <v>77815.290000000008</v>
      </c>
      <c r="AE639" s="270">
        <f t="shared" si="197"/>
        <v>77815.290000000008</v>
      </c>
      <c r="AF639" s="270">
        <f t="shared" si="195"/>
        <v>77815.290000000008</v>
      </c>
      <c r="AG639" s="270">
        <f t="shared" si="195"/>
        <v>77815.290000000008</v>
      </c>
      <c r="AH639" s="270">
        <f t="shared" si="195"/>
        <v>77815.290000000008</v>
      </c>
      <c r="AI639" s="270">
        <f t="shared" si="195"/>
        <v>77815.290000000008</v>
      </c>
      <c r="AJ639" s="270">
        <f t="shared" si="195"/>
        <v>77815.290000000008</v>
      </c>
      <c r="AK639" s="270">
        <f t="shared" si="195"/>
        <v>77815.290000000008</v>
      </c>
      <c r="AL639" s="270">
        <f t="shared" si="195"/>
        <v>77815.290000000008</v>
      </c>
      <c r="AM639" s="270">
        <f t="shared" si="195"/>
        <v>77815.290000000008</v>
      </c>
    </row>
    <row r="640" spans="2:39" ht="15.75" thickBot="1" x14ac:dyDescent="0.35">
      <c r="B640" s="56" t="str">
        <f>input_names!$C$3</f>
        <v>diesel</v>
      </c>
      <c r="C640" s="61">
        <v>238</v>
      </c>
      <c r="D640" s="270">
        <f t="shared" si="198"/>
        <v>52159</v>
      </c>
      <c r="E640" s="270">
        <f t="shared" si="198"/>
        <v>58304.53</v>
      </c>
      <c r="F640" s="270">
        <f t="shared" si="198"/>
        <v>61392.369999999995</v>
      </c>
      <c r="G640" s="270">
        <f t="shared" si="198"/>
        <v>62446.5</v>
      </c>
      <c r="H640" s="270">
        <f t="shared" si="198"/>
        <v>62024.11</v>
      </c>
      <c r="I640" s="270">
        <f t="shared" si="198"/>
        <v>63590.15</v>
      </c>
      <c r="J640" s="270">
        <f t="shared" si="198"/>
        <v>53407.99</v>
      </c>
      <c r="K640" s="270">
        <f t="shared" si="198"/>
        <v>56972.21</v>
      </c>
      <c r="L640" s="270">
        <f t="shared" si="198"/>
        <v>60865.5</v>
      </c>
      <c r="M640" s="270">
        <f t="shared" si="198"/>
        <v>73641.69</v>
      </c>
      <c r="N640" s="270">
        <f t="shared" si="198"/>
        <v>78493.16</v>
      </c>
      <c r="O640" s="270">
        <f t="shared" si="198"/>
        <v>78493.16</v>
      </c>
      <c r="P640" s="270">
        <f t="shared" si="198"/>
        <v>78493.16</v>
      </c>
      <c r="Q640" s="270">
        <f t="shared" si="198"/>
        <v>78493.16</v>
      </c>
      <c r="R640" s="270">
        <f t="shared" si="198"/>
        <v>78493.16</v>
      </c>
      <c r="S640" s="270">
        <f t="shared" si="196"/>
        <v>78493.16</v>
      </c>
      <c r="T640" s="270">
        <f t="shared" si="196"/>
        <v>78493.16</v>
      </c>
      <c r="U640" s="270">
        <f t="shared" si="194"/>
        <v>78493.16</v>
      </c>
      <c r="V640" s="270">
        <f t="shared" si="194"/>
        <v>78493.16</v>
      </c>
      <c r="W640" s="270">
        <f t="shared" si="194"/>
        <v>78493.16</v>
      </c>
      <c r="X640" s="270">
        <f t="shared" si="194"/>
        <v>78493.16</v>
      </c>
      <c r="Y640" s="270">
        <f t="shared" si="194"/>
        <v>78493.16</v>
      </c>
      <c r="Z640" s="270">
        <f t="shared" si="194"/>
        <v>78493.16</v>
      </c>
      <c r="AA640" s="270">
        <f t="shared" si="194"/>
        <v>78493.16</v>
      </c>
      <c r="AB640" s="270">
        <f t="shared" si="194"/>
        <v>78493.16</v>
      </c>
      <c r="AC640" s="270">
        <f t="shared" si="194"/>
        <v>78493.16</v>
      </c>
      <c r="AD640" s="270">
        <f t="shared" si="197"/>
        <v>78493.16</v>
      </c>
      <c r="AE640" s="270">
        <f t="shared" si="197"/>
        <v>78493.16</v>
      </c>
      <c r="AF640" s="270">
        <f t="shared" si="195"/>
        <v>78493.16</v>
      </c>
      <c r="AG640" s="270">
        <f t="shared" si="195"/>
        <v>78493.16</v>
      </c>
      <c r="AH640" s="270">
        <f t="shared" si="195"/>
        <v>78493.16</v>
      </c>
      <c r="AI640" s="270">
        <f t="shared" si="195"/>
        <v>78493.16</v>
      </c>
      <c r="AJ640" s="270">
        <f t="shared" si="195"/>
        <v>78493.16</v>
      </c>
      <c r="AK640" s="270">
        <f t="shared" si="195"/>
        <v>78493.16</v>
      </c>
      <c r="AL640" s="270">
        <f t="shared" si="195"/>
        <v>78493.16</v>
      </c>
      <c r="AM640" s="270">
        <f t="shared" si="195"/>
        <v>78493.16</v>
      </c>
    </row>
    <row r="641" spans="2:39" ht="15.75" thickBot="1" x14ac:dyDescent="0.35">
      <c r="B641" s="56" t="str">
        <f>input_names!$C$3</f>
        <v>diesel</v>
      </c>
      <c r="C641" s="61">
        <v>239</v>
      </c>
      <c r="D641" s="270">
        <f t="shared" si="198"/>
        <v>52679</v>
      </c>
      <c r="E641" s="270">
        <f t="shared" si="198"/>
        <v>58866.96</v>
      </c>
      <c r="F641" s="270">
        <f t="shared" si="198"/>
        <v>61951.06</v>
      </c>
      <c r="G641" s="270">
        <f t="shared" si="198"/>
        <v>62988.88</v>
      </c>
      <c r="H641" s="270">
        <f t="shared" si="198"/>
        <v>62540.54</v>
      </c>
      <c r="I641" s="270">
        <f t="shared" si="198"/>
        <v>64098</v>
      </c>
      <c r="J641" s="270">
        <f t="shared" si="198"/>
        <v>53923.58</v>
      </c>
      <c r="K641" s="270">
        <f t="shared" si="198"/>
        <v>57506.880000000005</v>
      </c>
      <c r="L641" s="270">
        <f t="shared" si="198"/>
        <v>61407.8</v>
      </c>
      <c r="M641" s="270">
        <f t="shared" si="198"/>
        <v>74296.759999999995</v>
      </c>
      <c r="N641" s="270">
        <f t="shared" si="198"/>
        <v>79171.03</v>
      </c>
      <c r="O641" s="270">
        <f t="shared" si="198"/>
        <v>79171.03</v>
      </c>
      <c r="P641" s="270">
        <f t="shared" si="198"/>
        <v>79171.03</v>
      </c>
      <c r="Q641" s="270">
        <f t="shared" si="198"/>
        <v>79171.03</v>
      </c>
      <c r="R641" s="270">
        <f t="shared" si="198"/>
        <v>79171.03</v>
      </c>
      <c r="S641" s="270">
        <f t="shared" si="198"/>
        <v>79171.03</v>
      </c>
      <c r="T641" s="270">
        <f t="shared" ref="S641:T704" si="199">+MIN(MAX(0,$C641-T$11),T$12-T$11)*T$17
+MIN(MAX(0,$C641-T$12),T$13-T$12)*T$18
+MIN(MAX(0,$C641-T$13),T$14-T$13)*T$19
+MIN(MAX(0,$C641-T$14),T$15-T$14)*T$20
+MAX(0,$C641-T$15)*T$21
+T$24*MAX(0,$C641-T$23)
+T$26</f>
        <v>79171.03</v>
      </c>
      <c r="U641" s="270">
        <f t="shared" si="194"/>
        <v>79171.03</v>
      </c>
      <c r="V641" s="270">
        <f t="shared" si="194"/>
        <v>79171.03</v>
      </c>
      <c r="W641" s="270">
        <f t="shared" ref="U641:AC669" si="200">+MIN(MAX(0,$C641-W$11),W$12-W$11)*W$17
+MIN(MAX(0,$C641-W$12),W$13-W$12)*W$18
+MIN(MAX(0,$C641-W$13),W$14-W$13)*W$19
+MIN(MAX(0,$C641-W$14),W$15-W$14)*W$20
+MAX(0,$C641-W$15)*W$21
+W$24*MAX(0,$C641-W$23)
+W$26</f>
        <v>79171.03</v>
      </c>
      <c r="X641" s="270">
        <f t="shared" si="200"/>
        <v>79171.03</v>
      </c>
      <c r="Y641" s="270">
        <f t="shared" si="200"/>
        <v>79171.03</v>
      </c>
      <c r="Z641" s="270">
        <f t="shared" si="200"/>
        <v>79171.03</v>
      </c>
      <c r="AA641" s="270">
        <f t="shared" si="200"/>
        <v>79171.03</v>
      </c>
      <c r="AB641" s="270">
        <f t="shared" si="200"/>
        <v>79171.03</v>
      </c>
      <c r="AC641" s="270">
        <f t="shared" si="200"/>
        <v>79171.03</v>
      </c>
      <c r="AD641" s="270">
        <f t="shared" si="197"/>
        <v>79171.03</v>
      </c>
      <c r="AE641" s="270">
        <f t="shared" si="197"/>
        <v>79171.03</v>
      </c>
      <c r="AF641" s="270">
        <f t="shared" si="195"/>
        <v>79171.03</v>
      </c>
      <c r="AG641" s="270">
        <f t="shared" si="195"/>
        <v>79171.03</v>
      </c>
      <c r="AH641" s="270">
        <f t="shared" si="195"/>
        <v>79171.03</v>
      </c>
      <c r="AI641" s="270">
        <f t="shared" si="195"/>
        <v>79171.03</v>
      </c>
      <c r="AJ641" s="270">
        <f t="shared" si="195"/>
        <v>79171.03</v>
      </c>
      <c r="AK641" s="270">
        <f t="shared" si="195"/>
        <v>79171.03</v>
      </c>
      <c r="AL641" s="270">
        <f t="shared" si="195"/>
        <v>79171.03</v>
      </c>
      <c r="AM641" s="270">
        <f t="shared" si="195"/>
        <v>79171.03</v>
      </c>
    </row>
    <row r="642" spans="2:39" ht="15.75" thickBot="1" x14ac:dyDescent="0.35">
      <c r="B642" s="56" t="str">
        <f>input_names!$C$3</f>
        <v>diesel</v>
      </c>
      <c r="C642" s="61">
        <v>240</v>
      </c>
      <c r="D642" s="270">
        <f t="shared" ref="D642:R657" si="201">+MIN(MAX(0,$C642-D$11),D$12-D$11)*D$17
+MIN(MAX(0,$C642-D$12),D$13-D$12)*D$18
+MIN(MAX(0,$C642-D$13),D$14-D$13)*D$19
+MIN(MAX(0,$C642-D$14),D$15-D$14)*D$20
+MAX(0,$C642-D$15)*D$21
+D$24*MAX(0,$C642-D$23)
+D$26</f>
        <v>53199</v>
      </c>
      <c r="E642" s="270">
        <f t="shared" si="201"/>
        <v>59429.39</v>
      </c>
      <c r="F642" s="270">
        <f t="shared" si="201"/>
        <v>62509.75</v>
      </c>
      <c r="G642" s="270">
        <f t="shared" si="201"/>
        <v>63531.259999999995</v>
      </c>
      <c r="H642" s="270">
        <f t="shared" si="201"/>
        <v>63056.97</v>
      </c>
      <c r="I642" s="270">
        <f t="shared" si="201"/>
        <v>64605.85</v>
      </c>
      <c r="J642" s="270">
        <f t="shared" si="201"/>
        <v>54439.17</v>
      </c>
      <c r="K642" s="270">
        <f t="shared" si="201"/>
        <v>58041.55</v>
      </c>
      <c r="L642" s="270">
        <f t="shared" si="201"/>
        <v>61950.1</v>
      </c>
      <c r="M642" s="270">
        <f t="shared" si="201"/>
        <v>74951.83</v>
      </c>
      <c r="N642" s="270">
        <f t="shared" si="201"/>
        <v>79848.899999999994</v>
      </c>
      <c r="O642" s="270">
        <f t="shared" si="201"/>
        <v>79848.899999999994</v>
      </c>
      <c r="P642" s="270">
        <f t="shared" si="201"/>
        <v>79848.899999999994</v>
      </c>
      <c r="Q642" s="270">
        <f t="shared" si="201"/>
        <v>79848.899999999994</v>
      </c>
      <c r="R642" s="270">
        <f t="shared" si="201"/>
        <v>79848.899999999994</v>
      </c>
      <c r="S642" s="270">
        <f t="shared" si="199"/>
        <v>79848.899999999994</v>
      </c>
      <c r="T642" s="270">
        <f t="shared" si="199"/>
        <v>79848.899999999994</v>
      </c>
      <c r="U642" s="270">
        <f t="shared" si="200"/>
        <v>79848.899999999994</v>
      </c>
      <c r="V642" s="270">
        <f t="shared" si="200"/>
        <v>79848.899999999994</v>
      </c>
      <c r="W642" s="270">
        <f t="shared" si="200"/>
        <v>79848.899999999994</v>
      </c>
      <c r="X642" s="270">
        <f t="shared" si="200"/>
        <v>79848.899999999994</v>
      </c>
      <c r="Y642" s="270">
        <f t="shared" si="200"/>
        <v>79848.899999999994</v>
      </c>
      <c r="Z642" s="270">
        <f t="shared" si="200"/>
        <v>79848.899999999994</v>
      </c>
      <c r="AA642" s="270">
        <f t="shared" si="200"/>
        <v>79848.899999999994</v>
      </c>
      <c r="AB642" s="270">
        <f t="shared" si="200"/>
        <v>79848.899999999994</v>
      </c>
      <c r="AC642" s="270">
        <f t="shared" si="200"/>
        <v>79848.899999999994</v>
      </c>
      <c r="AD642" s="270">
        <f t="shared" si="197"/>
        <v>79848.899999999994</v>
      </c>
      <c r="AE642" s="270">
        <f t="shared" si="197"/>
        <v>79848.899999999994</v>
      </c>
      <c r="AF642" s="270">
        <f t="shared" si="195"/>
        <v>79848.899999999994</v>
      </c>
      <c r="AG642" s="270">
        <f t="shared" si="195"/>
        <v>79848.899999999994</v>
      </c>
      <c r="AH642" s="270">
        <f t="shared" si="195"/>
        <v>79848.899999999994</v>
      </c>
      <c r="AI642" s="270">
        <f t="shared" si="195"/>
        <v>79848.899999999994</v>
      </c>
      <c r="AJ642" s="270">
        <f t="shared" si="195"/>
        <v>79848.899999999994</v>
      </c>
      <c r="AK642" s="270">
        <f t="shared" si="195"/>
        <v>79848.899999999994</v>
      </c>
      <c r="AL642" s="270">
        <f t="shared" si="195"/>
        <v>79848.899999999994</v>
      </c>
      <c r="AM642" s="270">
        <f t="shared" si="195"/>
        <v>79848.899999999994</v>
      </c>
    </row>
    <row r="643" spans="2:39" ht="15.75" thickBot="1" x14ac:dyDescent="0.35">
      <c r="B643" s="56" t="str">
        <f>input_names!$C$3</f>
        <v>diesel</v>
      </c>
      <c r="C643" s="61">
        <v>241</v>
      </c>
      <c r="D643" s="270">
        <f t="shared" si="201"/>
        <v>53719</v>
      </c>
      <c r="E643" s="270">
        <f t="shared" si="201"/>
        <v>59991.82</v>
      </c>
      <c r="F643" s="270">
        <f t="shared" si="201"/>
        <v>63068.44</v>
      </c>
      <c r="G643" s="270">
        <f t="shared" si="201"/>
        <v>64073.64</v>
      </c>
      <c r="H643" s="270">
        <f t="shared" si="201"/>
        <v>63573.4</v>
      </c>
      <c r="I643" s="270">
        <f t="shared" si="201"/>
        <v>65113.7</v>
      </c>
      <c r="J643" s="270">
        <f t="shared" si="201"/>
        <v>54954.76</v>
      </c>
      <c r="K643" s="270">
        <f t="shared" si="201"/>
        <v>58576.22</v>
      </c>
      <c r="L643" s="270">
        <f t="shared" si="201"/>
        <v>62492.4</v>
      </c>
      <c r="M643" s="270">
        <f t="shared" si="201"/>
        <v>75606.899999999994</v>
      </c>
      <c r="N643" s="270">
        <f t="shared" si="201"/>
        <v>80526.77</v>
      </c>
      <c r="O643" s="270">
        <f t="shared" si="201"/>
        <v>80526.77</v>
      </c>
      <c r="P643" s="270">
        <f t="shared" si="201"/>
        <v>80526.77</v>
      </c>
      <c r="Q643" s="270">
        <f t="shared" si="201"/>
        <v>80526.77</v>
      </c>
      <c r="R643" s="270">
        <f t="shared" si="201"/>
        <v>80526.77</v>
      </c>
      <c r="S643" s="270">
        <f t="shared" si="199"/>
        <v>80526.77</v>
      </c>
      <c r="T643" s="270">
        <f t="shared" si="199"/>
        <v>80526.77</v>
      </c>
      <c r="U643" s="270">
        <f t="shared" si="200"/>
        <v>80526.77</v>
      </c>
      <c r="V643" s="270">
        <f t="shared" si="200"/>
        <v>80526.77</v>
      </c>
      <c r="W643" s="270">
        <f t="shared" si="200"/>
        <v>80526.77</v>
      </c>
      <c r="X643" s="270">
        <f t="shared" si="200"/>
        <v>80526.77</v>
      </c>
      <c r="Y643" s="270">
        <f t="shared" si="200"/>
        <v>80526.77</v>
      </c>
      <c r="Z643" s="270">
        <f t="shared" si="200"/>
        <v>80526.77</v>
      </c>
      <c r="AA643" s="270">
        <f t="shared" si="200"/>
        <v>80526.77</v>
      </c>
      <c r="AB643" s="270">
        <f t="shared" si="200"/>
        <v>80526.77</v>
      </c>
      <c r="AC643" s="270">
        <f t="shared" si="200"/>
        <v>80526.77</v>
      </c>
      <c r="AD643" s="270">
        <f t="shared" si="197"/>
        <v>80526.77</v>
      </c>
      <c r="AE643" s="270">
        <f t="shared" si="197"/>
        <v>80526.77</v>
      </c>
      <c r="AF643" s="270">
        <f t="shared" si="195"/>
        <v>80526.77</v>
      </c>
      <c r="AG643" s="270">
        <f t="shared" si="195"/>
        <v>80526.77</v>
      </c>
      <c r="AH643" s="270">
        <f t="shared" si="195"/>
        <v>80526.77</v>
      </c>
      <c r="AI643" s="270">
        <f t="shared" si="195"/>
        <v>80526.77</v>
      </c>
      <c r="AJ643" s="270">
        <f t="shared" si="195"/>
        <v>80526.77</v>
      </c>
      <c r="AK643" s="270">
        <f t="shared" si="195"/>
        <v>80526.77</v>
      </c>
      <c r="AL643" s="270">
        <f t="shared" si="195"/>
        <v>80526.77</v>
      </c>
      <c r="AM643" s="270">
        <f t="shared" si="195"/>
        <v>80526.77</v>
      </c>
    </row>
    <row r="644" spans="2:39" ht="15.75" thickBot="1" x14ac:dyDescent="0.35">
      <c r="B644" s="56" t="str">
        <f>input_names!$C$3</f>
        <v>diesel</v>
      </c>
      <c r="C644" s="61">
        <v>242</v>
      </c>
      <c r="D644" s="270">
        <f t="shared" si="201"/>
        <v>54239</v>
      </c>
      <c r="E644" s="270">
        <f t="shared" si="201"/>
        <v>60554.25</v>
      </c>
      <c r="F644" s="270">
        <f t="shared" si="201"/>
        <v>63627.13</v>
      </c>
      <c r="G644" s="270">
        <f t="shared" si="201"/>
        <v>64616.02</v>
      </c>
      <c r="H644" s="270">
        <f t="shared" si="201"/>
        <v>64089.83</v>
      </c>
      <c r="I644" s="270">
        <f t="shared" si="201"/>
        <v>65621.55</v>
      </c>
      <c r="J644" s="270">
        <f t="shared" si="201"/>
        <v>55470.35</v>
      </c>
      <c r="K644" s="270">
        <f t="shared" si="201"/>
        <v>59110.89</v>
      </c>
      <c r="L644" s="270">
        <f t="shared" si="201"/>
        <v>63034.7</v>
      </c>
      <c r="M644" s="270">
        <f t="shared" si="201"/>
        <v>76261.97</v>
      </c>
      <c r="N644" s="270">
        <f t="shared" si="201"/>
        <v>81204.639999999999</v>
      </c>
      <c r="O644" s="270">
        <f t="shared" si="201"/>
        <v>81204.639999999999</v>
      </c>
      <c r="P644" s="270">
        <f t="shared" si="201"/>
        <v>81204.639999999999</v>
      </c>
      <c r="Q644" s="270">
        <f t="shared" si="201"/>
        <v>81204.639999999999</v>
      </c>
      <c r="R644" s="270">
        <f t="shared" si="201"/>
        <v>81204.639999999999</v>
      </c>
      <c r="S644" s="270">
        <f t="shared" si="199"/>
        <v>81204.639999999999</v>
      </c>
      <c r="T644" s="270">
        <f t="shared" si="199"/>
        <v>81204.639999999999</v>
      </c>
      <c r="U644" s="270">
        <f t="shared" si="200"/>
        <v>81204.639999999999</v>
      </c>
      <c r="V644" s="270">
        <f t="shared" si="200"/>
        <v>81204.639999999999</v>
      </c>
      <c r="W644" s="270">
        <f t="shared" si="200"/>
        <v>81204.639999999999</v>
      </c>
      <c r="X644" s="270">
        <f t="shared" si="200"/>
        <v>81204.639999999999</v>
      </c>
      <c r="Y644" s="270">
        <f t="shared" si="200"/>
        <v>81204.639999999999</v>
      </c>
      <c r="Z644" s="270">
        <f t="shared" si="200"/>
        <v>81204.639999999999</v>
      </c>
      <c r="AA644" s="270">
        <f t="shared" si="200"/>
        <v>81204.639999999999</v>
      </c>
      <c r="AB644" s="270">
        <f t="shared" si="200"/>
        <v>81204.639999999999</v>
      </c>
      <c r="AC644" s="270">
        <f t="shared" si="200"/>
        <v>81204.639999999999</v>
      </c>
      <c r="AD644" s="270">
        <f t="shared" si="197"/>
        <v>81204.639999999999</v>
      </c>
      <c r="AE644" s="270">
        <f t="shared" si="197"/>
        <v>81204.639999999999</v>
      </c>
      <c r="AF644" s="270">
        <f t="shared" si="195"/>
        <v>81204.639999999999</v>
      </c>
      <c r="AG644" s="270">
        <f t="shared" si="195"/>
        <v>81204.639999999999</v>
      </c>
      <c r="AH644" s="270">
        <f t="shared" si="195"/>
        <v>81204.639999999999</v>
      </c>
      <c r="AI644" s="270">
        <f t="shared" si="195"/>
        <v>81204.639999999999</v>
      </c>
      <c r="AJ644" s="270">
        <f t="shared" si="195"/>
        <v>81204.639999999999</v>
      </c>
      <c r="AK644" s="270">
        <f t="shared" si="195"/>
        <v>81204.639999999999</v>
      </c>
      <c r="AL644" s="270">
        <f t="shared" si="195"/>
        <v>81204.639999999999</v>
      </c>
      <c r="AM644" s="270">
        <f t="shared" si="195"/>
        <v>81204.639999999999</v>
      </c>
    </row>
    <row r="645" spans="2:39" ht="15.75" thickBot="1" x14ac:dyDescent="0.35">
      <c r="B645" s="56" t="str">
        <f>input_names!$C$3</f>
        <v>diesel</v>
      </c>
      <c r="C645" s="61">
        <v>243</v>
      </c>
      <c r="D645" s="270">
        <f t="shared" si="201"/>
        <v>54759</v>
      </c>
      <c r="E645" s="270">
        <f t="shared" si="201"/>
        <v>61116.68</v>
      </c>
      <c r="F645" s="270">
        <f t="shared" si="201"/>
        <v>64185.82</v>
      </c>
      <c r="G645" s="270">
        <f t="shared" si="201"/>
        <v>65158.400000000001</v>
      </c>
      <c r="H645" s="270">
        <f t="shared" si="201"/>
        <v>64606.26</v>
      </c>
      <c r="I645" s="270">
        <f t="shared" si="201"/>
        <v>66129.399999999994</v>
      </c>
      <c r="J645" s="270">
        <f t="shared" si="201"/>
        <v>55985.94</v>
      </c>
      <c r="K645" s="270">
        <f t="shared" si="201"/>
        <v>59645.56</v>
      </c>
      <c r="L645" s="270">
        <f t="shared" si="201"/>
        <v>63577</v>
      </c>
      <c r="M645" s="270">
        <f t="shared" si="201"/>
        <v>76917.039999999994</v>
      </c>
      <c r="N645" s="270">
        <f t="shared" si="201"/>
        <v>81882.510000000009</v>
      </c>
      <c r="O645" s="270">
        <f t="shared" si="201"/>
        <v>81882.510000000009</v>
      </c>
      <c r="P645" s="270">
        <f t="shared" si="201"/>
        <v>81882.510000000009</v>
      </c>
      <c r="Q645" s="270">
        <f t="shared" si="201"/>
        <v>81882.510000000009</v>
      </c>
      <c r="R645" s="270">
        <f t="shared" si="201"/>
        <v>81882.510000000009</v>
      </c>
      <c r="S645" s="270">
        <f t="shared" si="199"/>
        <v>81882.510000000009</v>
      </c>
      <c r="T645" s="270">
        <f t="shared" si="199"/>
        <v>81882.510000000009</v>
      </c>
      <c r="U645" s="270">
        <f t="shared" si="200"/>
        <v>81882.510000000009</v>
      </c>
      <c r="V645" s="270">
        <f t="shared" si="200"/>
        <v>81882.510000000009</v>
      </c>
      <c r="W645" s="270">
        <f t="shared" si="200"/>
        <v>81882.510000000009</v>
      </c>
      <c r="X645" s="270">
        <f t="shared" si="200"/>
        <v>81882.510000000009</v>
      </c>
      <c r="Y645" s="270">
        <f t="shared" si="200"/>
        <v>81882.510000000009</v>
      </c>
      <c r="Z645" s="270">
        <f t="shared" si="200"/>
        <v>81882.510000000009</v>
      </c>
      <c r="AA645" s="270">
        <f t="shared" si="200"/>
        <v>81882.510000000009</v>
      </c>
      <c r="AB645" s="270">
        <f t="shared" si="200"/>
        <v>81882.510000000009</v>
      </c>
      <c r="AC645" s="270">
        <f t="shared" si="200"/>
        <v>81882.510000000009</v>
      </c>
      <c r="AD645" s="270">
        <f t="shared" si="197"/>
        <v>81882.510000000009</v>
      </c>
      <c r="AE645" s="270">
        <f t="shared" si="197"/>
        <v>81882.510000000009</v>
      </c>
      <c r="AF645" s="270">
        <f t="shared" si="195"/>
        <v>81882.510000000009</v>
      </c>
      <c r="AG645" s="270">
        <f t="shared" si="195"/>
        <v>81882.510000000009</v>
      </c>
      <c r="AH645" s="270">
        <f t="shared" si="195"/>
        <v>81882.510000000009</v>
      </c>
      <c r="AI645" s="270">
        <f t="shared" si="195"/>
        <v>81882.510000000009</v>
      </c>
      <c r="AJ645" s="270">
        <f t="shared" si="195"/>
        <v>81882.510000000009</v>
      </c>
      <c r="AK645" s="270">
        <f t="shared" si="195"/>
        <v>81882.510000000009</v>
      </c>
      <c r="AL645" s="270">
        <f t="shared" si="195"/>
        <v>81882.510000000009</v>
      </c>
      <c r="AM645" s="270">
        <f t="shared" si="195"/>
        <v>81882.510000000009</v>
      </c>
    </row>
    <row r="646" spans="2:39" ht="15.75" thickBot="1" x14ac:dyDescent="0.35">
      <c r="B646" s="56" t="str">
        <f>input_names!$C$3</f>
        <v>diesel</v>
      </c>
      <c r="C646" s="61">
        <v>244</v>
      </c>
      <c r="D646" s="270">
        <f t="shared" si="201"/>
        <v>55279</v>
      </c>
      <c r="E646" s="270">
        <f t="shared" si="201"/>
        <v>61679.11</v>
      </c>
      <c r="F646" s="270">
        <f t="shared" si="201"/>
        <v>64744.51</v>
      </c>
      <c r="G646" s="270">
        <f t="shared" si="201"/>
        <v>65700.78</v>
      </c>
      <c r="H646" s="270">
        <f t="shared" si="201"/>
        <v>65122.69</v>
      </c>
      <c r="I646" s="270">
        <f t="shared" si="201"/>
        <v>66637.25</v>
      </c>
      <c r="J646" s="270">
        <f t="shared" si="201"/>
        <v>56501.53</v>
      </c>
      <c r="K646" s="270">
        <f t="shared" si="201"/>
        <v>60180.229999999996</v>
      </c>
      <c r="L646" s="270">
        <f t="shared" si="201"/>
        <v>64119.3</v>
      </c>
      <c r="M646" s="270">
        <f t="shared" si="201"/>
        <v>77572.11</v>
      </c>
      <c r="N646" s="270">
        <f t="shared" si="201"/>
        <v>82560.38</v>
      </c>
      <c r="O646" s="270">
        <f t="shared" si="201"/>
        <v>82560.38</v>
      </c>
      <c r="P646" s="270">
        <f t="shared" si="201"/>
        <v>82560.38</v>
      </c>
      <c r="Q646" s="270">
        <f t="shared" si="201"/>
        <v>82560.38</v>
      </c>
      <c r="R646" s="270">
        <f t="shared" si="201"/>
        <v>82560.38</v>
      </c>
      <c r="S646" s="270">
        <f t="shared" si="199"/>
        <v>82560.38</v>
      </c>
      <c r="T646" s="270">
        <f t="shared" si="199"/>
        <v>82560.38</v>
      </c>
      <c r="U646" s="270">
        <f t="shared" si="200"/>
        <v>82560.38</v>
      </c>
      <c r="V646" s="270">
        <f t="shared" si="200"/>
        <v>82560.38</v>
      </c>
      <c r="W646" s="270">
        <f t="shared" si="200"/>
        <v>82560.38</v>
      </c>
      <c r="X646" s="270">
        <f t="shared" si="200"/>
        <v>82560.38</v>
      </c>
      <c r="Y646" s="270">
        <f t="shared" si="200"/>
        <v>82560.38</v>
      </c>
      <c r="Z646" s="270">
        <f t="shared" si="200"/>
        <v>82560.38</v>
      </c>
      <c r="AA646" s="270">
        <f t="shared" si="200"/>
        <v>82560.38</v>
      </c>
      <c r="AB646" s="270">
        <f t="shared" si="200"/>
        <v>82560.38</v>
      </c>
      <c r="AC646" s="270">
        <f t="shared" si="200"/>
        <v>82560.38</v>
      </c>
      <c r="AD646" s="270">
        <f t="shared" si="197"/>
        <v>82560.38</v>
      </c>
      <c r="AE646" s="270">
        <f t="shared" si="197"/>
        <v>82560.38</v>
      </c>
      <c r="AF646" s="270">
        <f t="shared" si="195"/>
        <v>82560.38</v>
      </c>
      <c r="AG646" s="270">
        <f t="shared" si="195"/>
        <v>82560.38</v>
      </c>
      <c r="AH646" s="270">
        <f t="shared" si="195"/>
        <v>82560.38</v>
      </c>
      <c r="AI646" s="270">
        <f t="shared" si="195"/>
        <v>82560.38</v>
      </c>
      <c r="AJ646" s="270">
        <f t="shared" si="195"/>
        <v>82560.38</v>
      </c>
      <c r="AK646" s="270">
        <f t="shared" si="195"/>
        <v>82560.38</v>
      </c>
      <c r="AL646" s="270">
        <f t="shared" si="195"/>
        <v>82560.38</v>
      </c>
      <c r="AM646" s="270">
        <f t="shared" si="195"/>
        <v>82560.38</v>
      </c>
    </row>
    <row r="647" spans="2:39" ht="15.75" thickBot="1" x14ac:dyDescent="0.35">
      <c r="B647" s="56" t="str">
        <f>input_names!$C$3</f>
        <v>diesel</v>
      </c>
      <c r="C647" s="61">
        <v>245</v>
      </c>
      <c r="D647" s="270">
        <f t="shared" si="201"/>
        <v>55799</v>
      </c>
      <c r="E647" s="270">
        <f t="shared" si="201"/>
        <v>62241.54</v>
      </c>
      <c r="F647" s="270">
        <f t="shared" si="201"/>
        <v>65303.199999999997</v>
      </c>
      <c r="G647" s="270">
        <f t="shared" si="201"/>
        <v>66243.16</v>
      </c>
      <c r="H647" s="270">
        <f t="shared" si="201"/>
        <v>65639.12</v>
      </c>
      <c r="I647" s="270">
        <f t="shared" si="201"/>
        <v>67145.100000000006</v>
      </c>
      <c r="J647" s="270">
        <f t="shared" si="201"/>
        <v>57017.120000000003</v>
      </c>
      <c r="K647" s="270">
        <f t="shared" si="201"/>
        <v>60714.9</v>
      </c>
      <c r="L647" s="270">
        <f t="shared" si="201"/>
        <v>64661.599999999999</v>
      </c>
      <c r="M647" s="270">
        <f t="shared" si="201"/>
        <v>78227.179999999993</v>
      </c>
      <c r="N647" s="270">
        <f t="shared" si="201"/>
        <v>83238.25</v>
      </c>
      <c r="O647" s="270">
        <f t="shared" si="201"/>
        <v>83238.25</v>
      </c>
      <c r="P647" s="270">
        <f t="shared" si="201"/>
        <v>83238.25</v>
      </c>
      <c r="Q647" s="270">
        <f t="shared" si="201"/>
        <v>83238.25</v>
      </c>
      <c r="R647" s="270">
        <f t="shared" si="201"/>
        <v>83238.25</v>
      </c>
      <c r="S647" s="270">
        <f t="shared" si="199"/>
        <v>83238.25</v>
      </c>
      <c r="T647" s="270">
        <f t="shared" si="199"/>
        <v>83238.25</v>
      </c>
      <c r="U647" s="270">
        <f t="shared" si="200"/>
        <v>83238.25</v>
      </c>
      <c r="V647" s="270">
        <f t="shared" si="200"/>
        <v>83238.25</v>
      </c>
      <c r="W647" s="270">
        <f t="shared" si="200"/>
        <v>83238.25</v>
      </c>
      <c r="X647" s="270">
        <f t="shared" si="200"/>
        <v>83238.25</v>
      </c>
      <c r="Y647" s="270">
        <f t="shared" si="200"/>
        <v>83238.25</v>
      </c>
      <c r="Z647" s="270">
        <f t="shared" si="200"/>
        <v>83238.25</v>
      </c>
      <c r="AA647" s="270">
        <f t="shared" si="200"/>
        <v>83238.25</v>
      </c>
      <c r="AB647" s="270">
        <f t="shared" si="200"/>
        <v>83238.25</v>
      </c>
      <c r="AC647" s="270">
        <f t="shared" si="200"/>
        <v>83238.25</v>
      </c>
      <c r="AD647" s="270">
        <f t="shared" si="197"/>
        <v>83238.25</v>
      </c>
      <c r="AE647" s="270">
        <f t="shared" si="197"/>
        <v>83238.25</v>
      </c>
      <c r="AF647" s="270">
        <f t="shared" si="195"/>
        <v>83238.25</v>
      </c>
      <c r="AG647" s="270">
        <f t="shared" si="195"/>
        <v>83238.25</v>
      </c>
      <c r="AH647" s="270">
        <f t="shared" si="195"/>
        <v>83238.25</v>
      </c>
      <c r="AI647" s="270">
        <f t="shared" si="195"/>
        <v>83238.25</v>
      </c>
      <c r="AJ647" s="270">
        <f t="shared" si="195"/>
        <v>83238.25</v>
      </c>
      <c r="AK647" s="270">
        <f t="shared" si="195"/>
        <v>83238.25</v>
      </c>
      <c r="AL647" s="270">
        <f t="shared" si="195"/>
        <v>83238.25</v>
      </c>
      <c r="AM647" s="270">
        <f t="shared" si="195"/>
        <v>83238.25</v>
      </c>
    </row>
    <row r="648" spans="2:39" ht="15.75" thickBot="1" x14ac:dyDescent="0.35">
      <c r="B648" s="56" t="str">
        <f>input_names!$C$3</f>
        <v>diesel</v>
      </c>
      <c r="C648" s="61">
        <v>246</v>
      </c>
      <c r="D648" s="270">
        <f t="shared" si="201"/>
        <v>56319</v>
      </c>
      <c r="E648" s="270">
        <f t="shared" si="201"/>
        <v>62803.97</v>
      </c>
      <c r="F648" s="270">
        <f t="shared" si="201"/>
        <v>65861.89</v>
      </c>
      <c r="G648" s="270">
        <f t="shared" si="201"/>
        <v>66785.539999999994</v>
      </c>
      <c r="H648" s="270">
        <f t="shared" si="201"/>
        <v>66155.55</v>
      </c>
      <c r="I648" s="270">
        <f t="shared" si="201"/>
        <v>67652.95</v>
      </c>
      <c r="J648" s="270">
        <f t="shared" si="201"/>
        <v>57532.71</v>
      </c>
      <c r="K648" s="270">
        <f t="shared" si="201"/>
        <v>61249.57</v>
      </c>
      <c r="L648" s="270">
        <f t="shared" si="201"/>
        <v>65203.9</v>
      </c>
      <c r="M648" s="270">
        <f t="shared" si="201"/>
        <v>78882.25</v>
      </c>
      <c r="N648" s="270">
        <f t="shared" si="201"/>
        <v>83916.12</v>
      </c>
      <c r="O648" s="270">
        <f t="shared" si="201"/>
        <v>83916.12</v>
      </c>
      <c r="P648" s="270">
        <f t="shared" si="201"/>
        <v>83916.12</v>
      </c>
      <c r="Q648" s="270">
        <f t="shared" si="201"/>
        <v>83916.12</v>
      </c>
      <c r="R648" s="270">
        <f t="shared" si="201"/>
        <v>83916.12</v>
      </c>
      <c r="S648" s="270">
        <f t="shared" si="199"/>
        <v>83916.12</v>
      </c>
      <c r="T648" s="270">
        <f t="shared" si="199"/>
        <v>83916.12</v>
      </c>
      <c r="U648" s="270">
        <f t="shared" si="200"/>
        <v>83916.12</v>
      </c>
      <c r="V648" s="270">
        <f t="shared" si="200"/>
        <v>83916.12</v>
      </c>
      <c r="W648" s="270">
        <f t="shared" si="200"/>
        <v>83916.12</v>
      </c>
      <c r="X648" s="270">
        <f t="shared" si="200"/>
        <v>83916.12</v>
      </c>
      <c r="Y648" s="270">
        <f t="shared" si="200"/>
        <v>83916.12</v>
      </c>
      <c r="Z648" s="270">
        <f t="shared" si="200"/>
        <v>83916.12</v>
      </c>
      <c r="AA648" s="270">
        <f t="shared" si="200"/>
        <v>83916.12</v>
      </c>
      <c r="AB648" s="270">
        <f t="shared" si="200"/>
        <v>83916.12</v>
      </c>
      <c r="AC648" s="270">
        <f t="shared" si="200"/>
        <v>83916.12</v>
      </c>
      <c r="AD648" s="270">
        <f t="shared" si="197"/>
        <v>83916.12</v>
      </c>
      <c r="AE648" s="270">
        <f t="shared" si="197"/>
        <v>83916.12</v>
      </c>
      <c r="AF648" s="270">
        <f t="shared" si="195"/>
        <v>83916.12</v>
      </c>
      <c r="AG648" s="270">
        <f t="shared" si="195"/>
        <v>83916.12</v>
      </c>
      <c r="AH648" s="270">
        <f t="shared" si="195"/>
        <v>83916.12</v>
      </c>
      <c r="AI648" s="270">
        <f t="shared" si="195"/>
        <v>83916.12</v>
      </c>
      <c r="AJ648" s="270">
        <f t="shared" si="195"/>
        <v>83916.12</v>
      </c>
      <c r="AK648" s="270">
        <f t="shared" si="195"/>
        <v>83916.12</v>
      </c>
      <c r="AL648" s="270">
        <f t="shared" si="195"/>
        <v>83916.12</v>
      </c>
      <c r="AM648" s="270">
        <f t="shared" si="195"/>
        <v>83916.12</v>
      </c>
    </row>
    <row r="649" spans="2:39" ht="15.75" thickBot="1" x14ac:dyDescent="0.35">
      <c r="B649" s="56" t="str">
        <f>input_names!$C$3</f>
        <v>diesel</v>
      </c>
      <c r="C649" s="61">
        <v>247</v>
      </c>
      <c r="D649" s="270">
        <f t="shared" si="201"/>
        <v>56839</v>
      </c>
      <c r="E649" s="270">
        <f t="shared" si="201"/>
        <v>63366.400000000001</v>
      </c>
      <c r="F649" s="270">
        <f t="shared" si="201"/>
        <v>66420.58</v>
      </c>
      <c r="G649" s="270">
        <f t="shared" si="201"/>
        <v>67327.92</v>
      </c>
      <c r="H649" s="270">
        <f t="shared" si="201"/>
        <v>66671.98</v>
      </c>
      <c r="I649" s="270">
        <f t="shared" si="201"/>
        <v>68160.800000000003</v>
      </c>
      <c r="J649" s="270">
        <f t="shared" si="201"/>
        <v>58048.3</v>
      </c>
      <c r="K649" s="270">
        <f t="shared" si="201"/>
        <v>61784.24</v>
      </c>
      <c r="L649" s="270">
        <f t="shared" si="201"/>
        <v>65746.2</v>
      </c>
      <c r="M649" s="270">
        <f t="shared" si="201"/>
        <v>79537.320000000007</v>
      </c>
      <c r="N649" s="270">
        <f t="shared" si="201"/>
        <v>84593.99</v>
      </c>
      <c r="O649" s="270">
        <f t="shared" si="201"/>
        <v>84593.99</v>
      </c>
      <c r="P649" s="270">
        <f t="shared" si="201"/>
        <v>84593.99</v>
      </c>
      <c r="Q649" s="270">
        <f t="shared" si="201"/>
        <v>84593.99</v>
      </c>
      <c r="R649" s="270">
        <f t="shared" si="201"/>
        <v>84593.99</v>
      </c>
      <c r="S649" s="270">
        <f t="shared" si="199"/>
        <v>84593.99</v>
      </c>
      <c r="T649" s="270">
        <f t="shared" si="199"/>
        <v>84593.99</v>
      </c>
      <c r="U649" s="270">
        <f t="shared" si="200"/>
        <v>84593.99</v>
      </c>
      <c r="V649" s="270">
        <f t="shared" si="200"/>
        <v>84593.99</v>
      </c>
      <c r="W649" s="270">
        <f t="shared" si="200"/>
        <v>84593.99</v>
      </c>
      <c r="X649" s="270">
        <f t="shared" si="200"/>
        <v>84593.99</v>
      </c>
      <c r="Y649" s="270">
        <f t="shared" si="200"/>
        <v>84593.99</v>
      </c>
      <c r="Z649" s="270">
        <f t="shared" si="200"/>
        <v>84593.99</v>
      </c>
      <c r="AA649" s="270">
        <f t="shared" si="200"/>
        <v>84593.99</v>
      </c>
      <c r="AB649" s="270">
        <f t="shared" si="200"/>
        <v>84593.99</v>
      </c>
      <c r="AC649" s="270">
        <f t="shared" si="200"/>
        <v>84593.99</v>
      </c>
      <c r="AD649" s="270">
        <f t="shared" si="197"/>
        <v>84593.99</v>
      </c>
      <c r="AE649" s="270">
        <f t="shared" si="197"/>
        <v>84593.99</v>
      </c>
      <c r="AF649" s="270">
        <f t="shared" si="195"/>
        <v>84593.99</v>
      </c>
      <c r="AG649" s="270">
        <f t="shared" si="195"/>
        <v>84593.99</v>
      </c>
      <c r="AH649" s="270">
        <f t="shared" si="195"/>
        <v>84593.99</v>
      </c>
      <c r="AI649" s="270">
        <f t="shared" si="195"/>
        <v>84593.99</v>
      </c>
      <c r="AJ649" s="270">
        <f t="shared" ref="AF649:AM677" si="202">+MIN(MAX(0,$C649-AJ$11),AJ$12-AJ$11)*AJ$17
+MIN(MAX(0,$C649-AJ$12),AJ$13-AJ$12)*AJ$18
+MIN(MAX(0,$C649-AJ$13),AJ$14-AJ$13)*AJ$19
+MIN(MAX(0,$C649-AJ$14),AJ$15-AJ$14)*AJ$20
+MAX(0,$C649-AJ$15)*AJ$21
+AJ$24*MAX(0,$C649-AJ$23)
+AJ$26</f>
        <v>84593.99</v>
      </c>
      <c r="AK649" s="270">
        <f t="shared" si="202"/>
        <v>84593.99</v>
      </c>
      <c r="AL649" s="270">
        <f t="shared" si="202"/>
        <v>84593.99</v>
      </c>
      <c r="AM649" s="270">
        <f t="shared" si="202"/>
        <v>84593.99</v>
      </c>
    </row>
    <row r="650" spans="2:39" ht="15.75" thickBot="1" x14ac:dyDescent="0.35">
      <c r="B650" s="56" t="str">
        <f>input_names!$C$3</f>
        <v>diesel</v>
      </c>
      <c r="C650" s="61">
        <v>248</v>
      </c>
      <c r="D650" s="270">
        <f t="shared" si="201"/>
        <v>57359</v>
      </c>
      <c r="E650" s="270">
        <f t="shared" si="201"/>
        <v>63928.83</v>
      </c>
      <c r="F650" s="270">
        <f t="shared" si="201"/>
        <v>66979.27</v>
      </c>
      <c r="G650" s="270">
        <f t="shared" si="201"/>
        <v>67870.3</v>
      </c>
      <c r="H650" s="270">
        <f t="shared" si="201"/>
        <v>67188.41</v>
      </c>
      <c r="I650" s="270">
        <f t="shared" si="201"/>
        <v>68668.649999999994</v>
      </c>
      <c r="J650" s="270">
        <f t="shared" si="201"/>
        <v>58563.89</v>
      </c>
      <c r="K650" s="270">
        <f t="shared" si="201"/>
        <v>62318.91</v>
      </c>
      <c r="L650" s="270">
        <f t="shared" si="201"/>
        <v>66288.5</v>
      </c>
      <c r="M650" s="270">
        <f t="shared" si="201"/>
        <v>80192.39</v>
      </c>
      <c r="N650" s="270">
        <f t="shared" si="201"/>
        <v>85271.86</v>
      </c>
      <c r="O650" s="270">
        <f t="shared" si="201"/>
        <v>85271.86</v>
      </c>
      <c r="P650" s="270">
        <f t="shared" si="201"/>
        <v>85271.86</v>
      </c>
      <c r="Q650" s="270">
        <f t="shared" si="201"/>
        <v>85271.86</v>
      </c>
      <c r="R650" s="270">
        <f t="shared" si="201"/>
        <v>85271.86</v>
      </c>
      <c r="S650" s="270">
        <f t="shared" si="199"/>
        <v>85271.86</v>
      </c>
      <c r="T650" s="270">
        <f t="shared" si="199"/>
        <v>85271.86</v>
      </c>
      <c r="U650" s="270">
        <f t="shared" si="200"/>
        <v>85271.86</v>
      </c>
      <c r="V650" s="270">
        <f t="shared" si="200"/>
        <v>85271.86</v>
      </c>
      <c r="W650" s="270">
        <f t="shared" si="200"/>
        <v>85271.86</v>
      </c>
      <c r="X650" s="270">
        <f t="shared" si="200"/>
        <v>85271.86</v>
      </c>
      <c r="Y650" s="270">
        <f t="shared" si="200"/>
        <v>85271.86</v>
      </c>
      <c r="Z650" s="270">
        <f t="shared" si="200"/>
        <v>85271.86</v>
      </c>
      <c r="AA650" s="270">
        <f t="shared" si="200"/>
        <v>85271.86</v>
      </c>
      <c r="AB650" s="270">
        <f t="shared" si="200"/>
        <v>85271.86</v>
      </c>
      <c r="AC650" s="270">
        <f t="shared" si="200"/>
        <v>85271.86</v>
      </c>
      <c r="AD650" s="270">
        <f t="shared" si="197"/>
        <v>85271.86</v>
      </c>
      <c r="AE650" s="270">
        <f t="shared" si="197"/>
        <v>85271.86</v>
      </c>
      <c r="AF650" s="270">
        <f t="shared" si="202"/>
        <v>85271.86</v>
      </c>
      <c r="AG650" s="270">
        <f t="shared" si="202"/>
        <v>85271.86</v>
      </c>
      <c r="AH650" s="270">
        <f t="shared" si="202"/>
        <v>85271.86</v>
      </c>
      <c r="AI650" s="270">
        <f t="shared" si="202"/>
        <v>85271.86</v>
      </c>
      <c r="AJ650" s="270">
        <f t="shared" si="202"/>
        <v>85271.86</v>
      </c>
      <c r="AK650" s="270">
        <f t="shared" si="202"/>
        <v>85271.86</v>
      </c>
      <c r="AL650" s="270">
        <f t="shared" si="202"/>
        <v>85271.86</v>
      </c>
      <c r="AM650" s="270">
        <f t="shared" si="202"/>
        <v>85271.86</v>
      </c>
    </row>
    <row r="651" spans="2:39" ht="15.75" thickBot="1" x14ac:dyDescent="0.35">
      <c r="B651" s="56" t="str">
        <f>input_names!$C$3</f>
        <v>diesel</v>
      </c>
      <c r="C651" s="61">
        <v>249</v>
      </c>
      <c r="D651" s="270">
        <f t="shared" si="201"/>
        <v>57879</v>
      </c>
      <c r="E651" s="270">
        <f t="shared" si="201"/>
        <v>64491.26</v>
      </c>
      <c r="F651" s="270">
        <f t="shared" si="201"/>
        <v>67537.959999999992</v>
      </c>
      <c r="G651" s="270">
        <f t="shared" si="201"/>
        <v>68412.679999999993</v>
      </c>
      <c r="H651" s="270">
        <f t="shared" si="201"/>
        <v>67704.84</v>
      </c>
      <c r="I651" s="270">
        <f t="shared" si="201"/>
        <v>69176.5</v>
      </c>
      <c r="J651" s="270">
        <f t="shared" si="201"/>
        <v>59079.48</v>
      </c>
      <c r="K651" s="270">
        <f t="shared" si="201"/>
        <v>62853.58</v>
      </c>
      <c r="L651" s="270">
        <f t="shared" si="201"/>
        <v>66830.8</v>
      </c>
      <c r="M651" s="270">
        <f t="shared" si="201"/>
        <v>80847.459999999992</v>
      </c>
      <c r="N651" s="270">
        <f t="shared" si="201"/>
        <v>85949.73</v>
      </c>
      <c r="O651" s="270">
        <f t="shared" si="201"/>
        <v>85949.73</v>
      </c>
      <c r="P651" s="270">
        <f t="shared" si="201"/>
        <v>85949.73</v>
      </c>
      <c r="Q651" s="270">
        <f t="shared" si="201"/>
        <v>85949.73</v>
      </c>
      <c r="R651" s="270">
        <f t="shared" si="201"/>
        <v>85949.73</v>
      </c>
      <c r="S651" s="270">
        <f t="shared" si="199"/>
        <v>85949.73</v>
      </c>
      <c r="T651" s="270">
        <f t="shared" si="199"/>
        <v>85949.73</v>
      </c>
      <c r="U651" s="270">
        <f t="shared" si="200"/>
        <v>85949.73</v>
      </c>
      <c r="V651" s="270">
        <f t="shared" si="200"/>
        <v>85949.73</v>
      </c>
      <c r="W651" s="270">
        <f t="shared" si="200"/>
        <v>85949.73</v>
      </c>
      <c r="X651" s="270">
        <f t="shared" si="200"/>
        <v>85949.73</v>
      </c>
      <c r="Y651" s="270">
        <f t="shared" si="200"/>
        <v>85949.73</v>
      </c>
      <c r="Z651" s="270">
        <f t="shared" si="200"/>
        <v>85949.73</v>
      </c>
      <c r="AA651" s="270">
        <f t="shared" si="200"/>
        <v>85949.73</v>
      </c>
      <c r="AB651" s="270">
        <f t="shared" si="200"/>
        <v>85949.73</v>
      </c>
      <c r="AC651" s="270">
        <f t="shared" si="200"/>
        <v>85949.73</v>
      </c>
      <c r="AD651" s="270">
        <f t="shared" si="197"/>
        <v>85949.73</v>
      </c>
      <c r="AE651" s="270">
        <f t="shared" si="197"/>
        <v>85949.73</v>
      </c>
      <c r="AF651" s="270">
        <f t="shared" si="202"/>
        <v>85949.73</v>
      </c>
      <c r="AG651" s="270">
        <f t="shared" si="202"/>
        <v>85949.73</v>
      </c>
      <c r="AH651" s="270">
        <f t="shared" si="202"/>
        <v>85949.73</v>
      </c>
      <c r="AI651" s="270">
        <f t="shared" si="202"/>
        <v>85949.73</v>
      </c>
      <c r="AJ651" s="270">
        <f t="shared" si="202"/>
        <v>85949.73</v>
      </c>
      <c r="AK651" s="270">
        <f t="shared" si="202"/>
        <v>85949.73</v>
      </c>
      <c r="AL651" s="270">
        <f t="shared" si="202"/>
        <v>85949.73</v>
      </c>
      <c r="AM651" s="270">
        <f t="shared" si="202"/>
        <v>85949.73</v>
      </c>
    </row>
    <row r="652" spans="2:39" ht="15.75" thickBot="1" x14ac:dyDescent="0.35">
      <c r="B652" s="56" t="str">
        <f>input_names!$C$3</f>
        <v>diesel</v>
      </c>
      <c r="C652" s="61">
        <v>250</v>
      </c>
      <c r="D652" s="270">
        <f t="shared" si="201"/>
        <v>58399</v>
      </c>
      <c r="E652" s="270">
        <f t="shared" si="201"/>
        <v>65053.69</v>
      </c>
      <c r="F652" s="270">
        <f t="shared" si="201"/>
        <v>68096.649999999994</v>
      </c>
      <c r="G652" s="270">
        <f t="shared" si="201"/>
        <v>68955.06</v>
      </c>
      <c r="H652" s="270">
        <f t="shared" si="201"/>
        <v>68221.27</v>
      </c>
      <c r="I652" s="270">
        <f t="shared" si="201"/>
        <v>69684.350000000006</v>
      </c>
      <c r="J652" s="270">
        <f t="shared" si="201"/>
        <v>59595.07</v>
      </c>
      <c r="K652" s="270">
        <f t="shared" si="201"/>
        <v>63388.25</v>
      </c>
      <c r="L652" s="270">
        <f t="shared" si="201"/>
        <v>67373.100000000006</v>
      </c>
      <c r="M652" s="270">
        <f t="shared" si="201"/>
        <v>81502.53</v>
      </c>
      <c r="N652" s="270">
        <f t="shared" si="201"/>
        <v>86627.6</v>
      </c>
      <c r="O652" s="270">
        <f t="shared" si="201"/>
        <v>86627.6</v>
      </c>
      <c r="P652" s="270">
        <f t="shared" si="201"/>
        <v>86627.6</v>
      </c>
      <c r="Q652" s="270">
        <f t="shared" si="201"/>
        <v>86627.6</v>
      </c>
      <c r="R652" s="270">
        <f t="shared" si="201"/>
        <v>86627.6</v>
      </c>
      <c r="S652" s="270">
        <f t="shared" si="199"/>
        <v>86627.6</v>
      </c>
      <c r="T652" s="270">
        <f t="shared" si="199"/>
        <v>86627.6</v>
      </c>
      <c r="U652" s="270">
        <f t="shared" si="200"/>
        <v>86627.6</v>
      </c>
      <c r="V652" s="270">
        <f t="shared" si="200"/>
        <v>86627.6</v>
      </c>
      <c r="W652" s="270">
        <f t="shared" si="200"/>
        <v>86627.6</v>
      </c>
      <c r="X652" s="270">
        <f t="shared" si="200"/>
        <v>86627.6</v>
      </c>
      <c r="Y652" s="270">
        <f t="shared" si="200"/>
        <v>86627.6</v>
      </c>
      <c r="Z652" s="270">
        <f t="shared" si="200"/>
        <v>86627.6</v>
      </c>
      <c r="AA652" s="270">
        <f t="shared" si="200"/>
        <v>86627.6</v>
      </c>
      <c r="AB652" s="270">
        <f t="shared" si="200"/>
        <v>86627.6</v>
      </c>
      <c r="AC652" s="270">
        <f t="shared" si="200"/>
        <v>86627.6</v>
      </c>
      <c r="AD652" s="270">
        <f t="shared" si="197"/>
        <v>86627.6</v>
      </c>
      <c r="AE652" s="270">
        <f t="shared" si="197"/>
        <v>86627.6</v>
      </c>
      <c r="AF652" s="270">
        <f t="shared" si="202"/>
        <v>86627.6</v>
      </c>
      <c r="AG652" s="270">
        <f t="shared" si="202"/>
        <v>86627.6</v>
      </c>
      <c r="AH652" s="270">
        <f t="shared" si="202"/>
        <v>86627.6</v>
      </c>
      <c r="AI652" s="270">
        <f t="shared" si="202"/>
        <v>86627.6</v>
      </c>
      <c r="AJ652" s="270">
        <f t="shared" si="202"/>
        <v>86627.6</v>
      </c>
      <c r="AK652" s="270">
        <f t="shared" si="202"/>
        <v>86627.6</v>
      </c>
      <c r="AL652" s="270">
        <f t="shared" si="202"/>
        <v>86627.6</v>
      </c>
      <c r="AM652" s="270">
        <f t="shared" si="202"/>
        <v>86627.6</v>
      </c>
    </row>
    <row r="653" spans="2:39" ht="15.75" thickBot="1" x14ac:dyDescent="0.35">
      <c r="B653" s="56" t="str">
        <f>input_names!$C$3</f>
        <v>diesel</v>
      </c>
      <c r="C653" s="61">
        <v>251</v>
      </c>
      <c r="D653" s="270">
        <f t="shared" si="201"/>
        <v>58919</v>
      </c>
      <c r="E653" s="270">
        <f t="shared" si="201"/>
        <v>65616.12</v>
      </c>
      <c r="F653" s="270">
        <f t="shared" si="201"/>
        <v>68655.34</v>
      </c>
      <c r="G653" s="270">
        <f t="shared" si="201"/>
        <v>69497.440000000002</v>
      </c>
      <c r="H653" s="270">
        <f t="shared" si="201"/>
        <v>68737.7</v>
      </c>
      <c r="I653" s="270">
        <f t="shared" si="201"/>
        <v>70192.2</v>
      </c>
      <c r="J653" s="270">
        <f t="shared" si="201"/>
        <v>60110.66</v>
      </c>
      <c r="K653" s="270">
        <f t="shared" si="201"/>
        <v>63922.92</v>
      </c>
      <c r="L653" s="270">
        <f t="shared" si="201"/>
        <v>67915.399999999994</v>
      </c>
      <c r="M653" s="270">
        <f t="shared" si="201"/>
        <v>82157.600000000006</v>
      </c>
      <c r="N653" s="270">
        <f t="shared" si="201"/>
        <v>87305.47</v>
      </c>
      <c r="O653" s="270">
        <f t="shared" si="201"/>
        <v>87305.47</v>
      </c>
      <c r="P653" s="270">
        <f t="shared" si="201"/>
        <v>87305.47</v>
      </c>
      <c r="Q653" s="270">
        <f t="shared" si="201"/>
        <v>87305.47</v>
      </c>
      <c r="R653" s="270">
        <f t="shared" si="201"/>
        <v>87305.47</v>
      </c>
      <c r="S653" s="270">
        <f t="shared" si="199"/>
        <v>87305.47</v>
      </c>
      <c r="T653" s="270">
        <f t="shared" si="199"/>
        <v>87305.47</v>
      </c>
      <c r="U653" s="270">
        <f t="shared" si="200"/>
        <v>87305.47</v>
      </c>
      <c r="V653" s="270">
        <f t="shared" si="200"/>
        <v>87305.47</v>
      </c>
      <c r="W653" s="270">
        <f t="shared" si="200"/>
        <v>87305.47</v>
      </c>
      <c r="X653" s="270">
        <f t="shared" si="200"/>
        <v>87305.47</v>
      </c>
      <c r="Y653" s="270">
        <f t="shared" si="200"/>
        <v>87305.47</v>
      </c>
      <c r="Z653" s="270">
        <f t="shared" si="200"/>
        <v>87305.47</v>
      </c>
      <c r="AA653" s="270">
        <f t="shared" si="200"/>
        <v>87305.47</v>
      </c>
      <c r="AB653" s="270">
        <f t="shared" si="200"/>
        <v>87305.47</v>
      </c>
      <c r="AC653" s="270">
        <f t="shared" si="200"/>
        <v>87305.47</v>
      </c>
      <c r="AD653" s="270">
        <f t="shared" si="197"/>
        <v>87305.47</v>
      </c>
      <c r="AE653" s="270">
        <f t="shared" si="197"/>
        <v>87305.47</v>
      </c>
      <c r="AF653" s="270">
        <f t="shared" si="202"/>
        <v>87305.47</v>
      </c>
      <c r="AG653" s="270">
        <f t="shared" si="202"/>
        <v>87305.47</v>
      </c>
      <c r="AH653" s="270">
        <f t="shared" si="202"/>
        <v>87305.47</v>
      </c>
      <c r="AI653" s="270">
        <f t="shared" si="202"/>
        <v>87305.47</v>
      </c>
      <c r="AJ653" s="270">
        <f t="shared" si="202"/>
        <v>87305.47</v>
      </c>
      <c r="AK653" s="270">
        <f t="shared" si="202"/>
        <v>87305.47</v>
      </c>
      <c r="AL653" s="270">
        <f t="shared" si="202"/>
        <v>87305.47</v>
      </c>
      <c r="AM653" s="270">
        <f t="shared" si="202"/>
        <v>87305.47</v>
      </c>
    </row>
    <row r="654" spans="2:39" ht="15.75" thickBot="1" x14ac:dyDescent="0.35">
      <c r="B654" s="56" t="str">
        <f>input_names!$C$3</f>
        <v>diesel</v>
      </c>
      <c r="C654" s="61">
        <v>252</v>
      </c>
      <c r="D654" s="270">
        <f t="shared" si="201"/>
        <v>59439</v>
      </c>
      <c r="E654" s="270">
        <f t="shared" si="201"/>
        <v>66178.55</v>
      </c>
      <c r="F654" s="270">
        <f t="shared" si="201"/>
        <v>69214.03</v>
      </c>
      <c r="G654" s="270">
        <f t="shared" si="201"/>
        <v>70039.820000000007</v>
      </c>
      <c r="H654" s="270">
        <f t="shared" si="201"/>
        <v>69254.13</v>
      </c>
      <c r="I654" s="270">
        <f t="shared" si="201"/>
        <v>70700.05</v>
      </c>
      <c r="J654" s="270">
        <f t="shared" si="201"/>
        <v>60626.25</v>
      </c>
      <c r="K654" s="270">
        <f t="shared" si="201"/>
        <v>64457.59</v>
      </c>
      <c r="L654" s="270">
        <f t="shared" si="201"/>
        <v>68457.7</v>
      </c>
      <c r="M654" s="270">
        <f t="shared" si="201"/>
        <v>82812.67</v>
      </c>
      <c r="N654" s="270">
        <f t="shared" si="201"/>
        <v>87983.34</v>
      </c>
      <c r="O654" s="270">
        <f t="shared" si="201"/>
        <v>87983.34</v>
      </c>
      <c r="P654" s="270">
        <f t="shared" si="201"/>
        <v>87983.34</v>
      </c>
      <c r="Q654" s="270">
        <f t="shared" si="201"/>
        <v>87983.34</v>
      </c>
      <c r="R654" s="270">
        <f t="shared" si="201"/>
        <v>87983.34</v>
      </c>
      <c r="S654" s="270">
        <f t="shared" si="199"/>
        <v>87983.34</v>
      </c>
      <c r="T654" s="270">
        <f t="shared" si="199"/>
        <v>87983.34</v>
      </c>
      <c r="U654" s="270">
        <f t="shared" si="200"/>
        <v>87983.34</v>
      </c>
      <c r="V654" s="270">
        <f t="shared" si="200"/>
        <v>87983.34</v>
      </c>
      <c r="W654" s="270">
        <f t="shared" si="200"/>
        <v>87983.34</v>
      </c>
      <c r="X654" s="270">
        <f t="shared" si="200"/>
        <v>87983.34</v>
      </c>
      <c r="Y654" s="270">
        <f t="shared" si="200"/>
        <v>87983.34</v>
      </c>
      <c r="Z654" s="270">
        <f t="shared" si="200"/>
        <v>87983.34</v>
      </c>
      <c r="AA654" s="270">
        <f t="shared" si="200"/>
        <v>87983.34</v>
      </c>
      <c r="AB654" s="270">
        <f t="shared" si="200"/>
        <v>87983.34</v>
      </c>
      <c r="AC654" s="270">
        <f t="shared" si="200"/>
        <v>87983.34</v>
      </c>
      <c r="AD654" s="270">
        <f t="shared" si="197"/>
        <v>87983.34</v>
      </c>
      <c r="AE654" s="270">
        <f t="shared" si="197"/>
        <v>87983.34</v>
      </c>
      <c r="AF654" s="270">
        <f t="shared" si="202"/>
        <v>87983.34</v>
      </c>
      <c r="AG654" s="270">
        <f t="shared" si="202"/>
        <v>87983.34</v>
      </c>
      <c r="AH654" s="270">
        <f t="shared" si="202"/>
        <v>87983.34</v>
      </c>
      <c r="AI654" s="270">
        <f t="shared" si="202"/>
        <v>87983.34</v>
      </c>
      <c r="AJ654" s="270">
        <f t="shared" si="202"/>
        <v>87983.34</v>
      </c>
      <c r="AK654" s="270">
        <f t="shared" si="202"/>
        <v>87983.34</v>
      </c>
      <c r="AL654" s="270">
        <f t="shared" si="202"/>
        <v>87983.34</v>
      </c>
      <c r="AM654" s="270">
        <f t="shared" si="202"/>
        <v>87983.34</v>
      </c>
    </row>
    <row r="655" spans="2:39" ht="15.75" thickBot="1" x14ac:dyDescent="0.35">
      <c r="B655" s="56" t="str">
        <f>input_names!$C$3</f>
        <v>diesel</v>
      </c>
      <c r="C655" s="61">
        <v>253</v>
      </c>
      <c r="D655" s="270">
        <f t="shared" si="201"/>
        <v>59959</v>
      </c>
      <c r="E655" s="270">
        <f t="shared" si="201"/>
        <v>66740.98</v>
      </c>
      <c r="F655" s="270">
        <f t="shared" si="201"/>
        <v>69772.72</v>
      </c>
      <c r="G655" s="270">
        <f t="shared" si="201"/>
        <v>70582.2</v>
      </c>
      <c r="H655" s="270">
        <f t="shared" si="201"/>
        <v>69770.559999999998</v>
      </c>
      <c r="I655" s="270">
        <f t="shared" si="201"/>
        <v>71207.899999999994</v>
      </c>
      <c r="J655" s="270">
        <f t="shared" si="201"/>
        <v>61141.84</v>
      </c>
      <c r="K655" s="270">
        <f t="shared" si="201"/>
        <v>64992.26</v>
      </c>
      <c r="L655" s="270">
        <f t="shared" si="201"/>
        <v>69000</v>
      </c>
      <c r="M655" s="270">
        <f t="shared" si="201"/>
        <v>83467.739999999991</v>
      </c>
      <c r="N655" s="270">
        <f t="shared" si="201"/>
        <v>88661.209999999992</v>
      </c>
      <c r="O655" s="270">
        <f t="shared" si="201"/>
        <v>88661.209999999992</v>
      </c>
      <c r="P655" s="270">
        <f t="shared" si="201"/>
        <v>88661.209999999992</v>
      </c>
      <c r="Q655" s="270">
        <f t="shared" si="201"/>
        <v>88661.209999999992</v>
      </c>
      <c r="R655" s="270">
        <f t="shared" si="201"/>
        <v>88661.209999999992</v>
      </c>
      <c r="S655" s="270">
        <f t="shared" si="199"/>
        <v>88661.209999999992</v>
      </c>
      <c r="T655" s="270">
        <f t="shared" si="199"/>
        <v>88661.209999999992</v>
      </c>
      <c r="U655" s="270">
        <f t="shared" si="200"/>
        <v>88661.209999999992</v>
      </c>
      <c r="V655" s="270">
        <f t="shared" si="200"/>
        <v>88661.209999999992</v>
      </c>
      <c r="W655" s="270">
        <f t="shared" si="200"/>
        <v>88661.209999999992</v>
      </c>
      <c r="X655" s="270">
        <f t="shared" si="200"/>
        <v>88661.209999999992</v>
      </c>
      <c r="Y655" s="270">
        <f t="shared" si="200"/>
        <v>88661.209999999992</v>
      </c>
      <c r="Z655" s="270">
        <f t="shared" si="200"/>
        <v>88661.209999999992</v>
      </c>
      <c r="AA655" s="270">
        <f t="shared" si="200"/>
        <v>88661.209999999992</v>
      </c>
      <c r="AB655" s="270">
        <f t="shared" si="200"/>
        <v>88661.209999999992</v>
      </c>
      <c r="AC655" s="270">
        <f t="shared" si="200"/>
        <v>88661.209999999992</v>
      </c>
      <c r="AD655" s="270">
        <f t="shared" si="197"/>
        <v>88661.209999999992</v>
      </c>
      <c r="AE655" s="270">
        <f t="shared" si="197"/>
        <v>88661.209999999992</v>
      </c>
      <c r="AF655" s="270">
        <f t="shared" si="202"/>
        <v>88661.209999999992</v>
      </c>
      <c r="AG655" s="270">
        <f t="shared" si="202"/>
        <v>88661.209999999992</v>
      </c>
      <c r="AH655" s="270">
        <f t="shared" si="202"/>
        <v>88661.209999999992</v>
      </c>
      <c r="AI655" s="270">
        <f t="shared" si="202"/>
        <v>88661.209999999992</v>
      </c>
      <c r="AJ655" s="270">
        <f t="shared" si="202"/>
        <v>88661.209999999992</v>
      </c>
      <c r="AK655" s="270">
        <f t="shared" si="202"/>
        <v>88661.209999999992</v>
      </c>
      <c r="AL655" s="270">
        <f t="shared" si="202"/>
        <v>88661.209999999992</v>
      </c>
      <c r="AM655" s="270">
        <f t="shared" si="202"/>
        <v>88661.209999999992</v>
      </c>
    </row>
    <row r="656" spans="2:39" ht="15.75" thickBot="1" x14ac:dyDescent="0.35">
      <c r="B656" s="56" t="str">
        <f>input_names!$C$3</f>
        <v>diesel</v>
      </c>
      <c r="C656" s="61">
        <v>254</v>
      </c>
      <c r="D656" s="270">
        <f t="shared" si="201"/>
        <v>60479</v>
      </c>
      <c r="E656" s="270">
        <f t="shared" si="201"/>
        <v>67303.41</v>
      </c>
      <c r="F656" s="270">
        <f t="shared" si="201"/>
        <v>70331.41</v>
      </c>
      <c r="G656" s="270">
        <f t="shared" si="201"/>
        <v>71124.58</v>
      </c>
      <c r="H656" s="270">
        <f t="shared" si="201"/>
        <v>70286.990000000005</v>
      </c>
      <c r="I656" s="270">
        <f t="shared" si="201"/>
        <v>71715.75</v>
      </c>
      <c r="J656" s="270">
        <f t="shared" si="201"/>
        <v>61657.43</v>
      </c>
      <c r="K656" s="270">
        <f t="shared" si="201"/>
        <v>65526.93</v>
      </c>
      <c r="L656" s="270">
        <f t="shared" si="201"/>
        <v>69542.3</v>
      </c>
      <c r="M656" s="270">
        <f t="shared" si="201"/>
        <v>84122.81</v>
      </c>
      <c r="N656" s="270">
        <f t="shared" si="201"/>
        <v>89339.08</v>
      </c>
      <c r="O656" s="270">
        <f t="shared" si="201"/>
        <v>89339.08</v>
      </c>
      <c r="P656" s="270">
        <f t="shared" si="201"/>
        <v>89339.08</v>
      </c>
      <c r="Q656" s="270">
        <f t="shared" si="201"/>
        <v>89339.08</v>
      </c>
      <c r="R656" s="270">
        <f t="shared" si="201"/>
        <v>89339.08</v>
      </c>
      <c r="S656" s="270">
        <f t="shared" si="199"/>
        <v>89339.08</v>
      </c>
      <c r="T656" s="270">
        <f t="shared" si="199"/>
        <v>89339.08</v>
      </c>
      <c r="U656" s="270">
        <f t="shared" si="200"/>
        <v>89339.08</v>
      </c>
      <c r="V656" s="270">
        <f t="shared" si="200"/>
        <v>89339.08</v>
      </c>
      <c r="W656" s="270">
        <f t="shared" si="200"/>
        <v>89339.08</v>
      </c>
      <c r="X656" s="270">
        <f t="shared" si="200"/>
        <v>89339.08</v>
      </c>
      <c r="Y656" s="270">
        <f t="shared" si="200"/>
        <v>89339.08</v>
      </c>
      <c r="Z656" s="270">
        <f t="shared" si="200"/>
        <v>89339.08</v>
      </c>
      <c r="AA656" s="270">
        <f t="shared" si="200"/>
        <v>89339.08</v>
      </c>
      <c r="AB656" s="270">
        <f t="shared" si="200"/>
        <v>89339.08</v>
      </c>
      <c r="AC656" s="270">
        <f t="shared" si="200"/>
        <v>89339.08</v>
      </c>
      <c r="AD656" s="270">
        <f t="shared" si="197"/>
        <v>89339.08</v>
      </c>
      <c r="AE656" s="270">
        <f t="shared" si="197"/>
        <v>89339.08</v>
      </c>
      <c r="AF656" s="270">
        <f t="shared" si="202"/>
        <v>89339.08</v>
      </c>
      <c r="AG656" s="270">
        <f t="shared" si="202"/>
        <v>89339.08</v>
      </c>
      <c r="AH656" s="270">
        <f t="shared" si="202"/>
        <v>89339.08</v>
      </c>
      <c r="AI656" s="270">
        <f t="shared" si="202"/>
        <v>89339.08</v>
      </c>
      <c r="AJ656" s="270">
        <f t="shared" si="202"/>
        <v>89339.08</v>
      </c>
      <c r="AK656" s="270">
        <f t="shared" si="202"/>
        <v>89339.08</v>
      </c>
      <c r="AL656" s="270">
        <f t="shared" si="202"/>
        <v>89339.08</v>
      </c>
      <c r="AM656" s="270">
        <f t="shared" si="202"/>
        <v>89339.08</v>
      </c>
    </row>
    <row r="657" spans="2:39" ht="15.75" thickBot="1" x14ac:dyDescent="0.35">
      <c r="B657" s="56" t="str">
        <f>input_names!$C$3</f>
        <v>diesel</v>
      </c>
      <c r="C657" s="61">
        <v>255</v>
      </c>
      <c r="D657" s="270">
        <f t="shared" si="201"/>
        <v>60999</v>
      </c>
      <c r="E657" s="270">
        <f t="shared" si="201"/>
        <v>67865.84</v>
      </c>
      <c r="F657" s="270">
        <f t="shared" si="201"/>
        <v>70890.100000000006</v>
      </c>
      <c r="G657" s="270">
        <f t="shared" si="201"/>
        <v>71666.959999999992</v>
      </c>
      <c r="H657" s="270">
        <f t="shared" si="201"/>
        <v>70803.42</v>
      </c>
      <c r="I657" s="270">
        <f t="shared" si="201"/>
        <v>72223.600000000006</v>
      </c>
      <c r="J657" s="270">
        <f t="shared" si="201"/>
        <v>62173.020000000004</v>
      </c>
      <c r="K657" s="270">
        <f t="shared" si="201"/>
        <v>66061.600000000006</v>
      </c>
      <c r="L657" s="270">
        <f t="shared" si="201"/>
        <v>70084.600000000006</v>
      </c>
      <c r="M657" s="270">
        <f t="shared" si="201"/>
        <v>84777.88</v>
      </c>
      <c r="N657" s="270">
        <f t="shared" si="201"/>
        <v>90016.95</v>
      </c>
      <c r="O657" s="270">
        <f t="shared" si="201"/>
        <v>90016.95</v>
      </c>
      <c r="P657" s="270">
        <f t="shared" si="201"/>
        <v>90016.95</v>
      </c>
      <c r="Q657" s="270">
        <f t="shared" si="201"/>
        <v>90016.95</v>
      </c>
      <c r="R657" s="270">
        <f t="shared" si="201"/>
        <v>90016.95</v>
      </c>
      <c r="S657" s="270">
        <f t="shared" si="199"/>
        <v>90016.95</v>
      </c>
      <c r="T657" s="270">
        <f t="shared" si="199"/>
        <v>90016.95</v>
      </c>
      <c r="U657" s="270">
        <f t="shared" si="200"/>
        <v>90016.95</v>
      </c>
      <c r="V657" s="270">
        <f t="shared" si="200"/>
        <v>90016.95</v>
      </c>
      <c r="W657" s="270">
        <f t="shared" si="200"/>
        <v>90016.95</v>
      </c>
      <c r="X657" s="270">
        <f t="shared" si="200"/>
        <v>90016.95</v>
      </c>
      <c r="Y657" s="270">
        <f t="shared" si="200"/>
        <v>90016.95</v>
      </c>
      <c r="Z657" s="270">
        <f t="shared" si="200"/>
        <v>90016.95</v>
      </c>
      <c r="AA657" s="270">
        <f t="shared" si="200"/>
        <v>90016.95</v>
      </c>
      <c r="AB657" s="270">
        <f t="shared" si="200"/>
        <v>90016.95</v>
      </c>
      <c r="AC657" s="270">
        <f t="shared" si="200"/>
        <v>90016.95</v>
      </c>
      <c r="AD657" s="270">
        <f t="shared" si="197"/>
        <v>90016.95</v>
      </c>
      <c r="AE657" s="270">
        <f t="shared" si="197"/>
        <v>90016.95</v>
      </c>
      <c r="AF657" s="270">
        <f t="shared" si="202"/>
        <v>90016.95</v>
      </c>
      <c r="AG657" s="270">
        <f t="shared" si="202"/>
        <v>90016.95</v>
      </c>
      <c r="AH657" s="270">
        <f t="shared" si="202"/>
        <v>90016.95</v>
      </c>
      <c r="AI657" s="270">
        <f t="shared" si="202"/>
        <v>90016.95</v>
      </c>
      <c r="AJ657" s="270">
        <f t="shared" si="202"/>
        <v>90016.95</v>
      </c>
      <c r="AK657" s="270">
        <f t="shared" si="202"/>
        <v>90016.95</v>
      </c>
      <c r="AL657" s="270">
        <f t="shared" si="202"/>
        <v>90016.95</v>
      </c>
      <c r="AM657" s="270">
        <f t="shared" si="202"/>
        <v>90016.95</v>
      </c>
    </row>
    <row r="658" spans="2:39" ht="15.75" thickBot="1" x14ac:dyDescent="0.35">
      <c r="B658" s="56" t="str">
        <f>input_names!$C$3</f>
        <v>diesel</v>
      </c>
      <c r="C658" s="61">
        <v>256</v>
      </c>
      <c r="D658" s="270">
        <f t="shared" ref="D658:R673" si="203">+MIN(MAX(0,$C658-D$11),D$12-D$11)*D$17
+MIN(MAX(0,$C658-D$12),D$13-D$12)*D$18
+MIN(MAX(0,$C658-D$13),D$14-D$13)*D$19
+MIN(MAX(0,$C658-D$14),D$15-D$14)*D$20
+MAX(0,$C658-D$15)*D$21
+D$24*MAX(0,$C658-D$23)
+D$26</f>
        <v>61519</v>
      </c>
      <c r="E658" s="270">
        <f t="shared" si="203"/>
        <v>68428.27</v>
      </c>
      <c r="F658" s="270">
        <f t="shared" si="203"/>
        <v>71448.790000000008</v>
      </c>
      <c r="G658" s="270">
        <f t="shared" si="203"/>
        <v>72209.34</v>
      </c>
      <c r="H658" s="270">
        <f t="shared" si="203"/>
        <v>71319.850000000006</v>
      </c>
      <c r="I658" s="270">
        <f t="shared" si="203"/>
        <v>72731.45</v>
      </c>
      <c r="J658" s="270">
        <f t="shared" si="203"/>
        <v>62688.61</v>
      </c>
      <c r="K658" s="270">
        <f t="shared" si="203"/>
        <v>66596.27</v>
      </c>
      <c r="L658" s="270">
        <f t="shared" si="203"/>
        <v>70626.899999999994</v>
      </c>
      <c r="M658" s="270">
        <f t="shared" si="203"/>
        <v>85432.95</v>
      </c>
      <c r="N658" s="270">
        <f t="shared" si="203"/>
        <v>90694.82</v>
      </c>
      <c r="O658" s="270">
        <f t="shared" si="203"/>
        <v>90694.82</v>
      </c>
      <c r="P658" s="270">
        <f t="shared" si="203"/>
        <v>90694.82</v>
      </c>
      <c r="Q658" s="270">
        <f t="shared" si="203"/>
        <v>90694.82</v>
      </c>
      <c r="R658" s="270">
        <f t="shared" si="203"/>
        <v>90694.82</v>
      </c>
      <c r="S658" s="270">
        <f t="shared" si="199"/>
        <v>90694.82</v>
      </c>
      <c r="T658" s="270">
        <f t="shared" si="199"/>
        <v>90694.82</v>
      </c>
      <c r="U658" s="270">
        <f t="shared" si="200"/>
        <v>90694.82</v>
      </c>
      <c r="V658" s="270">
        <f t="shared" si="200"/>
        <v>90694.82</v>
      </c>
      <c r="W658" s="270">
        <f t="shared" si="200"/>
        <v>90694.82</v>
      </c>
      <c r="X658" s="270">
        <f t="shared" si="200"/>
        <v>90694.82</v>
      </c>
      <c r="Y658" s="270">
        <f t="shared" si="200"/>
        <v>90694.82</v>
      </c>
      <c r="Z658" s="270">
        <f t="shared" si="200"/>
        <v>90694.82</v>
      </c>
      <c r="AA658" s="270">
        <f t="shared" si="200"/>
        <v>90694.82</v>
      </c>
      <c r="AB658" s="270">
        <f t="shared" si="200"/>
        <v>90694.82</v>
      </c>
      <c r="AC658" s="270">
        <f t="shared" si="200"/>
        <v>90694.82</v>
      </c>
      <c r="AD658" s="270">
        <f t="shared" si="197"/>
        <v>90694.82</v>
      </c>
      <c r="AE658" s="270">
        <f t="shared" si="197"/>
        <v>90694.82</v>
      </c>
      <c r="AF658" s="270">
        <f t="shared" si="202"/>
        <v>90694.82</v>
      </c>
      <c r="AG658" s="270">
        <f t="shared" si="202"/>
        <v>90694.82</v>
      </c>
      <c r="AH658" s="270">
        <f t="shared" si="202"/>
        <v>90694.82</v>
      </c>
      <c r="AI658" s="270">
        <f t="shared" si="202"/>
        <v>90694.82</v>
      </c>
      <c r="AJ658" s="270">
        <f t="shared" si="202"/>
        <v>90694.82</v>
      </c>
      <c r="AK658" s="270">
        <f t="shared" si="202"/>
        <v>90694.82</v>
      </c>
      <c r="AL658" s="270">
        <f t="shared" si="202"/>
        <v>90694.82</v>
      </c>
      <c r="AM658" s="270">
        <f t="shared" si="202"/>
        <v>90694.82</v>
      </c>
    </row>
    <row r="659" spans="2:39" ht="15.75" thickBot="1" x14ac:dyDescent="0.35">
      <c r="B659" s="56" t="str">
        <f>input_names!$C$3</f>
        <v>diesel</v>
      </c>
      <c r="C659" s="61">
        <v>257</v>
      </c>
      <c r="D659" s="270">
        <f t="shared" si="203"/>
        <v>62039</v>
      </c>
      <c r="E659" s="270">
        <f t="shared" si="203"/>
        <v>68990.7</v>
      </c>
      <c r="F659" s="270">
        <f t="shared" si="203"/>
        <v>72007.48</v>
      </c>
      <c r="G659" s="270">
        <f t="shared" si="203"/>
        <v>72751.72</v>
      </c>
      <c r="H659" s="270">
        <f t="shared" si="203"/>
        <v>71836.28</v>
      </c>
      <c r="I659" s="270">
        <f t="shared" si="203"/>
        <v>73239.3</v>
      </c>
      <c r="J659" s="270">
        <f t="shared" si="203"/>
        <v>63204.2</v>
      </c>
      <c r="K659" s="270">
        <f t="shared" si="203"/>
        <v>67130.94</v>
      </c>
      <c r="L659" s="270">
        <f t="shared" si="203"/>
        <v>71169.2</v>
      </c>
      <c r="M659" s="270">
        <f t="shared" si="203"/>
        <v>86088.02</v>
      </c>
      <c r="N659" s="270">
        <f t="shared" si="203"/>
        <v>91372.69</v>
      </c>
      <c r="O659" s="270">
        <f t="shared" si="203"/>
        <v>91372.69</v>
      </c>
      <c r="P659" s="270">
        <f t="shared" si="203"/>
        <v>91372.69</v>
      </c>
      <c r="Q659" s="270">
        <f t="shared" si="203"/>
        <v>91372.69</v>
      </c>
      <c r="R659" s="270">
        <f t="shared" si="203"/>
        <v>91372.69</v>
      </c>
      <c r="S659" s="270">
        <f t="shared" si="199"/>
        <v>91372.69</v>
      </c>
      <c r="T659" s="270">
        <f t="shared" si="199"/>
        <v>91372.69</v>
      </c>
      <c r="U659" s="270">
        <f t="shared" si="200"/>
        <v>91372.69</v>
      </c>
      <c r="V659" s="270">
        <f t="shared" si="200"/>
        <v>91372.69</v>
      </c>
      <c r="W659" s="270">
        <f t="shared" si="200"/>
        <v>91372.69</v>
      </c>
      <c r="X659" s="270">
        <f t="shared" si="200"/>
        <v>91372.69</v>
      </c>
      <c r="Y659" s="270">
        <f t="shared" si="200"/>
        <v>91372.69</v>
      </c>
      <c r="Z659" s="270">
        <f t="shared" si="200"/>
        <v>91372.69</v>
      </c>
      <c r="AA659" s="270">
        <f t="shared" si="200"/>
        <v>91372.69</v>
      </c>
      <c r="AB659" s="270">
        <f t="shared" si="200"/>
        <v>91372.69</v>
      </c>
      <c r="AC659" s="270">
        <f t="shared" si="200"/>
        <v>91372.69</v>
      </c>
      <c r="AD659" s="270">
        <f t="shared" si="197"/>
        <v>91372.69</v>
      </c>
      <c r="AE659" s="270">
        <f t="shared" si="197"/>
        <v>91372.69</v>
      </c>
      <c r="AF659" s="270">
        <f t="shared" si="202"/>
        <v>91372.69</v>
      </c>
      <c r="AG659" s="270">
        <f t="shared" si="202"/>
        <v>91372.69</v>
      </c>
      <c r="AH659" s="270">
        <f t="shared" si="202"/>
        <v>91372.69</v>
      </c>
      <c r="AI659" s="270">
        <f t="shared" si="202"/>
        <v>91372.69</v>
      </c>
      <c r="AJ659" s="270">
        <f t="shared" si="202"/>
        <v>91372.69</v>
      </c>
      <c r="AK659" s="270">
        <f t="shared" si="202"/>
        <v>91372.69</v>
      </c>
      <c r="AL659" s="270">
        <f t="shared" si="202"/>
        <v>91372.69</v>
      </c>
      <c r="AM659" s="270">
        <f t="shared" si="202"/>
        <v>91372.69</v>
      </c>
    </row>
    <row r="660" spans="2:39" ht="15.75" thickBot="1" x14ac:dyDescent="0.35">
      <c r="B660" s="56" t="str">
        <f>input_names!$C$3</f>
        <v>diesel</v>
      </c>
      <c r="C660" s="61">
        <v>258</v>
      </c>
      <c r="D660" s="270">
        <f t="shared" si="203"/>
        <v>62559</v>
      </c>
      <c r="E660" s="270">
        <f t="shared" si="203"/>
        <v>69553.13</v>
      </c>
      <c r="F660" s="270">
        <f t="shared" si="203"/>
        <v>72566.17</v>
      </c>
      <c r="G660" s="270">
        <f t="shared" si="203"/>
        <v>73294.100000000006</v>
      </c>
      <c r="H660" s="270">
        <f t="shared" si="203"/>
        <v>72352.710000000006</v>
      </c>
      <c r="I660" s="270">
        <f t="shared" si="203"/>
        <v>73747.149999999994</v>
      </c>
      <c r="J660" s="270">
        <f t="shared" si="203"/>
        <v>63719.79</v>
      </c>
      <c r="K660" s="270">
        <f t="shared" si="203"/>
        <v>67665.61</v>
      </c>
      <c r="L660" s="270">
        <f t="shared" si="203"/>
        <v>71711.5</v>
      </c>
      <c r="M660" s="270">
        <f t="shared" si="203"/>
        <v>86743.09</v>
      </c>
      <c r="N660" s="270">
        <f t="shared" si="203"/>
        <v>92050.559999999998</v>
      </c>
      <c r="O660" s="270">
        <f t="shared" si="203"/>
        <v>92050.559999999998</v>
      </c>
      <c r="P660" s="270">
        <f t="shared" si="203"/>
        <v>92050.559999999998</v>
      </c>
      <c r="Q660" s="270">
        <f t="shared" si="203"/>
        <v>92050.559999999998</v>
      </c>
      <c r="R660" s="270">
        <f t="shared" si="203"/>
        <v>92050.559999999998</v>
      </c>
      <c r="S660" s="270">
        <f t="shared" si="199"/>
        <v>92050.559999999998</v>
      </c>
      <c r="T660" s="270">
        <f t="shared" si="199"/>
        <v>92050.559999999998</v>
      </c>
      <c r="U660" s="270">
        <f t="shared" si="200"/>
        <v>92050.559999999998</v>
      </c>
      <c r="V660" s="270">
        <f t="shared" si="200"/>
        <v>92050.559999999998</v>
      </c>
      <c r="W660" s="270">
        <f t="shared" si="200"/>
        <v>92050.559999999998</v>
      </c>
      <c r="X660" s="270">
        <f t="shared" si="200"/>
        <v>92050.559999999998</v>
      </c>
      <c r="Y660" s="270">
        <f t="shared" si="200"/>
        <v>92050.559999999998</v>
      </c>
      <c r="Z660" s="270">
        <f t="shared" si="200"/>
        <v>92050.559999999998</v>
      </c>
      <c r="AA660" s="270">
        <f t="shared" si="200"/>
        <v>92050.559999999998</v>
      </c>
      <c r="AB660" s="270">
        <f t="shared" si="200"/>
        <v>92050.559999999998</v>
      </c>
      <c r="AC660" s="270">
        <f t="shared" si="200"/>
        <v>92050.559999999998</v>
      </c>
      <c r="AD660" s="270">
        <f t="shared" si="197"/>
        <v>92050.559999999998</v>
      </c>
      <c r="AE660" s="270">
        <f t="shared" si="197"/>
        <v>92050.559999999998</v>
      </c>
      <c r="AF660" s="270">
        <f t="shared" si="202"/>
        <v>92050.559999999998</v>
      </c>
      <c r="AG660" s="270">
        <f t="shared" si="202"/>
        <v>92050.559999999998</v>
      </c>
      <c r="AH660" s="270">
        <f t="shared" si="202"/>
        <v>92050.559999999998</v>
      </c>
      <c r="AI660" s="270">
        <f t="shared" si="202"/>
        <v>92050.559999999998</v>
      </c>
      <c r="AJ660" s="270">
        <f t="shared" si="202"/>
        <v>92050.559999999998</v>
      </c>
      <c r="AK660" s="270">
        <f t="shared" si="202"/>
        <v>92050.559999999998</v>
      </c>
      <c r="AL660" s="270">
        <f t="shared" si="202"/>
        <v>92050.559999999998</v>
      </c>
      <c r="AM660" s="270">
        <f t="shared" si="202"/>
        <v>92050.559999999998</v>
      </c>
    </row>
    <row r="661" spans="2:39" ht="15.75" thickBot="1" x14ac:dyDescent="0.35">
      <c r="B661" s="56" t="str">
        <f>input_names!$C$3</f>
        <v>diesel</v>
      </c>
      <c r="C661" s="61">
        <v>259</v>
      </c>
      <c r="D661" s="270">
        <f t="shared" si="203"/>
        <v>63079</v>
      </c>
      <c r="E661" s="270">
        <f t="shared" si="203"/>
        <v>70115.56</v>
      </c>
      <c r="F661" s="270">
        <f t="shared" si="203"/>
        <v>73124.86</v>
      </c>
      <c r="G661" s="270">
        <f t="shared" si="203"/>
        <v>73836.479999999996</v>
      </c>
      <c r="H661" s="270">
        <f t="shared" si="203"/>
        <v>72869.14</v>
      </c>
      <c r="I661" s="270">
        <f t="shared" si="203"/>
        <v>74255</v>
      </c>
      <c r="J661" s="270">
        <f t="shared" si="203"/>
        <v>64235.380000000005</v>
      </c>
      <c r="K661" s="270">
        <f t="shared" si="203"/>
        <v>68200.28</v>
      </c>
      <c r="L661" s="270">
        <f t="shared" si="203"/>
        <v>72253.8</v>
      </c>
      <c r="M661" s="270">
        <f t="shared" si="203"/>
        <v>87398.16</v>
      </c>
      <c r="N661" s="270">
        <f t="shared" si="203"/>
        <v>92728.43</v>
      </c>
      <c r="O661" s="270">
        <f t="shared" si="203"/>
        <v>92728.43</v>
      </c>
      <c r="P661" s="270">
        <f t="shared" si="203"/>
        <v>92728.43</v>
      </c>
      <c r="Q661" s="270">
        <f t="shared" si="203"/>
        <v>92728.43</v>
      </c>
      <c r="R661" s="270">
        <f t="shared" si="203"/>
        <v>92728.43</v>
      </c>
      <c r="S661" s="270">
        <f t="shared" si="199"/>
        <v>92728.43</v>
      </c>
      <c r="T661" s="270">
        <f t="shared" si="199"/>
        <v>92728.43</v>
      </c>
      <c r="U661" s="270">
        <f t="shared" si="200"/>
        <v>92728.43</v>
      </c>
      <c r="V661" s="270">
        <f t="shared" si="200"/>
        <v>92728.43</v>
      </c>
      <c r="W661" s="270">
        <f t="shared" si="200"/>
        <v>92728.43</v>
      </c>
      <c r="X661" s="270">
        <f t="shared" si="200"/>
        <v>92728.43</v>
      </c>
      <c r="Y661" s="270">
        <f t="shared" si="200"/>
        <v>92728.43</v>
      </c>
      <c r="Z661" s="270">
        <f t="shared" si="200"/>
        <v>92728.43</v>
      </c>
      <c r="AA661" s="270">
        <f t="shared" si="200"/>
        <v>92728.43</v>
      </c>
      <c r="AB661" s="270">
        <f t="shared" si="200"/>
        <v>92728.43</v>
      </c>
      <c r="AC661" s="270">
        <f t="shared" si="200"/>
        <v>92728.43</v>
      </c>
      <c r="AD661" s="270">
        <f t="shared" si="197"/>
        <v>92728.43</v>
      </c>
      <c r="AE661" s="270">
        <f t="shared" si="197"/>
        <v>92728.43</v>
      </c>
      <c r="AF661" s="270">
        <f t="shared" si="202"/>
        <v>92728.43</v>
      </c>
      <c r="AG661" s="270">
        <f t="shared" si="202"/>
        <v>92728.43</v>
      </c>
      <c r="AH661" s="270">
        <f t="shared" si="202"/>
        <v>92728.43</v>
      </c>
      <c r="AI661" s="270">
        <f t="shared" si="202"/>
        <v>92728.43</v>
      </c>
      <c r="AJ661" s="270">
        <f t="shared" si="202"/>
        <v>92728.43</v>
      </c>
      <c r="AK661" s="270">
        <f t="shared" si="202"/>
        <v>92728.43</v>
      </c>
      <c r="AL661" s="270">
        <f t="shared" si="202"/>
        <v>92728.43</v>
      </c>
      <c r="AM661" s="270">
        <f t="shared" si="202"/>
        <v>92728.43</v>
      </c>
    </row>
    <row r="662" spans="2:39" ht="15.75" thickBot="1" x14ac:dyDescent="0.35">
      <c r="B662" s="56" t="str">
        <f>input_names!$C$3</f>
        <v>diesel</v>
      </c>
      <c r="C662" s="61">
        <v>260</v>
      </c>
      <c r="D662" s="270">
        <f t="shared" si="203"/>
        <v>63599</v>
      </c>
      <c r="E662" s="270">
        <f t="shared" si="203"/>
        <v>70677.990000000005</v>
      </c>
      <c r="F662" s="270">
        <f t="shared" si="203"/>
        <v>73683.55</v>
      </c>
      <c r="G662" s="270">
        <f t="shared" si="203"/>
        <v>74378.86</v>
      </c>
      <c r="H662" s="270">
        <f t="shared" si="203"/>
        <v>73385.570000000007</v>
      </c>
      <c r="I662" s="270">
        <f t="shared" si="203"/>
        <v>74762.850000000006</v>
      </c>
      <c r="J662" s="270">
        <f t="shared" si="203"/>
        <v>64750.97</v>
      </c>
      <c r="K662" s="270">
        <f t="shared" si="203"/>
        <v>68734.95</v>
      </c>
      <c r="L662" s="270">
        <f t="shared" si="203"/>
        <v>72796.100000000006</v>
      </c>
      <c r="M662" s="270">
        <f t="shared" si="203"/>
        <v>88053.23</v>
      </c>
      <c r="N662" s="270">
        <f t="shared" si="203"/>
        <v>93406.3</v>
      </c>
      <c r="O662" s="270">
        <f t="shared" si="203"/>
        <v>93406.3</v>
      </c>
      <c r="P662" s="270">
        <f t="shared" si="203"/>
        <v>93406.3</v>
      </c>
      <c r="Q662" s="270">
        <f t="shared" si="203"/>
        <v>93406.3</v>
      </c>
      <c r="R662" s="270">
        <f t="shared" si="203"/>
        <v>93406.3</v>
      </c>
      <c r="S662" s="270">
        <f t="shared" si="199"/>
        <v>93406.3</v>
      </c>
      <c r="T662" s="270">
        <f t="shared" si="199"/>
        <v>93406.3</v>
      </c>
      <c r="U662" s="270">
        <f t="shared" si="200"/>
        <v>93406.3</v>
      </c>
      <c r="V662" s="270">
        <f t="shared" si="200"/>
        <v>93406.3</v>
      </c>
      <c r="W662" s="270">
        <f t="shared" si="200"/>
        <v>93406.3</v>
      </c>
      <c r="X662" s="270">
        <f t="shared" si="200"/>
        <v>93406.3</v>
      </c>
      <c r="Y662" s="270">
        <f t="shared" si="200"/>
        <v>93406.3</v>
      </c>
      <c r="Z662" s="270">
        <f t="shared" si="200"/>
        <v>93406.3</v>
      </c>
      <c r="AA662" s="270">
        <f t="shared" si="200"/>
        <v>93406.3</v>
      </c>
      <c r="AB662" s="270">
        <f t="shared" si="200"/>
        <v>93406.3</v>
      </c>
      <c r="AC662" s="270">
        <f t="shared" si="200"/>
        <v>93406.3</v>
      </c>
      <c r="AD662" s="270">
        <f t="shared" si="197"/>
        <v>93406.3</v>
      </c>
      <c r="AE662" s="270">
        <f t="shared" si="197"/>
        <v>93406.3</v>
      </c>
      <c r="AF662" s="270">
        <f t="shared" si="202"/>
        <v>93406.3</v>
      </c>
      <c r="AG662" s="270">
        <f t="shared" si="202"/>
        <v>93406.3</v>
      </c>
      <c r="AH662" s="270">
        <f t="shared" si="202"/>
        <v>93406.3</v>
      </c>
      <c r="AI662" s="270">
        <f t="shared" si="202"/>
        <v>93406.3</v>
      </c>
      <c r="AJ662" s="270">
        <f t="shared" si="202"/>
        <v>93406.3</v>
      </c>
      <c r="AK662" s="270">
        <f t="shared" si="202"/>
        <v>93406.3</v>
      </c>
      <c r="AL662" s="270">
        <f t="shared" si="202"/>
        <v>93406.3</v>
      </c>
      <c r="AM662" s="270">
        <f t="shared" si="202"/>
        <v>93406.3</v>
      </c>
    </row>
    <row r="663" spans="2:39" ht="15.75" thickBot="1" x14ac:dyDescent="0.35">
      <c r="B663" s="56" t="str">
        <f>input_names!$C$3</f>
        <v>diesel</v>
      </c>
      <c r="C663" s="61">
        <v>261</v>
      </c>
      <c r="D663" s="270">
        <f t="shared" si="203"/>
        <v>64119</v>
      </c>
      <c r="E663" s="270">
        <f t="shared" si="203"/>
        <v>71240.42</v>
      </c>
      <c r="F663" s="270">
        <f t="shared" si="203"/>
        <v>74242.239999999991</v>
      </c>
      <c r="G663" s="270">
        <f t="shared" si="203"/>
        <v>74921.239999999991</v>
      </c>
      <c r="H663" s="270">
        <f t="shared" si="203"/>
        <v>73902</v>
      </c>
      <c r="I663" s="270">
        <f t="shared" si="203"/>
        <v>75270.7</v>
      </c>
      <c r="J663" s="270">
        <f t="shared" si="203"/>
        <v>65266.559999999998</v>
      </c>
      <c r="K663" s="270">
        <f t="shared" si="203"/>
        <v>69269.62</v>
      </c>
      <c r="L663" s="270">
        <f t="shared" si="203"/>
        <v>73338.399999999994</v>
      </c>
      <c r="M663" s="270">
        <f t="shared" si="203"/>
        <v>88708.3</v>
      </c>
      <c r="N663" s="270">
        <f t="shared" si="203"/>
        <v>94084.17</v>
      </c>
      <c r="O663" s="270">
        <f t="shared" si="203"/>
        <v>94084.17</v>
      </c>
      <c r="P663" s="270">
        <f t="shared" si="203"/>
        <v>94084.17</v>
      </c>
      <c r="Q663" s="270">
        <f t="shared" si="203"/>
        <v>94084.17</v>
      </c>
      <c r="R663" s="270">
        <f t="shared" si="203"/>
        <v>94084.17</v>
      </c>
      <c r="S663" s="270">
        <f t="shared" si="199"/>
        <v>94084.17</v>
      </c>
      <c r="T663" s="270">
        <f t="shared" si="199"/>
        <v>94084.17</v>
      </c>
      <c r="U663" s="270">
        <f t="shared" si="200"/>
        <v>94084.17</v>
      </c>
      <c r="V663" s="270">
        <f t="shared" si="200"/>
        <v>94084.17</v>
      </c>
      <c r="W663" s="270">
        <f t="shared" si="200"/>
        <v>94084.17</v>
      </c>
      <c r="X663" s="270">
        <f t="shared" si="200"/>
        <v>94084.17</v>
      </c>
      <c r="Y663" s="270">
        <f t="shared" si="200"/>
        <v>94084.17</v>
      </c>
      <c r="Z663" s="270">
        <f t="shared" si="200"/>
        <v>94084.17</v>
      </c>
      <c r="AA663" s="270">
        <f t="shared" si="200"/>
        <v>94084.17</v>
      </c>
      <c r="AB663" s="270">
        <f t="shared" si="200"/>
        <v>94084.17</v>
      </c>
      <c r="AC663" s="270">
        <f t="shared" si="200"/>
        <v>94084.17</v>
      </c>
      <c r="AD663" s="270">
        <f t="shared" si="197"/>
        <v>94084.17</v>
      </c>
      <c r="AE663" s="270">
        <f t="shared" si="197"/>
        <v>94084.17</v>
      </c>
      <c r="AF663" s="270">
        <f t="shared" si="202"/>
        <v>94084.17</v>
      </c>
      <c r="AG663" s="270">
        <f t="shared" si="202"/>
        <v>94084.17</v>
      </c>
      <c r="AH663" s="270">
        <f t="shared" si="202"/>
        <v>94084.17</v>
      </c>
      <c r="AI663" s="270">
        <f t="shared" si="202"/>
        <v>94084.17</v>
      </c>
      <c r="AJ663" s="270">
        <f t="shared" si="202"/>
        <v>94084.17</v>
      </c>
      <c r="AK663" s="270">
        <f t="shared" si="202"/>
        <v>94084.17</v>
      </c>
      <c r="AL663" s="270">
        <f t="shared" si="202"/>
        <v>94084.17</v>
      </c>
      <c r="AM663" s="270">
        <f t="shared" si="202"/>
        <v>94084.17</v>
      </c>
    </row>
    <row r="664" spans="2:39" ht="15.75" thickBot="1" x14ac:dyDescent="0.35">
      <c r="B664" s="56" t="str">
        <f>input_names!$C$3</f>
        <v>diesel</v>
      </c>
      <c r="C664" s="61">
        <v>262</v>
      </c>
      <c r="D664" s="270">
        <f t="shared" si="203"/>
        <v>64639</v>
      </c>
      <c r="E664" s="270">
        <f t="shared" si="203"/>
        <v>71802.850000000006</v>
      </c>
      <c r="F664" s="270">
        <f t="shared" si="203"/>
        <v>74800.929999999993</v>
      </c>
      <c r="G664" s="270">
        <f t="shared" si="203"/>
        <v>75463.62</v>
      </c>
      <c r="H664" s="270">
        <f t="shared" si="203"/>
        <v>74418.429999999993</v>
      </c>
      <c r="I664" s="270">
        <f t="shared" si="203"/>
        <v>75778.55</v>
      </c>
      <c r="J664" s="270">
        <f t="shared" si="203"/>
        <v>65782.149999999994</v>
      </c>
      <c r="K664" s="270">
        <f t="shared" si="203"/>
        <v>69804.290000000008</v>
      </c>
      <c r="L664" s="270">
        <f t="shared" si="203"/>
        <v>73880.7</v>
      </c>
      <c r="M664" s="270">
        <f t="shared" si="203"/>
        <v>89363.37</v>
      </c>
      <c r="N664" s="270">
        <f t="shared" si="203"/>
        <v>94762.040000000008</v>
      </c>
      <c r="O664" s="270">
        <f t="shared" si="203"/>
        <v>94762.040000000008</v>
      </c>
      <c r="P664" s="270">
        <f t="shared" si="203"/>
        <v>94762.040000000008</v>
      </c>
      <c r="Q664" s="270">
        <f t="shared" si="203"/>
        <v>94762.040000000008</v>
      </c>
      <c r="R664" s="270">
        <f t="shared" si="203"/>
        <v>94762.040000000008</v>
      </c>
      <c r="S664" s="270">
        <f t="shared" si="199"/>
        <v>94762.040000000008</v>
      </c>
      <c r="T664" s="270">
        <f t="shared" si="199"/>
        <v>94762.040000000008</v>
      </c>
      <c r="U664" s="270">
        <f t="shared" si="200"/>
        <v>94762.040000000008</v>
      </c>
      <c r="V664" s="270">
        <f t="shared" si="200"/>
        <v>94762.040000000008</v>
      </c>
      <c r="W664" s="270">
        <f t="shared" si="200"/>
        <v>94762.040000000008</v>
      </c>
      <c r="X664" s="270">
        <f t="shared" si="200"/>
        <v>94762.040000000008</v>
      </c>
      <c r="Y664" s="270">
        <f t="shared" si="200"/>
        <v>94762.040000000008</v>
      </c>
      <c r="Z664" s="270">
        <f t="shared" si="200"/>
        <v>94762.040000000008</v>
      </c>
      <c r="AA664" s="270">
        <f t="shared" si="200"/>
        <v>94762.040000000008</v>
      </c>
      <c r="AB664" s="270">
        <f t="shared" si="200"/>
        <v>94762.040000000008</v>
      </c>
      <c r="AC664" s="270">
        <f t="shared" si="200"/>
        <v>94762.040000000008</v>
      </c>
      <c r="AD664" s="270">
        <f t="shared" si="197"/>
        <v>94762.040000000008</v>
      </c>
      <c r="AE664" s="270">
        <f t="shared" si="197"/>
        <v>94762.040000000008</v>
      </c>
      <c r="AF664" s="270">
        <f t="shared" si="202"/>
        <v>94762.040000000008</v>
      </c>
      <c r="AG664" s="270">
        <f t="shared" si="202"/>
        <v>94762.040000000008</v>
      </c>
      <c r="AH664" s="270">
        <f t="shared" si="202"/>
        <v>94762.040000000008</v>
      </c>
      <c r="AI664" s="270">
        <f t="shared" si="202"/>
        <v>94762.040000000008</v>
      </c>
      <c r="AJ664" s="270">
        <f t="shared" si="202"/>
        <v>94762.040000000008</v>
      </c>
      <c r="AK664" s="270">
        <f t="shared" si="202"/>
        <v>94762.040000000008</v>
      </c>
      <c r="AL664" s="270">
        <f t="shared" si="202"/>
        <v>94762.040000000008</v>
      </c>
      <c r="AM664" s="270">
        <f t="shared" si="202"/>
        <v>94762.040000000008</v>
      </c>
    </row>
    <row r="665" spans="2:39" ht="15.75" thickBot="1" x14ac:dyDescent="0.35">
      <c r="B665" s="56" t="str">
        <f>input_names!$C$3</f>
        <v>diesel</v>
      </c>
      <c r="C665" s="61">
        <v>263</v>
      </c>
      <c r="D665" s="270">
        <f t="shared" si="203"/>
        <v>65159</v>
      </c>
      <c r="E665" s="270">
        <f t="shared" si="203"/>
        <v>72365.279999999999</v>
      </c>
      <c r="F665" s="270">
        <f t="shared" si="203"/>
        <v>75359.62</v>
      </c>
      <c r="G665" s="270">
        <f t="shared" si="203"/>
        <v>76006</v>
      </c>
      <c r="H665" s="270">
        <f t="shared" si="203"/>
        <v>74934.86</v>
      </c>
      <c r="I665" s="270">
        <f t="shared" si="203"/>
        <v>76286.399999999994</v>
      </c>
      <c r="J665" s="270">
        <f t="shared" si="203"/>
        <v>66297.740000000005</v>
      </c>
      <c r="K665" s="270">
        <f t="shared" si="203"/>
        <v>70338.960000000006</v>
      </c>
      <c r="L665" s="270">
        <f t="shared" si="203"/>
        <v>74423</v>
      </c>
      <c r="M665" s="270">
        <f t="shared" si="203"/>
        <v>90018.44</v>
      </c>
      <c r="N665" s="270">
        <f t="shared" si="203"/>
        <v>95439.91</v>
      </c>
      <c r="O665" s="270">
        <f t="shared" si="203"/>
        <v>95439.91</v>
      </c>
      <c r="P665" s="270">
        <f t="shared" si="203"/>
        <v>95439.91</v>
      </c>
      <c r="Q665" s="270">
        <f t="shared" si="203"/>
        <v>95439.91</v>
      </c>
      <c r="R665" s="270">
        <f t="shared" si="203"/>
        <v>95439.91</v>
      </c>
      <c r="S665" s="270">
        <f t="shared" si="199"/>
        <v>95439.91</v>
      </c>
      <c r="T665" s="270">
        <f t="shared" si="199"/>
        <v>95439.91</v>
      </c>
      <c r="U665" s="270">
        <f t="shared" si="200"/>
        <v>95439.91</v>
      </c>
      <c r="V665" s="270">
        <f t="shared" si="200"/>
        <v>95439.91</v>
      </c>
      <c r="W665" s="270">
        <f t="shared" si="200"/>
        <v>95439.91</v>
      </c>
      <c r="X665" s="270">
        <f t="shared" si="200"/>
        <v>95439.91</v>
      </c>
      <c r="Y665" s="270">
        <f t="shared" si="200"/>
        <v>95439.91</v>
      </c>
      <c r="Z665" s="270">
        <f t="shared" si="200"/>
        <v>95439.91</v>
      </c>
      <c r="AA665" s="270">
        <f t="shared" si="200"/>
        <v>95439.91</v>
      </c>
      <c r="AB665" s="270">
        <f t="shared" si="200"/>
        <v>95439.91</v>
      </c>
      <c r="AC665" s="270">
        <f t="shared" si="200"/>
        <v>95439.91</v>
      </c>
      <c r="AD665" s="270">
        <f t="shared" si="197"/>
        <v>95439.91</v>
      </c>
      <c r="AE665" s="270">
        <f t="shared" si="197"/>
        <v>95439.91</v>
      </c>
      <c r="AF665" s="270">
        <f t="shared" si="202"/>
        <v>95439.91</v>
      </c>
      <c r="AG665" s="270">
        <f t="shared" si="202"/>
        <v>95439.91</v>
      </c>
      <c r="AH665" s="270">
        <f t="shared" si="202"/>
        <v>95439.91</v>
      </c>
      <c r="AI665" s="270">
        <f t="shared" si="202"/>
        <v>95439.91</v>
      </c>
      <c r="AJ665" s="270">
        <f t="shared" si="202"/>
        <v>95439.91</v>
      </c>
      <c r="AK665" s="270">
        <f t="shared" si="202"/>
        <v>95439.91</v>
      </c>
      <c r="AL665" s="270">
        <f t="shared" si="202"/>
        <v>95439.91</v>
      </c>
      <c r="AM665" s="270">
        <f t="shared" si="202"/>
        <v>95439.91</v>
      </c>
    </row>
    <row r="666" spans="2:39" ht="15.75" thickBot="1" x14ac:dyDescent="0.35">
      <c r="B666" s="56" t="str">
        <f>input_names!$C$3</f>
        <v>diesel</v>
      </c>
      <c r="C666" s="61">
        <v>264</v>
      </c>
      <c r="D666" s="270">
        <f t="shared" si="203"/>
        <v>65679</v>
      </c>
      <c r="E666" s="270">
        <f t="shared" si="203"/>
        <v>72927.710000000006</v>
      </c>
      <c r="F666" s="270">
        <f t="shared" si="203"/>
        <v>75918.31</v>
      </c>
      <c r="G666" s="270">
        <f t="shared" si="203"/>
        <v>76548.38</v>
      </c>
      <c r="H666" s="270">
        <f t="shared" si="203"/>
        <v>75451.290000000008</v>
      </c>
      <c r="I666" s="270">
        <f t="shared" si="203"/>
        <v>76794.25</v>
      </c>
      <c r="J666" s="270">
        <f t="shared" si="203"/>
        <v>66813.33</v>
      </c>
      <c r="K666" s="270">
        <f t="shared" si="203"/>
        <v>70873.63</v>
      </c>
      <c r="L666" s="270">
        <f t="shared" si="203"/>
        <v>74965.3</v>
      </c>
      <c r="M666" s="270">
        <f t="shared" si="203"/>
        <v>90673.51</v>
      </c>
      <c r="N666" s="270">
        <f t="shared" si="203"/>
        <v>96117.78</v>
      </c>
      <c r="O666" s="270">
        <f t="shared" si="203"/>
        <v>96117.78</v>
      </c>
      <c r="P666" s="270">
        <f t="shared" si="203"/>
        <v>96117.78</v>
      </c>
      <c r="Q666" s="270">
        <f t="shared" si="203"/>
        <v>96117.78</v>
      </c>
      <c r="R666" s="270">
        <f t="shared" si="203"/>
        <v>96117.78</v>
      </c>
      <c r="S666" s="270">
        <f t="shared" si="199"/>
        <v>96117.78</v>
      </c>
      <c r="T666" s="270">
        <f t="shared" si="199"/>
        <v>96117.78</v>
      </c>
      <c r="U666" s="270">
        <f t="shared" si="200"/>
        <v>96117.78</v>
      </c>
      <c r="V666" s="270">
        <f t="shared" si="200"/>
        <v>96117.78</v>
      </c>
      <c r="W666" s="270">
        <f t="shared" si="200"/>
        <v>96117.78</v>
      </c>
      <c r="X666" s="270">
        <f t="shared" si="200"/>
        <v>96117.78</v>
      </c>
      <c r="Y666" s="270">
        <f t="shared" si="200"/>
        <v>96117.78</v>
      </c>
      <c r="Z666" s="270">
        <f t="shared" si="200"/>
        <v>96117.78</v>
      </c>
      <c r="AA666" s="270">
        <f t="shared" si="200"/>
        <v>96117.78</v>
      </c>
      <c r="AB666" s="270">
        <f t="shared" si="200"/>
        <v>96117.78</v>
      </c>
      <c r="AC666" s="270">
        <f t="shared" si="200"/>
        <v>96117.78</v>
      </c>
      <c r="AD666" s="270">
        <f t="shared" si="197"/>
        <v>96117.78</v>
      </c>
      <c r="AE666" s="270">
        <f t="shared" si="197"/>
        <v>96117.78</v>
      </c>
      <c r="AF666" s="270">
        <f t="shared" si="202"/>
        <v>96117.78</v>
      </c>
      <c r="AG666" s="270">
        <f t="shared" si="202"/>
        <v>96117.78</v>
      </c>
      <c r="AH666" s="270">
        <f t="shared" si="202"/>
        <v>96117.78</v>
      </c>
      <c r="AI666" s="270">
        <f t="shared" si="202"/>
        <v>96117.78</v>
      </c>
      <c r="AJ666" s="270">
        <f t="shared" si="202"/>
        <v>96117.78</v>
      </c>
      <c r="AK666" s="270">
        <f t="shared" si="202"/>
        <v>96117.78</v>
      </c>
      <c r="AL666" s="270">
        <f t="shared" si="202"/>
        <v>96117.78</v>
      </c>
      <c r="AM666" s="270">
        <f t="shared" si="202"/>
        <v>96117.78</v>
      </c>
    </row>
    <row r="667" spans="2:39" ht="15.75" thickBot="1" x14ac:dyDescent="0.35">
      <c r="B667" s="56" t="str">
        <f>input_names!$C$3</f>
        <v>diesel</v>
      </c>
      <c r="C667" s="61">
        <v>265</v>
      </c>
      <c r="D667" s="270">
        <f t="shared" si="203"/>
        <v>66199</v>
      </c>
      <c r="E667" s="270">
        <f t="shared" si="203"/>
        <v>73490.14</v>
      </c>
      <c r="F667" s="270">
        <f t="shared" si="203"/>
        <v>76477</v>
      </c>
      <c r="G667" s="270">
        <f t="shared" si="203"/>
        <v>77090.759999999995</v>
      </c>
      <c r="H667" s="270">
        <f t="shared" si="203"/>
        <v>75967.72</v>
      </c>
      <c r="I667" s="270">
        <f t="shared" si="203"/>
        <v>77302.100000000006</v>
      </c>
      <c r="J667" s="270">
        <f t="shared" si="203"/>
        <v>67328.92</v>
      </c>
      <c r="K667" s="270">
        <f t="shared" si="203"/>
        <v>71408.3</v>
      </c>
      <c r="L667" s="270">
        <f t="shared" si="203"/>
        <v>75507.600000000006</v>
      </c>
      <c r="M667" s="270">
        <f t="shared" si="203"/>
        <v>91328.58</v>
      </c>
      <c r="N667" s="270">
        <f t="shared" si="203"/>
        <v>96795.65</v>
      </c>
      <c r="O667" s="270">
        <f t="shared" si="203"/>
        <v>96795.65</v>
      </c>
      <c r="P667" s="270">
        <f t="shared" si="203"/>
        <v>96795.65</v>
      </c>
      <c r="Q667" s="270">
        <f t="shared" si="203"/>
        <v>96795.65</v>
      </c>
      <c r="R667" s="270">
        <f t="shared" si="203"/>
        <v>96795.65</v>
      </c>
      <c r="S667" s="270">
        <f t="shared" si="199"/>
        <v>96795.65</v>
      </c>
      <c r="T667" s="270">
        <f t="shared" si="199"/>
        <v>96795.65</v>
      </c>
      <c r="U667" s="270">
        <f t="shared" si="200"/>
        <v>96795.65</v>
      </c>
      <c r="V667" s="270">
        <f t="shared" si="200"/>
        <v>96795.65</v>
      </c>
      <c r="W667" s="270">
        <f t="shared" si="200"/>
        <v>96795.65</v>
      </c>
      <c r="X667" s="270">
        <f t="shared" si="200"/>
        <v>96795.65</v>
      </c>
      <c r="Y667" s="270">
        <f t="shared" si="200"/>
        <v>96795.65</v>
      </c>
      <c r="Z667" s="270">
        <f t="shared" si="200"/>
        <v>96795.65</v>
      </c>
      <c r="AA667" s="270">
        <f t="shared" si="200"/>
        <v>96795.65</v>
      </c>
      <c r="AB667" s="270">
        <f t="shared" si="200"/>
        <v>96795.65</v>
      </c>
      <c r="AC667" s="270">
        <f t="shared" si="200"/>
        <v>96795.65</v>
      </c>
      <c r="AD667" s="270">
        <f t="shared" si="197"/>
        <v>96795.65</v>
      </c>
      <c r="AE667" s="270">
        <f t="shared" si="197"/>
        <v>96795.65</v>
      </c>
      <c r="AF667" s="270">
        <f t="shared" si="202"/>
        <v>96795.65</v>
      </c>
      <c r="AG667" s="270">
        <f t="shared" si="202"/>
        <v>96795.65</v>
      </c>
      <c r="AH667" s="270">
        <f t="shared" si="202"/>
        <v>96795.65</v>
      </c>
      <c r="AI667" s="270">
        <f t="shared" si="202"/>
        <v>96795.65</v>
      </c>
      <c r="AJ667" s="270">
        <f t="shared" si="202"/>
        <v>96795.65</v>
      </c>
      <c r="AK667" s="270">
        <f t="shared" si="202"/>
        <v>96795.65</v>
      </c>
      <c r="AL667" s="270">
        <f t="shared" si="202"/>
        <v>96795.65</v>
      </c>
      <c r="AM667" s="270">
        <f t="shared" si="202"/>
        <v>96795.65</v>
      </c>
    </row>
    <row r="668" spans="2:39" ht="15.75" thickBot="1" x14ac:dyDescent="0.35">
      <c r="B668" s="56" t="str">
        <f>input_names!$C$3</f>
        <v>diesel</v>
      </c>
      <c r="C668" s="61">
        <v>266</v>
      </c>
      <c r="D668" s="270">
        <f t="shared" si="203"/>
        <v>66719</v>
      </c>
      <c r="E668" s="270">
        <f t="shared" si="203"/>
        <v>74052.570000000007</v>
      </c>
      <c r="F668" s="270">
        <f t="shared" si="203"/>
        <v>77035.69</v>
      </c>
      <c r="G668" s="270">
        <f t="shared" si="203"/>
        <v>77633.14</v>
      </c>
      <c r="H668" s="270">
        <f t="shared" si="203"/>
        <v>76484.149999999994</v>
      </c>
      <c r="I668" s="270">
        <f t="shared" si="203"/>
        <v>77809.95</v>
      </c>
      <c r="J668" s="270">
        <f t="shared" si="203"/>
        <v>67844.509999999995</v>
      </c>
      <c r="K668" s="270">
        <f t="shared" si="203"/>
        <v>71942.97</v>
      </c>
      <c r="L668" s="270">
        <f t="shared" si="203"/>
        <v>76049.899999999994</v>
      </c>
      <c r="M668" s="270">
        <f t="shared" si="203"/>
        <v>91983.65</v>
      </c>
      <c r="N668" s="270">
        <f t="shared" si="203"/>
        <v>97473.52</v>
      </c>
      <c r="O668" s="270">
        <f t="shared" si="203"/>
        <v>97473.52</v>
      </c>
      <c r="P668" s="270">
        <f t="shared" si="203"/>
        <v>97473.52</v>
      </c>
      <c r="Q668" s="270">
        <f t="shared" si="203"/>
        <v>97473.52</v>
      </c>
      <c r="R668" s="270">
        <f t="shared" si="203"/>
        <v>97473.52</v>
      </c>
      <c r="S668" s="270">
        <f t="shared" si="199"/>
        <v>97473.52</v>
      </c>
      <c r="T668" s="270">
        <f t="shared" si="199"/>
        <v>97473.52</v>
      </c>
      <c r="U668" s="270">
        <f t="shared" si="200"/>
        <v>97473.52</v>
      </c>
      <c r="V668" s="270">
        <f t="shared" si="200"/>
        <v>97473.52</v>
      </c>
      <c r="W668" s="270">
        <f t="shared" si="200"/>
        <v>97473.52</v>
      </c>
      <c r="X668" s="270">
        <f t="shared" si="200"/>
        <v>97473.52</v>
      </c>
      <c r="Y668" s="270">
        <f t="shared" si="200"/>
        <v>97473.52</v>
      </c>
      <c r="Z668" s="270">
        <f t="shared" si="200"/>
        <v>97473.52</v>
      </c>
      <c r="AA668" s="270">
        <f t="shared" si="200"/>
        <v>97473.52</v>
      </c>
      <c r="AB668" s="270">
        <f t="shared" si="200"/>
        <v>97473.52</v>
      </c>
      <c r="AC668" s="270">
        <f t="shared" si="200"/>
        <v>97473.52</v>
      </c>
      <c r="AD668" s="270">
        <f t="shared" si="197"/>
        <v>97473.52</v>
      </c>
      <c r="AE668" s="270">
        <f t="shared" si="197"/>
        <v>97473.52</v>
      </c>
      <c r="AF668" s="270">
        <f t="shared" si="202"/>
        <v>97473.52</v>
      </c>
      <c r="AG668" s="270">
        <f t="shared" si="202"/>
        <v>97473.52</v>
      </c>
      <c r="AH668" s="270">
        <f t="shared" si="202"/>
        <v>97473.52</v>
      </c>
      <c r="AI668" s="270">
        <f t="shared" si="202"/>
        <v>97473.52</v>
      </c>
      <c r="AJ668" s="270">
        <f t="shared" si="202"/>
        <v>97473.52</v>
      </c>
      <c r="AK668" s="270">
        <f t="shared" si="202"/>
        <v>97473.52</v>
      </c>
      <c r="AL668" s="270">
        <f t="shared" si="202"/>
        <v>97473.52</v>
      </c>
      <c r="AM668" s="270">
        <f t="shared" si="202"/>
        <v>97473.52</v>
      </c>
    </row>
    <row r="669" spans="2:39" ht="15.75" thickBot="1" x14ac:dyDescent="0.35">
      <c r="B669" s="56" t="str">
        <f>input_names!$C$3</f>
        <v>diesel</v>
      </c>
      <c r="C669" s="61">
        <v>267</v>
      </c>
      <c r="D669" s="270">
        <f t="shared" si="203"/>
        <v>67239</v>
      </c>
      <c r="E669" s="270">
        <f t="shared" si="203"/>
        <v>74615</v>
      </c>
      <c r="F669" s="270">
        <f t="shared" si="203"/>
        <v>77594.38</v>
      </c>
      <c r="G669" s="270">
        <f t="shared" si="203"/>
        <v>78175.520000000004</v>
      </c>
      <c r="H669" s="270">
        <f t="shared" si="203"/>
        <v>77000.58</v>
      </c>
      <c r="I669" s="270">
        <f t="shared" si="203"/>
        <v>78317.8</v>
      </c>
      <c r="J669" s="270">
        <f t="shared" si="203"/>
        <v>68360.100000000006</v>
      </c>
      <c r="K669" s="270">
        <f t="shared" si="203"/>
        <v>72477.64</v>
      </c>
      <c r="L669" s="270">
        <f t="shared" si="203"/>
        <v>76592.2</v>
      </c>
      <c r="M669" s="270">
        <f t="shared" si="203"/>
        <v>92638.720000000001</v>
      </c>
      <c r="N669" s="270">
        <f t="shared" si="203"/>
        <v>98151.39</v>
      </c>
      <c r="O669" s="270">
        <f t="shared" si="203"/>
        <v>98151.39</v>
      </c>
      <c r="P669" s="270">
        <f t="shared" si="203"/>
        <v>98151.39</v>
      </c>
      <c r="Q669" s="270">
        <f t="shared" si="203"/>
        <v>98151.39</v>
      </c>
      <c r="R669" s="270">
        <f t="shared" si="203"/>
        <v>98151.39</v>
      </c>
      <c r="S669" s="270">
        <f t="shared" si="199"/>
        <v>98151.39</v>
      </c>
      <c r="T669" s="270">
        <f t="shared" si="199"/>
        <v>98151.39</v>
      </c>
      <c r="U669" s="270">
        <f t="shared" si="200"/>
        <v>98151.39</v>
      </c>
      <c r="V669" s="270">
        <f t="shared" si="200"/>
        <v>98151.39</v>
      </c>
      <c r="W669" s="270">
        <f t="shared" si="200"/>
        <v>98151.39</v>
      </c>
      <c r="X669" s="270">
        <f t="shared" si="200"/>
        <v>98151.39</v>
      </c>
      <c r="Y669" s="270">
        <f t="shared" si="200"/>
        <v>98151.39</v>
      </c>
      <c r="Z669" s="270">
        <f t="shared" ref="U669:AC697" si="204">+MIN(MAX(0,$C669-Z$11),Z$12-Z$11)*Z$17
+MIN(MAX(0,$C669-Z$12),Z$13-Z$12)*Z$18
+MIN(MAX(0,$C669-Z$13),Z$14-Z$13)*Z$19
+MIN(MAX(0,$C669-Z$14),Z$15-Z$14)*Z$20
+MAX(0,$C669-Z$15)*Z$21
+Z$24*MAX(0,$C669-Z$23)
+Z$26</f>
        <v>98151.39</v>
      </c>
      <c r="AA669" s="270">
        <f t="shared" si="204"/>
        <v>98151.39</v>
      </c>
      <c r="AB669" s="270">
        <f t="shared" si="204"/>
        <v>98151.39</v>
      </c>
      <c r="AC669" s="270">
        <f t="shared" si="204"/>
        <v>98151.39</v>
      </c>
      <c r="AD669" s="270">
        <f t="shared" si="197"/>
        <v>98151.39</v>
      </c>
      <c r="AE669" s="270">
        <f t="shared" si="197"/>
        <v>98151.39</v>
      </c>
      <c r="AF669" s="270">
        <f t="shared" si="202"/>
        <v>98151.39</v>
      </c>
      <c r="AG669" s="270">
        <f t="shared" si="202"/>
        <v>98151.39</v>
      </c>
      <c r="AH669" s="270">
        <f t="shared" si="202"/>
        <v>98151.39</v>
      </c>
      <c r="AI669" s="270">
        <f t="shared" si="202"/>
        <v>98151.39</v>
      </c>
      <c r="AJ669" s="270">
        <f t="shared" si="202"/>
        <v>98151.39</v>
      </c>
      <c r="AK669" s="270">
        <f t="shared" si="202"/>
        <v>98151.39</v>
      </c>
      <c r="AL669" s="270">
        <f t="shared" si="202"/>
        <v>98151.39</v>
      </c>
      <c r="AM669" s="270">
        <f t="shared" si="202"/>
        <v>98151.39</v>
      </c>
    </row>
    <row r="670" spans="2:39" ht="15.75" thickBot="1" x14ac:dyDescent="0.35">
      <c r="B670" s="56" t="str">
        <f>input_names!$C$3</f>
        <v>diesel</v>
      </c>
      <c r="C670" s="61">
        <v>268</v>
      </c>
      <c r="D670" s="270">
        <f t="shared" si="203"/>
        <v>67759</v>
      </c>
      <c r="E670" s="270">
        <f t="shared" si="203"/>
        <v>75177.429999999993</v>
      </c>
      <c r="F670" s="270">
        <f t="shared" si="203"/>
        <v>78153.070000000007</v>
      </c>
      <c r="G670" s="270">
        <f t="shared" si="203"/>
        <v>78717.899999999994</v>
      </c>
      <c r="H670" s="270">
        <f t="shared" si="203"/>
        <v>77517.010000000009</v>
      </c>
      <c r="I670" s="270">
        <f t="shared" si="203"/>
        <v>78825.649999999994</v>
      </c>
      <c r="J670" s="270">
        <f t="shared" si="203"/>
        <v>68875.69</v>
      </c>
      <c r="K670" s="270">
        <f t="shared" si="203"/>
        <v>73012.31</v>
      </c>
      <c r="L670" s="270">
        <f t="shared" si="203"/>
        <v>77134.5</v>
      </c>
      <c r="M670" s="270">
        <f t="shared" si="203"/>
        <v>93293.79</v>
      </c>
      <c r="N670" s="270">
        <f t="shared" si="203"/>
        <v>98829.260000000009</v>
      </c>
      <c r="O670" s="270">
        <f t="shared" si="203"/>
        <v>98829.260000000009</v>
      </c>
      <c r="P670" s="270">
        <f t="shared" si="203"/>
        <v>98829.260000000009</v>
      </c>
      <c r="Q670" s="270">
        <f t="shared" si="203"/>
        <v>98829.260000000009</v>
      </c>
      <c r="R670" s="270">
        <f t="shared" si="203"/>
        <v>98829.260000000009</v>
      </c>
      <c r="S670" s="270">
        <f t="shared" si="199"/>
        <v>98829.260000000009</v>
      </c>
      <c r="T670" s="270">
        <f t="shared" si="199"/>
        <v>98829.260000000009</v>
      </c>
      <c r="U670" s="270">
        <f t="shared" si="204"/>
        <v>98829.260000000009</v>
      </c>
      <c r="V670" s="270">
        <f t="shared" si="204"/>
        <v>98829.260000000009</v>
      </c>
      <c r="W670" s="270">
        <f t="shared" si="204"/>
        <v>98829.260000000009</v>
      </c>
      <c r="X670" s="270">
        <f t="shared" si="204"/>
        <v>98829.260000000009</v>
      </c>
      <c r="Y670" s="270">
        <f t="shared" si="204"/>
        <v>98829.260000000009</v>
      </c>
      <c r="Z670" s="270">
        <f t="shared" si="204"/>
        <v>98829.260000000009</v>
      </c>
      <c r="AA670" s="270">
        <f t="shared" si="204"/>
        <v>98829.260000000009</v>
      </c>
      <c r="AB670" s="270">
        <f t="shared" si="204"/>
        <v>98829.260000000009</v>
      </c>
      <c r="AC670" s="270">
        <f t="shared" si="204"/>
        <v>98829.260000000009</v>
      </c>
      <c r="AD670" s="270">
        <f t="shared" si="197"/>
        <v>98829.260000000009</v>
      </c>
      <c r="AE670" s="270">
        <f t="shared" si="197"/>
        <v>98829.260000000009</v>
      </c>
      <c r="AF670" s="270">
        <f t="shared" si="202"/>
        <v>98829.260000000009</v>
      </c>
      <c r="AG670" s="270">
        <f t="shared" si="202"/>
        <v>98829.260000000009</v>
      </c>
      <c r="AH670" s="270">
        <f t="shared" si="202"/>
        <v>98829.260000000009</v>
      </c>
      <c r="AI670" s="270">
        <f t="shared" si="202"/>
        <v>98829.260000000009</v>
      </c>
      <c r="AJ670" s="270">
        <f t="shared" si="202"/>
        <v>98829.260000000009</v>
      </c>
      <c r="AK670" s="270">
        <f t="shared" si="202"/>
        <v>98829.260000000009</v>
      </c>
      <c r="AL670" s="270">
        <f t="shared" si="202"/>
        <v>98829.260000000009</v>
      </c>
      <c r="AM670" s="270">
        <f t="shared" si="202"/>
        <v>98829.260000000009</v>
      </c>
    </row>
    <row r="671" spans="2:39" ht="15.75" thickBot="1" x14ac:dyDescent="0.35">
      <c r="B671" s="56" t="str">
        <f>input_names!$C$3</f>
        <v>diesel</v>
      </c>
      <c r="C671" s="61">
        <v>269</v>
      </c>
      <c r="D671" s="270">
        <f t="shared" si="203"/>
        <v>68279</v>
      </c>
      <c r="E671" s="270">
        <f t="shared" si="203"/>
        <v>75739.86</v>
      </c>
      <c r="F671" s="270">
        <f t="shared" si="203"/>
        <v>78711.759999999995</v>
      </c>
      <c r="G671" s="270">
        <f t="shared" si="203"/>
        <v>79260.28</v>
      </c>
      <c r="H671" s="270">
        <f t="shared" si="203"/>
        <v>78033.440000000002</v>
      </c>
      <c r="I671" s="270">
        <f t="shared" si="203"/>
        <v>79333.5</v>
      </c>
      <c r="J671" s="270">
        <f t="shared" si="203"/>
        <v>69391.28</v>
      </c>
      <c r="K671" s="270">
        <f t="shared" si="203"/>
        <v>73546.98</v>
      </c>
      <c r="L671" s="270">
        <f t="shared" si="203"/>
        <v>77676.800000000003</v>
      </c>
      <c r="M671" s="270">
        <f t="shared" si="203"/>
        <v>93948.86</v>
      </c>
      <c r="N671" s="270">
        <f t="shared" si="203"/>
        <v>99507.13</v>
      </c>
      <c r="O671" s="270">
        <f t="shared" si="203"/>
        <v>99507.13</v>
      </c>
      <c r="P671" s="270">
        <f t="shared" si="203"/>
        <v>99507.13</v>
      </c>
      <c r="Q671" s="270">
        <f t="shared" si="203"/>
        <v>99507.13</v>
      </c>
      <c r="R671" s="270">
        <f t="shared" si="203"/>
        <v>99507.13</v>
      </c>
      <c r="S671" s="270">
        <f t="shared" si="199"/>
        <v>99507.13</v>
      </c>
      <c r="T671" s="270">
        <f t="shared" si="199"/>
        <v>99507.13</v>
      </c>
      <c r="U671" s="270">
        <f t="shared" si="204"/>
        <v>99507.13</v>
      </c>
      <c r="V671" s="270">
        <f t="shared" si="204"/>
        <v>99507.13</v>
      </c>
      <c r="W671" s="270">
        <f t="shared" si="204"/>
        <v>99507.13</v>
      </c>
      <c r="X671" s="270">
        <f t="shared" si="204"/>
        <v>99507.13</v>
      </c>
      <c r="Y671" s="270">
        <f t="shared" si="204"/>
        <v>99507.13</v>
      </c>
      <c r="Z671" s="270">
        <f t="shared" si="204"/>
        <v>99507.13</v>
      </c>
      <c r="AA671" s="270">
        <f t="shared" si="204"/>
        <v>99507.13</v>
      </c>
      <c r="AB671" s="270">
        <f t="shared" si="204"/>
        <v>99507.13</v>
      </c>
      <c r="AC671" s="270">
        <f t="shared" si="204"/>
        <v>99507.13</v>
      </c>
      <c r="AD671" s="270">
        <f t="shared" si="197"/>
        <v>99507.13</v>
      </c>
      <c r="AE671" s="270">
        <f t="shared" si="197"/>
        <v>99507.13</v>
      </c>
      <c r="AF671" s="270">
        <f t="shared" si="202"/>
        <v>99507.13</v>
      </c>
      <c r="AG671" s="270">
        <f t="shared" si="202"/>
        <v>99507.13</v>
      </c>
      <c r="AH671" s="270">
        <f t="shared" si="202"/>
        <v>99507.13</v>
      </c>
      <c r="AI671" s="270">
        <f t="shared" si="202"/>
        <v>99507.13</v>
      </c>
      <c r="AJ671" s="270">
        <f t="shared" si="202"/>
        <v>99507.13</v>
      </c>
      <c r="AK671" s="270">
        <f t="shared" si="202"/>
        <v>99507.13</v>
      </c>
      <c r="AL671" s="270">
        <f t="shared" si="202"/>
        <v>99507.13</v>
      </c>
      <c r="AM671" s="270">
        <f t="shared" si="202"/>
        <v>99507.13</v>
      </c>
    </row>
    <row r="672" spans="2:39" ht="15.75" thickBot="1" x14ac:dyDescent="0.35">
      <c r="B672" s="56" t="str">
        <f>input_names!$C$3</f>
        <v>diesel</v>
      </c>
      <c r="C672" s="61">
        <v>270</v>
      </c>
      <c r="D672" s="270">
        <f t="shared" si="203"/>
        <v>68799</v>
      </c>
      <c r="E672" s="270">
        <f t="shared" si="203"/>
        <v>76302.290000000008</v>
      </c>
      <c r="F672" s="270">
        <f t="shared" si="203"/>
        <v>79270.45</v>
      </c>
      <c r="G672" s="270">
        <f t="shared" si="203"/>
        <v>79802.66</v>
      </c>
      <c r="H672" s="270">
        <f t="shared" si="203"/>
        <v>78549.87</v>
      </c>
      <c r="I672" s="270">
        <f t="shared" si="203"/>
        <v>79841.350000000006</v>
      </c>
      <c r="J672" s="270">
        <f t="shared" si="203"/>
        <v>69906.87</v>
      </c>
      <c r="K672" s="270">
        <f t="shared" si="203"/>
        <v>74081.649999999994</v>
      </c>
      <c r="L672" s="270">
        <f t="shared" si="203"/>
        <v>78219.100000000006</v>
      </c>
      <c r="M672" s="270">
        <f t="shared" si="203"/>
        <v>94603.93</v>
      </c>
      <c r="N672" s="270">
        <f t="shared" si="203"/>
        <v>100185</v>
      </c>
      <c r="O672" s="270">
        <f t="shared" si="203"/>
        <v>100185</v>
      </c>
      <c r="P672" s="270">
        <f t="shared" si="203"/>
        <v>100185</v>
      </c>
      <c r="Q672" s="270">
        <f t="shared" si="203"/>
        <v>100185</v>
      </c>
      <c r="R672" s="270">
        <f t="shared" si="203"/>
        <v>100185</v>
      </c>
      <c r="S672" s="270">
        <f t="shared" si="199"/>
        <v>100185</v>
      </c>
      <c r="T672" s="270">
        <f t="shared" si="199"/>
        <v>100185</v>
      </c>
      <c r="U672" s="270">
        <f t="shared" si="204"/>
        <v>100185</v>
      </c>
      <c r="V672" s="270">
        <f t="shared" si="204"/>
        <v>100185</v>
      </c>
      <c r="W672" s="270">
        <f t="shared" si="204"/>
        <v>100185</v>
      </c>
      <c r="X672" s="270">
        <f t="shared" si="204"/>
        <v>100185</v>
      </c>
      <c r="Y672" s="270">
        <f t="shared" si="204"/>
        <v>100185</v>
      </c>
      <c r="Z672" s="270">
        <f t="shared" si="204"/>
        <v>100185</v>
      </c>
      <c r="AA672" s="270">
        <f t="shared" si="204"/>
        <v>100185</v>
      </c>
      <c r="AB672" s="270">
        <f t="shared" si="204"/>
        <v>100185</v>
      </c>
      <c r="AC672" s="270">
        <f t="shared" si="204"/>
        <v>100185</v>
      </c>
      <c r="AD672" s="270">
        <f t="shared" si="197"/>
        <v>100185</v>
      </c>
      <c r="AE672" s="270">
        <f t="shared" si="197"/>
        <v>100185</v>
      </c>
      <c r="AF672" s="270">
        <f t="shared" si="202"/>
        <v>100185</v>
      </c>
      <c r="AG672" s="270">
        <f t="shared" si="202"/>
        <v>100185</v>
      </c>
      <c r="AH672" s="270">
        <f t="shared" si="202"/>
        <v>100185</v>
      </c>
      <c r="AI672" s="270">
        <f t="shared" si="202"/>
        <v>100185</v>
      </c>
      <c r="AJ672" s="270">
        <f t="shared" si="202"/>
        <v>100185</v>
      </c>
      <c r="AK672" s="270">
        <f t="shared" si="202"/>
        <v>100185</v>
      </c>
      <c r="AL672" s="270">
        <f t="shared" si="202"/>
        <v>100185</v>
      </c>
      <c r="AM672" s="270">
        <f t="shared" si="202"/>
        <v>100185</v>
      </c>
    </row>
    <row r="673" spans="2:39" ht="15.75" thickBot="1" x14ac:dyDescent="0.35">
      <c r="B673" s="56" t="str">
        <f>input_names!$C$3</f>
        <v>diesel</v>
      </c>
      <c r="C673" s="61">
        <v>271</v>
      </c>
      <c r="D673" s="270">
        <f t="shared" si="203"/>
        <v>69319</v>
      </c>
      <c r="E673" s="270">
        <f t="shared" si="203"/>
        <v>76864.72</v>
      </c>
      <c r="F673" s="270">
        <f t="shared" si="203"/>
        <v>79829.14</v>
      </c>
      <c r="G673" s="270">
        <f t="shared" si="203"/>
        <v>80345.040000000008</v>
      </c>
      <c r="H673" s="270">
        <f t="shared" si="203"/>
        <v>79066.3</v>
      </c>
      <c r="I673" s="270">
        <f t="shared" si="203"/>
        <v>80349.2</v>
      </c>
      <c r="J673" s="270">
        <f t="shared" si="203"/>
        <v>70422.460000000006</v>
      </c>
      <c r="K673" s="270">
        <f t="shared" si="203"/>
        <v>74616.320000000007</v>
      </c>
      <c r="L673" s="270">
        <f t="shared" si="203"/>
        <v>78761.399999999994</v>
      </c>
      <c r="M673" s="270">
        <f t="shared" si="203"/>
        <v>95259</v>
      </c>
      <c r="N673" s="270">
        <f t="shared" si="203"/>
        <v>100862.87</v>
      </c>
      <c r="O673" s="270">
        <f t="shared" si="203"/>
        <v>100862.87</v>
      </c>
      <c r="P673" s="270">
        <f t="shared" si="203"/>
        <v>100862.87</v>
      </c>
      <c r="Q673" s="270">
        <f t="shared" si="203"/>
        <v>100862.87</v>
      </c>
      <c r="R673" s="270">
        <f t="shared" si="203"/>
        <v>100862.87</v>
      </c>
      <c r="S673" s="270">
        <f t="shared" si="199"/>
        <v>100862.87</v>
      </c>
      <c r="T673" s="270">
        <f t="shared" si="199"/>
        <v>100862.87</v>
      </c>
      <c r="U673" s="270">
        <f t="shared" si="204"/>
        <v>100862.87</v>
      </c>
      <c r="V673" s="270">
        <f t="shared" si="204"/>
        <v>100862.87</v>
      </c>
      <c r="W673" s="270">
        <f t="shared" si="204"/>
        <v>100862.87</v>
      </c>
      <c r="X673" s="270">
        <f t="shared" si="204"/>
        <v>100862.87</v>
      </c>
      <c r="Y673" s="270">
        <f t="shared" si="204"/>
        <v>100862.87</v>
      </c>
      <c r="Z673" s="270">
        <f t="shared" si="204"/>
        <v>100862.87</v>
      </c>
      <c r="AA673" s="270">
        <f t="shared" si="204"/>
        <v>100862.87</v>
      </c>
      <c r="AB673" s="270">
        <f t="shared" si="204"/>
        <v>100862.87</v>
      </c>
      <c r="AC673" s="270">
        <f t="shared" si="204"/>
        <v>100862.87</v>
      </c>
      <c r="AD673" s="270">
        <f t="shared" si="197"/>
        <v>100862.87</v>
      </c>
      <c r="AE673" s="270">
        <f t="shared" si="197"/>
        <v>100862.87</v>
      </c>
      <c r="AF673" s="270">
        <f t="shared" si="202"/>
        <v>100862.87</v>
      </c>
      <c r="AG673" s="270">
        <f t="shared" si="202"/>
        <v>100862.87</v>
      </c>
      <c r="AH673" s="270">
        <f t="shared" si="202"/>
        <v>100862.87</v>
      </c>
      <c r="AI673" s="270">
        <f t="shared" si="202"/>
        <v>100862.87</v>
      </c>
      <c r="AJ673" s="270">
        <f t="shared" si="202"/>
        <v>100862.87</v>
      </c>
      <c r="AK673" s="270">
        <f t="shared" si="202"/>
        <v>100862.87</v>
      </c>
      <c r="AL673" s="270">
        <f t="shared" si="202"/>
        <v>100862.87</v>
      </c>
      <c r="AM673" s="270">
        <f t="shared" si="202"/>
        <v>100862.87</v>
      </c>
    </row>
    <row r="674" spans="2:39" ht="15.75" thickBot="1" x14ac:dyDescent="0.35">
      <c r="B674" s="56" t="str">
        <f>input_names!$C$3</f>
        <v>diesel</v>
      </c>
      <c r="C674" s="61">
        <v>272</v>
      </c>
      <c r="D674" s="270">
        <f t="shared" ref="D674:AD689" si="205">+MIN(MAX(0,$C674-D$11),D$12-D$11)*D$17
+MIN(MAX(0,$C674-D$12),D$13-D$12)*D$18
+MIN(MAX(0,$C674-D$13),D$14-D$13)*D$19
+MIN(MAX(0,$C674-D$14),D$15-D$14)*D$20
+MAX(0,$C674-D$15)*D$21
+D$24*MAX(0,$C674-D$23)
+D$26</f>
        <v>69839</v>
      </c>
      <c r="E674" s="270">
        <f t="shared" si="205"/>
        <v>77427.149999999994</v>
      </c>
      <c r="F674" s="270">
        <f t="shared" si="205"/>
        <v>80387.83</v>
      </c>
      <c r="G674" s="270">
        <f t="shared" si="205"/>
        <v>80887.42</v>
      </c>
      <c r="H674" s="270">
        <f t="shared" si="205"/>
        <v>79582.73000000001</v>
      </c>
      <c r="I674" s="270">
        <f t="shared" si="205"/>
        <v>80857.05</v>
      </c>
      <c r="J674" s="270">
        <f t="shared" si="205"/>
        <v>70938.05</v>
      </c>
      <c r="K674" s="270">
        <f t="shared" si="205"/>
        <v>75150.990000000005</v>
      </c>
      <c r="L674" s="270">
        <f t="shared" si="205"/>
        <v>79303.7</v>
      </c>
      <c r="M674" s="270">
        <f t="shared" si="205"/>
        <v>95914.07</v>
      </c>
      <c r="N674" s="270">
        <f t="shared" si="205"/>
        <v>101540.74</v>
      </c>
      <c r="O674" s="270">
        <f t="shared" si="205"/>
        <v>101540.74</v>
      </c>
      <c r="P674" s="270">
        <f t="shared" si="205"/>
        <v>101540.74</v>
      </c>
      <c r="Q674" s="270">
        <f t="shared" si="205"/>
        <v>101540.74</v>
      </c>
      <c r="R674" s="270">
        <f t="shared" si="205"/>
        <v>101540.74</v>
      </c>
      <c r="S674" s="270">
        <f t="shared" si="199"/>
        <v>101540.74</v>
      </c>
      <c r="T674" s="270">
        <f t="shared" si="199"/>
        <v>101540.74</v>
      </c>
      <c r="U674" s="270">
        <f t="shared" si="204"/>
        <v>101540.74</v>
      </c>
      <c r="V674" s="270">
        <f t="shared" si="204"/>
        <v>101540.74</v>
      </c>
      <c r="W674" s="270">
        <f t="shared" si="204"/>
        <v>101540.74</v>
      </c>
      <c r="X674" s="270">
        <f t="shared" si="204"/>
        <v>101540.74</v>
      </c>
      <c r="Y674" s="270">
        <f t="shared" si="204"/>
        <v>101540.74</v>
      </c>
      <c r="Z674" s="270">
        <f t="shared" si="204"/>
        <v>101540.74</v>
      </c>
      <c r="AA674" s="270">
        <f t="shared" si="204"/>
        <v>101540.74</v>
      </c>
      <c r="AB674" s="270">
        <f t="shared" si="204"/>
        <v>101540.74</v>
      </c>
      <c r="AC674" s="270">
        <f t="shared" si="204"/>
        <v>101540.74</v>
      </c>
      <c r="AD674" s="270">
        <f t="shared" si="197"/>
        <v>101540.74</v>
      </c>
      <c r="AE674" s="270">
        <f t="shared" si="197"/>
        <v>101540.74</v>
      </c>
      <c r="AF674" s="270">
        <f t="shared" si="202"/>
        <v>101540.74</v>
      </c>
      <c r="AG674" s="270">
        <f t="shared" si="202"/>
        <v>101540.74</v>
      </c>
      <c r="AH674" s="270">
        <f t="shared" si="202"/>
        <v>101540.74</v>
      </c>
      <c r="AI674" s="270">
        <f t="shared" si="202"/>
        <v>101540.74</v>
      </c>
      <c r="AJ674" s="270">
        <f t="shared" si="202"/>
        <v>101540.74</v>
      </c>
      <c r="AK674" s="270">
        <f t="shared" si="202"/>
        <v>101540.74</v>
      </c>
      <c r="AL674" s="270">
        <f t="shared" si="202"/>
        <v>101540.74</v>
      </c>
      <c r="AM674" s="270">
        <f t="shared" si="202"/>
        <v>101540.74</v>
      </c>
    </row>
    <row r="675" spans="2:39" ht="15.75" thickBot="1" x14ac:dyDescent="0.35">
      <c r="B675" s="56" t="str">
        <f>input_names!$C$3</f>
        <v>diesel</v>
      </c>
      <c r="C675" s="61">
        <v>273</v>
      </c>
      <c r="D675" s="270">
        <f t="shared" si="205"/>
        <v>70359</v>
      </c>
      <c r="E675" s="270">
        <f t="shared" si="205"/>
        <v>77989.58</v>
      </c>
      <c r="F675" s="270">
        <f t="shared" si="205"/>
        <v>80946.52</v>
      </c>
      <c r="G675" s="270">
        <f t="shared" si="205"/>
        <v>81429.8</v>
      </c>
      <c r="H675" s="270">
        <f t="shared" si="205"/>
        <v>80099.16</v>
      </c>
      <c r="I675" s="270">
        <f t="shared" si="205"/>
        <v>81364.899999999994</v>
      </c>
      <c r="J675" s="270">
        <f t="shared" si="205"/>
        <v>71453.64</v>
      </c>
      <c r="K675" s="270">
        <f t="shared" si="205"/>
        <v>75685.66</v>
      </c>
      <c r="L675" s="270">
        <f t="shared" si="205"/>
        <v>79846</v>
      </c>
      <c r="M675" s="270">
        <f t="shared" si="205"/>
        <v>96569.14</v>
      </c>
      <c r="N675" s="270">
        <f t="shared" si="205"/>
        <v>102218.61</v>
      </c>
      <c r="O675" s="270">
        <f t="shared" si="205"/>
        <v>102218.61</v>
      </c>
      <c r="P675" s="270">
        <f t="shared" si="205"/>
        <v>102218.61</v>
      </c>
      <c r="Q675" s="270">
        <f t="shared" si="205"/>
        <v>102218.61</v>
      </c>
      <c r="R675" s="270">
        <f t="shared" si="205"/>
        <v>102218.61</v>
      </c>
      <c r="S675" s="270">
        <f t="shared" si="199"/>
        <v>102218.61</v>
      </c>
      <c r="T675" s="270">
        <f t="shared" si="199"/>
        <v>102218.61</v>
      </c>
      <c r="U675" s="270">
        <f t="shared" si="204"/>
        <v>102218.61</v>
      </c>
      <c r="V675" s="270">
        <f t="shared" si="204"/>
        <v>102218.61</v>
      </c>
      <c r="W675" s="270">
        <f t="shared" si="204"/>
        <v>102218.61</v>
      </c>
      <c r="X675" s="270">
        <f t="shared" si="204"/>
        <v>102218.61</v>
      </c>
      <c r="Y675" s="270">
        <f t="shared" si="204"/>
        <v>102218.61</v>
      </c>
      <c r="Z675" s="270">
        <f t="shared" si="204"/>
        <v>102218.61</v>
      </c>
      <c r="AA675" s="270">
        <f t="shared" si="204"/>
        <v>102218.61</v>
      </c>
      <c r="AB675" s="270">
        <f t="shared" si="204"/>
        <v>102218.61</v>
      </c>
      <c r="AC675" s="270">
        <f t="shared" si="204"/>
        <v>102218.61</v>
      </c>
      <c r="AD675" s="270">
        <f t="shared" si="197"/>
        <v>102218.61</v>
      </c>
      <c r="AE675" s="270">
        <f t="shared" si="197"/>
        <v>102218.61</v>
      </c>
      <c r="AF675" s="270">
        <f t="shared" si="202"/>
        <v>102218.61</v>
      </c>
      <c r="AG675" s="270">
        <f t="shared" si="202"/>
        <v>102218.61</v>
      </c>
      <c r="AH675" s="270">
        <f t="shared" si="202"/>
        <v>102218.61</v>
      </c>
      <c r="AI675" s="270">
        <f t="shared" si="202"/>
        <v>102218.61</v>
      </c>
      <c r="AJ675" s="270">
        <f t="shared" si="202"/>
        <v>102218.61</v>
      </c>
      <c r="AK675" s="270">
        <f t="shared" si="202"/>
        <v>102218.61</v>
      </c>
      <c r="AL675" s="270">
        <f t="shared" si="202"/>
        <v>102218.61</v>
      </c>
      <c r="AM675" s="270">
        <f t="shared" si="202"/>
        <v>102218.61</v>
      </c>
    </row>
    <row r="676" spans="2:39" ht="15.75" thickBot="1" x14ac:dyDescent="0.35">
      <c r="B676" s="56" t="str">
        <f>input_names!$C$3</f>
        <v>diesel</v>
      </c>
      <c r="C676" s="61">
        <v>274</v>
      </c>
      <c r="D676" s="270">
        <f t="shared" si="205"/>
        <v>70879</v>
      </c>
      <c r="E676" s="270">
        <f t="shared" si="205"/>
        <v>78552.010000000009</v>
      </c>
      <c r="F676" s="270">
        <f t="shared" si="205"/>
        <v>81505.209999999992</v>
      </c>
      <c r="G676" s="270">
        <f t="shared" si="205"/>
        <v>81972.179999999993</v>
      </c>
      <c r="H676" s="270">
        <f t="shared" si="205"/>
        <v>80615.59</v>
      </c>
      <c r="I676" s="270">
        <f t="shared" si="205"/>
        <v>81872.75</v>
      </c>
      <c r="J676" s="270">
        <f t="shared" si="205"/>
        <v>71969.23</v>
      </c>
      <c r="K676" s="270">
        <f t="shared" si="205"/>
        <v>76220.33</v>
      </c>
      <c r="L676" s="270">
        <f t="shared" si="205"/>
        <v>80388.3</v>
      </c>
      <c r="M676" s="270">
        <f t="shared" si="205"/>
        <v>97224.209999999992</v>
      </c>
      <c r="N676" s="270">
        <f t="shared" si="205"/>
        <v>102896.48</v>
      </c>
      <c r="O676" s="270">
        <f t="shared" si="205"/>
        <v>102896.48</v>
      </c>
      <c r="P676" s="270">
        <f t="shared" si="205"/>
        <v>102896.48</v>
      </c>
      <c r="Q676" s="270">
        <f t="shared" si="205"/>
        <v>102896.48</v>
      </c>
      <c r="R676" s="270">
        <f t="shared" si="205"/>
        <v>102896.48</v>
      </c>
      <c r="S676" s="270">
        <f t="shared" si="199"/>
        <v>102896.48</v>
      </c>
      <c r="T676" s="270">
        <f t="shared" si="199"/>
        <v>102896.48</v>
      </c>
      <c r="U676" s="270">
        <f t="shared" si="204"/>
        <v>102896.48</v>
      </c>
      <c r="V676" s="270">
        <f t="shared" si="204"/>
        <v>102896.48</v>
      </c>
      <c r="W676" s="270">
        <f t="shared" si="204"/>
        <v>102896.48</v>
      </c>
      <c r="X676" s="270">
        <f t="shared" si="204"/>
        <v>102896.48</v>
      </c>
      <c r="Y676" s="270">
        <f t="shared" si="204"/>
        <v>102896.48</v>
      </c>
      <c r="Z676" s="270">
        <f t="shared" si="204"/>
        <v>102896.48</v>
      </c>
      <c r="AA676" s="270">
        <f t="shared" si="204"/>
        <v>102896.48</v>
      </c>
      <c r="AB676" s="270">
        <f t="shared" si="204"/>
        <v>102896.48</v>
      </c>
      <c r="AC676" s="270">
        <f t="shared" si="204"/>
        <v>102896.48</v>
      </c>
      <c r="AD676" s="270">
        <f t="shared" si="197"/>
        <v>102896.48</v>
      </c>
      <c r="AE676" s="270">
        <f t="shared" si="197"/>
        <v>102896.48</v>
      </c>
      <c r="AF676" s="270">
        <f t="shared" si="202"/>
        <v>102896.48</v>
      </c>
      <c r="AG676" s="270">
        <f t="shared" si="202"/>
        <v>102896.48</v>
      </c>
      <c r="AH676" s="270">
        <f t="shared" si="202"/>
        <v>102896.48</v>
      </c>
      <c r="AI676" s="270">
        <f t="shared" si="202"/>
        <v>102896.48</v>
      </c>
      <c r="AJ676" s="270">
        <f t="shared" si="202"/>
        <v>102896.48</v>
      </c>
      <c r="AK676" s="270">
        <f t="shared" si="202"/>
        <v>102896.48</v>
      </c>
      <c r="AL676" s="270">
        <f t="shared" si="202"/>
        <v>102896.48</v>
      </c>
      <c r="AM676" s="270">
        <f t="shared" si="202"/>
        <v>102896.48</v>
      </c>
    </row>
    <row r="677" spans="2:39" ht="15.75" thickBot="1" x14ac:dyDescent="0.35">
      <c r="B677" s="56" t="str">
        <f>input_names!$C$3</f>
        <v>diesel</v>
      </c>
      <c r="C677" s="61">
        <v>275</v>
      </c>
      <c r="D677" s="270">
        <f t="shared" si="205"/>
        <v>71399</v>
      </c>
      <c r="E677" s="270">
        <f t="shared" si="205"/>
        <v>79114.44</v>
      </c>
      <c r="F677" s="270">
        <f t="shared" si="205"/>
        <v>82063.899999999994</v>
      </c>
      <c r="G677" s="270">
        <f t="shared" si="205"/>
        <v>82514.559999999998</v>
      </c>
      <c r="H677" s="270">
        <f t="shared" si="205"/>
        <v>81132.02</v>
      </c>
      <c r="I677" s="270">
        <f t="shared" si="205"/>
        <v>82380.600000000006</v>
      </c>
      <c r="J677" s="270">
        <f t="shared" si="205"/>
        <v>72484.820000000007</v>
      </c>
      <c r="K677" s="270">
        <f t="shared" si="205"/>
        <v>76755</v>
      </c>
      <c r="L677" s="270">
        <f t="shared" si="205"/>
        <v>80930.600000000006</v>
      </c>
      <c r="M677" s="270">
        <f t="shared" si="205"/>
        <v>97879.28</v>
      </c>
      <c r="N677" s="270">
        <f t="shared" si="205"/>
        <v>103574.35</v>
      </c>
      <c r="O677" s="270">
        <f t="shared" si="205"/>
        <v>103574.35</v>
      </c>
      <c r="P677" s="270">
        <f t="shared" si="205"/>
        <v>103574.35</v>
      </c>
      <c r="Q677" s="270">
        <f t="shared" si="205"/>
        <v>103574.35</v>
      </c>
      <c r="R677" s="270">
        <f t="shared" si="205"/>
        <v>103574.35</v>
      </c>
      <c r="S677" s="270">
        <f t="shared" si="199"/>
        <v>103574.35</v>
      </c>
      <c r="T677" s="270">
        <f t="shared" si="199"/>
        <v>103574.35</v>
      </c>
      <c r="U677" s="270">
        <f t="shared" si="204"/>
        <v>103574.35</v>
      </c>
      <c r="V677" s="270">
        <f t="shared" si="204"/>
        <v>103574.35</v>
      </c>
      <c r="W677" s="270">
        <f t="shared" si="204"/>
        <v>103574.35</v>
      </c>
      <c r="X677" s="270">
        <f t="shared" si="204"/>
        <v>103574.35</v>
      </c>
      <c r="Y677" s="270">
        <f t="shared" si="204"/>
        <v>103574.35</v>
      </c>
      <c r="Z677" s="270">
        <f t="shared" si="204"/>
        <v>103574.35</v>
      </c>
      <c r="AA677" s="270">
        <f t="shared" si="204"/>
        <v>103574.35</v>
      </c>
      <c r="AB677" s="270">
        <f t="shared" si="204"/>
        <v>103574.35</v>
      </c>
      <c r="AC677" s="270">
        <f t="shared" si="204"/>
        <v>103574.35</v>
      </c>
      <c r="AD677" s="270">
        <f t="shared" si="197"/>
        <v>103574.35</v>
      </c>
      <c r="AE677" s="270">
        <f t="shared" si="197"/>
        <v>103574.35</v>
      </c>
      <c r="AF677" s="270">
        <f t="shared" si="202"/>
        <v>103574.35</v>
      </c>
      <c r="AG677" s="270">
        <f t="shared" si="202"/>
        <v>103574.35</v>
      </c>
      <c r="AH677" s="270">
        <f t="shared" si="202"/>
        <v>103574.35</v>
      </c>
      <c r="AI677" s="270">
        <f t="shared" si="202"/>
        <v>103574.35</v>
      </c>
      <c r="AJ677" s="270">
        <f t="shared" si="202"/>
        <v>103574.35</v>
      </c>
      <c r="AK677" s="270">
        <f t="shared" si="202"/>
        <v>103574.35</v>
      </c>
      <c r="AL677" s="270">
        <f t="shared" si="202"/>
        <v>103574.35</v>
      </c>
      <c r="AM677" s="270">
        <f t="shared" ref="AF677:AM706" si="206">+MIN(MAX(0,$C677-AM$11),AM$12-AM$11)*AM$17
+MIN(MAX(0,$C677-AM$12),AM$13-AM$12)*AM$18
+MIN(MAX(0,$C677-AM$13),AM$14-AM$13)*AM$19
+MIN(MAX(0,$C677-AM$14),AM$15-AM$14)*AM$20
+MAX(0,$C677-AM$15)*AM$21
+AM$24*MAX(0,$C677-AM$23)
+AM$26</f>
        <v>103574.35</v>
      </c>
    </row>
    <row r="678" spans="2:39" ht="15.75" thickBot="1" x14ac:dyDescent="0.35">
      <c r="B678" s="56" t="str">
        <f>input_names!$C$3</f>
        <v>diesel</v>
      </c>
      <c r="C678" s="61">
        <v>276</v>
      </c>
      <c r="D678" s="270">
        <f t="shared" si="205"/>
        <v>71919</v>
      </c>
      <c r="E678" s="270">
        <f t="shared" si="205"/>
        <v>79676.87</v>
      </c>
      <c r="F678" s="270">
        <f t="shared" si="205"/>
        <v>82622.59</v>
      </c>
      <c r="G678" s="270">
        <f t="shared" si="205"/>
        <v>83056.94</v>
      </c>
      <c r="H678" s="270">
        <f t="shared" si="205"/>
        <v>81648.45</v>
      </c>
      <c r="I678" s="270">
        <f t="shared" si="205"/>
        <v>82888.45</v>
      </c>
      <c r="J678" s="270">
        <f t="shared" si="205"/>
        <v>73000.41</v>
      </c>
      <c r="K678" s="270">
        <f t="shared" si="205"/>
        <v>77289.67</v>
      </c>
      <c r="L678" s="270">
        <f t="shared" si="205"/>
        <v>81472.899999999994</v>
      </c>
      <c r="M678" s="270">
        <f t="shared" si="205"/>
        <v>98534.35</v>
      </c>
      <c r="N678" s="270">
        <f t="shared" si="205"/>
        <v>104252.22</v>
      </c>
      <c r="O678" s="270">
        <f t="shared" si="205"/>
        <v>104252.22</v>
      </c>
      <c r="P678" s="270">
        <f t="shared" si="205"/>
        <v>104252.22</v>
      </c>
      <c r="Q678" s="270">
        <f t="shared" si="205"/>
        <v>104252.22</v>
      </c>
      <c r="R678" s="270">
        <f t="shared" si="205"/>
        <v>104252.22</v>
      </c>
      <c r="S678" s="270">
        <f t="shared" si="199"/>
        <v>104252.22</v>
      </c>
      <c r="T678" s="270">
        <f t="shared" si="199"/>
        <v>104252.22</v>
      </c>
      <c r="U678" s="270">
        <f t="shared" si="204"/>
        <v>104252.22</v>
      </c>
      <c r="V678" s="270">
        <f t="shared" si="204"/>
        <v>104252.22</v>
      </c>
      <c r="W678" s="270">
        <f t="shared" si="204"/>
        <v>104252.22</v>
      </c>
      <c r="X678" s="270">
        <f t="shared" si="204"/>
        <v>104252.22</v>
      </c>
      <c r="Y678" s="270">
        <f t="shared" si="204"/>
        <v>104252.22</v>
      </c>
      <c r="Z678" s="270">
        <f t="shared" si="204"/>
        <v>104252.22</v>
      </c>
      <c r="AA678" s="270">
        <f t="shared" si="204"/>
        <v>104252.22</v>
      </c>
      <c r="AB678" s="270">
        <f t="shared" si="204"/>
        <v>104252.22</v>
      </c>
      <c r="AC678" s="270">
        <f t="shared" si="204"/>
        <v>104252.22</v>
      </c>
      <c r="AD678" s="270">
        <f t="shared" si="197"/>
        <v>104252.22</v>
      </c>
      <c r="AE678" s="270">
        <f t="shared" si="197"/>
        <v>104252.22</v>
      </c>
      <c r="AF678" s="270">
        <f t="shared" si="206"/>
        <v>104252.22</v>
      </c>
      <c r="AG678" s="270">
        <f t="shared" si="206"/>
        <v>104252.22</v>
      </c>
      <c r="AH678" s="270">
        <f t="shared" si="206"/>
        <v>104252.22</v>
      </c>
      <c r="AI678" s="270">
        <f t="shared" si="206"/>
        <v>104252.22</v>
      </c>
      <c r="AJ678" s="270">
        <f t="shared" si="206"/>
        <v>104252.22</v>
      </c>
      <c r="AK678" s="270">
        <f t="shared" si="206"/>
        <v>104252.22</v>
      </c>
      <c r="AL678" s="270">
        <f t="shared" si="206"/>
        <v>104252.22</v>
      </c>
      <c r="AM678" s="270">
        <f t="shared" si="206"/>
        <v>104252.22</v>
      </c>
    </row>
    <row r="679" spans="2:39" ht="15.75" thickBot="1" x14ac:dyDescent="0.35">
      <c r="B679" s="56" t="str">
        <f>input_names!$C$3</f>
        <v>diesel</v>
      </c>
      <c r="C679" s="61">
        <v>277</v>
      </c>
      <c r="D679" s="270">
        <f t="shared" si="205"/>
        <v>72439</v>
      </c>
      <c r="E679" s="270">
        <f t="shared" si="205"/>
        <v>80239.3</v>
      </c>
      <c r="F679" s="270">
        <f t="shared" si="205"/>
        <v>83181.279999999999</v>
      </c>
      <c r="G679" s="270">
        <f t="shared" si="205"/>
        <v>83599.320000000007</v>
      </c>
      <c r="H679" s="270">
        <f t="shared" si="205"/>
        <v>82164.88</v>
      </c>
      <c r="I679" s="270">
        <f t="shared" si="205"/>
        <v>83396.3</v>
      </c>
      <c r="J679" s="270">
        <f t="shared" si="205"/>
        <v>73516</v>
      </c>
      <c r="K679" s="270">
        <f t="shared" si="205"/>
        <v>77824.34</v>
      </c>
      <c r="L679" s="270">
        <f t="shared" si="205"/>
        <v>82015.199999999997</v>
      </c>
      <c r="M679" s="270">
        <f t="shared" si="205"/>
        <v>99189.42</v>
      </c>
      <c r="N679" s="270">
        <f t="shared" si="205"/>
        <v>104930.09</v>
      </c>
      <c r="O679" s="270">
        <f t="shared" si="205"/>
        <v>104930.09</v>
      </c>
      <c r="P679" s="270">
        <f t="shared" si="205"/>
        <v>104930.09</v>
      </c>
      <c r="Q679" s="270">
        <f t="shared" si="205"/>
        <v>104930.09</v>
      </c>
      <c r="R679" s="270">
        <f t="shared" si="205"/>
        <v>104930.09</v>
      </c>
      <c r="S679" s="270">
        <f t="shared" si="199"/>
        <v>104930.09</v>
      </c>
      <c r="T679" s="270">
        <f t="shared" si="199"/>
        <v>104930.09</v>
      </c>
      <c r="U679" s="270">
        <f t="shared" si="204"/>
        <v>104930.09</v>
      </c>
      <c r="V679" s="270">
        <f t="shared" si="204"/>
        <v>104930.09</v>
      </c>
      <c r="W679" s="270">
        <f t="shared" si="204"/>
        <v>104930.09</v>
      </c>
      <c r="X679" s="270">
        <f t="shared" si="204"/>
        <v>104930.09</v>
      </c>
      <c r="Y679" s="270">
        <f t="shared" si="204"/>
        <v>104930.09</v>
      </c>
      <c r="Z679" s="270">
        <f t="shared" si="204"/>
        <v>104930.09</v>
      </c>
      <c r="AA679" s="270">
        <f t="shared" si="204"/>
        <v>104930.09</v>
      </c>
      <c r="AB679" s="270">
        <f t="shared" si="204"/>
        <v>104930.09</v>
      </c>
      <c r="AC679" s="270">
        <f t="shared" si="204"/>
        <v>104930.09</v>
      </c>
      <c r="AD679" s="270">
        <f t="shared" si="197"/>
        <v>104930.09</v>
      </c>
      <c r="AE679" s="270">
        <f t="shared" si="197"/>
        <v>104930.09</v>
      </c>
      <c r="AF679" s="270">
        <f t="shared" si="206"/>
        <v>104930.09</v>
      </c>
      <c r="AG679" s="270">
        <f t="shared" si="206"/>
        <v>104930.09</v>
      </c>
      <c r="AH679" s="270">
        <f t="shared" si="206"/>
        <v>104930.09</v>
      </c>
      <c r="AI679" s="270">
        <f t="shared" si="206"/>
        <v>104930.09</v>
      </c>
      <c r="AJ679" s="270">
        <f t="shared" si="206"/>
        <v>104930.09</v>
      </c>
      <c r="AK679" s="270">
        <f t="shared" si="206"/>
        <v>104930.09</v>
      </c>
      <c r="AL679" s="270">
        <f t="shared" si="206"/>
        <v>104930.09</v>
      </c>
      <c r="AM679" s="270">
        <f t="shared" si="206"/>
        <v>104930.09</v>
      </c>
    </row>
    <row r="680" spans="2:39" ht="15.75" thickBot="1" x14ac:dyDescent="0.35">
      <c r="B680" s="56" t="str">
        <f>input_names!$C$3</f>
        <v>diesel</v>
      </c>
      <c r="C680" s="61">
        <v>278</v>
      </c>
      <c r="D680" s="270">
        <f t="shared" si="205"/>
        <v>72959</v>
      </c>
      <c r="E680" s="270">
        <f t="shared" si="205"/>
        <v>80801.73000000001</v>
      </c>
      <c r="F680" s="270">
        <f t="shared" si="205"/>
        <v>83739.97</v>
      </c>
      <c r="G680" s="270">
        <f t="shared" si="205"/>
        <v>84141.7</v>
      </c>
      <c r="H680" s="270">
        <f t="shared" si="205"/>
        <v>82681.31</v>
      </c>
      <c r="I680" s="270">
        <f t="shared" si="205"/>
        <v>83904.15</v>
      </c>
      <c r="J680" s="270">
        <f t="shared" si="205"/>
        <v>74031.59</v>
      </c>
      <c r="K680" s="270">
        <f t="shared" si="205"/>
        <v>78359.010000000009</v>
      </c>
      <c r="L680" s="270">
        <f t="shared" si="205"/>
        <v>82557.5</v>
      </c>
      <c r="M680" s="270">
        <f t="shared" si="205"/>
        <v>99844.489999999991</v>
      </c>
      <c r="N680" s="270">
        <f t="shared" si="205"/>
        <v>105607.95999999999</v>
      </c>
      <c r="O680" s="270">
        <f t="shared" si="205"/>
        <v>105607.95999999999</v>
      </c>
      <c r="P680" s="270">
        <f t="shared" si="205"/>
        <v>105607.95999999999</v>
      </c>
      <c r="Q680" s="270">
        <f t="shared" si="205"/>
        <v>105607.95999999999</v>
      </c>
      <c r="R680" s="270">
        <f t="shared" si="205"/>
        <v>105607.95999999999</v>
      </c>
      <c r="S680" s="270">
        <f t="shared" si="199"/>
        <v>105607.95999999999</v>
      </c>
      <c r="T680" s="270">
        <f t="shared" si="199"/>
        <v>105607.95999999999</v>
      </c>
      <c r="U680" s="270">
        <f t="shared" si="204"/>
        <v>105607.95999999999</v>
      </c>
      <c r="V680" s="270">
        <f t="shared" si="204"/>
        <v>105607.95999999999</v>
      </c>
      <c r="W680" s="270">
        <f t="shared" si="204"/>
        <v>105607.95999999999</v>
      </c>
      <c r="X680" s="270">
        <f t="shared" si="204"/>
        <v>105607.95999999999</v>
      </c>
      <c r="Y680" s="270">
        <f t="shared" si="204"/>
        <v>105607.95999999999</v>
      </c>
      <c r="Z680" s="270">
        <f t="shared" si="204"/>
        <v>105607.95999999999</v>
      </c>
      <c r="AA680" s="270">
        <f t="shared" si="204"/>
        <v>105607.95999999999</v>
      </c>
      <c r="AB680" s="270">
        <f t="shared" si="204"/>
        <v>105607.95999999999</v>
      </c>
      <c r="AC680" s="270">
        <f t="shared" si="204"/>
        <v>105607.95999999999</v>
      </c>
      <c r="AD680" s="270">
        <f t="shared" si="197"/>
        <v>105607.95999999999</v>
      </c>
      <c r="AE680" s="270">
        <f t="shared" si="197"/>
        <v>105607.95999999999</v>
      </c>
      <c r="AF680" s="270">
        <f t="shared" si="206"/>
        <v>105607.95999999999</v>
      </c>
      <c r="AG680" s="270">
        <f t="shared" si="206"/>
        <v>105607.95999999999</v>
      </c>
      <c r="AH680" s="270">
        <f t="shared" si="206"/>
        <v>105607.95999999999</v>
      </c>
      <c r="AI680" s="270">
        <f t="shared" si="206"/>
        <v>105607.95999999999</v>
      </c>
      <c r="AJ680" s="270">
        <f t="shared" si="206"/>
        <v>105607.95999999999</v>
      </c>
      <c r="AK680" s="270">
        <f t="shared" si="206"/>
        <v>105607.95999999999</v>
      </c>
      <c r="AL680" s="270">
        <f t="shared" si="206"/>
        <v>105607.95999999999</v>
      </c>
      <c r="AM680" s="270">
        <f t="shared" si="206"/>
        <v>105607.95999999999</v>
      </c>
    </row>
    <row r="681" spans="2:39" ht="15.75" thickBot="1" x14ac:dyDescent="0.35">
      <c r="B681" s="56" t="str">
        <f>input_names!$C$3</f>
        <v>diesel</v>
      </c>
      <c r="C681" s="61">
        <v>279</v>
      </c>
      <c r="D681" s="270">
        <f t="shared" si="205"/>
        <v>73479</v>
      </c>
      <c r="E681" s="270">
        <f t="shared" si="205"/>
        <v>81364.160000000003</v>
      </c>
      <c r="F681" s="270">
        <f t="shared" si="205"/>
        <v>84298.66</v>
      </c>
      <c r="G681" s="270">
        <f t="shared" si="205"/>
        <v>84684.08</v>
      </c>
      <c r="H681" s="270">
        <f t="shared" si="205"/>
        <v>83197.740000000005</v>
      </c>
      <c r="I681" s="270">
        <f t="shared" si="205"/>
        <v>84412</v>
      </c>
      <c r="J681" s="270">
        <f t="shared" si="205"/>
        <v>74547.179999999993</v>
      </c>
      <c r="K681" s="270">
        <f t="shared" si="205"/>
        <v>78893.679999999993</v>
      </c>
      <c r="L681" s="270">
        <f t="shared" si="205"/>
        <v>83099.8</v>
      </c>
      <c r="M681" s="270">
        <f t="shared" si="205"/>
        <v>100499.56</v>
      </c>
      <c r="N681" s="270">
        <f t="shared" si="205"/>
        <v>106285.83</v>
      </c>
      <c r="O681" s="270">
        <f t="shared" si="205"/>
        <v>106285.83</v>
      </c>
      <c r="P681" s="270">
        <f t="shared" si="205"/>
        <v>106285.83</v>
      </c>
      <c r="Q681" s="270">
        <f t="shared" si="205"/>
        <v>106285.83</v>
      </c>
      <c r="R681" s="270">
        <f t="shared" si="205"/>
        <v>106285.83</v>
      </c>
      <c r="S681" s="270">
        <f t="shared" si="199"/>
        <v>106285.83</v>
      </c>
      <c r="T681" s="270">
        <f t="shared" si="199"/>
        <v>106285.83</v>
      </c>
      <c r="U681" s="270">
        <f t="shared" si="204"/>
        <v>106285.83</v>
      </c>
      <c r="V681" s="270">
        <f t="shared" si="204"/>
        <v>106285.83</v>
      </c>
      <c r="W681" s="270">
        <f t="shared" si="204"/>
        <v>106285.83</v>
      </c>
      <c r="X681" s="270">
        <f t="shared" si="204"/>
        <v>106285.83</v>
      </c>
      <c r="Y681" s="270">
        <f t="shared" si="204"/>
        <v>106285.83</v>
      </c>
      <c r="Z681" s="270">
        <f t="shared" si="204"/>
        <v>106285.83</v>
      </c>
      <c r="AA681" s="270">
        <f t="shared" si="204"/>
        <v>106285.83</v>
      </c>
      <c r="AB681" s="270">
        <f t="shared" si="204"/>
        <v>106285.83</v>
      </c>
      <c r="AC681" s="270">
        <f t="shared" si="204"/>
        <v>106285.83</v>
      </c>
      <c r="AD681" s="270">
        <f t="shared" si="197"/>
        <v>106285.83</v>
      </c>
      <c r="AE681" s="270">
        <f t="shared" si="197"/>
        <v>106285.83</v>
      </c>
      <c r="AF681" s="270">
        <f t="shared" si="206"/>
        <v>106285.83</v>
      </c>
      <c r="AG681" s="270">
        <f t="shared" si="206"/>
        <v>106285.83</v>
      </c>
      <c r="AH681" s="270">
        <f t="shared" si="206"/>
        <v>106285.83</v>
      </c>
      <c r="AI681" s="270">
        <f t="shared" si="206"/>
        <v>106285.83</v>
      </c>
      <c r="AJ681" s="270">
        <f t="shared" si="206"/>
        <v>106285.83</v>
      </c>
      <c r="AK681" s="270">
        <f t="shared" si="206"/>
        <v>106285.83</v>
      </c>
      <c r="AL681" s="270">
        <f t="shared" si="206"/>
        <v>106285.83</v>
      </c>
      <c r="AM681" s="270">
        <f t="shared" si="206"/>
        <v>106285.83</v>
      </c>
    </row>
    <row r="682" spans="2:39" ht="15.75" thickBot="1" x14ac:dyDescent="0.35">
      <c r="B682" s="56" t="str">
        <f>input_names!$C$3</f>
        <v>diesel</v>
      </c>
      <c r="C682" s="61">
        <v>280</v>
      </c>
      <c r="D682" s="270">
        <f t="shared" si="205"/>
        <v>73999</v>
      </c>
      <c r="E682" s="270">
        <f t="shared" si="205"/>
        <v>81926.59</v>
      </c>
      <c r="F682" s="270">
        <f t="shared" si="205"/>
        <v>84857.35</v>
      </c>
      <c r="G682" s="270">
        <f t="shared" si="205"/>
        <v>85226.459999999992</v>
      </c>
      <c r="H682" s="270">
        <f t="shared" si="205"/>
        <v>83714.17</v>
      </c>
      <c r="I682" s="270">
        <f t="shared" si="205"/>
        <v>84919.85</v>
      </c>
      <c r="J682" s="270">
        <f t="shared" si="205"/>
        <v>75062.77</v>
      </c>
      <c r="K682" s="270">
        <f t="shared" si="205"/>
        <v>79428.350000000006</v>
      </c>
      <c r="L682" s="270">
        <f t="shared" si="205"/>
        <v>83642.100000000006</v>
      </c>
      <c r="M682" s="270">
        <f t="shared" si="205"/>
        <v>101154.63</v>
      </c>
      <c r="N682" s="270">
        <f t="shared" si="205"/>
        <v>106963.7</v>
      </c>
      <c r="O682" s="270">
        <f t="shared" si="205"/>
        <v>106963.7</v>
      </c>
      <c r="P682" s="270">
        <f t="shared" si="205"/>
        <v>106963.7</v>
      </c>
      <c r="Q682" s="270">
        <f t="shared" si="205"/>
        <v>106963.7</v>
      </c>
      <c r="R682" s="270">
        <f t="shared" si="205"/>
        <v>106963.7</v>
      </c>
      <c r="S682" s="270">
        <f t="shared" si="199"/>
        <v>106963.7</v>
      </c>
      <c r="T682" s="270">
        <f t="shared" si="199"/>
        <v>106963.7</v>
      </c>
      <c r="U682" s="270">
        <f t="shared" si="204"/>
        <v>106963.7</v>
      </c>
      <c r="V682" s="270">
        <f t="shared" si="204"/>
        <v>106963.7</v>
      </c>
      <c r="W682" s="270">
        <f t="shared" si="204"/>
        <v>106963.7</v>
      </c>
      <c r="X682" s="270">
        <f t="shared" si="204"/>
        <v>106963.7</v>
      </c>
      <c r="Y682" s="270">
        <f t="shared" si="204"/>
        <v>106963.7</v>
      </c>
      <c r="Z682" s="270">
        <f t="shared" si="204"/>
        <v>106963.7</v>
      </c>
      <c r="AA682" s="270">
        <f t="shared" si="204"/>
        <v>106963.7</v>
      </c>
      <c r="AB682" s="270">
        <f t="shared" si="204"/>
        <v>106963.7</v>
      </c>
      <c r="AC682" s="270">
        <f t="shared" si="204"/>
        <v>106963.7</v>
      </c>
      <c r="AD682" s="270">
        <f t="shared" si="197"/>
        <v>106963.7</v>
      </c>
      <c r="AE682" s="270">
        <f t="shared" si="197"/>
        <v>106963.7</v>
      </c>
      <c r="AF682" s="270">
        <f t="shared" si="206"/>
        <v>106963.7</v>
      </c>
      <c r="AG682" s="270">
        <f t="shared" si="206"/>
        <v>106963.7</v>
      </c>
      <c r="AH682" s="270">
        <f t="shared" si="206"/>
        <v>106963.7</v>
      </c>
      <c r="AI682" s="270">
        <f t="shared" si="206"/>
        <v>106963.7</v>
      </c>
      <c r="AJ682" s="270">
        <f t="shared" si="206"/>
        <v>106963.7</v>
      </c>
      <c r="AK682" s="270">
        <f t="shared" si="206"/>
        <v>106963.7</v>
      </c>
      <c r="AL682" s="270">
        <f t="shared" si="206"/>
        <v>106963.7</v>
      </c>
      <c r="AM682" s="270">
        <f t="shared" si="206"/>
        <v>106963.7</v>
      </c>
    </row>
    <row r="683" spans="2:39" ht="15.75" thickBot="1" x14ac:dyDescent="0.35">
      <c r="B683" s="56" t="str">
        <f>input_names!$C$3</f>
        <v>diesel</v>
      </c>
      <c r="C683" s="61">
        <v>281</v>
      </c>
      <c r="D683" s="270">
        <f t="shared" si="205"/>
        <v>74519</v>
      </c>
      <c r="E683" s="270">
        <f t="shared" si="205"/>
        <v>82489.02</v>
      </c>
      <c r="F683" s="270">
        <f t="shared" si="205"/>
        <v>85416.040000000008</v>
      </c>
      <c r="G683" s="270">
        <f t="shared" si="205"/>
        <v>85768.84</v>
      </c>
      <c r="H683" s="270">
        <f t="shared" si="205"/>
        <v>84230.6</v>
      </c>
      <c r="I683" s="270">
        <f t="shared" si="205"/>
        <v>85427.7</v>
      </c>
      <c r="J683" s="270">
        <f t="shared" si="205"/>
        <v>75578.36</v>
      </c>
      <c r="K683" s="270">
        <f t="shared" si="205"/>
        <v>79963.02</v>
      </c>
      <c r="L683" s="270">
        <f t="shared" si="205"/>
        <v>84184.4</v>
      </c>
      <c r="M683" s="270">
        <f t="shared" si="205"/>
        <v>101809.7</v>
      </c>
      <c r="N683" s="270">
        <f t="shared" si="205"/>
        <v>107641.57</v>
      </c>
      <c r="O683" s="270">
        <f t="shared" si="205"/>
        <v>107641.57</v>
      </c>
      <c r="P683" s="270">
        <f t="shared" si="205"/>
        <v>107641.57</v>
      </c>
      <c r="Q683" s="270">
        <f t="shared" si="205"/>
        <v>107641.57</v>
      </c>
      <c r="R683" s="270">
        <f t="shared" si="205"/>
        <v>107641.57</v>
      </c>
      <c r="S683" s="270">
        <f t="shared" si="199"/>
        <v>107641.57</v>
      </c>
      <c r="T683" s="270">
        <f t="shared" si="199"/>
        <v>107641.57</v>
      </c>
      <c r="U683" s="270">
        <f t="shared" si="204"/>
        <v>107641.57</v>
      </c>
      <c r="V683" s="270">
        <f t="shared" si="204"/>
        <v>107641.57</v>
      </c>
      <c r="W683" s="270">
        <f t="shared" si="204"/>
        <v>107641.57</v>
      </c>
      <c r="X683" s="270">
        <f t="shared" si="204"/>
        <v>107641.57</v>
      </c>
      <c r="Y683" s="270">
        <f t="shared" si="204"/>
        <v>107641.57</v>
      </c>
      <c r="Z683" s="270">
        <f t="shared" si="204"/>
        <v>107641.57</v>
      </c>
      <c r="AA683" s="270">
        <f t="shared" si="204"/>
        <v>107641.57</v>
      </c>
      <c r="AB683" s="270">
        <f t="shared" si="204"/>
        <v>107641.57</v>
      </c>
      <c r="AC683" s="270">
        <f t="shared" si="204"/>
        <v>107641.57</v>
      </c>
      <c r="AD683" s="270">
        <f t="shared" si="197"/>
        <v>107641.57</v>
      </c>
      <c r="AE683" s="270">
        <f t="shared" si="197"/>
        <v>107641.57</v>
      </c>
      <c r="AF683" s="270">
        <f t="shared" si="206"/>
        <v>107641.57</v>
      </c>
      <c r="AG683" s="270">
        <f t="shared" si="206"/>
        <v>107641.57</v>
      </c>
      <c r="AH683" s="270">
        <f t="shared" si="206"/>
        <v>107641.57</v>
      </c>
      <c r="AI683" s="270">
        <f t="shared" si="206"/>
        <v>107641.57</v>
      </c>
      <c r="AJ683" s="270">
        <f t="shared" si="206"/>
        <v>107641.57</v>
      </c>
      <c r="AK683" s="270">
        <f t="shared" si="206"/>
        <v>107641.57</v>
      </c>
      <c r="AL683" s="270">
        <f t="shared" si="206"/>
        <v>107641.57</v>
      </c>
      <c r="AM683" s="270">
        <f t="shared" si="206"/>
        <v>107641.57</v>
      </c>
    </row>
    <row r="684" spans="2:39" ht="15.75" thickBot="1" x14ac:dyDescent="0.35">
      <c r="B684" s="56" t="str">
        <f>input_names!$C$3</f>
        <v>diesel</v>
      </c>
      <c r="C684" s="61">
        <v>282</v>
      </c>
      <c r="D684" s="270">
        <f t="shared" si="205"/>
        <v>75039</v>
      </c>
      <c r="E684" s="270">
        <f t="shared" si="205"/>
        <v>83051.45</v>
      </c>
      <c r="F684" s="270">
        <f t="shared" si="205"/>
        <v>85974.73</v>
      </c>
      <c r="G684" s="270">
        <f t="shared" si="205"/>
        <v>86311.22</v>
      </c>
      <c r="H684" s="270">
        <f t="shared" si="205"/>
        <v>84747.03</v>
      </c>
      <c r="I684" s="270">
        <f t="shared" si="205"/>
        <v>85935.55</v>
      </c>
      <c r="J684" s="270">
        <f t="shared" si="205"/>
        <v>76093.95</v>
      </c>
      <c r="K684" s="270">
        <f t="shared" si="205"/>
        <v>80497.69</v>
      </c>
      <c r="L684" s="270">
        <f t="shared" si="205"/>
        <v>84726.7</v>
      </c>
      <c r="M684" s="270">
        <f t="shared" si="205"/>
        <v>102464.76999999999</v>
      </c>
      <c r="N684" s="270">
        <f t="shared" si="205"/>
        <v>108319.44</v>
      </c>
      <c r="O684" s="270">
        <f t="shared" si="205"/>
        <v>108319.44</v>
      </c>
      <c r="P684" s="270">
        <f t="shared" si="205"/>
        <v>108319.44</v>
      </c>
      <c r="Q684" s="270">
        <f t="shared" si="205"/>
        <v>108319.44</v>
      </c>
      <c r="R684" s="270">
        <f t="shared" si="205"/>
        <v>108319.44</v>
      </c>
      <c r="S684" s="270">
        <f t="shared" si="199"/>
        <v>108319.44</v>
      </c>
      <c r="T684" s="270">
        <f t="shared" si="199"/>
        <v>108319.44</v>
      </c>
      <c r="U684" s="270">
        <f t="shared" si="204"/>
        <v>108319.44</v>
      </c>
      <c r="V684" s="270">
        <f t="shared" si="204"/>
        <v>108319.44</v>
      </c>
      <c r="W684" s="270">
        <f t="shared" si="204"/>
        <v>108319.44</v>
      </c>
      <c r="X684" s="270">
        <f t="shared" si="204"/>
        <v>108319.44</v>
      </c>
      <c r="Y684" s="270">
        <f t="shared" si="204"/>
        <v>108319.44</v>
      </c>
      <c r="Z684" s="270">
        <f t="shared" si="204"/>
        <v>108319.44</v>
      </c>
      <c r="AA684" s="270">
        <f t="shared" si="204"/>
        <v>108319.44</v>
      </c>
      <c r="AB684" s="270">
        <f t="shared" si="204"/>
        <v>108319.44</v>
      </c>
      <c r="AC684" s="270">
        <f t="shared" si="204"/>
        <v>108319.44</v>
      </c>
      <c r="AD684" s="270">
        <f t="shared" si="197"/>
        <v>108319.44</v>
      </c>
      <c r="AE684" s="270">
        <f t="shared" si="197"/>
        <v>108319.44</v>
      </c>
      <c r="AF684" s="270">
        <f t="shared" si="206"/>
        <v>108319.44</v>
      </c>
      <c r="AG684" s="270">
        <f t="shared" si="206"/>
        <v>108319.44</v>
      </c>
      <c r="AH684" s="270">
        <f t="shared" si="206"/>
        <v>108319.44</v>
      </c>
      <c r="AI684" s="270">
        <f t="shared" si="206"/>
        <v>108319.44</v>
      </c>
      <c r="AJ684" s="270">
        <f t="shared" si="206"/>
        <v>108319.44</v>
      </c>
      <c r="AK684" s="270">
        <f t="shared" si="206"/>
        <v>108319.44</v>
      </c>
      <c r="AL684" s="270">
        <f t="shared" si="206"/>
        <v>108319.44</v>
      </c>
      <c r="AM684" s="270">
        <f t="shared" si="206"/>
        <v>108319.44</v>
      </c>
    </row>
    <row r="685" spans="2:39" ht="15.75" thickBot="1" x14ac:dyDescent="0.35">
      <c r="B685" s="56" t="str">
        <f>input_names!$C$3</f>
        <v>diesel</v>
      </c>
      <c r="C685" s="61">
        <v>283</v>
      </c>
      <c r="D685" s="270">
        <f t="shared" si="205"/>
        <v>75559</v>
      </c>
      <c r="E685" s="270">
        <f t="shared" si="205"/>
        <v>83613.88</v>
      </c>
      <c r="F685" s="270">
        <f t="shared" si="205"/>
        <v>86533.42</v>
      </c>
      <c r="G685" s="270">
        <f t="shared" si="205"/>
        <v>86853.6</v>
      </c>
      <c r="H685" s="270">
        <f t="shared" si="205"/>
        <v>85263.46</v>
      </c>
      <c r="I685" s="270">
        <f t="shared" si="205"/>
        <v>86443.4</v>
      </c>
      <c r="J685" s="270">
        <f t="shared" si="205"/>
        <v>76609.540000000008</v>
      </c>
      <c r="K685" s="270">
        <f t="shared" si="205"/>
        <v>81032.36</v>
      </c>
      <c r="L685" s="270">
        <f t="shared" si="205"/>
        <v>85269</v>
      </c>
      <c r="M685" s="270">
        <f t="shared" si="205"/>
        <v>103119.84</v>
      </c>
      <c r="N685" s="270">
        <f t="shared" si="205"/>
        <v>108997.31</v>
      </c>
      <c r="O685" s="270">
        <f t="shared" si="205"/>
        <v>108997.31</v>
      </c>
      <c r="P685" s="270">
        <f t="shared" si="205"/>
        <v>108997.31</v>
      </c>
      <c r="Q685" s="270">
        <f t="shared" si="205"/>
        <v>108997.31</v>
      </c>
      <c r="R685" s="270">
        <f t="shared" si="205"/>
        <v>108997.31</v>
      </c>
      <c r="S685" s="270">
        <f t="shared" si="199"/>
        <v>108997.31</v>
      </c>
      <c r="T685" s="270">
        <f t="shared" si="199"/>
        <v>108997.31</v>
      </c>
      <c r="U685" s="270">
        <f t="shared" si="204"/>
        <v>108997.31</v>
      </c>
      <c r="V685" s="270">
        <f t="shared" si="204"/>
        <v>108997.31</v>
      </c>
      <c r="W685" s="270">
        <f t="shared" si="204"/>
        <v>108997.31</v>
      </c>
      <c r="X685" s="270">
        <f t="shared" si="204"/>
        <v>108997.31</v>
      </c>
      <c r="Y685" s="270">
        <f t="shared" si="204"/>
        <v>108997.31</v>
      </c>
      <c r="Z685" s="270">
        <f t="shared" si="204"/>
        <v>108997.31</v>
      </c>
      <c r="AA685" s="270">
        <f t="shared" si="204"/>
        <v>108997.31</v>
      </c>
      <c r="AB685" s="270">
        <f t="shared" si="204"/>
        <v>108997.31</v>
      </c>
      <c r="AC685" s="270">
        <f t="shared" si="204"/>
        <v>108997.31</v>
      </c>
      <c r="AD685" s="270">
        <f t="shared" si="197"/>
        <v>108997.31</v>
      </c>
      <c r="AE685" s="270">
        <f t="shared" si="197"/>
        <v>108997.31</v>
      </c>
      <c r="AF685" s="270">
        <f t="shared" si="206"/>
        <v>108997.31</v>
      </c>
      <c r="AG685" s="270">
        <f t="shared" si="206"/>
        <v>108997.31</v>
      </c>
      <c r="AH685" s="270">
        <f t="shared" si="206"/>
        <v>108997.31</v>
      </c>
      <c r="AI685" s="270">
        <f t="shared" si="206"/>
        <v>108997.31</v>
      </c>
      <c r="AJ685" s="270">
        <f t="shared" si="206"/>
        <v>108997.31</v>
      </c>
      <c r="AK685" s="270">
        <f t="shared" si="206"/>
        <v>108997.31</v>
      </c>
      <c r="AL685" s="270">
        <f t="shared" si="206"/>
        <v>108997.31</v>
      </c>
      <c r="AM685" s="270">
        <f t="shared" si="206"/>
        <v>108997.31</v>
      </c>
    </row>
    <row r="686" spans="2:39" ht="15.75" thickBot="1" x14ac:dyDescent="0.35">
      <c r="B686" s="56" t="str">
        <f>input_names!$C$3</f>
        <v>diesel</v>
      </c>
      <c r="C686" s="61">
        <v>284</v>
      </c>
      <c r="D686" s="270">
        <f t="shared" si="205"/>
        <v>76079</v>
      </c>
      <c r="E686" s="270">
        <f t="shared" si="205"/>
        <v>84176.31</v>
      </c>
      <c r="F686" s="270">
        <f t="shared" si="205"/>
        <v>87092.11</v>
      </c>
      <c r="G686" s="270">
        <f t="shared" si="205"/>
        <v>87395.98</v>
      </c>
      <c r="H686" s="270">
        <f t="shared" si="205"/>
        <v>85779.89</v>
      </c>
      <c r="I686" s="270">
        <f t="shared" si="205"/>
        <v>86951.25</v>
      </c>
      <c r="J686" s="270">
        <f t="shared" si="205"/>
        <v>77125.13</v>
      </c>
      <c r="K686" s="270">
        <f t="shared" si="205"/>
        <v>81567.03</v>
      </c>
      <c r="L686" s="270">
        <f t="shared" si="205"/>
        <v>85811.3</v>
      </c>
      <c r="M686" s="270">
        <f t="shared" si="205"/>
        <v>103774.91</v>
      </c>
      <c r="N686" s="270">
        <f t="shared" si="205"/>
        <v>109675.18</v>
      </c>
      <c r="O686" s="270">
        <f t="shared" si="205"/>
        <v>109675.18</v>
      </c>
      <c r="P686" s="270">
        <f t="shared" si="205"/>
        <v>109675.18</v>
      </c>
      <c r="Q686" s="270">
        <f t="shared" si="205"/>
        <v>109675.18</v>
      </c>
      <c r="R686" s="270">
        <f t="shared" si="205"/>
        <v>109675.18</v>
      </c>
      <c r="S686" s="270">
        <f t="shared" si="199"/>
        <v>109675.18</v>
      </c>
      <c r="T686" s="270">
        <f t="shared" si="199"/>
        <v>109675.18</v>
      </c>
      <c r="U686" s="270">
        <f t="shared" si="204"/>
        <v>109675.18</v>
      </c>
      <c r="V686" s="270">
        <f t="shared" si="204"/>
        <v>109675.18</v>
      </c>
      <c r="W686" s="270">
        <f t="shared" si="204"/>
        <v>109675.18</v>
      </c>
      <c r="X686" s="270">
        <f t="shared" si="204"/>
        <v>109675.18</v>
      </c>
      <c r="Y686" s="270">
        <f t="shared" si="204"/>
        <v>109675.18</v>
      </c>
      <c r="Z686" s="270">
        <f t="shared" si="204"/>
        <v>109675.18</v>
      </c>
      <c r="AA686" s="270">
        <f t="shared" si="204"/>
        <v>109675.18</v>
      </c>
      <c r="AB686" s="270">
        <f t="shared" si="204"/>
        <v>109675.18</v>
      </c>
      <c r="AC686" s="270">
        <f t="shared" si="204"/>
        <v>109675.18</v>
      </c>
      <c r="AD686" s="270">
        <f t="shared" si="197"/>
        <v>109675.18</v>
      </c>
      <c r="AE686" s="270">
        <f t="shared" si="197"/>
        <v>109675.18</v>
      </c>
      <c r="AF686" s="270">
        <f t="shared" si="206"/>
        <v>109675.18</v>
      </c>
      <c r="AG686" s="270">
        <f t="shared" si="206"/>
        <v>109675.18</v>
      </c>
      <c r="AH686" s="270">
        <f t="shared" si="206"/>
        <v>109675.18</v>
      </c>
      <c r="AI686" s="270">
        <f t="shared" si="206"/>
        <v>109675.18</v>
      </c>
      <c r="AJ686" s="270">
        <f t="shared" si="206"/>
        <v>109675.18</v>
      </c>
      <c r="AK686" s="270">
        <f t="shared" si="206"/>
        <v>109675.18</v>
      </c>
      <c r="AL686" s="270">
        <f t="shared" si="206"/>
        <v>109675.18</v>
      </c>
      <c r="AM686" s="270">
        <f t="shared" si="206"/>
        <v>109675.18</v>
      </c>
    </row>
    <row r="687" spans="2:39" ht="15.75" thickBot="1" x14ac:dyDescent="0.35">
      <c r="B687" s="56" t="str">
        <f>input_names!$C$3</f>
        <v>diesel</v>
      </c>
      <c r="C687" s="61">
        <v>285</v>
      </c>
      <c r="D687" s="270">
        <f t="shared" si="205"/>
        <v>76599</v>
      </c>
      <c r="E687" s="270">
        <f t="shared" si="205"/>
        <v>84738.74</v>
      </c>
      <c r="F687" s="270">
        <f t="shared" si="205"/>
        <v>87650.8</v>
      </c>
      <c r="G687" s="270">
        <f t="shared" si="205"/>
        <v>87938.36</v>
      </c>
      <c r="H687" s="270">
        <f t="shared" si="205"/>
        <v>86296.320000000007</v>
      </c>
      <c r="I687" s="270">
        <f t="shared" si="205"/>
        <v>87459.1</v>
      </c>
      <c r="J687" s="270">
        <f t="shared" si="205"/>
        <v>77640.72</v>
      </c>
      <c r="K687" s="270">
        <f t="shared" si="205"/>
        <v>82101.7</v>
      </c>
      <c r="L687" s="270">
        <f t="shared" si="205"/>
        <v>86353.600000000006</v>
      </c>
      <c r="M687" s="270">
        <f t="shared" si="205"/>
        <v>104429.98</v>
      </c>
      <c r="N687" s="270">
        <f t="shared" si="205"/>
        <v>110353.05</v>
      </c>
      <c r="O687" s="270">
        <f t="shared" si="205"/>
        <v>110353.05</v>
      </c>
      <c r="P687" s="270">
        <f t="shared" si="205"/>
        <v>110353.05</v>
      </c>
      <c r="Q687" s="270">
        <f t="shared" si="205"/>
        <v>110353.05</v>
      </c>
      <c r="R687" s="270">
        <f t="shared" si="205"/>
        <v>110353.05</v>
      </c>
      <c r="S687" s="270">
        <f t="shared" si="199"/>
        <v>110353.05</v>
      </c>
      <c r="T687" s="270">
        <f t="shared" si="199"/>
        <v>110353.05</v>
      </c>
      <c r="U687" s="270">
        <f t="shared" si="204"/>
        <v>110353.05</v>
      </c>
      <c r="V687" s="270">
        <f t="shared" si="204"/>
        <v>110353.05</v>
      </c>
      <c r="W687" s="270">
        <f t="shared" si="204"/>
        <v>110353.05</v>
      </c>
      <c r="X687" s="270">
        <f t="shared" si="204"/>
        <v>110353.05</v>
      </c>
      <c r="Y687" s="270">
        <f t="shared" si="204"/>
        <v>110353.05</v>
      </c>
      <c r="Z687" s="270">
        <f t="shared" si="204"/>
        <v>110353.05</v>
      </c>
      <c r="AA687" s="270">
        <f t="shared" si="204"/>
        <v>110353.05</v>
      </c>
      <c r="AB687" s="270">
        <f t="shared" si="204"/>
        <v>110353.05</v>
      </c>
      <c r="AC687" s="270">
        <f t="shared" si="204"/>
        <v>110353.05</v>
      </c>
      <c r="AD687" s="270">
        <f t="shared" si="197"/>
        <v>110353.05</v>
      </c>
      <c r="AE687" s="270">
        <f t="shared" si="197"/>
        <v>110353.05</v>
      </c>
      <c r="AF687" s="270">
        <f t="shared" si="206"/>
        <v>110353.05</v>
      </c>
      <c r="AG687" s="270">
        <f t="shared" si="206"/>
        <v>110353.05</v>
      </c>
      <c r="AH687" s="270">
        <f t="shared" si="206"/>
        <v>110353.05</v>
      </c>
      <c r="AI687" s="270">
        <f t="shared" si="206"/>
        <v>110353.05</v>
      </c>
      <c r="AJ687" s="270">
        <f t="shared" si="206"/>
        <v>110353.05</v>
      </c>
      <c r="AK687" s="270">
        <f t="shared" si="206"/>
        <v>110353.05</v>
      </c>
      <c r="AL687" s="270">
        <f t="shared" si="206"/>
        <v>110353.05</v>
      </c>
      <c r="AM687" s="270">
        <f t="shared" si="206"/>
        <v>110353.05</v>
      </c>
    </row>
    <row r="688" spans="2:39" ht="15.75" thickBot="1" x14ac:dyDescent="0.35">
      <c r="B688" s="56" t="str">
        <f>input_names!$C$3</f>
        <v>diesel</v>
      </c>
      <c r="C688" s="61">
        <v>286</v>
      </c>
      <c r="D688" s="270">
        <f t="shared" si="205"/>
        <v>77119</v>
      </c>
      <c r="E688" s="270">
        <f t="shared" si="205"/>
        <v>85301.17</v>
      </c>
      <c r="F688" s="270">
        <f t="shared" si="205"/>
        <v>88209.489999999991</v>
      </c>
      <c r="G688" s="270">
        <f t="shared" si="205"/>
        <v>88480.739999999991</v>
      </c>
      <c r="H688" s="270">
        <f t="shared" si="205"/>
        <v>86812.75</v>
      </c>
      <c r="I688" s="270">
        <f t="shared" si="205"/>
        <v>87966.95</v>
      </c>
      <c r="J688" s="270">
        <f t="shared" si="205"/>
        <v>78156.31</v>
      </c>
      <c r="K688" s="270">
        <f t="shared" si="205"/>
        <v>82636.37</v>
      </c>
      <c r="L688" s="270">
        <f t="shared" si="205"/>
        <v>86895.9</v>
      </c>
      <c r="M688" s="270">
        <f t="shared" si="205"/>
        <v>105085.05</v>
      </c>
      <c r="N688" s="270">
        <f t="shared" si="205"/>
        <v>111030.92</v>
      </c>
      <c r="O688" s="270">
        <f t="shared" si="205"/>
        <v>111030.92</v>
      </c>
      <c r="P688" s="270">
        <f t="shared" si="205"/>
        <v>111030.92</v>
      </c>
      <c r="Q688" s="270">
        <f t="shared" si="205"/>
        <v>111030.92</v>
      </c>
      <c r="R688" s="270">
        <f t="shared" si="205"/>
        <v>111030.92</v>
      </c>
      <c r="S688" s="270">
        <f t="shared" si="199"/>
        <v>111030.92</v>
      </c>
      <c r="T688" s="270">
        <f t="shared" si="199"/>
        <v>111030.92</v>
      </c>
      <c r="U688" s="270">
        <f t="shared" si="204"/>
        <v>111030.92</v>
      </c>
      <c r="V688" s="270">
        <f t="shared" si="204"/>
        <v>111030.92</v>
      </c>
      <c r="W688" s="270">
        <f t="shared" si="204"/>
        <v>111030.92</v>
      </c>
      <c r="X688" s="270">
        <f t="shared" si="204"/>
        <v>111030.92</v>
      </c>
      <c r="Y688" s="270">
        <f t="shared" si="204"/>
        <v>111030.92</v>
      </c>
      <c r="Z688" s="270">
        <f t="shared" si="204"/>
        <v>111030.92</v>
      </c>
      <c r="AA688" s="270">
        <f t="shared" si="204"/>
        <v>111030.92</v>
      </c>
      <c r="AB688" s="270">
        <f t="shared" si="204"/>
        <v>111030.92</v>
      </c>
      <c r="AC688" s="270">
        <f t="shared" si="204"/>
        <v>111030.92</v>
      </c>
      <c r="AD688" s="270">
        <f t="shared" si="197"/>
        <v>111030.92</v>
      </c>
      <c r="AE688" s="270">
        <f t="shared" si="197"/>
        <v>111030.92</v>
      </c>
      <c r="AF688" s="270">
        <f t="shared" si="206"/>
        <v>111030.92</v>
      </c>
      <c r="AG688" s="270">
        <f t="shared" si="206"/>
        <v>111030.92</v>
      </c>
      <c r="AH688" s="270">
        <f t="shared" si="206"/>
        <v>111030.92</v>
      </c>
      <c r="AI688" s="270">
        <f t="shared" si="206"/>
        <v>111030.92</v>
      </c>
      <c r="AJ688" s="270">
        <f t="shared" si="206"/>
        <v>111030.92</v>
      </c>
      <c r="AK688" s="270">
        <f t="shared" si="206"/>
        <v>111030.92</v>
      </c>
      <c r="AL688" s="270">
        <f t="shared" si="206"/>
        <v>111030.92</v>
      </c>
      <c r="AM688" s="270">
        <f t="shared" si="206"/>
        <v>111030.92</v>
      </c>
    </row>
    <row r="689" spans="2:39" ht="15.75" thickBot="1" x14ac:dyDescent="0.35">
      <c r="B689" s="56" t="str">
        <f>input_names!$C$3</f>
        <v>diesel</v>
      </c>
      <c r="C689" s="61">
        <v>287</v>
      </c>
      <c r="D689" s="270">
        <f t="shared" si="205"/>
        <v>77639</v>
      </c>
      <c r="E689" s="270">
        <f t="shared" si="205"/>
        <v>85863.6</v>
      </c>
      <c r="F689" s="270">
        <f t="shared" si="205"/>
        <v>88768.18</v>
      </c>
      <c r="G689" s="270">
        <f t="shared" si="205"/>
        <v>89023.12</v>
      </c>
      <c r="H689" s="270">
        <f t="shared" si="205"/>
        <v>87329.18</v>
      </c>
      <c r="I689" s="270">
        <f t="shared" si="205"/>
        <v>88474.8</v>
      </c>
      <c r="J689" s="270">
        <f t="shared" si="205"/>
        <v>78671.899999999994</v>
      </c>
      <c r="K689" s="270">
        <f t="shared" si="205"/>
        <v>83171.040000000008</v>
      </c>
      <c r="L689" s="270">
        <f t="shared" si="205"/>
        <v>87438.2</v>
      </c>
      <c r="M689" s="270">
        <f t="shared" si="205"/>
        <v>105740.12</v>
      </c>
      <c r="N689" s="270">
        <f t="shared" si="205"/>
        <v>111708.79000000001</v>
      </c>
      <c r="O689" s="270">
        <f t="shared" si="205"/>
        <v>111708.79000000001</v>
      </c>
      <c r="P689" s="270">
        <f t="shared" si="205"/>
        <v>111708.79000000001</v>
      </c>
      <c r="Q689" s="270">
        <f t="shared" si="205"/>
        <v>111708.79000000001</v>
      </c>
      <c r="R689" s="270">
        <f t="shared" si="205"/>
        <v>111708.79000000001</v>
      </c>
      <c r="S689" s="270">
        <f t="shared" si="205"/>
        <v>111708.79000000001</v>
      </c>
      <c r="T689" s="270">
        <f t="shared" si="199"/>
        <v>111708.79000000001</v>
      </c>
      <c r="U689" s="270">
        <f t="shared" si="204"/>
        <v>111708.79000000001</v>
      </c>
      <c r="V689" s="270">
        <f t="shared" si="204"/>
        <v>111708.79000000001</v>
      </c>
      <c r="W689" s="270">
        <f t="shared" si="204"/>
        <v>111708.79000000001</v>
      </c>
      <c r="X689" s="270">
        <f t="shared" si="204"/>
        <v>111708.79000000001</v>
      </c>
      <c r="Y689" s="270">
        <f t="shared" si="204"/>
        <v>111708.79000000001</v>
      </c>
      <c r="Z689" s="270">
        <f t="shared" si="204"/>
        <v>111708.79000000001</v>
      </c>
      <c r="AA689" s="270">
        <f t="shared" si="204"/>
        <v>111708.79000000001</v>
      </c>
      <c r="AB689" s="270">
        <f t="shared" si="204"/>
        <v>111708.79000000001</v>
      </c>
      <c r="AC689" s="270">
        <f t="shared" si="204"/>
        <v>111708.79000000001</v>
      </c>
      <c r="AD689" s="270">
        <f t="shared" si="205"/>
        <v>111708.79000000001</v>
      </c>
      <c r="AE689" s="270">
        <f t="shared" ref="AD689:AE752" si="207">+MIN(MAX(0,$C689-AE$11),AE$12-AE$11)*AE$17
+MIN(MAX(0,$C689-AE$12),AE$13-AE$12)*AE$18
+MIN(MAX(0,$C689-AE$13),AE$14-AE$13)*AE$19
+MIN(MAX(0,$C689-AE$14),AE$15-AE$14)*AE$20
+MAX(0,$C689-AE$15)*AE$21
+AE$24*MAX(0,$C689-AE$23)
+AE$26</f>
        <v>111708.79000000001</v>
      </c>
      <c r="AF689" s="270">
        <f t="shared" si="206"/>
        <v>111708.79000000001</v>
      </c>
      <c r="AG689" s="270">
        <f t="shared" si="206"/>
        <v>111708.79000000001</v>
      </c>
      <c r="AH689" s="270">
        <f t="shared" si="206"/>
        <v>111708.79000000001</v>
      </c>
      <c r="AI689" s="270">
        <f t="shared" si="206"/>
        <v>111708.79000000001</v>
      </c>
      <c r="AJ689" s="270">
        <f t="shared" si="206"/>
        <v>111708.79000000001</v>
      </c>
      <c r="AK689" s="270">
        <f t="shared" si="206"/>
        <v>111708.79000000001</v>
      </c>
      <c r="AL689" s="270">
        <f t="shared" si="206"/>
        <v>111708.79000000001</v>
      </c>
      <c r="AM689" s="270">
        <f t="shared" si="206"/>
        <v>111708.79000000001</v>
      </c>
    </row>
    <row r="690" spans="2:39" ht="15.75" thickBot="1" x14ac:dyDescent="0.35">
      <c r="B690" s="56" t="str">
        <f>input_names!$C$3</f>
        <v>diesel</v>
      </c>
      <c r="C690" s="61">
        <v>288</v>
      </c>
      <c r="D690" s="270">
        <f t="shared" ref="D690:S705" si="208">+MIN(MAX(0,$C690-D$11),D$12-D$11)*D$17
+MIN(MAX(0,$C690-D$12),D$13-D$12)*D$18
+MIN(MAX(0,$C690-D$13),D$14-D$13)*D$19
+MIN(MAX(0,$C690-D$14),D$15-D$14)*D$20
+MAX(0,$C690-D$15)*D$21
+D$24*MAX(0,$C690-D$23)
+D$26</f>
        <v>78159</v>
      </c>
      <c r="E690" s="270">
        <f t="shared" si="208"/>
        <v>86426.03</v>
      </c>
      <c r="F690" s="270">
        <f t="shared" si="208"/>
        <v>89326.87</v>
      </c>
      <c r="G690" s="270">
        <f t="shared" si="208"/>
        <v>89565.5</v>
      </c>
      <c r="H690" s="270">
        <f t="shared" si="208"/>
        <v>87845.61</v>
      </c>
      <c r="I690" s="270">
        <f t="shared" si="208"/>
        <v>88982.65</v>
      </c>
      <c r="J690" s="270">
        <f t="shared" si="208"/>
        <v>79187.490000000005</v>
      </c>
      <c r="K690" s="270">
        <f t="shared" si="208"/>
        <v>83705.709999999992</v>
      </c>
      <c r="L690" s="270">
        <f t="shared" si="208"/>
        <v>87980.5</v>
      </c>
      <c r="M690" s="270">
        <f t="shared" si="208"/>
        <v>106395.19</v>
      </c>
      <c r="N690" s="270">
        <f t="shared" si="208"/>
        <v>112386.66</v>
      </c>
      <c r="O690" s="270">
        <f t="shared" si="208"/>
        <v>112386.66</v>
      </c>
      <c r="P690" s="270">
        <f t="shared" si="208"/>
        <v>112386.66</v>
      </c>
      <c r="Q690" s="270">
        <f t="shared" si="208"/>
        <v>112386.66</v>
      </c>
      <c r="R690" s="270">
        <f t="shared" si="208"/>
        <v>112386.66</v>
      </c>
      <c r="S690" s="270">
        <f t="shared" si="199"/>
        <v>112386.66</v>
      </c>
      <c r="T690" s="270">
        <f t="shared" si="199"/>
        <v>112386.66</v>
      </c>
      <c r="U690" s="270">
        <f t="shared" si="204"/>
        <v>112386.66</v>
      </c>
      <c r="V690" s="270">
        <f t="shared" si="204"/>
        <v>112386.66</v>
      </c>
      <c r="W690" s="270">
        <f t="shared" si="204"/>
        <v>112386.66</v>
      </c>
      <c r="X690" s="270">
        <f t="shared" si="204"/>
        <v>112386.66</v>
      </c>
      <c r="Y690" s="270">
        <f t="shared" si="204"/>
        <v>112386.66</v>
      </c>
      <c r="Z690" s="270">
        <f t="shared" si="204"/>
        <v>112386.66</v>
      </c>
      <c r="AA690" s="270">
        <f t="shared" si="204"/>
        <v>112386.66</v>
      </c>
      <c r="AB690" s="270">
        <f t="shared" si="204"/>
        <v>112386.66</v>
      </c>
      <c r="AC690" s="270">
        <f t="shared" si="204"/>
        <v>112386.66</v>
      </c>
      <c r="AD690" s="270">
        <f t="shared" si="207"/>
        <v>112386.66</v>
      </c>
      <c r="AE690" s="270">
        <f t="shared" si="207"/>
        <v>112386.66</v>
      </c>
      <c r="AF690" s="270">
        <f t="shared" si="206"/>
        <v>112386.66</v>
      </c>
      <c r="AG690" s="270">
        <f t="shared" si="206"/>
        <v>112386.66</v>
      </c>
      <c r="AH690" s="270">
        <f t="shared" si="206"/>
        <v>112386.66</v>
      </c>
      <c r="AI690" s="270">
        <f t="shared" si="206"/>
        <v>112386.66</v>
      </c>
      <c r="AJ690" s="270">
        <f t="shared" si="206"/>
        <v>112386.66</v>
      </c>
      <c r="AK690" s="270">
        <f t="shared" si="206"/>
        <v>112386.66</v>
      </c>
      <c r="AL690" s="270">
        <f t="shared" si="206"/>
        <v>112386.66</v>
      </c>
      <c r="AM690" s="270">
        <f t="shared" si="206"/>
        <v>112386.66</v>
      </c>
    </row>
    <row r="691" spans="2:39" ht="15.75" thickBot="1" x14ac:dyDescent="0.35">
      <c r="B691" s="56" t="str">
        <f>input_names!$C$3</f>
        <v>diesel</v>
      </c>
      <c r="C691" s="61">
        <v>289</v>
      </c>
      <c r="D691" s="270">
        <f t="shared" si="208"/>
        <v>78679</v>
      </c>
      <c r="E691" s="270">
        <f t="shared" si="208"/>
        <v>86988.46</v>
      </c>
      <c r="F691" s="270">
        <f t="shared" si="208"/>
        <v>89885.56</v>
      </c>
      <c r="G691" s="270">
        <f t="shared" si="208"/>
        <v>90107.88</v>
      </c>
      <c r="H691" s="270">
        <f t="shared" si="208"/>
        <v>88362.040000000008</v>
      </c>
      <c r="I691" s="270">
        <f t="shared" si="208"/>
        <v>89490.5</v>
      </c>
      <c r="J691" s="270">
        <f t="shared" si="208"/>
        <v>79703.08</v>
      </c>
      <c r="K691" s="270">
        <f t="shared" si="208"/>
        <v>84240.38</v>
      </c>
      <c r="L691" s="270">
        <f t="shared" si="208"/>
        <v>88522.8</v>
      </c>
      <c r="M691" s="270">
        <f t="shared" si="208"/>
        <v>107050.26</v>
      </c>
      <c r="N691" s="270">
        <f t="shared" si="208"/>
        <v>113064.53</v>
      </c>
      <c r="O691" s="270">
        <f t="shared" si="208"/>
        <v>113064.53</v>
      </c>
      <c r="P691" s="270">
        <f t="shared" si="208"/>
        <v>113064.53</v>
      </c>
      <c r="Q691" s="270">
        <f t="shared" si="208"/>
        <v>113064.53</v>
      </c>
      <c r="R691" s="270">
        <f t="shared" si="208"/>
        <v>113064.53</v>
      </c>
      <c r="S691" s="270">
        <f t="shared" si="199"/>
        <v>113064.53</v>
      </c>
      <c r="T691" s="270">
        <f t="shared" si="199"/>
        <v>113064.53</v>
      </c>
      <c r="U691" s="270">
        <f t="shared" si="204"/>
        <v>113064.53</v>
      </c>
      <c r="V691" s="270">
        <f t="shared" si="204"/>
        <v>113064.53</v>
      </c>
      <c r="W691" s="270">
        <f t="shared" si="204"/>
        <v>113064.53</v>
      </c>
      <c r="X691" s="270">
        <f t="shared" si="204"/>
        <v>113064.53</v>
      </c>
      <c r="Y691" s="270">
        <f t="shared" si="204"/>
        <v>113064.53</v>
      </c>
      <c r="Z691" s="270">
        <f t="shared" si="204"/>
        <v>113064.53</v>
      </c>
      <c r="AA691" s="270">
        <f t="shared" si="204"/>
        <v>113064.53</v>
      </c>
      <c r="AB691" s="270">
        <f t="shared" si="204"/>
        <v>113064.53</v>
      </c>
      <c r="AC691" s="270">
        <f t="shared" si="204"/>
        <v>113064.53</v>
      </c>
      <c r="AD691" s="270">
        <f t="shared" si="207"/>
        <v>113064.53</v>
      </c>
      <c r="AE691" s="270">
        <f t="shared" si="207"/>
        <v>113064.53</v>
      </c>
      <c r="AF691" s="270">
        <f t="shared" si="206"/>
        <v>113064.53</v>
      </c>
      <c r="AG691" s="270">
        <f t="shared" si="206"/>
        <v>113064.53</v>
      </c>
      <c r="AH691" s="270">
        <f t="shared" si="206"/>
        <v>113064.53</v>
      </c>
      <c r="AI691" s="270">
        <f t="shared" si="206"/>
        <v>113064.53</v>
      </c>
      <c r="AJ691" s="270">
        <f t="shared" si="206"/>
        <v>113064.53</v>
      </c>
      <c r="AK691" s="270">
        <f t="shared" si="206"/>
        <v>113064.53</v>
      </c>
      <c r="AL691" s="270">
        <f t="shared" si="206"/>
        <v>113064.53</v>
      </c>
      <c r="AM691" s="270">
        <f t="shared" si="206"/>
        <v>113064.53</v>
      </c>
    </row>
    <row r="692" spans="2:39" ht="15.75" thickBot="1" x14ac:dyDescent="0.35">
      <c r="B692" s="56" t="str">
        <f>input_names!$C$3</f>
        <v>diesel</v>
      </c>
      <c r="C692" s="61">
        <v>290</v>
      </c>
      <c r="D692" s="270">
        <f t="shared" si="208"/>
        <v>79199</v>
      </c>
      <c r="E692" s="270">
        <f t="shared" si="208"/>
        <v>87550.89</v>
      </c>
      <c r="F692" s="270">
        <f t="shared" si="208"/>
        <v>90444.25</v>
      </c>
      <c r="G692" s="270">
        <f t="shared" si="208"/>
        <v>90650.26</v>
      </c>
      <c r="H692" s="270">
        <f t="shared" si="208"/>
        <v>88878.47</v>
      </c>
      <c r="I692" s="270">
        <f t="shared" si="208"/>
        <v>89998.35</v>
      </c>
      <c r="J692" s="270">
        <f t="shared" si="208"/>
        <v>80218.67</v>
      </c>
      <c r="K692" s="270">
        <f t="shared" si="208"/>
        <v>84775.05</v>
      </c>
      <c r="L692" s="270">
        <f t="shared" si="208"/>
        <v>89065.1</v>
      </c>
      <c r="M692" s="270">
        <f t="shared" si="208"/>
        <v>107705.33</v>
      </c>
      <c r="N692" s="270">
        <f t="shared" si="208"/>
        <v>113742.39999999999</v>
      </c>
      <c r="O692" s="270">
        <f t="shared" si="208"/>
        <v>113742.39999999999</v>
      </c>
      <c r="P692" s="270">
        <f t="shared" si="208"/>
        <v>113742.39999999999</v>
      </c>
      <c r="Q692" s="270">
        <f t="shared" si="208"/>
        <v>113742.39999999999</v>
      </c>
      <c r="R692" s="270">
        <f t="shared" si="208"/>
        <v>113742.39999999999</v>
      </c>
      <c r="S692" s="270">
        <f t="shared" si="199"/>
        <v>113742.39999999999</v>
      </c>
      <c r="T692" s="270">
        <f t="shared" si="199"/>
        <v>113742.39999999999</v>
      </c>
      <c r="U692" s="270">
        <f t="shared" si="204"/>
        <v>113742.39999999999</v>
      </c>
      <c r="V692" s="270">
        <f t="shared" si="204"/>
        <v>113742.39999999999</v>
      </c>
      <c r="W692" s="270">
        <f t="shared" si="204"/>
        <v>113742.39999999999</v>
      </c>
      <c r="X692" s="270">
        <f t="shared" si="204"/>
        <v>113742.39999999999</v>
      </c>
      <c r="Y692" s="270">
        <f t="shared" si="204"/>
        <v>113742.39999999999</v>
      </c>
      <c r="Z692" s="270">
        <f t="shared" si="204"/>
        <v>113742.39999999999</v>
      </c>
      <c r="AA692" s="270">
        <f t="shared" si="204"/>
        <v>113742.39999999999</v>
      </c>
      <c r="AB692" s="270">
        <f t="shared" si="204"/>
        <v>113742.39999999999</v>
      </c>
      <c r="AC692" s="270">
        <f t="shared" si="204"/>
        <v>113742.39999999999</v>
      </c>
      <c r="AD692" s="270">
        <f t="shared" si="207"/>
        <v>113742.39999999999</v>
      </c>
      <c r="AE692" s="270">
        <f t="shared" si="207"/>
        <v>113742.39999999999</v>
      </c>
      <c r="AF692" s="270">
        <f t="shared" si="206"/>
        <v>113742.39999999999</v>
      </c>
      <c r="AG692" s="270">
        <f t="shared" si="206"/>
        <v>113742.39999999999</v>
      </c>
      <c r="AH692" s="270">
        <f t="shared" si="206"/>
        <v>113742.39999999999</v>
      </c>
      <c r="AI692" s="270">
        <f t="shared" si="206"/>
        <v>113742.39999999999</v>
      </c>
      <c r="AJ692" s="270">
        <f t="shared" si="206"/>
        <v>113742.39999999999</v>
      </c>
      <c r="AK692" s="270">
        <f t="shared" si="206"/>
        <v>113742.39999999999</v>
      </c>
      <c r="AL692" s="270">
        <f t="shared" si="206"/>
        <v>113742.39999999999</v>
      </c>
      <c r="AM692" s="270">
        <f t="shared" si="206"/>
        <v>113742.39999999999</v>
      </c>
    </row>
    <row r="693" spans="2:39" ht="15.75" thickBot="1" x14ac:dyDescent="0.35">
      <c r="B693" s="56" t="str">
        <f>input_names!$C$3</f>
        <v>diesel</v>
      </c>
      <c r="C693" s="61">
        <v>291</v>
      </c>
      <c r="D693" s="270">
        <f t="shared" si="208"/>
        <v>79719</v>
      </c>
      <c r="E693" s="270">
        <f t="shared" si="208"/>
        <v>88113.32</v>
      </c>
      <c r="F693" s="270">
        <f t="shared" si="208"/>
        <v>91002.94</v>
      </c>
      <c r="G693" s="270">
        <f t="shared" si="208"/>
        <v>91192.639999999999</v>
      </c>
      <c r="H693" s="270">
        <f t="shared" si="208"/>
        <v>89394.9</v>
      </c>
      <c r="I693" s="270">
        <f t="shared" si="208"/>
        <v>90506.2</v>
      </c>
      <c r="J693" s="270">
        <f t="shared" si="208"/>
        <v>80734.260000000009</v>
      </c>
      <c r="K693" s="270">
        <f t="shared" si="208"/>
        <v>85309.72</v>
      </c>
      <c r="L693" s="270">
        <f t="shared" si="208"/>
        <v>89607.4</v>
      </c>
      <c r="M693" s="270">
        <f t="shared" si="208"/>
        <v>108360.4</v>
      </c>
      <c r="N693" s="270">
        <f t="shared" si="208"/>
        <v>114420.27</v>
      </c>
      <c r="O693" s="270">
        <f t="shared" si="208"/>
        <v>114420.27</v>
      </c>
      <c r="P693" s="270">
        <f t="shared" si="208"/>
        <v>114420.27</v>
      </c>
      <c r="Q693" s="270">
        <f t="shared" si="208"/>
        <v>114420.27</v>
      </c>
      <c r="R693" s="270">
        <f t="shared" si="208"/>
        <v>114420.27</v>
      </c>
      <c r="S693" s="270">
        <f t="shared" si="199"/>
        <v>114420.27</v>
      </c>
      <c r="T693" s="270">
        <f t="shared" si="199"/>
        <v>114420.27</v>
      </c>
      <c r="U693" s="270">
        <f t="shared" si="204"/>
        <v>114420.27</v>
      </c>
      <c r="V693" s="270">
        <f t="shared" si="204"/>
        <v>114420.27</v>
      </c>
      <c r="W693" s="270">
        <f t="shared" si="204"/>
        <v>114420.27</v>
      </c>
      <c r="X693" s="270">
        <f t="shared" si="204"/>
        <v>114420.27</v>
      </c>
      <c r="Y693" s="270">
        <f t="shared" si="204"/>
        <v>114420.27</v>
      </c>
      <c r="Z693" s="270">
        <f t="shared" si="204"/>
        <v>114420.27</v>
      </c>
      <c r="AA693" s="270">
        <f t="shared" si="204"/>
        <v>114420.27</v>
      </c>
      <c r="AB693" s="270">
        <f t="shared" si="204"/>
        <v>114420.27</v>
      </c>
      <c r="AC693" s="270">
        <f t="shared" si="204"/>
        <v>114420.27</v>
      </c>
      <c r="AD693" s="270">
        <f t="shared" si="207"/>
        <v>114420.27</v>
      </c>
      <c r="AE693" s="270">
        <f t="shared" si="207"/>
        <v>114420.27</v>
      </c>
      <c r="AF693" s="270">
        <f t="shared" si="206"/>
        <v>114420.27</v>
      </c>
      <c r="AG693" s="270">
        <f t="shared" si="206"/>
        <v>114420.27</v>
      </c>
      <c r="AH693" s="270">
        <f t="shared" si="206"/>
        <v>114420.27</v>
      </c>
      <c r="AI693" s="270">
        <f t="shared" si="206"/>
        <v>114420.27</v>
      </c>
      <c r="AJ693" s="270">
        <f t="shared" si="206"/>
        <v>114420.27</v>
      </c>
      <c r="AK693" s="270">
        <f t="shared" si="206"/>
        <v>114420.27</v>
      </c>
      <c r="AL693" s="270">
        <f t="shared" si="206"/>
        <v>114420.27</v>
      </c>
      <c r="AM693" s="270">
        <f t="shared" si="206"/>
        <v>114420.27</v>
      </c>
    </row>
    <row r="694" spans="2:39" ht="15.75" thickBot="1" x14ac:dyDescent="0.35">
      <c r="B694" s="56" t="str">
        <f>input_names!$C$3</f>
        <v>diesel</v>
      </c>
      <c r="C694" s="61">
        <v>292</v>
      </c>
      <c r="D694" s="270">
        <f t="shared" si="208"/>
        <v>80239</v>
      </c>
      <c r="E694" s="270">
        <f t="shared" si="208"/>
        <v>88675.75</v>
      </c>
      <c r="F694" s="270">
        <f t="shared" si="208"/>
        <v>91561.63</v>
      </c>
      <c r="G694" s="270">
        <f t="shared" si="208"/>
        <v>91735.02</v>
      </c>
      <c r="H694" s="270">
        <f t="shared" si="208"/>
        <v>89911.33</v>
      </c>
      <c r="I694" s="270">
        <f t="shared" si="208"/>
        <v>91014.05</v>
      </c>
      <c r="J694" s="270">
        <f t="shared" si="208"/>
        <v>81249.850000000006</v>
      </c>
      <c r="K694" s="270">
        <f t="shared" si="208"/>
        <v>85844.39</v>
      </c>
      <c r="L694" s="270">
        <f t="shared" si="208"/>
        <v>90149.7</v>
      </c>
      <c r="M694" s="270">
        <f t="shared" si="208"/>
        <v>109015.47</v>
      </c>
      <c r="N694" s="270">
        <f t="shared" si="208"/>
        <v>115098.14</v>
      </c>
      <c r="O694" s="270">
        <f t="shared" si="208"/>
        <v>115098.14</v>
      </c>
      <c r="P694" s="270">
        <f t="shared" si="208"/>
        <v>115098.14</v>
      </c>
      <c r="Q694" s="270">
        <f t="shared" si="208"/>
        <v>115098.14</v>
      </c>
      <c r="R694" s="270">
        <f t="shared" si="208"/>
        <v>115098.14</v>
      </c>
      <c r="S694" s="270">
        <f t="shared" si="199"/>
        <v>115098.14</v>
      </c>
      <c r="T694" s="270">
        <f t="shared" si="199"/>
        <v>115098.14</v>
      </c>
      <c r="U694" s="270">
        <f t="shared" si="204"/>
        <v>115098.14</v>
      </c>
      <c r="V694" s="270">
        <f t="shared" si="204"/>
        <v>115098.14</v>
      </c>
      <c r="W694" s="270">
        <f t="shared" si="204"/>
        <v>115098.14</v>
      </c>
      <c r="X694" s="270">
        <f t="shared" si="204"/>
        <v>115098.14</v>
      </c>
      <c r="Y694" s="270">
        <f t="shared" si="204"/>
        <v>115098.14</v>
      </c>
      <c r="Z694" s="270">
        <f t="shared" si="204"/>
        <v>115098.14</v>
      </c>
      <c r="AA694" s="270">
        <f t="shared" si="204"/>
        <v>115098.14</v>
      </c>
      <c r="AB694" s="270">
        <f t="shared" si="204"/>
        <v>115098.14</v>
      </c>
      <c r="AC694" s="270">
        <f t="shared" si="204"/>
        <v>115098.14</v>
      </c>
      <c r="AD694" s="270">
        <f t="shared" si="207"/>
        <v>115098.14</v>
      </c>
      <c r="AE694" s="270">
        <f t="shared" si="207"/>
        <v>115098.14</v>
      </c>
      <c r="AF694" s="270">
        <f t="shared" si="206"/>
        <v>115098.14</v>
      </c>
      <c r="AG694" s="270">
        <f t="shared" si="206"/>
        <v>115098.14</v>
      </c>
      <c r="AH694" s="270">
        <f t="shared" si="206"/>
        <v>115098.14</v>
      </c>
      <c r="AI694" s="270">
        <f t="shared" si="206"/>
        <v>115098.14</v>
      </c>
      <c r="AJ694" s="270">
        <f t="shared" si="206"/>
        <v>115098.14</v>
      </c>
      <c r="AK694" s="270">
        <f t="shared" si="206"/>
        <v>115098.14</v>
      </c>
      <c r="AL694" s="270">
        <f t="shared" si="206"/>
        <v>115098.14</v>
      </c>
      <c r="AM694" s="270">
        <f t="shared" si="206"/>
        <v>115098.14</v>
      </c>
    </row>
    <row r="695" spans="2:39" ht="15.75" thickBot="1" x14ac:dyDescent="0.35">
      <c r="B695" s="56" t="str">
        <f>input_names!$C$3</f>
        <v>diesel</v>
      </c>
      <c r="C695" s="61">
        <v>293</v>
      </c>
      <c r="D695" s="270">
        <f t="shared" si="208"/>
        <v>80759</v>
      </c>
      <c r="E695" s="270">
        <f t="shared" si="208"/>
        <v>89238.18</v>
      </c>
      <c r="F695" s="270">
        <f t="shared" si="208"/>
        <v>92120.320000000007</v>
      </c>
      <c r="G695" s="270">
        <f t="shared" si="208"/>
        <v>92277.4</v>
      </c>
      <c r="H695" s="270">
        <f t="shared" si="208"/>
        <v>90427.760000000009</v>
      </c>
      <c r="I695" s="270">
        <f t="shared" si="208"/>
        <v>91521.9</v>
      </c>
      <c r="J695" s="270">
        <f t="shared" si="208"/>
        <v>81765.440000000002</v>
      </c>
      <c r="K695" s="270">
        <f t="shared" si="208"/>
        <v>86379.06</v>
      </c>
      <c r="L695" s="270">
        <f t="shared" si="208"/>
        <v>90692</v>
      </c>
      <c r="M695" s="270">
        <f t="shared" si="208"/>
        <v>109670.54</v>
      </c>
      <c r="N695" s="270">
        <f t="shared" si="208"/>
        <v>115776.01000000001</v>
      </c>
      <c r="O695" s="270">
        <f t="shared" si="208"/>
        <v>115776.01000000001</v>
      </c>
      <c r="P695" s="270">
        <f t="shared" si="208"/>
        <v>115776.01000000001</v>
      </c>
      <c r="Q695" s="270">
        <f t="shared" si="208"/>
        <v>115776.01000000001</v>
      </c>
      <c r="R695" s="270">
        <f t="shared" si="208"/>
        <v>115776.01000000001</v>
      </c>
      <c r="S695" s="270">
        <f t="shared" si="199"/>
        <v>115776.01000000001</v>
      </c>
      <c r="T695" s="270">
        <f t="shared" si="199"/>
        <v>115776.01000000001</v>
      </c>
      <c r="U695" s="270">
        <f t="shared" si="204"/>
        <v>115776.01000000001</v>
      </c>
      <c r="V695" s="270">
        <f t="shared" si="204"/>
        <v>115776.01000000001</v>
      </c>
      <c r="W695" s="270">
        <f t="shared" si="204"/>
        <v>115776.01000000001</v>
      </c>
      <c r="X695" s="270">
        <f t="shared" si="204"/>
        <v>115776.01000000001</v>
      </c>
      <c r="Y695" s="270">
        <f t="shared" si="204"/>
        <v>115776.01000000001</v>
      </c>
      <c r="Z695" s="270">
        <f t="shared" si="204"/>
        <v>115776.01000000001</v>
      </c>
      <c r="AA695" s="270">
        <f t="shared" si="204"/>
        <v>115776.01000000001</v>
      </c>
      <c r="AB695" s="270">
        <f t="shared" si="204"/>
        <v>115776.01000000001</v>
      </c>
      <c r="AC695" s="270">
        <f t="shared" si="204"/>
        <v>115776.01000000001</v>
      </c>
      <c r="AD695" s="270">
        <f t="shared" si="207"/>
        <v>115776.01000000001</v>
      </c>
      <c r="AE695" s="270">
        <f t="shared" si="207"/>
        <v>115776.01000000001</v>
      </c>
      <c r="AF695" s="270">
        <f t="shared" si="206"/>
        <v>115776.01000000001</v>
      </c>
      <c r="AG695" s="270">
        <f t="shared" si="206"/>
        <v>115776.01000000001</v>
      </c>
      <c r="AH695" s="270">
        <f t="shared" si="206"/>
        <v>115776.01000000001</v>
      </c>
      <c r="AI695" s="270">
        <f t="shared" si="206"/>
        <v>115776.01000000001</v>
      </c>
      <c r="AJ695" s="270">
        <f t="shared" si="206"/>
        <v>115776.01000000001</v>
      </c>
      <c r="AK695" s="270">
        <f t="shared" si="206"/>
        <v>115776.01000000001</v>
      </c>
      <c r="AL695" s="270">
        <f t="shared" si="206"/>
        <v>115776.01000000001</v>
      </c>
      <c r="AM695" s="270">
        <f t="shared" si="206"/>
        <v>115776.01000000001</v>
      </c>
    </row>
    <row r="696" spans="2:39" ht="15.75" thickBot="1" x14ac:dyDescent="0.35">
      <c r="B696" s="56" t="str">
        <f>input_names!$C$3</f>
        <v>diesel</v>
      </c>
      <c r="C696" s="61">
        <v>294</v>
      </c>
      <c r="D696" s="270">
        <f t="shared" si="208"/>
        <v>81279</v>
      </c>
      <c r="E696" s="270">
        <f t="shared" si="208"/>
        <v>89800.61</v>
      </c>
      <c r="F696" s="270">
        <f t="shared" si="208"/>
        <v>92679.01</v>
      </c>
      <c r="G696" s="270">
        <f t="shared" si="208"/>
        <v>92819.78</v>
      </c>
      <c r="H696" s="270">
        <f t="shared" si="208"/>
        <v>90944.19</v>
      </c>
      <c r="I696" s="270">
        <f t="shared" si="208"/>
        <v>92029.75</v>
      </c>
      <c r="J696" s="270">
        <f t="shared" si="208"/>
        <v>82281.03</v>
      </c>
      <c r="K696" s="270">
        <f t="shared" si="208"/>
        <v>86913.73</v>
      </c>
      <c r="L696" s="270">
        <f t="shared" si="208"/>
        <v>91234.3</v>
      </c>
      <c r="M696" s="270">
        <f t="shared" si="208"/>
        <v>110325.61</v>
      </c>
      <c r="N696" s="270">
        <f t="shared" si="208"/>
        <v>116453.88</v>
      </c>
      <c r="O696" s="270">
        <f t="shared" si="208"/>
        <v>116453.88</v>
      </c>
      <c r="P696" s="270">
        <f t="shared" si="208"/>
        <v>116453.88</v>
      </c>
      <c r="Q696" s="270">
        <f t="shared" si="208"/>
        <v>116453.88</v>
      </c>
      <c r="R696" s="270">
        <f t="shared" si="208"/>
        <v>116453.88</v>
      </c>
      <c r="S696" s="270">
        <f t="shared" si="199"/>
        <v>116453.88</v>
      </c>
      <c r="T696" s="270">
        <f t="shared" si="199"/>
        <v>116453.88</v>
      </c>
      <c r="U696" s="270">
        <f t="shared" si="204"/>
        <v>116453.88</v>
      </c>
      <c r="V696" s="270">
        <f t="shared" si="204"/>
        <v>116453.88</v>
      </c>
      <c r="W696" s="270">
        <f t="shared" si="204"/>
        <v>116453.88</v>
      </c>
      <c r="X696" s="270">
        <f t="shared" si="204"/>
        <v>116453.88</v>
      </c>
      <c r="Y696" s="270">
        <f t="shared" si="204"/>
        <v>116453.88</v>
      </c>
      <c r="Z696" s="270">
        <f t="shared" si="204"/>
        <v>116453.88</v>
      </c>
      <c r="AA696" s="270">
        <f t="shared" si="204"/>
        <v>116453.88</v>
      </c>
      <c r="AB696" s="270">
        <f t="shared" si="204"/>
        <v>116453.88</v>
      </c>
      <c r="AC696" s="270">
        <f t="shared" si="204"/>
        <v>116453.88</v>
      </c>
      <c r="AD696" s="270">
        <f t="shared" si="207"/>
        <v>116453.88</v>
      </c>
      <c r="AE696" s="270">
        <f t="shared" si="207"/>
        <v>116453.88</v>
      </c>
      <c r="AF696" s="270">
        <f t="shared" si="206"/>
        <v>116453.88</v>
      </c>
      <c r="AG696" s="270">
        <f t="shared" si="206"/>
        <v>116453.88</v>
      </c>
      <c r="AH696" s="270">
        <f t="shared" si="206"/>
        <v>116453.88</v>
      </c>
      <c r="AI696" s="270">
        <f t="shared" si="206"/>
        <v>116453.88</v>
      </c>
      <c r="AJ696" s="270">
        <f t="shared" si="206"/>
        <v>116453.88</v>
      </c>
      <c r="AK696" s="270">
        <f t="shared" si="206"/>
        <v>116453.88</v>
      </c>
      <c r="AL696" s="270">
        <f t="shared" si="206"/>
        <v>116453.88</v>
      </c>
      <c r="AM696" s="270">
        <f t="shared" si="206"/>
        <v>116453.88</v>
      </c>
    </row>
    <row r="697" spans="2:39" ht="15.75" thickBot="1" x14ac:dyDescent="0.35">
      <c r="B697" s="56" t="str">
        <f>input_names!$C$3</f>
        <v>diesel</v>
      </c>
      <c r="C697" s="61">
        <v>295</v>
      </c>
      <c r="D697" s="270">
        <f t="shared" si="208"/>
        <v>81799</v>
      </c>
      <c r="E697" s="270">
        <f t="shared" si="208"/>
        <v>90363.040000000008</v>
      </c>
      <c r="F697" s="270">
        <f t="shared" si="208"/>
        <v>93237.7</v>
      </c>
      <c r="G697" s="270">
        <f t="shared" si="208"/>
        <v>93362.16</v>
      </c>
      <c r="H697" s="270">
        <f t="shared" si="208"/>
        <v>91460.62</v>
      </c>
      <c r="I697" s="270">
        <f t="shared" si="208"/>
        <v>92537.600000000006</v>
      </c>
      <c r="J697" s="270">
        <f t="shared" si="208"/>
        <v>82796.62</v>
      </c>
      <c r="K697" s="270">
        <f t="shared" si="208"/>
        <v>87448.4</v>
      </c>
      <c r="L697" s="270">
        <f t="shared" si="208"/>
        <v>91776.6</v>
      </c>
      <c r="M697" s="270">
        <f t="shared" si="208"/>
        <v>110980.68</v>
      </c>
      <c r="N697" s="270">
        <f t="shared" si="208"/>
        <v>117131.75</v>
      </c>
      <c r="O697" s="270">
        <f t="shared" si="208"/>
        <v>117131.75</v>
      </c>
      <c r="P697" s="270">
        <f t="shared" si="208"/>
        <v>117131.75</v>
      </c>
      <c r="Q697" s="270">
        <f t="shared" si="208"/>
        <v>117131.75</v>
      </c>
      <c r="R697" s="270">
        <f t="shared" si="208"/>
        <v>117131.75</v>
      </c>
      <c r="S697" s="270">
        <f t="shared" si="199"/>
        <v>117131.75</v>
      </c>
      <c r="T697" s="270">
        <f t="shared" si="199"/>
        <v>117131.75</v>
      </c>
      <c r="U697" s="270">
        <f t="shared" si="204"/>
        <v>117131.75</v>
      </c>
      <c r="V697" s="270">
        <f t="shared" si="204"/>
        <v>117131.75</v>
      </c>
      <c r="W697" s="270">
        <f t="shared" si="204"/>
        <v>117131.75</v>
      </c>
      <c r="X697" s="270">
        <f t="shared" si="204"/>
        <v>117131.75</v>
      </c>
      <c r="Y697" s="270">
        <f t="shared" si="204"/>
        <v>117131.75</v>
      </c>
      <c r="Z697" s="270">
        <f t="shared" si="204"/>
        <v>117131.75</v>
      </c>
      <c r="AA697" s="270">
        <f t="shared" si="204"/>
        <v>117131.75</v>
      </c>
      <c r="AB697" s="270">
        <f t="shared" si="204"/>
        <v>117131.75</v>
      </c>
      <c r="AC697" s="270">
        <f t="shared" ref="U697:AC726" si="209">+MIN(MAX(0,$C697-AC$11),AC$12-AC$11)*AC$17
+MIN(MAX(0,$C697-AC$12),AC$13-AC$12)*AC$18
+MIN(MAX(0,$C697-AC$13),AC$14-AC$13)*AC$19
+MIN(MAX(0,$C697-AC$14),AC$15-AC$14)*AC$20
+MAX(0,$C697-AC$15)*AC$21
+AC$24*MAX(0,$C697-AC$23)
+AC$26</f>
        <v>117131.75</v>
      </c>
      <c r="AD697" s="270">
        <f t="shared" si="207"/>
        <v>117131.75</v>
      </c>
      <c r="AE697" s="270">
        <f t="shared" si="207"/>
        <v>117131.75</v>
      </c>
      <c r="AF697" s="270">
        <f t="shared" si="206"/>
        <v>117131.75</v>
      </c>
      <c r="AG697" s="270">
        <f t="shared" si="206"/>
        <v>117131.75</v>
      </c>
      <c r="AH697" s="270">
        <f t="shared" si="206"/>
        <v>117131.75</v>
      </c>
      <c r="AI697" s="270">
        <f t="shared" si="206"/>
        <v>117131.75</v>
      </c>
      <c r="AJ697" s="270">
        <f t="shared" si="206"/>
        <v>117131.75</v>
      </c>
      <c r="AK697" s="270">
        <f t="shared" si="206"/>
        <v>117131.75</v>
      </c>
      <c r="AL697" s="270">
        <f t="shared" si="206"/>
        <v>117131.75</v>
      </c>
      <c r="AM697" s="270">
        <f t="shared" si="206"/>
        <v>117131.75</v>
      </c>
    </row>
    <row r="698" spans="2:39" ht="15.75" thickBot="1" x14ac:dyDescent="0.35">
      <c r="B698" s="56" t="str">
        <f>input_names!$C$3</f>
        <v>diesel</v>
      </c>
      <c r="C698" s="61">
        <v>296</v>
      </c>
      <c r="D698" s="270">
        <f t="shared" si="208"/>
        <v>82319</v>
      </c>
      <c r="E698" s="270">
        <f t="shared" si="208"/>
        <v>90925.47</v>
      </c>
      <c r="F698" s="270">
        <f t="shared" si="208"/>
        <v>93796.39</v>
      </c>
      <c r="G698" s="270">
        <f t="shared" si="208"/>
        <v>93904.54</v>
      </c>
      <c r="H698" s="270">
        <f t="shared" si="208"/>
        <v>91977.05</v>
      </c>
      <c r="I698" s="270">
        <f t="shared" si="208"/>
        <v>93045.45</v>
      </c>
      <c r="J698" s="270">
        <f t="shared" si="208"/>
        <v>83312.209999999992</v>
      </c>
      <c r="K698" s="270">
        <f t="shared" si="208"/>
        <v>87983.07</v>
      </c>
      <c r="L698" s="270">
        <f t="shared" si="208"/>
        <v>92318.9</v>
      </c>
      <c r="M698" s="270">
        <f t="shared" si="208"/>
        <v>111635.75</v>
      </c>
      <c r="N698" s="270">
        <f t="shared" si="208"/>
        <v>117809.62</v>
      </c>
      <c r="O698" s="270">
        <f t="shared" si="208"/>
        <v>117809.62</v>
      </c>
      <c r="P698" s="270">
        <f t="shared" si="208"/>
        <v>117809.62</v>
      </c>
      <c r="Q698" s="270">
        <f t="shared" si="208"/>
        <v>117809.62</v>
      </c>
      <c r="R698" s="270">
        <f t="shared" si="208"/>
        <v>117809.62</v>
      </c>
      <c r="S698" s="270">
        <f t="shared" si="199"/>
        <v>117809.62</v>
      </c>
      <c r="T698" s="270">
        <f t="shared" si="199"/>
        <v>117809.62</v>
      </c>
      <c r="U698" s="270">
        <f t="shared" si="209"/>
        <v>117809.62</v>
      </c>
      <c r="V698" s="270">
        <f t="shared" si="209"/>
        <v>117809.62</v>
      </c>
      <c r="W698" s="270">
        <f t="shared" si="209"/>
        <v>117809.62</v>
      </c>
      <c r="X698" s="270">
        <f t="shared" si="209"/>
        <v>117809.62</v>
      </c>
      <c r="Y698" s="270">
        <f t="shared" si="209"/>
        <v>117809.62</v>
      </c>
      <c r="Z698" s="270">
        <f t="shared" si="209"/>
        <v>117809.62</v>
      </c>
      <c r="AA698" s="270">
        <f t="shared" si="209"/>
        <v>117809.62</v>
      </c>
      <c r="AB698" s="270">
        <f t="shared" si="209"/>
        <v>117809.62</v>
      </c>
      <c r="AC698" s="270">
        <f t="shared" si="209"/>
        <v>117809.62</v>
      </c>
      <c r="AD698" s="270">
        <f t="shared" si="207"/>
        <v>117809.62</v>
      </c>
      <c r="AE698" s="270">
        <f t="shared" si="207"/>
        <v>117809.62</v>
      </c>
      <c r="AF698" s="270">
        <f t="shared" si="206"/>
        <v>117809.62</v>
      </c>
      <c r="AG698" s="270">
        <f t="shared" si="206"/>
        <v>117809.62</v>
      </c>
      <c r="AH698" s="270">
        <f t="shared" si="206"/>
        <v>117809.62</v>
      </c>
      <c r="AI698" s="270">
        <f t="shared" si="206"/>
        <v>117809.62</v>
      </c>
      <c r="AJ698" s="270">
        <f t="shared" si="206"/>
        <v>117809.62</v>
      </c>
      <c r="AK698" s="270">
        <f t="shared" si="206"/>
        <v>117809.62</v>
      </c>
      <c r="AL698" s="270">
        <f t="shared" si="206"/>
        <v>117809.62</v>
      </c>
      <c r="AM698" s="270">
        <f t="shared" si="206"/>
        <v>117809.62</v>
      </c>
    </row>
    <row r="699" spans="2:39" ht="15.75" thickBot="1" x14ac:dyDescent="0.35">
      <c r="B699" s="56" t="str">
        <f>input_names!$C$3</f>
        <v>diesel</v>
      </c>
      <c r="C699" s="61">
        <v>297</v>
      </c>
      <c r="D699" s="270">
        <f t="shared" si="208"/>
        <v>82839</v>
      </c>
      <c r="E699" s="270">
        <f t="shared" si="208"/>
        <v>91487.9</v>
      </c>
      <c r="F699" s="270">
        <f t="shared" si="208"/>
        <v>94355.08</v>
      </c>
      <c r="G699" s="270">
        <f t="shared" si="208"/>
        <v>94446.92</v>
      </c>
      <c r="H699" s="270">
        <f t="shared" si="208"/>
        <v>92493.48000000001</v>
      </c>
      <c r="I699" s="270">
        <f t="shared" si="208"/>
        <v>93553.3</v>
      </c>
      <c r="J699" s="270">
        <f t="shared" si="208"/>
        <v>83827.8</v>
      </c>
      <c r="K699" s="270">
        <f t="shared" si="208"/>
        <v>88517.74</v>
      </c>
      <c r="L699" s="270">
        <f t="shared" si="208"/>
        <v>92861.2</v>
      </c>
      <c r="M699" s="270">
        <f t="shared" si="208"/>
        <v>112290.82</v>
      </c>
      <c r="N699" s="270">
        <f t="shared" si="208"/>
        <v>118487.49</v>
      </c>
      <c r="O699" s="270">
        <f t="shared" si="208"/>
        <v>118487.49</v>
      </c>
      <c r="P699" s="270">
        <f t="shared" si="208"/>
        <v>118487.49</v>
      </c>
      <c r="Q699" s="270">
        <f t="shared" si="208"/>
        <v>118487.49</v>
      </c>
      <c r="R699" s="270">
        <f t="shared" si="208"/>
        <v>118487.49</v>
      </c>
      <c r="S699" s="270">
        <f t="shared" si="199"/>
        <v>118487.49</v>
      </c>
      <c r="T699" s="270">
        <f t="shared" si="199"/>
        <v>118487.49</v>
      </c>
      <c r="U699" s="270">
        <f t="shared" si="209"/>
        <v>118487.49</v>
      </c>
      <c r="V699" s="270">
        <f t="shared" si="209"/>
        <v>118487.49</v>
      </c>
      <c r="W699" s="270">
        <f t="shared" si="209"/>
        <v>118487.49</v>
      </c>
      <c r="X699" s="270">
        <f t="shared" si="209"/>
        <v>118487.49</v>
      </c>
      <c r="Y699" s="270">
        <f t="shared" si="209"/>
        <v>118487.49</v>
      </c>
      <c r="Z699" s="270">
        <f t="shared" si="209"/>
        <v>118487.49</v>
      </c>
      <c r="AA699" s="270">
        <f t="shared" si="209"/>
        <v>118487.49</v>
      </c>
      <c r="AB699" s="270">
        <f t="shared" si="209"/>
        <v>118487.49</v>
      </c>
      <c r="AC699" s="270">
        <f t="shared" si="209"/>
        <v>118487.49</v>
      </c>
      <c r="AD699" s="270">
        <f t="shared" si="207"/>
        <v>118487.49</v>
      </c>
      <c r="AE699" s="270">
        <f t="shared" si="207"/>
        <v>118487.49</v>
      </c>
      <c r="AF699" s="270">
        <f t="shared" si="206"/>
        <v>118487.49</v>
      </c>
      <c r="AG699" s="270">
        <f t="shared" si="206"/>
        <v>118487.49</v>
      </c>
      <c r="AH699" s="270">
        <f t="shared" si="206"/>
        <v>118487.49</v>
      </c>
      <c r="AI699" s="270">
        <f t="shared" si="206"/>
        <v>118487.49</v>
      </c>
      <c r="AJ699" s="270">
        <f t="shared" si="206"/>
        <v>118487.49</v>
      </c>
      <c r="AK699" s="270">
        <f t="shared" si="206"/>
        <v>118487.49</v>
      </c>
      <c r="AL699" s="270">
        <f t="shared" si="206"/>
        <v>118487.49</v>
      </c>
      <c r="AM699" s="270">
        <f t="shared" si="206"/>
        <v>118487.49</v>
      </c>
    </row>
    <row r="700" spans="2:39" ht="15.75" thickBot="1" x14ac:dyDescent="0.35">
      <c r="B700" s="56" t="str">
        <f>input_names!$C$3</f>
        <v>diesel</v>
      </c>
      <c r="C700" s="61">
        <v>298</v>
      </c>
      <c r="D700" s="270">
        <f t="shared" si="208"/>
        <v>83359</v>
      </c>
      <c r="E700" s="270">
        <f t="shared" si="208"/>
        <v>92050.33</v>
      </c>
      <c r="F700" s="270">
        <f t="shared" si="208"/>
        <v>94913.77</v>
      </c>
      <c r="G700" s="270">
        <f t="shared" si="208"/>
        <v>94989.3</v>
      </c>
      <c r="H700" s="270">
        <f t="shared" si="208"/>
        <v>93009.91</v>
      </c>
      <c r="I700" s="270">
        <f t="shared" si="208"/>
        <v>94061.15</v>
      </c>
      <c r="J700" s="270">
        <f t="shared" si="208"/>
        <v>84343.39</v>
      </c>
      <c r="K700" s="270">
        <f t="shared" si="208"/>
        <v>89052.41</v>
      </c>
      <c r="L700" s="270">
        <f t="shared" si="208"/>
        <v>93403.5</v>
      </c>
      <c r="M700" s="270">
        <f t="shared" si="208"/>
        <v>112945.89</v>
      </c>
      <c r="N700" s="270">
        <f t="shared" si="208"/>
        <v>119165.36</v>
      </c>
      <c r="O700" s="270">
        <f t="shared" si="208"/>
        <v>119165.36</v>
      </c>
      <c r="P700" s="270">
        <f t="shared" si="208"/>
        <v>119165.36</v>
      </c>
      <c r="Q700" s="270">
        <f t="shared" si="208"/>
        <v>119165.36</v>
      </c>
      <c r="R700" s="270">
        <f t="shared" si="208"/>
        <v>119165.36</v>
      </c>
      <c r="S700" s="270">
        <f t="shared" si="199"/>
        <v>119165.36</v>
      </c>
      <c r="T700" s="270">
        <f t="shared" si="199"/>
        <v>119165.36</v>
      </c>
      <c r="U700" s="270">
        <f t="shared" si="209"/>
        <v>119165.36</v>
      </c>
      <c r="V700" s="270">
        <f t="shared" si="209"/>
        <v>119165.36</v>
      </c>
      <c r="W700" s="270">
        <f t="shared" si="209"/>
        <v>119165.36</v>
      </c>
      <c r="X700" s="270">
        <f t="shared" si="209"/>
        <v>119165.36</v>
      </c>
      <c r="Y700" s="270">
        <f t="shared" si="209"/>
        <v>119165.36</v>
      </c>
      <c r="Z700" s="270">
        <f t="shared" si="209"/>
        <v>119165.36</v>
      </c>
      <c r="AA700" s="270">
        <f t="shared" si="209"/>
        <v>119165.36</v>
      </c>
      <c r="AB700" s="270">
        <f t="shared" si="209"/>
        <v>119165.36</v>
      </c>
      <c r="AC700" s="270">
        <f t="shared" si="209"/>
        <v>119165.36</v>
      </c>
      <c r="AD700" s="270">
        <f t="shared" si="207"/>
        <v>119165.36</v>
      </c>
      <c r="AE700" s="270">
        <f t="shared" si="207"/>
        <v>119165.36</v>
      </c>
      <c r="AF700" s="270">
        <f t="shared" si="206"/>
        <v>119165.36</v>
      </c>
      <c r="AG700" s="270">
        <f t="shared" si="206"/>
        <v>119165.36</v>
      </c>
      <c r="AH700" s="270">
        <f t="shared" si="206"/>
        <v>119165.36</v>
      </c>
      <c r="AI700" s="270">
        <f t="shared" si="206"/>
        <v>119165.36</v>
      </c>
      <c r="AJ700" s="270">
        <f t="shared" si="206"/>
        <v>119165.36</v>
      </c>
      <c r="AK700" s="270">
        <f t="shared" si="206"/>
        <v>119165.36</v>
      </c>
      <c r="AL700" s="270">
        <f t="shared" si="206"/>
        <v>119165.36</v>
      </c>
      <c r="AM700" s="270">
        <f t="shared" si="206"/>
        <v>119165.36</v>
      </c>
    </row>
    <row r="701" spans="2:39" ht="15.75" thickBot="1" x14ac:dyDescent="0.35">
      <c r="B701" s="56" t="str">
        <f>input_names!$C$3</f>
        <v>diesel</v>
      </c>
      <c r="C701" s="61">
        <v>299</v>
      </c>
      <c r="D701" s="270">
        <f t="shared" si="208"/>
        <v>83879</v>
      </c>
      <c r="E701" s="270">
        <f t="shared" si="208"/>
        <v>92612.760000000009</v>
      </c>
      <c r="F701" s="270">
        <f t="shared" si="208"/>
        <v>95472.459999999992</v>
      </c>
      <c r="G701" s="270">
        <f t="shared" si="208"/>
        <v>95531.68</v>
      </c>
      <c r="H701" s="270">
        <f t="shared" si="208"/>
        <v>93526.34</v>
      </c>
      <c r="I701" s="270">
        <f t="shared" si="208"/>
        <v>94569</v>
      </c>
      <c r="J701" s="270">
        <f t="shared" si="208"/>
        <v>84858.98</v>
      </c>
      <c r="K701" s="270">
        <f t="shared" si="208"/>
        <v>89587.08</v>
      </c>
      <c r="L701" s="270">
        <f t="shared" si="208"/>
        <v>93945.8</v>
      </c>
      <c r="M701" s="270">
        <f t="shared" si="208"/>
        <v>113600.95999999999</v>
      </c>
      <c r="N701" s="270">
        <f t="shared" si="208"/>
        <v>119843.23</v>
      </c>
      <c r="O701" s="270">
        <f t="shared" si="208"/>
        <v>119843.23</v>
      </c>
      <c r="P701" s="270">
        <f t="shared" si="208"/>
        <v>119843.23</v>
      </c>
      <c r="Q701" s="270">
        <f t="shared" si="208"/>
        <v>119843.23</v>
      </c>
      <c r="R701" s="270">
        <f t="shared" si="208"/>
        <v>119843.23</v>
      </c>
      <c r="S701" s="270">
        <f t="shared" si="199"/>
        <v>119843.23</v>
      </c>
      <c r="T701" s="270">
        <f t="shared" si="199"/>
        <v>119843.23</v>
      </c>
      <c r="U701" s="270">
        <f t="shared" si="209"/>
        <v>119843.23</v>
      </c>
      <c r="V701" s="270">
        <f t="shared" si="209"/>
        <v>119843.23</v>
      </c>
      <c r="W701" s="270">
        <f t="shared" si="209"/>
        <v>119843.23</v>
      </c>
      <c r="X701" s="270">
        <f t="shared" si="209"/>
        <v>119843.23</v>
      </c>
      <c r="Y701" s="270">
        <f t="shared" si="209"/>
        <v>119843.23</v>
      </c>
      <c r="Z701" s="270">
        <f t="shared" si="209"/>
        <v>119843.23</v>
      </c>
      <c r="AA701" s="270">
        <f t="shared" si="209"/>
        <v>119843.23</v>
      </c>
      <c r="AB701" s="270">
        <f t="shared" si="209"/>
        <v>119843.23</v>
      </c>
      <c r="AC701" s="270">
        <f t="shared" si="209"/>
        <v>119843.23</v>
      </c>
      <c r="AD701" s="270">
        <f t="shared" si="207"/>
        <v>119843.23</v>
      </c>
      <c r="AE701" s="270">
        <f t="shared" si="207"/>
        <v>119843.23</v>
      </c>
      <c r="AF701" s="270">
        <f t="shared" si="206"/>
        <v>119843.23</v>
      </c>
      <c r="AG701" s="270">
        <f t="shared" si="206"/>
        <v>119843.23</v>
      </c>
      <c r="AH701" s="270">
        <f t="shared" si="206"/>
        <v>119843.23</v>
      </c>
      <c r="AI701" s="270">
        <f t="shared" si="206"/>
        <v>119843.23</v>
      </c>
      <c r="AJ701" s="270">
        <f t="shared" si="206"/>
        <v>119843.23</v>
      </c>
      <c r="AK701" s="270">
        <f t="shared" si="206"/>
        <v>119843.23</v>
      </c>
      <c r="AL701" s="270">
        <f t="shared" si="206"/>
        <v>119843.23</v>
      </c>
      <c r="AM701" s="270">
        <f t="shared" si="206"/>
        <v>119843.23</v>
      </c>
    </row>
    <row r="702" spans="2:39" ht="15.75" thickBot="1" x14ac:dyDescent="0.35">
      <c r="B702" s="56" t="str">
        <f>input_names!$C$3</f>
        <v>diesel</v>
      </c>
      <c r="C702" s="61">
        <v>300</v>
      </c>
      <c r="D702" s="270">
        <f t="shared" si="208"/>
        <v>84399</v>
      </c>
      <c r="E702" s="270">
        <f t="shared" si="208"/>
        <v>93175.19</v>
      </c>
      <c r="F702" s="270">
        <f t="shared" si="208"/>
        <v>96031.15</v>
      </c>
      <c r="G702" s="270">
        <f t="shared" si="208"/>
        <v>96074.06</v>
      </c>
      <c r="H702" s="270">
        <f t="shared" si="208"/>
        <v>94042.77</v>
      </c>
      <c r="I702" s="270">
        <f t="shared" si="208"/>
        <v>95076.85</v>
      </c>
      <c r="J702" s="270">
        <f t="shared" si="208"/>
        <v>85374.57</v>
      </c>
      <c r="K702" s="270">
        <f t="shared" si="208"/>
        <v>90121.75</v>
      </c>
      <c r="L702" s="270">
        <f t="shared" si="208"/>
        <v>94488.1</v>
      </c>
      <c r="M702" s="270">
        <f t="shared" si="208"/>
        <v>114256.03</v>
      </c>
      <c r="N702" s="270">
        <f t="shared" si="208"/>
        <v>120521.1</v>
      </c>
      <c r="O702" s="270">
        <f t="shared" si="208"/>
        <v>120521.1</v>
      </c>
      <c r="P702" s="270">
        <f t="shared" si="208"/>
        <v>120521.1</v>
      </c>
      <c r="Q702" s="270">
        <f t="shared" si="208"/>
        <v>120521.1</v>
      </c>
      <c r="R702" s="270">
        <f t="shared" si="208"/>
        <v>120521.1</v>
      </c>
      <c r="S702" s="270">
        <f t="shared" si="199"/>
        <v>120521.1</v>
      </c>
      <c r="T702" s="270">
        <f t="shared" si="199"/>
        <v>120521.1</v>
      </c>
      <c r="U702" s="270">
        <f t="shared" si="209"/>
        <v>120521.1</v>
      </c>
      <c r="V702" s="270">
        <f t="shared" si="209"/>
        <v>120521.1</v>
      </c>
      <c r="W702" s="270">
        <f t="shared" si="209"/>
        <v>120521.1</v>
      </c>
      <c r="X702" s="270">
        <f t="shared" si="209"/>
        <v>120521.1</v>
      </c>
      <c r="Y702" s="270">
        <f t="shared" si="209"/>
        <v>120521.1</v>
      </c>
      <c r="Z702" s="270">
        <f t="shared" si="209"/>
        <v>120521.1</v>
      </c>
      <c r="AA702" s="270">
        <f t="shared" si="209"/>
        <v>120521.1</v>
      </c>
      <c r="AB702" s="270">
        <f t="shared" si="209"/>
        <v>120521.1</v>
      </c>
      <c r="AC702" s="270">
        <f t="shared" si="209"/>
        <v>120521.1</v>
      </c>
      <c r="AD702" s="270">
        <f t="shared" si="207"/>
        <v>120521.1</v>
      </c>
      <c r="AE702" s="270">
        <f t="shared" si="207"/>
        <v>120521.1</v>
      </c>
      <c r="AF702" s="270">
        <f t="shared" si="206"/>
        <v>120521.1</v>
      </c>
      <c r="AG702" s="270">
        <f t="shared" si="206"/>
        <v>120521.1</v>
      </c>
      <c r="AH702" s="270">
        <f t="shared" si="206"/>
        <v>120521.1</v>
      </c>
      <c r="AI702" s="270">
        <f t="shared" si="206"/>
        <v>120521.1</v>
      </c>
      <c r="AJ702" s="270">
        <f t="shared" si="206"/>
        <v>120521.1</v>
      </c>
      <c r="AK702" s="270">
        <f t="shared" si="206"/>
        <v>120521.1</v>
      </c>
      <c r="AL702" s="270">
        <f t="shared" si="206"/>
        <v>120521.1</v>
      </c>
      <c r="AM702" s="270">
        <f t="shared" si="206"/>
        <v>120521.1</v>
      </c>
    </row>
    <row r="703" spans="2:39" ht="15.75" thickBot="1" x14ac:dyDescent="0.35">
      <c r="B703" s="56" t="str">
        <f>input_names!$C$3</f>
        <v>diesel</v>
      </c>
      <c r="C703" s="61">
        <v>301</v>
      </c>
      <c r="D703" s="270">
        <f t="shared" si="208"/>
        <v>84919</v>
      </c>
      <c r="E703" s="270">
        <f t="shared" si="208"/>
        <v>93737.62</v>
      </c>
      <c r="F703" s="270">
        <f t="shared" si="208"/>
        <v>96589.84</v>
      </c>
      <c r="G703" s="270">
        <f t="shared" si="208"/>
        <v>96616.44</v>
      </c>
      <c r="H703" s="270">
        <f t="shared" si="208"/>
        <v>94559.2</v>
      </c>
      <c r="I703" s="270">
        <f t="shared" si="208"/>
        <v>95584.7</v>
      </c>
      <c r="J703" s="270">
        <f t="shared" si="208"/>
        <v>85890.16</v>
      </c>
      <c r="K703" s="270">
        <f t="shared" si="208"/>
        <v>90656.42</v>
      </c>
      <c r="L703" s="270">
        <f t="shared" si="208"/>
        <v>95030.399999999994</v>
      </c>
      <c r="M703" s="270">
        <f t="shared" si="208"/>
        <v>114911.1</v>
      </c>
      <c r="N703" s="270">
        <f t="shared" si="208"/>
        <v>121198.97</v>
      </c>
      <c r="O703" s="270">
        <f t="shared" si="208"/>
        <v>121198.97</v>
      </c>
      <c r="P703" s="270">
        <f t="shared" si="208"/>
        <v>121198.97</v>
      </c>
      <c r="Q703" s="270">
        <f t="shared" si="208"/>
        <v>121198.97</v>
      </c>
      <c r="R703" s="270">
        <f t="shared" si="208"/>
        <v>121198.97</v>
      </c>
      <c r="S703" s="270">
        <f t="shared" si="199"/>
        <v>121198.97</v>
      </c>
      <c r="T703" s="270">
        <f t="shared" si="199"/>
        <v>121198.97</v>
      </c>
      <c r="U703" s="270">
        <f t="shared" si="209"/>
        <v>121198.97</v>
      </c>
      <c r="V703" s="270">
        <f t="shared" si="209"/>
        <v>121198.97</v>
      </c>
      <c r="W703" s="270">
        <f t="shared" si="209"/>
        <v>121198.97</v>
      </c>
      <c r="X703" s="270">
        <f t="shared" si="209"/>
        <v>121198.97</v>
      </c>
      <c r="Y703" s="270">
        <f t="shared" si="209"/>
        <v>121198.97</v>
      </c>
      <c r="Z703" s="270">
        <f t="shared" si="209"/>
        <v>121198.97</v>
      </c>
      <c r="AA703" s="270">
        <f t="shared" si="209"/>
        <v>121198.97</v>
      </c>
      <c r="AB703" s="270">
        <f t="shared" si="209"/>
        <v>121198.97</v>
      </c>
      <c r="AC703" s="270">
        <f t="shared" si="209"/>
        <v>121198.97</v>
      </c>
      <c r="AD703" s="270">
        <f t="shared" si="207"/>
        <v>121198.97</v>
      </c>
      <c r="AE703" s="270">
        <f t="shared" si="207"/>
        <v>121198.97</v>
      </c>
      <c r="AF703" s="270">
        <f t="shared" si="206"/>
        <v>121198.97</v>
      </c>
      <c r="AG703" s="270">
        <f t="shared" si="206"/>
        <v>121198.97</v>
      </c>
      <c r="AH703" s="270">
        <f t="shared" si="206"/>
        <v>121198.97</v>
      </c>
      <c r="AI703" s="270">
        <f t="shared" si="206"/>
        <v>121198.97</v>
      </c>
      <c r="AJ703" s="270">
        <f t="shared" si="206"/>
        <v>121198.97</v>
      </c>
      <c r="AK703" s="270">
        <f t="shared" si="206"/>
        <v>121198.97</v>
      </c>
      <c r="AL703" s="270">
        <f t="shared" si="206"/>
        <v>121198.97</v>
      </c>
      <c r="AM703" s="270">
        <f t="shared" si="206"/>
        <v>121198.97</v>
      </c>
    </row>
    <row r="704" spans="2:39" ht="15.75" thickBot="1" x14ac:dyDescent="0.35">
      <c r="B704" s="56" t="str">
        <f>input_names!$C$3</f>
        <v>diesel</v>
      </c>
      <c r="C704" s="61">
        <v>302</v>
      </c>
      <c r="D704" s="270">
        <f t="shared" si="208"/>
        <v>85439</v>
      </c>
      <c r="E704" s="270">
        <f t="shared" si="208"/>
        <v>94300.05</v>
      </c>
      <c r="F704" s="270">
        <f t="shared" si="208"/>
        <v>97148.53</v>
      </c>
      <c r="G704" s="270">
        <f t="shared" si="208"/>
        <v>97158.82</v>
      </c>
      <c r="H704" s="270">
        <f t="shared" si="208"/>
        <v>95075.63</v>
      </c>
      <c r="I704" s="270">
        <f t="shared" si="208"/>
        <v>96092.55</v>
      </c>
      <c r="J704" s="270">
        <f t="shared" si="208"/>
        <v>86405.75</v>
      </c>
      <c r="K704" s="270">
        <f t="shared" si="208"/>
        <v>91191.09</v>
      </c>
      <c r="L704" s="270">
        <f t="shared" si="208"/>
        <v>95572.7</v>
      </c>
      <c r="M704" s="270">
        <f t="shared" si="208"/>
        <v>115566.17</v>
      </c>
      <c r="N704" s="270">
        <f t="shared" si="208"/>
        <v>121876.84</v>
      </c>
      <c r="O704" s="270">
        <f t="shared" si="208"/>
        <v>121876.84</v>
      </c>
      <c r="P704" s="270">
        <f t="shared" si="208"/>
        <v>121876.84</v>
      </c>
      <c r="Q704" s="270">
        <f t="shared" si="208"/>
        <v>121876.84</v>
      </c>
      <c r="R704" s="270">
        <f t="shared" si="208"/>
        <v>121876.84</v>
      </c>
      <c r="S704" s="270">
        <f t="shared" si="199"/>
        <v>121876.84</v>
      </c>
      <c r="T704" s="270">
        <f t="shared" si="199"/>
        <v>121876.84</v>
      </c>
      <c r="U704" s="270">
        <f t="shared" si="209"/>
        <v>121876.84</v>
      </c>
      <c r="V704" s="270">
        <f t="shared" si="209"/>
        <v>121876.84</v>
      </c>
      <c r="W704" s="270">
        <f t="shared" si="209"/>
        <v>121876.84</v>
      </c>
      <c r="X704" s="270">
        <f t="shared" si="209"/>
        <v>121876.84</v>
      </c>
      <c r="Y704" s="270">
        <f t="shared" si="209"/>
        <v>121876.84</v>
      </c>
      <c r="Z704" s="270">
        <f t="shared" si="209"/>
        <v>121876.84</v>
      </c>
      <c r="AA704" s="270">
        <f t="shared" si="209"/>
        <v>121876.84</v>
      </c>
      <c r="AB704" s="270">
        <f t="shared" si="209"/>
        <v>121876.84</v>
      </c>
      <c r="AC704" s="270">
        <f t="shared" si="209"/>
        <v>121876.84</v>
      </c>
      <c r="AD704" s="270">
        <f t="shared" si="207"/>
        <v>121876.84</v>
      </c>
      <c r="AE704" s="270">
        <f t="shared" si="207"/>
        <v>121876.84</v>
      </c>
      <c r="AF704" s="270">
        <f t="shared" si="206"/>
        <v>121876.84</v>
      </c>
      <c r="AG704" s="270">
        <f t="shared" si="206"/>
        <v>121876.84</v>
      </c>
      <c r="AH704" s="270">
        <f t="shared" si="206"/>
        <v>121876.84</v>
      </c>
      <c r="AI704" s="270">
        <f t="shared" si="206"/>
        <v>121876.84</v>
      </c>
      <c r="AJ704" s="270">
        <f t="shared" si="206"/>
        <v>121876.84</v>
      </c>
      <c r="AK704" s="270">
        <f t="shared" si="206"/>
        <v>121876.84</v>
      </c>
      <c r="AL704" s="270">
        <f t="shared" si="206"/>
        <v>121876.84</v>
      </c>
      <c r="AM704" s="270">
        <f t="shared" si="206"/>
        <v>121876.84</v>
      </c>
    </row>
    <row r="705" spans="2:39" ht="15.75" thickBot="1" x14ac:dyDescent="0.35">
      <c r="B705" s="56" t="str">
        <f>input_names!$C$3</f>
        <v>diesel</v>
      </c>
      <c r="C705" s="61">
        <v>303</v>
      </c>
      <c r="D705" s="270">
        <f t="shared" si="208"/>
        <v>85959</v>
      </c>
      <c r="E705" s="270">
        <f t="shared" si="208"/>
        <v>94862.48000000001</v>
      </c>
      <c r="F705" s="270">
        <f t="shared" si="208"/>
        <v>97707.22</v>
      </c>
      <c r="G705" s="270">
        <f t="shared" si="208"/>
        <v>97701.2</v>
      </c>
      <c r="H705" s="270">
        <f t="shared" si="208"/>
        <v>95592.06</v>
      </c>
      <c r="I705" s="270">
        <f t="shared" si="208"/>
        <v>96600.4</v>
      </c>
      <c r="J705" s="270">
        <f t="shared" si="208"/>
        <v>86921.34</v>
      </c>
      <c r="K705" s="270">
        <f t="shared" si="208"/>
        <v>91725.760000000009</v>
      </c>
      <c r="L705" s="270">
        <f t="shared" si="208"/>
        <v>96115</v>
      </c>
      <c r="M705" s="270">
        <f t="shared" si="208"/>
        <v>116221.23999999999</v>
      </c>
      <c r="N705" s="270">
        <f t="shared" si="208"/>
        <v>122554.71</v>
      </c>
      <c r="O705" s="270">
        <f t="shared" si="208"/>
        <v>122554.71</v>
      </c>
      <c r="P705" s="270">
        <f t="shared" si="208"/>
        <v>122554.71</v>
      </c>
      <c r="Q705" s="270">
        <f t="shared" si="208"/>
        <v>122554.71</v>
      </c>
      <c r="R705" s="270">
        <f t="shared" si="208"/>
        <v>122554.71</v>
      </c>
      <c r="S705" s="270">
        <f t="shared" si="208"/>
        <v>122554.71</v>
      </c>
      <c r="T705" s="270">
        <f t="shared" ref="S705:T752" si="210">+MIN(MAX(0,$C705-T$11),T$12-T$11)*T$17
+MIN(MAX(0,$C705-T$12),T$13-T$12)*T$18
+MIN(MAX(0,$C705-T$13),T$14-T$13)*T$19
+MIN(MAX(0,$C705-T$14),T$15-T$14)*T$20
+MAX(0,$C705-T$15)*T$21
+T$24*MAX(0,$C705-T$23)
+T$26</f>
        <v>122554.71</v>
      </c>
      <c r="U705" s="270">
        <f t="shared" si="209"/>
        <v>122554.71</v>
      </c>
      <c r="V705" s="270">
        <f t="shared" si="209"/>
        <v>122554.71</v>
      </c>
      <c r="W705" s="270">
        <f t="shared" si="209"/>
        <v>122554.71</v>
      </c>
      <c r="X705" s="270">
        <f t="shared" si="209"/>
        <v>122554.71</v>
      </c>
      <c r="Y705" s="270">
        <f t="shared" si="209"/>
        <v>122554.71</v>
      </c>
      <c r="Z705" s="270">
        <f t="shared" si="209"/>
        <v>122554.71</v>
      </c>
      <c r="AA705" s="270">
        <f t="shared" si="209"/>
        <v>122554.71</v>
      </c>
      <c r="AB705" s="270">
        <f t="shared" si="209"/>
        <v>122554.71</v>
      </c>
      <c r="AC705" s="270">
        <f t="shared" si="209"/>
        <v>122554.71</v>
      </c>
      <c r="AD705" s="270">
        <f t="shared" si="207"/>
        <v>122554.71</v>
      </c>
      <c r="AE705" s="270">
        <f t="shared" si="207"/>
        <v>122554.71</v>
      </c>
      <c r="AF705" s="270">
        <f t="shared" si="206"/>
        <v>122554.71</v>
      </c>
      <c r="AG705" s="270">
        <f t="shared" si="206"/>
        <v>122554.71</v>
      </c>
      <c r="AH705" s="270">
        <f t="shared" si="206"/>
        <v>122554.71</v>
      </c>
      <c r="AI705" s="270">
        <f t="shared" si="206"/>
        <v>122554.71</v>
      </c>
      <c r="AJ705" s="270">
        <f t="shared" si="206"/>
        <v>122554.71</v>
      </c>
      <c r="AK705" s="270">
        <f t="shared" si="206"/>
        <v>122554.71</v>
      </c>
      <c r="AL705" s="270">
        <f t="shared" si="206"/>
        <v>122554.71</v>
      </c>
      <c r="AM705" s="270">
        <f t="shared" si="206"/>
        <v>122554.71</v>
      </c>
    </row>
    <row r="706" spans="2:39" ht="15.75" thickBot="1" x14ac:dyDescent="0.35">
      <c r="B706" s="56" t="str">
        <f>input_names!$C$3</f>
        <v>diesel</v>
      </c>
      <c r="C706" s="61">
        <v>304</v>
      </c>
      <c r="D706" s="270">
        <f t="shared" ref="D706:R721" si="211">+MIN(MAX(0,$C706-D$11),D$12-D$11)*D$17
+MIN(MAX(0,$C706-D$12),D$13-D$12)*D$18
+MIN(MAX(0,$C706-D$13),D$14-D$13)*D$19
+MIN(MAX(0,$C706-D$14),D$15-D$14)*D$20
+MAX(0,$C706-D$15)*D$21
+D$24*MAX(0,$C706-D$23)
+D$26</f>
        <v>86479</v>
      </c>
      <c r="E706" s="270">
        <f t="shared" si="211"/>
        <v>95424.91</v>
      </c>
      <c r="F706" s="270">
        <f t="shared" si="211"/>
        <v>98265.91</v>
      </c>
      <c r="G706" s="270">
        <f t="shared" si="211"/>
        <v>98243.58</v>
      </c>
      <c r="H706" s="270">
        <f t="shared" si="211"/>
        <v>96108.49</v>
      </c>
      <c r="I706" s="270">
        <f t="shared" si="211"/>
        <v>97108.25</v>
      </c>
      <c r="J706" s="270">
        <f t="shared" si="211"/>
        <v>87436.93</v>
      </c>
      <c r="K706" s="270">
        <f t="shared" si="211"/>
        <v>92260.43</v>
      </c>
      <c r="L706" s="270">
        <f t="shared" si="211"/>
        <v>96657.3</v>
      </c>
      <c r="M706" s="270">
        <f t="shared" si="211"/>
        <v>116876.31</v>
      </c>
      <c r="N706" s="270">
        <f t="shared" si="211"/>
        <v>123232.58</v>
      </c>
      <c r="O706" s="270">
        <f t="shared" si="211"/>
        <v>123232.58</v>
      </c>
      <c r="P706" s="270">
        <f t="shared" si="211"/>
        <v>123232.58</v>
      </c>
      <c r="Q706" s="270">
        <f t="shared" si="211"/>
        <v>123232.58</v>
      </c>
      <c r="R706" s="270">
        <f t="shared" si="211"/>
        <v>123232.58</v>
      </c>
      <c r="S706" s="270">
        <f t="shared" si="210"/>
        <v>123232.58</v>
      </c>
      <c r="T706" s="270">
        <f t="shared" si="210"/>
        <v>123232.58</v>
      </c>
      <c r="U706" s="270">
        <f t="shared" si="209"/>
        <v>123232.58</v>
      </c>
      <c r="V706" s="270">
        <f t="shared" si="209"/>
        <v>123232.58</v>
      </c>
      <c r="W706" s="270">
        <f t="shared" si="209"/>
        <v>123232.58</v>
      </c>
      <c r="X706" s="270">
        <f t="shared" si="209"/>
        <v>123232.58</v>
      </c>
      <c r="Y706" s="270">
        <f t="shared" si="209"/>
        <v>123232.58</v>
      </c>
      <c r="Z706" s="270">
        <f t="shared" si="209"/>
        <v>123232.58</v>
      </c>
      <c r="AA706" s="270">
        <f t="shared" si="209"/>
        <v>123232.58</v>
      </c>
      <c r="AB706" s="270">
        <f t="shared" si="209"/>
        <v>123232.58</v>
      </c>
      <c r="AC706" s="270">
        <f t="shared" si="209"/>
        <v>123232.58</v>
      </c>
      <c r="AD706" s="270">
        <f t="shared" si="207"/>
        <v>123232.58</v>
      </c>
      <c r="AE706" s="270">
        <f t="shared" si="207"/>
        <v>123232.58</v>
      </c>
      <c r="AF706" s="270">
        <f t="shared" si="206"/>
        <v>123232.58</v>
      </c>
      <c r="AG706" s="270">
        <f t="shared" ref="AF706:AM734" si="212">+MIN(MAX(0,$C706-AG$11),AG$12-AG$11)*AG$17
+MIN(MAX(0,$C706-AG$12),AG$13-AG$12)*AG$18
+MIN(MAX(0,$C706-AG$13),AG$14-AG$13)*AG$19
+MIN(MAX(0,$C706-AG$14),AG$15-AG$14)*AG$20
+MAX(0,$C706-AG$15)*AG$21
+AG$24*MAX(0,$C706-AG$23)
+AG$26</f>
        <v>123232.58</v>
      </c>
      <c r="AH706" s="270">
        <f t="shared" si="212"/>
        <v>123232.58</v>
      </c>
      <c r="AI706" s="270">
        <f t="shared" si="212"/>
        <v>123232.58</v>
      </c>
      <c r="AJ706" s="270">
        <f t="shared" si="212"/>
        <v>123232.58</v>
      </c>
      <c r="AK706" s="270">
        <f t="shared" si="212"/>
        <v>123232.58</v>
      </c>
      <c r="AL706" s="270">
        <f t="shared" si="212"/>
        <v>123232.58</v>
      </c>
      <c r="AM706" s="270">
        <f t="shared" si="212"/>
        <v>123232.58</v>
      </c>
    </row>
    <row r="707" spans="2:39" ht="15.75" thickBot="1" x14ac:dyDescent="0.35">
      <c r="B707" s="56" t="str">
        <f>input_names!$C$3</f>
        <v>diesel</v>
      </c>
      <c r="C707" s="61">
        <v>305</v>
      </c>
      <c r="D707" s="270">
        <f t="shared" si="211"/>
        <v>86999</v>
      </c>
      <c r="E707" s="270">
        <f t="shared" si="211"/>
        <v>95987.34</v>
      </c>
      <c r="F707" s="270">
        <f t="shared" si="211"/>
        <v>98824.6</v>
      </c>
      <c r="G707" s="270">
        <f t="shared" si="211"/>
        <v>98785.959999999992</v>
      </c>
      <c r="H707" s="270">
        <f t="shared" si="211"/>
        <v>96624.92</v>
      </c>
      <c r="I707" s="270">
        <f t="shared" si="211"/>
        <v>97616.1</v>
      </c>
      <c r="J707" s="270">
        <f t="shared" si="211"/>
        <v>87952.52</v>
      </c>
      <c r="K707" s="270">
        <f t="shared" si="211"/>
        <v>92795.1</v>
      </c>
      <c r="L707" s="270">
        <f t="shared" si="211"/>
        <v>97199.6</v>
      </c>
      <c r="M707" s="270">
        <f t="shared" si="211"/>
        <v>117531.38</v>
      </c>
      <c r="N707" s="270">
        <f t="shared" si="211"/>
        <v>123910.45</v>
      </c>
      <c r="O707" s="270">
        <f t="shared" si="211"/>
        <v>123910.45</v>
      </c>
      <c r="P707" s="270">
        <f t="shared" si="211"/>
        <v>123910.45</v>
      </c>
      <c r="Q707" s="270">
        <f t="shared" si="211"/>
        <v>123910.45</v>
      </c>
      <c r="R707" s="270">
        <f t="shared" si="211"/>
        <v>123910.45</v>
      </c>
      <c r="S707" s="270">
        <f t="shared" si="210"/>
        <v>123910.45</v>
      </c>
      <c r="T707" s="270">
        <f t="shared" si="210"/>
        <v>123910.45</v>
      </c>
      <c r="U707" s="270">
        <f t="shared" si="209"/>
        <v>123910.45</v>
      </c>
      <c r="V707" s="270">
        <f t="shared" si="209"/>
        <v>123910.45</v>
      </c>
      <c r="W707" s="270">
        <f t="shared" si="209"/>
        <v>123910.45</v>
      </c>
      <c r="X707" s="270">
        <f t="shared" si="209"/>
        <v>123910.45</v>
      </c>
      <c r="Y707" s="270">
        <f t="shared" si="209"/>
        <v>123910.45</v>
      </c>
      <c r="Z707" s="270">
        <f t="shared" si="209"/>
        <v>123910.45</v>
      </c>
      <c r="AA707" s="270">
        <f t="shared" si="209"/>
        <v>123910.45</v>
      </c>
      <c r="AB707" s="270">
        <f t="shared" si="209"/>
        <v>123910.45</v>
      </c>
      <c r="AC707" s="270">
        <f t="shared" si="209"/>
        <v>123910.45</v>
      </c>
      <c r="AD707" s="270">
        <f t="shared" si="207"/>
        <v>123910.45</v>
      </c>
      <c r="AE707" s="270">
        <f t="shared" si="207"/>
        <v>123910.45</v>
      </c>
      <c r="AF707" s="270">
        <f t="shared" si="212"/>
        <v>123910.45</v>
      </c>
      <c r="AG707" s="270">
        <f t="shared" si="212"/>
        <v>123910.45</v>
      </c>
      <c r="AH707" s="270">
        <f t="shared" si="212"/>
        <v>123910.45</v>
      </c>
      <c r="AI707" s="270">
        <f t="shared" si="212"/>
        <v>123910.45</v>
      </c>
      <c r="AJ707" s="270">
        <f t="shared" si="212"/>
        <v>123910.45</v>
      </c>
      <c r="AK707" s="270">
        <f t="shared" si="212"/>
        <v>123910.45</v>
      </c>
      <c r="AL707" s="270">
        <f t="shared" si="212"/>
        <v>123910.45</v>
      </c>
      <c r="AM707" s="270">
        <f t="shared" si="212"/>
        <v>123910.45</v>
      </c>
    </row>
    <row r="708" spans="2:39" ht="15.75" thickBot="1" x14ac:dyDescent="0.35">
      <c r="B708" s="56" t="str">
        <f>input_names!$C$3</f>
        <v>diesel</v>
      </c>
      <c r="C708" s="61">
        <v>306</v>
      </c>
      <c r="D708" s="270">
        <f t="shared" si="211"/>
        <v>87519</v>
      </c>
      <c r="E708" s="270">
        <f t="shared" si="211"/>
        <v>96549.77</v>
      </c>
      <c r="F708" s="270">
        <f t="shared" si="211"/>
        <v>99383.290000000008</v>
      </c>
      <c r="G708" s="270">
        <f t="shared" si="211"/>
        <v>99328.34</v>
      </c>
      <c r="H708" s="270">
        <f t="shared" si="211"/>
        <v>97141.35</v>
      </c>
      <c r="I708" s="270">
        <f t="shared" si="211"/>
        <v>98123.95</v>
      </c>
      <c r="J708" s="270">
        <f t="shared" si="211"/>
        <v>88468.11</v>
      </c>
      <c r="K708" s="270">
        <f t="shared" si="211"/>
        <v>93329.77</v>
      </c>
      <c r="L708" s="270">
        <f t="shared" si="211"/>
        <v>97741.9</v>
      </c>
      <c r="M708" s="270">
        <f t="shared" si="211"/>
        <v>118186.45</v>
      </c>
      <c r="N708" s="270">
        <f t="shared" si="211"/>
        <v>124588.32</v>
      </c>
      <c r="O708" s="270">
        <f t="shared" si="211"/>
        <v>124588.32</v>
      </c>
      <c r="P708" s="270">
        <f t="shared" si="211"/>
        <v>124588.32</v>
      </c>
      <c r="Q708" s="270">
        <f t="shared" si="211"/>
        <v>124588.32</v>
      </c>
      <c r="R708" s="270">
        <f t="shared" si="211"/>
        <v>124588.32</v>
      </c>
      <c r="S708" s="270">
        <f t="shared" si="210"/>
        <v>124588.32</v>
      </c>
      <c r="T708" s="270">
        <f t="shared" si="210"/>
        <v>124588.32</v>
      </c>
      <c r="U708" s="270">
        <f t="shared" si="209"/>
        <v>124588.32</v>
      </c>
      <c r="V708" s="270">
        <f t="shared" si="209"/>
        <v>124588.32</v>
      </c>
      <c r="W708" s="270">
        <f t="shared" si="209"/>
        <v>124588.32</v>
      </c>
      <c r="X708" s="270">
        <f t="shared" si="209"/>
        <v>124588.32</v>
      </c>
      <c r="Y708" s="270">
        <f t="shared" si="209"/>
        <v>124588.32</v>
      </c>
      <c r="Z708" s="270">
        <f t="shared" si="209"/>
        <v>124588.32</v>
      </c>
      <c r="AA708" s="270">
        <f t="shared" si="209"/>
        <v>124588.32</v>
      </c>
      <c r="AB708" s="270">
        <f t="shared" si="209"/>
        <v>124588.32</v>
      </c>
      <c r="AC708" s="270">
        <f t="shared" si="209"/>
        <v>124588.32</v>
      </c>
      <c r="AD708" s="270">
        <f t="shared" si="207"/>
        <v>124588.32</v>
      </c>
      <c r="AE708" s="270">
        <f t="shared" si="207"/>
        <v>124588.32</v>
      </c>
      <c r="AF708" s="270">
        <f t="shared" si="212"/>
        <v>124588.32</v>
      </c>
      <c r="AG708" s="270">
        <f t="shared" si="212"/>
        <v>124588.32</v>
      </c>
      <c r="AH708" s="270">
        <f t="shared" si="212"/>
        <v>124588.32</v>
      </c>
      <c r="AI708" s="270">
        <f t="shared" si="212"/>
        <v>124588.32</v>
      </c>
      <c r="AJ708" s="270">
        <f t="shared" si="212"/>
        <v>124588.32</v>
      </c>
      <c r="AK708" s="270">
        <f t="shared" si="212"/>
        <v>124588.32</v>
      </c>
      <c r="AL708" s="270">
        <f t="shared" si="212"/>
        <v>124588.32</v>
      </c>
      <c r="AM708" s="270">
        <f t="shared" si="212"/>
        <v>124588.32</v>
      </c>
    </row>
    <row r="709" spans="2:39" ht="15.75" thickBot="1" x14ac:dyDescent="0.35">
      <c r="B709" s="56" t="str">
        <f>input_names!$C$3</f>
        <v>diesel</v>
      </c>
      <c r="C709" s="61">
        <v>307</v>
      </c>
      <c r="D709" s="270">
        <f t="shared" si="211"/>
        <v>88039</v>
      </c>
      <c r="E709" s="270">
        <f t="shared" si="211"/>
        <v>97112.2</v>
      </c>
      <c r="F709" s="270">
        <f t="shared" si="211"/>
        <v>99941.98</v>
      </c>
      <c r="G709" s="270">
        <f t="shared" si="211"/>
        <v>99870.720000000001</v>
      </c>
      <c r="H709" s="270">
        <f t="shared" si="211"/>
        <v>97657.78</v>
      </c>
      <c r="I709" s="270">
        <f t="shared" si="211"/>
        <v>98631.8</v>
      </c>
      <c r="J709" s="270">
        <f t="shared" si="211"/>
        <v>88983.7</v>
      </c>
      <c r="K709" s="270">
        <f t="shared" si="211"/>
        <v>93864.44</v>
      </c>
      <c r="L709" s="270">
        <f t="shared" si="211"/>
        <v>98284.2</v>
      </c>
      <c r="M709" s="270">
        <f t="shared" si="211"/>
        <v>118841.51999999999</v>
      </c>
      <c r="N709" s="270">
        <f t="shared" si="211"/>
        <v>125266.19</v>
      </c>
      <c r="O709" s="270">
        <f t="shared" si="211"/>
        <v>125266.19</v>
      </c>
      <c r="P709" s="270">
        <f t="shared" si="211"/>
        <v>125266.19</v>
      </c>
      <c r="Q709" s="270">
        <f t="shared" si="211"/>
        <v>125266.19</v>
      </c>
      <c r="R709" s="270">
        <f t="shared" si="211"/>
        <v>125266.19</v>
      </c>
      <c r="S709" s="270">
        <f t="shared" si="210"/>
        <v>125266.19</v>
      </c>
      <c r="T709" s="270">
        <f t="shared" si="210"/>
        <v>125266.19</v>
      </c>
      <c r="U709" s="270">
        <f t="shared" si="209"/>
        <v>125266.19</v>
      </c>
      <c r="V709" s="270">
        <f t="shared" si="209"/>
        <v>125266.19</v>
      </c>
      <c r="W709" s="270">
        <f t="shared" si="209"/>
        <v>125266.19</v>
      </c>
      <c r="X709" s="270">
        <f t="shared" si="209"/>
        <v>125266.19</v>
      </c>
      <c r="Y709" s="270">
        <f t="shared" si="209"/>
        <v>125266.19</v>
      </c>
      <c r="Z709" s="270">
        <f t="shared" si="209"/>
        <v>125266.19</v>
      </c>
      <c r="AA709" s="270">
        <f t="shared" si="209"/>
        <v>125266.19</v>
      </c>
      <c r="AB709" s="270">
        <f t="shared" si="209"/>
        <v>125266.19</v>
      </c>
      <c r="AC709" s="270">
        <f t="shared" si="209"/>
        <v>125266.19</v>
      </c>
      <c r="AD709" s="270">
        <f t="shared" si="207"/>
        <v>125266.19</v>
      </c>
      <c r="AE709" s="270">
        <f t="shared" si="207"/>
        <v>125266.19</v>
      </c>
      <c r="AF709" s="270">
        <f t="shared" si="212"/>
        <v>125266.19</v>
      </c>
      <c r="AG709" s="270">
        <f t="shared" si="212"/>
        <v>125266.19</v>
      </c>
      <c r="AH709" s="270">
        <f t="shared" si="212"/>
        <v>125266.19</v>
      </c>
      <c r="AI709" s="270">
        <f t="shared" si="212"/>
        <v>125266.19</v>
      </c>
      <c r="AJ709" s="270">
        <f t="shared" si="212"/>
        <v>125266.19</v>
      </c>
      <c r="AK709" s="270">
        <f t="shared" si="212"/>
        <v>125266.19</v>
      </c>
      <c r="AL709" s="270">
        <f t="shared" si="212"/>
        <v>125266.19</v>
      </c>
      <c r="AM709" s="270">
        <f t="shared" si="212"/>
        <v>125266.19</v>
      </c>
    </row>
    <row r="710" spans="2:39" ht="15.75" thickBot="1" x14ac:dyDescent="0.35">
      <c r="B710" s="56" t="str">
        <f>input_names!$C$3</f>
        <v>diesel</v>
      </c>
      <c r="C710" s="61">
        <v>308</v>
      </c>
      <c r="D710" s="270">
        <f t="shared" si="211"/>
        <v>88559</v>
      </c>
      <c r="E710" s="270">
        <f t="shared" si="211"/>
        <v>97674.63</v>
      </c>
      <c r="F710" s="270">
        <f t="shared" si="211"/>
        <v>100500.67</v>
      </c>
      <c r="G710" s="270">
        <f t="shared" si="211"/>
        <v>100413.1</v>
      </c>
      <c r="H710" s="270">
        <f t="shared" si="211"/>
        <v>98174.21</v>
      </c>
      <c r="I710" s="270">
        <f t="shared" si="211"/>
        <v>99139.65</v>
      </c>
      <c r="J710" s="270">
        <f t="shared" si="211"/>
        <v>89499.290000000008</v>
      </c>
      <c r="K710" s="270">
        <f t="shared" si="211"/>
        <v>94399.11</v>
      </c>
      <c r="L710" s="270">
        <f t="shared" si="211"/>
        <v>98826.5</v>
      </c>
      <c r="M710" s="270">
        <f t="shared" si="211"/>
        <v>119496.59</v>
      </c>
      <c r="N710" s="270">
        <f t="shared" si="211"/>
        <v>125944.06</v>
      </c>
      <c r="O710" s="270">
        <f t="shared" si="211"/>
        <v>125944.06</v>
      </c>
      <c r="P710" s="270">
        <f t="shared" si="211"/>
        <v>125944.06</v>
      </c>
      <c r="Q710" s="270">
        <f t="shared" si="211"/>
        <v>125944.06</v>
      </c>
      <c r="R710" s="270">
        <f t="shared" si="211"/>
        <v>125944.06</v>
      </c>
      <c r="S710" s="270">
        <f t="shared" si="210"/>
        <v>125944.06</v>
      </c>
      <c r="T710" s="270">
        <f t="shared" si="210"/>
        <v>125944.06</v>
      </c>
      <c r="U710" s="270">
        <f t="shared" si="209"/>
        <v>125944.06</v>
      </c>
      <c r="V710" s="270">
        <f t="shared" si="209"/>
        <v>125944.06</v>
      </c>
      <c r="W710" s="270">
        <f t="shared" si="209"/>
        <v>125944.06</v>
      </c>
      <c r="X710" s="270">
        <f t="shared" si="209"/>
        <v>125944.06</v>
      </c>
      <c r="Y710" s="270">
        <f t="shared" si="209"/>
        <v>125944.06</v>
      </c>
      <c r="Z710" s="270">
        <f t="shared" si="209"/>
        <v>125944.06</v>
      </c>
      <c r="AA710" s="270">
        <f t="shared" si="209"/>
        <v>125944.06</v>
      </c>
      <c r="AB710" s="270">
        <f t="shared" si="209"/>
        <v>125944.06</v>
      </c>
      <c r="AC710" s="270">
        <f t="shared" si="209"/>
        <v>125944.06</v>
      </c>
      <c r="AD710" s="270">
        <f t="shared" si="207"/>
        <v>125944.06</v>
      </c>
      <c r="AE710" s="270">
        <f t="shared" si="207"/>
        <v>125944.06</v>
      </c>
      <c r="AF710" s="270">
        <f t="shared" si="212"/>
        <v>125944.06</v>
      </c>
      <c r="AG710" s="270">
        <f t="shared" si="212"/>
        <v>125944.06</v>
      </c>
      <c r="AH710" s="270">
        <f t="shared" si="212"/>
        <v>125944.06</v>
      </c>
      <c r="AI710" s="270">
        <f t="shared" si="212"/>
        <v>125944.06</v>
      </c>
      <c r="AJ710" s="270">
        <f t="shared" si="212"/>
        <v>125944.06</v>
      </c>
      <c r="AK710" s="270">
        <f t="shared" si="212"/>
        <v>125944.06</v>
      </c>
      <c r="AL710" s="270">
        <f t="shared" si="212"/>
        <v>125944.06</v>
      </c>
      <c r="AM710" s="270">
        <f t="shared" si="212"/>
        <v>125944.06</v>
      </c>
    </row>
    <row r="711" spans="2:39" ht="15.75" thickBot="1" x14ac:dyDescent="0.35">
      <c r="B711" s="56" t="str">
        <f>input_names!$C$3</f>
        <v>diesel</v>
      </c>
      <c r="C711" s="61">
        <v>309</v>
      </c>
      <c r="D711" s="270">
        <f t="shared" si="211"/>
        <v>89079</v>
      </c>
      <c r="E711" s="270">
        <f t="shared" si="211"/>
        <v>98237.06</v>
      </c>
      <c r="F711" s="270">
        <f t="shared" si="211"/>
        <v>101059.36</v>
      </c>
      <c r="G711" s="270">
        <f t="shared" si="211"/>
        <v>100955.48</v>
      </c>
      <c r="H711" s="270">
        <f t="shared" si="211"/>
        <v>98690.64</v>
      </c>
      <c r="I711" s="270">
        <f t="shared" si="211"/>
        <v>99647.5</v>
      </c>
      <c r="J711" s="270">
        <f t="shared" si="211"/>
        <v>90014.88</v>
      </c>
      <c r="K711" s="270">
        <f t="shared" si="211"/>
        <v>94933.78</v>
      </c>
      <c r="L711" s="270">
        <f t="shared" si="211"/>
        <v>99368.8</v>
      </c>
      <c r="M711" s="270">
        <f t="shared" si="211"/>
        <v>120151.66</v>
      </c>
      <c r="N711" s="270">
        <f t="shared" si="211"/>
        <v>126621.93</v>
      </c>
      <c r="O711" s="270">
        <f t="shared" si="211"/>
        <v>126621.93</v>
      </c>
      <c r="P711" s="270">
        <f t="shared" si="211"/>
        <v>126621.93</v>
      </c>
      <c r="Q711" s="270">
        <f t="shared" si="211"/>
        <v>126621.93</v>
      </c>
      <c r="R711" s="270">
        <f t="shared" si="211"/>
        <v>126621.93</v>
      </c>
      <c r="S711" s="270">
        <f t="shared" si="210"/>
        <v>126621.93</v>
      </c>
      <c r="T711" s="270">
        <f t="shared" si="210"/>
        <v>126621.93</v>
      </c>
      <c r="U711" s="270">
        <f t="shared" si="209"/>
        <v>126621.93</v>
      </c>
      <c r="V711" s="270">
        <f t="shared" si="209"/>
        <v>126621.93</v>
      </c>
      <c r="W711" s="270">
        <f t="shared" si="209"/>
        <v>126621.93</v>
      </c>
      <c r="X711" s="270">
        <f t="shared" si="209"/>
        <v>126621.93</v>
      </c>
      <c r="Y711" s="270">
        <f t="shared" si="209"/>
        <v>126621.93</v>
      </c>
      <c r="Z711" s="270">
        <f t="shared" si="209"/>
        <v>126621.93</v>
      </c>
      <c r="AA711" s="270">
        <f t="shared" si="209"/>
        <v>126621.93</v>
      </c>
      <c r="AB711" s="270">
        <f t="shared" si="209"/>
        <v>126621.93</v>
      </c>
      <c r="AC711" s="270">
        <f t="shared" si="209"/>
        <v>126621.93</v>
      </c>
      <c r="AD711" s="270">
        <f t="shared" si="207"/>
        <v>126621.93</v>
      </c>
      <c r="AE711" s="270">
        <f t="shared" si="207"/>
        <v>126621.93</v>
      </c>
      <c r="AF711" s="270">
        <f t="shared" si="212"/>
        <v>126621.93</v>
      </c>
      <c r="AG711" s="270">
        <f t="shared" si="212"/>
        <v>126621.93</v>
      </c>
      <c r="AH711" s="270">
        <f t="shared" si="212"/>
        <v>126621.93</v>
      </c>
      <c r="AI711" s="270">
        <f t="shared" si="212"/>
        <v>126621.93</v>
      </c>
      <c r="AJ711" s="270">
        <f t="shared" si="212"/>
        <v>126621.93</v>
      </c>
      <c r="AK711" s="270">
        <f t="shared" si="212"/>
        <v>126621.93</v>
      </c>
      <c r="AL711" s="270">
        <f t="shared" si="212"/>
        <v>126621.93</v>
      </c>
      <c r="AM711" s="270">
        <f t="shared" si="212"/>
        <v>126621.93</v>
      </c>
    </row>
    <row r="712" spans="2:39" ht="15.75" thickBot="1" x14ac:dyDescent="0.35">
      <c r="B712" s="56" t="str">
        <f>input_names!$C$3</f>
        <v>diesel</v>
      </c>
      <c r="C712" s="61">
        <v>310</v>
      </c>
      <c r="D712" s="270">
        <f t="shared" si="211"/>
        <v>89599</v>
      </c>
      <c r="E712" s="270">
        <f t="shared" si="211"/>
        <v>98799.49</v>
      </c>
      <c r="F712" s="270">
        <f t="shared" si="211"/>
        <v>101618.05</v>
      </c>
      <c r="G712" s="270">
        <f t="shared" si="211"/>
        <v>101497.86</v>
      </c>
      <c r="H712" s="270">
        <f t="shared" si="211"/>
        <v>99207.07</v>
      </c>
      <c r="I712" s="270">
        <f t="shared" si="211"/>
        <v>100155.35</v>
      </c>
      <c r="J712" s="270">
        <f t="shared" si="211"/>
        <v>90530.47</v>
      </c>
      <c r="K712" s="270">
        <f t="shared" si="211"/>
        <v>95468.45</v>
      </c>
      <c r="L712" s="270">
        <f t="shared" si="211"/>
        <v>99911.1</v>
      </c>
      <c r="M712" s="270">
        <f t="shared" si="211"/>
        <v>120806.73</v>
      </c>
      <c r="N712" s="270">
        <f t="shared" si="211"/>
        <v>127299.8</v>
      </c>
      <c r="O712" s="270">
        <f t="shared" si="211"/>
        <v>127299.8</v>
      </c>
      <c r="P712" s="270">
        <f t="shared" si="211"/>
        <v>127299.8</v>
      </c>
      <c r="Q712" s="270">
        <f t="shared" si="211"/>
        <v>127299.8</v>
      </c>
      <c r="R712" s="270">
        <f t="shared" si="211"/>
        <v>127299.8</v>
      </c>
      <c r="S712" s="270">
        <f t="shared" si="210"/>
        <v>127299.8</v>
      </c>
      <c r="T712" s="270">
        <f t="shared" si="210"/>
        <v>127299.8</v>
      </c>
      <c r="U712" s="270">
        <f t="shared" si="209"/>
        <v>127299.8</v>
      </c>
      <c r="V712" s="270">
        <f t="shared" si="209"/>
        <v>127299.8</v>
      </c>
      <c r="W712" s="270">
        <f t="shared" si="209"/>
        <v>127299.8</v>
      </c>
      <c r="X712" s="270">
        <f t="shared" si="209"/>
        <v>127299.8</v>
      </c>
      <c r="Y712" s="270">
        <f t="shared" si="209"/>
        <v>127299.8</v>
      </c>
      <c r="Z712" s="270">
        <f t="shared" si="209"/>
        <v>127299.8</v>
      </c>
      <c r="AA712" s="270">
        <f t="shared" si="209"/>
        <v>127299.8</v>
      </c>
      <c r="AB712" s="270">
        <f t="shared" si="209"/>
        <v>127299.8</v>
      </c>
      <c r="AC712" s="270">
        <f t="shared" si="209"/>
        <v>127299.8</v>
      </c>
      <c r="AD712" s="270">
        <f t="shared" si="207"/>
        <v>127299.8</v>
      </c>
      <c r="AE712" s="270">
        <f t="shared" si="207"/>
        <v>127299.8</v>
      </c>
      <c r="AF712" s="270">
        <f t="shared" si="212"/>
        <v>127299.8</v>
      </c>
      <c r="AG712" s="270">
        <f t="shared" si="212"/>
        <v>127299.8</v>
      </c>
      <c r="AH712" s="270">
        <f t="shared" si="212"/>
        <v>127299.8</v>
      </c>
      <c r="AI712" s="270">
        <f t="shared" si="212"/>
        <v>127299.8</v>
      </c>
      <c r="AJ712" s="270">
        <f t="shared" si="212"/>
        <v>127299.8</v>
      </c>
      <c r="AK712" s="270">
        <f t="shared" si="212"/>
        <v>127299.8</v>
      </c>
      <c r="AL712" s="270">
        <f t="shared" si="212"/>
        <v>127299.8</v>
      </c>
      <c r="AM712" s="270">
        <f t="shared" si="212"/>
        <v>127299.8</v>
      </c>
    </row>
    <row r="713" spans="2:39" ht="15.75" thickBot="1" x14ac:dyDescent="0.35">
      <c r="B713" s="56" t="str">
        <f>input_names!$C$3</f>
        <v>diesel</v>
      </c>
      <c r="C713" s="61">
        <v>311</v>
      </c>
      <c r="D713" s="270">
        <f t="shared" si="211"/>
        <v>90119</v>
      </c>
      <c r="E713" s="270">
        <f t="shared" si="211"/>
        <v>99361.919999999998</v>
      </c>
      <c r="F713" s="270">
        <f t="shared" si="211"/>
        <v>102176.73999999999</v>
      </c>
      <c r="G713" s="270">
        <f t="shared" si="211"/>
        <v>102040.23999999999</v>
      </c>
      <c r="H713" s="270">
        <f t="shared" si="211"/>
        <v>99723.5</v>
      </c>
      <c r="I713" s="270">
        <f t="shared" si="211"/>
        <v>100663.2</v>
      </c>
      <c r="J713" s="270">
        <f t="shared" si="211"/>
        <v>91046.06</v>
      </c>
      <c r="K713" s="270">
        <f t="shared" si="211"/>
        <v>96003.12</v>
      </c>
      <c r="L713" s="270">
        <f t="shared" si="211"/>
        <v>100453.4</v>
      </c>
      <c r="M713" s="270">
        <f t="shared" si="211"/>
        <v>121461.8</v>
      </c>
      <c r="N713" s="270">
        <f t="shared" si="211"/>
        <v>127977.67</v>
      </c>
      <c r="O713" s="270">
        <f t="shared" si="211"/>
        <v>127977.67</v>
      </c>
      <c r="P713" s="270">
        <f t="shared" si="211"/>
        <v>127977.67</v>
      </c>
      <c r="Q713" s="270">
        <f t="shared" si="211"/>
        <v>127977.67</v>
      </c>
      <c r="R713" s="270">
        <f t="shared" si="211"/>
        <v>127977.67</v>
      </c>
      <c r="S713" s="270">
        <f t="shared" si="210"/>
        <v>127977.67</v>
      </c>
      <c r="T713" s="270">
        <f t="shared" si="210"/>
        <v>127977.67</v>
      </c>
      <c r="U713" s="270">
        <f t="shared" si="209"/>
        <v>127977.67</v>
      </c>
      <c r="V713" s="270">
        <f t="shared" si="209"/>
        <v>127977.67</v>
      </c>
      <c r="W713" s="270">
        <f t="shared" si="209"/>
        <v>127977.67</v>
      </c>
      <c r="X713" s="270">
        <f t="shared" si="209"/>
        <v>127977.67</v>
      </c>
      <c r="Y713" s="270">
        <f t="shared" si="209"/>
        <v>127977.67</v>
      </c>
      <c r="Z713" s="270">
        <f t="shared" si="209"/>
        <v>127977.67</v>
      </c>
      <c r="AA713" s="270">
        <f t="shared" si="209"/>
        <v>127977.67</v>
      </c>
      <c r="AB713" s="270">
        <f t="shared" si="209"/>
        <v>127977.67</v>
      </c>
      <c r="AC713" s="270">
        <f t="shared" si="209"/>
        <v>127977.67</v>
      </c>
      <c r="AD713" s="270">
        <f t="shared" si="207"/>
        <v>127977.67</v>
      </c>
      <c r="AE713" s="270">
        <f t="shared" si="207"/>
        <v>127977.67</v>
      </c>
      <c r="AF713" s="270">
        <f t="shared" si="212"/>
        <v>127977.67</v>
      </c>
      <c r="AG713" s="270">
        <f t="shared" si="212"/>
        <v>127977.67</v>
      </c>
      <c r="AH713" s="270">
        <f t="shared" si="212"/>
        <v>127977.67</v>
      </c>
      <c r="AI713" s="270">
        <f t="shared" si="212"/>
        <v>127977.67</v>
      </c>
      <c r="AJ713" s="270">
        <f t="shared" si="212"/>
        <v>127977.67</v>
      </c>
      <c r="AK713" s="270">
        <f t="shared" si="212"/>
        <v>127977.67</v>
      </c>
      <c r="AL713" s="270">
        <f t="shared" si="212"/>
        <v>127977.67</v>
      </c>
      <c r="AM713" s="270">
        <f t="shared" si="212"/>
        <v>127977.67</v>
      </c>
    </row>
    <row r="714" spans="2:39" ht="15.75" thickBot="1" x14ac:dyDescent="0.35">
      <c r="B714" s="56" t="str">
        <f>input_names!$C$3</f>
        <v>diesel</v>
      </c>
      <c r="C714" s="61">
        <v>312</v>
      </c>
      <c r="D714" s="270">
        <f t="shared" si="211"/>
        <v>90639</v>
      </c>
      <c r="E714" s="270">
        <f t="shared" si="211"/>
        <v>99924.35</v>
      </c>
      <c r="F714" s="270">
        <f t="shared" si="211"/>
        <v>102735.43</v>
      </c>
      <c r="G714" s="270">
        <f t="shared" si="211"/>
        <v>102582.62</v>
      </c>
      <c r="H714" s="270">
        <f t="shared" si="211"/>
        <v>100239.93</v>
      </c>
      <c r="I714" s="270">
        <f t="shared" si="211"/>
        <v>101171.05</v>
      </c>
      <c r="J714" s="270">
        <f t="shared" si="211"/>
        <v>91561.65</v>
      </c>
      <c r="K714" s="270">
        <f t="shared" si="211"/>
        <v>96537.790000000008</v>
      </c>
      <c r="L714" s="270">
        <f t="shared" si="211"/>
        <v>100995.7</v>
      </c>
      <c r="M714" s="270">
        <f t="shared" si="211"/>
        <v>122116.87</v>
      </c>
      <c r="N714" s="270">
        <f t="shared" si="211"/>
        <v>128655.54000000001</v>
      </c>
      <c r="O714" s="270">
        <f t="shared" si="211"/>
        <v>128655.54000000001</v>
      </c>
      <c r="P714" s="270">
        <f t="shared" si="211"/>
        <v>128655.54000000001</v>
      </c>
      <c r="Q714" s="270">
        <f t="shared" si="211"/>
        <v>128655.54000000001</v>
      </c>
      <c r="R714" s="270">
        <f t="shared" si="211"/>
        <v>128655.54000000001</v>
      </c>
      <c r="S714" s="270">
        <f t="shared" si="210"/>
        <v>128655.54000000001</v>
      </c>
      <c r="T714" s="270">
        <f t="shared" si="210"/>
        <v>128655.54000000001</v>
      </c>
      <c r="U714" s="270">
        <f t="shared" si="209"/>
        <v>128655.54000000001</v>
      </c>
      <c r="V714" s="270">
        <f t="shared" si="209"/>
        <v>128655.54000000001</v>
      </c>
      <c r="W714" s="270">
        <f t="shared" si="209"/>
        <v>128655.54000000001</v>
      </c>
      <c r="X714" s="270">
        <f t="shared" si="209"/>
        <v>128655.54000000001</v>
      </c>
      <c r="Y714" s="270">
        <f t="shared" si="209"/>
        <v>128655.54000000001</v>
      </c>
      <c r="Z714" s="270">
        <f t="shared" si="209"/>
        <v>128655.54000000001</v>
      </c>
      <c r="AA714" s="270">
        <f t="shared" si="209"/>
        <v>128655.54000000001</v>
      </c>
      <c r="AB714" s="270">
        <f t="shared" si="209"/>
        <v>128655.54000000001</v>
      </c>
      <c r="AC714" s="270">
        <f t="shared" si="209"/>
        <v>128655.54000000001</v>
      </c>
      <c r="AD714" s="270">
        <f t="shared" si="207"/>
        <v>128655.54000000001</v>
      </c>
      <c r="AE714" s="270">
        <f t="shared" si="207"/>
        <v>128655.54000000001</v>
      </c>
      <c r="AF714" s="270">
        <f t="shared" si="212"/>
        <v>128655.54000000001</v>
      </c>
      <c r="AG714" s="270">
        <f t="shared" si="212"/>
        <v>128655.54000000001</v>
      </c>
      <c r="AH714" s="270">
        <f t="shared" si="212"/>
        <v>128655.54000000001</v>
      </c>
      <c r="AI714" s="270">
        <f t="shared" si="212"/>
        <v>128655.54000000001</v>
      </c>
      <c r="AJ714" s="270">
        <f t="shared" si="212"/>
        <v>128655.54000000001</v>
      </c>
      <c r="AK714" s="270">
        <f t="shared" si="212"/>
        <v>128655.54000000001</v>
      </c>
      <c r="AL714" s="270">
        <f t="shared" si="212"/>
        <v>128655.54000000001</v>
      </c>
      <c r="AM714" s="270">
        <f t="shared" si="212"/>
        <v>128655.54000000001</v>
      </c>
    </row>
    <row r="715" spans="2:39" ht="15.75" thickBot="1" x14ac:dyDescent="0.35">
      <c r="B715" s="56" t="str">
        <f>input_names!$C$3</f>
        <v>diesel</v>
      </c>
      <c r="C715" s="61">
        <v>313</v>
      </c>
      <c r="D715" s="270">
        <f t="shared" si="211"/>
        <v>91159</v>
      </c>
      <c r="E715" s="270">
        <f t="shared" si="211"/>
        <v>100486.78</v>
      </c>
      <c r="F715" s="270">
        <f t="shared" si="211"/>
        <v>103294.12</v>
      </c>
      <c r="G715" s="270">
        <f t="shared" si="211"/>
        <v>103125</v>
      </c>
      <c r="H715" s="270">
        <f t="shared" si="211"/>
        <v>100756.36</v>
      </c>
      <c r="I715" s="270">
        <f t="shared" si="211"/>
        <v>101678.9</v>
      </c>
      <c r="J715" s="270">
        <f t="shared" si="211"/>
        <v>92077.24</v>
      </c>
      <c r="K715" s="270">
        <f t="shared" si="211"/>
        <v>97072.459999999992</v>
      </c>
      <c r="L715" s="270">
        <f t="shared" si="211"/>
        <v>101538</v>
      </c>
      <c r="M715" s="270">
        <f t="shared" si="211"/>
        <v>122771.94</v>
      </c>
      <c r="N715" s="270">
        <f t="shared" si="211"/>
        <v>129333.41</v>
      </c>
      <c r="O715" s="270">
        <f t="shared" si="211"/>
        <v>129333.41</v>
      </c>
      <c r="P715" s="270">
        <f t="shared" si="211"/>
        <v>129333.41</v>
      </c>
      <c r="Q715" s="270">
        <f t="shared" si="211"/>
        <v>129333.41</v>
      </c>
      <c r="R715" s="270">
        <f t="shared" si="211"/>
        <v>129333.41</v>
      </c>
      <c r="S715" s="270">
        <f t="shared" si="210"/>
        <v>129333.41</v>
      </c>
      <c r="T715" s="270">
        <f t="shared" si="210"/>
        <v>129333.41</v>
      </c>
      <c r="U715" s="270">
        <f t="shared" si="209"/>
        <v>129333.41</v>
      </c>
      <c r="V715" s="270">
        <f t="shared" si="209"/>
        <v>129333.41</v>
      </c>
      <c r="W715" s="270">
        <f t="shared" si="209"/>
        <v>129333.41</v>
      </c>
      <c r="X715" s="270">
        <f t="shared" si="209"/>
        <v>129333.41</v>
      </c>
      <c r="Y715" s="270">
        <f t="shared" si="209"/>
        <v>129333.41</v>
      </c>
      <c r="Z715" s="270">
        <f t="shared" si="209"/>
        <v>129333.41</v>
      </c>
      <c r="AA715" s="270">
        <f t="shared" si="209"/>
        <v>129333.41</v>
      </c>
      <c r="AB715" s="270">
        <f t="shared" si="209"/>
        <v>129333.41</v>
      </c>
      <c r="AC715" s="270">
        <f t="shared" si="209"/>
        <v>129333.41</v>
      </c>
      <c r="AD715" s="270">
        <f t="shared" si="207"/>
        <v>129333.41</v>
      </c>
      <c r="AE715" s="270">
        <f t="shared" si="207"/>
        <v>129333.41</v>
      </c>
      <c r="AF715" s="270">
        <f t="shared" si="212"/>
        <v>129333.41</v>
      </c>
      <c r="AG715" s="270">
        <f t="shared" si="212"/>
        <v>129333.41</v>
      </c>
      <c r="AH715" s="270">
        <f t="shared" si="212"/>
        <v>129333.41</v>
      </c>
      <c r="AI715" s="270">
        <f t="shared" si="212"/>
        <v>129333.41</v>
      </c>
      <c r="AJ715" s="270">
        <f t="shared" si="212"/>
        <v>129333.41</v>
      </c>
      <c r="AK715" s="270">
        <f t="shared" si="212"/>
        <v>129333.41</v>
      </c>
      <c r="AL715" s="270">
        <f t="shared" si="212"/>
        <v>129333.41</v>
      </c>
      <c r="AM715" s="270">
        <f t="shared" si="212"/>
        <v>129333.41</v>
      </c>
    </row>
    <row r="716" spans="2:39" ht="15.75" thickBot="1" x14ac:dyDescent="0.35">
      <c r="B716" s="56" t="str">
        <f>input_names!$C$3</f>
        <v>diesel</v>
      </c>
      <c r="C716" s="61">
        <v>314</v>
      </c>
      <c r="D716" s="270">
        <f t="shared" si="211"/>
        <v>91679</v>
      </c>
      <c r="E716" s="270">
        <f t="shared" si="211"/>
        <v>101049.21</v>
      </c>
      <c r="F716" s="270">
        <f t="shared" si="211"/>
        <v>103852.81</v>
      </c>
      <c r="G716" s="270">
        <f t="shared" si="211"/>
        <v>103667.38</v>
      </c>
      <c r="H716" s="270">
        <f t="shared" si="211"/>
        <v>101272.79000000001</v>
      </c>
      <c r="I716" s="270">
        <f t="shared" si="211"/>
        <v>102186.75</v>
      </c>
      <c r="J716" s="270">
        <f t="shared" si="211"/>
        <v>92592.83</v>
      </c>
      <c r="K716" s="270">
        <f t="shared" si="211"/>
        <v>97607.13</v>
      </c>
      <c r="L716" s="270">
        <f t="shared" si="211"/>
        <v>102080.3</v>
      </c>
      <c r="M716" s="270">
        <f t="shared" si="211"/>
        <v>123427.01</v>
      </c>
      <c r="N716" s="270">
        <f t="shared" si="211"/>
        <v>130011.28</v>
      </c>
      <c r="O716" s="270">
        <f t="shared" si="211"/>
        <v>130011.28</v>
      </c>
      <c r="P716" s="270">
        <f t="shared" si="211"/>
        <v>130011.28</v>
      </c>
      <c r="Q716" s="270">
        <f t="shared" si="211"/>
        <v>130011.28</v>
      </c>
      <c r="R716" s="270">
        <f t="shared" si="211"/>
        <v>130011.28</v>
      </c>
      <c r="S716" s="270">
        <f t="shared" si="210"/>
        <v>130011.28</v>
      </c>
      <c r="T716" s="270">
        <f t="shared" si="210"/>
        <v>130011.28</v>
      </c>
      <c r="U716" s="270">
        <f t="shared" si="209"/>
        <v>130011.28</v>
      </c>
      <c r="V716" s="270">
        <f t="shared" si="209"/>
        <v>130011.28</v>
      </c>
      <c r="W716" s="270">
        <f t="shared" si="209"/>
        <v>130011.28</v>
      </c>
      <c r="X716" s="270">
        <f t="shared" si="209"/>
        <v>130011.28</v>
      </c>
      <c r="Y716" s="270">
        <f t="shared" si="209"/>
        <v>130011.28</v>
      </c>
      <c r="Z716" s="270">
        <f t="shared" si="209"/>
        <v>130011.28</v>
      </c>
      <c r="AA716" s="270">
        <f t="shared" si="209"/>
        <v>130011.28</v>
      </c>
      <c r="AB716" s="270">
        <f t="shared" si="209"/>
        <v>130011.28</v>
      </c>
      <c r="AC716" s="270">
        <f t="shared" si="209"/>
        <v>130011.28</v>
      </c>
      <c r="AD716" s="270">
        <f t="shared" si="207"/>
        <v>130011.28</v>
      </c>
      <c r="AE716" s="270">
        <f t="shared" si="207"/>
        <v>130011.28</v>
      </c>
      <c r="AF716" s="270">
        <f t="shared" si="212"/>
        <v>130011.28</v>
      </c>
      <c r="AG716" s="270">
        <f t="shared" si="212"/>
        <v>130011.28</v>
      </c>
      <c r="AH716" s="270">
        <f t="shared" si="212"/>
        <v>130011.28</v>
      </c>
      <c r="AI716" s="270">
        <f t="shared" si="212"/>
        <v>130011.28</v>
      </c>
      <c r="AJ716" s="270">
        <f t="shared" si="212"/>
        <v>130011.28</v>
      </c>
      <c r="AK716" s="270">
        <f t="shared" si="212"/>
        <v>130011.28</v>
      </c>
      <c r="AL716" s="270">
        <f t="shared" si="212"/>
        <v>130011.28</v>
      </c>
      <c r="AM716" s="270">
        <f t="shared" si="212"/>
        <v>130011.28</v>
      </c>
    </row>
    <row r="717" spans="2:39" ht="15.75" thickBot="1" x14ac:dyDescent="0.35">
      <c r="B717" s="56" t="str">
        <f>input_names!$C$3</f>
        <v>diesel</v>
      </c>
      <c r="C717" s="61">
        <v>315</v>
      </c>
      <c r="D717" s="270">
        <f t="shared" si="211"/>
        <v>92199</v>
      </c>
      <c r="E717" s="270">
        <f t="shared" si="211"/>
        <v>101611.64</v>
      </c>
      <c r="F717" s="270">
        <f t="shared" si="211"/>
        <v>104411.5</v>
      </c>
      <c r="G717" s="270">
        <f t="shared" si="211"/>
        <v>104209.76</v>
      </c>
      <c r="H717" s="270">
        <f t="shared" si="211"/>
        <v>101789.22</v>
      </c>
      <c r="I717" s="270">
        <f t="shared" si="211"/>
        <v>102694.6</v>
      </c>
      <c r="J717" s="270">
        <f t="shared" si="211"/>
        <v>93108.42</v>
      </c>
      <c r="K717" s="270">
        <f t="shared" si="211"/>
        <v>98141.8</v>
      </c>
      <c r="L717" s="270">
        <f t="shared" si="211"/>
        <v>102622.6</v>
      </c>
      <c r="M717" s="270">
        <f t="shared" si="211"/>
        <v>124082.08</v>
      </c>
      <c r="N717" s="270">
        <f t="shared" si="211"/>
        <v>130689.15</v>
      </c>
      <c r="O717" s="270">
        <f t="shared" si="211"/>
        <v>130689.15</v>
      </c>
      <c r="P717" s="270">
        <f t="shared" si="211"/>
        <v>130689.15</v>
      </c>
      <c r="Q717" s="270">
        <f t="shared" si="211"/>
        <v>130689.15</v>
      </c>
      <c r="R717" s="270">
        <f t="shared" si="211"/>
        <v>130689.15</v>
      </c>
      <c r="S717" s="270">
        <f t="shared" si="210"/>
        <v>130689.15</v>
      </c>
      <c r="T717" s="270">
        <f t="shared" si="210"/>
        <v>130689.15</v>
      </c>
      <c r="U717" s="270">
        <f t="shared" si="209"/>
        <v>130689.15</v>
      </c>
      <c r="V717" s="270">
        <f t="shared" si="209"/>
        <v>130689.15</v>
      </c>
      <c r="W717" s="270">
        <f t="shared" si="209"/>
        <v>130689.15</v>
      </c>
      <c r="X717" s="270">
        <f t="shared" si="209"/>
        <v>130689.15</v>
      </c>
      <c r="Y717" s="270">
        <f t="shared" si="209"/>
        <v>130689.15</v>
      </c>
      <c r="Z717" s="270">
        <f t="shared" si="209"/>
        <v>130689.15</v>
      </c>
      <c r="AA717" s="270">
        <f t="shared" si="209"/>
        <v>130689.15</v>
      </c>
      <c r="AB717" s="270">
        <f t="shared" si="209"/>
        <v>130689.15</v>
      </c>
      <c r="AC717" s="270">
        <f t="shared" si="209"/>
        <v>130689.15</v>
      </c>
      <c r="AD717" s="270">
        <f t="shared" si="207"/>
        <v>130689.15</v>
      </c>
      <c r="AE717" s="270">
        <f t="shared" si="207"/>
        <v>130689.15</v>
      </c>
      <c r="AF717" s="270">
        <f t="shared" si="212"/>
        <v>130689.15</v>
      </c>
      <c r="AG717" s="270">
        <f t="shared" si="212"/>
        <v>130689.15</v>
      </c>
      <c r="AH717" s="270">
        <f t="shared" si="212"/>
        <v>130689.15</v>
      </c>
      <c r="AI717" s="270">
        <f t="shared" si="212"/>
        <v>130689.15</v>
      </c>
      <c r="AJ717" s="270">
        <f t="shared" si="212"/>
        <v>130689.15</v>
      </c>
      <c r="AK717" s="270">
        <f t="shared" si="212"/>
        <v>130689.15</v>
      </c>
      <c r="AL717" s="270">
        <f t="shared" si="212"/>
        <v>130689.15</v>
      </c>
      <c r="AM717" s="270">
        <f t="shared" si="212"/>
        <v>130689.15</v>
      </c>
    </row>
    <row r="718" spans="2:39" ht="15.75" thickBot="1" x14ac:dyDescent="0.35">
      <c r="B718" s="56" t="str">
        <f>input_names!$C$3</f>
        <v>diesel</v>
      </c>
      <c r="C718" s="61">
        <v>316</v>
      </c>
      <c r="D718" s="270">
        <f t="shared" si="211"/>
        <v>92719</v>
      </c>
      <c r="E718" s="270">
        <f t="shared" si="211"/>
        <v>102174.07</v>
      </c>
      <c r="F718" s="270">
        <f t="shared" si="211"/>
        <v>104970.19</v>
      </c>
      <c r="G718" s="270">
        <f t="shared" si="211"/>
        <v>104752.14</v>
      </c>
      <c r="H718" s="270">
        <f t="shared" si="211"/>
        <v>102305.65</v>
      </c>
      <c r="I718" s="270">
        <f t="shared" si="211"/>
        <v>103202.45</v>
      </c>
      <c r="J718" s="270">
        <f t="shared" si="211"/>
        <v>93624.010000000009</v>
      </c>
      <c r="K718" s="270">
        <f t="shared" si="211"/>
        <v>98676.47</v>
      </c>
      <c r="L718" s="270">
        <f t="shared" si="211"/>
        <v>103164.9</v>
      </c>
      <c r="M718" s="270">
        <f t="shared" si="211"/>
        <v>124737.15</v>
      </c>
      <c r="N718" s="270">
        <f t="shared" si="211"/>
        <v>131367.02000000002</v>
      </c>
      <c r="O718" s="270">
        <f t="shared" si="211"/>
        <v>131367.02000000002</v>
      </c>
      <c r="P718" s="270">
        <f t="shared" si="211"/>
        <v>131367.02000000002</v>
      </c>
      <c r="Q718" s="270">
        <f t="shared" si="211"/>
        <v>131367.02000000002</v>
      </c>
      <c r="R718" s="270">
        <f t="shared" si="211"/>
        <v>131367.02000000002</v>
      </c>
      <c r="S718" s="270">
        <f t="shared" si="210"/>
        <v>131367.02000000002</v>
      </c>
      <c r="T718" s="270">
        <f t="shared" si="210"/>
        <v>131367.02000000002</v>
      </c>
      <c r="U718" s="270">
        <f t="shared" si="209"/>
        <v>131367.02000000002</v>
      </c>
      <c r="V718" s="270">
        <f t="shared" si="209"/>
        <v>131367.02000000002</v>
      </c>
      <c r="W718" s="270">
        <f t="shared" si="209"/>
        <v>131367.02000000002</v>
      </c>
      <c r="X718" s="270">
        <f t="shared" si="209"/>
        <v>131367.02000000002</v>
      </c>
      <c r="Y718" s="270">
        <f t="shared" si="209"/>
        <v>131367.02000000002</v>
      </c>
      <c r="Z718" s="270">
        <f t="shared" si="209"/>
        <v>131367.02000000002</v>
      </c>
      <c r="AA718" s="270">
        <f t="shared" si="209"/>
        <v>131367.02000000002</v>
      </c>
      <c r="AB718" s="270">
        <f t="shared" si="209"/>
        <v>131367.02000000002</v>
      </c>
      <c r="AC718" s="270">
        <f t="shared" si="209"/>
        <v>131367.02000000002</v>
      </c>
      <c r="AD718" s="270">
        <f t="shared" si="207"/>
        <v>131367.02000000002</v>
      </c>
      <c r="AE718" s="270">
        <f t="shared" si="207"/>
        <v>131367.02000000002</v>
      </c>
      <c r="AF718" s="270">
        <f t="shared" si="212"/>
        <v>131367.02000000002</v>
      </c>
      <c r="AG718" s="270">
        <f t="shared" si="212"/>
        <v>131367.02000000002</v>
      </c>
      <c r="AH718" s="270">
        <f t="shared" si="212"/>
        <v>131367.02000000002</v>
      </c>
      <c r="AI718" s="270">
        <f t="shared" si="212"/>
        <v>131367.02000000002</v>
      </c>
      <c r="AJ718" s="270">
        <f t="shared" si="212"/>
        <v>131367.02000000002</v>
      </c>
      <c r="AK718" s="270">
        <f t="shared" si="212"/>
        <v>131367.02000000002</v>
      </c>
      <c r="AL718" s="270">
        <f t="shared" si="212"/>
        <v>131367.02000000002</v>
      </c>
      <c r="AM718" s="270">
        <f t="shared" si="212"/>
        <v>131367.02000000002</v>
      </c>
    </row>
    <row r="719" spans="2:39" ht="15.75" thickBot="1" x14ac:dyDescent="0.35">
      <c r="B719" s="56" t="str">
        <f>input_names!$C$3</f>
        <v>diesel</v>
      </c>
      <c r="C719" s="61">
        <v>317</v>
      </c>
      <c r="D719" s="270">
        <f t="shared" si="211"/>
        <v>93239</v>
      </c>
      <c r="E719" s="270">
        <f t="shared" si="211"/>
        <v>102736.5</v>
      </c>
      <c r="F719" s="270">
        <f t="shared" si="211"/>
        <v>105528.88</v>
      </c>
      <c r="G719" s="270">
        <f t="shared" si="211"/>
        <v>105294.52</v>
      </c>
      <c r="H719" s="270">
        <f t="shared" si="211"/>
        <v>102822.08</v>
      </c>
      <c r="I719" s="270">
        <f t="shared" si="211"/>
        <v>103710.3</v>
      </c>
      <c r="J719" s="270">
        <f t="shared" si="211"/>
        <v>94139.6</v>
      </c>
      <c r="K719" s="270">
        <f t="shared" si="211"/>
        <v>99211.14</v>
      </c>
      <c r="L719" s="270">
        <f t="shared" si="211"/>
        <v>103707.2</v>
      </c>
      <c r="M719" s="270">
        <f t="shared" si="211"/>
        <v>125392.22</v>
      </c>
      <c r="N719" s="270">
        <f t="shared" si="211"/>
        <v>132044.89000000001</v>
      </c>
      <c r="O719" s="270">
        <f t="shared" si="211"/>
        <v>132044.89000000001</v>
      </c>
      <c r="P719" s="270">
        <f t="shared" si="211"/>
        <v>132044.89000000001</v>
      </c>
      <c r="Q719" s="270">
        <f t="shared" si="211"/>
        <v>132044.89000000001</v>
      </c>
      <c r="R719" s="270">
        <f t="shared" si="211"/>
        <v>132044.89000000001</v>
      </c>
      <c r="S719" s="270">
        <f t="shared" si="210"/>
        <v>132044.89000000001</v>
      </c>
      <c r="T719" s="270">
        <f t="shared" si="210"/>
        <v>132044.89000000001</v>
      </c>
      <c r="U719" s="270">
        <f t="shared" si="209"/>
        <v>132044.89000000001</v>
      </c>
      <c r="V719" s="270">
        <f t="shared" si="209"/>
        <v>132044.89000000001</v>
      </c>
      <c r="W719" s="270">
        <f t="shared" si="209"/>
        <v>132044.89000000001</v>
      </c>
      <c r="X719" s="270">
        <f t="shared" si="209"/>
        <v>132044.89000000001</v>
      </c>
      <c r="Y719" s="270">
        <f t="shared" si="209"/>
        <v>132044.89000000001</v>
      </c>
      <c r="Z719" s="270">
        <f t="shared" si="209"/>
        <v>132044.89000000001</v>
      </c>
      <c r="AA719" s="270">
        <f t="shared" si="209"/>
        <v>132044.89000000001</v>
      </c>
      <c r="AB719" s="270">
        <f t="shared" si="209"/>
        <v>132044.89000000001</v>
      </c>
      <c r="AC719" s="270">
        <f t="shared" si="209"/>
        <v>132044.89000000001</v>
      </c>
      <c r="AD719" s="270">
        <f t="shared" si="207"/>
        <v>132044.89000000001</v>
      </c>
      <c r="AE719" s="270">
        <f t="shared" si="207"/>
        <v>132044.89000000001</v>
      </c>
      <c r="AF719" s="270">
        <f t="shared" si="212"/>
        <v>132044.89000000001</v>
      </c>
      <c r="AG719" s="270">
        <f t="shared" si="212"/>
        <v>132044.89000000001</v>
      </c>
      <c r="AH719" s="270">
        <f t="shared" si="212"/>
        <v>132044.89000000001</v>
      </c>
      <c r="AI719" s="270">
        <f t="shared" si="212"/>
        <v>132044.89000000001</v>
      </c>
      <c r="AJ719" s="270">
        <f t="shared" si="212"/>
        <v>132044.89000000001</v>
      </c>
      <c r="AK719" s="270">
        <f t="shared" si="212"/>
        <v>132044.89000000001</v>
      </c>
      <c r="AL719" s="270">
        <f t="shared" si="212"/>
        <v>132044.89000000001</v>
      </c>
      <c r="AM719" s="270">
        <f t="shared" si="212"/>
        <v>132044.89000000001</v>
      </c>
    </row>
    <row r="720" spans="2:39" ht="15.75" thickBot="1" x14ac:dyDescent="0.35">
      <c r="B720" s="56" t="str">
        <f>input_names!$C$3</f>
        <v>diesel</v>
      </c>
      <c r="C720" s="61">
        <v>318</v>
      </c>
      <c r="D720" s="270">
        <f t="shared" si="211"/>
        <v>93759</v>
      </c>
      <c r="E720" s="270">
        <f t="shared" si="211"/>
        <v>103298.93</v>
      </c>
      <c r="F720" s="270">
        <f t="shared" si="211"/>
        <v>106087.57</v>
      </c>
      <c r="G720" s="270">
        <f t="shared" si="211"/>
        <v>105836.9</v>
      </c>
      <c r="H720" s="270">
        <f t="shared" si="211"/>
        <v>103338.51000000001</v>
      </c>
      <c r="I720" s="270">
        <f t="shared" si="211"/>
        <v>104218.15</v>
      </c>
      <c r="J720" s="270">
        <f t="shared" si="211"/>
        <v>94655.19</v>
      </c>
      <c r="K720" s="270">
        <f t="shared" si="211"/>
        <v>99745.81</v>
      </c>
      <c r="L720" s="270">
        <f t="shared" si="211"/>
        <v>104249.5</v>
      </c>
      <c r="M720" s="270">
        <f t="shared" si="211"/>
        <v>126047.29</v>
      </c>
      <c r="N720" s="270">
        <f t="shared" si="211"/>
        <v>132722.76</v>
      </c>
      <c r="O720" s="270">
        <f t="shared" si="211"/>
        <v>132722.76</v>
      </c>
      <c r="P720" s="270">
        <f t="shared" si="211"/>
        <v>132722.76</v>
      </c>
      <c r="Q720" s="270">
        <f t="shared" si="211"/>
        <v>132722.76</v>
      </c>
      <c r="R720" s="270">
        <f t="shared" si="211"/>
        <v>132722.76</v>
      </c>
      <c r="S720" s="270">
        <f t="shared" si="210"/>
        <v>132722.76</v>
      </c>
      <c r="T720" s="270">
        <f t="shared" si="210"/>
        <v>132722.76</v>
      </c>
      <c r="U720" s="270">
        <f t="shared" si="209"/>
        <v>132722.76</v>
      </c>
      <c r="V720" s="270">
        <f t="shared" si="209"/>
        <v>132722.76</v>
      </c>
      <c r="W720" s="270">
        <f t="shared" si="209"/>
        <v>132722.76</v>
      </c>
      <c r="X720" s="270">
        <f t="shared" si="209"/>
        <v>132722.76</v>
      </c>
      <c r="Y720" s="270">
        <f t="shared" si="209"/>
        <v>132722.76</v>
      </c>
      <c r="Z720" s="270">
        <f t="shared" si="209"/>
        <v>132722.76</v>
      </c>
      <c r="AA720" s="270">
        <f t="shared" si="209"/>
        <v>132722.76</v>
      </c>
      <c r="AB720" s="270">
        <f t="shared" si="209"/>
        <v>132722.76</v>
      </c>
      <c r="AC720" s="270">
        <f t="shared" si="209"/>
        <v>132722.76</v>
      </c>
      <c r="AD720" s="270">
        <f t="shared" si="207"/>
        <v>132722.76</v>
      </c>
      <c r="AE720" s="270">
        <f t="shared" si="207"/>
        <v>132722.76</v>
      </c>
      <c r="AF720" s="270">
        <f t="shared" si="212"/>
        <v>132722.76</v>
      </c>
      <c r="AG720" s="270">
        <f t="shared" si="212"/>
        <v>132722.76</v>
      </c>
      <c r="AH720" s="270">
        <f t="shared" si="212"/>
        <v>132722.76</v>
      </c>
      <c r="AI720" s="270">
        <f t="shared" si="212"/>
        <v>132722.76</v>
      </c>
      <c r="AJ720" s="270">
        <f t="shared" si="212"/>
        <v>132722.76</v>
      </c>
      <c r="AK720" s="270">
        <f t="shared" si="212"/>
        <v>132722.76</v>
      </c>
      <c r="AL720" s="270">
        <f t="shared" si="212"/>
        <v>132722.76</v>
      </c>
      <c r="AM720" s="270">
        <f t="shared" si="212"/>
        <v>132722.76</v>
      </c>
    </row>
    <row r="721" spans="2:39" ht="15.75" thickBot="1" x14ac:dyDescent="0.35">
      <c r="B721" s="56" t="str">
        <f>input_names!$C$3</f>
        <v>diesel</v>
      </c>
      <c r="C721" s="61">
        <v>319</v>
      </c>
      <c r="D721" s="270">
        <f t="shared" si="211"/>
        <v>94279</v>
      </c>
      <c r="E721" s="270">
        <f t="shared" si="211"/>
        <v>103861.36</v>
      </c>
      <c r="F721" s="270">
        <f t="shared" si="211"/>
        <v>106646.26</v>
      </c>
      <c r="G721" s="270">
        <f t="shared" si="211"/>
        <v>106379.28</v>
      </c>
      <c r="H721" s="270">
        <f t="shared" si="211"/>
        <v>103854.94</v>
      </c>
      <c r="I721" s="270">
        <f t="shared" si="211"/>
        <v>104726</v>
      </c>
      <c r="J721" s="270">
        <f t="shared" si="211"/>
        <v>95170.78</v>
      </c>
      <c r="K721" s="270">
        <f t="shared" si="211"/>
        <v>100280.48</v>
      </c>
      <c r="L721" s="270">
        <f t="shared" si="211"/>
        <v>104791.8</v>
      </c>
      <c r="M721" s="270">
        <f t="shared" si="211"/>
        <v>126702.36</v>
      </c>
      <c r="N721" s="270">
        <f t="shared" si="211"/>
        <v>133400.63</v>
      </c>
      <c r="O721" s="270">
        <f t="shared" si="211"/>
        <v>133400.63</v>
      </c>
      <c r="P721" s="270">
        <f t="shared" si="211"/>
        <v>133400.63</v>
      </c>
      <c r="Q721" s="270">
        <f t="shared" si="211"/>
        <v>133400.63</v>
      </c>
      <c r="R721" s="270">
        <f t="shared" si="211"/>
        <v>133400.63</v>
      </c>
      <c r="S721" s="270">
        <f t="shared" si="210"/>
        <v>133400.63</v>
      </c>
      <c r="T721" s="270">
        <f t="shared" si="210"/>
        <v>133400.63</v>
      </c>
      <c r="U721" s="270">
        <f t="shared" si="209"/>
        <v>133400.63</v>
      </c>
      <c r="V721" s="270">
        <f t="shared" si="209"/>
        <v>133400.63</v>
      </c>
      <c r="W721" s="270">
        <f t="shared" si="209"/>
        <v>133400.63</v>
      </c>
      <c r="X721" s="270">
        <f t="shared" si="209"/>
        <v>133400.63</v>
      </c>
      <c r="Y721" s="270">
        <f t="shared" si="209"/>
        <v>133400.63</v>
      </c>
      <c r="Z721" s="270">
        <f t="shared" si="209"/>
        <v>133400.63</v>
      </c>
      <c r="AA721" s="270">
        <f t="shared" si="209"/>
        <v>133400.63</v>
      </c>
      <c r="AB721" s="270">
        <f t="shared" si="209"/>
        <v>133400.63</v>
      </c>
      <c r="AC721" s="270">
        <f t="shared" si="209"/>
        <v>133400.63</v>
      </c>
      <c r="AD721" s="270">
        <f t="shared" si="207"/>
        <v>133400.63</v>
      </c>
      <c r="AE721" s="270">
        <f t="shared" si="207"/>
        <v>133400.63</v>
      </c>
      <c r="AF721" s="270">
        <f t="shared" si="212"/>
        <v>133400.63</v>
      </c>
      <c r="AG721" s="270">
        <f t="shared" si="212"/>
        <v>133400.63</v>
      </c>
      <c r="AH721" s="270">
        <f t="shared" si="212"/>
        <v>133400.63</v>
      </c>
      <c r="AI721" s="270">
        <f t="shared" si="212"/>
        <v>133400.63</v>
      </c>
      <c r="AJ721" s="270">
        <f t="shared" si="212"/>
        <v>133400.63</v>
      </c>
      <c r="AK721" s="270">
        <f t="shared" si="212"/>
        <v>133400.63</v>
      </c>
      <c r="AL721" s="270">
        <f t="shared" si="212"/>
        <v>133400.63</v>
      </c>
      <c r="AM721" s="270">
        <f t="shared" si="212"/>
        <v>133400.63</v>
      </c>
    </row>
    <row r="722" spans="2:39" ht="15.75" thickBot="1" x14ac:dyDescent="0.35">
      <c r="B722" s="56" t="str">
        <f>input_names!$C$3</f>
        <v>diesel</v>
      </c>
      <c r="C722" s="61">
        <v>320</v>
      </c>
      <c r="D722" s="270">
        <f t="shared" ref="D722:R737" si="213">+MIN(MAX(0,$C722-D$11),D$12-D$11)*D$17
+MIN(MAX(0,$C722-D$12),D$13-D$12)*D$18
+MIN(MAX(0,$C722-D$13),D$14-D$13)*D$19
+MIN(MAX(0,$C722-D$14),D$15-D$14)*D$20
+MAX(0,$C722-D$15)*D$21
+D$24*MAX(0,$C722-D$23)
+D$26</f>
        <v>94799</v>
      </c>
      <c r="E722" s="270">
        <f t="shared" si="213"/>
        <v>104423.79000000001</v>
      </c>
      <c r="F722" s="270">
        <f t="shared" si="213"/>
        <v>107204.95</v>
      </c>
      <c r="G722" s="270">
        <f t="shared" si="213"/>
        <v>106921.66</v>
      </c>
      <c r="H722" s="270">
        <f t="shared" si="213"/>
        <v>104371.37</v>
      </c>
      <c r="I722" s="270">
        <f t="shared" si="213"/>
        <v>105233.85</v>
      </c>
      <c r="J722" s="270">
        <f t="shared" si="213"/>
        <v>95686.37</v>
      </c>
      <c r="K722" s="270">
        <f t="shared" si="213"/>
        <v>100815.15</v>
      </c>
      <c r="L722" s="270">
        <f t="shared" si="213"/>
        <v>105334.1</v>
      </c>
      <c r="M722" s="270">
        <f t="shared" si="213"/>
        <v>127357.43</v>
      </c>
      <c r="N722" s="270">
        <f t="shared" si="213"/>
        <v>134078.5</v>
      </c>
      <c r="O722" s="270">
        <f t="shared" si="213"/>
        <v>134078.5</v>
      </c>
      <c r="P722" s="270">
        <f t="shared" si="213"/>
        <v>134078.5</v>
      </c>
      <c r="Q722" s="270">
        <f t="shared" si="213"/>
        <v>134078.5</v>
      </c>
      <c r="R722" s="270">
        <f t="shared" si="213"/>
        <v>134078.5</v>
      </c>
      <c r="S722" s="270">
        <f t="shared" si="210"/>
        <v>134078.5</v>
      </c>
      <c r="T722" s="270">
        <f t="shared" si="210"/>
        <v>134078.5</v>
      </c>
      <c r="U722" s="270">
        <f t="shared" si="209"/>
        <v>134078.5</v>
      </c>
      <c r="V722" s="270">
        <f t="shared" si="209"/>
        <v>134078.5</v>
      </c>
      <c r="W722" s="270">
        <f t="shared" si="209"/>
        <v>134078.5</v>
      </c>
      <c r="X722" s="270">
        <f t="shared" si="209"/>
        <v>134078.5</v>
      </c>
      <c r="Y722" s="270">
        <f t="shared" si="209"/>
        <v>134078.5</v>
      </c>
      <c r="Z722" s="270">
        <f t="shared" si="209"/>
        <v>134078.5</v>
      </c>
      <c r="AA722" s="270">
        <f t="shared" si="209"/>
        <v>134078.5</v>
      </c>
      <c r="AB722" s="270">
        <f t="shared" si="209"/>
        <v>134078.5</v>
      </c>
      <c r="AC722" s="270">
        <f t="shared" si="209"/>
        <v>134078.5</v>
      </c>
      <c r="AD722" s="270">
        <f t="shared" si="207"/>
        <v>134078.5</v>
      </c>
      <c r="AE722" s="270">
        <f t="shared" si="207"/>
        <v>134078.5</v>
      </c>
      <c r="AF722" s="270">
        <f t="shared" si="212"/>
        <v>134078.5</v>
      </c>
      <c r="AG722" s="270">
        <f t="shared" si="212"/>
        <v>134078.5</v>
      </c>
      <c r="AH722" s="270">
        <f t="shared" si="212"/>
        <v>134078.5</v>
      </c>
      <c r="AI722" s="270">
        <f t="shared" si="212"/>
        <v>134078.5</v>
      </c>
      <c r="AJ722" s="270">
        <f t="shared" si="212"/>
        <v>134078.5</v>
      </c>
      <c r="AK722" s="270">
        <f t="shared" si="212"/>
        <v>134078.5</v>
      </c>
      <c r="AL722" s="270">
        <f t="shared" si="212"/>
        <v>134078.5</v>
      </c>
      <c r="AM722" s="270">
        <f t="shared" si="212"/>
        <v>134078.5</v>
      </c>
    </row>
    <row r="723" spans="2:39" ht="15.75" thickBot="1" x14ac:dyDescent="0.35">
      <c r="B723" s="56" t="str">
        <f>input_names!$C$3</f>
        <v>diesel</v>
      </c>
      <c r="C723" s="61">
        <v>321</v>
      </c>
      <c r="D723" s="270">
        <f t="shared" si="213"/>
        <v>95319</v>
      </c>
      <c r="E723" s="270">
        <f t="shared" si="213"/>
        <v>104986.22</v>
      </c>
      <c r="F723" s="270">
        <f t="shared" si="213"/>
        <v>107763.64</v>
      </c>
      <c r="G723" s="270">
        <f t="shared" si="213"/>
        <v>107464.04</v>
      </c>
      <c r="H723" s="270">
        <f t="shared" si="213"/>
        <v>104887.8</v>
      </c>
      <c r="I723" s="270">
        <f t="shared" si="213"/>
        <v>105741.7</v>
      </c>
      <c r="J723" s="270">
        <f t="shared" si="213"/>
        <v>96201.959999999992</v>
      </c>
      <c r="K723" s="270">
        <f t="shared" si="213"/>
        <v>101349.82</v>
      </c>
      <c r="L723" s="270">
        <f t="shared" si="213"/>
        <v>105876.4</v>
      </c>
      <c r="M723" s="270">
        <f t="shared" si="213"/>
        <v>128012.5</v>
      </c>
      <c r="N723" s="270">
        <f t="shared" si="213"/>
        <v>134756.37</v>
      </c>
      <c r="O723" s="270">
        <f t="shared" si="213"/>
        <v>134756.37</v>
      </c>
      <c r="P723" s="270">
        <f t="shared" si="213"/>
        <v>134756.37</v>
      </c>
      <c r="Q723" s="270">
        <f t="shared" si="213"/>
        <v>134756.37</v>
      </c>
      <c r="R723" s="270">
        <f t="shared" si="213"/>
        <v>134756.37</v>
      </c>
      <c r="S723" s="270">
        <f t="shared" si="210"/>
        <v>134756.37</v>
      </c>
      <c r="T723" s="270">
        <f t="shared" si="210"/>
        <v>134756.37</v>
      </c>
      <c r="U723" s="270">
        <f t="shared" si="209"/>
        <v>134756.37</v>
      </c>
      <c r="V723" s="270">
        <f t="shared" si="209"/>
        <v>134756.37</v>
      </c>
      <c r="W723" s="270">
        <f t="shared" si="209"/>
        <v>134756.37</v>
      </c>
      <c r="X723" s="270">
        <f t="shared" si="209"/>
        <v>134756.37</v>
      </c>
      <c r="Y723" s="270">
        <f t="shared" si="209"/>
        <v>134756.37</v>
      </c>
      <c r="Z723" s="270">
        <f t="shared" si="209"/>
        <v>134756.37</v>
      </c>
      <c r="AA723" s="270">
        <f t="shared" si="209"/>
        <v>134756.37</v>
      </c>
      <c r="AB723" s="270">
        <f t="shared" si="209"/>
        <v>134756.37</v>
      </c>
      <c r="AC723" s="270">
        <f t="shared" si="209"/>
        <v>134756.37</v>
      </c>
      <c r="AD723" s="270">
        <f t="shared" si="207"/>
        <v>134756.37</v>
      </c>
      <c r="AE723" s="270">
        <f t="shared" si="207"/>
        <v>134756.37</v>
      </c>
      <c r="AF723" s="270">
        <f t="shared" si="212"/>
        <v>134756.37</v>
      </c>
      <c r="AG723" s="270">
        <f t="shared" si="212"/>
        <v>134756.37</v>
      </c>
      <c r="AH723" s="270">
        <f t="shared" si="212"/>
        <v>134756.37</v>
      </c>
      <c r="AI723" s="270">
        <f t="shared" si="212"/>
        <v>134756.37</v>
      </c>
      <c r="AJ723" s="270">
        <f t="shared" si="212"/>
        <v>134756.37</v>
      </c>
      <c r="AK723" s="270">
        <f t="shared" si="212"/>
        <v>134756.37</v>
      </c>
      <c r="AL723" s="270">
        <f t="shared" si="212"/>
        <v>134756.37</v>
      </c>
      <c r="AM723" s="270">
        <f t="shared" si="212"/>
        <v>134756.37</v>
      </c>
    </row>
    <row r="724" spans="2:39" ht="15.75" thickBot="1" x14ac:dyDescent="0.35">
      <c r="B724" s="56" t="str">
        <f>input_names!$C$3</f>
        <v>diesel</v>
      </c>
      <c r="C724" s="61">
        <v>322</v>
      </c>
      <c r="D724" s="270">
        <f t="shared" si="213"/>
        <v>95839</v>
      </c>
      <c r="E724" s="270">
        <f t="shared" si="213"/>
        <v>105548.65</v>
      </c>
      <c r="F724" s="270">
        <f t="shared" si="213"/>
        <v>108322.33</v>
      </c>
      <c r="G724" s="270">
        <f t="shared" si="213"/>
        <v>108006.42</v>
      </c>
      <c r="H724" s="270">
        <f t="shared" si="213"/>
        <v>105404.23000000001</v>
      </c>
      <c r="I724" s="270">
        <f t="shared" si="213"/>
        <v>106249.55</v>
      </c>
      <c r="J724" s="270">
        <f t="shared" si="213"/>
        <v>96717.55</v>
      </c>
      <c r="K724" s="270">
        <f t="shared" si="213"/>
        <v>101884.49</v>
      </c>
      <c r="L724" s="270">
        <f t="shared" si="213"/>
        <v>106418.7</v>
      </c>
      <c r="M724" s="270">
        <f t="shared" si="213"/>
        <v>128667.57</v>
      </c>
      <c r="N724" s="270">
        <f t="shared" si="213"/>
        <v>135434.23999999999</v>
      </c>
      <c r="O724" s="270">
        <f t="shared" si="213"/>
        <v>135434.23999999999</v>
      </c>
      <c r="P724" s="270">
        <f t="shared" si="213"/>
        <v>135434.23999999999</v>
      </c>
      <c r="Q724" s="270">
        <f t="shared" si="213"/>
        <v>135434.23999999999</v>
      </c>
      <c r="R724" s="270">
        <f t="shared" si="213"/>
        <v>135434.23999999999</v>
      </c>
      <c r="S724" s="270">
        <f t="shared" si="210"/>
        <v>135434.23999999999</v>
      </c>
      <c r="T724" s="270">
        <f t="shared" si="210"/>
        <v>135434.23999999999</v>
      </c>
      <c r="U724" s="270">
        <f t="shared" si="209"/>
        <v>135434.23999999999</v>
      </c>
      <c r="V724" s="270">
        <f t="shared" si="209"/>
        <v>135434.23999999999</v>
      </c>
      <c r="W724" s="270">
        <f t="shared" si="209"/>
        <v>135434.23999999999</v>
      </c>
      <c r="X724" s="270">
        <f t="shared" si="209"/>
        <v>135434.23999999999</v>
      </c>
      <c r="Y724" s="270">
        <f t="shared" si="209"/>
        <v>135434.23999999999</v>
      </c>
      <c r="Z724" s="270">
        <f t="shared" si="209"/>
        <v>135434.23999999999</v>
      </c>
      <c r="AA724" s="270">
        <f t="shared" si="209"/>
        <v>135434.23999999999</v>
      </c>
      <c r="AB724" s="270">
        <f t="shared" si="209"/>
        <v>135434.23999999999</v>
      </c>
      <c r="AC724" s="270">
        <f t="shared" si="209"/>
        <v>135434.23999999999</v>
      </c>
      <c r="AD724" s="270">
        <f t="shared" si="207"/>
        <v>135434.23999999999</v>
      </c>
      <c r="AE724" s="270">
        <f t="shared" si="207"/>
        <v>135434.23999999999</v>
      </c>
      <c r="AF724" s="270">
        <f t="shared" si="212"/>
        <v>135434.23999999999</v>
      </c>
      <c r="AG724" s="270">
        <f t="shared" si="212"/>
        <v>135434.23999999999</v>
      </c>
      <c r="AH724" s="270">
        <f t="shared" si="212"/>
        <v>135434.23999999999</v>
      </c>
      <c r="AI724" s="270">
        <f t="shared" si="212"/>
        <v>135434.23999999999</v>
      </c>
      <c r="AJ724" s="270">
        <f t="shared" si="212"/>
        <v>135434.23999999999</v>
      </c>
      <c r="AK724" s="270">
        <f t="shared" si="212"/>
        <v>135434.23999999999</v>
      </c>
      <c r="AL724" s="270">
        <f t="shared" si="212"/>
        <v>135434.23999999999</v>
      </c>
      <c r="AM724" s="270">
        <f t="shared" si="212"/>
        <v>135434.23999999999</v>
      </c>
    </row>
    <row r="725" spans="2:39" ht="15.75" thickBot="1" x14ac:dyDescent="0.35">
      <c r="B725" s="56" t="str">
        <f>input_names!$C$3</f>
        <v>diesel</v>
      </c>
      <c r="C725" s="61">
        <v>323</v>
      </c>
      <c r="D725" s="270">
        <f t="shared" si="213"/>
        <v>96359</v>
      </c>
      <c r="E725" s="270">
        <f t="shared" si="213"/>
        <v>106111.08</v>
      </c>
      <c r="F725" s="270">
        <f t="shared" si="213"/>
        <v>108881.02</v>
      </c>
      <c r="G725" s="270">
        <f t="shared" si="213"/>
        <v>108548.8</v>
      </c>
      <c r="H725" s="270">
        <f t="shared" si="213"/>
        <v>105920.66</v>
      </c>
      <c r="I725" s="270">
        <f t="shared" si="213"/>
        <v>106757.4</v>
      </c>
      <c r="J725" s="270">
        <f t="shared" si="213"/>
        <v>97233.14</v>
      </c>
      <c r="K725" s="270">
        <f t="shared" si="213"/>
        <v>102419.16</v>
      </c>
      <c r="L725" s="270">
        <f t="shared" si="213"/>
        <v>106961</v>
      </c>
      <c r="M725" s="270">
        <f t="shared" si="213"/>
        <v>129322.64</v>
      </c>
      <c r="N725" s="270">
        <f t="shared" si="213"/>
        <v>136112.10999999999</v>
      </c>
      <c r="O725" s="270">
        <f t="shared" si="213"/>
        <v>136112.10999999999</v>
      </c>
      <c r="P725" s="270">
        <f t="shared" si="213"/>
        <v>136112.10999999999</v>
      </c>
      <c r="Q725" s="270">
        <f t="shared" si="213"/>
        <v>136112.10999999999</v>
      </c>
      <c r="R725" s="270">
        <f t="shared" si="213"/>
        <v>136112.10999999999</v>
      </c>
      <c r="S725" s="270">
        <f t="shared" si="210"/>
        <v>136112.10999999999</v>
      </c>
      <c r="T725" s="270">
        <f t="shared" si="210"/>
        <v>136112.10999999999</v>
      </c>
      <c r="U725" s="270">
        <f t="shared" si="209"/>
        <v>136112.10999999999</v>
      </c>
      <c r="V725" s="270">
        <f t="shared" si="209"/>
        <v>136112.10999999999</v>
      </c>
      <c r="W725" s="270">
        <f t="shared" si="209"/>
        <v>136112.10999999999</v>
      </c>
      <c r="X725" s="270">
        <f t="shared" si="209"/>
        <v>136112.10999999999</v>
      </c>
      <c r="Y725" s="270">
        <f t="shared" si="209"/>
        <v>136112.10999999999</v>
      </c>
      <c r="Z725" s="270">
        <f t="shared" si="209"/>
        <v>136112.10999999999</v>
      </c>
      <c r="AA725" s="270">
        <f t="shared" si="209"/>
        <v>136112.10999999999</v>
      </c>
      <c r="AB725" s="270">
        <f t="shared" si="209"/>
        <v>136112.10999999999</v>
      </c>
      <c r="AC725" s="270">
        <f t="shared" si="209"/>
        <v>136112.10999999999</v>
      </c>
      <c r="AD725" s="270">
        <f t="shared" si="207"/>
        <v>136112.10999999999</v>
      </c>
      <c r="AE725" s="270">
        <f t="shared" si="207"/>
        <v>136112.10999999999</v>
      </c>
      <c r="AF725" s="270">
        <f t="shared" si="212"/>
        <v>136112.10999999999</v>
      </c>
      <c r="AG725" s="270">
        <f t="shared" si="212"/>
        <v>136112.10999999999</v>
      </c>
      <c r="AH725" s="270">
        <f t="shared" si="212"/>
        <v>136112.10999999999</v>
      </c>
      <c r="AI725" s="270">
        <f t="shared" si="212"/>
        <v>136112.10999999999</v>
      </c>
      <c r="AJ725" s="270">
        <f t="shared" si="212"/>
        <v>136112.10999999999</v>
      </c>
      <c r="AK725" s="270">
        <f t="shared" si="212"/>
        <v>136112.10999999999</v>
      </c>
      <c r="AL725" s="270">
        <f t="shared" si="212"/>
        <v>136112.10999999999</v>
      </c>
      <c r="AM725" s="270">
        <f t="shared" si="212"/>
        <v>136112.10999999999</v>
      </c>
    </row>
    <row r="726" spans="2:39" ht="15.75" thickBot="1" x14ac:dyDescent="0.35">
      <c r="B726" s="56" t="str">
        <f>input_names!$C$3</f>
        <v>diesel</v>
      </c>
      <c r="C726" s="61">
        <v>324</v>
      </c>
      <c r="D726" s="270">
        <f t="shared" si="213"/>
        <v>96879</v>
      </c>
      <c r="E726" s="270">
        <f t="shared" si="213"/>
        <v>106673.51000000001</v>
      </c>
      <c r="F726" s="270">
        <f t="shared" si="213"/>
        <v>109439.70999999999</v>
      </c>
      <c r="G726" s="270">
        <f t="shared" si="213"/>
        <v>109091.18</v>
      </c>
      <c r="H726" s="270">
        <f t="shared" si="213"/>
        <v>106437.09</v>
      </c>
      <c r="I726" s="270">
        <f t="shared" si="213"/>
        <v>107265.25</v>
      </c>
      <c r="J726" s="270">
        <f t="shared" si="213"/>
        <v>97748.73</v>
      </c>
      <c r="K726" s="270">
        <f t="shared" si="213"/>
        <v>102953.83</v>
      </c>
      <c r="L726" s="270">
        <f t="shared" si="213"/>
        <v>107503.3</v>
      </c>
      <c r="M726" s="270">
        <f t="shared" si="213"/>
        <v>129977.70999999999</v>
      </c>
      <c r="N726" s="270">
        <f t="shared" si="213"/>
        <v>136789.98000000001</v>
      </c>
      <c r="O726" s="270">
        <f t="shared" si="213"/>
        <v>136789.98000000001</v>
      </c>
      <c r="P726" s="270">
        <f t="shared" si="213"/>
        <v>136789.98000000001</v>
      </c>
      <c r="Q726" s="270">
        <f t="shared" si="213"/>
        <v>136789.98000000001</v>
      </c>
      <c r="R726" s="270">
        <f t="shared" si="213"/>
        <v>136789.98000000001</v>
      </c>
      <c r="S726" s="270">
        <f t="shared" si="210"/>
        <v>136789.98000000001</v>
      </c>
      <c r="T726" s="270">
        <f t="shared" si="210"/>
        <v>136789.98000000001</v>
      </c>
      <c r="U726" s="270">
        <f t="shared" si="209"/>
        <v>136789.98000000001</v>
      </c>
      <c r="V726" s="270">
        <f t="shared" si="209"/>
        <v>136789.98000000001</v>
      </c>
      <c r="W726" s="270">
        <f t="shared" ref="U726:AC752" si="214">+MIN(MAX(0,$C726-W$11),W$12-W$11)*W$17
+MIN(MAX(0,$C726-W$12),W$13-W$12)*W$18
+MIN(MAX(0,$C726-W$13),W$14-W$13)*W$19
+MIN(MAX(0,$C726-W$14),W$15-W$14)*W$20
+MAX(0,$C726-W$15)*W$21
+W$24*MAX(0,$C726-W$23)
+W$26</f>
        <v>136789.98000000001</v>
      </c>
      <c r="X726" s="270">
        <f t="shared" si="214"/>
        <v>136789.98000000001</v>
      </c>
      <c r="Y726" s="270">
        <f t="shared" si="214"/>
        <v>136789.98000000001</v>
      </c>
      <c r="Z726" s="270">
        <f t="shared" si="214"/>
        <v>136789.98000000001</v>
      </c>
      <c r="AA726" s="270">
        <f t="shared" si="214"/>
        <v>136789.98000000001</v>
      </c>
      <c r="AB726" s="270">
        <f t="shared" si="214"/>
        <v>136789.98000000001</v>
      </c>
      <c r="AC726" s="270">
        <f t="shared" si="214"/>
        <v>136789.98000000001</v>
      </c>
      <c r="AD726" s="270">
        <f t="shared" si="207"/>
        <v>136789.98000000001</v>
      </c>
      <c r="AE726" s="270">
        <f t="shared" si="207"/>
        <v>136789.98000000001</v>
      </c>
      <c r="AF726" s="270">
        <f t="shared" si="212"/>
        <v>136789.98000000001</v>
      </c>
      <c r="AG726" s="270">
        <f t="shared" si="212"/>
        <v>136789.98000000001</v>
      </c>
      <c r="AH726" s="270">
        <f t="shared" si="212"/>
        <v>136789.98000000001</v>
      </c>
      <c r="AI726" s="270">
        <f t="shared" si="212"/>
        <v>136789.98000000001</v>
      </c>
      <c r="AJ726" s="270">
        <f t="shared" si="212"/>
        <v>136789.98000000001</v>
      </c>
      <c r="AK726" s="270">
        <f t="shared" si="212"/>
        <v>136789.98000000001</v>
      </c>
      <c r="AL726" s="270">
        <f t="shared" si="212"/>
        <v>136789.98000000001</v>
      </c>
      <c r="AM726" s="270">
        <f t="shared" si="212"/>
        <v>136789.98000000001</v>
      </c>
    </row>
    <row r="727" spans="2:39" ht="15.75" thickBot="1" x14ac:dyDescent="0.35">
      <c r="B727" s="56" t="str">
        <f>input_names!$C$3</f>
        <v>diesel</v>
      </c>
      <c r="C727" s="61">
        <v>325</v>
      </c>
      <c r="D727" s="270">
        <f t="shared" si="213"/>
        <v>97399</v>
      </c>
      <c r="E727" s="270">
        <f t="shared" si="213"/>
        <v>107235.94</v>
      </c>
      <c r="F727" s="270">
        <f t="shared" si="213"/>
        <v>109998.39999999999</v>
      </c>
      <c r="G727" s="270">
        <f t="shared" si="213"/>
        <v>109633.56</v>
      </c>
      <c r="H727" s="270">
        <f t="shared" si="213"/>
        <v>106953.52</v>
      </c>
      <c r="I727" s="270">
        <f t="shared" si="213"/>
        <v>107773.1</v>
      </c>
      <c r="J727" s="270">
        <f t="shared" si="213"/>
        <v>98264.320000000007</v>
      </c>
      <c r="K727" s="270">
        <f t="shared" si="213"/>
        <v>103488.5</v>
      </c>
      <c r="L727" s="270">
        <f t="shared" si="213"/>
        <v>108045.6</v>
      </c>
      <c r="M727" s="270">
        <f t="shared" si="213"/>
        <v>130632.78</v>
      </c>
      <c r="N727" s="270">
        <f t="shared" si="213"/>
        <v>137467.85</v>
      </c>
      <c r="O727" s="270">
        <f t="shared" si="213"/>
        <v>137467.85</v>
      </c>
      <c r="P727" s="270">
        <f t="shared" si="213"/>
        <v>137467.85</v>
      </c>
      <c r="Q727" s="270">
        <f t="shared" si="213"/>
        <v>137467.85</v>
      </c>
      <c r="R727" s="270">
        <f t="shared" si="213"/>
        <v>137467.85</v>
      </c>
      <c r="S727" s="270">
        <f t="shared" si="210"/>
        <v>137467.85</v>
      </c>
      <c r="T727" s="270">
        <f t="shared" si="210"/>
        <v>137467.85</v>
      </c>
      <c r="U727" s="270">
        <f t="shared" si="214"/>
        <v>137467.85</v>
      </c>
      <c r="V727" s="270">
        <f t="shared" si="214"/>
        <v>137467.85</v>
      </c>
      <c r="W727" s="270">
        <f t="shared" si="214"/>
        <v>137467.85</v>
      </c>
      <c r="X727" s="270">
        <f t="shared" si="214"/>
        <v>137467.85</v>
      </c>
      <c r="Y727" s="270">
        <f t="shared" si="214"/>
        <v>137467.85</v>
      </c>
      <c r="Z727" s="270">
        <f t="shared" si="214"/>
        <v>137467.85</v>
      </c>
      <c r="AA727" s="270">
        <f t="shared" si="214"/>
        <v>137467.85</v>
      </c>
      <c r="AB727" s="270">
        <f t="shared" si="214"/>
        <v>137467.85</v>
      </c>
      <c r="AC727" s="270">
        <f t="shared" si="214"/>
        <v>137467.85</v>
      </c>
      <c r="AD727" s="270">
        <f t="shared" si="207"/>
        <v>137467.85</v>
      </c>
      <c r="AE727" s="270">
        <f t="shared" si="207"/>
        <v>137467.85</v>
      </c>
      <c r="AF727" s="270">
        <f t="shared" si="212"/>
        <v>137467.85</v>
      </c>
      <c r="AG727" s="270">
        <f t="shared" si="212"/>
        <v>137467.85</v>
      </c>
      <c r="AH727" s="270">
        <f t="shared" si="212"/>
        <v>137467.85</v>
      </c>
      <c r="AI727" s="270">
        <f t="shared" si="212"/>
        <v>137467.85</v>
      </c>
      <c r="AJ727" s="270">
        <f t="shared" si="212"/>
        <v>137467.85</v>
      </c>
      <c r="AK727" s="270">
        <f t="shared" si="212"/>
        <v>137467.85</v>
      </c>
      <c r="AL727" s="270">
        <f t="shared" si="212"/>
        <v>137467.85</v>
      </c>
      <c r="AM727" s="270">
        <f t="shared" si="212"/>
        <v>137467.85</v>
      </c>
    </row>
    <row r="728" spans="2:39" ht="15.75" thickBot="1" x14ac:dyDescent="0.35">
      <c r="B728" s="56" t="str">
        <f>input_names!$C$3</f>
        <v>diesel</v>
      </c>
      <c r="C728" s="61">
        <v>326</v>
      </c>
      <c r="D728" s="270">
        <f t="shared" si="213"/>
        <v>97919</v>
      </c>
      <c r="E728" s="270">
        <f t="shared" si="213"/>
        <v>107798.37</v>
      </c>
      <c r="F728" s="270">
        <f t="shared" si="213"/>
        <v>110557.09</v>
      </c>
      <c r="G728" s="270">
        <f t="shared" si="213"/>
        <v>110175.94</v>
      </c>
      <c r="H728" s="270">
        <f t="shared" si="213"/>
        <v>107469.95</v>
      </c>
      <c r="I728" s="270">
        <f t="shared" si="213"/>
        <v>108280.95</v>
      </c>
      <c r="J728" s="270">
        <f t="shared" si="213"/>
        <v>98779.91</v>
      </c>
      <c r="K728" s="270">
        <f t="shared" si="213"/>
        <v>104023.17</v>
      </c>
      <c r="L728" s="270">
        <f t="shared" si="213"/>
        <v>108587.9</v>
      </c>
      <c r="M728" s="270">
        <f t="shared" si="213"/>
        <v>131287.85</v>
      </c>
      <c r="N728" s="270">
        <f t="shared" si="213"/>
        <v>138145.72</v>
      </c>
      <c r="O728" s="270">
        <f t="shared" si="213"/>
        <v>138145.72</v>
      </c>
      <c r="P728" s="270">
        <f t="shared" si="213"/>
        <v>138145.72</v>
      </c>
      <c r="Q728" s="270">
        <f t="shared" si="213"/>
        <v>138145.72</v>
      </c>
      <c r="R728" s="270">
        <f t="shared" si="213"/>
        <v>138145.72</v>
      </c>
      <c r="S728" s="270">
        <f t="shared" si="210"/>
        <v>138145.72</v>
      </c>
      <c r="T728" s="270">
        <f t="shared" si="210"/>
        <v>138145.72</v>
      </c>
      <c r="U728" s="270">
        <f t="shared" si="214"/>
        <v>138145.72</v>
      </c>
      <c r="V728" s="270">
        <f t="shared" si="214"/>
        <v>138145.72</v>
      </c>
      <c r="W728" s="270">
        <f t="shared" si="214"/>
        <v>138145.72</v>
      </c>
      <c r="X728" s="270">
        <f t="shared" si="214"/>
        <v>138145.72</v>
      </c>
      <c r="Y728" s="270">
        <f t="shared" si="214"/>
        <v>138145.72</v>
      </c>
      <c r="Z728" s="270">
        <f t="shared" si="214"/>
        <v>138145.72</v>
      </c>
      <c r="AA728" s="270">
        <f t="shared" si="214"/>
        <v>138145.72</v>
      </c>
      <c r="AB728" s="270">
        <f t="shared" si="214"/>
        <v>138145.72</v>
      </c>
      <c r="AC728" s="270">
        <f t="shared" si="214"/>
        <v>138145.72</v>
      </c>
      <c r="AD728" s="270">
        <f t="shared" si="207"/>
        <v>138145.72</v>
      </c>
      <c r="AE728" s="270">
        <f t="shared" si="207"/>
        <v>138145.72</v>
      </c>
      <c r="AF728" s="270">
        <f t="shared" si="212"/>
        <v>138145.72</v>
      </c>
      <c r="AG728" s="270">
        <f t="shared" si="212"/>
        <v>138145.72</v>
      </c>
      <c r="AH728" s="270">
        <f t="shared" si="212"/>
        <v>138145.72</v>
      </c>
      <c r="AI728" s="270">
        <f t="shared" si="212"/>
        <v>138145.72</v>
      </c>
      <c r="AJ728" s="270">
        <f t="shared" si="212"/>
        <v>138145.72</v>
      </c>
      <c r="AK728" s="270">
        <f t="shared" si="212"/>
        <v>138145.72</v>
      </c>
      <c r="AL728" s="270">
        <f t="shared" si="212"/>
        <v>138145.72</v>
      </c>
      <c r="AM728" s="270">
        <f t="shared" si="212"/>
        <v>138145.72</v>
      </c>
    </row>
    <row r="729" spans="2:39" ht="15.75" thickBot="1" x14ac:dyDescent="0.35">
      <c r="B729" s="56" t="str">
        <f>input_names!$C$3</f>
        <v>diesel</v>
      </c>
      <c r="C729" s="61">
        <v>327</v>
      </c>
      <c r="D729" s="270">
        <f t="shared" si="213"/>
        <v>98439</v>
      </c>
      <c r="E729" s="270">
        <f t="shared" si="213"/>
        <v>108360.8</v>
      </c>
      <c r="F729" s="270">
        <f t="shared" si="213"/>
        <v>111115.78</v>
      </c>
      <c r="G729" s="270">
        <f t="shared" si="213"/>
        <v>110718.32</v>
      </c>
      <c r="H729" s="270">
        <f t="shared" si="213"/>
        <v>107986.38</v>
      </c>
      <c r="I729" s="270">
        <f t="shared" si="213"/>
        <v>108788.8</v>
      </c>
      <c r="J729" s="270">
        <f t="shared" si="213"/>
        <v>99295.5</v>
      </c>
      <c r="K729" s="270">
        <f t="shared" si="213"/>
        <v>104557.84</v>
      </c>
      <c r="L729" s="270">
        <f t="shared" si="213"/>
        <v>109130.2</v>
      </c>
      <c r="M729" s="270">
        <f t="shared" si="213"/>
        <v>131942.91999999998</v>
      </c>
      <c r="N729" s="270">
        <f t="shared" si="213"/>
        <v>138823.59</v>
      </c>
      <c r="O729" s="270">
        <f t="shared" si="213"/>
        <v>138823.59</v>
      </c>
      <c r="P729" s="270">
        <f t="shared" si="213"/>
        <v>138823.59</v>
      </c>
      <c r="Q729" s="270">
        <f t="shared" si="213"/>
        <v>138823.59</v>
      </c>
      <c r="R729" s="270">
        <f t="shared" si="213"/>
        <v>138823.59</v>
      </c>
      <c r="S729" s="270">
        <f t="shared" si="210"/>
        <v>138823.59</v>
      </c>
      <c r="T729" s="270">
        <f t="shared" si="210"/>
        <v>138823.59</v>
      </c>
      <c r="U729" s="270">
        <f t="shared" si="214"/>
        <v>138823.59</v>
      </c>
      <c r="V729" s="270">
        <f t="shared" si="214"/>
        <v>138823.59</v>
      </c>
      <c r="W729" s="270">
        <f t="shared" si="214"/>
        <v>138823.59</v>
      </c>
      <c r="X729" s="270">
        <f t="shared" si="214"/>
        <v>138823.59</v>
      </c>
      <c r="Y729" s="270">
        <f t="shared" si="214"/>
        <v>138823.59</v>
      </c>
      <c r="Z729" s="270">
        <f t="shared" si="214"/>
        <v>138823.59</v>
      </c>
      <c r="AA729" s="270">
        <f t="shared" si="214"/>
        <v>138823.59</v>
      </c>
      <c r="AB729" s="270">
        <f t="shared" si="214"/>
        <v>138823.59</v>
      </c>
      <c r="AC729" s="270">
        <f t="shared" si="214"/>
        <v>138823.59</v>
      </c>
      <c r="AD729" s="270">
        <f t="shared" si="207"/>
        <v>138823.59</v>
      </c>
      <c r="AE729" s="270">
        <f t="shared" si="207"/>
        <v>138823.59</v>
      </c>
      <c r="AF729" s="270">
        <f t="shared" si="212"/>
        <v>138823.59</v>
      </c>
      <c r="AG729" s="270">
        <f t="shared" si="212"/>
        <v>138823.59</v>
      </c>
      <c r="AH729" s="270">
        <f t="shared" si="212"/>
        <v>138823.59</v>
      </c>
      <c r="AI729" s="270">
        <f t="shared" si="212"/>
        <v>138823.59</v>
      </c>
      <c r="AJ729" s="270">
        <f t="shared" si="212"/>
        <v>138823.59</v>
      </c>
      <c r="AK729" s="270">
        <f t="shared" si="212"/>
        <v>138823.59</v>
      </c>
      <c r="AL729" s="270">
        <f t="shared" si="212"/>
        <v>138823.59</v>
      </c>
      <c r="AM729" s="270">
        <f t="shared" si="212"/>
        <v>138823.59</v>
      </c>
    </row>
    <row r="730" spans="2:39" ht="15.75" thickBot="1" x14ac:dyDescent="0.35">
      <c r="B730" s="56" t="str">
        <f>input_names!$C$3</f>
        <v>diesel</v>
      </c>
      <c r="C730" s="61">
        <v>328</v>
      </c>
      <c r="D730" s="270">
        <f t="shared" si="213"/>
        <v>98959</v>
      </c>
      <c r="E730" s="270">
        <f t="shared" si="213"/>
        <v>108923.23000000001</v>
      </c>
      <c r="F730" s="270">
        <f t="shared" si="213"/>
        <v>111674.47</v>
      </c>
      <c r="G730" s="270">
        <f t="shared" si="213"/>
        <v>111260.7</v>
      </c>
      <c r="H730" s="270">
        <f t="shared" si="213"/>
        <v>108502.81</v>
      </c>
      <c r="I730" s="270">
        <f t="shared" si="213"/>
        <v>109296.65</v>
      </c>
      <c r="J730" s="270">
        <f t="shared" si="213"/>
        <v>99811.09</v>
      </c>
      <c r="K730" s="270">
        <f t="shared" si="213"/>
        <v>105092.51000000001</v>
      </c>
      <c r="L730" s="270">
        <f t="shared" si="213"/>
        <v>109672.5</v>
      </c>
      <c r="M730" s="270">
        <f t="shared" si="213"/>
        <v>132597.99</v>
      </c>
      <c r="N730" s="270">
        <f t="shared" si="213"/>
        <v>139501.46</v>
      </c>
      <c r="O730" s="270">
        <f t="shared" si="213"/>
        <v>139501.46</v>
      </c>
      <c r="P730" s="270">
        <f t="shared" si="213"/>
        <v>139501.46</v>
      </c>
      <c r="Q730" s="270">
        <f t="shared" si="213"/>
        <v>139501.46</v>
      </c>
      <c r="R730" s="270">
        <f t="shared" si="213"/>
        <v>139501.46</v>
      </c>
      <c r="S730" s="270">
        <f t="shared" si="210"/>
        <v>139501.46</v>
      </c>
      <c r="T730" s="270">
        <f t="shared" si="210"/>
        <v>139501.46</v>
      </c>
      <c r="U730" s="270">
        <f t="shared" si="214"/>
        <v>139501.46</v>
      </c>
      <c r="V730" s="270">
        <f t="shared" si="214"/>
        <v>139501.46</v>
      </c>
      <c r="W730" s="270">
        <f t="shared" si="214"/>
        <v>139501.46</v>
      </c>
      <c r="X730" s="270">
        <f t="shared" si="214"/>
        <v>139501.46</v>
      </c>
      <c r="Y730" s="270">
        <f t="shared" si="214"/>
        <v>139501.46</v>
      </c>
      <c r="Z730" s="270">
        <f t="shared" si="214"/>
        <v>139501.46</v>
      </c>
      <c r="AA730" s="270">
        <f t="shared" si="214"/>
        <v>139501.46</v>
      </c>
      <c r="AB730" s="270">
        <f t="shared" si="214"/>
        <v>139501.46</v>
      </c>
      <c r="AC730" s="270">
        <f t="shared" si="214"/>
        <v>139501.46</v>
      </c>
      <c r="AD730" s="270">
        <f t="shared" si="207"/>
        <v>139501.46</v>
      </c>
      <c r="AE730" s="270">
        <f t="shared" si="207"/>
        <v>139501.46</v>
      </c>
      <c r="AF730" s="270">
        <f t="shared" si="212"/>
        <v>139501.46</v>
      </c>
      <c r="AG730" s="270">
        <f t="shared" si="212"/>
        <v>139501.46</v>
      </c>
      <c r="AH730" s="270">
        <f t="shared" si="212"/>
        <v>139501.46</v>
      </c>
      <c r="AI730" s="270">
        <f t="shared" si="212"/>
        <v>139501.46</v>
      </c>
      <c r="AJ730" s="270">
        <f t="shared" si="212"/>
        <v>139501.46</v>
      </c>
      <c r="AK730" s="270">
        <f t="shared" si="212"/>
        <v>139501.46</v>
      </c>
      <c r="AL730" s="270">
        <f t="shared" si="212"/>
        <v>139501.46</v>
      </c>
      <c r="AM730" s="270">
        <f t="shared" si="212"/>
        <v>139501.46</v>
      </c>
    </row>
    <row r="731" spans="2:39" ht="15.75" thickBot="1" x14ac:dyDescent="0.35">
      <c r="B731" s="56" t="str">
        <f>input_names!$C$3</f>
        <v>diesel</v>
      </c>
      <c r="C731" s="61">
        <v>329</v>
      </c>
      <c r="D731" s="270">
        <f t="shared" si="213"/>
        <v>99479</v>
      </c>
      <c r="E731" s="270">
        <f t="shared" si="213"/>
        <v>109485.66</v>
      </c>
      <c r="F731" s="270">
        <f t="shared" si="213"/>
        <v>112233.16</v>
      </c>
      <c r="G731" s="270">
        <f t="shared" si="213"/>
        <v>111803.08</v>
      </c>
      <c r="H731" s="270">
        <f t="shared" si="213"/>
        <v>109019.24</v>
      </c>
      <c r="I731" s="270">
        <f t="shared" si="213"/>
        <v>109804.5</v>
      </c>
      <c r="J731" s="270">
        <f t="shared" si="213"/>
        <v>100326.68</v>
      </c>
      <c r="K731" s="270">
        <f t="shared" si="213"/>
        <v>105627.18</v>
      </c>
      <c r="L731" s="270">
        <f t="shared" si="213"/>
        <v>110214.8</v>
      </c>
      <c r="M731" s="270">
        <f t="shared" si="213"/>
        <v>133253.06</v>
      </c>
      <c r="N731" s="270">
        <f t="shared" si="213"/>
        <v>140179.33000000002</v>
      </c>
      <c r="O731" s="270">
        <f t="shared" si="213"/>
        <v>140179.33000000002</v>
      </c>
      <c r="P731" s="270">
        <f t="shared" si="213"/>
        <v>140179.33000000002</v>
      </c>
      <c r="Q731" s="270">
        <f t="shared" si="213"/>
        <v>140179.33000000002</v>
      </c>
      <c r="R731" s="270">
        <f t="shared" si="213"/>
        <v>140179.33000000002</v>
      </c>
      <c r="S731" s="270">
        <f t="shared" si="210"/>
        <v>140179.33000000002</v>
      </c>
      <c r="T731" s="270">
        <f t="shared" si="210"/>
        <v>140179.33000000002</v>
      </c>
      <c r="U731" s="270">
        <f t="shared" si="214"/>
        <v>140179.33000000002</v>
      </c>
      <c r="V731" s="270">
        <f t="shared" si="214"/>
        <v>140179.33000000002</v>
      </c>
      <c r="W731" s="270">
        <f t="shared" si="214"/>
        <v>140179.33000000002</v>
      </c>
      <c r="X731" s="270">
        <f t="shared" si="214"/>
        <v>140179.33000000002</v>
      </c>
      <c r="Y731" s="270">
        <f t="shared" si="214"/>
        <v>140179.33000000002</v>
      </c>
      <c r="Z731" s="270">
        <f t="shared" si="214"/>
        <v>140179.33000000002</v>
      </c>
      <c r="AA731" s="270">
        <f t="shared" si="214"/>
        <v>140179.33000000002</v>
      </c>
      <c r="AB731" s="270">
        <f t="shared" si="214"/>
        <v>140179.33000000002</v>
      </c>
      <c r="AC731" s="270">
        <f t="shared" si="214"/>
        <v>140179.33000000002</v>
      </c>
      <c r="AD731" s="270">
        <f t="shared" si="207"/>
        <v>140179.33000000002</v>
      </c>
      <c r="AE731" s="270">
        <f t="shared" si="207"/>
        <v>140179.33000000002</v>
      </c>
      <c r="AF731" s="270">
        <f t="shared" si="212"/>
        <v>140179.33000000002</v>
      </c>
      <c r="AG731" s="270">
        <f t="shared" si="212"/>
        <v>140179.33000000002</v>
      </c>
      <c r="AH731" s="270">
        <f t="shared" si="212"/>
        <v>140179.33000000002</v>
      </c>
      <c r="AI731" s="270">
        <f t="shared" si="212"/>
        <v>140179.33000000002</v>
      </c>
      <c r="AJ731" s="270">
        <f t="shared" si="212"/>
        <v>140179.33000000002</v>
      </c>
      <c r="AK731" s="270">
        <f t="shared" si="212"/>
        <v>140179.33000000002</v>
      </c>
      <c r="AL731" s="270">
        <f t="shared" si="212"/>
        <v>140179.33000000002</v>
      </c>
      <c r="AM731" s="270">
        <f t="shared" si="212"/>
        <v>140179.33000000002</v>
      </c>
    </row>
    <row r="732" spans="2:39" ht="15.75" thickBot="1" x14ac:dyDescent="0.35">
      <c r="B732" s="56" t="str">
        <f>input_names!$C$3</f>
        <v>diesel</v>
      </c>
      <c r="C732" s="61">
        <v>330</v>
      </c>
      <c r="D732" s="270">
        <f t="shared" si="213"/>
        <v>99999</v>
      </c>
      <c r="E732" s="270">
        <f t="shared" si="213"/>
        <v>110048.09</v>
      </c>
      <c r="F732" s="270">
        <f t="shared" si="213"/>
        <v>112791.85</v>
      </c>
      <c r="G732" s="270">
        <f t="shared" si="213"/>
        <v>112345.45999999999</v>
      </c>
      <c r="H732" s="270">
        <f t="shared" si="213"/>
        <v>109535.67</v>
      </c>
      <c r="I732" s="270">
        <f t="shared" si="213"/>
        <v>110312.35</v>
      </c>
      <c r="J732" s="270">
        <f t="shared" si="213"/>
        <v>100842.27</v>
      </c>
      <c r="K732" s="270">
        <f t="shared" si="213"/>
        <v>106161.85</v>
      </c>
      <c r="L732" s="270">
        <f t="shared" si="213"/>
        <v>110757.1</v>
      </c>
      <c r="M732" s="270">
        <f t="shared" si="213"/>
        <v>133908.13</v>
      </c>
      <c r="N732" s="270">
        <f t="shared" si="213"/>
        <v>140857.20000000001</v>
      </c>
      <c r="O732" s="270">
        <f t="shared" si="213"/>
        <v>140857.20000000001</v>
      </c>
      <c r="P732" s="270">
        <f t="shared" si="213"/>
        <v>140857.20000000001</v>
      </c>
      <c r="Q732" s="270">
        <f t="shared" si="213"/>
        <v>140857.20000000001</v>
      </c>
      <c r="R732" s="270">
        <f t="shared" si="213"/>
        <v>140857.20000000001</v>
      </c>
      <c r="S732" s="270">
        <f t="shared" si="210"/>
        <v>140857.20000000001</v>
      </c>
      <c r="T732" s="270">
        <f t="shared" si="210"/>
        <v>140857.20000000001</v>
      </c>
      <c r="U732" s="270">
        <f t="shared" si="214"/>
        <v>140857.20000000001</v>
      </c>
      <c r="V732" s="270">
        <f t="shared" si="214"/>
        <v>140857.20000000001</v>
      </c>
      <c r="W732" s="270">
        <f t="shared" si="214"/>
        <v>140857.20000000001</v>
      </c>
      <c r="X732" s="270">
        <f t="shared" si="214"/>
        <v>140857.20000000001</v>
      </c>
      <c r="Y732" s="270">
        <f t="shared" si="214"/>
        <v>140857.20000000001</v>
      </c>
      <c r="Z732" s="270">
        <f t="shared" si="214"/>
        <v>140857.20000000001</v>
      </c>
      <c r="AA732" s="270">
        <f t="shared" si="214"/>
        <v>140857.20000000001</v>
      </c>
      <c r="AB732" s="270">
        <f t="shared" si="214"/>
        <v>140857.20000000001</v>
      </c>
      <c r="AC732" s="270">
        <f t="shared" si="214"/>
        <v>140857.20000000001</v>
      </c>
      <c r="AD732" s="270">
        <f t="shared" si="207"/>
        <v>140857.20000000001</v>
      </c>
      <c r="AE732" s="270">
        <f t="shared" si="207"/>
        <v>140857.20000000001</v>
      </c>
      <c r="AF732" s="270">
        <f t="shared" si="212"/>
        <v>140857.20000000001</v>
      </c>
      <c r="AG732" s="270">
        <f t="shared" si="212"/>
        <v>140857.20000000001</v>
      </c>
      <c r="AH732" s="270">
        <f t="shared" si="212"/>
        <v>140857.20000000001</v>
      </c>
      <c r="AI732" s="270">
        <f t="shared" si="212"/>
        <v>140857.20000000001</v>
      </c>
      <c r="AJ732" s="270">
        <f t="shared" si="212"/>
        <v>140857.20000000001</v>
      </c>
      <c r="AK732" s="270">
        <f t="shared" si="212"/>
        <v>140857.20000000001</v>
      </c>
      <c r="AL732" s="270">
        <f t="shared" si="212"/>
        <v>140857.20000000001</v>
      </c>
      <c r="AM732" s="270">
        <f t="shared" si="212"/>
        <v>140857.20000000001</v>
      </c>
    </row>
    <row r="733" spans="2:39" ht="15.75" thickBot="1" x14ac:dyDescent="0.35">
      <c r="B733" s="56" t="str">
        <f>input_names!$C$3</f>
        <v>diesel</v>
      </c>
      <c r="C733" s="61">
        <v>331</v>
      </c>
      <c r="D733" s="270">
        <f t="shared" si="213"/>
        <v>100519</v>
      </c>
      <c r="E733" s="270">
        <f t="shared" si="213"/>
        <v>110610.52</v>
      </c>
      <c r="F733" s="270">
        <f t="shared" si="213"/>
        <v>113350.54000000001</v>
      </c>
      <c r="G733" s="270">
        <f t="shared" si="213"/>
        <v>112887.84</v>
      </c>
      <c r="H733" s="270">
        <f t="shared" si="213"/>
        <v>110052.1</v>
      </c>
      <c r="I733" s="270">
        <f t="shared" si="213"/>
        <v>110820.2</v>
      </c>
      <c r="J733" s="270">
        <f t="shared" si="213"/>
        <v>101357.86</v>
      </c>
      <c r="K733" s="270">
        <f t="shared" si="213"/>
        <v>106696.52</v>
      </c>
      <c r="L733" s="270">
        <f t="shared" si="213"/>
        <v>111299.4</v>
      </c>
      <c r="M733" s="270">
        <f t="shared" si="213"/>
        <v>134563.20000000001</v>
      </c>
      <c r="N733" s="270">
        <f t="shared" si="213"/>
        <v>141535.07</v>
      </c>
      <c r="O733" s="270">
        <f t="shared" si="213"/>
        <v>141535.07</v>
      </c>
      <c r="P733" s="270">
        <f t="shared" si="213"/>
        <v>141535.07</v>
      </c>
      <c r="Q733" s="270">
        <f t="shared" si="213"/>
        <v>141535.07</v>
      </c>
      <c r="R733" s="270">
        <f t="shared" si="213"/>
        <v>141535.07</v>
      </c>
      <c r="S733" s="270">
        <f t="shared" si="210"/>
        <v>141535.07</v>
      </c>
      <c r="T733" s="270">
        <f t="shared" si="210"/>
        <v>141535.07</v>
      </c>
      <c r="U733" s="270">
        <f t="shared" si="214"/>
        <v>141535.07</v>
      </c>
      <c r="V733" s="270">
        <f t="shared" si="214"/>
        <v>141535.07</v>
      </c>
      <c r="W733" s="270">
        <f t="shared" si="214"/>
        <v>141535.07</v>
      </c>
      <c r="X733" s="270">
        <f t="shared" si="214"/>
        <v>141535.07</v>
      </c>
      <c r="Y733" s="270">
        <f t="shared" si="214"/>
        <v>141535.07</v>
      </c>
      <c r="Z733" s="270">
        <f t="shared" si="214"/>
        <v>141535.07</v>
      </c>
      <c r="AA733" s="270">
        <f t="shared" si="214"/>
        <v>141535.07</v>
      </c>
      <c r="AB733" s="270">
        <f t="shared" si="214"/>
        <v>141535.07</v>
      </c>
      <c r="AC733" s="270">
        <f t="shared" si="214"/>
        <v>141535.07</v>
      </c>
      <c r="AD733" s="270">
        <f t="shared" si="207"/>
        <v>141535.07</v>
      </c>
      <c r="AE733" s="270">
        <f t="shared" si="207"/>
        <v>141535.07</v>
      </c>
      <c r="AF733" s="270">
        <f t="shared" si="212"/>
        <v>141535.07</v>
      </c>
      <c r="AG733" s="270">
        <f t="shared" si="212"/>
        <v>141535.07</v>
      </c>
      <c r="AH733" s="270">
        <f t="shared" si="212"/>
        <v>141535.07</v>
      </c>
      <c r="AI733" s="270">
        <f t="shared" si="212"/>
        <v>141535.07</v>
      </c>
      <c r="AJ733" s="270">
        <f t="shared" si="212"/>
        <v>141535.07</v>
      </c>
      <c r="AK733" s="270">
        <f t="shared" si="212"/>
        <v>141535.07</v>
      </c>
      <c r="AL733" s="270">
        <f t="shared" si="212"/>
        <v>141535.07</v>
      </c>
      <c r="AM733" s="270">
        <f t="shared" si="212"/>
        <v>141535.07</v>
      </c>
    </row>
    <row r="734" spans="2:39" ht="15.75" thickBot="1" x14ac:dyDescent="0.35">
      <c r="B734" s="56" t="str">
        <f>input_names!$C$3</f>
        <v>diesel</v>
      </c>
      <c r="C734" s="61">
        <v>332</v>
      </c>
      <c r="D734" s="270">
        <f t="shared" si="213"/>
        <v>101039</v>
      </c>
      <c r="E734" s="270">
        <f t="shared" si="213"/>
        <v>111172.95</v>
      </c>
      <c r="F734" s="270">
        <f t="shared" si="213"/>
        <v>113909.23</v>
      </c>
      <c r="G734" s="270">
        <f t="shared" si="213"/>
        <v>113430.22</v>
      </c>
      <c r="H734" s="270">
        <f t="shared" si="213"/>
        <v>110568.53</v>
      </c>
      <c r="I734" s="270">
        <f t="shared" si="213"/>
        <v>111328.05</v>
      </c>
      <c r="J734" s="270">
        <f t="shared" si="213"/>
        <v>101873.45</v>
      </c>
      <c r="K734" s="270">
        <f t="shared" si="213"/>
        <v>107231.19</v>
      </c>
      <c r="L734" s="270">
        <f t="shared" si="213"/>
        <v>111841.7</v>
      </c>
      <c r="M734" s="270">
        <f t="shared" si="213"/>
        <v>135218.26999999999</v>
      </c>
      <c r="N734" s="270">
        <f t="shared" si="213"/>
        <v>142212.94</v>
      </c>
      <c r="O734" s="270">
        <f t="shared" si="213"/>
        <v>142212.94</v>
      </c>
      <c r="P734" s="270">
        <f t="shared" si="213"/>
        <v>142212.94</v>
      </c>
      <c r="Q734" s="270">
        <f t="shared" si="213"/>
        <v>142212.94</v>
      </c>
      <c r="R734" s="270">
        <f t="shared" si="213"/>
        <v>142212.94</v>
      </c>
      <c r="S734" s="270">
        <f t="shared" si="210"/>
        <v>142212.94</v>
      </c>
      <c r="T734" s="270">
        <f t="shared" si="210"/>
        <v>142212.94</v>
      </c>
      <c r="U734" s="270">
        <f t="shared" si="214"/>
        <v>142212.94</v>
      </c>
      <c r="V734" s="270">
        <f t="shared" si="214"/>
        <v>142212.94</v>
      </c>
      <c r="W734" s="270">
        <f t="shared" si="214"/>
        <v>142212.94</v>
      </c>
      <c r="X734" s="270">
        <f t="shared" si="214"/>
        <v>142212.94</v>
      </c>
      <c r="Y734" s="270">
        <f t="shared" si="214"/>
        <v>142212.94</v>
      </c>
      <c r="Z734" s="270">
        <f t="shared" si="214"/>
        <v>142212.94</v>
      </c>
      <c r="AA734" s="270">
        <f t="shared" si="214"/>
        <v>142212.94</v>
      </c>
      <c r="AB734" s="270">
        <f t="shared" si="214"/>
        <v>142212.94</v>
      </c>
      <c r="AC734" s="270">
        <f t="shared" si="214"/>
        <v>142212.94</v>
      </c>
      <c r="AD734" s="270">
        <f t="shared" si="207"/>
        <v>142212.94</v>
      </c>
      <c r="AE734" s="270">
        <f t="shared" si="207"/>
        <v>142212.94</v>
      </c>
      <c r="AF734" s="270">
        <f t="shared" si="212"/>
        <v>142212.94</v>
      </c>
      <c r="AG734" s="270">
        <f t="shared" si="212"/>
        <v>142212.94</v>
      </c>
      <c r="AH734" s="270">
        <f t="shared" si="212"/>
        <v>142212.94</v>
      </c>
      <c r="AI734" s="270">
        <f t="shared" si="212"/>
        <v>142212.94</v>
      </c>
      <c r="AJ734" s="270">
        <f t="shared" ref="AF734:AM752" si="215">+MIN(MAX(0,$C734-AJ$11),AJ$12-AJ$11)*AJ$17
+MIN(MAX(0,$C734-AJ$12),AJ$13-AJ$12)*AJ$18
+MIN(MAX(0,$C734-AJ$13),AJ$14-AJ$13)*AJ$19
+MIN(MAX(0,$C734-AJ$14),AJ$15-AJ$14)*AJ$20
+MAX(0,$C734-AJ$15)*AJ$21
+AJ$24*MAX(0,$C734-AJ$23)
+AJ$26</f>
        <v>142212.94</v>
      </c>
      <c r="AK734" s="270">
        <f t="shared" si="215"/>
        <v>142212.94</v>
      </c>
      <c r="AL734" s="270">
        <f t="shared" si="215"/>
        <v>142212.94</v>
      </c>
      <c r="AM734" s="270">
        <f t="shared" si="215"/>
        <v>142212.94</v>
      </c>
    </row>
    <row r="735" spans="2:39" ht="15.75" thickBot="1" x14ac:dyDescent="0.35">
      <c r="B735" s="56" t="str">
        <f>input_names!$C$3</f>
        <v>diesel</v>
      </c>
      <c r="C735" s="61">
        <v>333</v>
      </c>
      <c r="D735" s="270">
        <f t="shared" si="213"/>
        <v>101559</v>
      </c>
      <c r="E735" s="270">
        <f t="shared" si="213"/>
        <v>111735.38</v>
      </c>
      <c r="F735" s="270">
        <f t="shared" si="213"/>
        <v>114467.92</v>
      </c>
      <c r="G735" s="270">
        <f t="shared" si="213"/>
        <v>113972.6</v>
      </c>
      <c r="H735" s="270">
        <f t="shared" si="213"/>
        <v>111084.96</v>
      </c>
      <c r="I735" s="270">
        <f t="shared" si="213"/>
        <v>111835.9</v>
      </c>
      <c r="J735" s="270">
        <f t="shared" si="213"/>
        <v>102389.04000000001</v>
      </c>
      <c r="K735" s="270">
        <f t="shared" si="213"/>
        <v>107765.86</v>
      </c>
      <c r="L735" s="270">
        <f t="shared" si="213"/>
        <v>112384</v>
      </c>
      <c r="M735" s="270">
        <f t="shared" si="213"/>
        <v>135873.34</v>
      </c>
      <c r="N735" s="270">
        <f t="shared" si="213"/>
        <v>142890.81</v>
      </c>
      <c r="O735" s="270">
        <f t="shared" si="213"/>
        <v>142890.81</v>
      </c>
      <c r="P735" s="270">
        <f t="shared" si="213"/>
        <v>142890.81</v>
      </c>
      <c r="Q735" s="270">
        <f t="shared" si="213"/>
        <v>142890.81</v>
      </c>
      <c r="R735" s="270">
        <f t="shared" si="213"/>
        <v>142890.81</v>
      </c>
      <c r="S735" s="270">
        <f t="shared" si="210"/>
        <v>142890.81</v>
      </c>
      <c r="T735" s="270">
        <f t="shared" si="210"/>
        <v>142890.81</v>
      </c>
      <c r="U735" s="270">
        <f t="shared" si="214"/>
        <v>142890.81</v>
      </c>
      <c r="V735" s="270">
        <f t="shared" si="214"/>
        <v>142890.81</v>
      </c>
      <c r="W735" s="270">
        <f t="shared" si="214"/>
        <v>142890.81</v>
      </c>
      <c r="X735" s="270">
        <f t="shared" si="214"/>
        <v>142890.81</v>
      </c>
      <c r="Y735" s="270">
        <f t="shared" si="214"/>
        <v>142890.81</v>
      </c>
      <c r="Z735" s="270">
        <f t="shared" si="214"/>
        <v>142890.81</v>
      </c>
      <c r="AA735" s="270">
        <f t="shared" si="214"/>
        <v>142890.81</v>
      </c>
      <c r="AB735" s="270">
        <f t="shared" si="214"/>
        <v>142890.81</v>
      </c>
      <c r="AC735" s="270">
        <f t="shared" si="214"/>
        <v>142890.81</v>
      </c>
      <c r="AD735" s="270">
        <f t="shared" si="207"/>
        <v>142890.81</v>
      </c>
      <c r="AE735" s="270">
        <f t="shared" si="207"/>
        <v>142890.81</v>
      </c>
      <c r="AF735" s="270">
        <f t="shared" si="215"/>
        <v>142890.81</v>
      </c>
      <c r="AG735" s="270">
        <f t="shared" si="215"/>
        <v>142890.81</v>
      </c>
      <c r="AH735" s="270">
        <f t="shared" si="215"/>
        <v>142890.81</v>
      </c>
      <c r="AI735" s="270">
        <f t="shared" si="215"/>
        <v>142890.81</v>
      </c>
      <c r="AJ735" s="270">
        <f t="shared" si="215"/>
        <v>142890.81</v>
      </c>
      <c r="AK735" s="270">
        <f t="shared" si="215"/>
        <v>142890.81</v>
      </c>
      <c r="AL735" s="270">
        <f t="shared" si="215"/>
        <v>142890.81</v>
      </c>
      <c r="AM735" s="270">
        <f t="shared" si="215"/>
        <v>142890.81</v>
      </c>
    </row>
    <row r="736" spans="2:39" ht="15.75" thickBot="1" x14ac:dyDescent="0.35">
      <c r="B736" s="56" t="str">
        <f>input_names!$C$3</f>
        <v>diesel</v>
      </c>
      <c r="C736" s="61">
        <v>334</v>
      </c>
      <c r="D736" s="270">
        <f t="shared" si="213"/>
        <v>102079</v>
      </c>
      <c r="E736" s="270">
        <f t="shared" si="213"/>
        <v>112297.81</v>
      </c>
      <c r="F736" s="270">
        <f t="shared" si="213"/>
        <v>115026.61</v>
      </c>
      <c r="G736" s="270">
        <f t="shared" si="213"/>
        <v>114514.98</v>
      </c>
      <c r="H736" s="270">
        <f t="shared" si="213"/>
        <v>111601.39</v>
      </c>
      <c r="I736" s="270">
        <f t="shared" si="213"/>
        <v>112343.75</v>
      </c>
      <c r="J736" s="270">
        <f t="shared" si="213"/>
        <v>102904.63</v>
      </c>
      <c r="K736" s="270">
        <f t="shared" si="213"/>
        <v>108300.53</v>
      </c>
      <c r="L736" s="270">
        <f t="shared" si="213"/>
        <v>112926.3</v>
      </c>
      <c r="M736" s="270">
        <f t="shared" si="213"/>
        <v>136528.41</v>
      </c>
      <c r="N736" s="270">
        <f t="shared" si="213"/>
        <v>143568.68</v>
      </c>
      <c r="O736" s="270">
        <f t="shared" si="213"/>
        <v>143568.68</v>
      </c>
      <c r="P736" s="270">
        <f t="shared" si="213"/>
        <v>143568.68</v>
      </c>
      <c r="Q736" s="270">
        <f t="shared" si="213"/>
        <v>143568.68</v>
      </c>
      <c r="R736" s="270">
        <f t="shared" si="213"/>
        <v>143568.68</v>
      </c>
      <c r="S736" s="270">
        <f t="shared" si="210"/>
        <v>143568.68</v>
      </c>
      <c r="T736" s="270">
        <f t="shared" si="210"/>
        <v>143568.68</v>
      </c>
      <c r="U736" s="270">
        <f t="shared" si="214"/>
        <v>143568.68</v>
      </c>
      <c r="V736" s="270">
        <f t="shared" si="214"/>
        <v>143568.68</v>
      </c>
      <c r="W736" s="270">
        <f t="shared" si="214"/>
        <v>143568.68</v>
      </c>
      <c r="X736" s="270">
        <f t="shared" si="214"/>
        <v>143568.68</v>
      </c>
      <c r="Y736" s="270">
        <f t="shared" si="214"/>
        <v>143568.68</v>
      </c>
      <c r="Z736" s="270">
        <f t="shared" si="214"/>
        <v>143568.68</v>
      </c>
      <c r="AA736" s="270">
        <f t="shared" si="214"/>
        <v>143568.68</v>
      </c>
      <c r="AB736" s="270">
        <f t="shared" si="214"/>
        <v>143568.68</v>
      </c>
      <c r="AC736" s="270">
        <f t="shared" si="214"/>
        <v>143568.68</v>
      </c>
      <c r="AD736" s="270">
        <f t="shared" si="207"/>
        <v>143568.68</v>
      </c>
      <c r="AE736" s="270">
        <f t="shared" si="207"/>
        <v>143568.68</v>
      </c>
      <c r="AF736" s="270">
        <f t="shared" si="215"/>
        <v>143568.68</v>
      </c>
      <c r="AG736" s="270">
        <f t="shared" si="215"/>
        <v>143568.68</v>
      </c>
      <c r="AH736" s="270">
        <f t="shared" si="215"/>
        <v>143568.68</v>
      </c>
      <c r="AI736" s="270">
        <f t="shared" si="215"/>
        <v>143568.68</v>
      </c>
      <c r="AJ736" s="270">
        <f t="shared" si="215"/>
        <v>143568.68</v>
      </c>
      <c r="AK736" s="270">
        <f t="shared" si="215"/>
        <v>143568.68</v>
      </c>
      <c r="AL736" s="270">
        <f t="shared" si="215"/>
        <v>143568.68</v>
      </c>
      <c r="AM736" s="270">
        <f t="shared" si="215"/>
        <v>143568.68</v>
      </c>
    </row>
    <row r="737" spans="2:39" ht="15.75" thickBot="1" x14ac:dyDescent="0.35">
      <c r="B737" s="56" t="str">
        <f>input_names!$C$3</f>
        <v>diesel</v>
      </c>
      <c r="C737" s="61">
        <v>335</v>
      </c>
      <c r="D737" s="270">
        <f t="shared" si="213"/>
        <v>102599</v>
      </c>
      <c r="E737" s="270">
        <f t="shared" si="213"/>
        <v>112860.24</v>
      </c>
      <c r="F737" s="270">
        <f t="shared" si="213"/>
        <v>115585.3</v>
      </c>
      <c r="G737" s="270">
        <f t="shared" si="213"/>
        <v>115057.36</v>
      </c>
      <c r="H737" s="270">
        <f t="shared" si="213"/>
        <v>112117.82</v>
      </c>
      <c r="I737" s="270">
        <f t="shared" si="213"/>
        <v>112851.6</v>
      </c>
      <c r="J737" s="270">
        <f t="shared" si="213"/>
        <v>103420.22</v>
      </c>
      <c r="K737" s="270">
        <f t="shared" si="213"/>
        <v>108835.2</v>
      </c>
      <c r="L737" s="270">
        <f t="shared" si="213"/>
        <v>113468.6</v>
      </c>
      <c r="M737" s="270">
        <f t="shared" si="213"/>
        <v>137183.48000000001</v>
      </c>
      <c r="N737" s="270">
        <f t="shared" si="213"/>
        <v>144246.54999999999</v>
      </c>
      <c r="O737" s="270">
        <f t="shared" si="213"/>
        <v>144246.54999999999</v>
      </c>
      <c r="P737" s="270">
        <f t="shared" si="213"/>
        <v>144246.54999999999</v>
      </c>
      <c r="Q737" s="270">
        <f t="shared" si="213"/>
        <v>144246.54999999999</v>
      </c>
      <c r="R737" s="270">
        <f t="shared" si="213"/>
        <v>144246.54999999999</v>
      </c>
      <c r="S737" s="270">
        <f t="shared" si="210"/>
        <v>144246.54999999999</v>
      </c>
      <c r="T737" s="270">
        <f t="shared" si="210"/>
        <v>144246.54999999999</v>
      </c>
      <c r="U737" s="270">
        <f t="shared" si="214"/>
        <v>144246.54999999999</v>
      </c>
      <c r="V737" s="270">
        <f t="shared" si="214"/>
        <v>144246.54999999999</v>
      </c>
      <c r="W737" s="270">
        <f t="shared" si="214"/>
        <v>144246.54999999999</v>
      </c>
      <c r="X737" s="270">
        <f t="shared" si="214"/>
        <v>144246.54999999999</v>
      </c>
      <c r="Y737" s="270">
        <f t="shared" si="214"/>
        <v>144246.54999999999</v>
      </c>
      <c r="Z737" s="270">
        <f t="shared" si="214"/>
        <v>144246.54999999999</v>
      </c>
      <c r="AA737" s="270">
        <f t="shared" si="214"/>
        <v>144246.54999999999</v>
      </c>
      <c r="AB737" s="270">
        <f t="shared" si="214"/>
        <v>144246.54999999999</v>
      </c>
      <c r="AC737" s="270">
        <f t="shared" si="214"/>
        <v>144246.54999999999</v>
      </c>
      <c r="AD737" s="270">
        <f t="shared" si="207"/>
        <v>144246.54999999999</v>
      </c>
      <c r="AE737" s="270">
        <f t="shared" si="207"/>
        <v>144246.54999999999</v>
      </c>
      <c r="AF737" s="270">
        <f t="shared" si="215"/>
        <v>144246.54999999999</v>
      </c>
      <c r="AG737" s="270">
        <f t="shared" si="215"/>
        <v>144246.54999999999</v>
      </c>
      <c r="AH737" s="270">
        <f t="shared" si="215"/>
        <v>144246.54999999999</v>
      </c>
      <c r="AI737" s="270">
        <f t="shared" si="215"/>
        <v>144246.54999999999</v>
      </c>
      <c r="AJ737" s="270">
        <f t="shared" si="215"/>
        <v>144246.54999999999</v>
      </c>
      <c r="AK737" s="270">
        <f t="shared" si="215"/>
        <v>144246.54999999999</v>
      </c>
      <c r="AL737" s="270">
        <f t="shared" si="215"/>
        <v>144246.54999999999</v>
      </c>
      <c r="AM737" s="270">
        <f t="shared" si="215"/>
        <v>144246.54999999999</v>
      </c>
    </row>
    <row r="738" spans="2:39" ht="15.75" thickBot="1" x14ac:dyDescent="0.35">
      <c r="B738" s="56" t="str">
        <f>input_names!$C$3</f>
        <v>diesel</v>
      </c>
      <c r="C738" s="61">
        <v>336</v>
      </c>
      <c r="D738" s="270">
        <f t="shared" ref="D738:R752" si="216">+MIN(MAX(0,$C738-D$11),D$12-D$11)*D$17
+MIN(MAX(0,$C738-D$12),D$13-D$12)*D$18
+MIN(MAX(0,$C738-D$13),D$14-D$13)*D$19
+MIN(MAX(0,$C738-D$14),D$15-D$14)*D$20
+MAX(0,$C738-D$15)*D$21
+D$24*MAX(0,$C738-D$23)
+D$26</f>
        <v>103119</v>
      </c>
      <c r="E738" s="270">
        <f t="shared" si="216"/>
        <v>113422.67</v>
      </c>
      <c r="F738" s="270">
        <f t="shared" si="216"/>
        <v>116143.98999999999</v>
      </c>
      <c r="G738" s="270">
        <f t="shared" si="216"/>
        <v>115599.73999999999</v>
      </c>
      <c r="H738" s="270">
        <f t="shared" si="216"/>
        <v>112634.25</v>
      </c>
      <c r="I738" s="270">
        <f t="shared" si="216"/>
        <v>113359.45</v>
      </c>
      <c r="J738" s="270">
        <f t="shared" si="216"/>
        <v>103935.81</v>
      </c>
      <c r="K738" s="270">
        <f t="shared" si="216"/>
        <v>109369.87</v>
      </c>
      <c r="L738" s="270">
        <f t="shared" si="216"/>
        <v>114010.9</v>
      </c>
      <c r="M738" s="270">
        <f t="shared" si="216"/>
        <v>137838.54999999999</v>
      </c>
      <c r="N738" s="270">
        <f t="shared" si="216"/>
        <v>144924.42000000001</v>
      </c>
      <c r="O738" s="270">
        <f t="shared" si="216"/>
        <v>144924.42000000001</v>
      </c>
      <c r="P738" s="270">
        <f t="shared" si="216"/>
        <v>144924.42000000001</v>
      </c>
      <c r="Q738" s="270">
        <f t="shared" si="216"/>
        <v>144924.42000000001</v>
      </c>
      <c r="R738" s="270">
        <f t="shared" si="216"/>
        <v>144924.42000000001</v>
      </c>
      <c r="S738" s="270">
        <f t="shared" si="210"/>
        <v>144924.42000000001</v>
      </c>
      <c r="T738" s="270">
        <f t="shared" si="210"/>
        <v>144924.42000000001</v>
      </c>
      <c r="U738" s="270">
        <f t="shared" si="214"/>
        <v>144924.42000000001</v>
      </c>
      <c r="V738" s="270">
        <f t="shared" si="214"/>
        <v>144924.42000000001</v>
      </c>
      <c r="W738" s="270">
        <f t="shared" si="214"/>
        <v>144924.42000000001</v>
      </c>
      <c r="X738" s="270">
        <f t="shared" si="214"/>
        <v>144924.42000000001</v>
      </c>
      <c r="Y738" s="270">
        <f t="shared" si="214"/>
        <v>144924.42000000001</v>
      </c>
      <c r="Z738" s="270">
        <f t="shared" si="214"/>
        <v>144924.42000000001</v>
      </c>
      <c r="AA738" s="270">
        <f t="shared" si="214"/>
        <v>144924.42000000001</v>
      </c>
      <c r="AB738" s="270">
        <f t="shared" si="214"/>
        <v>144924.42000000001</v>
      </c>
      <c r="AC738" s="270">
        <f t="shared" si="214"/>
        <v>144924.42000000001</v>
      </c>
      <c r="AD738" s="270">
        <f t="shared" si="207"/>
        <v>144924.42000000001</v>
      </c>
      <c r="AE738" s="270">
        <f t="shared" si="207"/>
        <v>144924.42000000001</v>
      </c>
      <c r="AF738" s="270">
        <f t="shared" si="215"/>
        <v>144924.42000000001</v>
      </c>
      <c r="AG738" s="270">
        <f t="shared" si="215"/>
        <v>144924.42000000001</v>
      </c>
      <c r="AH738" s="270">
        <f t="shared" si="215"/>
        <v>144924.42000000001</v>
      </c>
      <c r="AI738" s="270">
        <f t="shared" si="215"/>
        <v>144924.42000000001</v>
      </c>
      <c r="AJ738" s="270">
        <f t="shared" si="215"/>
        <v>144924.42000000001</v>
      </c>
      <c r="AK738" s="270">
        <f t="shared" si="215"/>
        <v>144924.42000000001</v>
      </c>
      <c r="AL738" s="270">
        <f t="shared" si="215"/>
        <v>144924.42000000001</v>
      </c>
      <c r="AM738" s="270">
        <f t="shared" si="215"/>
        <v>144924.42000000001</v>
      </c>
    </row>
    <row r="739" spans="2:39" ht="15.75" thickBot="1" x14ac:dyDescent="0.35">
      <c r="B739" s="56" t="str">
        <f>input_names!$C$3</f>
        <v>diesel</v>
      </c>
      <c r="C739" s="61">
        <v>337</v>
      </c>
      <c r="D739" s="270">
        <f t="shared" si="216"/>
        <v>103639</v>
      </c>
      <c r="E739" s="270">
        <f t="shared" si="216"/>
        <v>113985.1</v>
      </c>
      <c r="F739" s="270">
        <f t="shared" si="216"/>
        <v>116702.68</v>
      </c>
      <c r="G739" s="270">
        <f t="shared" si="216"/>
        <v>116142.12</v>
      </c>
      <c r="H739" s="270">
        <f t="shared" si="216"/>
        <v>113150.68</v>
      </c>
      <c r="I739" s="270">
        <f t="shared" si="216"/>
        <v>113867.3</v>
      </c>
      <c r="J739" s="270">
        <f t="shared" si="216"/>
        <v>104451.4</v>
      </c>
      <c r="K739" s="270">
        <f t="shared" si="216"/>
        <v>109904.54000000001</v>
      </c>
      <c r="L739" s="270">
        <f t="shared" si="216"/>
        <v>114553.2</v>
      </c>
      <c r="M739" s="270">
        <f t="shared" si="216"/>
        <v>138493.62</v>
      </c>
      <c r="N739" s="270">
        <f t="shared" si="216"/>
        <v>145602.29</v>
      </c>
      <c r="O739" s="270">
        <f t="shared" si="216"/>
        <v>145602.29</v>
      </c>
      <c r="P739" s="270">
        <f t="shared" si="216"/>
        <v>145602.29</v>
      </c>
      <c r="Q739" s="270">
        <f t="shared" si="216"/>
        <v>145602.29</v>
      </c>
      <c r="R739" s="270">
        <f t="shared" si="216"/>
        <v>145602.29</v>
      </c>
      <c r="S739" s="270">
        <f t="shared" si="210"/>
        <v>145602.29</v>
      </c>
      <c r="T739" s="270">
        <f t="shared" si="210"/>
        <v>145602.29</v>
      </c>
      <c r="U739" s="270">
        <f t="shared" si="214"/>
        <v>145602.29</v>
      </c>
      <c r="V739" s="270">
        <f t="shared" si="214"/>
        <v>145602.29</v>
      </c>
      <c r="W739" s="270">
        <f t="shared" si="214"/>
        <v>145602.29</v>
      </c>
      <c r="X739" s="270">
        <f t="shared" si="214"/>
        <v>145602.29</v>
      </c>
      <c r="Y739" s="270">
        <f t="shared" si="214"/>
        <v>145602.29</v>
      </c>
      <c r="Z739" s="270">
        <f t="shared" si="214"/>
        <v>145602.29</v>
      </c>
      <c r="AA739" s="270">
        <f t="shared" si="214"/>
        <v>145602.29</v>
      </c>
      <c r="AB739" s="270">
        <f t="shared" si="214"/>
        <v>145602.29</v>
      </c>
      <c r="AC739" s="270">
        <f t="shared" si="214"/>
        <v>145602.29</v>
      </c>
      <c r="AD739" s="270">
        <f t="shared" si="207"/>
        <v>145602.29</v>
      </c>
      <c r="AE739" s="270">
        <f t="shared" si="207"/>
        <v>145602.29</v>
      </c>
      <c r="AF739" s="270">
        <f t="shared" si="215"/>
        <v>145602.29</v>
      </c>
      <c r="AG739" s="270">
        <f t="shared" si="215"/>
        <v>145602.29</v>
      </c>
      <c r="AH739" s="270">
        <f t="shared" si="215"/>
        <v>145602.29</v>
      </c>
      <c r="AI739" s="270">
        <f t="shared" si="215"/>
        <v>145602.29</v>
      </c>
      <c r="AJ739" s="270">
        <f t="shared" si="215"/>
        <v>145602.29</v>
      </c>
      <c r="AK739" s="270">
        <f t="shared" si="215"/>
        <v>145602.29</v>
      </c>
      <c r="AL739" s="270">
        <f t="shared" si="215"/>
        <v>145602.29</v>
      </c>
      <c r="AM739" s="270">
        <f t="shared" si="215"/>
        <v>145602.29</v>
      </c>
    </row>
    <row r="740" spans="2:39" ht="15.75" thickBot="1" x14ac:dyDescent="0.35">
      <c r="B740" s="56" t="str">
        <f>input_names!$C$3</f>
        <v>diesel</v>
      </c>
      <c r="C740" s="61">
        <v>338</v>
      </c>
      <c r="D740" s="270">
        <f t="shared" si="216"/>
        <v>104159</v>
      </c>
      <c r="E740" s="270">
        <f t="shared" si="216"/>
        <v>114547.53</v>
      </c>
      <c r="F740" s="270">
        <f t="shared" si="216"/>
        <v>117261.37</v>
      </c>
      <c r="G740" s="270">
        <f t="shared" si="216"/>
        <v>116684.5</v>
      </c>
      <c r="H740" s="270">
        <f t="shared" si="216"/>
        <v>113667.11</v>
      </c>
      <c r="I740" s="270">
        <f t="shared" si="216"/>
        <v>114375.15</v>
      </c>
      <c r="J740" s="270">
        <f t="shared" si="216"/>
        <v>104966.99</v>
      </c>
      <c r="K740" s="270">
        <f t="shared" si="216"/>
        <v>110439.20999999999</v>
      </c>
      <c r="L740" s="270">
        <f t="shared" si="216"/>
        <v>115095.5</v>
      </c>
      <c r="M740" s="270">
        <f t="shared" si="216"/>
        <v>139148.69</v>
      </c>
      <c r="N740" s="270">
        <f t="shared" si="216"/>
        <v>146280.16</v>
      </c>
      <c r="O740" s="270">
        <f t="shared" si="216"/>
        <v>146280.16</v>
      </c>
      <c r="P740" s="270">
        <f t="shared" si="216"/>
        <v>146280.16</v>
      </c>
      <c r="Q740" s="270">
        <f t="shared" si="216"/>
        <v>146280.16</v>
      </c>
      <c r="R740" s="270">
        <f t="shared" si="216"/>
        <v>146280.16</v>
      </c>
      <c r="S740" s="270">
        <f t="shared" si="210"/>
        <v>146280.16</v>
      </c>
      <c r="T740" s="270">
        <f t="shared" si="210"/>
        <v>146280.16</v>
      </c>
      <c r="U740" s="270">
        <f t="shared" si="214"/>
        <v>146280.16</v>
      </c>
      <c r="V740" s="270">
        <f t="shared" si="214"/>
        <v>146280.16</v>
      </c>
      <c r="W740" s="270">
        <f t="shared" si="214"/>
        <v>146280.16</v>
      </c>
      <c r="X740" s="270">
        <f t="shared" si="214"/>
        <v>146280.16</v>
      </c>
      <c r="Y740" s="270">
        <f t="shared" si="214"/>
        <v>146280.16</v>
      </c>
      <c r="Z740" s="270">
        <f t="shared" si="214"/>
        <v>146280.16</v>
      </c>
      <c r="AA740" s="270">
        <f t="shared" si="214"/>
        <v>146280.16</v>
      </c>
      <c r="AB740" s="270">
        <f t="shared" si="214"/>
        <v>146280.16</v>
      </c>
      <c r="AC740" s="270">
        <f t="shared" si="214"/>
        <v>146280.16</v>
      </c>
      <c r="AD740" s="270">
        <f t="shared" si="207"/>
        <v>146280.16</v>
      </c>
      <c r="AE740" s="270">
        <f t="shared" si="207"/>
        <v>146280.16</v>
      </c>
      <c r="AF740" s="270">
        <f t="shared" si="215"/>
        <v>146280.16</v>
      </c>
      <c r="AG740" s="270">
        <f t="shared" si="215"/>
        <v>146280.16</v>
      </c>
      <c r="AH740" s="270">
        <f t="shared" si="215"/>
        <v>146280.16</v>
      </c>
      <c r="AI740" s="270">
        <f t="shared" si="215"/>
        <v>146280.16</v>
      </c>
      <c r="AJ740" s="270">
        <f t="shared" si="215"/>
        <v>146280.16</v>
      </c>
      <c r="AK740" s="270">
        <f t="shared" si="215"/>
        <v>146280.16</v>
      </c>
      <c r="AL740" s="270">
        <f t="shared" si="215"/>
        <v>146280.16</v>
      </c>
      <c r="AM740" s="270">
        <f t="shared" si="215"/>
        <v>146280.16</v>
      </c>
    </row>
    <row r="741" spans="2:39" ht="15.75" thickBot="1" x14ac:dyDescent="0.35">
      <c r="B741" s="56" t="str">
        <f>input_names!$C$3</f>
        <v>diesel</v>
      </c>
      <c r="C741" s="61">
        <v>339</v>
      </c>
      <c r="D741" s="270">
        <f t="shared" si="216"/>
        <v>104679</v>
      </c>
      <c r="E741" s="270">
        <f t="shared" si="216"/>
        <v>115109.96</v>
      </c>
      <c r="F741" s="270">
        <f t="shared" si="216"/>
        <v>117820.06</v>
      </c>
      <c r="G741" s="270">
        <f t="shared" si="216"/>
        <v>117226.88</v>
      </c>
      <c r="H741" s="270">
        <f t="shared" si="216"/>
        <v>114183.54000000001</v>
      </c>
      <c r="I741" s="270">
        <f t="shared" si="216"/>
        <v>114883</v>
      </c>
      <c r="J741" s="270">
        <f t="shared" si="216"/>
        <v>105482.58</v>
      </c>
      <c r="K741" s="270">
        <f t="shared" si="216"/>
        <v>110973.88</v>
      </c>
      <c r="L741" s="270">
        <f t="shared" si="216"/>
        <v>115637.8</v>
      </c>
      <c r="M741" s="270">
        <f t="shared" si="216"/>
        <v>139803.76</v>
      </c>
      <c r="N741" s="270">
        <f t="shared" si="216"/>
        <v>146958.03</v>
      </c>
      <c r="O741" s="270">
        <f t="shared" si="216"/>
        <v>146958.03</v>
      </c>
      <c r="P741" s="270">
        <f t="shared" si="216"/>
        <v>146958.03</v>
      </c>
      <c r="Q741" s="270">
        <f t="shared" si="216"/>
        <v>146958.03</v>
      </c>
      <c r="R741" s="270">
        <f t="shared" si="216"/>
        <v>146958.03</v>
      </c>
      <c r="S741" s="270">
        <f t="shared" si="210"/>
        <v>146958.03</v>
      </c>
      <c r="T741" s="270">
        <f t="shared" si="210"/>
        <v>146958.03</v>
      </c>
      <c r="U741" s="270">
        <f t="shared" si="214"/>
        <v>146958.03</v>
      </c>
      <c r="V741" s="270">
        <f t="shared" si="214"/>
        <v>146958.03</v>
      </c>
      <c r="W741" s="270">
        <f t="shared" si="214"/>
        <v>146958.03</v>
      </c>
      <c r="X741" s="270">
        <f t="shared" si="214"/>
        <v>146958.03</v>
      </c>
      <c r="Y741" s="270">
        <f t="shared" si="214"/>
        <v>146958.03</v>
      </c>
      <c r="Z741" s="270">
        <f t="shared" si="214"/>
        <v>146958.03</v>
      </c>
      <c r="AA741" s="270">
        <f t="shared" si="214"/>
        <v>146958.03</v>
      </c>
      <c r="AB741" s="270">
        <f t="shared" si="214"/>
        <v>146958.03</v>
      </c>
      <c r="AC741" s="270">
        <f t="shared" si="214"/>
        <v>146958.03</v>
      </c>
      <c r="AD741" s="270">
        <f t="shared" si="207"/>
        <v>146958.03</v>
      </c>
      <c r="AE741" s="270">
        <f t="shared" si="207"/>
        <v>146958.03</v>
      </c>
      <c r="AF741" s="270">
        <f t="shared" si="215"/>
        <v>146958.03</v>
      </c>
      <c r="AG741" s="270">
        <f t="shared" si="215"/>
        <v>146958.03</v>
      </c>
      <c r="AH741" s="270">
        <f t="shared" si="215"/>
        <v>146958.03</v>
      </c>
      <c r="AI741" s="270">
        <f t="shared" si="215"/>
        <v>146958.03</v>
      </c>
      <c r="AJ741" s="270">
        <f t="shared" si="215"/>
        <v>146958.03</v>
      </c>
      <c r="AK741" s="270">
        <f t="shared" si="215"/>
        <v>146958.03</v>
      </c>
      <c r="AL741" s="270">
        <f t="shared" si="215"/>
        <v>146958.03</v>
      </c>
      <c r="AM741" s="270">
        <f t="shared" si="215"/>
        <v>146958.03</v>
      </c>
    </row>
    <row r="742" spans="2:39" ht="15.75" thickBot="1" x14ac:dyDescent="0.35">
      <c r="B742" s="56" t="str">
        <f>input_names!$C$3</f>
        <v>diesel</v>
      </c>
      <c r="C742" s="61">
        <v>340</v>
      </c>
      <c r="D742" s="270">
        <f t="shared" si="216"/>
        <v>105199</v>
      </c>
      <c r="E742" s="270">
        <f t="shared" si="216"/>
        <v>115672.39</v>
      </c>
      <c r="F742" s="270">
        <f t="shared" si="216"/>
        <v>118378.75</v>
      </c>
      <c r="G742" s="270">
        <f t="shared" si="216"/>
        <v>117769.26</v>
      </c>
      <c r="H742" s="270">
        <f t="shared" si="216"/>
        <v>114699.97</v>
      </c>
      <c r="I742" s="270">
        <f t="shared" si="216"/>
        <v>115390.85</v>
      </c>
      <c r="J742" s="270">
        <f t="shared" si="216"/>
        <v>105998.17</v>
      </c>
      <c r="K742" s="270">
        <f t="shared" si="216"/>
        <v>111508.55</v>
      </c>
      <c r="L742" s="270">
        <f t="shared" si="216"/>
        <v>116180.1</v>
      </c>
      <c r="M742" s="270">
        <f t="shared" si="216"/>
        <v>140458.82999999999</v>
      </c>
      <c r="N742" s="270">
        <f t="shared" si="216"/>
        <v>147635.9</v>
      </c>
      <c r="O742" s="270">
        <f t="shared" si="216"/>
        <v>147635.9</v>
      </c>
      <c r="P742" s="270">
        <f t="shared" si="216"/>
        <v>147635.9</v>
      </c>
      <c r="Q742" s="270">
        <f t="shared" si="216"/>
        <v>147635.9</v>
      </c>
      <c r="R742" s="270">
        <f t="shared" si="216"/>
        <v>147635.9</v>
      </c>
      <c r="S742" s="270">
        <f t="shared" si="210"/>
        <v>147635.9</v>
      </c>
      <c r="T742" s="270">
        <f t="shared" si="210"/>
        <v>147635.9</v>
      </c>
      <c r="U742" s="270">
        <f t="shared" si="214"/>
        <v>147635.9</v>
      </c>
      <c r="V742" s="270">
        <f t="shared" si="214"/>
        <v>147635.9</v>
      </c>
      <c r="W742" s="270">
        <f t="shared" si="214"/>
        <v>147635.9</v>
      </c>
      <c r="X742" s="270">
        <f t="shared" si="214"/>
        <v>147635.9</v>
      </c>
      <c r="Y742" s="270">
        <f t="shared" si="214"/>
        <v>147635.9</v>
      </c>
      <c r="Z742" s="270">
        <f t="shared" si="214"/>
        <v>147635.9</v>
      </c>
      <c r="AA742" s="270">
        <f t="shared" si="214"/>
        <v>147635.9</v>
      </c>
      <c r="AB742" s="270">
        <f t="shared" si="214"/>
        <v>147635.9</v>
      </c>
      <c r="AC742" s="270">
        <f t="shared" si="214"/>
        <v>147635.9</v>
      </c>
      <c r="AD742" s="270">
        <f t="shared" si="207"/>
        <v>147635.9</v>
      </c>
      <c r="AE742" s="270">
        <f t="shared" si="207"/>
        <v>147635.9</v>
      </c>
      <c r="AF742" s="270">
        <f t="shared" si="215"/>
        <v>147635.9</v>
      </c>
      <c r="AG742" s="270">
        <f t="shared" si="215"/>
        <v>147635.9</v>
      </c>
      <c r="AH742" s="270">
        <f t="shared" si="215"/>
        <v>147635.9</v>
      </c>
      <c r="AI742" s="270">
        <f t="shared" si="215"/>
        <v>147635.9</v>
      </c>
      <c r="AJ742" s="270">
        <f t="shared" si="215"/>
        <v>147635.9</v>
      </c>
      <c r="AK742" s="270">
        <f t="shared" si="215"/>
        <v>147635.9</v>
      </c>
      <c r="AL742" s="270">
        <f t="shared" si="215"/>
        <v>147635.9</v>
      </c>
      <c r="AM742" s="270">
        <f t="shared" si="215"/>
        <v>147635.9</v>
      </c>
    </row>
    <row r="743" spans="2:39" ht="15.75" thickBot="1" x14ac:dyDescent="0.35">
      <c r="B743" s="56" t="str">
        <f>input_names!$C$3</f>
        <v>diesel</v>
      </c>
      <c r="C743" s="61">
        <v>341</v>
      </c>
      <c r="D743" s="270">
        <f t="shared" si="216"/>
        <v>105719</v>
      </c>
      <c r="E743" s="270">
        <f t="shared" si="216"/>
        <v>116234.82</v>
      </c>
      <c r="F743" s="270">
        <f t="shared" si="216"/>
        <v>118937.44</v>
      </c>
      <c r="G743" s="270">
        <f t="shared" si="216"/>
        <v>118311.64</v>
      </c>
      <c r="H743" s="270">
        <f t="shared" si="216"/>
        <v>115216.4</v>
      </c>
      <c r="I743" s="270">
        <f t="shared" si="216"/>
        <v>115898.7</v>
      </c>
      <c r="J743" s="270">
        <f t="shared" si="216"/>
        <v>106513.76000000001</v>
      </c>
      <c r="K743" s="270">
        <f t="shared" si="216"/>
        <v>112043.22</v>
      </c>
      <c r="L743" s="270">
        <f t="shared" si="216"/>
        <v>116722.4</v>
      </c>
      <c r="M743" s="270">
        <f t="shared" si="216"/>
        <v>141113.9</v>
      </c>
      <c r="N743" s="270">
        <f t="shared" si="216"/>
        <v>148313.76999999999</v>
      </c>
      <c r="O743" s="270">
        <f t="shared" si="216"/>
        <v>148313.76999999999</v>
      </c>
      <c r="P743" s="270">
        <f t="shared" si="216"/>
        <v>148313.76999999999</v>
      </c>
      <c r="Q743" s="270">
        <f t="shared" si="216"/>
        <v>148313.76999999999</v>
      </c>
      <c r="R743" s="270">
        <f t="shared" si="216"/>
        <v>148313.76999999999</v>
      </c>
      <c r="S743" s="270">
        <f t="shared" si="210"/>
        <v>148313.76999999999</v>
      </c>
      <c r="T743" s="270">
        <f t="shared" si="210"/>
        <v>148313.76999999999</v>
      </c>
      <c r="U743" s="270">
        <f t="shared" si="214"/>
        <v>148313.76999999999</v>
      </c>
      <c r="V743" s="270">
        <f t="shared" si="214"/>
        <v>148313.76999999999</v>
      </c>
      <c r="W743" s="270">
        <f t="shared" si="214"/>
        <v>148313.76999999999</v>
      </c>
      <c r="X743" s="270">
        <f t="shared" si="214"/>
        <v>148313.76999999999</v>
      </c>
      <c r="Y743" s="270">
        <f t="shared" si="214"/>
        <v>148313.76999999999</v>
      </c>
      <c r="Z743" s="270">
        <f t="shared" si="214"/>
        <v>148313.76999999999</v>
      </c>
      <c r="AA743" s="270">
        <f t="shared" si="214"/>
        <v>148313.76999999999</v>
      </c>
      <c r="AB743" s="270">
        <f t="shared" si="214"/>
        <v>148313.76999999999</v>
      </c>
      <c r="AC743" s="270">
        <f t="shared" si="214"/>
        <v>148313.76999999999</v>
      </c>
      <c r="AD743" s="270">
        <f t="shared" si="207"/>
        <v>148313.76999999999</v>
      </c>
      <c r="AE743" s="270">
        <f t="shared" si="207"/>
        <v>148313.76999999999</v>
      </c>
      <c r="AF743" s="270">
        <f t="shared" si="215"/>
        <v>148313.76999999999</v>
      </c>
      <c r="AG743" s="270">
        <f t="shared" si="215"/>
        <v>148313.76999999999</v>
      </c>
      <c r="AH743" s="270">
        <f t="shared" si="215"/>
        <v>148313.76999999999</v>
      </c>
      <c r="AI743" s="270">
        <f t="shared" si="215"/>
        <v>148313.76999999999</v>
      </c>
      <c r="AJ743" s="270">
        <f t="shared" si="215"/>
        <v>148313.76999999999</v>
      </c>
      <c r="AK743" s="270">
        <f t="shared" si="215"/>
        <v>148313.76999999999</v>
      </c>
      <c r="AL743" s="270">
        <f t="shared" si="215"/>
        <v>148313.76999999999</v>
      </c>
      <c r="AM743" s="270">
        <f t="shared" si="215"/>
        <v>148313.76999999999</v>
      </c>
    </row>
    <row r="744" spans="2:39" ht="15.75" thickBot="1" x14ac:dyDescent="0.35">
      <c r="B744" s="56" t="str">
        <f>input_names!$C$3</f>
        <v>diesel</v>
      </c>
      <c r="C744" s="61">
        <v>342</v>
      </c>
      <c r="D744" s="270">
        <f t="shared" si="216"/>
        <v>106239</v>
      </c>
      <c r="E744" s="270">
        <f t="shared" si="216"/>
        <v>116797.25</v>
      </c>
      <c r="F744" s="270">
        <f t="shared" si="216"/>
        <v>119496.13</v>
      </c>
      <c r="G744" s="270">
        <f t="shared" si="216"/>
        <v>118854.02</v>
      </c>
      <c r="H744" s="270">
        <f t="shared" si="216"/>
        <v>115732.83</v>
      </c>
      <c r="I744" s="270">
        <f t="shared" si="216"/>
        <v>116406.55</v>
      </c>
      <c r="J744" s="270">
        <f t="shared" si="216"/>
        <v>107029.35</v>
      </c>
      <c r="K744" s="270">
        <f t="shared" si="216"/>
        <v>112577.89</v>
      </c>
      <c r="L744" s="270">
        <f t="shared" si="216"/>
        <v>117264.7</v>
      </c>
      <c r="M744" s="270">
        <f t="shared" si="216"/>
        <v>141768.97</v>
      </c>
      <c r="N744" s="270">
        <f t="shared" si="216"/>
        <v>148991.64000000001</v>
      </c>
      <c r="O744" s="270">
        <f t="shared" si="216"/>
        <v>148991.64000000001</v>
      </c>
      <c r="P744" s="270">
        <f t="shared" si="216"/>
        <v>148991.64000000001</v>
      </c>
      <c r="Q744" s="270">
        <f t="shared" si="216"/>
        <v>148991.64000000001</v>
      </c>
      <c r="R744" s="270">
        <f t="shared" si="216"/>
        <v>148991.64000000001</v>
      </c>
      <c r="S744" s="270">
        <f t="shared" si="210"/>
        <v>148991.64000000001</v>
      </c>
      <c r="T744" s="270">
        <f t="shared" si="210"/>
        <v>148991.64000000001</v>
      </c>
      <c r="U744" s="270">
        <f t="shared" si="214"/>
        <v>148991.64000000001</v>
      </c>
      <c r="V744" s="270">
        <f t="shared" si="214"/>
        <v>148991.64000000001</v>
      </c>
      <c r="W744" s="270">
        <f t="shared" si="214"/>
        <v>148991.64000000001</v>
      </c>
      <c r="X744" s="270">
        <f t="shared" si="214"/>
        <v>148991.64000000001</v>
      </c>
      <c r="Y744" s="270">
        <f t="shared" si="214"/>
        <v>148991.64000000001</v>
      </c>
      <c r="Z744" s="270">
        <f t="shared" si="214"/>
        <v>148991.64000000001</v>
      </c>
      <c r="AA744" s="270">
        <f t="shared" si="214"/>
        <v>148991.64000000001</v>
      </c>
      <c r="AB744" s="270">
        <f t="shared" si="214"/>
        <v>148991.64000000001</v>
      </c>
      <c r="AC744" s="270">
        <f t="shared" si="214"/>
        <v>148991.64000000001</v>
      </c>
      <c r="AD744" s="270">
        <f t="shared" si="207"/>
        <v>148991.64000000001</v>
      </c>
      <c r="AE744" s="270">
        <f t="shared" si="207"/>
        <v>148991.64000000001</v>
      </c>
      <c r="AF744" s="270">
        <f t="shared" si="215"/>
        <v>148991.64000000001</v>
      </c>
      <c r="AG744" s="270">
        <f t="shared" si="215"/>
        <v>148991.64000000001</v>
      </c>
      <c r="AH744" s="270">
        <f t="shared" si="215"/>
        <v>148991.64000000001</v>
      </c>
      <c r="AI744" s="270">
        <f t="shared" si="215"/>
        <v>148991.64000000001</v>
      </c>
      <c r="AJ744" s="270">
        <f t="shared" si="215"/>
        <v>148991.64000000001</v>
      </c>
      <c r="AK744" s="270">
        <f t="shared" si="215"/>
        <v>148991.64000000001</v>
      </c>
      <c r="AL744" s="270">
        <f t="shared" si="215"/>
        <v>148991.64000000001</v>
      </c>
      <c r="AM744" s="270">
        <f t="shared" si="215"/>
        <v>148991.64000000001</v>
      </c>
    </row>
    <row r="745" spans="2:39" ht="15.75" thickBot="1" x14ac:dyDescent="0.35">
      <c r="B745" s="56" t="str">
        <f>input_names!$C$3</f>
        <v>diesel</v>
      </c>
      <c r="C745" s="61">
        <v>343</v>
      </c>
      <c r="D745" s="270">
        <f t="shared" si="216"/>
        <v>106759</v>
      </c>
      <c r="E745" s="270">
        <f t="shared" si="216"/>
        <v>117359.67999999999</v>
      </c>
      <c r="F745" s="270">
        <f t="shared" si="216"/>
        <v>120054.82</v>
      </c>
      <c r="G745" s="270">
        <f t="shared" si="216"/>
        <v>119396.4</v>
      </c>
      <c r="H745" s="270">
        <f t="shared" si="216"/>
        <v>116249.26000000001</v>
      </c>
      <c r="I745" s="270">
        <f t="shared" si="216"/>
        <v>116914.4</v>
      </c>
      <c r="J745" s="270">
        <f t="shared" si="216"/>
        <v>107544.94</v>
      </c>
      <c r="K745" s="270">
        <f t="shared" si="216"/>
        <v>113112.56</v>
      </c>
      <c r="L745" s="270">
        <f t="shared" si="216"/>
        <v>117807</v>
      </c>
      <c r="M745" s="270">
        <f t="shared" si="216"/>
        <v>142424.04</v>
      </c>
      <c r="N745" s="270">
        <f t="shared" si="216"/>
        <v>149669.51</v>
      </c>
      <c r="O745" s="270">
        <f t="shared" si="216"/>
        <v>149669.51</v>
      </c>
      <c r="P745" s="270">
        <f t="shared" si="216"/>
        <v>149669.51</v>
      </c>
      <c r="Q745" s="270">
        <f t="shared" si="216"/>
        <v>149669.51</v>
      </c>
      <c r="R745" s="270">
        <f t="shared" si="216"/>
        <v>149669.51</v>
      </c>
      <c r="S745" s="270">
        <f t="shared" si="210"/>
        <v>149669.51</v>
      </c>
      <c r="T745" s="270">
        <f t="shared" si="210"/>
        <v>149669.51</v>
      </c>
      <c r="U745" s="270">
        <f t="shared" si="214"/>
        <v>149669.51</v>
      </c>
      <c r="V745" s="270">
        <f t="shared" si="214"/>
        <v>149669.51</v>
      </c>
      <c r="W745" s="270">
        <f t="shared" si="214"/>
        <v>149669.51</v>
      </c>
      <c r="X745" s="270">
        <f t="shared" si="214"/>
        <v>149669.51</v>
      </c>
      <c r="Y745" s="270">
        <f t="shared" si="214"/>
        <v>149669.51</v>
      </c>
      <c r="Z745" s="270">
        <f t="shared" si="214"/>
        <v>149669.51</v>
      </c>
      <c r="AA745" s="270">
        <f t="shared" si="214"/>
        <v>149669.51</v>
      </c>
      <c r="AB745" s="270">
        <f t="shared" si="214"/>
        <v>149669.51</v>
      </c>
      <c r="AC745" s="270">
        <f t="shared" si="214"/>
        <v>149669.51</v>
      </c>
      <c r="AD745" s="270">
        <f t="shared" si="207"/>
        <v>149669.51</v>
      </c>
      <c r="AE745" s="270">
        <f t="shared" si="207"/>
        <v>149669.51</v>
      </c>
      <c r="AF745" s="270">
        <f t="shared" si="215"/>
        <v>149669.51</v>
      </c>
      <c r="AG745" s="270">
        <f t="shared" si="215"/>
        <v>149669.51</v>
      </c>
      <c r="AH745" s="270">
        <f t="shared" si="215"/>
        <v>149669.51</v>
      </c>
      <c r="AI745" s="270">
        <f t="shared" si="215"/>
        <v>149669.51</v>
      </c>
      <c r="AJ745" s="270">
        <f t="shared" si="215"/>
        <v>149669.51</v>
      </c>
      <c r="AK745" s="270">
        <f t="shared" si="215"/>
        <v>149669.51</v>
      </c>
      <c r="AL745" s="270">
        <f t="shared" si="215"/>
        <v>149669.51</v>
      </c>
      <c r="AM745" s="270">
        <f t="shared" si="215"/>
        <v>149669.51</v>
      </c>
    </row>
    <row r="746" spans="2:39" ht="15.75" thickBot="1" x14ac:dyDescent="0.35">
      <c r="B746" s="56" t="str">
        <f>input_names!$C$3</f>
        <v>diesel</v>
      </c>
      <c r="C746" s="61">
        <v>344</v>
      </c>
      <c r="D746" s="270">
        <f t="shared" si="216"/>
        <v>107279</v>
      </c>
      <c r="E746" s="270">
        <f t="shared" si="216"/>
        <v>117922.11</v>
      </c>
      <c r="F746" s="270">
        <f t="shared" si="216"/>
        <v>120613.51</v>
      </c>
      <c r="G746" s="270">
        <f t="shared" si="216"/>
        <v>119938.78</v>
      </c>
      <c r="H746" s="270">
        <f t="shared" si="216"/>
        <v>116765.69</v>
      </c>
      <c r="I746" s="270">
        <f t="shared" si="216"/>
        <v>117422.25</v>
      </c>
      <c r="J746" s="270">
        <f t="shared" si="216"/>
        <v>108060.53</v>
      </c>
      <c r="K746" s="270">
        <f t="shared" si="216"/>
        <v>113647.23</v>
      </c>
      <c r="L746" s="270">
        <f t="shared" si="216"/>
        <v>118349.3</v>
      </c>
      <c r="M746" s="270">
        <f t="shared" si="216"/>
        <v>143079.10999999999</v>
      </c>
      <c r="N746" s="270">
        <f t="shared" si="216"/>
        <v>150347.38</v>
      </c>
      <c r="O746" s="270">
        <f t="shared" si="216"/>
        <v>150347.38</v>
      </c>
      <c r="P746" s="270">
        <f t="shared" si="216"/>
        <v>150347.38</v>
      </c>
      <c r="Q746" s="270">
        <f t="shared" si="216"/>
        <v>150347.38</v>
      </c>
      <c r="R746" s="270">
        <f t="shared" si="216"/>
        <v>150347.38</v>
      </c>
      <c r="S746" s="270">
        <f t="shared" si="210"/>
        <v>150347.38</v>
      </c>
      <c r="T746" s="270">
        <f t="shared" si="210"/>
        <v>150347.38</v>
      </c>
      <c r="U746" s="270">
        <f t="shared" si="214"/>
        <v>150347.38</v>
      </c>
      <c r="V746" s="270">
        <f t="shared" si="214"/>
        <v>150347.38</v>
      </c>
      <c r="W746" s="270">
        <f t="shared" si="214"/>
        <v>150347.38</v>
      </c>
      <c r="X746" s="270">
        <f t="shared" si="214"/>
        <v>150347.38</v>
      </c>
      <c r="Y746" s="270">
        <f t="shared" si="214"/>
        <v>150347.38</v>
      </c>
      <c r="Z746" s="270">
        <f t="shared" si="214"/>
        <v>150347.38</v>
      </c>
      <c r="AA746" s="270">
        <f t="shared" si="214"/>
        <v>150347.38</v>
      </c>
      <c r="AB746" s="270">
        <f t="shared" si="214"/>
        <v>150347.38</v>
      </c>
      <c r="AC746" s="270">
        <f t="shared" si="214"/>
        <v>150347.38</v>
      </c>
      <c r="AD746" s="270">
        <f t="shared" si="207"/>
        <v>150347.38</v>
      </c>
      <c r="AE746" s="270">
        <f t="shared" si="207"/>
        <v>150347.38</v>
      </c>
      <c r="AF746" s="270">
        <f t="shared" si="215"/>
        <v>150347.38</v>
      </c>
      <c r="AG746" s="270">
        <f t="shared" si="215"/>
        <v>150347.38</v>
      </c>
      <c r="AH746" s="270">
        <f t="shared" si="215"/>
        <v>150347.38</v>
      </c>
      <c r="AI746" s="270">
        <f t="shared" si="215"/>
        <v>150347.38</v>
      </c>
      <c r="AJ746" s="270">
        <f t="shared" si="215"/>
        <v>150347.38</v>
      </c>
      <c r="AK746" s="270">
        <f t="shared" si="215"/>
        <v>150347.38</v>
      </c>
      <c r="AL746" s="270">
        <f t="shared" si="215"/>
        <v>150347.38</v>
      </c>
      <c r="AM746" s="270">
        <f t="shared" si="215"/>
        <v>150347.38</v>
      </c>
    </row>
    <row r="747" spans="2:39" ht="15.75" thickBot="1" x14ac:dyDescent="0.35">
      <c r="B747" s="56" t="str">
        <f>input_names!$C$3</f>
        <v>diesel</v>
      </c>
      <c r="C747" s="61">
        <v>345</v>
      </c>
      <c r="D747" s="270">
        <f t="shared" si="216"/>
        <v>107799</v>
      </c>
      <c r="E747" s="270">
        <f t="shared" si="216"/>
        <v>118484.54000000001</v>
      </c>
      <c r="F747" s="270">
        <f t="shared" si="216"/>
        <v>121172.2</v>
      </c>
      <c r="G747" s="270">
        <f t="shared" si="216"/>
        <v>120481.16</v>
      </c>
      <c r="H747" s="270">
        <f t="shared" si="216"/>
        <v>117282.12</v>
      </c>
      <c r="I747" s="270">
        <f t="shared" si="216"/>
        <v>117930.1</v>
      </c>
      <c r="J747" s="270">
        <f t="shared" si="216"/>
        <v>108576.12</v>
      </c>
      <c r="K747" s="270">
        <f t="shared" si="216"/>
        <v>114181.9</v>
      </c>
      <c r="L747" s="270">
        <f t="shared" si="216"/>
        <v>118891.6</v>
      </c>
      <c r="M747" s="270">
        <f t="shared" si="216"/>
        <v>143734.18</v>
      </c>
      <c r="N747" s="270">
        <f t="shared" si="216"/>
        <v>151025.25</v>
      </c>
      <c r="O747" s="270">
        <f t="shared" si="216"/>
        <v>151025.25</v>
      </c>
      <c r="P747" s="270">
        <f t="shared" si="216"/>
        <v>151025.25</v>
      </c>
      <c r="Q747" s="270">
        <f t="shared" si="216"/>
        <v>151025.25</v>
      </c>
      <c r="R747" s="270">
        <f t="shared" si="216"/>
        <v>151025.25</v>
      </c>
      <c r="S747" s="270">
        <f t="shared" si="210"/>
        <v>151025.25</v>
      </c>
      <c r="T747" s="270">
        <f t="shared" si="210"/>
        <v>151025.25</v>
      </c>
      <c r="U747" s="270">
        <f t="shared" si="214"/>
        <v>151025.25</v>
      </c>
      <c r="V747" s="270">
        <f t="shared" si="214"/>
        <v>151025.25</v>
      </c>
      <c r="W747" s="270">
        <f t="shared" si="214"/>
        <v>151025.25</v>
      </c>
      <c r="X747" s="270">
        <f t="shared" si="214"/>
        <v>151025.25</v>
      </c>
      <c r="Y747" s="270">
        <f t="shared" si="214"/>
        <v>151025.25</v>
      </c>
      <c r="Z747" s="270">
        <f t="shared" si="214"/>
        <v>151025.25</v>
      </c>
      <c r="AA747" s="270">
        <f t="shared" si="214"/>
        <v>151025.25</v>
      </c>
      <c r="AB747" s="270">
        <f t="shared" si="214"/>
        <v>151025.25</v>
      </c>
      <c r="AC747" s="270">
        <f t="shared" si="214"/>
        <v>151025.25</v>
      </c>
      <c r="AD747" s="270">
        <f t="shared" si="207"/>
        <v>151025.25</v>
      </c>
      <c r="AE747" s="270">
        <f t="shared" si="207"/>
        <v>151025.25</v>
      </c>
      <c r="AF747" s="270">
        <f t="shared" si="215"/>
        <v>151025.25</v>
      </c>
      <c r="AG747" s="270">
        <f t="shared" si="215"/>
        <v>151025.25</v>
      </c>
      <c r="AH747" s="270">
        <f t="shared" si="215"/>
        <v>151025.25</v>
      </c>
      <c r="AI747" s="270">
        <f t="shared" si="215"/>
        <v>151025.25</v>
      </c>
      <c r="AJ747" s="270">
        <f t="shared" si="215"/>
        <v>151025.25</v>
      </c>
      <c r="AK747" s="270">
        <f t="shared" si="215"/>
        <v>151025.25</v>
      </c>
      <c r="AL747" s="270">
        <f t="shared" si="215"/>
        <v>151025.25</v>
      </c>
      <c r="AM747" s="270">
        <f t="shared" si="215"/>
        <v>151025.25</v>
      </c>
    </row>
    <row r="748" spans="2:39" ht="15.75" thickBot="1" x14ac:dyDescent="0.35">
      <c r="B748" s="56" t="str">
        <f>input_names!$C$3</f>
        <v>diesel</v>
      </c>
      <c r="C748" s="61">
        <v>346</v>
      </c>
      <c r="D748" s="270">
        <f t="shared" si="216"/>
        <v>108319</v>
      </c>
      <c r="E748" s="270">
        <f t="shared" si="216"/>
        <v>119046.97</v>
      </c>
      <c r="F748" s="270">
        <f t="shared" si="216"/>
        <v>121730.89</v>
      </c>
      <c r="G748" s="270">
        <f t="shared" si="216"/>
        <v>121023.54</v>
      </c>
      <c r="H748" s="270">
        <f t="shared" si="216"/>
        <v>117798.55</v>
      </c>
      <c r="I748" s="270">
        <f t="shared" si="216"/>
        <v>118437.95</v>
      </c>
      <c r="J748" s="270">
        <f t="shared" si="216"/>
        <v>109091.70999999999</v>
      </c>
      <c r="K748" s="270">
        <f t="shared" si="216"/>
        <v>114716.57</v>
      </c>
      <c r="L748" s="270">
        <f t="shared" si="216"/>
        <v>119433.9</v>
      </c>
      <c r="M748" s="270">
        <f t="shared" si="216"/>
        <v>144389.25</v>
      </c>
      <c r="N748" s="270">
        <f t="shared" si="216"/>
        <v>151703.12</v>
      </c>
      <c r="O748" s="270">
        <f t="shared" si="216"/>
        <v>151703.12</v>
      </c>
      <c r="P748" s="270">
        <f t="shared" si="216"/>
        <v>151703.12</v>
      </c>
      <c r="Q748" s="270">
        <f t="shared" si="216"/>
        <v>151703.12</v>
      </c>
      <c r="R748" s="270">
        <f t="shared" si="216"/>
        <v>151703.12</v>
      </c>
      <c r="S748" s="270">
        <f t="shared" si="210"/>
        <v>151703.12</v>
      </c>
      <c r="T748" s="270">
        <f t="shared" si="210"/>
        <v>151703.12</v>
      </c>
      <c r="U748" s="270">
        <f t="shared" si="214"/>
        <v>151703.12</v>
      </c>
      <c r="V748" s="270">
        <f t="shared" si="214"/>
        <v>151703.12</v>
      </c>
      <c r="W748" s="270">
        <f t="shared" si="214"/>
        <v>151703.12</v>
      </c>
      <c r="X748" s="270">
        <f t="shared" si="214"/>
        <v>151703.12</v>
      </c>
      <c r="Y748" s="270">
        <f t="shared" si="214"/>
        <v>151703.12</v>
      </c>
      <c r="Z748" s="270">
        <f t="shared" si="214"/>
        <v>151703.12</v>
      </c>
      <c r="AA748" s="270">
        <f t="shared" si="214"/>
        <v>151703.12</v>
      </c>
      <c r="AB748" s="270">
        <f t="shared" si="214"/>
        <v>151703.12</v>
      </c>
      <c r="AC748" s="270">
        <f t="shared" si="214"/>
        <v>151703.12</v>
      </c>
      <c r="AD748" s="270">
        <f t="shared" si="207"/>
        <v>151703.12</v>
      </c>
      <c r="AE748" s="270">
        <f t="shared" si="207"/>
        <v>151703.12</v>
      </c>
      <c r="AF748" s="270">
        <f t="shared" si="215"/>
        <v>151703.12</v>
      </c>
      <c r="AG748" s="270">
        <f t="shared" si="215"/>
        <v>151703.12</v>
      </c>
      <c r="AH748" s="270">
        <f t="shared" si="215"/>
        <v>151703.12</v>
      </c>
      <c r="AI748" s="270">
        <f t="shared" si="215"/>
        <v>151703.12</v>
      </c>
      <c r="AJ748" s="270">
        <f t="shared" si="215"/>
        <v>151703.12</v>
      </c>
      <c r="AK748" s="270">
        <f t="shared" si="215"/>
        <v>151703.12</v>
      </c>
      <c r="AL748" s="270">
        <f t="shared" si="215"/>
        <v>151703.12</v>
      </c>
      <c r="AM748" s="270">
        <f t="shared" si="215"/>
        <v>151703.12</v>
      </c>
    </row>
    <row r="749" spans="2:39" ht="15.75" thickBot="1" x14ac:dyDescent="0.35">
      <c r="B749" s="56" t="str">
        <f>input_names!$C$3</f>
        <v>diesel</v>
      </c>
      <c r="C749" s="61">
        <v>347</v>
      </c>
      <c r="D749" s="270">
        <f t="shared" si="216"/>
        <v>108839</v>
      </c>
      <c r="E749" s="270">
        <f t="shared" si="216"/>
        <v>119609.4</v>
      </c>
      <c r="F749" s="270">
        <f t="shared" si="216"/>
        <v>122289.58</v>
      </c>
      <c r="G749" s="270">
        <f t="shared" si="216"/>
        <v>121565.92</v>
      </c>
      <c r="H749" s="270">
        <f t="shared" si="216"/>
        <v>118314.98000000001</v>
      </c>
      <c r="I749" s="270">
        <f t="shared" si="216"/>
        <v>118945.8</v>
      </c>
      <c r="J749" s="270">
        <f t="shared" si="216"/>
        <v>109607.3</v>
      </c>
      <c r="K749" s="270">
        <f t="shared" si="216"/>
        <v>115251.24</v>
      </c>
      <c r="L749" s="270">
        <f t="shared" si="216"/>
        <v>119976.2</v>
      </c>
      <c r="M749" s="270">
        <f t="shared" si="216"/>
        <v>145044.32</v>
      </c>
      <c r="N749" s="270">
        <f t="shared" si="216"/>
        <v>152380.99</v>
      </c>
      <c r="O749" s="270">
        <f t="shared" si="216"/>
        <v>152380.99</v>
      </c>
      <c r="P749" s="270">
        <f t="shared" si="216"/>
        <v>152380.99</v>
      </c>
      <c r="Q749" s="270">
        <f t="shared" si="216"/>
        <v>152380.99</v>
      </c>
      <c r="R749" s="270">
        <f t="shared" si="216"/>
        <v>152380.99</v>
      </c>
      <c r="S749" s="270">
        <f t="shared" si="210"/>
        <v>152380.99</v>
      </c>
      <c r="T749" s="270">
        <f t="shared" si="210"/>
        <v>152380.99</v>
      </c>
      <c r="U749" s="270">
        <f t="shared" si="214"/>
        <v>152380.99</v>
      </c>
      <c r="V749" s="270">
        <f t="shared" si="214"/>
        <v>152380.99</v>
      </c>
      <c r="W749" s="270">
        <f t="shared" si="214"/>
        <v>152380.99</v>
      </c>
      <c r="X749" s="270">
        <f t="shared" si="214"/>
        <v>152380.99</v>
      </c>
      <c r="Y749" s="270">
        <f t="shared" si="214"/>
        <v>152380.99</v>
      </c>
      <c r="Z749" s="270">
        <f t="shared" si="214"/>
        <v>152380.99</v>
      </c>
      <c r="AA749" s="270">
        <f t="shared" si="214"/>
        <v>152380.99</v>
      </c>
      <c r="AB749" s="270">
        <f t="shared" si="214"/>
        <v>152380.99</v>
      </c>
      <c r="AC749" s="270">
        <f t="shared" si="214"/>
        <v>152380.99</v>
      </c>
      <c r="AD749" s="270">
        <f t="shared" si="207"/>
        <v>152380.99</v>
      </c>
      <c r="AE749" s="270">
        <f t="shared" si="207"/>
        <v>152380.99</v>
      </c>
      <c r="AF749" s="270">
        <f t="shared" si="215"/>
        <v>152380.99</v>
      </c>
      <c r="AG749" s="270">
        <f t="shared" si="215"/>
        <v>152380.99</v>
      </c>
      <c r="AH749" s="270">
        <f t="shared" si="215"/>
        <v>152380.99</v>
      </c>
      <c r="AI749" s="270">
        <f t="shared" si="215"/>
        <v>152380.99</v>
      </c>
      <c r="AJ749" s="270">
        <f t="shared" si="215"/>
        <v>152380.99</v>
      </c>
      <c r="AK749" s="270">
        <f t="shared" si="215"/>
        <v>152380.99</v>
      </c>
      <c r="AL749" s="270">
        <f t="shared" si="215"/>
        <v>152380.99</v>
      </c>
      <c r="AM749" s="270">
        <f t="shared" si="215"/>
        <v>152380.99</v>
      </c>
    </row>
    <row r="750" spans="2:39" ht="15.75" thickBot="1" x14ac:dyDescent="0.35">
      <c r="B750" s="56" t="str">
        <f>input_names!$C$3</f>
        <v>diesel</v>
      </c>
      <c r="C750" s="61">
        <v>348</v>
      </c>
      <c r="D750" s="270">
        <f t="shared" si="216"/>
        <v>109359</v>
      </c>
      <c r="E750" s="270">
        <f t="shared" si="216"/>
        <v>120171.83</v>
      </c>
      <c r="F750" s="270">
        <f t="shared" si="216"/>
        <v>122848.27</v>
      </c>
      <c r="G750" s="270">
        <f t="shared" si="216"/>
        <v>122108.3</v>
      </c>
      <c r="H750" s="270">
        <f t="shared" si="216"/>
        <v>118831.41</v>
      </c>
      <c r="I750" s="270">
        <f t="shared" si="216"/>
        <v>119453.65</v>
      </c>
      <c r="J750" s="270">
        <f t="shared" si="216"/>
        <v>110122.89</v>
      </c>
      <c r="K750" s="270">
        <f t="shared" si="216"/>
        <v>115785.91</v>
      </c>
      <c r="L750" s="270">
        <f t="shared" si="216"/>
        <v>120518.5</v>
      </c>
      <c r="M750" s="270">
        <f t="shared" si="216"/>
        <v>145699.39000000001</v>
      </c>
      <c r="N750" s="270">
        <f t="shared" si="216"/>
        <v>153058.85999999999</v>
      </c>
      <c r="O750" s="270">
        <f t="shared" si="216"/>
        <v>153058.85999999999</v>
      </c>
      <c r="P750" s="270">
        <f t="shared" si="216"/>
        <v>153058.85999999999</v>
      </c>
      <c r="Q750" s="270">
        <f t="shared" si="216"/>
        <v>153058.85999999999</v>
      </c>
      <c r="R750" s="270">
        <f t="shared" si="216"/>
        <v>153058.85999999999</v>
      </c>
      <c r="S750" s="270">
        <f t="shared" si="210"/>
        <v>153058.85999999999</v>
      </c>
      <c r="T750" s="270">
        <f t="shared" si="210"/>
        <v>153058.85999999999</v>
      </c>
      <c r="U750" s="270">
        <f t="shared" si="214"/>
        <v>153058.85999999999</v>
      </c>
      <c r="V750" s="270">
        <f t="shared" si="214"/>
        <v>153058.85999999999</v>
      </c>
      <c r="W750" s="270">
        <f t="shared" si="214"/>
        <v>153058.85999999999</v>
      </c>
      <c r="X750" s="270">
        <f t="shared" si="214"/>
        <v>153058.85999999999</v>
      </c>
      <c r="Y750" s="270">
        <f t="shared" si="214"/>
        <v>153058.85999999999</v>
      </c>
      <c r="Z750" s="270">
        <f t="shared" si="214"/>
        <v>153058.85999999999</v>
      </c>
      <c r="AA750" s="270">
        <f t="shared" si="214"/>
        <v>153058.85999999999</v>
      </c>
      <c r="AB750" s="270">
        <f t="shared" si="214"/>
        <v>153058.85999999999</v>
      </c>
      <c r="AC750" s="270">
        <f t="shared" si="214"/>
        <v>153058.85999999999</v>
      </c>
      <c r="AD750" s="270">
        <f t="shared" si="207"/>
        <v>153058.85999999999</v>
      </c>
      <c r="AE750" s="270">
        <f t="shared" si="207"/>
        <v>153058.85999999999</v>
      </c>
      <c r="AF750" s="270">
        <f t="shared" si="215"/>
        <v>153058.85999999999</v>
      </c>
      <c r="AG750" s="270">
        <f t="shared" si="215"/>
        <v>153058.85999999999</v>
      </c>
      <c r="AH750" s="270">
        <f t="shared" si="215"/>
        <v>153058.85999999999</v>
      </c>
      <c r="AI750" s="270">
        <f t="shared" si="215"/>
        <v>153058.85999999999</v>
      </c>
      <c r="AJ750" s="270">
        <f t="shared" si="215"/>
        <v>153058.85999999999</v>
      </c>
      <c r="AK750" s="270">
        <f t="shared" si="215"/>
        <v>153058.85999999999</v>
      </c>
      <c r="AL750" s="270">
        <f t="shared" si="215"/>
        <v>153058.85999999999</v>
      </c>
      <c r="AM750" s="270">
        <f t="shared" si="215"/>
        <v>153058.85999999999</v>
      </c>
    </row>
    <row r="751" spans="2:39" ht="15.75" thickBot="1" x14ac:dyDescent="0.35">
      <c r="B751" s="56" t="str">
        <f>input_names!$C$3</f>
        <v>diesel</v>
      </c>
      <c r="C751" s="61">
        <v>349</v>
      </c>
      <c r="D751" s="270">
        <f t="shared" si="216"/>
        <v>109879</v>
      </c>
      <c r="E751" s="270">
        <f t="shared" si="216"/>
        <v>120734.26000000001</v>
      </c>
      <c r="F751" s="270">
        <f t="shared" si="216"/>
        <v>123406.95999999999</v>
      </c>
      <c r="G751" s="270">
        <f t="shared" si="216"/>
        <v>122650.68</v>
      </c>
      <c r="H751" s="270">
        <f t="shared" si="216"/>
        <v>119347.84</v>
      </c>
      <c r="I751" s="270">
        <f t="shared" si="216"/>
        <v>119961.5</v>
      </c>
      <c r="J751" s="270">
        <f t="shared" si="216"/>
        <v>110638.48</v>
      </c>
      <c r="K751" s="270">
        <f t="shared" si="216"/>
        <v>116320.58</v>
      </c>
      <c r="L751" s="270">
        <f t="shared" si="216"/>
        <v>121060.8</v>
      </c>
      <c r="M751" s="270">
        <f t="shared" si="216"/>
        <v>146354.46</v>
      </c>
      <c r="N751" s="270">
        <f t="shared" si="216"/>
        <v>153736.73000000001</v>
      </c>
      <c r="O751" s="270">
        <f t="shared" si="216"/>
        <v>153736.73000000001</v>
      </c>
      <c r="P751" s="270">
        <f t="shared" si="216"/>
        <v>153736.73000000001</v>
      </c>
      <c r="Q751" s="270">
        <f t="shared" si="216"/>
        <v>153736.73000000001</v>
      </c>
      <c r="R751" s="270">
        <f t="shared" si="216"/>
        <v>153736.73000000001</v>
      </c>
      <c r="S751" s="270">
        <f t="shared" si="210"/>
        <v>153736.73000000001</v>
      </c>
      <c r="T751" s="270">
        <f t="shared" si="210"/>
        <v>153736.73000000001</v>
      </c>
      <c r="U751" s="270">
        <f t="shared" si="214"/>
        <v>153736.73000000001</v>
      </c>
      <c r="V751" s="270">
        <f t="shared" si="214"/>
        <v>153736.73000000001</v>
      </c>
      <c r="W751" s="270">
        <f t="shared" si="214"/>
        <v>153736.73000000001</v>
      </c>
      <c r="X751" s="270">
        <f t="shared" si="214"/>
        <v>153736.73000000001</v>
      </c>
      <c r="Y751" s="270">
        <f t="shared" si="214"/>
        <v>153736.73000000001</v>
      </c>
      <c r="Z751" s="270">
        <f t="shared" si="214"/>
        <v>153736.73000000001</v>
      </c>
      <c r="AA751" s="270">
        <f t="shared" si="214"/>
        <v>153736.73000000001</v>
      </c>
      <c r="AB751" s="270">
        <f t="shared" si="214"/>
        <v>153736.73000000001</v>
      </c>
      <c r="AC751" s="270">
        <f t="shared" si="214"/>
        <v>153736.73000000001</v>
      </c>
      <c r="AD751" s="270">
        <f t="shared" si="207"/>
        <v>153736.73000000001</v>
      </c>
      <c r="AE751" s="270">
        <f t="shared" si="207"/>
        <v>153736.73000000001</v>
      </c>
      <c r="AF751" s="270">
        <f t="shared" si="215"/>
        <v>153736.73000000001</v>
      </c>
      <c r="AG751" s="270">
        <f t="shared" si="215"/>
        <v>153736.73000000001</v>
      </c>
      <c r="AH751" s="270">
        <f t="shared" si="215"/>
        <v>153736.73000000001</v>
      </c>
      <c r="AI751" s="270">
        <f t="shared" si="215"/>
        <v>153736.73000000001</v>
      </c>
      <c r="AJ751" s="270">
        <f t="shared" si="215"/>
        <v>153736.73000000001</v>
      </c>
      <c r="AK751" s="270">
        <f t="shared" si="215"/>
        <v>153736.73000000001</v>
      </c>
      <c r="AL751" s="270">
        <f t="shared" si="215"/>
        <v>153736.73000000001</v>
      </c>
      <c r="AM751" s="270">
        <f t="shared" si="215"/>
        <v>153736.73000000001</v>
      </c>
    </row>
    <row r="752" spans="2:39" ht="15.75" thickBot="1" x14ac:dyDescent="0.35">
      <c r="B752" s="56" t="str">
        <f>input_names!$C$3</f>
        <v>diesel</v>
      </c>
      <c r="C752" s="61">
        <v>350</v>
      </c>
      <c r="D752" s="270">
        <f t="shared" si="216"/>
        <v>110399</v>
      </c>
      <c r="E752" s="270">
        <f t="shared" si="216"/>
        <v>121296.69</v>
      </c>
      <c r="F752" s="270">
        <f t="shared" si="216"/>
        <v>123965.65</v>
      </c>
      <c r="G752" s="270">
        <f t="shared" si="216"/>
        <v>123193.06</v>
      </c>
      <c r="H752" s="270">
        <f t="shared" si="216"/>
        <v>119864.27</v>
      </c>
      <c r="I752" s="270">
        <f t="shared" si="216"/>
        <v>120469.35</v>
      </c>
      <c r="J752" s="270">
        <f t="shared" si="216"/>
        <v>111154.07</v>
      </c>
      <c r="K752" s="270">
        <f t="shared" si="216"/>
        <v>116855.25</v>
      </c>
      <c r="L752" s="270">
        <f t="shared" si="216"/>
        <v>121603.1</v>
      </c>
      <c r="M752" s="270">
        <f t="shared" si="216"/>
        <v>147009.53</v>
      </c>
      <c r="N752" s="270">
        <f t="shared" si="216"/>
        <v>154414.6</v>
      </c>
      <c r="O752" s="270">
        <f t="shared" si="216"/>
        <v>154414.6</v>
      </c>
      <c r="P752" s="270">
        <f t="shared" si="216"/>
        <v>154414.6</v>
      </c>
      <c r="Q752" s="270">
        <f t="shared" si="216"/>
        <v>154414.6</v>
      </c>
      <c r="R752" s="270">
        <f t="shared" si="216"/>
        <v>154414.6</v>
      </c>
      <c r="S752" s="270">
        <f t="shared" si="210"/>
        <v>154414.6</v>
      </c>
      <c r="T752" s="270">
        <f t="shared" si="210"/>
        <v>154414.6</v>
      </c>
      <c r="U752" s="270">
        <f t="shared" si="214"/>
        <v>154414.6</v>
      </c>
      <c r="V752" s="270">
        <f t="shared" si="214"/>
        <v>154414.6</v>
      </c>
      <c r="W752" s="270">
        <f t="shared" si="214"/>
        <v>154414.6</v>
      </c>
      <c r="X752" s="270">
        <f t="shared" si="214"/>
        <v>154414.6</v>
      </c>
      <c r="Y752" s="270">
        <f t="shared" si="214"/>
        <v>154414.6</v>
      </c>
      <c r="Z752" s="270">
        <f t="shared" si="214"/>
        <v>154414.6</v>
      </c>
      <c r="AA752" s="270">
        <f t="shared" si="214"/>
        <v>154414.6</v>
      </c>
      <c r="AB752" s="270">
        <f t="shared" si="214"/>
        <v>154414.6</v>
      </c>
      <c r="AC752" s="270">
        <f t="shared" si="214"/>
        <v>154414.6</v>
      </c>
      <c r="AD752" s="270">
        <f t="shared" si="207"/>
        <v>154414.6</v>
      </c>
      <c r="AE752" s="270">
        <f t="shared" si="207"/>
        <v>154414.6</v>
      </c>
      <c r="AF752" s="270">
        <f t="shared" si="215"/>
        <v>154414.6</v>
      </c>
      <c r="AG752" s="270">
        <f t="shared" si="215"/>
        <v>154414.6</v>
      </c>
      <c r="AH752" s="270">
        <f t="shared" si="215"/>
        <v>154414.6</v>
      </c>
      <c r="AI752" s="270">
        <f t="shared" si="215"/>
        <v>154414.6</v>
      </c>
      <c r="AJ752" s="270">
        <f t="shared" si="215"/>
        <v>154414.6</v>
      </c>
      <c r="AK752" s="270">
        <f t="shared" si="215"/>
        <v>154414.6</v>
      </c>
      <c r="AL752" s="270">
        <f t="shared" si="215"/>
        <v>154414.6</v>
      </c>
      <c r="AM752" s="270">
        <f t="shared" si="215"/>
        <v>154414.6</v>
      </c>
    </row>
    <row r="753" spans="2:39" ht="15.75" thickBot="1" x14ac:dyDescent="0.3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row>
    <row r="754" spans="2:39" ht="15.75" thickBot="1" x14ac:dyDescent="0.35">
      <c r="B754" s="50" t="s">
        <v>39</v>
      </c>
      <c r="C754" s="54" t="s">
        <v>43</v>
      </c>
      <c r="D754" s="51">
        <f>D4</f>
        <v>2015</v>
      </c>
      <c r="E754" s="51">
        <f t="shared" ref="E754:AM754" si="217">E4</f>
        <v>2016</v>
      </c>
      <c r="F754" s="51">
        <f t="shared" si="217"/>
        <v>2017</v>
      </c>
      <c r="G754" s="51">
        <f t="shared" si="217"/>
        <v>2018</v>
      </c>
      <c r="H754" s="51">
        <f t="shared" si="217"/>
        <v>2019</v>
      </c>
      <c r="I754" s="51">
        <f t="shared" si="217"/>
        <v>2020</v>
      </c>
      <c r="J754" s="51">
        <f t="shared" si="217"/>
        <v>2021</v>
      </c>
      <c r="K754" s="51">
        <f t="shared" si="217"/>
        <v>2022</v>
      </c>
      <c r="L754" s="51">
        <f t="shared" si="217"/>
        <v>2023</v>
      </c>
      <c r="M754" s="51">
        <f t="shared" si="217"/>
        <v>2024</v>
      </c>
      <c r="N754" s="51">
        <f t="shared" si="217"/>
        <v>2025</v>
      </c>
      <c r="O754" s="51">
        <f t="shared" si="217"/>
        <v>2026</v>
      </c>
      <c r="P754" s="51">
        <f t="shared" si="217"/>
        <v>2027</v>
      </c>
      <c r="Q754" s="51">
        <f t="shared" si="217"/>
        <v>2028</v>
      </c>
      <c r="R754" s="51">
        <f t="shared" si="217"/>
        <v>2029</v>
      </c>
      <c r="S754" s="51">
        <f t="shared" si="217"/>
        <v>2030</v>
      </c>
      <c r="T754" s="51">
        <f t="shared" si="217"/>
        <v>2031</v>
      </c>
      <c r="U754" s="51">
        <f t="shared" si="217"/>
        <v>2032</v>
      </c>
      <c r="V754" s="51">
        <f t="shared" si="217"/>
        <v>2033</v>
      </c>
      <c r="W754" s="51">
        <f t="shared" si="217"/>
        <v>2034</v>
      </c>
      <c r="X754" s="51">
        <f t="shared" si="217"/>
        <v>2035</v>
      </c>
      <c r="Y754" s="51">
        <f t="shared" si="217"/>
        <v>2036</v>
      </c>
      <c r="Z754" s="51">
        <f t="shared" si="217"/>
        <v>2037</v>
      </c>
      <c r="AA754" s="51">
        <f t="shared" si="217"/>
        <v>2038</v>
      </c>
      <c r="AB754" s="51">
        <f t="shared" si="217"/>
        <v>2039</v>
      </c>
      <c r="AC754" s="51">
        <f t="shared" si="217"/>
        <v>2040</v>
      </c>
      <c r="AD754" s="51">
        <f t="shared" si="217"/>
        <v>2041</v>
      </c>
      <c r="AE754" s="51">
        <f t="shared" si="217"/>
        <v>2042</v>
      </c>
      <c r="AF754" s="51">
        <f t="shared" si="217"/>
        <v>2043</v>
      </c>
      <c r="AG754" s="51">
        <f t="shared" si="217"/>
        <v>2044</v>
      </c>
      <c r="AH754" s="51">
        <f t="shared" si="217"/>
        <v>2045</v>
      </c>
      <c r="AI754" s="51">
        <f t="shared" si="217"/>
        <v>2046</v>
      </c>
      <c r="AJ754" s="51">
        <f t="shared" si="217"/>
        <v>2047</v>
      </c>
      <c r="AK754" s="51">
        <f t="shared" si="217"/>
        <v>2048</v>
      </c>
      <c r="AL754" s="51">
        <f t="shared" si="217"/>
        <v>2049</v>
      </c>
      <c r="AM754" s="51">
        <f t="shared" si="217"/>
        <v>2050</v>
      </c>
    </row>
    <row r="755" spans="2:39" ht="15.75" thickBot="1" x14ac:dyDescent="0.35">
      <c r="B755" s="56" t="str">
        <f>input_names!$E$3</f>
        <v>plug-in</v>
      </c>
      <c r="C755" s="61">
        <v>0</v>
      </c>
      <c r="D755" s="270">
        <f t="shared" ref="D755:AE769" si="218">+MIN(MAX(0,$C755-D$28),D$29-D$28)*D$34
+MIN(MAX(0,$C755-D$29),D$30-D$29)*D$35
+MIN(MAX(0,$C755-D$30),D$31-D$30)*D$36
+MIN(MAX(0,$C755-D$31),D$32-D$31)*D$37
+MAX(0,$C755-D$32)*D$38
+D$39</f>
        <v>0</v>
      </c>
      <c r="E755" s="270">
        <f t="shared" si="218"/>
        <v>0</v>
      </c>
      <c r="F755" s="270">
        <f t="shared" si="218"/>
        <v>0</v>
      </c>
      <c r="G755" s="270">
        <f t="shared" si="218"/>
        <v>0</v>
      </c>
      <c r="H755" s="270">
        <f t="shared" si="218"/>
        <v>0</v>
      </c>
      <c r="I755" s="270">
        <f t="shared" si="218"/>
        <v>0</v>
      </c>
      <c r="J755" s="270">
        <f t="shared" si="218"/>
        <v>0</v>
      </c>
      <c r="K755" s="270">
        <f t="shared" si="218"/>
        <v>0</v>
      </c>
      <c r="L755" s="270">
        <f>+MIN(MAX(0,$C755-L$28),L$29-L$28)*L$34
+MIN(MAX(0,$C755-L$29),L$30-L$29)*L$35
+MIN(MAX(0,$C755-L$30),L$31-L$30)*L$36
+MIN(MAX(0,$C755-L$31),L$32-L$31)*L$37
+MAX(0,$C755-L$32)*L$38
+L$39</f>
        <v>0</v>
      </c>
      <c r="M755" s="270">
        <f t="shared" si="218"/>
        <v>0</v>
      </c>
      <c r="N755" s="270">
        <f t="shared" si="218"/>
        <v>667</v>
      </c>
      <c r="O755" s="270">
        <f t="shared" si="218"/>
        <v>667</v>
      </c>
      <c r="P755" s="270">
        <f t="shared" si="218"/>
        <v>667</v>
      </c>
      <c r="Q755" s="270">
        <f t="shared" si="218"/>
        <v>667</v>
      </c>
      <c r="R755" s="270">
        <f t="shared" si="218"/>
        <v>667</v>
      </c>
      <c r="S755" s="270">
        <f t="shared" ref="S755:AC770" si="219">+MIN(MAX(0,$C755-S$28),S$29-S$28)*S$34
+MIN(MAX(0,$C755-S$29),S$30-S$29)*S$35
+MIN(MAX(0,$C755-S$30),S$31-S$30)*S$36
+MIN(MAX(0,$C755-S$31),S$32-S$31)*S$37
+MAX(0,$C755-S$32)*S$38
+S$39</f>
        <v>667</v>
      </c>
      <c r="T755" s="270">
        <f t="shared" si="219"/>
        <v>667</v>
      </c>
      <c r="U755" s="270">
        <f t="shared" si="219"/>
        <v>667</v>
      </c>
      <c r="V755" s="270">
        <f t="shared" si="219"/>
        <v>667</v>
      </c>
      <c r="W755" s="270">
        <f t="shared" si="219"/>
        <v>667</v>
      </c>
      <c r="X755" s="270">
        <f t="shared" si="219"/>
        <v>667</v>
      </c>
      <c r="Y755" s="270">
        <f t="shared" si="219"/>
        <v>667</v>
      </c>
      <c r="Z755" s="270">
        <f t="shared" si="219"/>
        <v>667</v>
      </c>
      <c r="AA755" s="270">
        <f t="shared" si="219"/>
        <v>667</v>
      </c>
      <c r="AB755" s="270">
        <f t="shared" si="219"/>
        <v>667</v>
      </c>
      <c r="AC755" s="270">
        <f t="shared" si="219"/>
        <v>667</v>
      </c>
      <c r="AD755" s="270">
        <f t="shared" si="218"/>
        <v>667</v>
      </c>
      <c r="AE755" s="270">
        <f t="shared" si="218"/>
        <v>667</v>
      </c>
      <c r="AF755" s="270">
        <f t="shared" ref="AF755:AM770" si="220">+MIN(MAX(0,$C755-AF$28),AF$29-AF$28)*AF$34
+MIN(MAX(0,$C755-AF$29),AF$30-AF$29)*AF$35
+MIN(MAX(0,$C755-AF$30),AF$31-AF$30)*AF$36
+MIN(MAX(0,$C755-AF$31),AF$32-AF$31)*AF$37
+MAX(0,$C755-AF$32)*AF$38
+AF$39</f>
        <v>667</v>
      </c>
      <c r="AG755" s="270">
        <f t="shared" si="220"/>
        <v>667</v>
      </c>
      <c r="AH755" s="270">
        <f t="shared" si="220"/>
        <v>667</v>
      </c>
      <c r="AI755" s="270">
        <f t="shared" si="220"/>
        <v>667</v>
      </c>
      <c r="AJ755" s="270">
        <f t="shared" si="220"/>
        <v>667</v>
      </c>
      <c r="AK755" s="270">
        <f t="shared" si="220"/>
        <v>667</v>
      </c>
      <c r="AL755" s="270">
        <f t="shared" si="220"/>
        <v>667</v>
      </c>
      <c r="AM755" s="270">
        <f t="shared" si="220"/>
        <v>667</v>
      </c>
    </row>
    <row r="756" spans="2:39" ht="15.75" thickBot="1" x14ac:dyDescent="0.35">
      <c r="B756" s="56" t="str">
        <f>input_names!$E$3</f>
        <v>plug-in</v>
      </c>
      <c r="C756" s="61">
        <v>1</v>
      </c>
      <c r="D756" s="270">
        <f t="shared" si="218"/>
        <v>6</v>
      </c>
      <c r="E756" s="270">
        <f t="shared" si="218"/>
        <v>6</v>
      </c>
      <c r="F756" s="270">
        <f t="shared" si="218"/>
        <v>20</v>
      </c>
      <c r="G756" s="270">
        <f t="shared" si="218"/>
        <v>19</v>
      </c>
      <c r="H756" s="270">
        <f t="shared" si="218"/>
        <v>27</v>
      </c>
      <c r="I756" s="270">
        <f t="shared" si="218"/>
        <v>27</v>
      </c>
      <c r="J756" s="270">
        <f t="shared" si="218"/>
        <v>24</v>
      </c>
      <c r="K756" s="270">
        <f t="shared" si="218"/>
        <v>24</v>
      </c>
      <c r="L756" s="270">
        <f t="shared" si="218"/>
        <v>26</v>
      </c>
      <c r="M756" s="270">
        <f t="shared" si="218"/>
        <v>28</v>
      </c>
      <c r="N756" s="270">
        <f t="shared" si="218"/>
        <v>669</v>
      </c>
      <c r="O756" s="270">
        <f t="shared" si="218"/>
        <v>669</v>
      </c>
      <c r="P756" s="270">
        <f t="shared" si="218"/>
        <v>669</v>
      </c>
      <c r="Q756" s="270">
        <f t="shared" si="218"/>
        <v>669</v>
      </c>
      <c r="R756" s="270">
        <f t="shared" si="218"/>
        <v>669</v>
      </c>
      <c r="S756" s="270">
        <f t="shared" si="219"/>
        <v>669</v>
      </c>
      <c r="T756" s="270">
        <f t="shared" si="219"/>
        <v>669</v>
      </c>
      <c r="U756" s="270">
        <f t="shared" si="219"/>
        <v>669</v>
      </c>
      <c r="V756" s="270">
        <f t="shared" si="219"/>
        <v>669</v>
      </c>
      <c r="W756" s="270">
        <f t="shared" si="219"/>
        <v>669</v>
      </c>
      <c r="X756" s="270">
        <f t="shared" si="219"/>
        <v>669</v>
      </c>
      <c r="Y756" s="270">
        <f t="shared" si="219"/>
        <v>669</v>
      </c>
      <c r="Z756" s="270">
        <f t="shared" si="219"/>
        <v>669</v>
      </c>
      <c r="AA756" s="270">
        <f t="shared" si="219"/>
        <v>669</v>
      </c>
      <c r="AB756" s="270">
        <f t="shared" si="219"/>
        <v>669</v>
      </c>
      <c r="AC756" s="270">
        <f t="shared" si="219"/>
        <v>669</v>
      </c>
      <c r="AD756" s="270">
        <f t="shared" si="218"/>
        <v>669</v>
      </c>
      <c r="AE756" s="270">
        <f t="shared" si="218"/>
        <v>669</v>
      </c>
      <c r="AF756" s="270">
        <f t="shared" si="220"/>
        <v>669</v>
      </c>
      <c r="AG756" s="270">
        <f t="shared" si="220"/>
        <v>669</v>
      </c>
      <c r="AH756" s="270">
        <f t="shared" si="220"/>
        <v>669</v>
      </c>
      <c r="AI756" s="270">
        <f t="shared" si="220"/>
        <v>669</v>
      </c>
      <c r="AJ756" s="270">
        <f t="shared" si="220"/>
        <v>669</v>
      </c>
      <c r="AK756" s="270">
        <f t="shared" si="220"/>
        <v>669</v>
      </c>
      <c r="AL756" s="270">
        <f t="shared" si="220"/>
        <v>669</v>
      </c>
      <c r="AM756" s="270">
        <f t="shared" si="220"/>
        <v>669</v>
      </c>
    </row>
    <row r="757" spans="2:39" ht="15.75" thickBot="1" x14ac:dyDescent="0.35">
      <c r="B757" s="56" t="str">
        <f>input_names!$E$3</f>
        <v>plug-in</v>
      </c>
      <c r="C757" s="61">
        <v>2</v>
      </c>
      <c r="D757" s="270">
        <f t="shared" si="218"/>
        <v>12</v>
      </c>
      <c r="E757" s="270">
        <f t="shared" si="218"/>
        <v>12</v>
      </c>
      <c r="F757" s="270">
        <f t="shared" si="218"/>
        <v>40</v>
      </c>
      <c r="G757" s="270">
        <f t="shared" si="218"/>
        <v>38</v>
      </c>
      <c r="H757" s="270">
        <f t="shared" si="218"/>
        <v>54</v>
      </c>
      <c r="I757" s="270">
        <f t="shared" si="218"/>
        <v>54</v>
      </c>
      <c r="J757" s="270">
        <f t="shared" si="218"/>
        <v>48</v>
      </c>
      <c r="K757" s="270">
        <f t="shared" si="218"/>
        <v>48</v>
      </c>
      <c r="L757" s="270">
        <f t="shared" si="218"/>
        <v>52</v>
      </c>
      <c r="M757" s="270">
        <f t="shared" si="218"/>
        <v>56</v>
      </c>
      <c r="N757" s="270">
        <f t="shared" si="218"/>
        <v>671</v>
      </c>
      <c r="O757" s="270">
        <f t="shared" si="218"/>
        <v>671</v>
      </c>
      <c r="P757" s="270">
        <f t="shared" si="218"/>
        <v>671</v>
      </c>
      <c r="Q757" s="270">
        <f t="shared" si="218"/>
        <v>671</v>
      </c>
      <c r="R757" s="270">
        <f t="shared" si="218"/>
        <v>671</v>
      </c>
      <c r="S757" s="270">
        <f t="shared" si="219"/>
        <v>671</v>
      </c>
      <c r="T757" s="270">
        <f t="shared" si="219"/>
        <v>671</v>
      </c>
      <c r="U757" s="270">
        <f t="shared" si="219"/>
        <v>671</v>
      </c>
      <c r="V757" s="270">
        <f t="shared" si="219"/>
        <v>671</v>
      </c>
      <c r="W757" s="270">
        <f t="shared" si="219"/>
        <v>671</v>
      </c>
      <c r="X757" s="270">
        <f t="shared" si="219"/>
        <v>671</v>
      </c>
      <c r="Y757" s="270">
        <f t="shared" si="219"/>
        <v>671</v>
      </c>
      <c r="Z757" s="270">
        <f t="shared" si="219"/>
        <v>671</v>
      </c>
      <c r="AA757" s="270">
        <f t="shared" si="219"/>
        <v>671</v>
      </c>
      <c r="AB757" s="270">
        <f t="shared" si="219"/>
        <v>671</v>
      </c>
      <c r="AC757" s="270">
        <f t="shared" si="219"/>
        <v>671</v>
      </c>
      <c r="AD757" s="270">
        <f t="shared" si="218"/>
        <v>671</v>
      </c>
      <c r="AE757" s="270">
        <f t="shared" si="218"/>
        <v>671</v>
      </c>
      <c r="AF757" s="270">
        <f t="shared" si="220"/>
        <v>671</v>
      </c>
      <c r="AG757" s="270">
        <f t="shared" si="220"/>
        <v>671</v>
      </c>
      <c r="AH757" s="270">
        <f t="shared" si="220"/>
        <v>671</v>
      </c>
      <c r="AI757" s="270">
        <f t="shared" si="220"/>
        <v>671</v>
      </c>
      <c r="AJ757" s="270">
        <f t="shared" si="220"/>
        <v>671</v>
      </c>
      <c r="AK757" s="270">
        <f t="shared" si="220"/>
        <v>671</v>
      </c>
      <c r="AL757" s="270">
        <f t="shared" si="220"/>
        <v>671</v>
      </c>
      <c r="AM757" s="270">
        <f t="shared" si="220"/>
        <v>671</v>
      </c>
    </row>
    <row r="758" spans="2:39" ht="15.75" thickBot="1" x14ac:dyDescent="0.35">
      <c r="B758" s="56" t="str">
        <f>input_names!$E$3</f>
        <v>plug-in</v>
      </c>
      <c r="C758" s="61">
        <v>3</v>
      </c>
      <c r="D758" s="270">
        <f t="shared" si="218"/>
        <v>18</v>
      </c>
      <c r="E758" s="270">
        <f t="shared" si="218"/>
        <v>18</v>
      </c>
      <c r="F758" s="270">
        <f t="shared" si="218"/>
        <v>60</v>
      </c>
      <c r="G758" s="270">
        <f t="shared" si="218"/>
        <v>57</v>
      </c>
      <c r="H758" s="270">
        <f t="shared" si="218"/>
        <v>81</v>
      </c>
      <c r="I758" s="270">
        <f t="shared" si="218"/>
        <v>81</v>
      </c>
      <c r="J758" s="270">
        <f t="shared" si="218"/>
        <v>72</v>
      </c>
      <c r="K758" s="270">
        <f t="shared" si="218"/>
        <v>72</v>
      </c>
      <c r="L758" s="270">
        <f t="shared" si="218"/>
        <v>78</v>
      </c>
      <c r="M758" s="270">
        <f t="shared" si="218"/>
        <v>84</v>
      </c>
      <c r="N758" s="270">
        <f t="shared" si="218"/>
        <v>673</v>
      </c>
      <c r="O758" s="270">
        <f t="shared" si="218"/>
        <v>673</v>
      </c>
      <c r="P758" s="270">
        <f t="shared" si="218"/>
        <v>673</v>
      </c>
      <c r="Q758" s="270">
        <f t="shared" si="218"/>
        <v>673</v>
      </c>
      <c r="R758" s="270">
        <f t="shared" si="218"/>
        <v>673</v>
      </c>
      <c r="S758" s="270">
        <f t="shared" si="219"/>
        <v>673</v>
      </c>
      <c r="T758" s="270">
        <f t="shared" si="219"/>
        <v>673</v>
      </c>
      <c r="U758" s="270">
        <f t="shared" si="219"/>
        <v>673</v>
      </c>
      <c r="V758" s="270">
        <f t="shared" si="219"/>
        <v>673</v>
      </c>
      <c r="W758" s="270">
        <f t="shared" si="219"/>
        <v>673</v>
      </c>
      <c r="X758" s="270">
        <f t="shared" si="219"/>
        <v>673</v>
      </c>
      <c r="Y758" s="270">
        <f t="shared" si="219"/>
        <v>673</v>
      </c>
      <c r="Z758" s="270">
        <f t="shared" si="219"/>
        <v>673</v>
      </c>
      <c r="AA758" s="270">
        <f t="shared" si="219"/>
        <v>673</v>
      </c>
      <c r="AB758" s="270">
        <f t="shared" si="219"/>
        <v>673</v>
      </c>
      <c r="AC758" s="270">
        <f t="shared" si="219"/>
        <v>673</v>
      </c>
      <c r="AD758" s="270">
        <f t="shared" si="218"/>
        <v>673</v>
      </c>
      <c r="AE758" s="270">
        <f t="shared" si="218"/>
        <v>673</v>
      </c>
      <c r="AF758" s="270">
        <f t="shared" si="220"/>
        <v>673</v>
      </c>
      <c r="AG758" s="270">
        <f t="shared" si="220"/>
        <v>673</v>
      </c>
      <c r="AH758" s="270">
        <f t="shared" si="220"/>
        <v>673</v>
      </c>
      <c r="AI758" s="270">
        <f t="shared" si="220"/>
        <v>673</v>
      </c>
      <c r="AJ758" s="270">
        <f t="shared" si="220"/>
        <v>673</v>
      </c>
      <c r="AK758" s="270">
        <f t="shared" si="220"/>
        <v>673</v>
      </c>
      <c r="AL758" s="270">
        <f t="shared" si="220"/>
        <v>673</v>
      </c>
      <c r="AM758" s="270">
        <f t="shared" si="220"/>
        <v>673</v>
      </c>
    </row>
    <row r="759" spans="2:39" ht="15.75" thickBot="1" x14ac:dyDescent="0.35">
      <c r="B759" s="56" t="str">
        <f>input_names!$E$3</f>
        <v>plug-in</v>
      </c>
      <c r="C759" s="61">
        <v>4</v>
      </c>
      <c r="D759" s="270">
        <f t="shared" si="218"/>
        <v>24</v>
      </c>
      <c r="E759" s="270">
        <f t="shared" si="218"/>
        <v>24</v>
      </c>
      <c r="F759" s="270">
        <f t="shared" si="218"/>
        <v>80</v>
      </c>
      <c r="G759" s="270">
        <f t="shared" si="218"/>
        <v>76</v>
      </c>
      <c r="H759" s="270">
        <f t="shared" si="218"/>
        <v>108</v>
      </c>
      <c r="I759" s="270">
        <f t="shared" si="218"/>
        <v>108</v>
      </c>
      <c r="J759" s="270">
        <f t="shared" si="218"/>
        <v>96</v>
      </c>
      <c r="K759" s="270">
        <f t="shared" si="218"/>
        <v>96</v>
      </c>
      <c r="L759" s="270">
        <f t="shared" si="218"/>
        <v>104</v>
      </c>
      <c r="M759" s="270">
        <f t="shared" si="218"/>
        <v>112</v>
      </c>
      <c r="N759" s="270">
        <f t="shared" si="218"/>
        <v>675</v>
      </c>
      <c r="O759" s="270">
        <f t="shared" si="218"/>
        <v>675</v>
      </c>
      <c r="P759" s="270">
        <f t="shared" si="218"/>
        <v>675</v>
      </c>
      <c r="Q759" s="270">
        <f t="shared" si="218"/>
        <v>675</v>
      </c>
      <c r="R759" s="270">
        <f t="shared" si="218"/>
        <v>675</v>
      </c>
      <c r="S759" s="270">
        <f t="shared" si="219"/>
        <v>675</v>
      </c>
      <c r="T759" s="270">
        <f t="shared" si="219"/>
        <v>675</v>
      </c>
      <c r="U759" s="270">
        <f t="shared" si="219"/>
        <v>675</v>
      </c>
      <c r="V759" s="270">
        <f t="shared" si="219"/>
        <v>675</v>
      </c>
      <c r="W759" s="270">
        <f t="shared" si="219"/>
        <v>675</v>
      </c>
      <c r="X759" s="270">
        <f t="shared" si="219"/>
        <v>675</v>
      </c>
      <c r="Y759" s="270">
        <f t="shared" si="219"/>
        <v>675</v>
      </c>
      <c r="Z759" s="270">
        <f t="shared" si="219"/>
        <v>675</v>
      </c>
      <c r="AA759" s="270">
        <f t="shared" si="219"/>
        <v>675</v>
      </c>
      <c r="AB759" s="270">
        <f t="shared" si="219"/>
        <v>675</v>
      </c>
      <c r="AC759" s="270">
        <f t="shared" si="219"/>
        <v>675</v>
      </c>
      <c r="AD759" s="270">
        <f t="shared" si="218"/>
        <v>675</v>
      </c>
      <c r="AE759" s="270">
        <f t="shared" si="218"/>
        <v>675</v>
      </c>
      <c r="AF759" s="270">
        <f t="shared" si="220"/>
        <v>675</v>
      </c>
      <c r="AG759" s="270">
        <f t="shared" si="220"/>
        <v>675</v>
      </c>
      <c r="AH759" s="270">
        <f t="shared" si="220"/>
        <v>675</v>
      </c>
      <c r="AI759" s="270">
        <f t="shared" si="220"/>
        <v>675</v>
      </c>
      <c r="AJ759" s="270">
        <f t="shared" si="220"/>
        <v>675</v>
      </c>
      <c r="AK759" s="270">
        <f t="shared" si="220"/>
        <v>675</v>
      </c>
      <c r="AL759" s="270">
        <f t="shared" si="220"/>
        <v>675</v>
      </c>
      <c r="AM759" s="270">
        <f t="shared" si="220"/>
        <v>675</v>
      </c>
    </row>
    <row r="760" spans="2:39" ht="15.75" thickBot="1" x14ac:dyDescent="0.35">
      <c r="B760" s="56" t="str">
        <f>input_names!$E$3</f>
        <v>plug-in</v>
      </c>
      <c r="C760" s="61">
        <v>5</v>
      </c>
      <c r="D760" s="270">
        <f t="shared" si="218"/>
        <v>30</v>
      </c>
      <c r="E760" s="270">
        <f t="shared" si="218"/>
        <v>30</v>
      </c>
      <c r="F760" s="270">
        <f t="shared" si="218"/>
        <v>100</v>
      </c>
      <c r="G760" s="270">
        <f t="shared" si="218"/>
        <v>95</v>
      </c>
      <c r="H760" s="270">
        <f t="shared" si="218"/>
        <v>135</v>
      </c>
      <c r="I760" s="270">
        <f t="shared" si="218"/>
        <v>135</v>
      </c>
      <c r="J760" s="270">
        <f t="shared" si="218"/>
        <v>120</v>
      </c>
      <c r="K760" s="270">
        <f t="shared" si="218"/>
        <v>120</v>
      </c>
      <c r="L760" s="270">
        <f t="shared" si="218"/>
        <v>130</v>
      </c>
      <c r="M760" s="270">
        <f t="shared" si="218"/>
        <v>140</v>
      </c>
      <c r="N760" s="270">
        <f t="shared" si="218"/>
        <v>677</v>
      </c>
      <c r="O760" s="270">
        <f t="shared" si="218"/>
        <v>677</v>
      </c>
      <c r="P760" s="270">
        <f t="shared" si="218"/>
        <v>677</v>
      </c>
      <c r="Q760" s="270">
        <f t="shared" si="218"/>
        <v>677</v>
      </c>
      <c r="R760" s="270">
        <f t="shared" si="218"/>
        <v>677</v>
      </c>
      <c r="S760" s="270">
        <f t="shared" si="219"/>
        <v>677</v>
      </c>
      <c r="T760" s="270">
        <f t="shared" si="219"/>
        <v>677</v>
      </c>
      <c r="U760" s="270">
        <f t="shared" si="219"/>
        <v>677</v>
      </c>
      <c r="V760" s="270">
        <f t="shared" si="219"/>
        <v>677</v>
      </c>
      <c r="W760" s="270">
        <f t="shared" si="219"/>
        <v>677</v>
      </c>
      <c r="X760" s="270">
        <f t="shared" si="219"/>
        <v>677</v>
      </c>
      <c r="Y760" s="270">
        <f t="shared" si="219"/>
        <v>677</v>
      </c>
      <c r="Z760" s="270">
        <f t="shared" si="219"/>
        <v>677</v>
      </c>
      <c r="AA760" s="270">
        <f t="shared" si="219"/>
        <v>677</v>
      </c>
      <c r="AB760" s="270">
        <f t="shared" si="219"/>
        <v>677</v>
      </c>
      <c r="AC760" s="270">
        <f t="shared" si="219"/>
        <v>677</v>
      </c>
      <c r="AD760" s="270">
        <f t="shared" si="218"/>
        <v>677</v>
      </c>
      <c r="AE760" s="270">
        <f t="shared" si="218"/>
        <v>677</v>
      </c>
      <c r="AF760" s="270">
        <f t="shared" si="220"/>
        <v>677</v>
      </c>
      <c r="AG760" s="270">
        <f t="shared" si="220"/>
        <v>677</v>
      </c>
      <c r="AH760" s="270">
        <f t="shared" si="220"/>
        <v>677</v>
      </c>
      <c r="AI760" s="270">
        <f t="shared" si="220"/>
        <v>677</v>
      </c>
      <c r="AJ760" s="270">
        <f t="shared" si="220"/>
        <v>677</v>
      </c>
      <c r="AK760" s="270">
        <f t="shared" si="220"/>
        <v>677</v>
      </c>
      <c r="AL760" s="270">
        <f t="shared" si="220"/>
        <v>677</v>
      </c>
      <c r="AM760" s="270">
        <f t="shared" si="220"/>
        <v>677</v>
      </c>
    </row>
    <row r="761" spans="2:39" ht="15.75" thickBot="1" x14ac:dyDescent="0.35">
      <c r="B761" s="56" t="str">
        <f>input_names!$E$3</f>
        <v>plug-in</v>
      </c>
      <c r="C761" s="61">
        <v>6</v>
      </c>
      <c r="D761" s="270">
        <f t="shared" si="218"/>
        <v>36</v>
      </c>
      <c r="E761" s="270">
        <f t="shared" si="218"/>
        <v>36</v>
      </c>
      <c r="F761" s="270">
        <f t="shared" si="218"/>
        <v>120</v>
      </c>
      <c r="G761" s="270">
        <f t="shared" si="218"/>
        <v>114</v>
      </c>
      <c r="H761" s="270">
        <f t="shared" si="218"/>
        <v>162</v>
      </c>
      <c r="I761" s="270">
        <f t="shared" si="218"/>
        <v>162</v>
      </c>
      <c r="J761" s="270">
        <f t="shared" si="218"/>
        <v>144</v>
      </c>
      <c r="K761" s="270">
        <f t="shared" si="218"/>
        <v>144</v>
      </c>
      <c r="L761" s="270">
        <f t="shared" si="218"/>
        <v>156</v>
      </c>
      <c r="M761" s="270">
        <f t="shared" si="218"/>
        <v>168</v>
      </c>
      <c r="N761" s="270">
        <f t="shared" si="218"/>
        <v>679</v>
      </c>
      <c r="O761" s="270">
        <f t="shared" si="218"/>
        <v>679</v>
      </c>
      <c r="P761" s="270">
        <f t="shared" si="218"/>
        <v>679</v>
      </c>
      <c r="Q761" s="270">
        <f t="shared" si="218"/>
        <v>679</v>
      </c>
      <c r="R761" s="270">
        <f t="shared" si="218"/>
        <v>679</v>
      </c>
      <c r="S761" s="270">
        <f t="shared" si="219"/>
        <v>679</v>
      </c>
      <c r="T761" s="270">
        <f t="shared" si="219"/>
        <v>679</v>
      </c>
      <c r="U761" s="270">
        <f t="shared" si="219"/>
        <v>679</v>
      </c>
      <c r="V761" s="270">
        <f t="shared" si="219"/>
        <v>679</v>
      </c>
      <c r="W761" s="270">
        <f t="shared" si="219"/>
        <v>679</v>
      </c>
      <c r="X761" s="270">
        <f t="shared" si="219"/>
        <v>679</v>
      </c>
      <c r="Y761" s="270">
        <f t="shared" si="219"/>
        <v>679</v>
      </c>
      <c r="Z761" s="270">
        <f t="shared" si="219"/>
        <v>679</v>
      </c>
      <c r="AA761" s="270">
        <f t="shared" si="219"/>
        <v>679</v>
      </c>
      <c r="AB761" s="270">
        <f t="shared" si="219"/>
        <v>679</v>
      </c>
      <c r="AC761" s="270">
        <f t="shared" si="219"/>
        <v>679</v>
      </c>
      <c r="AD761" s="270">
        <f t="shared" si="218"/>
        <v>679</v>
      </c>
      <c r="AE761" s="270">
        <f t="shared" si="218"/>
        <v>679</v>
      </c>
      <c r="AF761" s="270">
        <f t="shared" si="220"/>
        <v>679</v>
      </c>
      <c r="AG761" s="270">
        <f t="shared" si="220"/>
        <v>679</v>
      </c>
      <c r="AH761" s="270">
        <f t="shared" si="220"/>
        <v>679</v>
      </c>
      <c r="AI761" s="270">
        <f t="shared" si="220"/>
        <v>679</v>
      </c>
      <c r="AJ761" s="270">
        <f t="shared" si="220"/>
        <v>679</v>
      </c>
      <c r="AK761" s="270">
        <f t="shared" si="220"/>
        <v>679</v>
      </c>
      <c r="AL761" s="270">
        <f t="shared" si="220"/>
        <v>679</v>
      </c>
      <c r="AM761" s="270">
        <f t="shared" si="220"/>
        <v>679</v>
      </c>
    </row>
    <row r="762" spans="2:39" ht="15.75" thickBot="1" x14ac:dyDescent="0.35">
      <c r="B762" s="56" t="str">
        <f>input_names!$E$3</f>
        <v>plug-in</v>
      </c>
      <c r="C762" s="61">
        <v>7</v>
      </c>
      <c r="D762" s="270">
        <f t="shared" si="218"/>
        <v>42</v>
      </c>
      <c r="E762" s="270">
        <f t="shared" si="218"/>
        <v>42</v>
      </c>
      <c r="F762" s="270">
        <f t="shared" si="218"/>
        <v>140</v>
      </c>
      <c r="G762" s="270">
        <f t="shared" si="218"/>
        <v>133</v>
      </c>
      <c r="H762" s="270">
        <f t="shared" si="218"/>
        <v>189</v>
      </c>
      <c r="I762" s="270">
        <f t="shared" si="218"/>
        <v>189</v>
      </c>
      <c r="J762" s="270">
        <f t="shared" si="218"/>
        <v>168</v>
      </c>
      <c r="K762" s="270">
        <f t="shared" si="218"/>
        <v>168</v>
      </c>
      <c r="L762" s="270">
        <f t="shared" si="218"/>
        <v>182</v>
      </c>
      <c r="M762" s="270">
        <f t="shared" si="218"/>
        <v>196</v>
      </c>
      <c r="N762" s="270">
        <f t="shared" si="218"/>
        <v>681</v>
      </c>
      <c r="O762" s="270">
        <f t="shared" si="218"/>
        <v>681</v>
      </c>
      <c r="P762" s="270">
        <f t="shared" si="218"/>
        <v>681</v>
      </c>
      <c r="Q762" s="270">
        <f t="shared" si="218"/>
        <v>681</v>
      </c>
      <c r="R762" s="270">
        <f t="shared" si="218"/>
        <v>681</v>
      </c>
      <c r="S762" s="270">
        <f t="shared" si="219"/>
        <v>681</v>
      </c>
      <c r="T762" s="270">
        <f t="shared" si="219"/>
        <v>681</v>
      </c>
      <c r="U762" s="270">
        <f t="shared" si="219"/>
        <v>681</v>
      </c>
      <c r="V762" s="270">
        <f t="shared" si="219"/>
        <v>681</v>
      </c>
      <c r="W762" s="270">
        <f t="shared" si="219"/>
        <v>681</v>
      </c>
      <c r="X762" s="270">
        <f t="shared" si="219"/>
        <v>681</v>
      </c>
      <c r="Y762" s="270">
        <f t="shared" si="219"/>
        <v>681</v>
      </c>
      <c r="Z762" s="270">
        <f t="shared" si="219"/>
        <v>681</v>
      </c>
      <c r="AA762" s="270">
        <f t="shared" si="219"/>
        <v>681</v>
      </c>
      <c r="AB762" s="270">
        <f t="shared" si="219"/>
        <v>681</v>
      </c>
      <c r="AC762" s="270">
        <f t="shared" si="219"/>
        <v>681</v>
      </c>
      <c r="AD762" s="270">
        <f t="shared" si="218"/>
        <v>681</v>
      </c>
      <c r="AE762" s="270">
        <f t="shared" si="218"/>
        <v>681</v>
      </c>
      <c r="AF762" s="270">
        <f t="shared" si="220"/>
        <v>681</v>
      </c>
      <c r="AG762" s="270">
        <f t="shared" si="220"/>
        <v>681</v>
      </c>
      <c r="AH762" s="270">
        <f t="shared" si="220"/>
        <v>681</v>
      </c>
      <c r="AI762" s="270">
        <f t="shared" si="220"/>
        <v>681</v>
      </c>
      <c r="AJ762" s="270">
        <f t="shared" si="220"/>
        <v>681</v>
      </c>
      <c r="AK762" s="270">
        <f t="shared" si="220"/>
        <v>681</v>
      </c>
      <c r="AL762" s="270">
        <f t="shared" si="220"/>
        <v>681</v>
      </c>
      <c r="AM762" s="270">
        <f t="shared" si="220"/>
        <v>681</v>
      </c>
    </row>
    <row r="763" spans="2:39" ht="15.75" thickBot="1" x14ac:dyDescent="0.35">
      <c r="B763" s="56" t="str">
        <f>input_names!$E$3</f>
        <v>plug-in</v>
      </c>
      <c r="C763" s="61">
        <v>8</v>
      </c>
      <c r="D763" s="270">
        <f t="shared" si="218"/>
        <v>48</v>
      </c>
      <c r="E763" s="270">
        <f t="shared" si="218"/>
        <v>48</v>
      </c>
      <c r="F763" s="270">
        <f t="shared" si="218"/>
        <v>160</v>
      </c>
      <c r="G763" s="270">
        <f t="shared" si="218"/>
        <v>152</v>
      </c>
      <c r="H763" s="270">
        <f t="shared" si="218"/>
        <v>216</v>
      </c>
      <c r="I763" s="270">
        <f t="shared" si="218"/>
        <v>216</v>
      </c>
      <c r="J763" s="270">
        <f t="shared" si="218"/>
        <v>192</v>
      </c>
      <c r="K763" s="270">
        <f t="shared" si="218"/>
        <v>192</v>
      </c>
      <c r="L763" s="270">
        <f t="shared" si="218"/>
        <v>208</v>
      </c>
      <c r="M763" s="270">
        <f t="shared" si="218"/>
        <v>224</v>
      </c>
      <c r="N763" s="270">
        <f t="shared" si="218"/>
        <v>683</v>
      </c>
      <c r="O763" s="270">
        <f t="shared" si="218"/>
        <v>683</v>
      </c>
      <c r="P763" s="270">
        <f t="shared" si="218"/>
        <v>683</v>
      </c>
      <c r="Q763" s="270">
        <f t="shared" si="218"/>
        <v>683</v>
      </c>
      <c r="R763" s="270">
        <f t="shared" si="218"/>
        <v>683</v>
      </c>
      <c r="S763" s="270">
        <f t="shared" si="219"/>
        <v>683</v>
      </c>
      <c r="T763" s="270">
        <f t="shared" si="219"/>
        <v>683</v>
      </c>
      <c r="U763" s="270">
        <f t="shared" si="219"/>
        <v>683</v>
      </c>
      <c r="V763" s="270">
        <f t="shared" si="219"/>
        <v>683</v>
      </c>
      <c r="W763" s="270">
        <f t="shared" si="219"/>
        <v>683</v>
      </c>
      <c r="X763" s="270">
        <f t="shared" si="219"/>
        <v>683</v>
      </c>
      <c r="Y763" s="270">
        <f t="shared" si="219"/>
        <v>683</v>
      </c>
      <c r="Z763" s="270">
        <f t="shared" si="219"/>
        <v>683</v>
      </c>
      <c r="AA763" s="270">
        <f t="shared" si="219"/>
        <v>683</v>
      </c>
      <c r="AB763" s="270">
        <f t="shared" si="219"/>
        <v>683</v>
      </c>
      <c r="AC763" s="270">
        <f t="shared" si="219"/>
        <v>683</v>
      </c>
      <c r="AD763" s="270">
        <f t="shared" si="218"/>
        <v>683</v>
      </c>
      <c r="AE763" s="270">
        <f t="shared" si="218"/>
        <v>683</v>
      </c>
      <c r="AF763" s="270">
        <f t="shared" si="220"/>
        <v>683</v>
      </c>
      <c r="AG763" s="270">
        <f t="shared" si="220"/>
        <v>683</v>
      </c>
      <c r="AH763" s="270">
        <f t="shared" si="220"/>
        <v>683</v>
      </c>
      <c r="AI763" s="270">
        <f t="shared" si="220"/>
        <v>683</v>
      </c>
      <c r="AJ763" s="270">
        <f t="shared" si="220"/>
        <v>683</v>
      </c>
      <c r="AK763" s="270">
        <f t="shared" si="220"/>
        <v>683</v>
      </c>
      <c r="AL763" s="270">
        <f t="shared" si="220"/>
        <v>683</v>
      </c>
      <c r="AM763" s="270">
        <f t="shared" si="220"/>
        <v>683</v>
      </c>
    </row>
    <row r="764" spans="2:39" ht="15.75" thickBot="1" x14ac:dyDescent="0.35">
      <c r="B764" s="56" t="str">
        <f>input_names!$E$3</f>
        <v>plug-in</v>
      </c>
      <c r="C764" s="61">
        <v>9</v>
      </c>
      <c r="D764" s="270">
        <f t="shared" si="218"/>
        <v>54</v>
      </c>
      <c r="E764" s="270">
        <f t="shared" si="218"/>
        <v>54</v>
      </c>
      <c r="F764" s="270">
        <f t="shared" si="218"/>
        <v>180</v>
      </c>
      <c r="G764" s="270">
        <f t="shared" si="218"/>
        <v>171</v>
      </c>
      <c r="H764" s="270">
        <f t="shared" si="218"/>
        <v>243</v>
      </c>
      <c r="I764" s="270">
        <f t="shared" si="218"/>
        <v>243</v>
      </c>
      <c r="J764" s="270">
        <f t="shared" si="218"/>
        <v>216</v>
      </c>
      <c r="K764" s="270">
        <f t="shared" si="218"/>
        <v>216</v>
      </c>
      <c r="L764" s="270">
        <f t="shared" si="218"/>
        <v>234</v>
      </c>
      <c r="M764" s="270">
        <f t="shared" si="218"/>
        <v>252</v>
      </c>
      <c r="N764" s="270">
        <f t="shared" si="218"/>
        <v>685</v>
      </c>
      <c r="O764" s="270">
        <f t="shared" si="218"/>
        <v>685</v>
      </c>
      <c r="P764" s="270">
        <f t="shared" si="218"/>
        <v>685</v>
      </c>
      <c r="Q764" s="270">
        <f t="shared" si="218"/>
        <v>685</v>
      </c>
      <c r="R764" s="270">
        <f t="shared" si="218"/>
        <v>685</v>
      </c>
      <c r="S764" s="270">
        <f t="shared" si="219"/>
        <v>685</v>
      </c>
      <c r="T764" s="270">
        <f t="shared" si="219"/>
        <v>685</v>
      </c>
      <c r="U764" s="270">
        <f t="shared" si="219"/>
        <v>685</v>
      </c>
      <c r="V764" s="270">
        <f t="shared" si="219"/>
        <v>685</v>
      </c>
      <c r="W764" s="270">
        <f t="shared" si="219"/>
        <v>685</v>
      </c>
      <c r="X764" s="270">
        <f t="shared" si="219"/>
        <v>685</v>
      </c>
      <c r="Y764" s="270">
        <f t="shared" si="219"/>
        <v>685</v>
      </c>
      <c r="Z764" s="270">
        <f t="shared" si="219"/>
        <v>685</v>
      </c>
      <c r="AA764" s="270">
        <f t="shared" si="219"/>
        <v>685</v>
      </c>
      <c r="AB764" s="270">
        <f t="shared" si="219"/>
        <v>685</v>
      </c>
      <c r="AC764" s="270">
        <f t="shared" si="219"/>
        <v>685</v>
      </c>
      <c r="AD764" s="270">
        <f t="shared" si="218"/>
        <v>685</v>
      </c>
      <c r="AE764" s="270">
        <f t="shared" si="218"/>
        <v>685</v>
      </c>
      <c r="AF764" s="270">
        <f t="shared" si="220"/>
        <v>685</v>
      </c>
      <c r="AG764" s="270">
        <f t="shared" si="220"/>
        <v>685</v>
      </c>
      <c r="AH764" s="270">
        <f t="shared" si="220"/>
        <v>685</v>
      </c>
      <c r="AI764" s="270">
        <f t="shared" si="220"/>
        <v>685</v>
      </c>
      <c r="AJ764" s="270">
        <f t="shared" si="220"/>
        <v>685</v>
      </c>
      <c r="AK764" s="270">
        <f t="shared" si="220"/>
        <v>685</v>
      </c>
      <c r="AL764" s="270">
        <f t="shared" si="220"/>
        <v>685</v>
      </c>
      <c r="AM764" s="270">
        <f t="shared" si="220"/>
        <v>685</v>
      </c>
    </row>
    <row r="765" spans="2:39" ht="15.75" thickBot="1" x14ac:dyDescent="0.35">
      <c r="B765" s="56" t="str">
        <f>input_names!$E$3</f>
        <v>plug-in</v>
      </c>
      <c r="C765" s="61">
        <v>10</v>
      </c>
      <c r="D765" s="270">
        <f t="shared" si="218"/>
        <v>60</v>
      </c>
      <c r="E765" s="270">
        <f t="shared" si="218"/>
        <v>60</v>
      </c>
      <c r="F765" s="270">
        <f t="shared" si="218"/>
        <v>200</v>
      </c>
      <c r="G765" s="270">
        <f t="shared" si="218"/>
        <v>190</v>
      </c>
      <c r="H765" s="270">
        <f t="shared" si="218"/>
        <v>270</v>
      </c>
      <c r="I765" s="270">
        <f t="shared" si="218"/>
        <v>270</v>
      </c>
      <c r="J765" s="270">
        <f t="shared" si="218"/>
        <v>240</v>
      </c>
      <c r="K765" s="270">
        <f t="shared" si="218"/>
        <v>240</v>
      </c>
      <c r="L765" s="270">
        <f t="shared" si="218"/>
        <v>260</v>
      </c>
      <c r="M765" s="270">
        <f t="shared" si="218"/>
        <v>280</v>
      </c>
      <c r="N765" s="270">
        <f t="shared" si="218"/>
        <v>687</v>
      </c>
      <c r="O765" s="270">
        <f t="shared" si="218"/>
        <v>687</v>
      </c>
      <c r="P765" s="270">
        <f t="shared" si="218"/>
        <v>687</v>
      </c>
      <c r="Q765" s="270">
        <f t="shared" si="218"/>
        <v>687</v>
      </c>
      <c r="R765" s="270">
        <f t="shared" si="218"/>
        <v>687</v>
      </c>
      <c r="S765" s="270">
        <f t="shared" si="219"/>
        <v>687</v>
      </c>
      <c r="T765" s="270">
        <f t="shared" si="219"/>
        <v>687</v>
      </c>
      <c r="U765" s="270">
        <f t="shared" si="219"/>
        <v>687</v>
      </c>
      <c r="V765" s="270">
        <f t="shared" si="219"/>
        <v>687</v>
      </c>
      <c r="W765" s="270">
        <f t="shared" si="219"/>
        <v>687</v>
      </c>
      <c r="X765" s="270">
        <f t="shared" si="219"/>
        <v>687</v>
      </c>
      <c r="Y765" s="270">
        <f t="shared" si="219"/>
        <v>687</v>
      </c>
      <c r="Z765" s="270">
        <f t="shared" si="219"/>
        <v>687</v>
      </c>
      <c r="AA765" s="270">
        <f t="shared" si="219"/>
        <v>687</v>
      </c>
      <c r="AB765" s="270">
        <f t="shared" si="219"/>
        <v>687</v>
      </c>
      <c r="AC765" s="270">
        <f t="shared" si="219"/>
        <v>687</v>
      </c>
      <c r="AD765" s="270">
        <f t="shared" si="218"/>
        <v>687</v>
      </c>
      <c r="AE765" s="270">
        <f t="shared" si="218"/>
        <v>687</v>
      </c>
      <c r="AF765" s="270">
        <f t="shared" si="220"/>
        <v>687</v>
      </c>
      <c r="AG765" s="270">
        <f t="shared" si="220"/>
        <v>687</v>
      </c>
      <c r="AH765" s="270">
        <f t="shared" si="220"/>
        <v>687</v>
      </c>
      <c r="AI765" s="270">
        <f t="shared" si="220"/>
        <v>687</v>
      </c>
      <c r="AJ765" s="270">
        <f t="shared" si="220"/>
        <v>687</v>
      </c>
      <c r="AK765" s="270">
        <f t="shared" si="220"/>
        <v>687</v>
      </c>
      <c r="AL765" s="270">
        <f t="shared" si="220"/>
        <v>687</v>
      </c>
      <c r="AM765" s="270">
        <f t="shared" si="220"/>
        <v>687</v>
      </c>
    </row>
    <row r="766" spans="2:39" ht="15.75" thickBot="1" x14ac:dyDescent="0.35">
      <c r="B766" s="56" t="str">
        <f>input_names!$E$3</f>
        <v>plug-in</v>
      </c>
      <c r="C766" s="61">
        <v>11</v>
      </c>
      <c r="D766" s="270">
        <f t="shared" si="218"/>
        <v>66</v>
      </c>
      <c r="E766" s="270">
        <f t="shared" si="218"/>
        <v>66</v>
      </c>
      <c r="F766" s="270">
        <f t="shared" si="218"/>
        <v>220</v>
      </c>
      <c r="G766" s="270">
        <f t="shared" si="218"/>
        <v>209</v>
      </c>
      <c r="H766" s="270">
        <f t="shared" si="218"/>
        <v>297</v>
      </c>
      <c r="I766" s="270">
        <f t="shared" si="218"/>
        <v>297</v>
      </c>
      <c r="J766" s="270">
        <f t="shared" si="218"/>
        <v>264</v>
      </c>
      <c r="K766" s="270">
        <f t="shared" si="218"/>
        <v>264</v>
      </c>
      <c r="L766" s="270">
        <f t="shared" si="218"/>
        <v>286</v>
      </c>
      <c r="M766" s="270">
        <f t="shared" si="218"/>
        <v>308</v>
      </c>
      <c r="N766" s="270">
        <f t="shared" si="218"/>
        <v>689</v>
      </c>
      <c r="O766" s="270">
        <f t="shared" si="218"/>
        <v>689</v>
      </c>
      <c r="P766" s="270">
        <f t="shared" si="218"/>
        <v>689</v>
      </c>
      <c r="Q766" s="270">
        <f t="shared" si="218"/>
        <v>689</v>
      </c>
      <c r="R766" s="270">
        <f t="shared" si="218"/>
        <v>689</v>
      </c>
      <c r="S766" s="270">
        <f t="shared" si="219"/>
        <v>689</v>
      </c>
      <c r="T766" s="270">
        <f t="shared" si="219"/>
        <v>689</v>
      </c>
      <c r="U766" s="270">
        <f t="shared" si="219"/>
        <v>689</v>
      </c>
      <c r="V766" s="270">
        <f t="shared" si="219"/>
        <v>689</v>
      </c>
      <c r="W766" s="270">
        <f t="shared" si="219"/>
        <v>689</v>
      </c>
      <c r="X766" s="270">
        <f t="shared" si="219"/>
        <v>689</v>
      </c>
      <c r="Y766" s="270">
        <f t="shared" si="219"/>
        <v>689</v>
      </c>
      <c r="Z766" s="270">
        <f t="shared" si="219"/>
        <v>689</v>
      </c>
      <c r="AA766" s="270">
        <f t="shared" si="219"/>
        <v>689</v>
      </c>
      <c r="AB766" s="270">
        <f t="shared" si="219"/>
        <v>689</v>
      </c>
      <c r="AC766" s="270">
        <f t="shared" si="219"/>
        <v>689</v>
      </c>
      <c r="AD766" s="270">
        <f t="shared" si="218"/>
        <v>689</v>
      </c>
      <c r="AE766" s="270">
        <f t="shared" si="218"/>
        <v>689</v>
      </c>
      <c r="AF766" s="270">
        <f t="shared" si="220"/>
        <v>689</v>
      </c>
      <c r="AG766" s="270">
        <f t="shared" si="220"/>
        <v>689</v>
      </c>
      <c r="AH766" s="270">
        <f t="shared" si="220"/>
        <v>689</v>
      </c>
      <c r="AI766" s="270">
        <f t="shared" si="220"/>
        <v>689</v>
      </c>
      <c r="AJ766" s="270">
        <f t="shared" si="220"/>
        <v>689</v>
      </c>
      <c r="AK766" s="270">
        <f t="shared" si="220"/>
        <v>689</v>
      </c>
      <c r="AL766" s="270">
        <f t="shared" si="220"/>
        <v>689</v>
      </c>
      <c r="AM766" s="270">
        <f t="shared" si="220"/>
        <v>689</v>
      </c>
    </row>
    <row r="767" spans="2:39" ht="15.75" thickBot="1" x14ac:dyDescent="0.35">
      <c r="B767" s="56" t="str">
        <f>input_names!$E$3</f>
        <v>plug-in</v>
      </c>
      <c r="C767" s="61">
        <v>12</v>
      </c>
      <c r="D767" s="270">
        <f t="shared" si="218"/>
        <v>72</v>
      </c>
      <c r="E767" s="270">
        <f t="shared" si="218"/>
        <v>72</v>
      </c>
      <c r="F767" s="270">
        <f t="shared" si="218"/>
        <v>240</v>
      </c>
      <c r="G767" s="270">
        <f t="shared" si="218"/>
        <v>228</v>
      </c>
      <c r="H767" s="270">
        <f t="shared" si="218"/>
        <v>324</v>
      </c>
      <c r="I767" s="270">
        <f t="shared" si="218"/>
        <v>324</v>
      </c>
      <c r="J767" s="270">
        <f t="shared" si="218"/>
        <v>288</v>
      </c>
      <c r="K767" s="270">
        <f t="shared" si="218"/>
        <v>288</v>
      </c>
      <c r="L767" s="270">
        <f t="shared" si="218"/>
        <v>312</v>
      </c>
      <c r="M767" s="270">
        <f t="shared" si="218"/>
        <v>336</v>
      </c>
      <c r="N767" s="270">
        <f t="shared" si="218"/>
        <v>691</v>
      </c>
      <c r="O767" s="270">
        <f t="shared" si="218"/>
        <v>691</v>
      </c>
      <c r="P767" s="270">
        <f t="shared" si="218"/>
        <v>691</v>
      </c>
      <c r="Q767" s="270">
        <f t="shared" si="218"/>
        <v>691</v>
      </c>
      <c r="R767" s="270">
        <f t="shared" si="218"/>
        <v>691</v>
      </c>
      <c r="S767" s="270">
        <f t="shared" si="219"/>
        <v>691</v>
      </c>
      <c r="T767" s="270">
        <f t="shared" si="219"/>
        <v>691</v>
      </c>
      <c r="U767" s="270">
        <f t="shared" si="219"/>
        <v>691</v>
      </c>
      <c r="V767" s="270">
        <f t="shared" si="219"/>
        <v>691</v>
      </c>
      <c r="W767" s="270">
        <f t="shared" si="219"/>
        <v>691</v>
      </c>
      <c r="X767" s="270">
        <f t="shared" si="219"/>
        <v>691</v>
      </c>
      <c r="Y767" s="270">
        <f t="shared" si="219"/>
        <v>691</v>
      </c>
      <c r="Z767" s="270">
        <f t="shared" si="219"/>
        <v>691</v>
      </c>
      <c r="AA767" s="270">
        <f t="shared" si="219"/>
        <v>691</v>
      </c>
      <c r="AB767" s="270">
        <f t="shared" si="219"/>
        <v>691</v>
      </c>
      <c r="AC767" s="270">
        <f t="shared" si="219"/>
        <v>691</v>
      </c>
      <c r="AD767" s="270">
        <f t="shared" si="218"/>
        <v>691</v>
      </c>
      <c r="AE767" s="270">
        <f t="shared" si="218"/>
        <v>691</v>
      </c>
      <c r="AF767" s="270">
        <f t="shared" si="220"/>
        <v>691</v>
      </c>
      <c r="AG767" s="270">
        <f t="shared" si="220"/>
        <v>691</v>
      </c>
      <c r="AH767" s="270">
        <f t="shared" si="220"/>
        <v>691</v>
      </c>
      <c r="AI767" s="270">
        <f t="shared" si="220"/>
        <v>691</v>
      </c>
      <c r="AJ767" s="270">
        <f t="shared" si="220"/>
        <v>691</v>
      </c>
      <c r="AK767" s="270">
        <f t="shared" si="220"/>
        <v>691</v>
      </c>
      <c r="AL767" s="270">
        <f t="shared" si="220"/>
        <v>691</v>
      </c>
      <c r="AM767" s="270">
        <f t="shared" si="220"/>
        <v>691</v>
      </c>
    </row>
    <row r="768" spans="2:39" ht="15.75" thickBot="1" x14ac:dyDescent="0.35">
      <c r="B768" s="56" t="str">
        <f>input_names!$E$3</f>
        <v>plug-in</v>
      </c>
      <c r="C768" s="61">
        <v>13</v>
      </c>
      <c r="D768" s="270">
        <f t="shared" si="218"/>
        <v>78</v>
      </c>
      <c r="E768" s="270">
        <f t="shared" si="218"/>
        <v>78</v>
      </c>
      <c r="F768" s="270">
        <f t="shared" si="218"/>
        <v>260</v>
      </c>
      <c r="G768" s="270">
        <f t="shared" si="218"/>
        <v>247</v>
      </c>
      <c r="H768" s="270">
        <f t="shared" si="218"/>
        <v>351</v>
      </c>
      <c r="I768" s="270">
        <f t="shared" si="218"/>
        <v>351</v>
      </c>
      <c r="J768" s="270">
        <f t="shared" si="218"/>
        <v>312</v>
      </c>
      <c r="K768" s="270">
        <f t="shared" si="218"/>
        <v>312</v>
      </c>
      <c r="L768" s="270">
        <f t="shared" si="218"/>
        <v>338</v>
      </c>
      <c r="M768" s="270">
        <f t="shared" si="218"/>
        <v>364</v>
      </c>
      <c r="N768" s="270">
        <f t="shared" si="218"/>
        <v>693</v>
      </c>
      <c r="O768" s="270">
        <f t="shared" si="218"/>
        <v>693</v>
      </c>
      <c r="P768" s="270">
        <f t="shared" si="218"/>
        <v>693</v>
      </c>
      <c r="Q768" s="270">
        <f t="shared" si="218"/>
        <v>693</v>
      </c>
      <c r="R768" s="270">
        <f t="shared" si="218"/>
        <v>693</v>
      </c>
      <c r="S768" s="270">
        <f t="shared" si="219"/>
        <v>693</v>
      </c>
      <c r="T768" s="270">
        <f t="shared" si="219"/>
        <v>693</v>
      </c>
      <c r="U768" s="270">
        <f t="shared" si="219"/>
        <v>693</v>
      </c>
      <c r="V768" s="270">
        <f t="shared" si="219"/>
        <v>693</v>
      </c>
      <c r="W768" s="270">
        <f t="shared" si="219"/>
        <v>693</v>
      </c>
      <c r="X768" s="270">
        <f t="shared" si="219"/>
        <v>693</v>
      </c>
      <c r="Y768" s="270">
        <f t="shared" si="219"/>
        <v>693</v>
      </c>
      <c r="Z768" s="270">
        <f t="shared" si="219"/>
        <v>693</v>
      </c>
      <c r="AA768" s="270">
        <f t="shared" si="219"/>
        <v>693</v>
      </c>
      <c r="AB768" s="270">
        <f t="shared" si="219"/>
        <v>693</v>
      </c>
      <c r="AC768" s="270">
        <f t="shared" si="219"/>
        <v>693</v>
      </c>
      <c r="AD768" s="270">
        <f t="shared" si="218"/>
        <v>693</v>
      </c>
      <c r="AE768" s="270">
        <f t="shared" si="218"/>
        <v>693</v>
      </c>
      <c r="AF768" s="270">
        <f t="shared" si="220"/>
        <v>693</v>
      </c>
      <c r="AG768" s="270">
        <f t="shared" si="220"/>
        <v>693</v>
      </c>
      <c r="AH768" s="270">
        <f t="shared" si="220"/>
        <v>693</v>
      </c>
      <c r="AI768" s="270">
        <f t="shared" si="220"/>
        <v>693</v>
      </c>
      <c r="AJ768" s="270">
        <f t="shared" si="220"/>
        <v>693</v>
      </c>
      <c r="AK768" s="270">
        <f t="shared" si="220"/>
        <v>693</v>
      </c>
      <c r="AL768" s="270">
        <f t="shared" si="220"/>
        <v>693</v>
      </c>
      <c r="AM768" s="270">
        <f t="shared" si="220"/>
        <v>693</v>
      </c>
    </row>
    <row r="769" spans="2:39" ht="15.75" thickBot="1" x14ac:dyDescent="0.35">
      <c r="B769" s="56" t="str">
        <f>input_names!$E$3</f>
        <v>plug-in</v>
      </c>
      <c r="C769" s="61">
        <v>14</v>
      </c>
      <c r="D769" s="270">
        <f t="shared" si="218"/>
        <v>84</v>
      </c>
      <c r="E769" s="270">
        <f t="shared" si="218"/>
        <v>84</v>
      </c>
      <c r="F769" s="270">
        <f t="shared" si="218"/>
        <v>280</v>
      </c>
      <c r="G769" s="270">
        <f t="shared" si="218"/>
        <v>266</v>
      </c>
      <c r="H769" s="270">
        <f t="shared" si="218"/>
        <v>378</v>
      </c>
      <c r="I769" s="270">
        <f t="shared" si="218"/>
        <v>378</v>
      </c>
      <c r="J769" s="270">
        <f t="shared" si="218"/>
        <v>336</v>
      </c>
      <c r="K769" s="270">
        <f t="shared" si="218"/>
        <v>336</v>
      </c>
      <c r="L769" s="270">
        <f t="shared" si="218"/>
        <v>364</v>
      </c>
      <c r="M769" s="270">
        <f t="shared" si="218"/>
        <v>392</v>
      </c>
      <c r="N769" s="270">
        <f t="shared" si="218"/>
        <v>695</v>
      </c>
      <c r="O769" s="270">
        <f t="shared" si="218"/>
        <v>695</v>
      </c>
      <c r="P769" s="270">
        <f t="shared" si="218"/>
        <v>695</v>
      </c>
      <c r="Q769" s="270">
        <f t="shared" si="218"/>
        <v>695</v>
      </c>
      <c r="R769" s="270">
        <f t="shared" si="218"/>
        <v>695</v>
      </c>
      <c r="S769" s="270">
        <f t="shared" si="219"/>
        <v>695</v>
      </c>
      <c r="T769" s="270">
        <f t="shared" si="219"/>
        <v>695</v>
      </c>
      <c r="U769" s="270">
        <f t="shared" si="219"/>
        <v>695</v>
      </c>
      <c r="V769" s="270">
        <f t="shared" si="219"/>
        <v>695</v>
      </c>
      <c r="W769" s="270">
        <f t="shared" si="219"/>
        <v>695</v>
      </c>
      <c r="X769" s="270">
        <f t="shared" si="219"/>
        <v>695</v>
      </c>
      <c r="Y769" s="270">
        <f t="shared" si="219"/>
        <v>695</v>
      </c>
      <c r="Z769" s="270">
        <f t="shared" si="219"/>
        <v>695</v>
      </c>
      <c r="AA769" s="270">
        <f t="shared" si="219"/>
        <v>695</v>
      </c>
      <c r="AB769" s="270">
        <f t="shared" si="219"/>
        <v>695</v>
      </c>
      <c r="AC769" s="270">
        <f t="shared" si="219"/>
        <v>695</v>
      </c>
      <c r="AD769" s="270">
        <f t="shared" si="218"/>
        <v>695</v>
      </c>
      <c r="AE769" s="270">
        <f t="shared" si="218"/>
        <v>695</v>
      </c>
      <c r="AF769" s="270">
        <f t="shared" si="220"/>
        <v>695</v>
      </c>
      <c r="AG769" s="270">
        <f t="shared" si="220"/>
        <v>695</v>
      </c>
      <c r="AH769" s="270">
        <f t="shared" si="220"/>
        <v>695</v>
      </c>
      <c r="AI769" s="270">
        <f t="shared" si="220"/>
        <v>695</v>
      </c>
      <c r="AJ769" s="270">
        <f t="shared" si="220"/>
        <v>695</v>
      </c>
      <c r="AK769" s="270">
        <f t="shared" si="220"/>
        <v>695</v>
      </c>
      <c r="AL769" s="270">
        <f t="shared" si="220"/>
        <v>695</v>
      </c>
      <c r="AM769" s="270">
        <f t="shared" si="220"/>
        <v>695</v>
      </c>
    </row>
    <row r="770" spans="2:39" ht="15.75" thickBot="1" x14ac:dyDescent="0.35">
      <c r="B770" s="56" t="str">
        <f>input_names!$E$3</f>
        <v>plug-in</v>
      </c>
      <c r="C770" s="61">
        <v>15</v>
      </c>
      <c r="D770" s="270">
        <f t="shared" ref="D770:AD785" si="221">+MIN(MAX(0,$C770-D$28),D$29-D$28)*D$34
+MIN(MAX(0,$C770-D$29),D$30-D$29)*D$35
+MIN(MAX(0,$C770-D$30),D$31-D$30)*D$36
+MIN(MAX(0,$C770-D$31),D$32-D$31)*D$37
+MAX(0,$C770-D$32)*D$38
+D$39</f>
        <v>90</v>
      </c>
      <c r="E770" s="270">
        <f t="shared" si="221"/>
        <v>90</v>
      </c>
      <c r="F770" s="270">
        <f t="shared" si="221"/>
        <v>300</v>
      </c>
      <c r="G770" s="270">
        <f t="shared" si="221"/>
        <v>285</v>
      </c>
      <c r="H770" s="270">
        <f t="shared" si="221"/>
        <v>405</v>
      </c>
      <c r="I770" s="270">
        <f t="shared" si="221"/>
        <v>405</v>
      </c>
      <c r="J770" s="270">
        <f t="shared" si="221"/>
        <v>360</v>
      </c>
      <c r="K770" s="270">
        <f t="shared" si="221"/>
        <v>360</v>
      </c>
      <c r="L770" s="270">
        <f t="shared" si="221"/>
        <v>390</v>
      </c>
      <c r="M770" s="270">
        <f t="shared" si="221"/>
        <v>420</v>
      </c>
      <c r="N770" s="270">
        <f t="shared" si="221"/>
        <v>697</v>
      </c>
      <c r="O770" s="270">
        <f t="shared" si="221"/>
        <v>697</v>
      </c>
      <c r="P770" s="270">
        <f t="shared" si="221"/>
        <v>697</v>
      </c>
      <c r="Q770" s="270">
        <f t="shared" si="221"/>
        <v>697</v>
      </c>
      <c r="R770" s="270">
        <f t="shared" si="221"/>
        <v>697</v>
      </c>
      <c r="S770" s="270">
        <f t="shared" si="219"/>
        <v>697</v>
      </c>
      <c r="T770" s="270">
        <f t="shared" si="219"/>
        <v>697</v>
      </c>
      <c r="U770" s="270">
        <f t="shared" si="219"/>
        <v>697</v>
      </c>
      <c r="V770" s="270">
        <f t="shared" si="219"/>
        <v>697</v>
      </c>
      <c r="W770" s="270">
        <f t="shared" si="219"/>
        <v>697</v>
      </c>
      <c r="X770" s="270">
        <f t="shared" si="219"/>
        <v>697</v>
      </c>
      <c r="Y770" s="270">
        <f t="shared" si="219"/>
        <v>697</v>
      </c>
      <c r="Z770" s="270">
        <f t="shared" si="219"/>
        <v>697</v>
      </c>
      <c r="AA770" s="270">
        <f t="shared" si="219"/>
        <v>697</v>
      </c>
      <c r="AB770" s="270">
        <f t="shared" si="219"/>
        <v>697</v>
      </c>
      <c r="AC770" s="270">
        <f t="shared" si="219"/>
        <v>697</v>
      </c>
      <c r="AD770" s="270">
        <f t="shared" si="221"/>
        <v>697</v>
      </c>
      <c r="AE770" s="270">
        <f t="shared" ref="AE770:AM785" si="222">+MIN(MAX(0,$C770-AE$28),AE$29-AE$28)*AE$34
+MIN(MAX(0,$C770-AE$29),AE$30-AE$29)*AE$35
+MIN(MAX(0,$C770-AE$30),AE$31-AE$30)*AE$36
+MIN(MAX(0,$C770-AE$31),AE$32-AE$31)*AE$37
+MAX(0,$C770-AE$32)*AE$38
+AE$39</f>
        <v>697</v>
      </c>
      <c r="AF770" s="270">
        <f t="shared" si="220"/>
        <v>697</v>
      </c>
      <c r="AG770" s="270">
        <f t="shared" si="220"/>
        <v>697</v>
      </c>
      <c r="AH770" s="270">
        <f t="shared" si="220"/>
        <v>697</v>
      </c>
      <c r="AI770" s="270">
        <f t="shared" si="220"/>
        <v>697</v>
      </c>
      <c r="AJ770" s="270">
        <f t="shared" si="220"/>
        <v>697</v>
      </c>
      <c r="AK770" s="270">
        <f t="shared" si="220"/>
        <v>697</v>
      </c>
      <c r="AL770" s="270">
        <f t="shared" si="220"/>
        <v>697</v>
      </c>
      <c r="AM770" s="270">
        <f t="shared" si="220"/>
        <v>697</v>
      </c>
    </row>
    <row r="771" spans="2:39" ht="15.75" thickBot="1" x14ac:dyDescent="0.35">
      <c r="B771" s="56" t="str">
        <f>input_names!$E$3</f>
        <v>plug-in</v>
      </c>
      <c r="C771" s="61">
        <v>16</v>
      </c>
      <c r="D771" s="270">
        <f t="shared" si="221"/>
        <v>96</v>
      </c>
      <c r="E771" s="270">
        <f t="shared" si="221"/>
        <v>96</v>
      </c>
      <c r="F771" s="270">
        <f t="shared" si="221"/>
        <v>320</v>
      </c>
      <c r="G771" s="270">
        <f t="shared" si="221"/>
        <v>304</v>
      </c>
      <c r="H771" s="270">
        <f t="shared" si="221"/>
        <v>432</v>
      </c>
      <c r="I771" s="270">
        <f t="shared" si="221"/>
        <v>432</v>
      </c>
      <c r="J771" s="270">
        <f t="shared" si="221"/>
        <v>384</v>
      </c>
      <c r="K771" s="270">
        <f t="shared" si="221"/>
        <v>384</v>
      </c>
      <c r="L771" s="270">
        <f t="shared" si="221"/>
        <v>416</v>
      </c>
      <c r="M771" s="270">
        <f t="shared" si="221"/>
        <v>448</v>
      </c>
      <c r="N771" s="270">
        <f t="shared" si="221"/>
        <v>699</v>
      </c>
      <c r="O771" s="270">
        <f t="shared" si="221"/>
        <v>699</v>
      </c>
      <c r="P771" s="270">
        <f t="shared" si="221"/>
        <v>699</v>
      </c>
      <c r="Q771" s="270">
        <f t="shared" si="221"/>
        <v>699</v>
      </c>
      <c r="R771" s="270">
        <f t="shared" si="221"/>
        <v>699</v>
      </c>
      <c r="S771" s="270">
        <f t="shared" ref="S771:AC786" si="223">+MIN(MAX(0,$C771-S$28),S$29-S$28)*S$34
+MIN(MAX(0,$C771-S$29),S$30-S$29)*S$35
+MIN(MAX(0,$C771-S$30),S$31-S$30)*S$36
+MIN(MAX(0,$C771-S$31),S$32-S$31)*S$37
+MAX(0,$C771-S$32)*S$38
+S$39</f>
        <v>699</v>
      </c>
      <c r="T771" s="270">
        <f t="shared" si="223"/>
        <v>699</v>
      </c>
      <c r="U771" s="270">
        <f t="shared" si="223"/>
        <v>699</v>
      </c>
      <c r="V771" s="270">
        <f t="shared" si="223"/>
        <v>699</v>
      </c>
      <c r="W771" s="270">
        <f t="shared" si="223"/>
        <v>699</v>
      </c>
      <c r="X771" s="270">
        <f t="shared" si="223"/>
        <v>699</v>
      </c>
      <c r="Y771" s="270">
        <f t="shared" si="223"/>
        <v>699</v>
      </c>
      <c r="Z771" s="270">
        <f t="shared" si="223"/>
        <v>699</v>
      </c>
      <c r="AA771" s="270">
        <f t="shared" si="223"/>
        <v>699</v>
      </c>
      <c r="AB771" s="270">
        <f t="shared" si="223"/>
        <v>699</v>
      </c>
      <c r="AC771" s="270">
        <f t="shared" si="223"/>
        <v>699</v>
      </c>
      <c r="AD771" s="270">
        <f t="shared" si="221"/>
        <v>699</v>
      </c>
      <c r="AE771" s="270">
        <f t="shared" si="222"/>
        <v>699</v>
      </c>
      <c r="AF771" s="270">
        <f t="shared" si="222"/>
        <v>699</v>
      </c>
      <c r="AG771" s="270">
        <f t="shared" si="222"/>
        <v>699</v>
      </c>
      <c r="AH771" s="270">
        <f t="shared" si="222"/>
        <v>699</v>
      </c>
      <c r="AI771" s="270">
        <f t="shared" si="222"/>
        <v>699</v>
      </c>
      <c r="AJ771" s="270">
        <f t="shared" si="222"/>
        <v>699</v>
      </c>
      <c r="AK771" s="270">
        <f t="shared" si="222"/>
        <v>699</v>
      </c>
      <c r="AL771" s="270">
        <f t="shared" si="222"/>
        <v>699</v>
      </c>
      <c r="AM771" s="270">
        <f t="shared" si="222"/>
        <v>699</v>
      </c>
    </row>
    <row r="772" spans="2:39" ht="15.75" thickBot="1" x14ac:dyDescent="0.35">
      <c r="B772" s="56" t="str">
        <f>input_names!$E$3</f>
        <v>plug-in</v>
      </c>
      <c r="C772" s="61">
        <v>17</v>
      </c>
      <c r="D772" s="270">
        <f t="shared" si="221"/>
        <v>102</v>
      </c>
      <c r="E772" s="270">
        <f t="shared" si="221"/>
        <v>102</v>
      </c>
      <c r="F772" s="270">
        <f t="shared" si="221"/>
        <v>340</v>
      </c>
      <c r="G772" s="270">
        <f t="shared" si="221"/>
        <v>323</v>
      </c>
      <c r="H772" s="270">
        <f t="shared" si="221"/>
        <v>459</v>
      </c>
      <c r="I772" s="270">
        <f t="shared" si="221"/>
        <v>459</v>
      </c>
      <c r="J772" s="270">
        <f t="shared" si="221"/>
        <v>408</v>
      </c>
      <c r="K772" s="270">
        <f t="shared" si="221"/>
        <v>408</v>
      </c>
      <c r="L772" s="270">
        <f t="shared" si="221"/>
        <v>442</v>
      </c>
      <c r="M772" s="270">
        <f t="shared" si="221"/>
        <v>476</v>
      </c>
      <c r="N772" s="270">
        <f t="shared" si="221"/>
        <v>701</v>
      </c>
      <c r="O772" s="270">
        <f t="shared" si="221"/>
        <v>701</v>
      </c>
      <c r="P772" s="270">
        <f t="shared" si="221"/>
        <v>701</v>
      </c>
      <c r="Q772" s="270">
        <f t="shared" si="221"/>
        <v>701</v>
      </c>
      <c r="R772" s="270">
        <f t="shared" si="221"/>
        <v>701</v>
      </c>
      <c r="S772" s="270">
        <f t="shared" si="223"/>
        <v>701</v>
      </c>
      <c r="T772" s="270">
        <f t="shared" si="223"/>
        <v>701</v>
      </c>
      <c r="U772" s="270">
        <f t="shared" si="223"/>
        <v>701</v>
      </c>
      <c r="V772" s="270">
        <f t="shared" si="223"/>
        <v>701</v>
      </c>
      <c r="W772" s="270">
        <f t="shared" si="223"/>
        <v>701</v>
      </c>
      <c r="X772" s="270">
        <f t="shared" si="223"/>
        <v>701</v>
      </c>
      <c r="Y772" s="270">
        <f t="shared" si="223"/>
        <v>701</v>
      </c>
      <c r="Z772" s="270">
        <f t="shared" si="223"/>
        <v>701</v>
      </c>
      <c r="AA772" s="270">
        <f t="shared" si="223"/>
        <v>701</v>
      </c>
      <c r="AB772" s="270">
        <f t="shared" si="223"/>
        <v>701</v>
      </c>
      <c r="AC772" s="270">
        <f t="shared" si="223"/>
        <v>701</v>
      </c>
      <c r="AD772" s="270">
        <f t="shared" si="221"/>
        <v>701</v>
      </c>
      <c r="AE772" s="270">
        <f t="shared" si="222"/>
        <v>701</v>
      </c>
      <c r="AF772" s="270">
        <f t="shared" si="222"/>
        <v>701</v>
      </c>
      <c r="AG772" s="270">
        <f t="shared" si="222"/>
        <v>701</v>
      </c>
      <c r="AH772" s="270">
        <f t="shared" si="222"/>
        <v>701</v>
      </c>
      <c r="AI772" s="270">
        <f t="shared" si="222"/>
        <v>701</v>
      </c>
      <c r="AJ772" s="270">
        <f t="shared" si="222"/>
        <v>701</v>
      </c>
      <c r="AK772" s="270">
        <f t="shared" si="222"/>
        <v>701</v>
      </c>
      <c r="AL772" s="270">
        <f t="shared" si="222"/>
        <v>701</v>
      </c>
      <c r="AM772" s="270">
        <f t="shared" si="222"/>
        <v>701</v>
      </c>
    </row>
    <row r="773" spans="2:39" ht="15.75" thickBot="1" x14ac:dyDescent="0.35">
      <c r="B773" s="56" t="str">
        <f>input_names!$E$3</f>
        <v>plug-in</v>
      </c>
      <c r="C773" s="61">
        <v>18</v>
      </c>
      <c r="D773" s="270">
        <f t="shared" si="221"/>
        <v>108</v>
      </c>
      <c r="E773" s="270">
        <f t="shared" si="221"/>
        <v>108</v>
      </c>
      <c r="F773" s="270">
        <f t="shared" si="221"/>
        <v>360</v>
      </c>
      <c r="G773" s="270">
        <f t="shared" si="221"/>
        <v>342</v>
      </c>
      <c r="H773" s="270">
        <f t="shared" si="221"/>
        <v>486</v>
      </c>
      <c r="I773" s="270">
        <f t="shared" si="221"/>
        <v>486</v>
      </c>
      <c r="J773" s="270">
        <f t="shared" si="221"/>
        <v>432</v>
      </c>
      <c r="K773" s="270">
        <f t="shared" si="221"/>
        <v>432</v>
      </c>
      <c r="L773" s="270">
        <f t="shared" si="221"/>
        <v>468</v>
      </c>
      <c r="M773" s="270">
        <f t="shared" si="221"/>
        <v>504</v>
      </c>
      <c r="N773" s="270">
        <f t="shared" si="221"/>
        <v>703</v>
      </c>
      <c r="O773" s="270">
        <f t="shared" si="221"/>
        <v>703</v>
      </c>
      <c r="P773" s="270">
        <f t="shared" si="221"/>
        <v>703</v>
      </c>
      <c r="Q773" s="270">
        <f t="shared" si="221"/>
        <v>703</v>
      </c>
      <c r="R773" s="270">
        <f t="shared" si="221"/>
        <v>703</v>
      </c>
      <c r="S773" s="270">
        <f t="shared" si="223"/>
        <v>703</v>
      </c>
      <c r="T773" s="270">
        <f t="shared" si="223"/>
        <v>703</v>
      </c>
      <c r="U773" s="270">
        <f t="shared" si="223"/>
        <v>703</v>
      </c>
      <c r="V773" s="270">
        <f t="shared" si="223"/>
        <v>703</v>
      </c>
      <c r="W773" s="270">
        <f t="shared" si="223"/>
        <v>703</v>
      </c>
      <c r="X773" s="270">
        <f t="shared" si="223"/>
        <v>703</v>
      </c>
      <c r="Y773" s="270">
        <f t="shared" si="223"/>
        <v>703</v>
      </c>
      <c r="Z773" s="270">
        <f t="shared" si="223"/>
        <v>703</v>
      </c>
      <c r="AA773" s="270">
        <f t="shared" si="223"/>
        <v>703</v>
      </c>
      <c r="AB773" s="270">
        <f t="shared" si="223"/>
        <v>703</v>
      </c>
      <c r="AC773" s="270">
        <f t="shared" si="223"/>
        <v>703</v>
      </c>
      <c r="AD773" s="270">
        <f t="shared" si="221"/>
        <v>703</v>
      </c>
      <c r="AE773" s="270">
        <f t="shared" si="222"/>
        <v>703</v>
      </c>
      <c r="AF773" s="270">
        <f t="shared" si="222"/>
        <v>703</v>
      </c>
      <c r="AG773" s="270">
        <f t="shared" si="222"/>
        <v>703</v>
      </c>
      <c r="AH773" s="270">
        <f t="shared" si="222"/>
        <v>703</v>
      </c>
      <c r="AI773" s="270">
        <f t="shared" si="222"/>
        <v>703</v>
      </c>
      <c r="AJ773" s="270">
        <f t="shared" si="222"/>
        <v>703</v>
      </c>
      <c r="AK773" s="270">
        <f t="shared" si="222"/>
        <v>703</v>
      </c>
      <c r="AL773" s="270">
        <f t="shared" si="222"/>
        <v>703</v>
      </c>
      <c r="AM773" s="270">
        <f t="shared" si="222"/>
        <v>703</v>
      </c>
    </row>
    <row r="774" spans="2:39" ht="15.75" thickBot="1" x14ac:dyDescent="0.35">
      <c r="B774" s="56" t="str">
        <f>input_names!$E$3</f>
        <v>plug-in</v>
      </c>
      <c r="C774" s="61">
        <v>19</v>
      </c>
      <c r="D774" s="270">
        <f t="shared" si="221"/>
        <v>114</v>
      </c>
      <c r="E774" s="270">
        <f t="shared" si="221"/>
        <v>114</v>
      </c>
      <c r="F774" s="270">
        <f t="shared" si="221"/>
        <v>380</v>
      </c>
      <c r="G774" s="270">
        <f t="shared" si="221"/>
        <v>361</v>
      </c>
      <c r="H774" s="270">
        <f t="shared" si="221"/>
        <v>513</v>
      </c>
      <c r="I774" s="270">
        <f t="shared" si="221"/>
        <v>513</v>
      </c>
      <c r="J774" s="270">
        <f t="shared" si="221"/>
        <v>456</v>
      </c>
      <c r="K774" s="270">
        <f t="shared" si="221"/>
        <v>456</v>
      </c>
      <c r="L774" s="270">
        <f t="shared" si="221"/>
        <v>494</v>
      </c>
      <c r="M774" s="270">
        <f t="shared" si="221"/>
        <v>532</v>
      </c>
      <c r="N774" s="270">
        <f t="shared" si="221"/>
        <v>705</v>
      </c>
      <c r="O774" s="270">
        <f t="shared" si="221"/>
        <v>705</v>
      </c>
      <c r="P774" s="270">
        <f t="shared" si="221"/>
        <v>705</v>
      </c>
      <c r="Q774" s="270">
        <f t="shared" si="221"/>
        <v>705</v>
      </c>
      <c r="R774" s="270">
        <f t="shared" si="221"/>
        <v>705</v>
      </c>
      <c r="S774" s="270">
        <f t="shared" si="223"/>
        <v>705</v>
      </c>
      <c r="T774" s="270">
        <f t="shared" si="223"/>
        <v>705</v>
      </c>
      <c r="U774" s="270">
        <f t="shared" si="223"/>
        <v>705</v>
      </c>
      <c r="V774" s="270">
        <f t="shared" si="223"/>
        <v>705</v>
      </c>
      <c r="W774" s="270">
        <f t="shared" si="223"/>
        <v>705</v>
      </c>
      <c r="X774" s="270">
        <f t="shared" si="223"/>
        <v>705</v>
      </c>
      <c r="Y774" s="270">
        <f t="shared" si="223"/>
        <v>705</v>
      </c>
      <c r="Z774" s="270">
        <f t="shared" si="223"/>
        <v>705</v>
      </c>
      <c r="AA774" s="270">
        <f t="shared" si="223"/>
        <v>705</v>
      </c>
      <c r="AB774" s="270">
        <f t="shared" si="223"/>
        <v>705</v>
      </c>
      <c r="AC774" s="270">
        <f t="shared" si="223"/>
        <v>705</v>
      </c>
      <c r="AD774" s="270">
        <f t="shared" si="221"/>
        <v>705</v>
      </c>
      <c r="AE774" s="270">
        <f t="shared" si="222"/>
        <v>705</v>
      </c>
      <c r="AF774" s="270">
        <f t="shared" si="222"/>
        <v>705</v>
      </c>
      <c r="AG774" s="270">
        <f t="shared" si="222"/>
        <v>705</v>
      </c>
      <c r="AH774" s="270">
        <f t="shared" si="222"/>
        <v>705</v>
      </c>
      <c r="AI774" s="270">
        <f t="shared" si="222"/>
        <v>705</v>
      </c>
      <c r="AJ774" s="270">
        <f t="shared" si="222"/>
        <v>705</v>
      </c>
      <c r="AK774" s="270">
        <f t="shared" si="222"/>
        <v>705</v>
      </c>
      <c r="AL774" s="270">
        <f t="shared" si="222"/>
        <v>705</v>
      </c>
      <c r="AM774" s="270">
        <f t="shared" si="222"/>
        <v>705</v>
      </c>
    </row>
    <row r="775" spans="2:39" ht="15.75" thickBot="1" x14ac:dyDescent="0.35">
      <c r="B775" s="56" t="str">
        <f>input_names!$E$3</f>
        <v>plug-in</v>
      </c>
      <c r="C775" s="61">
        <v>20</v>
      </c>
      <c r="D775" s="270">
        <f t="shared" si="221"/>
        <v>120</v>
      </c>
      <c r="E775" s="270">
        <f t="shared" si="221"/>
        <v>120</v>
      </c>
      <c r="F775" s="270">
        <f t="shared" si="221"/>
        <v>400</v>
      </c>
      <c r="G775" s="270">
        <f t="shared" si="221"/>
        <v>380</v>
      </c>
      <c r="H775" s="270">
        <f t="shared" si="221"/>
        <v>540</v>
      </c>
      <c r="I775" s="270">
        <f t="shared" si="221"/>
        <v>540</v>
      </c>
      <c r="J775" s="270">
        <f t="shared" si="221"/>
        <v>480</v>
      </c>
      <c r="K775" s="270">
        <f t="shared" si="221"/>
        <v>480</v>
      </c>
      <c r="L775" s="270">
        <f t="shared" si="221"/>
        <v>520</v>
      </c>
      <c r="M775" s="270">
        <f t="shared" si="221"/>
        <v>560</v>
      </c>
      <c r="N775" s="270">
        <f t="shared" si="221"/>
        <v>707</v>
      </c>
      <c r="O775" s="270">
        <f t="shared" si="221"/>
        <v>707</v>
      </c>
      <c r="P775" s="270">
        <f t="shared" si="221"/>
        <v>707</v>
      </c>
      <c r="Q775" s="270">
        <f t="shared" si="221"/>
        <v>707</v>
      </c>
      <c r="R775" s="270">
        <f t="shared" si="221"/>
        <v>707</v>
      </c>
      <c r="S775" s="270">
        <f t="shared" si="223"/>
        <v>707</v>
      </c>
      <c r="T775" s="270">
        <f t="shared" si="223"/>
        <v>707</v>
      </c>
      <c r="U775" s="270">
        <f t="shared" si="223"/>
        <v>707</v>
      </c>
      <c r="V775" s="270">
        <f t="shared" si="223"/>
        <v>707</v>
      </c>
      <c r="W775" s="270">
        <f t="shared" si="223"/>
        <v>707</v>
      </c>
      <c r="X775" s="270">
        <f t="shared" si="223"/>
        <v>707</v>
      </c>
      <c r="Y775" s="270">
        <f t="shared" si="223"/>
        <v>707</v>
      </c>
      <c r="Z775" s="270">
        <f t="shared" si="223"/>
        <v>707</v>
      </c>
      <c r="AA775" s="270">
        <f t="shared" si="223"/>
        <v>707</v>
      </c>
      <c r="AB775" s="270">
        <f t="shared" si="223"/>
        <v>707</v>
      </c>
      <c r="AC775" s="270">
        <f t="shared" si="223"/>
        <v>707</v>
      </c>
      <c r="AD775" s="270">
        <f t="shared" si="221"/>
        <v>707</v>
      </c>
      <c r="AE775" s="270">
        <f t="shared" si="222"/>
        <v>707</v>
      </c>
      <c r="AF775" s="270">
        <f t="shared" si="222"/>
        <v>707</v>
      </c>
      <c r="AG775" s="270">
        <f t="shared" si="222"/>
        <v>707</v>
      </c>
      <c r="AH775" s="270">
        <f t="shared" si="222"/>
        <v>707</v>
      </c>
      <c r="AI775" s="270">
        <f t="shared" si="222"/>
        <v>707</v>
      </c>
      <c r="AJ775" s="270">
        <f t="shared" si="222"/>
        <v>707</v>
      </c>
      <c r="AK775" s="270">
        <f t="shared" si="222"/>
        <v>707</v>
      </c>
      <c r="AL775" s="270">
        <f t="shared" si="222"/>
        <v>707</v>
      </c>
      <c r="AM775" s="270">
        <f t="shared" si="222"/>
        <v>707</v>
      </c>
    </row>
    <row r="776" spans="2:39" ht="15.75" thickBot="1" x14ac:dyDescent="0.35">
      <c r="B776" s="56" t="str">
        <f>input_names!$E$3</f>
        <v>plug-in</v>
      </c>
      <c r="C776" s="61">
        <v>21</v>
      </c>
      <c r="D776" s="270">
        <f t="shared" si="221"/>
        <v>126</v>
      </c>
      <c r="E776" s="270">
        <f t="shared" si="221"/>
        <v>126</v>
      </c>
      <c r="F776" s="270">
        <f t="shared" si="221"/>
        <v>420</v>
      </c>
      <c r="G776" s="270">
        <f t="shared" si="221"/>
        <v>399</v>
      </c>
      <c r="H776" s="270">
        <f t="shared" si="221"/>
        <v>567</v>
      </c>
      <c r="I776" s="270">
        <f t="shared" si="221"/>
        <v>567</v>
      </c>
      <c r="J776" s="270">
        <f t="shared" si="221"/>
        <v>504</v>
      </c>
      <c r="K776" s="270">
        <f t="shared" si="221"/>
        <v>504</v>
      </c>
      <c r="L776" s="270">
        <f t="shared" si="221"/>
        <v>546</v>
      </c>
      <c r="M776" s="270">
        <f t="shared" si="221"/>
        <v>588</v>
      </c>
      <c r="N776" s="270">
        <f t="shared" si="221"/>
        <v>709</v>
      </c>
      <c r="O776" s="270">
        <f t="shared" si="221"/>
        <v>709</v>
      </c>
      <c r="P776" s="270">
        <f t="shared" si="221"/>
        <v>709</v>
      </c>
      <c r="Q776" s="270">
        <f t="shared" si="221"/>
        <v>709</v>
      </c>
      <c r="R776" s="270">
        <f t="shared" si="221"/>
        <v>709</v>
      </c>
      <c r="S776" s="270">
        <f t="shared" si="223"/>
        <v>709</v>
      </c>
      <c r="T776" s="270">
        <f t="shared" si="223"/>
        <v>709</v>
      </c>
      <c r="U776" s="270">
        <f t="shared" si="223"/>
        <v>709</v>
      </c>
      <c r="V776" s="270">
        <f t="shared" si="223"/>
        <v>709</v>
      </c>
      <c r="W776" s="270">
        <f t="shared" si="223"/>
        <v>709</v>
      </c>
      <c r="X776" s="270">
        <f t="shared" si="223"/>
        <v>709</v>
      </c>
      <c r="Y776" s="270">
        <f t="shared" si="223"/>
        <v>709</v>
      </c>
      <c r="Z776" s="270">
        <f t="shared" si="223"/>
        <v>709</v>
      </c>
      <c r="AA776" s="270">
        <f t="shared" si="223"/>
        <v>709</v>
      </c>
      <c r="AB776" s="270">
        <f t="shared" si="223"/>
        <v>709</v>
      </c>
      <c r="AC776" s="270">
        <f t="shared" si="223"/>
        <v>709</v>
      </c>
      <c r="AD776" s="270">
        <f t="shared" si="221"/>
        <v>709</v>
      </c>
      <c r="AE776" s="270">
        <f t="shared" si="222"/>
        <v>709</v>
      </c>
      <c r="AF776" s="270">
        <f t="shared" si="222"/>
        <v>709</v>
      </c>
      <c r="AG776" s="270">
        <f t="shared" si="222"/>
        <v>709</v>
      </c>
      <c r="AH776" s="270">
        <f t="shared" si="222"/>
        <v>709</v>
      </c>
      <c r="AI776" s="270">
        <f t="shared" si="222"/>
        <v>709</v>
      </c>
      <c r="AJ776" s="270">
        <f t="shared" si="222"/>
        <v>709</v>
      </c>
      <c r="AK776" s="270">
        <f t="shared" si="222"/>
        <v>709</v>
      </c>
      <c r="AL776" s="270">
        <f t="shared" si="222"/>
        <v>709</v>
      </c>
      <c r="AM776" s="270">
        <f t="shared" si="222"/>
        <v>709</v>
      </c>
    </row>
    <row r="777" spans="2:39" ht="15.75" thickBot="1" x14ac:dyDescent="0.35">
      <c r="B777" s="56" t="str">
        <f>input_names!$E$3</f>
        <v>plug-in</v>
      </c>
      <c r="C777" s="61">
        <v>22</v>
      </c>
      <c r="D777" s="270">
        <f t="shared" si="221"/>
        <v>132</v>
      </c>
      <c r="E777" s="270">
        <f t="shared" si="221"/>
        <v>132</v>
      </c>
      <c r="F777" s="270">
        <f t="shared" si="221"/>
        <v>440</v>
      </c>
      <c r="G777" s="270">
        <f t="shared" si="221"/>
        <v>418</v>
      </c>
      <c r="H777" s="270">
        <f t="shared" si="221"/>
        <v>594</v>
      </c>
      <c r="I777" s="270">
        <f t="shared" si="221"/>
        <v>594</v>
      </c>
      <c r="J777" s="270">
        <f t="shared" si="221"/>
        <v>528</v>
      </c>
      <c r="K777" s="270">
        <f t="shared" si="221"/>
        <v>528</v>
      </c>
      <c r="L777" s="270">
        <f t="shared" si="221"/>
        <v>572</v>
      </c>
      <c r="M777" s="270">
        <f t="shared" si="221"/>
        <v>616</v>
      </c>
      <c r="N777" s="270">
        <f t="shared" si="221"/>
        <v>711</v>
      </c>
      <c r="O777" s="270">
        <f t="shared" si="221"/>
        <v>711</v>
      </c>
      <c r="P777" s="270">
        <f t="shared" si="221"/>
        <v>711</v>
      </c>
      <c r="Q777" s="270">
        <f t="shared" si="221"/>
        <v>711</v>
      </c>
      <c r="R777" s="270">
        <f t="shared" si="221"/>
        <v>711</v>
      </c>
      <c r="S777" s="270">
        <f t="shared" si="223"/>
        <v>711</v>
      </c>
      <c r="T777" s="270">
        <f t="shared" si="223"/>
        <v>711</v>
      </c>
      <c r="U777" s="270">
        <f t="shared" si="223"/>
        <v>711</v>
      </c>
      <c r="V777" s="270">
        <f t="shared" si="223"/>
        <v>711</v>
      </c>
      <c r="W777" s="270">
        <f t="shared" si="223"/>
        <v>711</v>
      </c>
      <c r="X777" s="270">
        <f t="shared" si="223"/>
        <v>711</v>
      </c>
      <c r="Y777" s="270">
        <f t="shared" si="223"/>
        <v>711</v>
      </c>
      <c r="Z777" s="270">
        <f t="shared" si="223"/>
        <v>711</v>
      </c>
      <c r="AA777" s="270">
        <f t="shared" si="223"/>
        <v>711</v>
      </c>
      <c r="AB777" s="270">
        <f t="shared" si="223"/>
        <v>711</v>
      </c>
      <c r="AC777" s="270">
        <f t="shared" si="223"/>
        <v>711</v>
      </c>
      <c r="AD777" s="270">
        <f t="shared" si="221"/>
        <v>711</v>
      </c>
      <c r="AE777" s="270">
        <f t="shared" si="222"/>
        <v>711</v>
      </c>
      <c r="AF777" s="270">
        <f t="shared" si="222"/>
        <v>711</v>
      </c>
      <c r="AG777" s="270">
        <f t="shared" si="222"/>
        <v>711</v>
      </c>
      <c r="AH777" s="270">
        <f t="shared" si="222"/>
        <v>711</v>
      </c>
      <c r="AI777" s="270">
        <f t="shared" si="222"/>
        <v>711</v>
      </c>
      <c r="AJ777" s="270">
        <f t="shared" si="222"/>
        <v>711</v>
      </c>
      <c r="AK777" s="270">
        <f t="shared" si="222"/>
        <v>711</v>
      </c>
      <c r="AL777" s="270">
        <f t="shared" si="222"/>
        <v>711</v>
      </c>
      <c r="AM777" s="270">
        <f t="shared" si="222"/>
        <v>711</v>
      </c>
    </row>
    <row r="778" spans="2:39" ht="15.75" thickBot="1" x14ac:dyDescent="0.35">
      <c r="B778" s="56" t="str">
        <f>input_names!$E$3</f>
        <v>plug-in</v>
      </c>
      <c r="C778" s="61">
        <v>23</v>
      </c>
      <c r="D778" s="270">
        <f t="shared" si="221"/>
        <v>138</v>
      </c>
      <c r="E778" s="270">
        <f t="shared" si="221"/>
        <v>138</v>
      </c>
      <c r="F778" s="270">
        <f t="shared" si="221"/>
        <v>460</v>
      </c>
      <c r="G778" s="270">
        <f t="shared" si="221"/>
        <v>437</v>
      </c>
      <c r="H778" s="270">
        <f t="shared" si="221"/>
        <v>621</v>
      </c>
      <c r="I778" s="270">
        <f t="shared" si="221"/>
        <v>621</v>
      </c>
      <c r="J778" s="270">
        <f t="shared" si="221"/>
        <v>552</v>
      </c>
      <c r="K778" s="270">
        <f t="shared" si="221"/>
        <v>552</v>
      </c>
      <c r="L778" s="270">
        <f t="shared" si="221"/>
        <v>598</v>
      </c>
      <c r="M778" s="270">
        <f t="shared" si="221"/>
        <v>644</v>
      </c>
      <c r="N778" s="270">
        <f t="shared" si="221"/>
        <v>713</v>
      </c>
      <c r="O778" s="270">
        <f t="shared" si="221"/>
        <v>713</v>
      </c>
      <c r="P778" s="270">
        <f t="shared" si="221"/>
        <v>713</v>
      </c>
      <c r="Q778" s="270">
        <f t="shared" si="221"/>
        <v>713</v>
      </c>
      <c r="R778" s="270">
        <f t="shared" si="221"/>
        <v>713</v>
      </c>
      <c r="S778" s="270">
        <f t="shared" si="223"/>
        <v>713</v>
      </c>
      <c r="T778" s="270">
        <f t="shared" si="223"/>
        <v>713</v>
      </c>
      <c r="U778" s="270">
        <f t="shared" si="223"/>
        <v>713</v>
      </c>
      <c r="V778" s="270">
        <f t="shared" si="223"/>
        <v>713</v>
      </c>
      <c r="W778" s="270">
        <f t="shared" si="223"/>
        <v>713</v>
      </c>
      <c r="X778" s="270">
        <f t="shared" si="223"/>
        <v>713</v>
      </c>
      <c r="Y778" s="270">
        <f t="shared" si="223"/>
        <v>713</v>
      </c>
      <c r="Z778" s="270">
        <f t="shared" si="223"/>
        <v>713</v>
      </c>
      <c r="AA778" s="270">
        <f t="shared" si="223"/>
        <v>713</v>
      </c>
      <c r="AB778" s="270">
        <f t="shared" si="223"/>
        <v>713</v>
      </c>
      <c r="AC778" s="270">
        <f t="shared" si="223"/>
        <v>713</v>
      </c>
      <c r="AD778" s="270">
        <f t="shared" si="221"/>
        <v>713</v>
      </c>
      <c r="AE778" s="270">
        <f t="shared" si="222"/>
        <v>713</v>
      </c>
      <c r="AF778" s="270">
        <f t="shared" si="222"/>
        <v>713</v>
      </c>
      <c r="AG778" s="270">
        <f t="shared" si="222"/>
        <v>713</v>
      </c>
      <c r="AH778" s="270">
        <f t="shared" si="222"/>
        <v>713</v>
      </c>
      <c r="AI778" s="270">
        <f t="shared" si="222"/>
        <v>713</v>
      </c>
      <c r="AJ778" s="270">
        <f t="shared" si="222"/>
        <v>713</v>
      </c>
      <c r="AK778" s="270">
        <f t="shared" si="222"/>
        <v>713</v>
      </c>
      <c r="AL778" s="270">
        <f t="shared" si="222"/>
        <v>713</v>
      </c>
      <c r="AM778" s="270">
        <f t="shared" si="222"/>
        <v>713</v>
      </c>
    </row>
    <row r="779" spans="2:39" ht="15.75" thickBot="1" x14ac:dyDescent="0.35">
      <c r="B779" s="56" t="str">
        <f>input_names!$E$3</f>
        <v>plug-in</v>
      </c>
      <c r="C779" s="61">
        <v>24</v>
      </c>
      <c r="D779" s="270">
        <f t="shared" si="221"/>
        <v>144</v>
      </c>
      <c r="E779" s="270">
        <f t="shared" si="221"/>
        <v>144</v>
      </c>
      <c r="F779" s="270">
        <f t="shared" si="221"/>
        <v>480</v>
      </c>
      <c r="G779" s="270">
        <f t="shared" si="221"/>
        <v>456</v>
      </c>
      <c r="H779" s="270">
        <f t="shared" si="221"/>
        <v>648</v>
      </c>
      <c r="I779" s="270">
        <f t="shared" si="221"/>
        <v>648</v>
      </c>
      <c r="J779" s="270">
        <f t="shared" si="221"/>
        <v>576</v>
      </c>
      <c r="K779" s="270">
        <f t="shared" si="221"/>
        <v>576</v>
      </c>
      <c r="L779" s="270">
        <f t="shared" si="221"/>
        <v>624</v>
      </c>
      <c r="M779" s="270">
        <f t="shared" si="221"/>
        <v>672</v>
      </c>
      <c r="N779" s="270">
        <f t="shared" si="221"/>
        <v>715</v>
      </c>
      <c r="O779" s="270">
        <f t="shared" si="221"/>
        <v>715</v>
      </c>
      <c r="P779" s="270">
        <f t="shared" si="221"/>
        <v>715</v>
      </c>
      <c r="Q779" s="270">
        <f t="shared" si="221"/>
        <v>715</v>
      </c>
      <c r="R779" s="270">
        <f t="shared" si="221"/>
        <v>715</v>
      </c>
      <c r="S779" s="270">
        <f t="shared" si="223"/>
        <v>715</v>
      </c>
      <c r="T779" s="270">
        <f t="shared" si="223"/>
        <v>715</v>
      </c>
      <c r="U779" s="270">
        <f t="shared" si="223"/>
        <v>715</v>
      </c>
      <c r="V779" s="270">
        <f t="shared" si="223"/>
        <v>715</v>
      </c>
      <c r="W779" s="270">
        <f t="shared" si="223"/>
        <v>715</v>
      </c>
      <c r="X779" s="270">
        <f t="shared" si="223"/>
        <v>715</v>
      </c>
      <c r="Y779" s="270">
        <f t="shared" si="223"/>
        <v>715</v>
      </c>
      <c r="Z779" s="270">
        <f t="shared" si="223"/>
        <v>715</v>
      </c>
      <c r="AA779" s="270">
        <f t="shared" si="223"/>
        <v>715</v>
      </c>
      <c r="AB779" s="270">
        <f t="shared" si="223"/>
        <v>715</v>
      </c>
      <c r="AC779" s="270">
        <f t="shared" si="223"/>
        <v>715</v>
      </c>
      <c r="AD779" s="270">
        <f t="shared" si="221"/>
        <v>715</v>
      </c>
      <c r="AE779" s="270">
        <f t="shared" si="222"/>
        <v>715</v>
      </c>
      <c r="AF779" s="270">
        <f t="shared" si="222"/>
        <v>715</v>
      </c>
      <c r="AG779" s="270">
        <f t="shared" si="222"/>
        <v>715</v>
      </c>
      <c r="AH779" s="270">
        <f t="shared" si="222"/>
        <v>715</v>
      </c>
      <c r="AI779" s="270">
        <f t="shared" si="222"/>
        <v>715</v>
      </c>
      <c r="AJ779" s="270">
        <f t="shared" si="222"/>
        <v>715</v>
      </c>
      <c r="AK779" s="270">
        <f t="shared" si="222"/>
        <v>715</v>
      </c>
      <c r="AL779" s="270">
        <f t="shared" si="222"/>
        <v>715</v>
      </c>
      <c r="AM779" s="270">
        <f t="shared" si="222"/>
        <v>715</v>
      </c>
    </row>
    <row r="780" spans="2:39" ht="15.75" thickBot="1" x14ac:dyDescent="0.35">
      <c r="B780" s="56" t="str">
        <f>input_names!$E$3</f>
        <v>plug-in</v>
      </c>
      <c r="C780" s="61">
        <v>25</v>
      </c>
      <c r="D780" s="270">
        <f t="shared" si="221"/>
        <v>150</v>
      </c>
      <c r="E780" s="270">
        <f t="shared" si="221"/>
        <v>150</v>
      </c>
      <c r="F780" s="270">
        <f t="shared" si="221"/>
        <v>500</v>
      </c>
      <c r="G780" s="270">
        <f t="shared" si="221"/>
        <v>475</v>
      </c>
      <c r="H780" s="270">
        <f t="shared" si="221"/>
        <v>675</v>
      </c>
      <c r="I780" s="270">
        <f t="shared" si="221"/>
        <v>675</v>
      </c>
      <c r="J780" s="270">
        <f t="shared" si="221"/>
        <v>600</v>
      </c>
      <c r="K780" s="270">
        <f t="shared" si="221"/>
        <v>600</v>
      </c>
      <c r="L780" s="270">
        <f t="shared" si="221"/>
        <v>650</v>
      </c>
      <c r="M780" s="270">
        <f t="shared" si="221"/>
        <v>700</v>
      </c>
      <c r="N780" s="270">
        <f t="shared" si="221"/>
        <v>717</v>
      </c>
      <c r="O780" s="270">
        <f t="shared" si="221"/>
        <v>717</v>
      </c>
      <c r="P780" s="270">
        <f t="shared" si="221"/>
        <v>717</v>
      </c>
      <c r="Q780" s="270">
        <f t="shared" si="221"/>
        <v>717</v>
      </c>
      <c r="R780" s="270">
        <f t="shared" si="221"/>
        <v>717</v>
      </c>
      <c r="S780" s="270">
        <f t="shared" si="223"/>
        <v>717</v>
      </c>
      <c r="T780" s="270">
        <f t="shared" si="223"/>
        <v>717</v>
      </c>
      <c r="U780" s="270">
        <f t="shared" si="223"/>
        <v>717</v>
      </c>
      <c r="V780" s="270">
        <f t="shared" si="223"/>
        <v>717</v>
      </c>
      <c r="W780" s="270">
        <f t="shared" si="223"/>
        <v>717</v>
      </c>
      <c r="X780" s="270">
        <f t="shared" si="223"/>
        <v>717</v>
      </c>
      <c r="Y780" s="270">
        <f t="shared" si="223"/>
        <v>717</v>
      </c>
      <c r="Z780" s="270">
        <f t="shared" si="223"/>
        <v>717</v>
      </c>
      <c r="AA780" s="270">
        <f t="shared" si="223"/>
        <v>717</v>
      </c>
      <c r="AB780" s="270">
        <f t="shared" si="223"/>
        <v>717</v>
      </c>
      <c r="AC780" s="270">
        <f t="shared" si="223"/>
        <v>717</v>
      </c>
      <c r="AD780" s="270">
        <f t="shared" si="221"/>
        <v>717</v>
      </c>
      <c r="AE780" s="270">
        <f t="shared" si="222"/>
        <v>717</v>
      </c>
      <c r="AF780" s="270">
        <f t="shared" si="222"/>
        <v>717</v>
      </c>
      <c r="AG780" s="270">
        <f t="shared" si="222"/>
        <v>717</v>
      </c>
      <c r="AH780" s="270">
        <f t="shared" si="222"/>
        <v>717</v>
      </c>
      <c r="AI780" s="270">
        <f t="shared" si="222"/>
        <v>717</v>
      </c>
      <c r="AJ780" s="270">
        <f t="shared" si="222"/>
        <v>717</v>
      </c>
      <c r="AK780" s="270">
        <f t="shared" si="222"/>
        <v>717</v>
      </c>
      <c r="AL780" s="270">
        <f t="shared" si="222"/>
        <v>717</v>
      </c>
      <c r="AM780" s="270">
        <f t="shared" si="222"/>
        <v>717</v>
      </c>
    </row>
    <row r="781" spans="2:39" ht="15.75" thickBot="1" x14ac:dyDescent="0.35">
      <c r="B781" s="56" t="str">
        <f>input_names!$E$3</f>
        <v>plug-in</v>
      </c>
      <c r="C781" s="61">
        <v>26</v>
      </c>
      <c r="D781" s="270">
        <f t="shared" si="221"/>
        <v>156</v>
      </c>
      <c r="E781" s="270">
        <f t="shared" si="221"/>
        <v>156</v>
      </c>
      <c r="F781" s="270">
        <f t="shared" si="221"/>
        <v>520</v>
      </c>
      <c r="G781" s="270">
        <f t="shared" si="221"/>
        <v>494</v>
      </c>
      <c r="H781" s="270">
        <f t="shared" si="221"/>
        <v>702</v>
      </c>
      <c r="I781" s="270">
        <f t="shared" si="221"/>
        <v>702</v>
      </c>
      <c r="J781" s="270">
        <f t="shared" si="221"/>
        <v>624</v>
      </c>
      <c r="K781" s="270">
        <f t="shared" si="221"/>
        <v>624</v>
      </c>
      <c r="L781" s="270">
        <f t="shared" si="221"/>
        <v>676</v>
      </c>
      <c r="M781" s="270">
        <f t="shared" si="221"/>
        <v>728</v>
      </c>
      <c r="N781" s="270">
        <f t="shared" si="221"/>
        <v>719</v>
      </c>
      <c r="O781" s="270">
        <f t="shared" si="221"/>
        <v>719</v>
      </c>
      <c r="P781" s="270">
        <f t="shared" si="221"/>
        <v>719</v>
      </c>
      <c r="Q781" s="270">
        <f t="shared" si="221"/>
        <v>719</v>
      </c>
      <c r="R781" s="270">
        <f t="shared" si="221"/>
        <v>719</v>
      </c>
      <c r="S781" s="270">
        <f t="shared" si="223"/>
        <v>719</v>
      </c>
      <c r="T781" s="270">
        <f t="shared" si="223"/>
        <v>719</v>
      </c>
      <c r="U781" s="270">
        <f t="shared" si="223"/>
        <v>719</v>
      </c>
      <c r="V781" s="270">
        <f t="shared" si="223"/>
        <v>719</v>
      </c>
      <c r="W781" s="270">
        <f t="shared" si="223"/>
        <v>719</v>
      </c>
      <c r="X781" s="270">
        <f t="shared" si="223"/>
        <v>719</v>
      </c>
      <c r="Y781" s="270">
        <f t="shared" si="223"/>
        <v>719</v>
      </c>
      <c r="Z781" s="270">
        <f t="shared" si="223"/>
        <v>719</v>
      </c>
      <c r="AA781" s="270">
        <f t="shared" si="223"/>
        <v>719</v>
      </c>
      <c r="AB781" s="270">
        <f t="shared" si="223"/>
        <v>719</v>
      </c>
      <c r="AC781" s="270">
        <f t="shared" si="223"/>
        <v>719</v>
      </c>
      <c r="AD781" s="270">
        <f t="shared" si="221"/>
        <v>719</v>
      </c>
      <c r="AE781" s="270">
        <f t="shared" si="222"/>
        <v>719</v>
      </c>
      <c r="AF781" s="270">
        <f t="shared" si="222"/>
        <v>719</v>
      </c>
      <c r="AG781" s="270">
        <f t="shared" si="222"/>
        <v>719</v>
      </c>
      <c r="AH781" s="270">
        <f t="shared" si="222"/>
        <v>719</v>
      </c>
      <c r="AI781" s="270">
        <f t="shared" si="222"/>
        <v>719</v>
      </c>
      <c r="AJ781" s="270">
        <f t="shared" si="222"/>
        <v>719</v>
      </c>
      <c r="AK781" s="270">
        <f t="shared" si="222"/>
        <v>719</v>
      </c>
      <c r="AL781" s="270">
        <f t="shared" si="222"/>
        <v>719</v>
      </c>
      <c r="AM781" s="270">
        <f t="shared" si="222"/>
        <v>719</v>
      </c>
    </row>
    <row r="782" spans="2:39" ht="15.75" thickBot="1" x14ac:dyDescent="0.35">
      <c r="B782" s="56" t="str">
        <f>input_names!$E$3</f>
        <v>plug-in</v>
      </c>
      <c r="C782" s="61">
        <v>27</v>
      </c>
      <c r="D782" s="270">
        <f t="shared" si="221"/>
        <v>162</v>
      </c>
      <c r="E782" s="270">
        <f t="shared" si="221"/>
        <v>162</v>
      </c>
      <c r="F782" s="270">
        <f t="shared" si="221"/>
        <v>540</v>
      </c>
      <c r="G782" s="270">
        <f t="shared" si="221"/>
        <v>513</v>
      </c>
      <c r="H782" s="270">
        <f t="shared" si="221"/>
        <v>729</v>
      </c>
      <c r="I782" s="270">
        <f t="shared" si="221"/>
        <v>729</v>
      </c>
      <c r="J782" s="270">
        <f t="shared" si="221"/>
        <v>648</v>
      </c>
      <c r="K782" s="270">
        <f t="shared" si="221"/>
        <v>648</v>
      </c>
      <c r="L782" s="270">
        <f t="shared" si="221"/>
        <v>702</v>
      </c>
      <c r="M782" s="270">
        <f t="shared" si="221"/>
        <v>756</v>
      </c>
      <c r="N782" s="270">
        <f t="shared" si="221"/>
        <v>721</v>
      </c>
      <c r="O782" s="270">
        <f t="shared" si="221"/>
        <v>721</v>
      </c>
      <c r="P782" s="270">
        <f t="shared" si="221"/>
        <v>721</v>
      </c>
      <c r="Q782" s="270">
        <f t="shared" si="221"/>
        <v>721</v>
      </c>
      <c r="R782" s="270">
        <f t="shared" si="221"/>
        <v>721</v>
      </c>
      <c r="S782" s="270">
        <f t="shared" si="223"/>
        <v>721</v>
      </c>
      <c r="T782" s="270">
        <f t="shared" si="223"/>
        <v>721</v>
      </c>
      <c r="U782" s="270">
        <f t="shared" si="223"/>
        <v>721</v>
      </c>
      <c r="V782" s="270">
        <f t="shared" si="223"/>
        <v>721</v>
      </c>
      <c r="W782" s="270">
        <f t="shared" si="223"/>
        <v>721</v>
      </c>
      <c r="X782" s="270">
        <f t="shared" si="223"/>
        <v>721</v>
      </c>
      <c r="Y782" s="270">
        <f t="shared" si="223"/>
        <v>721</v>
      </c>
      <c r="Z782" s="270">
        <f t="shared" si="223"/>
        <v>721</v>
      </c>
      <c r="AA782" s="270">
        <f t="shared" si="223"/>
        <v>721</v>
      </c>
      <c r="AB782" s="270">
        <f t="shared" si="223"/>
        <v>721</v>
      </c>
      <c r="AC782" s="270">
        <f t="shared" si="223"/>
        <v>721</v>
      </c>
      <c r="AD782" s="270">
        <f t="shared" si="221"/>
        <v>721</v>
      </c>
      <c r="AE782" s="270">
        <f t="shared" si="222"/>
        <v>721</v>
      </c>
      <c r="AF782" s="270">
        <f t="shared" si="222"/>
        <v>721</v>
      </c>
      <c r="AG782" s="270">
        <f t="shared" si="222"/>
        <v>721</v>
      </c>
      <c r="AH782" s="270">
        <f t="shared" si="222"/>
        <v>721</v>
      </c>
      <c r="AI782" s="270">
        <f t="shared" si="222"/>
        <v>721</v>
      </c>
      <c r="AJ782" s="270">
        <f t="shared" si="222"/>
        <v>721</v>
      </c>
      <c r="AK782" s="270">
        <f t="shared" si="222"/>
        <v>721</v>
      </c>
      <c r="AL782" s="270">
        <f t="shared" si="222"/>
        <v>721</v>
      </c>
      <c r="AM782" s="270">
        <f t="shared" si="222"/>
        <v>721</v>
      </c>
    </row>
    <row r="783" spans="2:39" ht="15.75" thickBot="1" x14ac:dyDescent="0.35">
      <c r="B783" s="56" t="str">
        <f>input_names!$E$3</f>
        <v>plug-in</v>
      </c>
      <c r="C783" s="61">
        <v>28</v>
      </c>
      <c r="D783" s="270">
        <f t="shared" si="221"/>
        <v>168</v>
      </c>
      <c r="E783" s="270">
        <f t="shared" si="221"/>
        <v>168</v>
      </c>
      <c r="F783" s="270">
        <f t="shared" si="221"/>
        <v>560</v>
      </c>
      <c r="G783" s="270">
        <f t="shared" si="221"/>
        <v>532</v>
      </c>
      <c r="H783" s="270">
        <f t="shared" si="221"/>
        <v>756</v>
      </c>
      <c r="I783" s="270">
        <f t="shared" si="221"/>
        <v>756</v>
      </c>
      <c r="J783" s="270">
        <f t="shared" si="221"/>
        <v>672</v>
      </c>
      <c r="K783" s="270">
        <f t="shared" si="221"/>
        <v>672</v>
      </c>
      <c r="L783" s="270">
        <f t="shared" si="221"/>
        <v>728</v>
      </c>
      <c r="M783" s="270">
        <f t="shared" si="221"/>
        <v>784</v>
      </c>
      <c r="N783" s="270">
        <f t="shared" si="221"/>
        <v>723</v>
      </c>
      <c r="O783" s="270">
        <f t="shared" si="221"/>
        <v>723</v>
      </c>
      <c r="P783" s="270">
        <f t="shared" si="221"/>
        <v>723</v>
      </c>
      <c r="Q783" s="270">
        <f t="shared" si="221"/>
        <v>723</v>
      </c>
      <c r="R783" s="270">
        <f t="shared" si="221"/>
        <v>723</v>
      </c>
      <c r="S783" s="270">
        <f t="shared" si="223"/>
        <v>723</v>
      </c>
      <c r="T783" s="270">
        <f t="shared" si="223"/>
        <v>723</v>
      </c>
      <c r="U783" s="270">
        <f t="shared" si="223"/>
        <v>723</v>
      </c>
      <c r="V783" s="270">
        <f t="shared" si="223"/>
        <v>723</v>
      </c>
      <c r="W783" s="270">
        <f t="shared" si="223"/>
        <v>723</v>
      </c>
      <c r="X783" s="270">
        <f t="shared" si="223"/>
        <v>723</v>
      </c>
      <c r="Y783" s="270">
        <f t="shared" si="223"/>
        <v>723</v>
      </c>
      <c r="Z783" s="270">
        <f t="shared" si="223"/>
        <v>723</v>
      </c>
      <c r="AA783" s="270">
        <f t="shared" si="223"/>
        <v>723</v>
      </c>
      <c r="AB783" s="270">
        <f t="shared" si="223"/>
        <v>723</v>
      </c>
      <c r="AC783" s="270">
        <f t="shared" si="223"/>
        <v>723</v>
      </c>
      <c r="AD783" s="270">
        <f t="shared" si="221"/>
        <v>723</v>
      </c>
      <c r="AE783" s="270">
        <f t="shared" si="222"/>
        <v>723</v>
      </c>
      <c r="AF783" s="270">
        <f t="shared" si="222"/>
        <v>723</v>
      </c>
      <c r="AG783" s="270">
        <f t="shared" si="222"/>
        <v>723</v>
      </c>
      <c r="AH783" s="270">
        <f t="shared" si="222"/>
        <v>723</v>
      </c>
      <c r="AI783" s="270">
        <f t="shared" si="222"/>
        <v>723</v>
      </c>
      <c r="AJ783" s="270">
        <f t="shared" si="222"/>
        <v>723</v>
      </c>
      <c r="AK783" s="270">
        <f t="shared" si="222"/>
        <v>723</v>
      </c>
      <c r="AL783" s="270">
        <f t="shared" si="222"/>
        <v>723</v>
      </c>
      <c r="AM783" s="270">
        <f t="shared" si="222"/>
        <v>723</v>
      </c>
    </row>
    <row r="784" spans="2:39" ht="15.75" thickBot="1" x14ac:dyDescent="0.35">
      <c r="B784" s="56" t="str">
        <f>input_names!$E$3</f>
        <v>plug-in</v>
      </c>
      <c r="C784" s="61">
        <v>29</v>
      </c>
      <c r="D784" s="270">
        <f t="shared" si="221"/>
        <v>174</v>
      </c>
      <c r="E784" s="270">
        <f t="shared" si="221"/>
        <v>174</v>
      </c>
      <c r="F784" s="270">
        <f t="shared" si="221"/>
        <v>580</v>
      </c>
      <c r="G784" s="270">
        <f t="shared" si="221"/>
        <v>551</v>
      </c>
      <c r="H784" s="270">
        <f t="shared" si="221"/>
        <v>783</v>
      </c>
      <c r="I784" s="270">
        <f t="shared" si="221"/>
        <v>783</v>
      </c>
      <c r="J784" s="270">
        <f t="shared" si="221"/>
        <v>696</v>
      </c>
      <c r="K784" s="270">
        <f t="shared" si="221"/>
        <v>696</v>
      </c>
      <c r="L784" s="270">
        <f t="shared" si="221"/>
        <v>754</v>
      </c>
      <c r="M784" s="270">
        <f t="shared" si="221"/>
        <v>812</v>
      </c>
      <c r="N784" s="270">
        <f t="shared" si="221"/>
        <v>725</v>
      </c>
      <c r="O784" s="270">
        <f t="shared" si="221"/>
        <v>725</v>
      </c>
      <c r="P784" s="270">
        <f t="shared" si="221"/>
        <v>725</v>
      </c>
      <c r="Q784" s="270">
        <f t="shared" si="221"/>
        <v>725</v>
      </c>
      <c r="R784" s="270">
        <f t="shared" si="221"/>
        <v>725</v>
      </c>
      <c r="S784" s="270">
        <f t="shared" si="223"/>
        <v>725</v>
      </c>
      <c r="T784" s="270">
        <f t="shared" si="223"/>
        <v>725</v>
      </c>
      <c r="U784" s="270">
        <f t="shared" si="223"/>
        <v>725</v>
      </c>
      <c r="V784" s="270">
        <f t="shared" si="223"/>
        <v>725</v>
      </c>
      <c r="W784" s="270">
        <f t="shared" si="223"/>
        <v>725</v>
      </c>
      <c r="X784" s="270">
        <f t="shared" si="223"/>
        <v>725</v>
      </c>
      <c r="Y784" s="270">
        <f t="shared" si="223"/>
        <v>725</v>
      </c>
      <c r="Z784" s="270">
        <f t="shared" si="223"/>
        <v>725</v>
      </c>
      <c r="AA784" s="270">
        <f t="shared" si="223"/>
        <v>725</v>
      </c>
      <c r="AB784" s="270">
        <f t="shared" si="223"/>
        <v>725</v>
      </c>
      <c r="AC784" s="270">
        <f t="shared" si="223"/>
        <v>725</v>
      </c>
      <c r="AD784" s="270">
        <f t="shared" si="221"/>
        <v>725</v>
      </c>
      <c r="AE784" s="270">
        <f t="shared" si="222"/>
        <v>725</v>
      </c>
      <c r="AF784" s="270">
        <f t="shared" si="222"/>
        <v>725</v>
      </c>
      <c r="AG784" s="270">
        <f t="shared" si="222"/>
        <v>725</v>
      </c>
      <c r="AH784" s="270">
        <f t="shared" si="222"/>
        <v>725</v>
      </c>
      <c r="AI784" s="270">
        <f t="shared" si="222"/>
        <v>725</v>
      </c>
      <c r="AJ784" s="270">
        <f t="shared" si="222"/>
        <v>725</v>
      </c>
      <c r="AK784" s="270">
        <f t="shared" si="222"/>
        <v>725</v>
      </c>
      <c r="AL784" s="270">
        <f t="shared" si="222"/>
        <v>725</v>
      </c>
      <c r="AM784" s="270">
        <f t="shared" si="222"/>
        <v>725</v>
      </c>
    </row>
    <row r="785" spans="2:39" ht="15.75" thickBot="1" x14ac:dyDescent="0.35">
      <c r="B785" s="56" t="str">
        <f>input_names!$E$3</f>
        <v>plug-in</v>
      </c>
      <c r="C785" s="61">
        <v>30</v>
      </c>
      <c r="D785" s="270">
        <f t="shared" si="221"/>
        <v>180</v>
      </c>
      <c r="E785" s="270">
        <f t="shared" si="221"/>
        <v>180</v>
      </c>
      <c r="F785" s="270">
        <f t="shared" si="221"/>
        <v>600</v>
      </c>
      <c r="G785" s="270">
        <f t="shared" si="221"/>
        <v>570</v>
      </c>
      <c r="H785" s="270">
        <f t="shared" si="221"/>
        <v>810</v>
      </c>
      <c r="I785" s="270">
        <f t="shared" si="221"/>
        <v>810</v>
      </c>
      <c r="J785" s="270">
        <f t="shared" si="221"/>
        <v>720</v>
      </c>
      <c r="K785" s="270">
        <f t="shared" si="221"/>
        <v>720</v>
      </c>
      <c r="L785" s="270">
        <f t="shared" si="221"/>
        <v>780</v>
      </c>
      <c r="M785" s="270">
        <f t="shared" si="221"/>
        <v>840</v>
      </c>
      <c r="N785" s="270">
        <f t="shared" si="221"/>
        <v>727</v>
      </c>
      <c r="O785" s="270">
        <f t="shared" si="221"/>
        <v>727</v>
      </c>
      <c r="P785" s="270">
        <f t="shared" si="221"/>
        <v>727</v>
      </c>
      <c r="Q785" s="270">
        <f t="shared" si="221"/>
        <v>727</v>
      </c>
      <c r="R785" s="270">
        <f t="shared" si="221"/>
        <v>727</v>
      </c>
      <c r="S785" s="270">
        <f>+MIN(MAX(0,$C785-S$28),S$29-S$28)*S$34
+MIN(MAX(0,$C785-S$29),S$30-S$29)*S$35
+MIN(MAX(0,$C785-S$30),S$31-S$30)*S$36
+MIN(MAX(0,$C785-S$31),S$32-S$31)*S$37
+MAX(0,$C785-S$32)*S$38
+S$39</f>
        <v>727</v>
      </c>
      <c r="T785" s="270">
        <f t="shared" si="223"/>
        <v>727</v>
      </c>
      <c r="U785" s="270">
        <f t="shared" si="223"/>
        <v>727</v>
      </c>
      <c r="V785" s="270">
        <f t="shared" si="223"/>
        <v>727</v>
      </c>
      <c r="W785" s="270">
        <f t="shared" si="223"/>
        <v>727</v>
      </c>
      <c r="X785" s="270">
        <f t="shared" si="223"/>
        <v>727</v>
      </c>
      <c r="Y785" s="270">
        <f t="shared" si="223"/>
        <v>727</v>
      </c>
      <c r="Z785" s="270">
        <f t="shared" si="223"/>
        <v>727</v>
      </c>
      <c r="AA785" s="270">
        <f t="shared" si="223"/>
        <v>727</v>
      </c>
      <c r="AB785" s="270">
        <f t="shared" si="223"/>
        <v>727</v>
      </c>
      <c r="AC785" s="270">
        <f t="shared" si="223"/>
        <v>727</v>
      </c>
      <c r="AD785" s="270">
        <f>+MIN(MAX(0,$C785-AD$28),AD$29-AD$28)*AD$34
+MIN(MAX(0,$C785-AD$29),AD$30-AD$29)*AD$35
+MIN(MAX(0,$C785-AD$30),AD$31-AD$30)*AD$36
+MIN(MAX(0,$C785-AD$31),AD$32-AD$31)*AD$37
+MAX(0,$C785-AD$32)*AD$38
+AD$39</f>
        <v>727</v>
      </c>
      <c r="AE785" s="270">
        <f t="shared" si="222"/>
        <v>727</v>
      </c>
      <c r="AF785" s="270">
        <f t="shared" si="222"/>
        <v>727</v>
      </c>
      <c r="AG785" s="270">
        <f t="shared" si="222"/>
        <v>727</v>
      </c>
      <c r="AH785" s="270">
        <f t="shared" si="222"/>
        <v>727</v>
      </c>
      <c r="AI785" s="270">
        <f t="shared" si="222"/>
        <v>727</v>
      </c>
      <c r="AJ785" s="270">
        <f t="shared" si="222"/>
        <v>727</v>
      </c>
      <c r="AK785" s="270">
        <f t="shared" si="222"/>
        <v>727</v>
      </c>
      <c r="AL785" s="270">
        <f t="shared" si="222"/>
        <v>727</v>
      </c>
      <c r="AM785" s="270">
        <f t="shared" si="222"/>
        <v>727</v>
      </c>
    </row>
    <row r="786" spans="2:39" ht="15.75" thickBot="1" x14ac:dyDescent="0.35">
      <c r="B786" s="56" t="str">
        <f>input_names!$E$3</f>
        <v>plug-in</v>
      </c>
      <c r="C786" s="61">
        <v>31</v>
      </c>
      <c r="D786" s="270">
        <f t="shared" ref="D786:AD801" si="224">+MIN(MAX(0,$C786-D$28),D$29-D$28)*D$34
+MIN(MAX(0,$C786-D$29),D$30-D$29)*D$35
+MIN(MAX(0,$C786-D$30),D$31-D$30)*D$36
+MIN(MAX(0,$C786-D$31),D$32-D$31)*D$37
+MAX(0,$C786-D$32)*D$38
+D$39</f>
        <v>186</v>
      </c>
      <c r="E786" s="270">
        <f t="shared" si="224"/>
        <v>186</v>
      </c>
      <c r="F786" s="270">
        <f t="shared" si="224"/>
        <v>690</v>
      </c>
      <c r="G786" s="270">
        <f t="shared" si="224"/>
        <v>657</v>
      </c>
      <c r="H786" s="270">
        <f t="shared" si="224"/>
        <v>923</v>
      </c>
      <c r="I786" s="270">
        <f t="shared" si="224"/>
        <v>921</v>
      </c>
      <c r="J786" s="270">
        <f t="shared" si="224"/>
        <v>744</v>
      </c>
      <c r="K786" s="270">
        <f t="shared" si="224"/>
        <v>744</v>
      </c>
      <c r="L786" s="270">
        <f t="shared" si="224"/>
        <v>806</v>
      </c>
      <c r="M786" s="270">
        <f t="shared" si="224"/>
        <v>868</v>
      </c>
      <c r="N786" s="270">
        <f t="shared" si="224"/>
        <v>729</v>
      </c>
      <c r="O786" s="270">
        <f t="shared" si="224"/>
        <v>729</v>
      </c>
      <c r="P786" s="270">
        <f t="shared" si="224"/>
        <v>729</v>
      </c>
      <c r="Q786" s="270">
        <f t="shared" si="224"/>
        <v>729</v>
      </c>
      <c r="R786" s="270">
        <f t="shared" si="224"/>
        <v>729</v>
      </c>
      <c r="S786" s="270">
        <f t="shared" ref="S786:AC801" si="225">+MIN(MAX(0,$C786-S$28),S$29-S$28)*S$34
+MIN(MAX(0,$C786-S$29),S$30-S$29)*S$35
+MIN(MAX(0,$C786-S$30),S$31-S$30)*S$36
+MIN(MAX(0,$C786-S$31),S$32-S$31)*S$37
+MAX(0,$C786-S$32)*S$38
+S$39</f>
        <v>729</v>
      </c>
      <c r="T786" s="270">
        <f t="shared" si="223"/>
        <v>729</v>
      </c>
      <c r="U786" s="270">
        <f t="shared" si="223"/>
        <v>729</v>
      </c>
      <c r="V786" s="270">
        <f t="shared" si="223"/>
        <v>729</v>
      </c>
      <c r="W786" s="270">
        <f t="shared" si="223"/>
        <v>729</v>
      </c>
      <c r="X786" s="270">
        <f t="shared" si="223"/>
        <v>729</v>
      </c>
      <c r="Y786" s="270">
        <f t="shared" si="223"/>
        <v>729</v>
      </c>
      <c r="Z786" s="270">
        <f t="shared" si="223"/>
        <v>729</v>
      </c>
      <c r="AA786" s="270">
        <f t="shared" si="223"/>
        <v>729</v>
      </c>
      <c r="AB786" s="270">
        <f t="shared" si="223"/>
        <v>729</v>
      </c>
      <c r="AC786" s="270">
        <f t="shared" si="223"/>
        <v>729</v>
      </c>
      <c r="AD786" s="270">
        <f t="shared" si="224"/>
        <v>729</v>
      </c>
      <c r="AE786" s="270">
        <f t="shared" ref="AE786:AM811" si="226">+MIN(MAX(0,$C786-AE$28),AE$29-AE$28)*AE$34
+MIN(MAX(0,$C786-AE$29),AE$30-AE$29)*AE$35
+MIN(MAX(0,$C786-AE$30),AE$31-AE$30)*AE$36
+MIN(MAX(0,$C786-AE$31),AE$32-AE$31)*AE$37
+MAX(0,$C786-AE$32)*AE$38
+AE$39</f>
        <v>729</v>
      </c>
      <c r="AF786" s="270">
        <f t="shared" si="226"/>
        <v>729</v>
      </c>
      <c r="AG786" s="270">
        <f t="shared" si="226"/>
        <v>729</v>
      </c>
      <c r="AH786" s="270">
        <f t="shared" si="226"/>
        <v>729</v>
      </c>
      <c r="AI786" s="270">
        <f t="shared" si="226"/>
        <v>729</v>
      </c>
      <c r="AJ786" s="270">
        <f t="shared" si="226"/>
        <v>729</v>
      </c>
      <c r="AK786" s="270">
        <f t="shared" si="226"/>
        <v>729</v>
      </c>
      <c r="AL786" s="270">
        <f t="shared" si="226"/>
        <v>729</v>
      </c>
      <c r="AM786" s="270">
        <f t="shared" si="226"/>
        <v>729</v>
      </c>
    </row>
    <row r="787" spans="2:39" ht="15.75" thickBot="1" x14ac:dyDescent="0.35">
      <c r="B787" s="56" t="str">
        <f>input_names!$E$3</f>
        <v>plug-in</v>
      </c>
      <c r="C787" s="61">
        <v>32</v>
      </c>
      <c r="D787" s="270">
        <f t="shared" si="224"/>
        <v>192</v>
      </c>
      <c r="E787" s="270">
        <f t="shared" si="224"/>
        <v>192</v>
      </c>
      <c r="F787" s="270">
        <f t="shared" si="224"/>
        <v>780</v>
      </c>
      <c r="G787" s="270">
        <f t="shared" si="224"/>
        <v>744</v>
      </c>
      <c r="H787" s="270">
        <f t="shared" si="224"/>
        <v>1036</v>
      </c>
      <c r="I787" s="270">
        <f t="shared" si="224"/>
        <v>1032</v>
      </c>
      <c r="J787" s="270">
        <f t="shared" si="224"/>
        <v>768</v>
      </c>
      <c r="K787" s="270">
        <f t="shared" si="224"/>
        <v>768</v>
      </c>
      <c r="L787" s="270">
        <f t="shared" si="224"/>
        <v>832</v>
      </c>
      <c r="M787" s="270">
        <f t="shared" si="224"/>
        <v>896</v>
      </c>
      <c r="N787" s="270">
        <f t="shared" si="224"/>
        <v>731</v>
      </c>
      <c r="O787" s="270">
        <f t="shared" si="224"/>
        <v>731</v>
      </c>
      <c r="P787" s="270">
        <f t="shared" si="224"/>
        <v>731</v>
      </c>
      <c r="Q787" s="270">
        <f t="shared" si="224"/>
        <v>731</v>
      </c>
      <c r="R787" s="270">
        <f t="shared" si="224"/>
        <v>731</v>
      </c>
      <c r="S787" s="270">
        <f t="shared" si="225"/>
        <v>731</v>
      </c>
      <c r="T787" s="270">
        <f t="shared" si="225"/>
        <v>731</v>
      </c>
      <c r="U787" s="270">
        <f t="shared" si="225"/>
        <v>731</v>
      </c>
      <c r="V787" s="270">
        <f t="shared" si="225"/>
        <v>731</v>
      </c>
      <c r="W787" s="270">
        <f t="shared" si="225"/>
        <v>731</v>
      </c>
      <c r="X787" s="270">
        <f t="shared" si="225"/>
        <v>731</v>
      </c>
      <c r="Y787" s="270">
        <f t="shared" si="225"/>
        <v>731</v>
      </c>
      <c r="Z787" s="270">
        <f t="shared" si="225"/>
        <v>731</v>
      </c>
      <c r="AA787" s="270">
        <f t="shared" si="225"/>
        <v>731</v>
      </c>
      <c r="AB787" s="270">
        <f t="shared" si="225"/>
        <v>731</v>
      </c>
      <c r="AC787" s="270">
        <f t="shared" si="225"/>
        <v>731</v>
      </c>
      <c r="AD787" s="270">
        <f t="shared" si="224"/>
        <v>731</v>
      </c>
      <c r="AE787" s="270">
        <f t="shared" si="226"/>
        <v>731</v>
      </c>
      <c r="AF787" s="270">
        <f t="shared" si="226"/>
        <v>731</v>
      </c>
      <c r="AG787" s="270">
        <f t="shared" si="226"/>
        <v>731</v>
      </c>
      <c r="AH787" s="270">
        <f t="shared" si="226"/>
        <v>731</v>
      </c>
      <c r="AI787" s="270">
        <f t="shared" si="226"/>
        <v>731</v>
      </c>
      <c r="AJ787" s="270">
        <f t="shared" si="226"/>
        <v>731</v>
      </c>
      <c r="AK787" s="270">
        <f t="shared" si="226"/>
        <v>731</v>
      </c>
      <c r="AL787" s="270">
        <f t="shared" si="226"/>
        <v>731</v>
      </c>
      <c r="AM787" s="270">
        <f t="shared" si="226"/>
        <v>731</v>
      </c>
    </row>
    <row r="788" spans="2:39" ht="15.75" thickBot="1" x14ac:dyDescent="0.35">
      <c r="B788" s="56" t="str">
        <f>input_names!$E$3</f>
        <v>plug-in</v>
      </c>
      <c r="C788" s="61">
        <v>33</v>
      </c>
      <c r="D788" s="270">
        <f t="shared" si="224"/>
        <v>198</v>
      </c>
      <c r="E788" s="270">
        <f t="shared" si="224"/>
        <v>198</v>
      </c>
      <c r="F788" s="270">
        <f t="shared" si="224"/>
        <v>870</v>
      </c>
      <c r="G788" s="270">
        <f t="shared" si="224"/>
        <v>831</v>
      </c>
      <c r="H788" s="270">
        <f t="shared" si="224"/>
        <v>1149</v>
      </c>
      <c r="I788" s="270">
        <f t="shared" si="224"/>
        <v>1143</v>
      </c>
      <c r="J788" s="270">
        <f t="shared" si="224"/>
        <v>792</v>
      </c>
      <c r="K788" s="270">
        <f t="shared" si="224"/>
        <v>792</v>
      </c>
      <c r="L788" s="270">
        <f t="shared" si="224"/>
        <v>858</v>
      </c>
      <c r="M788" s="270">
        <f t="shared" si="224"/>
        <v>924</v>
      </c>
      <c r="N788" s="270">
        <f t="shared" si="224"/>
        <v>733</v>
      </c>
      <c r="O788" s="270">
        <f t="shared" si="224"/>
        <v>733</v>
      </c>
      <c r="P788" s="270">
        <f t="shared" si="224"/>
        <v>733</v>
      </c>
      <c r="Q788" s="270">
        <f t="shared" si="224"/>
        <v>733</v>
      </c>
      <c r="R788" s="270">
        <f t="shared" si="224"/>
        <v>733</v>
      </c>
      <c r="S788" s="270">
        <f t="shared" si="225"/>
        <v>733</v>
      </c>
      <c r="T788" s="270">
        <f t="shared" si="225"/>
        <v>733</v>
      </c>
      <c r="U788" s="270">
        <f t="shared" si="225"/>
        <v>733</v>
      </c>
      <c r="V788" s="270">
        <f t="shared" si="225"/>
        <v>733</v>
      </c>
      <c r="W788" s="270">
        <f t="shared" si="225"/>
        <v>733</v>
      </c>
      <c r="X788" s="270">
        <f t="shared" si="225"/>
        <v>733</v>
      </c>
      <c r="Y788" s="270">
        <f t="shared" si="225"/>
        <v>733</v>
      </c>
      <c r="Z788" s="270">
        <f t="shared" si="225"/>
        <v>733</v>
      </c>
      <c r="AA788" s="270">
        <f t="shared" si="225"/>
        <v>733</v>
      </c>
      <c r="AB788" s="270">
        <f t="shared" si="225"/>
        <v>733</v>
      </c>
      <c r="AC788" s="270">
        <f t="shared" si="225"/>
        <v>733</v>
      </c>
      <c r="AD788" s="270">
        <f t="shared" si="224"/>
        <v>733</v>
      </c>
      <c r="AE788" s="270">
        <f t="shared" si="226"/>
        <v>733</v>
      </c>
      <c r="AF788" s="270">
        <f t="shared" si="226"/>
        <v>733</v>
      </c>
      <c r="AG788" s="270">
        <f t="shared" si="226"/>
        <v>733</v>
      </c>
      <c r="AH788" s="270">
        <f t="shared" si="226"/>
        <v>733</v>
      </c>
      <c r="AI788" s="270">
        <f t="shared" si="226"/>
        <v>733</v>
      </c>
      <c r="AJ788" s="270">
        <f t="shared" si="226"/>
        <v>733</v>
      </c>
      <c r="AK788" s="270">
        <f t="shared" si="226"/>
        <v>733</v>
      </c>
      <c r="AL788" s="270">
        <f t="shared" si="226"/>
        <v>733</v>
      </c>
      <c r="AM788" s="270">
        <f t="shared" si="226"/>
        <v>733</v>
      </c>
    </row>
    <row r="789" spans="2:39" ht="15.75" thickBot="1" x14ac:dyDescent="0.35">
      <c r="B789" s="56" t="str">
        <f>input_names!$E$3</f>
        <v>plug-in</v>
      </c>
      <c r="C789" s="61">
        <v>34</v>
      </c>
      <c r="D789" s="270">
        <f t="shared" si="224"/>
        <v>204</v>
      </c>
      <c r="E789" s="270">
        <f t="shared" si="224"/>
        <v>204</v>
      </c>
      <c r="F789" s="270">
        <f t="shared" si="224"/>
        <v>960</v>
      </c>
      <c r="G789" s="270">
        <f t="shared" si="224"/>
        <v>918</v>
      </c>
      <c r="H789" s="270">
        <f t="shared" si="224"/>
        <v>1262</v>
      </c>
      <c r="I789" s="270">
        <f t="shared" si="224"/>
        <v>1254</v>
      </c>
      <c r="J789" s="270">
        <f t="shared" si="224"/>
        <v>816</v>
      </c>
      <c r="K789" s="270">
        <f t="shared" si="224"/>
        <v>816</v>
      </c>
      <c r="L789" s="270">
        <f t="shared" si="224"/>
        <v>884</v>
      </c>
      <c r="M789" s="270">
        <f t="shared" si="224"/>
        <v>952</v>
      </c>
      <c r="N789" s="270">
        <f t="shared" si="224"/>
        <v>735</v>
      </c>
      <c r="O789" s="270">
        <f t="shared" si="224"/>
        <v>735</v>
      </c>
      <c r="P789" s="270">
        <f t="shared" si="224"/>
        <v>735</v>
      </c>
      <c r="Q789" s="270">
        <f t="shared" si="224"/>
        <v>735</v>
      </c>
      <c r="R789" s="270">
        <f t="shared" si="224"/>
        <v>735</v>
      </c>
      <c r="S789" s="270">
        <f t="shared" si="225"/>
        <v>735</v>
      </c>
      <c r="T789" s="270">
        <f t="shared" si="225"/>
        <v>735</v>
      </c>
      <c r="U789" s="270">
        <f t="shared" si="225"/>
        <v>735</v>
      </c>
      <c r="V789" s="270">
        <f t="shared" si="225"/>
        <v>735</v>
      </c>
      <c r="W789" s="270">
        <f t="shared" si="225"/>
        <v>735</v>
      </c>
      <c r="X789" s="270">
        <f t="shared" si="225"/>
        <v>735</v>
      </c>
      <c r="Y789" s="270">
        <f t="shared" si="225"/>
        <v>735</v>
      </c>
      <c r="Z789" s="270">
        <f t="shared" si="225"/>
        <v>735</v>
      </c>
      <c r="AA789" s="270">
        <f t="shared" si="225"/>
        <v>735</v>
      </c>
      <c r="AB789" s="270">
        <f t="shared" si="225"/>
        <v>735</v>
      </c>
      <c r="AC789" s="270">
        <f t="shared" si="225"/>
        <v>735</v>
      </c>
      <c r="AD789" s="270">
        <f t="shared" si="224"/>
        <v>735</v>
      </c>
      <c r="AE789" s="270">
        <f t="shared" si="226"/>
        <v>735</v>
      </c>
      <c r="AF789" s="270">
        <f t="shared" si="226"/>
        <v>735</v>
      </c>
      <c r="AG789" s="270">
        <f t="shared" si="226"/>
        <v>735</v>
      </c>
      <c r="AH789" s="270">
        <f t="shared" si="226"/>
        <v>735</v>
      </c>
      <c r="AI789" s="270">
        <f t="shared" si="226"/>
        <v>735</v>
      </c>
      <c r="AJ789" s="270">
        <f t="shared" si="226"/>
        <v>735</v>
      </c>
      <c r="AK789" s="270">
        <f t="shared" si="226"/>
        <v>735</v>
      </c>
      <c r="AL789" s="270">
        <f t="shared" si="226"/>
        <v>735</v>
      </c>
      <c r="AM789" s="270">
        <f t="shared" si="226"/>
        <v>735</v>
      </c>
    </row>
    <row r="790" spans="2:39" ht="15.75" thickBot="1" x14ac:dyDescent="0.35">
      <c r="B790" s="56" t="str">
        <f>input_names!$E$3</f>
        <v>plug-in</v>
      </c>
      <c r="C790" s="61">
        <v>35</v>
      </c>
      <c r="D790" s="270">
        <f t="shared" si="224"/>
        <v>210</v>
      </c>
      <c r="E790" s="270">
        <f t="shared" si="224"/>
        <v>210</v>
      </c>
      <c r="F790" s="270">
        <f t="shared" si="224"/>
        <v>1050</v>
      </c>
      <c r="G790" s="270">
        <f t="shared" si="224"/>
        <v>1005</v>
      </c>
      <c r="H790" s="270">
        <f t="shared" si="224"/>
        <v>1375</v>
      </c>
      <c r="I790" s="270">
        <f t="shared" si="224"/>
        <v>1365</v>
      </c>
      <c r="J790" s="270">
        <f t="shared" si="224"/>
        <v>900</v>
      </c>
      <c r="K790" s="270">
        <f t="shared" si="224"/>
        <v>901</v>
      </c>
      <c r="L790" s="270">
        <f t="shared" si="224"/>
        <v>975</v>
      </c>
      <c r="M790" s="270">
        <f t="shared" si="224"/>
        <v>1052</v>
      </c>
      <c r="N790" s="270">
        <f t="shared" si="224"/>
        <v>737</v>
      </c>
      <c r="O790" s="270">
        <f t="shared" si="224"/>
        <v>737</v>
      </c>
      <c r="P790" s="270">
        <f t="shared" si="224"/>
        <v>737</v>
      </c>
      <c r="Q790" s="270">
        <f t="shared" si="224"/>
        <v>737</v>
      </c>
      <c r="R790" s="270">
        <f t="shared" si="224"/>
        <v>737</v>
      </c>
      <c r="S790" s="270">
        <f t="shared" si="225"/>
        <v>737</v>
      </c>
      <c r="T790" s="270">
        <f t="shared" si="225"/>
        <v>737</v>
      </c>
      <c r="U790" s="270">
        <f t="shared" si="225"/>
        <v>737</v>
      </c>
      <c r="V790" s="270">
        <f t="shared" si="225"/>
        <v>737</v>
      </c>
      <c r="W790" s="270">
        <f t="shared" si="225"/>
        <v>737</v>
      </c>
      <c r="X790" s="270">
        <f t="shared" si="225"/>
        <v>737</v>
      </c>
      <c r="Y790" s="270">
        <f t="shared" si="225"/>
        <v>737</v>
      </c>
      <c r="Z790" s="270">
        <f t="shared" si="225"/>
        <v>737</v>
      </c>
      <c r="AA790" s="270">
        <f t="shared" si="225"/>
        <v>737</v>
      </c>
      <c r="AB790" s="270">
        <f t="shared" si="225"/>
        <v>737</v>
      </c>
      <c r="AC790" s="270">
        <f t="shared" si="225"/>
        <v>737</v>
      </c>
      <c r="AD790" s="270">
        <f t="shared" si="224"/>
        <v>737</v>
      </c>
      <c r="AE790" s="270">
        <f t="shared" si="226"/>
        <v>737</v>
      </c>
      <c r="AF790" s="270">
        <f t="shared" si="226"/>
        <v>737</v>
      </c>
      <c r="AG790" s="270">
        <f t="shared" si="226"/>
        <v>737</v>
      </c>
      <c r="AH790" s="270">
        <f t="shared" si="226"/>
        <v>737</v>
      </c>
      <c r="AI790" s="270">
        <f t="shared" si="226"/>
        <v>737</v>
      </c>
      <c r="AJ790" s="270">
        <f t="shared" si="226"/>
        <v>737</v>
      </c>
      <c r="AK790" s="270">
        <f t="shared" si="226"/>
        <v>737</v>
      </c>
      <c r="AL790" s="270">
        <f t="shared" si="226"/>
        <v>737</v>
      </c>
      <c r="AM790" s="270">
        <f t="shared" si="226"/>
        <v>737</v>
      </c>
    </row>
    <row r="791" spans="2:39" ht="15.75" thickBot="1" x14ac:dyDescent="0.35">
      <c r="B791" s="56" t="str">
        <f>input_names!$E$3</f>
        <v>plug-in</v>
      </c>
      <c r="C791" s="61">
        <v>36</v>
      </c>
      <c r="D791" s="270">
        <f t="shared" si="224"/>
        <v>216</v>
      </c>
      <c r="E791" s="270">
        <f t="shared" si="224"/>
        <v>216</v>
      </c>
      <c r="F791" s="270">
        <f t="shared" si="224"/>
        <v>1140</v>
      </c>
      <c r="G791" s="270">
        <f t="shared" si="224"/>
        <v>1092</v>
      </c>
      <c r="H791" s="270">
        <f t="shared" si="224"/>
        <v>1488</v>
      </c>
      <c r="I791" s="270">
        <f t="shared" si="224"/>
        <v>1476</v>
      </c>
      <c r="J791" s="270">
        <f t="shared" si="224"/>
        <v>984</v>
      </c>
      <c r="K791" s="270">
        <f t="shared" si="224"/>
        <v>986</v>
      </c>
      <c r="L791" s="270">
        <f t="shared" si="224"/>
        <v>1066</v>
      </c>
      <c r="M791" s="270">
        <f t="shared" si="224"/>
        <v>1152</v>
      </c>
      <c r="N791" s="270">
        <f t="shared" si="224"/>
        <v>739</v>
      </c>
      <c r="O791" s="270">
        <f t="shared" si="224"/>
        <v>739</v>
      </c>
      <c r="P791" s="270">
        <f t="shared" si="224"/>
        <v>739</v>
      </c>
      <c r="Q791" s="270">
        <f t="shared" si="224"/>
        <v>739</v>
      </c>
      <c r="R791" s="270">
        <f t="shared" si="224"/>
        <v>739</v>
      </c>
      <c r="S791" s="270">
        <f t="shared" si="225"/>
        <v>739</v>
      </c>
      <c r="T791" s="270">
        <f t="shared" si="225"/>
        <v>739</v>
      </c>
      <c r="U791" s="270">
        <f t="shared" si="225"/>
        <v>739</v>
      </c>
      <c r="V791" s="270">
        <f t="shared" si="225"/>
        <v>739</v>
      </c>
      <c r="W791" s="270">
        <f t="shared" si="225"/>
        <v>739</v>
      </c>
      <c r="X791" s="270">
        <f t="shared" si="225"/>
        <v>739</v>
      </c>
      <c r="Y791" s="270">
        <f t="shared" si="225"/>
        <v>739</v>
      </c>
      <c r="Z791" s="270">
        <f t="shared" si="225"/>
        <v>739</v>
      </c>
      <c r="AA791" s="270">
        <f t="shared" si="225"/>
        <v>739</v>
      </c>
      <c r="AB791" s="270">
        <f t="shared" si="225"/>
        <v>739</v>
      </c>
      <c r="AC791" s="270">
        <f t="shared" si="225"/>
        <v>739</v>
      </c>
      <c r="AD791" s="270">
        <f t="shared" si="224"/>
        <v>739</v>
      </c>
      <c r="AE791" s="270">
        <f t="shared" si="226"/>
        <v>739</v>
      </c>
      <c r="AF791" s="270">
        <f t="shared" si="226"/>
        <v>739</v>
      </c>
      <c r="AG791" s="270">
        <f t="shared" si="226"/>
        <v>739</v>
      </c>
      <c r="AH791" s="270">
        <f t="shared" si="226"/>
        <v>739</v>
      </c>
      <c r="AI791" s="270">
        <f t="shared" si="226"/>
        <v>739</v>
      </c>
      <c r="AJ791" s="270">
        <f t="shared" si="226"/>
        <v>739</v>
      </c>
      <c r="AK791" s="270">
        <f t="shared" si="226"/>
        <v>739</v>
      </c>
      <c r="AL791" s="270">
        <f t="shared" si="226"/>
        <v>739</v>
      </c>
      <c r="AM791" s="270">
        <f t="shared" si="226"/>
        <v>739</v>
      </c>
    </row>
    <row r="792" spans="2:39" ht="15.75" thickBot="1" x14ac:dyDescent="0.35">
      <c r="B792" s="56" t="str">
        <f>input_names!$E$3</f>
        <v>plug-in</v>
      </c>
      <c r="C792" s="61">
        <v>37</v>
      </c>
      <c r="D792" s="270">
        <f t="shared" si="224"/>
        <v>222</v>
      </c>
      <c r="E792" s="270">
        <f t="shared" si="224"/>
        <v>222</v>
      </c>
      <c r="F792" s="270">
        <f t="shared" si="224"/>
        <v>1230</v>
      </c>
      <c r="G792" s="270">
        <f t="shared" si="224"/>
        <v>1179</v>
      </c>
      <c r="H792" s="270">
        <f t="shared" si="224"/>
        <v>1601</v>
      </c>
      <c r="I792" s="270">
        <f t="shared" si="224"/>
        <v>1587</v>
      </c>
      <c r="J792" s="270">
        <f t="shared" si="224"/>
        <v>1068</v>
      </c>
      <c r="K792" s="270">
        <f t="shared" si="224"/>
        <v>1071</v>
      </c>
      <c r="L792" s="270">
        <f t="shared" si="224"/>
        <v>1157</v>
      </c>
      <c r="M792" s="270">
        <f t="shared" si="224"/>
        <v>1252</v>
      </c>
      <c r="N792" s="270">
        <f t="shared" si="224"/>
        <v>741</v>
      </c>
      <c r="O792" s="270">
        <f t="shared" si="224"/>
        <v>741</v>
      </c>
      <c r="P792" s="270">
        <f t="shared" si="224"/>
        <v>741</v>
      </c>
      <c r="Q792" s="270">
        <f t="shared" si="224"/>
        <v>741</v>
      </c>
      <c r="R792" s="270">
        <f t="shared" si="224"/>
        <v>741</v>
      </c>
      <c r="S792" s="270">
        <f t="shared" si="225"/>
        <v>741</v>
      </c>
      <c r="T792" s="270">
        <f t="shared" si="225"/>
        <v>741</v>
      </c>
      <c r="U792" s="270">
        <f t="shared" si="225"/>
        <v>741</v>
      </c>
      <c r="V792" s="270">
        <f t="shared" si="225"/>
        <v>741</v>
      </c>
      <c r="W792" s="270">
        <f t="shared" si="225"/>
        <v>741</v>
      </c>
      <c r="X792" s="270">
        <f t="shared" si="225"/>
        <v>741</v>
      </c>
      <c r="Y792" s="270">
        <f t="shared" si="225"/>
        <v>741</v>
      </c>
      <c r="Z792" s="270">
        <f t="shared" si="225"/>
        <v>741</v>
      </c>
      <c r="AA792" s="270">
        <f t="shared" si="225"/>
        <v>741</v>
      </c>
      <c r="AB792" s="270">
        <f t="shared" si="225"/>
        <v>741</v>
      </c>
      <c r="AC792" s="270">
        <f t="shared" si="225"/>
        <v>741</v>
      </c>
      <c r="AD792" s="270">
        <f t="shared" si="224"/>
        <v>741</v>
      </c>
      <c r="AE792" s="270">
        <f t="shared" si="226"/>
        <v>741</v>
      </c>
      <c r="AF792" s="270">
        <f t="shared" si="226"/>
        <v>741</v>
      </c>
      <c r="AG792" s="270">
        <f t="shared" si="226"/>
        <v>741</v>
      </c>
      <c r="AH792" s="270">
        <f t="shared" si="226"/>
        <v>741</v>
      </c>
      <c r="AI792" s="270">
        <f t="shared" si="226"/>
        <v>741</v>
      </c>
      <c r="AJ792" s="270">
        <f t="shared" si="226"/>
        <v>741</v>
      </c>
      <c r="AK792" s="270">
        <f t="shared" si="226"/>
        <v>741</v>
      </c>
      <c r="AL792" s="270">
        <f t="shared" si="226"/>
        <v>741</v>
      </c>
      <c r="AM792" s="270">
        <f t="shared" si="226"/>
        <v>741</v>
      </c>
    </row>
    <row r="793" spans="2:39" ht="15.75" thickBot="1" x14ac:dyDescent="0.35">
      <c r="B793" s="56" t="str">
        <f>input_names!$E$3</f>
        <v>plug-in</v>
      </c>
      <c r="C793" s="61">
        <v>38</v>
      </c>
      <c r="D793" s="270">
        <f t="shared" si="224"/>
        <v>228</v>
      </c>
      <c r="E793" s="270">
        <f t="shared" si="224"/>
        <v>228</v>
      </c>
      <c r="F793" s="270">
        <f t="shared" si="224"/>
        <v>1320</v>
      </c>
      <c r="G793" s="270">
        <f t="shared" si="224"/>
        <v>1266</v>
      </c>
      <c r="H793" s="270">
        <f t="shared" si="224"/>
        <v>1714</v>
      </c>
      <c r="I793" s="270">
        <f t="shared" si="224"/>
        <v>1698</v>
      </c>
      <c r="J793" s="270">
        <f t="shared" si="224"/>
        <v>1152</v>
      </c>
      <c r="K793" s="270">
        <f t="shared" si="224"/>
        <v>1156</v>
      </c>
      <c r="L793" s="270">
        <f t="shared" si="224"/>
        <v>1248</v>
      </c>
      <c r="M793" s="270">
        <f t="shared" si="224"/>
        <v>1352</v>
      </c>
      <c r="N793" s="270">
        <f t="shared" si="224"/>
        <v>743</v>
      </c>
      <c r="O793" s="270">
        <f t="shared" si="224"/>
        <v>743</v>
      </c>
      <c r="P793" s="270">
        <f t="shared" si="224"/>
        <v>743</v>
      </c>
      <c r="Q793" s="270">
        <f t="shared" si="224"/>
        <v>743</v>
      </c>
      <c r="R793" s="270">
        <f t="shared" si="224"/>
        <v>743</v>
      </c>
      <c r="S793" s="270">
        <f t="shared" si="225"/>
        <v>743</v>
      </c>
      <c r="T793" s="270">
        <f t="shared" si="225"/>
        <v>743</v>
      </c>
      <c r="U793" s="270">
        <f t="shared" si="225"/>
        <v>743</v>
      </c>
      <c r="V793" s="270">
        <f t="shared" si="225"/>
        <v>743</v>
      </c>
      <c r="W793" s="270">
        <f t="shared" si="225"/>
        <v>743</v>
      </c>
      <c r="X793" s="270">
        <f t="shared" si="225"/>
        <v>743</v>
      </c>
      <c r="Y793" s="270">
        <f t="shared" si="225"/>
        <v>743</v>
      </c>
      <c r="Z793" s="270">
        <f t="shared" si="225"/>
        <v>743</v>
      </c>
      <c r="AA793" s="270">
        <f t="shared" si="225"/>
        <v>743</v>
      </c>
      <c r="AB793" s="270">
        <f t="shared" si="225"/>
        <v>743</v>
      </c>
      <c r="AC793" s="270">
        <f t="shared" si="225"/>
        <v>743</v>
      </c>
      <c r="AD793" s="270">
        <f t="shared" si="224"/>
        <v>743</v>
      </c>
      <c r="AE793" s="270">
        <f t="shared" si="226"/>
        <v>743</v>
      </c>
      <c r="AF793" s="270">
        <f t="shared" si="226"/>
        <v>743</v>
      </c>
      <c r="AG793" s="270">
        <f t="shared" si="226"/>
        <v>743</v>
      </c>
      <c r="AH793" s="270">
        <f t="shared" si="226"/>
        <v>743</v>
      </c>
      <c r="AI793" s="270">
        <f t="shared" si="226"/>
        <v>743</v>
      </c>
      <c r="AJ793" s="270">
        <f t="shared" si="226"/>
        <v>743</v>
      </c>
      <c r="AK793" s="270">
        <f t="shared" si="226"/>
        <v>743</v>
      </c>
      <c r="AL793" s="270">
        <f t="shared" si="226"/>
        <v>743</v>
      </c>
      <c r="AM793" s="270">
        <f t="shared" si="226"/>
        <v>743</v>
      </c>
    </row>
    <row r="794" spans="2:39" ht="15.75" thickBot="1" x14ac:dyDescent="0.35">
      <c r="B794" s="56" t="str">
        <f>input_names!$E$3</f>
        <v>plug-in</v>
      </c>
      <c r="C794" s="61">
        <v>39</v>
      </c>
      <c r="D794" s="270">
        <f t="shared" si="224"/>
        <v>234</v>
      </c>
      <c r="E794" s="270">
        <f t="shared" si="224"/>
        <v>234</v>
      </c>
      <c r="F794" s="270">
        <f t="shared" si="224"/>
        <v>1410</v>
      </c>
      <c r="G794" s="270">
        <f t="shared" si="224"/>
        <v>1353</v>
      </c>
      <c r="H794" s="270">
        <f t="shared" si="224"/>
        <v>1827</v>
      </c>
      <c r="I794" s="270">
        <f t="shared" si="224"/>
        <v>1809</v>
      </c>
      <c r="J794" s="270">
        <f t="shared" si="224"/>
        <v>1236</v>
      </c>
      <c r="K794" s="270">
        <f t="shared" si="224"/>
        <v>1241</v>
      </c>
      <c r="L794" s="270">
        <f t="shared" si="224"/>
        <v>1339</v>
      </c>
      <c r="M794" s="270">
        <f t="shared" si="224"/>
        <v>1452</v>
      </c>
      <c r="N794" s="270">
        <f t="shared" si="224"/>
        <v>745</v>
      </c>
      <c r="O794" s="270">
        <f t="shared" si="224"/>
        <v>745</v>
      </c>
      <c r="P794" s="270">
        <f t="shared" si="224"/>
        <v>745</v>
      </c>
      <c r="Q794" s="270">
        <f t="shared" si="224"/>
        <v>745</v>
      </c>
      <c r="R794" s="270">
        <f t="shared" si="224"/>
        <v>745</v>
      </c>
      <c r="S794" s="270">
        <f t="shared" si="225"/>
        <v>745</v>
      </c>
      <c r="T794" s="270">
        <f t="shared" si="225"/>
        <v>745</v>
      </c>
      <c r="U794" s="270">
        <f t="shared" si="225"/>
        <v>745</v>
      </c>
      <c r="V794" s="270">
        <f t="shared" si="225"/>
        <v>745</v>
      </c>
      <c r="W794" s="270">
        <f t="shared" si="225"/>
        <v>745</v>
      </c>
      <c r="X794" s="270">
        <f t="shared" si="225"/>
        <v>745</v>
      </c>
      <c r="Y794" s="270">
        <f t="shared" si="225"/>
        <v>745</v>
      </c>
      <c r="Z794" s="270">
        <f t="shared" si="225"/>
        <v>745</v>
      </c>
      <c r="AA794" s="270">
        <f t="shared" si="225"/>
        <v>745</v>
      </c>
      <c r="AB794" s="270">
        <f t="shared" si="225"/>
        <v>745</v>
      </c>
      <c r="AC794" s="270">
        <f t="shared" si="225"/>
        <v>745</v>
      </c>
      <c r="AD794" s="270">
        <f t="shared" si="224"/>
        <v>745</v>
      </c>
      <c r="AE794" s="270">
        <f t="shared" si="226"/>
        <v>745</v>
      </c>
      <c r="AF794" s="270">
        <f t="shared" si="226"/>
        <v>745</v>
      </c>
      <c r="AG794" s="270">
        <f t="shared" si="226"/>
        <v>745</v>
      </c>
      <c r="AH794" s="270">
        <f t="shared" si="226"/>
        <v>745</v>
      </c>
      <c r="AI794" s="270">
        <f t="shared" si="226"/>
        <v>745</v>
      </c>
      <c r="AJ794" s="270">
        <f t="shared" si="226"/>
        <v>745</v>
      </c>
      <c r="AK794" s="270">
        <f t="shared" si="226"/>
        <v>745</v>
      </c>
      <c r="AL794" s="270">
        <f t="shared" si="226"/>
        <v>745</v>
      </c>
      <c r="AM794" s="270">
        <f t="shared" si="226"/>
        <v>745</v>
      </c>
    </row>
    <row r="795" spans="2:39" ht="15.75" thickBot="1" x14ac:dyDescent="0.35">
      <c r="B795" s="56" t="str">
        <f>input_names!$E$3</f>
        <v>plug-in</v>
      </c>
      <c r="C795" s="61">
        <v>40</v>
      </c>
      <c r="D795" s="270">
        <f t="shared" si="224"/>
        <v>240</v>
      </c>
      <c r="E795" s="270">
        <f t="shared" si="224"/>
        <v>240</v>
      </c>
      <c r="F795" s="270">
        <f t="shared" si="224"/>
        <v>1500</v>
      </c>
      <c r="G795" s="270">
        <f t="shared" si="224"/>
        <v>1440</v>
      </c>
      <c r="H795" s="270">
        <f t="shared" si="224"/>
        <v>1940</v>
      </c>
      <c r="I795" s="270">
        <f t="shared" si="224"/>
        <v>1920</v>
      </c>
      <c r="J795" s="270">
        <f t="shared" si="224"/>
        <v>1320</v>
      </c>
      <c r="K795" s="270">
        <f t="shared" si="224"/>
        <v>1326</v>
      </c>
      <c r="L795" s="270">
        <f t="shared" si="224"/>
        <v>1430</v>
      </c>
      <c r="M795" s="270">
        <f t="shared" si="224"/>
        <v>1552</v>
      </c>
      <c r="N795" s="270">
        <f t="shared" si="224"/>
        <v>747</v>
      </c>
      <c r="O795" s="270">
        <f t="shared" si="224"/>
        <v>747</v>
      </c>
      <c r="P795" s="270">
        <f t="shared" si="224"/>
        <v>747</v>
      </c>
      <c r="Q795" s="270">
        <f t="shared" si="224"/>
        <v>747</v>
      </c>
      <c r="R795" s="270">
        <f t="shared" si="224"/>
        <v>747</v>
      </c>
      <c r="S795" s="270">
        <f t="shared" si="225"/>
        <v>747</v>
      </c>
      <c r="T795" s="270">
        <f t="shared" si="225"/>
        <v>747</v>
      </c>
      <c r="U795" s="270">
        <f t="shared" si="225"/>
        <v>747</v>
      </c>
      <c r="V795" s="270">
        <f t="shared" si="225"/>
        <v>747</v>
      </c>
      <c r="W795" s="270">
        <f t="shared" si="225"/>
        <v>747</v>
      </c>
      <c r="X795" s="270">
        <f t="shared" si="225"/>
        <v>747</v>
      </c>
      <c r="Y795" s="270">
        <f t="shared" si="225"/>
        <v>747</v>
      </c>
      <c r="Z795" s="270">
        <f t="shared" si="225"/>
        <v>747</v>
      </c>
      <c r="AA795" s="270">
        <f t="shared" si="225"/>
        <v>747</v>
      </c>
      <c r="AB795" s="270">
        <f t="shared" si="225"/>
        <v>747</v>
      </c>
      <c r="AC795" s="270">
        <f t="shared" si="225"/>
        <v>747</v>
      </c>
      <c r="AD795" s="270">
        <f t="shared" si="224"/>
        <v>747</v>
      </c>
      <c r="AE795" s="270">
        <f t="shared" si="226"/>
        <v>747</v>
      </c>
      <c r="AF795" s="270">
        <f t="shared" si="226"/>
        <v>747</v>
      </c>
      <c r="AG795" s="270">
        <f t="shared" si="226"/>
        <v>747</v>
      </c>
      <c r="AH795" s="270">
        <f t="shared" si="226"/>
        <v>747</v>
      </c>
      <c r="AI795" s="270">
        <f t="shared" si="226"/>
        <v>747</v>
      </c>
      <c r="AJ795" s="270">
        <f t="shared" si="226"/>
        <v>747</v>
      </c>
      <c r="AK795" s="270">
        <f t="shared" si="226"/>
        <v>747</v>
      </c>
      <c r="AL795" s="270">
        <f t="shared" si="226"/>
        <v>747</v>
      </c>
      <c r="AM795" s="270">
        <f t="shared" si="226"/>
        <v>747</v>
      </c>
    </row>
    <row r="796" spans="2:39" ht="15.75" thickBot="1" x14ac:dyDescent="0.35">
      <c r="B796" s="56" t="str">
        <f>input_names!$E$3</f>
        <v>plug-in</v>
      </c>
      <c r="C796" s="61">
        <v>41</v>
      </c>
      <c r="D796" s="270">
        <f t="shared" si="224"/>
        <v>246</v>
      </c>
      <c r="E796" s="270">
        <f t="shared" si="224"/>
        <v>246</v>
      </c>
      <c r="F796" s="270">
        <f t="shared" si="224"/>
        <v>1590</v>
      </c>
      <c r="G796" s="270">
        <f t="shared" si="224"/>
        <v>1527</v>
      </c>
      <c r="H796" s="270">
        <f t="shared" si="224"/>
        <v>2053</v>
      </c>
      <c r="I796" s="270">
        <f t="shared" si="224"/>
        <v>2031</v>
      </c>
      <c r="J796" s="270">
        <f t="shared" si="224"/>
        <v>1404</v>
      </c>
      <c r="K796" s="270">
        <f t="shared" si="224"/>
        <v>1411</v>
      </c>
      <c r="L796" s="270">
        <f t="shared" si="224"/>
        <v>1521</v>
      </c>
      <c r="M796" s="270">
        <f t="shared" si="224"/>
        <v>1652</v>
      </c>
      <c r="N796" s="270">
        <f t="shared" si="224"/>
        <v>749</v>
      </c>
      <c r="O796" s="270">
        <f t="shared" si="224"/>
        <v>749</v>
      </c>
      <c r="P796" s="270">
        <f t="shared" si="224"/>
        <v>749</v>
      </c>
      <c r="Q796" s="270">
        <f t="shared" si="224"/>
        <v>749</v>
      </c>
      <c r="R796" s="270">
        <f t="shared" si="224"/>
        <v>749</v>
      </c>
      <c r="S796" s="270">
        <f t="shared" si="225"/>
        <v>749</v>
      </c>
      <c r="T796" s="270">
        <f t="shared" si="225"/>
        <v>749</v>
      </c>
      <c r="U796" s="270">
        <f t="shared" si="225"/>
        <v>749</v>
      </c>
      <c r="V796" s="270">
        <f t="shared" si="225"/>
        <v>749</v>
      </c>
      <c r="W796" s="270">
        <f t="shared" si="225"/>
        <v>749</v>
      </c>
      <c r="X796" s="270">
        <f t="shared" si="225"/>
        <v>749</v>
      </c>
      <c r="Y796" s="270">
        <f t="shared" si="225"/>
        <v>749</v>
      </c>
      <c r="Z796" s="270">
        <f t="shared" si="225"/>
        <v>749</v>
      </c>
      <c r="AA796" s="270">
        <f t="shared" si="225"/>
        <v>749</v>
      </c>
      <c r="AB796" s="270">
        <f t="shared" si="225"/>
        <v>749</v>
      </c>
      <c r="AC796" s="270">
        <f t="shared" si="225"/>
        <v>749</v>
      </c>
      <c r="AD796" s="270">
        <f t="shared" si="224"/>
        <v>749</v>
      </c>
      <c r="AE796" s="270">
        <f t="shared" si="226"/>
        <v>749</v>
      </c>
      <c r="AF796" s="270">
        <f t="shared" si="226"/>
        <v>749</v>
      </c>
      <c r="AG796" s="270">
        <f t="shared" si="226"/>
        <v>749</v>
      </c>
      <c r="AH796" s="270">
        <f t="shared" si="226"/>
        <v>749</v>
      </c>
      <c r="AI796" s="270">
        <f t="shared" si="226"/>
        <v>749</v>
      </c>
      <c r="AJ796" s="270">
        <f t="shared" si="226"/>
        <v>749</v>
      </c>
      <c r="AK796" s="270">
        <f t="shared" si="226"/>
        <v>749</v>
      </c>
      <c r="AL796" s="270">
        <f t="shared" si="226"/>
        <v>749</v>
      </c>
      <c r="AM796" s="270">
        <f t="shared" si="226"/>
        <v>749</v>
      </c>
    </row>
    <row r="797" spans="2:39" ht="15.75" thickBot="1" x14ac:dyDescent="0.35">
      <c r="B797" s="56" t="str">
        <f>input_names!$E$3</f>
        <v>plug-in</v>
      </c>
      <c r="C797" s="61">
        <v>42</v>
      </c>
      <c r="D797" s="270">
        <f t="shared" si="224"/>
        <v>252</v>
      </c>
      <c r="E797" s="270">
        <f t="shared" si="224"/>
        <v>252</v>
      </c>
      <c r="F797" s="270">
        <f t="shared" si="224"/>
        <v>1680</v>
      </c>
      <c r="G797" s="270">
        <f t="shared" si="224"/>
        <v>1614</v>
      </c>
      <c r="H797" s="270">
        <f t="shared" si="224"/>
        <v>2166</v>
      </c>
      <c r="I797" s="270">
        <f t="shared" si="224"/>
        <v>2142</v>
      </c>
      <c r="J797" s="270">
        <f t="shared" si="224"/>
        <v>1488</v>
      </c>
      <c r="K797" s="270">
        <f t="shared" si="224"/>
        <v>1496</v>
      </c>
      <c r="L797" s="270">
        <f t="shared" si="224"/>
        <v>1612</v>
      </c>
      <c r="M797" s="270">
        <f t="shared" si="224"/>
        <v>1752</v>
      </c>
      <c r="N797" s="270">
        <f t="shared" si="224"/>
        <v>751</v>
      </c>
      <c r="O797" s="270">
        <f t="shared" si="224"/>
        <v>751</v>
      </c>
      <c r="P797" s="270">
        <f t="shared" si="224"/>
        <v>751</v>
      </c>
      <c r="Q797" s="270">
        <f t="shared" si="224"/>
        <v>751</v>
      </c>
      <c r="R797" s="270">
        <f t="shared" si="224"/>
        <v>751</v>
      </c>
      <c r="S797" s="270">
        <f t="shared" si="225"/>
        <v>751</v>
      </c>
      <c r="T797" s="270">
        <f t="shared" si="225"/>
        <v>751</v>
      </c>
      <c r="U797" s="270">
        <f t="shared" si="225"/>
        <v>751</v>
      </c>
      <c r="V797" s="270">
        <f t="shared" si="225"/>
        <v>751</v>
      </c>
      <c r="W797" s="270">
        <f t="shared" si="225"/>
        <v>751</v>
      </c>
      <c r="X797" s="270">
        <f t="shared" si="225"/>
        <v>751</v>
      </c>
      <c r="Y797" s="270">
        <f t="shared" si="225"/>
        <v>751</v>
      </c>
      <c r="Z797" s="270">
        <f t="shared" si="225"/>
        <v>751</v>
      </c>
      <c r="AA797" s="270">
        <f t="shared" si="225"/>
        <v>751</v>
      </c>
      <c r="AB797" s="270">
        <f t="shared" si="225"/>
        <v>751</v>
      </c>
      <c r="AC797" s="270">
        <f t="shared" si="225"/>
        <v>751</v>
      </c>
      <c r="AD797" s="270">
        <f t="shared" si="224"/>
        <v>751</v>
      </c>
      <c r="AE797" s="270">
        <f t="shared" si="226"/>
        <v>751</v>
      </c>
      <c r="AF797" s="270">
        <f t="shared" si="226"/>
        <v>751</v>
      </c>
      <c r="AG797" s="270">
        <f t="shared" si="226"/>
        <v>751</v>
      </c>
      <c r="AH797" s="270">
        <f t="shared" si="226"/>
        <v>751</v>
      </c>
      <c r="AI797" s="270">
        <f t="shared" si="226"/>
        <v>751</v>
      </c>
      <c r="AJ797" s="270">
        <f t="shared" si="226"/>
        <v>751</v>
      </c>
      <c r="AK797" s="270">
        <f t="shared" si="226"/>
        <v>751</v>
      </c>
      <c r="AL797" s="270">
        <f t="shared" si="226"/>
        <v>751</v>
      </c>
      <c r="AM797" s="270">
        <f t="shared" si="226"/>
        <v>751</v>
      </c>
    </row>
    <row r="798" spans="2:39" ht="15.75" thickBot="1" x14ac:dyDescent="0.35">
      <c r="B798" s="56" t="str">
        <f>input_names!$E$3</f>
        <v>plug-in</v>
      </c>
      <c r="C798" s="61">
        <v>43</v>
      </c>
      <c r="D798" s="270">
        <f t="shared" si="224"/>
        <v>258</v>
      </c>
      <c r="E798" s="270">
        <f t="shared" si="224"/>
        <v>258</v>
      </c>
      <c r="F798" s="270">
        <f t="shared" si="224"/>
        <v>1770</v>
      </c>
      <c r="G798" s="270">
        <f t="shared" si="224"/>
        <v>1701</v>
      </c>
      <c r="H798" s="270">
        <f t="shared" si="224"/>
        <v>2279</v>
      </c>
      <c r="I798" s="270">
        <f t="shared" si="224"/>
        <v>2253</v>
      </c>
      <c r="J798" s="270">
        <f t="shared" si="224"/>
        <v>1572</v>
      </c>
      <c r="K798" s="270">
        <f t="shared" si="224"/>
        <v>1581</v>
      </c>
      <c r="L798" s="270">
        <f t="shared" si="224"/>
        <v>1703</v>
      </c>
      <c r="M798" s="270">
        <f t="shared" si="224"/>
        <v>1852</v>
      </c>
      <c r="N798" s="270">
        <f t="shared" si="224"/>
        <v>753</v>
      </c>
      <c r="O798" s="270">
        <f t="shared" si="224"/>
        <v>753</v>
      </c>
      <c r="P798" s="270">
        <f t="shared" si="224"/>
        <v>753</v>
      </c>
      <c r="Q798" s="270">
        <f t="shared" si="224"/>
        <v>753</v>
      </c>
      <c r="R798" s="270">
        <f t="shared" si="224"/>
        <v>753</v>
      </c>
      <c r="S798" s="270">
        <f t="shared" si="225"/>
        <v>753</v>
      </c>
      <c r="T798" s="270">
        <f t="shared" si="225"/>
        <v>753</v>
      </c>
      <c r="U798" s="270">
        <f t="shared" si="225"/>
        <v>753</v>
      </c>
      <c r="V798" s="270">
        <f t="shared" si="225"/>
        <v>753</v>
      </c>
      <c r="W798" s="270">
        <f t="shared" si="225"/>
        <v>753</v>
      </c>
      <c r="X798" s="270">
        <f t="shared" si="225"/>
        <v>753</v>
      </c>
      <c r="Y798" s="270">
        <f t="shared" si="225"/>
        <v>753</v>
      </c>
      <c r="Z798" s="270">
        <f t="shared" si="225"/>
        <v>753</v>
      </c>
      <c r="AA798" s="270">
        <f t="shared" si="225"/>
        <v>753</v>
      </c>
      <c r="AB798" s="270">
        <f t="shared" si="225"/>
        <v>753</v>
      </c>
      <c r="AC798" s="270">
        <f t="shared" si="225"/>
        <v>753</v>
      </c>
      <c r="AD798" s="270">
        <f t="shared" si="224"/>
        <v>753</v>
      </c>
      <c r="AE798" s="270">
        <f t="shared" si="226"/>
        <v>753</v>
      </c>
      <c r="AF798" s="270">
        <f t="shared" si="226"/>
        <v>753</v>
      </c>
      <c r="AG798" s="270">
        <f t="shared" si="226"/>
        <v>753</v>
      </c>
      <c r="AH798" s="270">
        <f t="shared" si="226"/>
        <v>753</v>
      </c>
      <c r="AI798" s="270">
        <f t="shared" si="226"/>
        <v>753</v>
      </c>
      <c r="AJ798" s="270">
        <f t="shared" si="226"/>
        <v>753</v>
      </c>
      <c r="AK798" s="270">
        <f t="shared" si="226"/>
        <v>753</v>
      </c>
      <c r="AL798" s="270">
        <f t="shared" si="226"/>
        <v>753</v>
      </c>
      <c r="AM798" s="270">
        <f t="shared" si="226"/>
        <v>753</v>
      </c>
    </row>
    <row r="799" spans="2:39" ht="15.75" thickBot="1" x14ac:dyDescent="0.35">
      <c r="B799" s="56" t="str">
        <f>input_names!$E$3</f>
        <v>plug-in</v>
      </c>
      <c r="C799" s="61">
        <v>44</v>
      </c>
      <c r="D799" s="270">
        <f t="shared" si="224"/>
        <v>264</v>
      </c>
      <c r="E799" s="270">
        <f t="shared" si="224"/>
        <v>264</v>
      </c>
      <c r="F799" s="270">
        <f t="shared" si="224"/>
        <v>1860</v>
      </c>
      <c r="G799" s="270">
        <f t="shared" si="224"/>
        <v>1788</v>
      </c>
      <c r="H799" s="270">
        <f t="shared" si="224"/>
        <v>2392</v>
      </c>
      <c r="I799" s="270">
        <f t="shared" si="224"/>
        <v>2364</v>
      </c>
      <c r="J799" s="270">
        <f t="shared" si="224"/>
        <v>1656</v>
      </c>
      <c r="K799" s="270">
        <f t="shared" si="224"/>
        <v>1666</v>
      </c>
      <c r="L799" s="270">
        <f t="shared" si="224"/>
        <v>1794</v>
      </c>
      <c r="M799" s="270">
        <f t="shared" si="224"/>
        <v>1952</v>
      </c>
      <c r="N799" s="270">
        <f t="shared" si="224"/>
        <v>755</v>
      </c>
      <c r="O799" s="270">
        <f t="shared" si="224"/>
        <v>755</v>
      </c>
      <c r="P799" s="270">
        <f t="shared" si="224"/>
        <v>755</v>
      </c>
      <c r="Q799" s="270">
        <f t="shared" si="224"/>
        <v>755</v>
      </c>
      <c r="R799" s="270">
        <f t="shared" si="224"/>
        <v>755</v>
      </c>
      <c r="S799" s="270">
        <f t="shared" si="225"/>
        <v>755</v>
      </c>
      <c r="T799" s="270">
        <f t="shared" si="225"/>
        <v>755</v>
      </c>
      <c r="U799" s="270">
        <f t="shared" si="225"/>
        <v>755</v>
      </c>
      <c r="V799" s="270">
        <f t="shared" si="225"/>
        <v>755</v>
      </c>
      <c r="W799" s="270">
        <f t="shared" si="225"/>
        <v>755</v>
      </c>
      <c r="X799" s="270">
        <f t="shared" si="225"/>
        <v>755</v>
      </c>
      <c r="Y799" s="270">
        <f t="shared" si="225"/>
        <v>755</v>
      </c>
      <c r="Z799" s="270">
        <f t="shared" si="225"/>
        <v>755</v>
      </c>
      <c r="AA799" s="270">
        <f t="shared" si="225"/>
        <v>755</v>
      </c>
      <c r="AB799" s="270">
        <f t="shared" si="225"/>
        <v>755</v>
      </c>
      <c r="AC799" s="270">
        <f t="shared" si="225"/>
        <v>755</v>
      </c>
      <c r="AD799" s="270">
        <f t="shared" si="224"/>
        <v>755</v>
      </c>
      <c r="AE799" s="270">
        <f t="shared" si="226"/>
        <v>755</v>
      </c>
      <c r="AF799" s="270">
        <f t="shared" si="226"/>
        <v>755</v>
      </c>
      <c r="AG799" s="270">
        <f t="shared" si="226"/>
        <v>755</v>
      </c>
      <c r="AH799" s="270">
        <f t="shared" si="226"/>
        <v>755</v>
      </c>
      <c r="AI799" s="270">
        <f t="shared" si="226"/>
        <v>755</v>
      </c>
      <c r="AJ799" s="270">
        <f t="shared" si="226"/>
        <v>755</v>
      </c>
      <c r="AK799" s="270">
        <f t="shared" si="226"/>
        <v>755</v>
      </c>
      <c r="AL799" s="270">
        <f t="shared" si="226"/>
        <v>755</v>
      </c>
      <c r="AM799" s="270">
        <f t="shared" si="226"/>
        <v>755</v>
      </c>
    </row>
    <row r="800" spans="2:39" ht="15.75" thickBot="1" x14ac:dyDescent="0.35">
      <c r="B800" s="56" t="str">
        <f>input_names!$E$3</f>
        <v>plug-in</v>
      </c>
      <c r="C800" s="61">
        <v>45</v>
      </c>
      <c r="D800" s="270">
        <f t="shared" si="224"/>
        <v>270</v>
      </c>
      <c r="E800" s="270">
        <f t="shared" si="224"/>
        <v>270</v>
      </c>
      <c r="F800" s="270">
        <f t="shared" si="224"/>
        <v>1950</v>
      </c>
      <c r="G800" s="270">
        <f t="shared" si="224"/>
        <v>1875</v>
      </c>
      <c r="H800" s="270">
        <f t="shared" si="224"/>
        <v>2505</v>
      </c>
      <c r="I800" s="270">
        <f t="shared" si="224"/>
        <v>2475</v>
      </c>
      <c r="J800" s="270">
        <f t="shared" si="224"/>
        <v>1740</v>
      </c>
      <c r="K800" s="270">
        <f t="shared" si="224"/>
        <v>1751</v>
      </c>
      <c r="L800" s="270">
        <f t="shared" si="224"/>
        <v>1885</v>
      </c>
      <c r="M800" s="270">
        <f t="shared" si="224"/>
        <v>2052</v>
      </c>
      <c r="N800" s="270">
        <f t="shared" si="224"/>
        <v>757</v>
      </c>
      <c r="O800" s="270">
        <f t="shared" si="224"/>
        <v>757</v>
      </c>
      <c r="P800" s="270">
        <f t="shared" si="224"/>
        <v>757</v>
      </c>
      <c r="Q800" s="270">
        <f t="shared" si="224"/>
        <v>757</v>
      </c>
      <c r="R800" s="270">
        <f t="shared" si="224"/>
        <v>757</v>
      </c>
      <c r="S800" s="270">
        <f t="shared" si="225"/>
        <v>757</v>
      </c>
      <c r="T800" s="270">
        <f t="shared" si="225"/>
        <v>757</v>
      </c>
      <c r="U800" s="270">
        <f t="shared" si="225"/>
        <v>757</v>
      </c>
      <c r="V800" s="270">
        <f t="shared" si="225"/>
        <v>757</v>
      </c>
      <c r="W800" s="270">
        <f t="shared" si="225"/>
        <v>757</v>
      </c>
      <c r="X800" s="270">
        <f t="shared" si="225"/>
        <v>757</v>
      </c>
      <c r="Y800" s="270">
        <f t="shared" si="225"/>
        <v>757</v>
      </c>
      <c r="Z800" s="270">
        <f t="shared" si="225"/>
        <v>757</v>
      </c>
      <c r="AA800" s="270">
        <f t="shared" si="225"/>
        <v>757</v>
      </c>
      <c r="AB800" s="270">
        <f t="shared" si="225"/>
        <v>757</v>
      </c>
      <c r="AC800" s="270">
        <f t="shared" si="225"/>
        <v>757</v>
      </c>
      <c r="AD800" s="270">
        <f t="shared" si="224"/>
        <v>757</v>
      </c>
      <c r="AE800" s="270">
        <f t="shared" si="226"/>
        <v>757</v>
      </c>
      <c r="AF800" s="270">
        <f t="shared" si="226"/>
        <v>757</v>
      </c>
      <c r="AG800" s="270">
        <f t="shared" si="226"/>
        <v>757</v>
      </c>
      <c r="AH800" s="270">
        <f t="shared" si="226"/>
        <v>757</v>
      </c>
      <c r="AI800" s="270">
        <f t="shared" si="226"/>
        <v>757</v>
      </c>
      <c r="AJ800" s="270">
        <f t="shared" si="226"/>
        <v>757</v>
      </c>
      <c r="AK800" s="270">
        <f t="shared" si="226"/>
        <v>757</v>
      </c>
      <c r="AL800" s="270">
        <f t="shared" si="226"/>
        <v>757</v>
      </c>
      <c r="AM800" s="270">
        <f t="shared" si="226"/>
        <v>757</v>
      </c>
    </row>
    <row r="801" spans="2:39" ht="15.75" thickBot="1" x14ac:dyDescent="0.35">
      <c r="B801" s="56" t="str">
        <f>input_names!$E$3</f>
        <v>plug-in</v>
      </c>
      <c r="C801" s="61">
        <v>46</v>
      </c>
      <c r="D801" s="270">
        <f t="shared" si="224"/>
        <v>276</v>
      </c>
      <c r="E801" s="270">
        <f t="shared" si="224"/>
        <v>276</v>
      </c>
      <c r="F801" s="270">
        <f t="shared" si="224"/>
        <v>2040</v>
      </c>
      <c r="G801" s="270">
        <f t="shared" si="224"/>
        <v>1962</v>
      </c>
      <c r="H801" s="270">
        <f t="shared" si="224"/>
        <v>2618</v>
      </c>
      <c r="I801" s="270">
        <f t="shared" si="224"/>
        <v>2586</v>
      </c>
      <c r="J801" s="270">
        <f t="shared" si="224"/>
        <v>1824</v>
      </c>
      <c r="K801" s="270">
        <f t="shared" si="224"/>
        <v>1836</v>
      </c>
      <c r="L801" s="270">
        <f t="shared" si="224"/>
        <v>1976</v>
      </c>
      <c r="M801" s="270">
        <f t="shared" si="224"/>
        <v>2152</v>
      </c>
      <c r="N801" s="270">
        <f t="shared" si="224"/>
        <v>759</v>
      </c>
      <c r="O801" s="270">
        <f t="shared" si="224"/>
        <v>759</v>
      </c>
      <c r="P801" s="270">
        <f t="shared" si="224"/>
        <v>759</v>
      </c>
      <c r="Q801" s="270">
        <f t="shared" si="224"/>
        <v>759</v>
      </c>
      <c r="R801" s="270">
        <f t="shared" si="224"/>
        <v>759</v>
      </c>
      <c r="S801" s="270">
        <f>+MIN(MAX(0,$C801-S$28),S$29-S$28)*S$34
+MIN(MAX(0,$C801-S$29),S$30-S$29)*S$35
+MIN(MAX(0,$C801-S$30),S$31-S$30)*S$36
+MIN(MAX(0,$C801-S$31),S$32-S$31)*S$37
+MAX(0,$C801-S$32)*S$38
+S$39</f>
        <v>759</v>
      </c>
      <c r="T801" s="270">
        <f t="shared" si="225"/>
        <v>759</v>
      </c>
      <c r="U801" s="270">
        <f t="shared" si="225"/>
        <v>759</v>
      </c>
      <c r="V801" s="270">
        <f t="shared" si="225"/>
        <v>759</v>
      </c>
      <c r="W801" s="270">
        <f t="shared" si="225"/>
        <v>759</v>
      </c>
      <c r="X801" s="270">
        <f t="shared" si="225"/>
        <v>759</v>
      </c>
      <c r="Y801" s="270">
        <f t="shared" si="225"/>
        <v>759</v>
      </c>
      <c r="Z801" s="270">
        <f t="shared" si="225"/>
        <v>759</v>
      </c>
      <c r="AA801" s="270">
        <f t="shared" si="225"/>
        <v>759</v>
      </c>
      <c r="AB801" s="270">
        <f t="shared" si="225"/>
        <v>759</v>
      </c>
      <c r="AC801" s="270">
        <f t="shared" si="225"/>
        <v>759</v>
      </c>
      <c r="AD801" s="270">
        <f>+MIN(MAX(0,$C801-AD$28),AD$29-AD$28)*AD$34
+MIN(MAX(0,$C801-AD$29),AD$30-AD$29)*AD$35
+MIN(MAX(0,$C801-AD$30),AD$31-AD$30)*AD$36
+MIN(MAX(0,$C801-AD$31),AD$32-AD$31)*AD$37
+MAX(0,$C801-AD$32)*AD$38
+AD$39</f>
        <v>759</v>
      </c>
      <c r="AE801" s="270">
        <f t="shared" si="226"/>
        <v>759</v>
      </c>
      <c r="AF801" s="270">
        <f t="shared" si="226"/>
        <v>759</v>
      </c>
      <c r="AG801" s="270">
        <f t="shared" si="226"/>
        <v>759</v>
      </c>
      <c r="AH801" s="270">
        <f t="shared" si="226"/>
        <v>759</v>
      </c>
      <c r="AI801" s="270">
        <f t="shared" si="226"/>
        <v>759</v>
      </c>
      <c r="AJ801" s="270">
        <f t="shared" si="226"/>
        <v>759</v>
      </c>
      <c r="AK801" s="270">
        <f t="shared" si="226"/>
        <v>759</v>
      </c>
      <c r="AL801" s="270">
        <f t="shared" si="226"/>
        <v>759</v>
      </c>
      <c r="AM801" s="270">
        <f t="shared" si="226"/>
        <v>759</v>
      </c>
    </row>
    <row r="802" spans="2:39" ht="15.75" thickBot="1" x14ac:dyDescent="0.35">
      <c r="B802" s="56" t="str">
        <f>input_names!$E$3</f>
        <v>plug-in</v>
      </c>
      <c r="C802" s="61">
        <v>47</v>
      </c>
      <c r="D802" s="270">
        <f t="shared" ref="D802:AD817" si="227">+MIN(MAX(0,$C802-D$28),D$29-D$28)*D$34
+MIN(MAX(0,$C802-D$29),D$30-D$29)*D$35
+MIN(MAX(0,$C802-D$30),D$31-D$30)*D$36
+MIN(MAX(0,$C802-D$31),D$32-D$31)*D$37
+MAX(0,$C802-D$32)*D$38
+D$39</f>
        <v>282</v>
      </c>
      <c r="E802" s="270">
        <f t="shared" si="227"/>
        <v>282</v>
      </c>
      <c r="F802" s="270">
        <f t="shared" si="227"/>
        <v>2130</v>
      </c>
      <c r="G802" s="270">
        <f t="shared" si="227"/>
        <v>2049</v>
      </c>
      <c r="H802" s="270">
        <f t="shared" si="227"/>
        <v>2731</v>
      </c>
      <c r="I802" s="270">
        <f t="shared" si="227"/>
        <v>2697</v>
      </c>
      <c r="J802" s="270">
        <f t="shared" si="227"/>
        <v>1908</v>
      </c>
      <c r="K802" s="270">
        <f t="shared" si="227"/>
        <v>1921</v>
      </c>
      <c r="L802" s="270">
        <f t="shared" si="227"/>
        <v>2067</v>
      </c>
      <c r="M802" s="270">
        <f t="shared" si="227"/>
        <v>2252</v>
      </c>
      <c r="N802" s="270">
        <f t="shared" si="227"/>
        <v>761</v>
      </c>
      <c r="O802" s="270">
        <f t="shared" si="227"/>
        <v>761</v>
      </c>
      <c r="P802" s="270">
        <f t="shared" si="227"/>
        <v>761</v>
      </c>
      <c r="Q802" s="270">
        <f t="shared" si="227"/>
        <v>761</v>
      </c>
      <c r="R802" s="270">
        <f t="shared" si="227"/>
        <v>761</v>
      </c>
      <c r="S802" s="270">
        <f t="shared" ref="S802:AC817" si="228">+MIN(MAX(0,$C802-S$28),S$29-S$28)*S$34
+MIN(MAX(0,$C802-S$29),S$30-S$29)*S$35
+MIN(MAX(0,$C802-S$30),S$31-S$30)*S$36
+MIN(MAX(0,$C802-S$31),S$32-S$31)*S$37
+MAX(0,$C802-S$32)*S$38
+S$39</f>
        <v>761</v>
      </c>
      <c r="T802" s="270">
        <f t="shared" si="228"/>
        <v>761</v>
      </c>
      <c r="U802" s="270">
        <f t="shared" si="228"/>
        <v>761</v>
      </c>
      <c r="V802" s="270">
        <f t="shared" si="228"/>
        <v>761</v>
      </c>
      <c r="W802" s="270">
        <f t="shared" si="228"/>
        <v>761</v>
      </c>
      <c r="X802" s="270">
        <f t="shared" si="228"/>
        <v>761</v>
      </c>
      <c r="Y802" s="270">
        <f t="shared" si="228"/>
        <v>761</v>
      </c>
      <c r="Z802" s="270">
        <f t="shared" si="228"/>
        <v>761</v>
      </c>
      <c r="AA802" s="270">
        <f t="shared" si="228"/>
        <v>761</v>
      </c>
      <c r="AB802" s="270">
        <f t="shared" si="228"/>
        <v>761</v>
      </c>
      <c r="AC802" s="270">
        <f t="shared" si="228"/>
        <v>761</v>
      </c>
      <c r="AD802" s="270">
        <f t="shared" si="227"/>
        <v>761</v>
      </c>
      <c r="AE802" s="270">
        <f t="shared" si="226"/>
        <v>761</v>
      </c>
      <c r="AF802" s="270">
        <f t="shared" si="226"/>
        <v>761</v>
      </c>
      <c r="AG802" s="270">
        <f t="shared" si="226"/>
        <v>761</v>
      </c>
      <c r="AH802" s="270">
        <f t="shared" si="226"/>
        <v>761</v>
      </c>
      <c r="AI802" s="270">
        <f t="shared" si="226"/>
        <v>761</v>
      </c>
      <c r="AJ802" s="270">
        <f t="shared" si="226"/>
        <v>761</v>
      </c>
      <c r="AK802" s="270">
        <f t="shared" si="226"/>
        <v>761</v>
      </c>
      <c r="AL802" s="270">
        <f t="shared" si="226"/>
        <v>761</v>
      </c>
      <c r="AM802" s="270">
        <f t="shared" si="226"/>
        <v>761</v>
      </c>
    </row>
    <row r="803" spans="2:39" ht="15.75" thickBot="1" x14ac:dyDescent="0.35">
      <c r="B803" s="56" t="str">
        <f>input_names!$E$3</f>
        <v>plug-in</v>
      </c>
      <c r="C803" s="61">
        <v>48</v>
      </c>
      <c r="D803" s="270">
        <f t="shared" si="227"/>
        <v>288</v>
      </c>
      <c r="E803" s="270">
        <f t="shared" si="227"/>
        <v>288</v>
      </c>
      <c r="F803" s="270">
        <f t="shared" si="227"/>
        <v>2220</v>
      </c>
      <c r="G803" s="270">
        <f t="shared" si="227"/>
        <v>2136</v>
      </c>
      <c r="H803" s="270">
        <f t="shared" si="227"/>
        <v>2844</v>
      </c>
      <c r="I803" s="270">
        <f t="shared" si="227"/>
        <v>2808</v>
      </c>
      <c r="J803" s="270">
        <f t="shared" si="227"/>
        <v>1992</v>
      </c>
      <c r="K803" s="270">
        <f t="shared" si="227"/>
        <v>2006</v>
      </c>
      <c r="L803" s="270">
        <f t="shared" si="227"/>
        <v>2158</v>
      </c>
      <c r="M803" s="270">
        <f t="shared" si="227"/>
        <v>2352</v>
      </c>
      <c r="N803" s="270">
        <f t="shared" si="227"/>
        <v>763</v>
      </c>
      <c r="O803" s="270">
        <f t="shared" si="227"/>
        <v>763</v>
      </c>
      <c r="P803" s="270">
        <f t="shared" si="227"/>
        <v>763</v>
      </c>
      <c r="Q803" s="270">
        <f t="shared" si="227"/>
        <v>763</v>
      </c>
      <c r="R803" s="270">
        <f t="shared" si="227"/>
        <v>763</v>
      </c>
      <c r="S803" s="270">
        <f t="shared" si="228"/>
        <v>763</v>
      </c>
      <c r="T803" s="270">
        <f t="shared" si="228"/>
        <v>763</v>
      </c>
      <c r="U803" s="270">
        <f t="shared" si="228"/>
        <v>763</v>
      </c>
      <c r="V803" s="270">
        <f t="shared" si="228"/>
        <v>763</v>
      </c>
      <c r="W803" s="270">
        <f t="shared" si="228"/>
        <v>763</v>
      </c>
      <c r="X803" s="270">
        <f t="shared" si="228"/>
        <v>763</v>
      </c>
      <c r="Y803" s="270">
        <f t="shared" si="228"/>
        <v>763</v>
      </c>
      <c r="Z803" s="270">
        <f t="shared" si="228"/>
        <v>763</v>
      </c>
      <c r="AA803" s="270">
        <f t="shared" si="228"/>
        <v>763</v>
      </c>
      <c r="AB803" s="270">
        <f t="shared" si="228"/>
        <v>763</v>
      </c>
      <c r="AC803" s="270">
        <f t="shared" si="228"/>
        <v>763</v>
      </c>
      <c r="AD803" s="270">
        <f t="shared" si="227"/>
        <v>763</v>
      </c>
      <c r="AE803" s="270">
        <f t="shared" si="226"/>
        <v>763</v>
      </c>
      <c r="AF803" s="270">
        <f t="shared" si="226"/>
        <v>763</v>
      </c>
      <c r="AG803" s="270">
        <f t="shared" si="226"/>
        <v>763</v>
      </c>
      <c r="AH803" s="270">
        <f t="shared" si="226"/>
        <v>763</v>
      </c>
      <c r="AI803" s="270">
        <f t="shared" si="226"/>
        <v>763</v>
      </c>
      <c r="AJ803" s="270">
        <f t="shared" si="226"/>
        <v>763</v>
      </c>
      <c r="AK803" s="270">
        <f t="shared" si="226"/>
        <v>763</v>
      </c>
      <c r="AL803" s="270">
        <f t="shared" si="226"/>
        <v>763</v>
      </c>
      <c r="AM803" s="270">
        <f t="shared" si="226"/>
        <v>763</v>
      </c>
    </row>
    <row r="804" spans="2:39" ht="15.75" thickBot="1" x14ac:dyDescent="0.35">
      <c r="B804" s="56" t="str">
        <f>input_names!$E$3</f>
        <v>plug-in</v>
      </c>
      <c r="C804" s="61">
        <v>49</v>
      </c>
      <c r="D804" s="270">
        <f t="shared" si="227"/>
        <v>294</v>
      </c>
      <c r="E804" s="270">
        <f t="shared" si="227"/>
        <v>294</v>
      </c>
      <c r="F804" s="270">
        <f t="shared" si="227"/>
        <v>2310</v>
      </c>
      <c r="G804" s="270">
        <f t="shared" si="227"/>
        <v>2223</v>
      </c>
      <c r="H804" s="270">
        <f t="shared" si="227"/>
        <v>2957</v>
      </c>
      <c r="I804" s="270">
        <f t="shared" si="227"/>
        <v>2919</v>
      </c>
      <c r="J804" s="270">
        <f t="shared" si="227"/>
        <v>2076</v>
      </c>
      <c r="K804" s="270">
        <f t="shared" si="227"/>
        <v>2091</v>
      </c>
      <c r="L804" s="270">
        <f t="shared" si="227"/>
        <v>2249</v>
      </c>
      <c r="M804" s="270">
        <f t="shared" si="227"/>
        <v>2452</v>
      </c>
      <c r="N804" s="270">
        <f t="shared" si="227"/>
        <v>765</v>
      </c>
      <c r="O804" s="270">
        <f t="shared" si="227"/>
        <v>765</v>
      </c>
      <c r="P804" s="270">
        <f t="shared" si="227"/>
        <v>765</v>
      </c>
      <c r="Q804" s="270">
        <f t="shared" si="227"/>
        <v>765</v>
      </c>
      <c r="R804" s="270">
        <f t="shared" si="227"/>
        <v>765</v>
      </c>
      <c r="S804" s="270">
        <f t="shared" si="228"/>
        <v>765</v>
      </c>
      <c r="T804" s="270">
        <f t="shared" si="228"/>
        <v>765</v>
      </c>
      <c r="U804" s="270">
        <f t="shared" si="228"/>
        <v>765</v>
      </c>
      <c r="V804" s="270">
        <f t="shared" si="228"/>
        <v>765</v>
      </c>
      <c r="W804" s="270">
        <f t="shared" si="228"/>
        <v>765</v>
      </c>
      <c r="X804" s="270">
        <f t="shared" si="228"/>
        <v>765</v>
      </c>
      <c r="Y804" s="270">
        <f t="shared" si="228"/>
        <v>765</v>
      </c>
      <c r="Z804" s="270">
        <f t="shared" si="228"/>
        <v>765</v>
      </c>
      <c r="AA804" s="270">
        <f t="shared" si="228"/>
        <v>765</v>
      </c>
      <c r="AB804" s="270">
        <f t="shared" si="228"/>
        <v>765</v>
      </c>
      <c r="AC804" s="270">
        <f t="shared" si="228"/>
        <v>765</v>
      </c>
      <c r="AD804" s="270">
        <f t="shared" si="227"/>
        <v>765</v>
      </c>
      <c r="AE804" s="270">
        <f t="shared" si="226"/>
        <v>765</v>
      </c>
      <c r="AF804" s="270">
        <f t="shared" si="226"/>
        <v>765</v>
      </c>
      <c r="AG804" s="270">
        <f t="shared" si="226"/>
        <v>765</v>
      </c>
      <c r="AH804" s="270">
        <f t="shared" si="226"/>
        <v>765</v>
      </c>
      <c r="AI804" s="270">
        <f t="shared" si="226"/>
        <v>765</v>
      </c>
      <c r="AJ804" s="270">
        <f t="shared" si="226"/>
        <v>765</v>
      </c>
      <c r="AK804" s="270">
        <f t="shared" si="226"/>
        <v>765</v>
      </c>
      <c r="AL804" s="270">
        <f t="shared" si="226"/>
        <v>765</v>
      </c>
      <c r="AM804" s="270">
        <f t="shared" si="226"/>
        <v>765</v>
      </c>
    </row>
    <row r="805" spans="2:39" ht="15.75" thickBot="1" x14ac:dyDescent="0.35">
      <c r="B805" s="56" t="str">
        <f>input_names!$E$3</f>
        <v>plug-in</v>
      </c>
      <c r="C805" s="61">
        <v>50</v>
      </c>
      <c r="D805" s="270">
        <f t="shared" si="227"/>
        <v>300</v>
      </c>
      <c r="E805" s="270">
        <f t="shared" si="227"/>
        <v>300</v>
      </c>
      <c r="F805" s="270">
        <f t="shared" si="227"/>
        <v>2400</v>
      </c>
      <c r="G805" s="270">
        <f t="shared" si="227"/>
        <v>2310</v>
      </c>
      <c r="H805" s="270">
        <f t="shared" si="227"/>
        <v>3070</v>
      </c>
      <c r="I805" s="270">
        <f t="shared" si="227"/>
        <v>3030</v>
      </c>
      <c r="J805" s="270">
        <f t="shared" si="227"/>
        <v>2160</v>
      </c>
      <c r="K805" s="270">
        <f t="shared" si="227"/>
        <v>2176</v>
      </c>
      <c r="L805" s="270">
        <f t="shared" si="227"/>
        <v>2340</v>
      </c>
      <c r="M805" s="270">
        <f t="shared" si="227"/>
        <v>2552</v>
      </c>
      <c r="N805" s="270">
        <f t="shared" si="227"/>
        <v>767</v>
      </c>
      <c r="O805" s="270">
        <f t="shared" si="227"/>
        <v>767</v>
      </c>
      <c r="P805" s="270">
        <f t="shared" si="227"/>
        <v>767</v>
      </c>
      <c r="Q805" s="270">
        <f t="shared" si="227"/>
        <v>767</v>
      </c>
      <c r="R805" s="270">
        <f t="shared" si="227"/>
        <v>767</v>
      </c>
      <c r="S805" s="270">
        <f t="shared" si="228"/>
        <v>767</v>
      </c>
      <c r="T805" s="270">
        <f t="shared" si="228"/>
        <v>767</v>
      </c>
      <c r="U805" s="270">
        <f t="shared" si="228"/>
        <v>767</v>
      </c>
      <c r="V805" s="270">
        <f t="shared" si="228"/>
        <v>767</v>
      </c>
      <c r="W805" s="270">
        <f t="shared" si="228"/>
        <v>767</v>
      </c>
      <c r="X805" s="270">
        <f t="shared" si="228"/>
        <v>767</v>
      </c>
      <c r="Y805" s="270">
        <f t="shared" si="228"/>
        <v>767</v>
      </c>
      <c r="Z805" s="270">
        <f t="shared" si="228"/>
        <v>767</v>
      </c>
      <c r="AA805" s="270">
        <f t="shared" si="228"/>
        <v>767</v>
      </c>
      <c r="AB805" s="270">
        <f t="shared" si="228"/>
        <v>767</v>
      </c>
      <c r="AC805" s="270">
        <f t="shared" si="228"/>
        <v>767</v>
      </c>
      <c r="AD805" s="270">
        <f t="shared" si="227"/>
        <v>767</v>
      </c>
      <c r="AE805" s="270">
        <f t="shared" si="226"/>
        <v>767</v>
      </c>
      <c r="AF805" s="270">
        <f t="shared" si="226"/>
        <v>767</v>
      </c>
      <c r="AG805" s="270">
        <f t="shared" si="226"/>
        <v>767</v>
      </c>
      <c r="AH805" s="270">
        <f t="shared" si="226"/>
        <v>767</v>
      </c>
      <c r="AI805" s="270">
        <f t="shared" si="226"/>
        <v>767</v>
      </c>
      <c r="AJ805" s="270">
        <f t="shared" si="226"/>
        <v>767</v>
      </c>
      <c r="AK805" s="270">
        <f t="shared" si="226"/>
        <v>767</v>
      </c>
      <c r="AL805" s="270">
        <f t="shared" si="226"/>
        <v>767</v>
      </c>
      <c r="AM805" s="270">
        <f t="shared" si="226"/>
        <v>767</v>
      </c>
    </row>
    <row r="806" spans="2:39" ht="15.75" thickBot="1" x14ac:dyDescent="0.35">
      <c r="B806" s="56" t="str">
        <f>input_names!$E$3</f>
        <v>plug-in</v>
      </c>
      <c r="C806" s="61">
        <v>51</v>
      </c>
      <c r="D806" s="270">
        <f t="shared" si="227"/>
        <v>306</v>
      </c>
      <c r="E806" s="270">
        <f t="shared" si="227"/>
        <v>306</v>
      </c>
      <c r="F806" s="270">
        <f t="shared" si="227"/>
        <v>2700</v>
      </c>
      <c r="G806" s="270">
        <f t="shared" si="227"/>
        <v>2599</v>
      </c>
      <c r="H806" s="270">
        <f t="shared" si="227"/>
        <v>3341</v>
      </c>
      <c r="I806" s="270">
        <f t="shared" si="227"/>
        <v>3297</v>
      </c>
      <c r="J806" s="270">
        <f t="shared" si="227"/>
        <v>2244</v>
      </c>
      <c r="K806" s="270">
        <f t="shared" si="227"/>
        <v>2261</v>
      </c>
      <c r="L806" s="270">
        <f t="shared" si="227"/>
        <v>2431</v>
      </c>
      <c r="M806" s="270">
        <f t="shared" si="227"/>
        <v>2652</v>
      </c>
      <c r="N806" s="270">
        <f t="shared" si="227"/>
        <v>769</v>
      </c>
      <c r="O806" s="270">
        <f t="shared" si="227"/>
        <v>769</v>
      </c>
      <c r="P806" s="270">
        <f t="shared" si="227"/>
        <v>769</v>
      </c>
      <c r="Q806" s="270">
        <f t="shared" si="227"/>
        <v>769</v>
      </c>
      <c r="R806" s="270">
        <f t="shared" si="227"/>
        <v>769</v>
      </c>
      <c r="S806" s="270">
        <f t="shared" si="228"/>
        <v>769</v>
      </c>
      <c r="T806" s="270">
        <f t="shared" si="228"/>
        <v>769</v>
      </c>
      <c r="U806" s="270">
        <f t="shared" si="228"/>
        <v>769</v>
      </c>
      <c r="V806" s="270">
        <f t="shared" si="228"/>
        <v>769</v>
      </c>
      <c r="W806" s="270">
        <f t="shared" si="228"/>
        <v>769</v>
      </c>
      <c r="X806" s="270">
        <f t="shared" si="228"/>
        <v>769</v>
      </c>
      <c r="Y806" s="270">
        <f t="shared" si="228"/>
        <v>769</v>
      </c>
      <c r="Z806" s="270">
        <f t="shared" si="228"/>
        <v>769</v>
      </c>
      <c r="AA806" s="270">
        <f t="shared" si="228"/>
        <v>769</v>
      </c>
      <c r="AB806" s="270">
        <f t="shared" si="228"/>
        <v>769</v>
      </c>
      <c r="AC806" s="270">
        <f t="shared" si="228"/>
        <v>769</v>
      </c>
      <c r="AD806" s="270">
        <f t="shared" si="227"/>
        <v>769</v>
      </c>
      <c r="AE806" s="270">
        <f t="shared" si="226"/>
        <v>769</v>
      </c>
      <c r="AF806" s="270">
        <f t="shared" si="226"/>
        <v>769</v>
      </c>
      <c r="AG806" s="270">
        <f t="shared" si="226"/>
        <v>769</v>
      </c>
      <c r="AH806" s="270">
        <f t="shared" si="226"/>
        <v>769</v>
      </c>
      <c r="AI806" s="270">
        <f t="shared" si="226"/>
        <v>769</v>
      </c>
      <c r="AJ806" s="270">
        <f t="shared" si="226"/>
        <v>769</v>
      </c>
      <c r="AK806" s="270">
        <f t="shared" si="226"/>
        <v>769</v>
      </c>
      <c r="AL806" s="270">
        <f t="shared" si="226"/>
        <v>769</v>
      </c>
      <c r="AM806" s="270">
        <f t="shared" si="226"/>
        <v>769</v>
      </c>
    </row>
    <row r="807" spans="2:39" ht="15.75" thickBot="1" x14ac:dyDescent="0.35">
      <c r="B807" s="56" t="str">
        <f>input_names!$E$3</f>
        <v>plug-in</v>
      </c>
      <c r="C807" s="61">
        <v>52</v>
      </c>
      <c r="D807" s="270">
        <f t="shared" si="227"/>
        <v>312</v>
      </c>
      <c r="E807" s="270">
        <f t="shared" si="227"/>
        <v>312</v>
      </c>
      <c r="F807" s="270">
        <f t="shared" si="227"/>
        <v>3000</v>
      </c>
      <c r="G807" s="270">
        <f t="shared" si="227"/>
        <v>2888</v>
      </c>
      <c r="H807" s="270">
        <f t="shared" si="227"/>
        <v>3612</v>
      </c>
      <c r="I807" s="270">
        <f t="shared" si="227"/>
        <v>3564</v>
      </c>
      <c r="J807" s="270">
        <f t="shared" si="227"/>
        <v>2328</v>
      </c>
      <c r="K807" s="270">
        <f t="shared" si="227"/>
        <v>2346</v>
      </c>
      <c r="L807" s="270">
        <f t="shared" si="227"/>
        <v>2522</v>
      </c>
      <c r="M807" s="270">
        <f t="shared" si="227"/>
        <v>2752</v>
      </c>
      <c r="N807" s="270">
        <f t="shared" si="227"/>
        <v>771</v>
      </c>
      <c r="O807" s="270">
        <f t="shared" si="227"/>
        <v>771</v>
      </c>
      <c r="P807" s="270">
        <f t="shared" si="227"/>
        <v>771</v>
      </c>
      <c r="Q807" s="270">
        <f t="shared" si="227"/>
        <v>771</v>
      </c>
      <c r="R807" s="270">
        <f t="shared" si="227"/>
        <v>771</v>
      </c>
      <c r="S807" s="270">
        <f t="shared" si="228"/>
        <v>771</v>
      </c>
      <c r="T807" s="270">
        <f t="shared" si="228"/>
        <v>771</v>
      </c>
      <c r="U807" s="270">
        <f t="shared" si="228"/>
        <v>771</v>
      </c>
      <c r="V807" s="270">
        <f t="shared" si="228"/>
        <v>771</v>
      </c>
      <c r="W807" s="270">
        <f t="shared" si="228"/>
        <v>771</v>
      </c>
      <c r="X807" s="270">
        <f t="shared" si="228"/>
        <v>771</v>
      </c>
      <c r="Y807" s="270">
        <f t="shared" si="228"/>
        <v>771</v>
      </c>
      <c r="Z807" s="270">
        <f t="shared" si="228"/>
        <v>771</v>
      </c>
      <c r="AA807" s="270">
        <f t="shared" si="228"/>
        <v>771</v>
      </c>
      <c r="AB807" s="270">
        <f t="shared" si="228"/>
        <v>771</v>
      </c>
      <c r="AC807" s="270">
        <f t="shared" si="228"/>
        <v>771</v>
      </c>
      <c r="AD807" s="270">
        <f t="shared" si="227"/>
        <v>771</v>
      </c>
      <c r="AE807" s="270">
        <f t="shared" si="226"/>
        <v>771</v>
      </c>
      <c r="AF807" s="270">
        <f t="shared" si="226"/>
        <v>771</v>
      </c>
      <c r="AG807" s="270">
        <f t="shared" si="226"/>
        <v>771</v>
      </c>
      <c r="AH807" s="270">
        <f t="shared" si="226"/>
        <v>771</v>
      </c>
      <c r="AI807" s="270">
        <f t="shared" si="226"/>
        <v>771</v>
      </c>
      <c r="AJ807" s="270">
        <f t="shared" si="226"/>
        <v>771</v>
      </c>
      <c r="AK807" s="270">
        <f t="shared" si="226"/>
        <v>771</v>
      </c>
      <c r="AL807" s="270">
        <f t="shared" si="226"/>
        <v>771</v>
      </c>
      <c r="AM807" s="270">
        <f t="shared" si="226"/>
        <v>771</v>
      </c>
    </row>
    <row r="808" spans="2:39" ht="15.75" thickBot="1" x14ac:dyDescent="0.35">
      <c r="B808" s="56" t="str">
        <f>input_names!$E$3</f>
        <v>plug-in</v>
      </c>
      <c r="C808" s="61">
        <v>53</v>
      </c>
      <c r="D808" s="270">
        <f t="shared" si="227"/>
        <v>318</v>
      </c>
      <c r="E808" s="270">
        <f t="shared" si="227"/>
        <v>318</v>
      </c>
      <c r="F808" s="270">
        <f t="shared" si="227"/>
        <v>3300</v>
      </c>
      <c r="G808" s="270">
        <f t="shared" si="227"/>
        <v>3177</v>
      </c>
      <c r="H808" s="270">
        <f t="shared" si="227"/>
        <v>3883</v>
      </c>
      <c r="I808" s="270">
        <f t="shared" si="227"/>
        <v>3831</v>
      </c>
      <c r="J808" s="270">
        <f t="shared" si="227"/>
        <v>2412</v>
      </c>
      <c r="K808" s="270">
        <f t="shared" si="227"/>
        <v>2431</v>
      </c>
      <c r="L808" s="270">
        <f t="shared" si="227"/>
        <v>2613</v>
      </c>
      <c r="M808" s="270">
        <f t="shared" si="227"/>
        <v>2852</v>
      </c>
      <c r="N808" s="270">
        <f t="shared" si="227"/>
        <v>773</v>
      </c>
      <c r="O808" s="270">
        <f t="shared" si="227"/>
        <v>773</v>
      </c>
      <c r="P808" s="270">
        <f t="shared" si="227"/>
        <v>773</v>
      </c>
      <c r="Q808" s="270">
        <f t="shared" si="227"/>
        <v>773</v>
      </c>
      <c r="R808" s="270">
        <f t="shared" si="227"/>
        <v>773</v>
      </c>
      <c r="S808" s="270">
        <f t="shared" si="228"/>
        <v>773</v>
      </c>
      <c r="T808" s="270">
        <f t="shared" si="228"/>
        <v>773</v>
      </c>
      <c r="U808" s="270">
        <f t="shared" si="228"/>
        <v>773</v>
      </c>
      <c r="V808" s="270">
        <f t="shared" si="228"/>
        <v>773</v>
      </c>
      <c r="W808" s="270">
        <f t="shared" si="228"/>
        <v>773</v>
      </c>
      <c r="X808" s="270">
        <f t="shared" si="228"/>
        <v>773</v>
      </c>
      <c r="Y808" s="270">
        <f t="shared" si="228"/>
        <v>773</v>
      </c>
      <c r="Z808" s="270">
        <f t="shared" si="228"/>
        <v>773</v>
      </c>
      <c r="AA808" s="270">
        <f t="shared" si="228"/>
        <v>773</v>
      </c>
      <c r="AB808" s="270">
        <f t="shared" si="228"/>
        <v>773</v>
      </c>
      <c r="AC808" s="270">
        <f t="shared" si="228"/>
        <v>773</v>
      </c>
      <c r="AD808" s="270">
        <f t="shared" si="227"/>
        <v>773</v>
      </c>
      <c r="AE808" s="270">
        <f t="shared" si="226"/>
        <v>773</v>
      </c>
      <c r="AF808" s="270">
        <f t="shared" si="226"/>
        <v>773</v>
      </c>
      <c r="AG808" s="270">
        <f t="shared" si="226"/>
        <v>773</v>
      </c>
      <c r="AH808" s="270">
        <f t="shared" si="226"/>
        <v>773</v>
      </c>
      <c r="AI808" s="270">
        <f t="shared" si="226"/>
        <v>773</v>
      </c>
      <c r="AJ808" s="270">
        <f t="shared" si="226"/>
        <v>773</v>
      </c>
      <c r="AK808" s="270">
        <f t="shared" si="226"/>
        <v>773</v>
      </c>
      <c r="AL808" s="270">
        <f t="shared" si="226"/>
        <v>773</v>
      </c>
      <c r="AM808" s="270">
        <f t="shared" si="226"/>
        <v>773</v>
      </c>
    </row>
    <row r="809" spans="2:39" ht="15.75" thickBot="1" x14ac:dyDescent="0.35">
      <c r="B809" s="56" t="str">
        <f>input_names!$E$3</f>
        <v>plug-in</v>
      </c>
      <c r="C809" s="61">
        <v>54</v>
      </c>
      <c r="D809" s="270">
        <f t="shared" si="227"/>
        <v>324</v>
      </c>
      <c r="E809" s="270">
        <f t="shared" si="227"/>
        <v>324</v>
      </c>
      <c r="F809" s="270">
        <f t="shared" si="227"/>
        <v>3600</v>
      </c>
      <c r="G809" s="270">
        <f t="shared" si="227"/>
        <v>3466</v>
      </c>
      <c r="H809" s="270">
        <f t="shared" si="227"/>
        <v>4154</v>
      </c>
      <c r="I809" s="270">
        <f t="shared" si="227"/>
        <v>4098</v>
      </c>
      <c r="J809" s="270">
        <f t="shared" si="227"/>
        <v>2496</v>
      </c>
      <c r="K809" s="270">
        <f t="shared" si="227"/>
        <v>2516</v>
      </c>
      <c r="L809" s="270">
        <f t="shared" si="227"/>
        <v>2704</v>
      </c>
      <c r="M809" s="270">
        <f t="shared" si="227"/>
        <v>2952</v>
      </c>
      <c r="N809" s="270">
        <f t="shared" si="227"/>
        <v>775</v>
      </c>
      <c r="O809" s="270">
        <f t="shared" si="227"/>
        <v>775</v>
      </c>
      <c r="P809" s="270">
        <f t="shared" si="227"/>
        <v>775</v>
      </c>
      <c r="Q809" s="270">
        <f t="shared" si="227"/>
        <v>775</v>
      </c>
      <c r="R809" s="270">
        <f t="shared" si="227"/>
        <v>775</v>
      </c>
      <c r="S809" s="270">
        <f t="shared" si="228"/>
        <v>775</v>
      </c>
      <c r="T809" s="270">
        <f t="shared" si="228"/>
        <v>775</v>
      </c>
      <c r="U809" s="270">
        <f t="shared" si="228"/>
        <v>775</v>
      </c>
      <c r="V809" s="270">
        <f t="shared" si="228"/>
        <v>775</v>
      </c>
      <c r="W809" s="270">
        <f t="shared" si="228"/>
        <v>775</v>
      </c>
      <c r="X809" s="270">
        <f t="shared" si="228"/>
        <v>775</v>
      </c>
      <c r="Y809" s="270">
        <f t="shared" si="228"/>
        <v>775</v>
      </c>
      <c r="Z809" s="270">
        <f t="shared" si="228"/>
        <v>775</v>
      </c>
      <c r="AA809" s="270">
        <f t="shared" si="228"/>
        <v>775</v>
      </c>
      <c r="AB809" s="270">
        <f t="shared" si="228"/>
        <v>775</v>
      </c>
      <c r="AC809" s="270">
        <f t="shared" si="228"/>
        <v>775</v>
      </c>
      <c r="AD809" s="270">
        <f t="shared" si="227"/>
        <v>775</v>
      </c>
      <c r="AE809" s="270">
        <f t="shared" si="226"/>
        <v>775</v>
      </c>
      <c r="AF809" s="270">
        <f t="shared" si="226"/>
        <v>775</v>
      </c>
      <c r="AG809" s="270">
        <f t="shared" si="226"/>
        <v>775</v>
      </c>
      <c r="AH809" s="270">
        <f t="shared" si="226"/>
        <v>775</v>
      </c>
      <c r="AI809" s="270">
        <f t="shared" si="226"/>
        <v>775</v>
      </c>
      <c r="AJ809" s="270">
        <f t="shared" si="226"/>
        <v>775</v>
      </c>
      <c r="AK809" s="270">
        <f t="shared" si="226"/>
        <v>775</v>
      </c>
      <c r="AL809" s="270">
        <f t="shared" si="226"/>
        <v>775</v>
      </c>
      <c r="AM809" s="270">
        <f t="shared" si="226"/>
        <v>775</v>
      </c>
    </row>
    <row r="810" spans="2:39" ht="15.75" thickBot="1" x14ac:dyDescent="0.35">
      <c r="B810" s="56" t="str">
        <f>input_names!$E$3</f>
        <v>plug-in</v>
      </c>
      <c r="C810" s="61">
        <v>55</v>
      </c>
      <c r="D810" s="270">
        <f t="shared" si="227"/>
        <v>330</v>
      </c>
      <c r="E810" s="270">
        <f t="shared" si="227"/>
        <v>330</v>
      </c>
      <c r="F810" s="270">
        <f t="shared" si="227"/>
        <v>3900</v>
      </c>
      <c r="G810" s="270">
        <f t="shared" si="227"/>
        <v>3755</v>
      </c>
      <c r="H810" s="270">
        <f t="shared" si="227"/>
        <v>4425</v>
      </c>
      <c r="I810" s="270">
        <f t="shared" si="227"/>
        <v>4365</v>
      </c>
      <c r="J810" s="270">
        <f t="shared" si="227"/>
        <v>2580</v>
      </c>
      <c r="K810" s="270">
        <f t="shared" si="227"/>
        <v>2601</v>
      </c>
      <c r="L810" s="270">
        <f t="shared" si="227"/>
        <v>2795</v>
      </c>
      <c r="M810" s="270">
        <f t="shared" si="227"/>
        <v>3052</v>
      </c>
      <c r="N810" s="270">
        <f t="shared" si="227"/>
        <v>777</v>
      </c>
      <c r="O810" s="270">
        <f t="shared" si="227"/>
        <v>777</v>
      </c>
      <c r="P810" s="270">
        <f t="shared" si="227"/>
        <v>777</v>
      </c>
      <c r="Q810" s="270">
        <f t="shared" si="227"/>
        <v>777</v>
      </c>
      <c r="R810" s="270">
        <f t="shared" si="227"/>
        <v>777</v>
      </c>
      <c r="S810" s="270">
        <f t="shared" si="228"/>
        <v>777</v>
      </c>
      <c r="T810" s="270">
        <f t="shared" si="228"/>
        <v>777</v>
      </c>
      <c r="U810" s="270">
        <f t="shared" si="228"/>
        <v>777</v>
      </c>
      <c r="V810" s="270">
        <f t="shared" si="228"/>
        <v>777</v>
      </c>
      <c r="W810" s="270">
        <f t="shared" si="228"/>
        <v>777</v>
      </c>
      <c r="X810" s="270">
        <f t="shared" si="228"/>
        <v>777</v>
      </c>
      <c r="Y810" s="270">
        <f t="shared" si="228"/>
        <v>777</v>
      </c>
      <c r="Z810" s="270">
        <f t="shared" si="228"/>
        <v>777</v>
      </c>
      <c r="AA810" s="270">
        <f t="shared" si="228"/>
        <v>777</v>
      </c>
      <c r="AB810" s="270">
        <f t="shared" si="228"/>
        <v>777</v>
      </c>
      <c r="AC810" s="270">
        <f t="shared" si="228"/>
        <v>777</v>
      </c>
      <c r="AD810" s="270">
        <f t="shared" si="227"/>
        <v>777</v>
      </c>
      <c r="AE810" s="270">
        <f t="shared" si="226"/>
        <v>777</v>
      </c>
      <c r="AF810" s="270">
        <f t="shared" si="226"/>
        <v>777</v>
      </c>
      <c r="AG810" s="270">
        <f t="shared" si="226"/>
        <v>777</v>
      </c>
      <c r="AH810" s="270">
        <f t="shared" si="226"/>
        <v>777</v>
      </c>
      <c r="AI810" s="270">
        <f t="shared" si="226"/>
        <v>777</v>
      </c>
      <c r="AJ810" s="270">
        <f t="shared" si="226"/>
        <v>777</v>
      </c>
      <c r="AK810" s="270">
        <f t="shared" si="226"/>
        <v>777</v>
      </c>
      <c r="AL810" s="270">
        <f t="shared" si="226"/>
        <v>777</v>
      </c>
      <c r="AM810" s="270">
        <f t="shared" si="226"/>
        <v>777</v>
      </c>
    </row>
    <row r="811" spans="2:39" ht="15.75" thickBot="1" x14ac:dyDescent="0.35">
      <c r="B811" s="56" t="str">
        <f>input_names!$E$3</f>
        <v>plug-in</v>
      </c>
      <c r="C811" s="61">
        <v>56</v>
      </c>
      <c r="D811" s="270">
        <f t="shared" si="227"/>
        <v>336</v>
      </c>
      <c r="E811" s="270">
        <f t="shared" si="227"/>
        <v>336</v>
      </c>
      <c r="F811" s="270">
        <f t="shared" si="227"/>
        <v>4200</v>
      </c>
      <c r="G811" s="270">
        <f t="shared" si="227"/>
        <v>4044</v>
      </c>
      <c r="H811" s="270">
        <f t="shared" si="227"/>
        <v>4696</v>
      </c>
      <c r="I811" s="270">
        <f t="shared" si="227"/>
        <v>4632</v>
      </c>
      <c r="J811" s="270">
        <f t="shared" si="227"/>
        <v>2664</v>
      </c>
      <c r="K811" s="270">
        <f t="shared" si="227"/>
        <v>2686</v>
      </c>
      <c r="L811" s="270">
        <f t="shared" si="227"/>
        <v>2886</v>
      </c>
      <c r="M811" s="270">
        <f t="shared" si="227"/>
        <v>3152</v>
      </c>
      <c r="N811" s="270">
        <f t="shared" si="227"/>
        <v>779</v>
      </c>
      <c r="O811" s="270">
        <f t="shared" si="227"/>
        <v>779</v>
      </c>
      <c r="P811" s="270">
        <f t="shared" si="227"/>
        <v>779</v>
      </c>
      <c r="Q811" s="270">
        <f t="shared" si="227"/>
        <v>779</v>
      </c>
      <c r="R811" s="270">
        <f t="shared" si="227"/>
        <v>779</v>
      </c>
      <c r="S811" s="270">
        <f t="shared" si="228"/>
        <v>779</v>
      </c>
      <c r="T811" s="270">
        <f t="shared" si="228"/>
        <v>779</v>
      </c>
      <c r="U811" s="270">
        <f t="shared" si="228"/>
        <v>779</v>
      </c>
      <c r="V811" s="270">
        <f t="shared" si="228"/>
        <v>779</v>
      </c>
      <c r="W811" s="270">
        <f t="shared" si="228"/>
        <v>779</v>
      </c>
      <c r="X811" s="270">
        <f t="shared" si="228"/>
        <v>779</v>
      </c>
      <c r="Y811" s="270">
        <f t="shared" si="228"/>
        <v>779</v>
      </c>
      <c r="Z811" s="270">
        <f t="shared" si="228"/>
        <v>779</v>
      </c>
      <c r="AA811" s="270">
        <f t="shared" si="228"/>
        <v>779</v>
      </c>
      <c r="AB811" s="270">
        <f t="shared" si="228"/>
        <v>779</v>
      </c>
      <c r="AC811" s="270">
        <f t="shared" si="228"/>
        <v>779</v>
      </c>
      <c r="AD811" s="270">
        <f t="shared" si="227"/>
        <v>779</v>
      </c>
      <c r="AE811" s="270">
        <f t="shared" si="226"/>
        <v>779</v>
      </c>
      <c r="AF811" s="270">
        <f t="shared" si="226"/>
        <v>779</v>
      </c>
      <c r="AG811" s="270">
        <f t="shared" si="226"/>
        <v>779</v>
      </c>
      <c r="AH811" s="270">
        <f t="shared" si="226"/>
        <v>779</v>
      </c>
      <c r="AI811" s="270">
        <f t="shared" si="226"/>
        <v>779</v>
      </c>
      <c r="AJ811" s="270">
        <f t="shared" ref="AF811:AM839" si="229">+MIN(MAX(0,$C811-AJ$28),AJ$29-AJ$28)*AJ$34
+MIN(MAX(0,$C811-AJ$29),AJ$30-AJ$29)*AJ$35
+MIN(MAX(0,$C811-AJ$30),AJ$31-AJ$30)*AJ$36
+MIN(MAX(0,$C811-AJ$31),AJ$32-AJ$31)*AJ$37
+MAX(0,$C811-AJ$32)*AJ$38
+AJ$39</f>
        <v>779</v>
      </c>
      <c r="AK811" s="270">
        <f t="shared" si="229"/>
        <v>779</v>
      </c>
      <c r="AL811" s="270">
        <f t="shared" si="229"/>
        <v>779</v>
      </c>
      <c r="AM811" s="270">
        <f t="shared" si="229"/>
        <v>779</v>
      </c>
    </row>
    <row r="812" spans="2:39" ht="15.75" thickBot="1" x14ac:dyDescent="0.35">
      <c r="B812" s="56" t="str">
        <f>input_names!$E$3</f>
        <v>plug-in</v>
      </c>
      <c r="C812" s="61">
        <v>57</v>
      </c>
      <c r="D812" s="270">
        <f t="shared" si="227"/>
        <v>342</v>
      </c>
      <c r="E812" s="270">
        <f t="shared" si="227"/>
        <v>342</v>
      </c>
      <c r="F812" s="270">
        <f t="shared" si="227"/>
        <v>4500</v>
      </c>
      <c r="G812" s="270">
        <f t="shared" si="227"/>
        <v>4333</v>
      </c>
      <c r="H812" s="270">
        <f t="shared" si="227"/>
        <v>4967</v>
      </c>
      <c r="I812" s="270">
        <f t="shared" si="227"/>
        <v>4899</v>
      </c>
      <c r="J812" s="270">
        <f t="shared" si="227"/>
        <v>2748</v>
      </c>
      <c r="K812" s="270">
        <f t="shared" si="227"/>
        <v>2771</v>
      </c>
      <c r="L812" s="270">
        <f t="shared" si="227"/>
        <v>2977</v>
      </c>
      <c r="M812" s="270">
        <f t="shared" si="227"/>
        <v>3252</v>
      </c>
      <c r="N812" s="270">
        <f t="shared" si="227"/>
        <v>781</v>
      </c>
      <c r="O812" s="270">
        <f t="shared" si="227"/>
        <v>781</v>
      </c>
      <c r="P812" s="270">
        <f t="shared" si="227"/>
        <v>781</v>
      </c>
      <c r="Q812" s="270">
        <f t="shared" si="227"/>
        <v>781</v>
      </c>
      <c r="R812" s="270">
        <f t="shared" si="227"/>
        <v>781</v>
      </c>
      <c r="S812" s="270">
        <f t="shared" si="228"/>
        <v>781</v>
      </c>
      <c r="T812" s="270">
        <f t="shared" si="228"/>
        <v>781</v>
      </c>
      <c r="U812" s="270">
        <f t="shared" si="228"/>
        <v>781</v>
      </c>
      <c r="V812" s="270">
        <f t="shared" si="228"/>
        <v>781</v>
      </c>
      <c r="W812" s="270">
        <f t="shared" si="228"/>
        <v>781</v>
      </c>
      <c r="X812" s="270">
        <f t="shared" si="228"/>
        <v>781</v>
      </c>
      <c r="Y812" s="270">
        <f t="shared" si="228"/>
        <v>781</v>
      </c>
      <c r="Z812" s="270">
        <f t="shared" si="228"/>
        <v>781</v>
      </c>
      <c r="AA812" s="270">
        <f t="shared" si="228"/>
        <v>781</v>
      </c>
      <c r="AB812" s="270">
        <f t="shared" si="228"/>
        <v>781</v>
      </c>
      <c r="AC812" s="270">
        <f t="shared" si="228"/>
        <v>781</v>
      </c>
      <c r="AD812" s="270">
        <f t="shared" si="227"/>
        <v>781</v>
      </c>
      <c r="AE812" s="270">
        <f t="shared" ref="AE812:AE875" si="230">+MIN(MAX(0,$C812-AE$28),AE$29-AE$28)*AE$34
+MIN(MAX(0,$C812-AE$29),AE$30-AE$29)*AE$35
+MIN(MAX(0,$C812-AE$30),AE$31-AE$30)*AE$36
+MIN(MAX(0,$C812-AE$31),AE$32-AE$31)*AE$37
+MAX(0,$C812-AE$32)*AE$38
+AE$39</f>
        <v>781</v>
      </c>
      <c r="AF812" s="270">
        <f t="shared" si="229"/>
        <v>781</v>
      </c>
      <c r="AG812" s="270">
        <f t="shared" si="229"/>
        <v>781</v>
      </c>
      <c r="AH812" s="270">
        <f t="shared" si="229"/>
        <v>781</v>
      </c>
      <c r="AI812" s="270">
        <f t="shared" si="229"/>
        <v>781</v>
      </c>
      <c r="AJ812" s="270">
        <f t="shared" si="229"/>
        <v>781</v>
      </c>
      <c r="AK812" s="270">
        <f t="shared" si="229"/>
        <v>781</v>
      </c>
      <c r="AL812" s="270">
        <f t="shared" si="229"/>
        <v>781</v>
      </c>
      <c r="AM812" s="270">
        <f t="shared" si="229"/>
        <v>781</v>
      </c>
    </row>
    <row r="813" spans="2:39" ht="15.75" thickBot="1" x14ac:dyDescent="0.35">
      <c r="B813" s="56" t="str">
        <f>input_names!$E$3</f>
        <v>plug-in</v>
      </c>
      <c r="C813" s="61">
        <v>58</v>
      </c>
      <c r="D813" s="270">
        <f t="shared" si="227"/>
        <v>348</v>
      </c>
      <c r="E813" s="270">
        <f t="shared" si="227"/>
        <v>348</v>
      </c>
      <c r="F813" s="270">
        <f t="shared" si="227"/>
        <v>4800</v>
      </c>
      <c r="G813" s="270">
        <f t="shared" si="227"/>
        <v>4622</v>
      </c>
      <c r="H813" s="270">
        <f t="shared" si="227"/>
        <v>5238</v>
      </c>
      <c r="I813" s="270">
        <f t="shared" si="227"/>
        <v>5166</v>
      </c>
      <c r="J813" s="270">
        <f t="shared" si="227"/>
        <v>2832</v>
      </c>
      <c r="K813" s="270">
        <f t="shared" si="227"/>
        <v>2856</v>
      </c>
      <c r="L813" s="270">
        <f t="shared" si="227"/>
        <v>3068</v>
      </c>
      <c r="M813" s="270">
        <f t="shared" si="227"/>
        <v>3352</v>
      </c>
      <c r="N813" s="270">
        <f t="shared" si="227"/>
        <v>783</v>
      </c>
      <c r="O813" s="270">
        <f t="shared" si="227"/>
        <v>783</v>
      </c>
      <c r="P813" s="270">
        <f t="shared" si="227"/>
        <v>783</v>
      </c>
      <c r="Q813" s="270">
        <f t="shared" si="227"/>
        <v>783</v>
      </c>
      <c r="R813" s="270">
        <f t="shared" si="227"/>
        <v>783</v>
      </c>
      <c r="S813" s="270">
        <f t="shared" si="228"/>
        <v>783</v>
      </c>
      <c r="T813" s="270">
        <f t="shared" si="228"/>
        <v>783</v>
      </c>
      <c r="U813" s="270">
        <f t="shared" si="228"/>
        <v>783</v>
      </c>
      <c r="V813" s="270">
        <f t="shared" si="228"/>
        <v>783</v>
      </c>
      <c r="W813" s="270">
        <f t="shared" si="228"/>
        <v>783</v>
      </c>
      <c r="X813" s="270">
        <f t="shared" si="228"/>
        <v>783</v>
      </c>
      <c r="Y813" s="270">
        <f t="shared" si="228"/>
        <v>783</v>
      </c>
      <c r="Z813" s="270">
        <f t="shared" si="228"/>
        <v>783</v>
      </c>
      <c r="AA813" s="270">
        <f t="shared" si="228"/>
        <v>783</v>
      </c>
      <c r="AB813" s="270">
        <f t="shared" si="228"/>
        <v>783</v>
      </c>
      <c r="AC813" s="270">
        <f t="shared" si="228"/>
        <v>783</v>
      </c>
      <c r="AD813" s="270">
        <f t="shared" si="227"/>
        <v>783</v>
      </c>
      <c r="AE813" s="270">
        <f t="shared" si="230"/>
        <v>783</v>
      </c>
      <c r="AF813" s="270">
        <f t="shared" si="229"/>
        <v>783</v>
      </c>
      <c r="AG813" s="270">
        <f t="shared" si="229"/>
        <v>783</v>
      </c>
      <c r="AH813" s="270">
        <f t="shared" si="229"/>
        <v>783</v>
      </c>
      <c r="AI813" s="270">
        <f t="shared" si="229"/>
        <v>783</v>
      </c>
      <c r="AJ813" s="270">
        <f t="shared" si="229"/>
        <v>783</v>
      </c>
      <c r="AK813" s="270">
        <f t="shared" si="229"/>
        <v>783</v>
      </c>
      <c r="AL813" s="270">
        <f t="shared" si="229"/>
        <v>783</v>
      </c>
      <c r="AM813" s="270">
        <f t="shared" si="229"/>
        <v>783</v>
      </c>
    </row>
    <row r="814" spans="2:39" ht="15.75" thickBot="1" x14ac:dyDescent="0.35">
      <c r="B814" s="56" t="str">
        <f>input_names!$E$3</f>
        <v>plug-in</v>
      </c>
      <c r="C814" s="61">
        <v>59</v>
      </c>
      <c r="D814" s="270">
        <f t="shared" si="227"/>
        <v>354</v>
      </c>
      <c r="E814" s="270">
        <f t="shared" si="227"/>
        <v>354</v>
      </c>
      <c r="F814" s="270">
        <f t="shared" si="227"/>
        <v>5100</v>
      </c>
      <c r="G814" s="270">
        <f t="shared" si="227"/>
        <v>4911</v>
      </c>
      <c r="H814" s="270">
        <f t="shared" si="227"/>
        <v>5509</v>
      </c>
      <c r="I814" s="270">
        <f t="shared" si="227"/>
        <v>5433</v>
      </c>
      <c r="J814" s="270">
        <f t="shared" si="227"/>
        <v>2916</v>
      </c>
      <c r="K814" s="270">
        <f t="shared" si="227"/>
        <v>2941</v>
      </c>
      <c r="L814" s="270">
        <f t="shared" si="227"/>
        <v>3159</v>
      </c>
      <c r="M814" s="270">
        <f t="shared" si="227"/>
        <v>3452</v>
      </c>
      <c r="N814" s="270">
        <f t="shared" si="227"/>
        <v>785</v>
      </c>
      <c r="O814" s="270">
        <f t="shared" si="227"/>
        <v>785</v>
      </c>
      <c r="P814" s="270">
        <f t="shared" si="227"/>
        <v>785</v>
      </c>
      <c r="Q814" s="270">
        <f t="shared" si="227"/>
        <v>785</v>
      </c>
      <c r="R814" s="270">
        <f t="shared" si="227"/>
        <v>785</v>
      </c>
      <c r="S814" s="270">
        <f t="shared" si="228"/>
        <v>785</v>
      </c>
      <c r="T814" s="270">
        <f t="shared" si="228"/>
        <v>785</v>
      </c>
      <c r="U814" s="270">
        <f t="shared" si="228"/>
        <v>785</v>
      </c>
      <c r="V814" s="270">
        <f t="shared" si="228"/>
        <v>785</v>
      </c>
      <c r="W814" s="270">
        <f t="shared" si="228"/>
        <v>785</v>
      </c>
      <c r="X814" s="270">
        <f t="shared" si="228"/>
        <v>785</v>
      </c>
      <c r="Y814" s="270">
        <f t="shared" si="228"/>
        <v>785</v>
      </c>
      <c r="Z814" s="270">
        <f t="shared" si="228"/>
        <v>785</v>
      </c>
      <c r="AA814" s="270">
        <f t="shared" si="228"/>
        <v>785</v>
      </c>
      <c r="AB814" s="270">
        <f t="shared" si="228"/>
        <v>785</v>
      </c>
      <c r="AC814" s="270">
        <f t="shared" si="228"/>
        <v>785</v>
      </c>
      <c r="AD814" s="270">
        <f t="shared" si="227"/>
        <v>785</v>
      </c>
      <c r="AE814" s="270">
        <f t="shared" si="230"/>
        <v>785</v>
      </c>
      <c r="AF814" s="270">
        <f t="shared" si="229"/>
        <v>785</v>
      </c>
      <c r="AG814" s="270">
        <f t="shared" si="229"/>
        <v>785</v>
      </c>
      <c r="AH814" s="270">
        <f t="shared" si="229"/>
        <v>785</v>
      </c>
      <c r="AI814" s="270">
        <f t="shared" si="229"/>
        <v>785</v>
      </c>
      <c r="AJ814" s="270">
        <f t="shared" si="229"/>
        <v>785</v>
      </c>
      <c r="AK814" s="270">
        <f t="shared" si="229"/>
        <v>785</v>
      </c>
      <c r="AL814" s="270">
        <f t="shared" si="229"/>
        <v>785</v>
      </c>
      <c r="AM814" s="270">
        <f t="shared" si="229"/>
        <v>785</v>
      </c>
    </row>
    <row r="815" spans="2:39" ht="15.75" thickBot="1" x14ac:dyDescent="0.35">
      <c r="B815" s="56" t="str">
        <f>input_names!$E$3</f>
        <v>plug-in</v>
      </c>
      <c r="C815" s="61">
        <v>60</v>
      </c>
      <c r="D815" s="270">
        <f t="shared" si="227"/>
        <v>360</v>
      </c>
      <c r="E815" s="270">
        <f t="shared" si="227"/>
        <v>360</v>
      </c>
      <c r="F815" s="270">
        <f t="shared" si="227"/>
        <v>5400</v>
      </c>
      <c r="G815" s="270">
        <f t="shared" si="227"/>
        <v>5200</v>
      </c>
      <c r="H815" s="270">
        <f t="shared" si="227"/>
        <v>5780</v>
      </c>
      <c r="I815" s="270">
        <f t="shared" si="227"/>
        <v>5700</v>
      </c>
      <c r="J815" s="270">
        <f t="shared" si="227"/>
        <v>3000</v>
      </c>
      <c r="K815" s="270">
        <f t="shared" si="227"/>
        <v>3026</v>
      </c>
      <c r="L815" s="270">
        <f t="shared" si="227"/>
        <v>3250</v>
      </c>
      <c r="M815" s="270">
        <f t="shared" si="227"/>
        <v>3552</v>
      </c>
      <c r="N815" s="270">
        <f t="shared" si="227"/>
        <v>787</v>
      </c>
      <c r="O815" s="270">
        <f t="shared" si="227"/>
        <v>787</v>
      </c>
      <c r="P815" s="270">
        <f t="shared" si="227"/>
        <v>787</v>
      </c>
      <c r="Q815" s="270">
        <f t="shared" si="227"/>
        <v>787</v>
      </c>
      <c r="R815" s="270">
        <f t="shared" si="227"/>
        <v>787</v>
      </c>
      <c r="S815" s="270">
        <f t="shared" si="228"/>
        <v>787</v>
      </c>
      <c r="T815" s="270">
        <f t="shared" si="228"/>
        <v>787</v>
      </c>
      <c r="U815" s="270">
        <f t="shared" si="228"/>
        <v>787</v>
      </c>
      <c r="V815" s="270">
        <f t="shared" si="228"/>
        <v>787</v>
      </c>
      <c r="W815" s="270">
        <f t="shared" si="228"/>
        <v>787</v>
      </c>
      <c r="X815" s="270">
        <f t="shared" si="228"/>
        <v>787</v>
      </c>
      <c r="Y815" s="270">
        <f t="shared" si="228"/>
        <v>787</v>
      </c>
      <c r="Z815" s="270">
        <f t="shared" si="228"/>
        <v>787</v>
      </c>
      <c r="AA815" s="270">
        <f t="shared" si="228"/>
        <v>787</v>
      </c>
      <c r="AB815" s="270">
        <f t="shared" si="228"/>
        <v>787</v>
      </c>
      <c r="AC815" s="270">
        <f t="shared" si="228"/>
        <v>787</v>
      </c>
      <c r="AD815" s="270">
        <f t="shared" si="227"/>
        <v>787</v>
      </c>
      <c r="AE815" s="270">
        <f t="shared" si="230"/>
        <v>787</v>
      </c>
      <c r="AF815" s="270">
        <f t="shared" si="229"/>
        <v>787</v>
      </c>
      <c r="AG815" s="270">
        <f t="shared" si="229"/>
        <v>787</v>
      </c>
      <c r="AH815" s="270">
        <f t="shared" si="229"/>
        <v>787</v>
      </c>
      <c r="AI815" s="270">
        <f t="shared" si="229"/>
        <v>787</v>
      </c>
      <c r="AJ815" s="270">
        <f t="shared" si="229"/>
        <v>787</v>
      </c>
      <c r="AK815" s="270">
        <f t="shared" si="229"/>
        <v>787</v>
      </c>
      <c r="AL815" s="270">
        <f t="shared" si="229"/>
        <v>787</v>
      </c>
      <c r="AM815" s="270">
        <f t="shared" si="229"/>
        <v>787</v>
      </c>
    </row>
    <row r="816" spans="2:39" ht="15.75" thickBot="1" x14ac:dyDescent="0.35">
      <c r="B816" s="56" t="str">
        <f>input_names!$E$3</f>
        <v>plug-in</v>
      </c>
      <c r="C816" s="61">
        <v>61</v>
      </c>
      <c r="D816" s="270">
        <f t="shared" si="227"/>
        <v>366</v>
      </c>
      <c r="E816" s="270">
        <f t="shared" si="227"/>
        <v>366</v>
      </c>
      <c r="F816" s="270">
        <f t="shared" si="227"/>
        <v>5700</v>
      </c>
      <c r="G816" s="270">
        <f t="shared" si="227"/>
        <v>5489</v>
      </c>
      <c r="H816" s="270">
        <f t="shared" si="227"/>
        <v>6051</v>
      </c>
      <c r="I816" s="270">
        <f t="shared" si="227"/>
        <v>5967</v>
      </c>
      <c r="J816" s="270">
        <f t="shared" si="227"/>
        <v>3202</v>
      </c>
      <c r="K816" s="270">
        <f t="shared" si="227"/>
        <v>3230</v>
      </c>
      <c r="L816" s="270">
        <f t="shared" si="227"/>
        <v>3467</v>
      </c>
      <c r="M816" s="270">
        <f t="shared" si="227"/>
        <v>3791</v>
      </c>
      <c r="N816" s="270">
        <f t="shared" si="227"/>
        <v>789</v>
      </c>
      <c r="O816" s="270">
        <f t="shared" si="227"/>
        <v>789</v>
      </c>
      <c r="P816" s="270">
        <f t="shared" si="227"/>
        <v>789</v>
      </c>
      <c r="Q816" s="270">
        <f t="shared" si="227"/>
        <v>789</v>
      </c>
      <c r="R816" s="270">
        <f t="shared" si="227"/>
        <v>789</v>
      </c>
      <c r="S816" s="270">
        <f t="shared" si="228"/>
        <v>789</v>
      </c>
      <c r="T816" s="270">
        <f t="shared" si="228"/>
        <v>789</v>
      </c>
      <c r="U816" s="270">
        <f t="shared" si="228"/>
        <v>789</v>
      </c>
      <c r="V816" s="270">
        <f t="shared" si="228"/>
        <v>789</v>
      </c>
      <c r="W816" s="270">
        <f t="shared" si="228"/>
        <v>789</v>
      </c>
      <c r="X816" s="270">
        <f t="shared" si="228"/>
        <v>789</v>
      </c>
      <c r="Y816" s="270">
        <f t="shared" si="228"/>
        <v>789</v>
      </c>
      <c r="Z816" s="270">
        <f t="shared" si="228"/>
        <v>789</v>
      </c>
      <c r="AA816" s="270">
        <f t="shared" si="228"/>
        <v>789</v>
      </c>
      <c r="AB816" s="270">
        <f t="shared" si="228"/>
        <v>789</v>
      </c>
      <c r="AC816" s="270">
        <f t="shared" si="228"/>
        <v>789</v>
      </c>
      <c r="AD816" s="270">
        <f t="shared" si="227"/>
        <v>789</v>
      </c>
      <c r="AE816" s="270">
        <f t="shared" si="230"/>
        <v>789</v>
      </c>
      <c r="AF816" s="270">
        <f t="shared" si="229"/>
        <v>789</v>
      </c>
      <c r="AG816" s="270">
        <f t="shared" si="229"/>
        <v>789</v>
      </c>
      <c r="AH816" s="270">
        <f t="shared" si="229"/>
        <v>789</v>
      </c>
      <c r="AI816" s="270">
        <f t="shared" si="229"/>
        <v>789</v>
      </c>
      <c r="AJ816" s="270">
        <f t="shared" si="229"/>
        <v>789</v>
      </c>
      <c r="AK816" s="270">
        <f t="shared" si="229"/>
        <v>789</v>
      </c>
      <c r="AL816" s="270">
        <f t="shared" si="229"/>
        <v>789</v>
      </c>
      <c r="AM816" s="270">
        <f t="shared" si="229"/>
        <v>789</v>
      </c>
    </row>
    <row r="817" spans="2:39" ht="15.75" thickBot="1" x14ac:dyDescent="0.35">
      <c r="B817" s="56" t="str">
        <f>input_names!$E$3</f>
        <v>plug-in</v>
      </c>
      <c r="C817" s="61">
        <v>62</v>
      </c>
      <c r="D817" s="270">
        <f t="shared" si="227"/>
        <v>372</v>
      </c>
      <c r="E817" s="270">
        <f t="shared" si="227"/>
        <v>372</v>
      </c>
      <c r="F817" s="270">
        <f t="shared" si="227"/>
        <v>6000</v>
      </c>
      <c r="G817" s="270">
        <f t="shared" si="227"/>
        <v>5778</v>
      </c>
      <c r="H817" s="270">
        <f t="shared" si="227"/>
        <v>6322</v>
      </c>
      <c r="I817" s="270">
        <f t="shared" si="227"/>
        <v>6234</v>
      </c>
      <c r="J817" s="270">
        <f t="shared" si="227"/>
        <v>3404</v>
      </c>
      <c r="K817" s="270">
        <f t="shared" si="227"/>
        <v>3434</v>
      </c>
      <c r="L817" s="270">
        <f t="shared" si="227"/>
        <v>3684</v>
      </c>
      <c r="M817" s="270">
        <f t="shared" si="227"/>
        <v>4030</v>
      </c>
      <c r="N817" s="270">
        <f t="shared" si="227"/>
        <v>791</v>
      </c>
      <c r="O817" s="270">
        <f t="shared" si="227"/>
        <v>791</v>
      </c>
      <c r="P817" s="270">
        <f t="shared" si="227"/>
        <v>791</v>
      </c>
      <c r="Q817" s="270">
        <f t="shared" si="227"/>
        <v>791</v>
      </c>
      <c r="R817" s="270">
        <f t="shared" si="227"/>
        <v>791</v>
      </c>
      <c r="S817" s="270">
        <f>+MIN(MAX(0,$C817-S$28),S$29-S$28)*S$34
+MIN(MAX(0,$C817-S$29),S$30-S$29)*S$35
+MIN(MAX(0,$C817-S$30),S$31-S$30)*S$36
+MIN(MAX(0,$C817-S$31),S$32-S$31)*S$37
+MAX(0,$C817-S$32)*S$38
+S$39</f>
        <v>791</v>
      </c>
      <c r="T817" s="270">
        <f t="shared" si="228"/>
        <v>791</v>
      </c>
      <c r="U817" s="270">
        <f t="shared" si="228"/>
        <v>791</v>
      </c>
      <c r="V817" s="270">
        <f t="shared" si="228"/>
        <v>791</v>
      </c>
      <c r="W817" s="270">
        <f t="shared" si="228"/>
        <v>791</v>
      </c>
      <c r="X817" s="270">
        <f t="shared" si="228"/>
        <v>791</v>
      </c>
      <c r="Y817" s="270">
        <f t="shared" si="228"/>
        <v>791</v>
      </c>
      <c r="Z817" s="270">
        <f t="shared" si="228"/>
        <v>791</v>
      </c>
      <c r="AA817" s="270">
        <f t="shared" si="228"/>
        <v>791</v>
      </c>
      <c r="AB817" s="270">
        <f t="shared" si="228"/>
        <v>791</v>
      </c>
      <c r="AC817" s="270">
        <f t="shared" si="228"/>
        <v>791</v>
      </c>
      <c r="AD817" s="270">
        <f>+MIN(MAX(0,$C817-AD$28),AD$29-AD$28)*AD$34
+MIN(MAX(0,$C817-AD$29),AD$30-AD$29)*AD$35
+MIN(MAX(0,$C817-AD$30),AD$31-AD$30)*AD$36
+MIN(MAX(0,$C817-AD$31),AD$32-AD$31)*AD$37
+MAX(0,$C817-AD$32)*AD$38
+AD$39</f>
        <v>791</v>
      </c>
      <c r="AE817" s="270">
        <f t="shared" si="230"/>
        <v>791</v>
      </c>
      <c r="AF817" s="270">
        <f t="shared" si="229"/>
        <v>791</v>
      </c>
      <c r="AG817" s="270">
        <f t="shared" si="229"/>
        <v>791</v>
      </c>
      <c r="AH817" s="270">
        <f t="shared" si="229"/>
        <v>791</v>
      </c>
      <c r="AI817" s="270">
        <f t="shared" si="229"/>
        <v>791</v>
      </c>
      <c r="AJ817" s="270">
        <f t="shared" si="229"/>
        <v>791</v>
      </c>
      <c r="AK817" s="270">
        <f t="shared" si="229"/>
        <v>791</v>
      </c>
      <c r="AL817" s="270">
        <f t="shared" si="229"/>
        <v>791</v>
      </c>
      <c r="AM817" s="270">
        <f t="shared" si="229"/>
        <v>791</v>
      </c>
    </row>
    <row r="818" spans="2:39" ht="15.75" thickBot="1" x14ac:dyDescent="0.35">
      <c r="B818" s="56" t="str">
        <f>input_names!$E$3</f>
        <v>plug-in</v>
      </c>
      <c r="C818" s="61">
        <v>63</v>
      </c>
      <c r="D818" s="270">
        <f t="shared" ref="D818:AD833" si="231">+MIN(MAX(0,$C818-D$28),D$29-D$28)*D$34
+MIN(MAX(0,$C818-D$29),D$30-D$29)*D$35
+MIN(MAX(0,$C818-D$30),D$31-D$30)*D$36
+MIN(MAX(0,$C818-D$31),D$32-D$31)*D$37
+MAX(0,$C818-D$32)*D$38
+D$39</f>
        <v>378</v>
      </c>
      <c r="E818" s="270">
        <f t="shared" si="231"/>
        <v>378</v>
      </c>
      <c r="F818" s="270">
        <f t="shared" si="231"/>
        <v>6300</v>
      </c>
      <c r="G818" s="270">
        <f t="shared" si="231"/>
        <v>6067</v>
      </c>
      <c r="H818" s="270">
        <f t="shared" si="231"/>
        <v>6593</v>
      </c>
      <c r="I818" s="270">
        <f t="shared" si="231"/>
        <v>6501</v>
      </c>
      <c r="J818" s="270">
        <f t="shared" si="231"/>
        <v>3606</v>
      </c>
      <c r="K818" s="270">
        <f t="shared" si="231"/>
        <v>3638</v>
      </c>
      <c r="L818" s="270">
        <f t="shared" si="231"/>
        <v>3901</v>
      </c>
      <c r="M818" s="270">
        <f t="shared" si="231"/>
        <v>4269</v>
      </c>
      <c r="N818" s="270">
        <f t="shared" si="231"/>
        <v>793</v>
      </c>
      <c r="O818" s="270">
        <f t="shared" si="231"/>
        <v>793</v>
      </c>
      <c r="P818" s="270">
        <f t="shared" si="231"/>
        <v>793</v>
      </c>
      <c r="Q818" s="270">
        <f t="shared" si="231"/>
        <v>793</v>
      </c>
      <c r="R818" s="270">
        <f t="shared" si="231"/>
        <v>793</v>
      </c>
      <c r="S818" s="270">
        <f t="shared" ref="S818:AC833" si="232">+MIN(MAX(0,$C818-S$28),S$29-S$28)*S$34
+MIN(MAX(0,$C818-S$29),S$30-S$29)*S$35
+MIN(MAX(0,$C818-S$30),S$31-S$30)*S$36
+MIN(MAX(0,$C818-S$31),S$32-S$31)*S$37
+MAX(0,$C818-S$32)*S$38
+S$39</f>
        <v>793</v>
      </c>
      <c r="T818" s="270">
        <f t="shared" si="232"/>
        <v>793</v>
      </c>
      <c r="U818" s="270">
        <f t="shared" si="232"/>
        <v>793</v>
      </c>
      <c r="V818" s="270">
        <f t="shared" si="232"/>
        <v>793</v>
      </c>
      <c r="W818" s="270">
        <f t="shared" si="232"/>
        <v>793</v>
      </c>
      <c r="X818" s="270">
        <f t="shared" si="232"/>
        <v>793</v>
      </c>
      <c r="Y818" s="270">
        <f t="shared" si="232"/>
        <v>793</v>
      </c>
      <c r="Z818" s="270">
        <f t="shared" si="232"/>
        <v>793</v>
      </c>
      <c r="AA818" s="270">
        <f t="shared" si="232"/>
        <v>793</v>
      </c>
      <c r="AB818" s="270">
        <f t="shared" si="232"/>
        <v>793</v>
      </c>
      <c r="AC818" s="270">
        <f t="shared" si="232"/>
        <v>793</v>
      </c>
      <c r="AD818" s="270">
        <f t="shared" si="231"/>
        <v>793</v>
      </c>
      <c r="AE818" s="270">
        <f t="shared" si="230"/>
        <v>793</v>
      </c>
      <c r="AF818" s="270">
        <f t="shared" si="229"/>
        <v>793</v>
      </c>
      <c r="AG818" s="270">
        <f t="shared" si="229"/>
        <v>793</v>
      </c>
      <c r="AH818" s="270">
        <f t="shared" si="229"/>
        <v>793</v>
      </c>
      <c r="AI818" s="270">
        <f t="shared" si="229"/>
        <v>793</v>
      </c>
      <c r="AJ818" s="270">
        <f t="shared" si="229"/>
        <v>793</v>
      </c>
      <c r="AK818" s="270">
        <f t="shared" si="229"/>
        <v>793</v>
      </c>
      <c r="AL818" s="270">
        <f t="shared" si="229"/>
        <v>793</v>
      </c>
      <c r="AM818" s="270">
        <f t="shared" si="229"/>
        <v>793</v>
      </c>
    </row>
    <row r="819" spans="2:39" ht="15.75" thickBot="1" x14ac:dyDescent="0.35">
      <c r="B819" s="56" t="str">
        <f>input_names!$E$3</f>
        <v>plug-in</v>
      </c>
      <c r="C819" s="61">
        <v>64</v>
      </c>
      <c r="D819" s="270">
        <f t="shared" si="231"/>
        <v>384</v>
      </c>
      <c r="E819" s="270">
        <f t="shared" si="231"/>
        <v>384</v>
      </c>
      <c r="F819" s="270">
        <f t="shared" si="231"/>
        <v>6600</v>
      </c>
      <c r="G819" s="270">
        <f t="shared" si="231"/>
        <v>6356</v>
      </c>
      <c r="H819" s="270">
        <f t="shared" si="231"/>
        <v>6864</v>
      </c>
      <c r="I819" s="270">
        <f t="shared" si="231"/>
        <v>6768</v>
      </c>
      <c r="J819" s="270">
        <f t="shared" si="231"/>
        <v>3808</v>
      </c>
      <c r="K819" s="270">
        <f t="shared" si="231"/>
        <v>3842</v>
      </c>
      <c r="L819" s="270">
        <f t="shared" si="231"/>
        <v>4118</v>
      </c>
      <c r="M819" s="270">
        <f t="shared" si="231"/>
        <v>4508</v>
      </c>
      <c r="N819" s="270">
        <f t="shared" si="231"/>
        <v>795</v>
      </c>
      <c r="O819" s="270">
        <f t="shared" si="231"/>
        <v>795</v>
      </c>
      <c r="P819" s="270">
        <f t="shared" si="231"/>
        <v>795</v>
      </c>
      <c r="Q819" s="270">
        <f t="shared" si="231"/>
        <v>795</v>
      </c>
      <c r="R819" s="270">
        <f t="shared" si="231"/>
        <v>795</v>
      </c>
      <c r="S819" s="270">
        <f t="shared" si="232"/>
        <v>795</v>
      </c>
      <c r="T819" s="270">
        <f t="shared" si="232"/>
        <v>795</v>
      </c>
      <c r="U819" s="270">
        <f t="shared" si="232"/>
        <v>795</v>
      </c>
      <c r="V819" s="270">
        <f t="shared" si="232"/>
        <v>795</v>
      </c>
      <c r="W819" s="270">
        <f t="shared" si="232"/>
        <v>795</v>
      </c>
      <c r="X819" s="270">
        <f t="shared" si="232"/>
        <v>795</v>
      </c>
      <c r="Y819" s="270">
        <f t="shared" si="232"/>
        <v>795</v>
      </c>
      <c r="Z819" s="270">
        <f t="shared" si="232"/>
        <v>795</v>
      </c>
      <c r="AA819" s="270">
        <f t="shared" si="232"/>
        <v>795</v>
      </c>
      <c r="AB819" s="270">
        <f t="shared" si="232"/>
        <v>795</v>
      </c>
      <c r="AC819" s="270">
        <f t="shared" si="232"/>
        <v>795</v>
      </c>
      <c r="AD819" s="270">
        <f t="shared" si="231"/>
        <v>795</v>
      </c>
      <c r="AE819" s="270">
        <f t="shared" si="230"/>
        <v>795</v>
      </c>
      <c r="AF819" s="270">
        <f t="shared" si="229"/>
        <v>795</v>
      </c>
      <c r="AG819" s="270">
        <f t="shared" si="229"/>
        <v>795</v>
      </c>
      <c r="AH819" s="270">
        <f t="shared" si="229"/>
        <v>795</v>
      </c>
      <c r="AI819" s="270">
        <f t="shared" si="229"/>
        <v>795</v>
      </c>
      <c r="AJ819" s="270">
        <f t="shared" si="229"/>
        <v>795</v>
      </c>
      <c r="AK819" s="270">
        <f t="shared" si="229"/>
        <v>795</v>
      </c>
      <c r="AL819" s="270">
        <f t="shared" si="229"/>
        <v>795</v>
      </c>
      <c r="AM819" s="270">
        <f t="shared" si="229"/>
        <v>795</v>
      </c>
    </row>
    <row r="820" spans="2:39" ht="15.75" thickBot="1" x14ac:dyDescent="0.35">
      <c r="B820" s="56" t="str">
        <f>input_names!$E$3</f>
        <v>plug-in</v>
      </c>
      <c r="C820" s="61">
        <v>65</v>
      </c>
      <c r="D820" s="270">
        <f t="shared" si="231"/>
        <v>390</v>
      </c>
      <c r="E820" s="270">
        <f t="shared" si="231"/>
        <v>390</v>
      </c>
      <c r="F820" s="270">
        <f t="shared" si="231"/>
        <v>6900</v>
      </c>
      <c r="G820" s="270">
        <f t="shared" si="231"/>
        <v>6645</v>
      </c>
      <c r="H820" s="270">
        <f t="shared" si="231"/>
        <v>7135</v>
      </c>
      <c r="I820" s="270">
        <f t="shared" si="231"/>
        <v>7035</v>
      </c>
      <c r="J820" s="270">
        <f t="shared" si="231"/>
        <v>4010</v>
      </c>
      <c r="K820" s="270">
        <f t="shared" si="231"/>
        <v>4046</v>
      </c>
      <c r="L820" s="270">
        <f t="shared" si="231"/>
        <v>4335</v>
      </c>
      <c r="M820" s="270">
        <f t="shared" si="231"/>
        <v>4747</v>
      </c>
      <c r="N820" s="270">
        <f t="shared" si="231"/>
        <v>797</v>
      </c>
      <c r="O820" s="270">
        <f t="shared" si="231"/>
        <v>797</v>
      </c>
      <c r="P820" s="270">
        <f t="shared" si="231"/>
        <v>797</v>
      </c>
      <c r="Q820" s="270">
        <f t="shared" si="231"/>
        <v>797</v>
      </c>
      <c r="R820" s="270">
        <f t="shared" si="231"/>
        <v>797</v>
      </c>
      <c r="S820" s="270">
        <f t="shared" si="232"/>
        <v>797</v>
      </c>
      <c r="T820" s="270">
        <f t="shared" si="232"/>
        <v>797</v>
      </c>
      <c r="U820" s="270">
        <f t="shared" si="232"/>
        <v>797</v>
      </c>
      <c r="V820" s="270">
        <f t="shared" si="232"/>
        <v>797</v>
      </c>
      <c r="W820" s="270">
        <f t="shared" si="232"/>
        <v>797</v>
      </c>
      <c r="X820" s="270">
        <f t="shared" si="232"/>
        <v>797</v>
      </c>
      <c r="Y820" s="270">
        <f t="shared" si="232"/>
        <v>797</v>
      </c>
      <c r="Z820" s="270">
        <f t="shared" si="232"/>
        <v>797</v>
      </c>
      <c r="AA820" s="270">
        <f t="shared" si="232"/>
        <v>797</v>
      </c>
      <c r="AB820" s="270">
        <f t="shared" si="232"/>
        <v>797</v>
      </c>
      <c r="AC820" s="270">
        <f t="shared" si="232"/>
        <v>797</v>
      </c>
      <c r="AD820" s="270">
        <f t="shared" si="231"/>
        <v>797</v>
      </c>
      <c r="AE820" s="270">
        <f t="shared" si="230"/>
        <v>797</v>
      </c>
      <c r="AF820" s="270">
        <f t="shared" si="229"/>
        <v>797</v>
      </c>
      <c r="AG820" s="270">
        <f t="shared" si="229"/>
        <v>797</v>
      </c>
      <c r="AH820" s="270">
        <f t="shared" si="229"/>
        <v>797</v>
      </c>
      <c r="AI820" s="270">
        <f t="shared" si="229"/>
        <v>797</v>
      </c>
      <c r="AJ820" s="270">
        <f t="shared" si="229"/>
        <v>797</v>
      </c>
      <c r="AK820" s="270">
        <f t="shared" si="229"/>
        <v>797</v>
      </c>
      <c r="AL820" s="270">
        <f t="shared" si="229"/>
        <v>797</v>
      </c>
      <c r="AM820" s="270">
        <f t="shared" si="229"/>
        <v>797</v>
      </c>
    </row>
    <row r="821" spans="2:39" ht="15.75" thickBot="1" x14ac:dyDescent="0.35">
      <c r="B821" s="56" t="str">
        <f>input_names!$E$3</f>
        <v>plug-in</v>
      </c>
      <c r="C821" s="61">
        <v>66</v>
      </c>
      <c r="D821" s="270">
        <f t="shared" si="231"/>
        <v>396</v>
      </c>
      <c r="E821" s="270">
        <f t="shared" si="231"/>
        <v>396</v>
      </c>
      <c r="F821" s="270">
        <f t="shared" si="231"/>
        <v>7200</v>
      </c>
      <c r="G821" s="270">
        <f t="shared" si="231"/>
        <v>6934</v>
      </c>
      <c r="H821" s="270">
        <f t="shared" si="231"/>
        <v>7406</v>
      </c>
      <c r="I821" s="270">
        <f t="shared" si="231"/>
        <v>7302</v>
      </c>
      <c r="J821" s="270">
        <f t="shared" si="231"/>
        <v>4212</v>
      </c>
      <c r="K821" s="270">
        <f t="shared" si="231"/>
        <v>4250</v>
      </c>
      <c r="L821" s="270">
        <f t="shared" si="231"/>
        <v>4552</v>
      </c>
      <c r="M821" s="270">
        <f t="shared" si="231"/>
        <v>4986</v>
      </c>
      <c r="N821" s="270">
        <f t="shared" si="231"/>
        <v>799</v>
      </c>
      <c r="O821" s="270">
        <f t="shared" si="231"/>
        <v>799</v>
      </c>
      <c r="P821" s="270">
        <f t="shared" si="231"/>
        <v>799</v>
      </c>
      <c r="Q821" s="270">
        <f t="shared" si="231"/>
        <v>799</v>
      </c>
      <c r="R821" s="270">
        <f t="shared" si="231"/>
        <v>799</v>
      </c>
      <c r="S821" s="270">
        <f t="shared" si="232"/>
        <v>799</v>
      </c>
      <c r="T821" s="270">
        <f t="shared" si="232"/>
        <v>799</v>
      </c>
      <c r="U821" s="270">
        <f t="shared" si="232"/>
        <v>799</v>
      </c>
      <c r="V821" s="270">
        <f t="shared" si="232"/>
        <v>799</v>
      </c>
      <c r="W821" s="270">
        <f t="shared" si="232"/>
        <v>799</v>
      </c>
      <c r="X821" s="270">
        <f t="shared" si="232"/>
        <v>799</v>
      </c>
      <c r="Y821" s="270">
        <f t="shared" si="232"/>
        <v>799</v>
      </c>
      <c r="Z821" s="270">
        <f t="shared" si="232"/>
        <v>799</v>
      </c>
      <c r="AA821" s="270">
        <f t="shared" si="232"/>
        <v>799</v>
      </c>
      <c r="AB821" s="270">
        <f t="shared" si="232"/>
        <v>799</v>
      </c>
      <c r="AC821" s="270">
        <f t="shared" si="232"/>
        <v>799</v>
      </c>
      <c r="AD821" s="270">
        <f t="shared" si="231"/>
        <v>799</v>
      </c>
      <c r="AE821" s="270">
        <f t="shared" si="230"/>
        <v>799</v>
      </c>
      <c r="AF821" s="270">
        <f t="shared" si="229"/>
        <v>799</v>
      </c>
      <c r="AG821" s="270">
        <f t="shared" si="229"/>
        <v>799</v>
      </c>
      <c r="AH821" s="270">
        <f t="shared" si="229"/>
        <v>799</v>
      </c>
      <c r="AI821" s="270">
        <f t="shared" si="229"/>
        <v>799</v>
      </c>
      <c r="AJ821" s="270">
        <f t="shared" si="229"/>
        <v>799</v>
      </c>
      <c r="AK821" s="270">
        <f t="shared" si="229"/>
        <v>799</v>
      </c>
      <c r="AL821" s="270">
        <f t="shared" si="229"/>
        <v>799</v>
      </c>
      <c r="AM821" s="270">
        <f t="shared" si="229"/>
        <v>799</v>
      </c>
    </row>
    <row r="822" spans="2:39" ht="15.75" thickBot="1" x14ac:dyDescent="0.35">
      <c r="B822" s="56" t="str">
        <f>input_names!$E$3</f>
        <v>plug-in</v>
      </c>
      <c r="C822" s="61">
        <v>67</v>
      </c>
      <c r="D822" s="270">
        <f t="shared" si="231"/>
        <v>402</v>
      </c>
      <c r="E822" s="270">
        <f t="shared" si="231"/>
        <v>402</v>
      </c>
      <c r="F822" s="270">
        <f t="shared" si="231"/>
        <v>7500</v>
      </c>
      <c r="G822" s="270">
        <f t="shared" si="231"/>
        <v>7223</v>
      </c>
      <c r="H822" s="270">
        <f t="shared" si="231"/>
        <v>7677</v>
      </c>
      <c r="I822" s="270">
        <f t="shared" si="231"/>
        <v>7569</v>
      </c>
      <c r="J822" s="270">
        <f t="shared" si="231"/>
        <v>4414</v>
      </c>
      <c r="K822" s="270">
        <f t="shared" si="231"/>
        <v>4454</v>
      </c>
      <c r="L822" s="270">
        <f t="shared" si="231"/>
        <v>4769</v>
      </c>
      <c r="M822" s="270">
        <f t="shared" si="231"/>
        <v>5225</v>
      </c>
      <c r="N822" s="270">
        <f t="shared" si="231"/>
        <v>801</v>
      </c>
      <c r="O822" s="270">
        <f t="shared" si="231"/>
        <v>801</v>
      </c>
      <c r="P822" s="270">
        <f t="shared" si="231"/>
        <v>801</v>
      </c>
      <c r="Q822" s="270">
        <f t="shared" si="231"/>
        <v>801</v>
      </c>
      <c r="R822" s="270">
        <f t="shared" si="231"/>
        <v>801</v>
      </c>
      <c r="S822" s="270">
        <f t="shared" si="232"/>
        <v>801</v>
      </c>
      <c r="T822" s="270">
        <f t="shared" si="232"/>
        <v>801</v>
      </c>
      <c r="U822" s="270">
        <f t="shared" si="232"/>
        <v>801</v>
      </c>
      <c r="V822" s="270">
        <f t="shared" si="232"/>
        <v>801</v>
      </c>
      <c r="W822" s="270">
        <f t="shared" si="232"/>
        <v>801</v>
      </c>
      <c r="X822" s="270">
        <f t="shared" si="232"/>
        <v>801</v>
      </c>
      <c r="Y822" s="270">
        <f t="shared" si="232"/>
        <v>801</v>
      </c>
      <c r="Z822" s="270">
        <f t="shared" si="232"/>
        <v>801</v>
      </c>
      <c r="AA822" s="270">
        <f t="shared" si="232"/>
        <v>801</v>
      </c>
      <c r="AB822" s="270">
        <f t="shared" si="232"/>
        <v>801</v>
      </c>
      <c r="AC822" s="270">
        <f t="shared" si="232"/>
        <v>801</v>
      </c>
      <c r="AD822" s="270">
        <f t="shared" si="231"/>
        <v>801</v>
      </c>
      <c r="AE822" s="270">
        <f t="shared" si="230"/>
        <v>801</v>
      </c>
      <c r="AF822" s="270">
        <f t="shared" si="229"/>
        <v>801</v>
      </c>
      <c r="AG822" s="270">
        <f t="shared" si="229"/>
        <v>801</v>
      </c>
      <c r="AH822" s="270">
        <f t="shared" si="229"/>
        <v>801</v>
      </c>
      <c r="AI822" s="270">
        <f t="shared" si="229"/>
        <v>801</v>
      </c>
      <c r="AJ822" s="270">
        <f t="shared" si="229"/>
        <v>801</v>
      </c>
      <c r="AK822" s="270">
        <f t="shared" si="229"/>
        <v>801</v>
      </c>
      <c r="AL822" s="270">
        <f t="shared" si="229"/>
        <v>801</v>
      </c>
      <c r="AM822" s="270">
        <f t="shared" si="229"/>
        <v>801</v>
      </c>
    </row>
    <row r="823" spans="2:39" ht="15.75" thickBot="1" x14ac:dyDescent="0.35">
      <c r="B823" s="56" t="str">
        <f>input_names!$E$3</f>
        <v>plug-in</v>
      </c>
      <c r="C823" s="61">
        <v>68</v>
      </c>
      <c r="D823" s="270">
        <f t="shared" si="231"/>
        <v>408</v>
      </c>
      <c r="E823" s="270">
        <f t="shared" si="231"/>
        <v>408</v>
      </c>
      <c r="F823" s="270">
        <f t="shared" si="231"/>
        <v>7800</v>
      </c>
      <c r="G823" s="270">
        <f t="shared" si="231"/>
        <v>7512</v>
      </c>
      <c r="H823" s="270">
        <f t="shared" si="231"/>
        <v>7948</v>
      </c>
      <c r="I823" s="270">
        <f t="shared" si="231"/>
        <v>7836</v>
      </c>
      <c r="J823" s="270">
        <f t="shared" si="231"/>
        <v>4616</v>
      </c>
      <c r="K823" s="270">
        <f t="shared" si="231"/>
        <v>4658</v>
      </c>
      <c r="L823" s="270">
        <f t="shared" si="231"/>
        <v>4986</v>
      </c>
      <c r="M823" s="270">
        <f t="shared" si="231"/>
        <v>5464</v>
      </c>
      <c r="N823" s="270">
        <f t="shared" si="231"/>
        <v>803</v>
      </c>
      <c r="O823" s="270">
        <f t="shared" si="231"/>
        <v>803</v>
      </c>
      <c r="P823" s="270">
        <f t="shared" si="231"/>
        <v>803</v>
      </c>
      <c r="Q823" s="270">
        <f t="shared" si="231"/>
        <v>803</v>
      </c>
      <c r="R823" s="270">
        <f t="shared" si="231"/>
        <v>803</v>
      </c>
      <c r="S823" s="270">
        <f t="shared" si="232"/>
        <v>803</v>
      </c>
      <c r="T823" s="270">
        <f t="shared" si="232"/>
        <v>803</v>
      </c>
      <c r="U823" s="270">
        <f t="shared" si="232"/>
        <v>803</v>
      </c>
      <c r="V823" s="270">
        <f t="shared" si="232"/>
        <v>803</v>
      </c>
      <c r="W823" s="270">
        <f t="shared" si="232"/>
        <v>803</v>
      </c>
      <c r="X823" s="270">
        <f t="shared" si="232"/>
        <v>803</v>
      </c>
      <c r="Y823" s="270">
        <f t="shared" si="232"/>
        <v>803</v>
      </c>
      <c r="Z823" s="270">
        <f t="shared" si="232"/>
        <v>803</v>
      </c>
      <c r="AA823" s="270">
        <f t="shared" si="232"/>
        <v>803</v>
      </c>
      <c r="AB823" s="270">
        <f t="shared" si="232"/>
        <v>803</v>
      </c>
      <c r="AC823" s="270">
        <f t="shared" si="232"/>
        <v>803</v>
      </c>
      <c r="AD823" s="270">
        <f t="shared" si="231"/>
        <v>803</v>
      </c>
      <c r="AE823" s="270">
        <f t="shared" si="230"/>
        <v>803</v>
      </c>
      <c r="AF823" s="270">
        <f t="shared" si="229"/>
        <v>803</v>
      </c>
      <c r="AG823" s="270">
        <f t="shared" si="229"/>
        <v>803</v>
      </c>
      <c r="AH823" s="270">
        <f t="shared" si="229"/>
        <v>803</v>
      </c>
      <c r="AI823" s="270">
        <f t="shared" si="229"/>
        <v>803</v>
      </c>
      <c r="AJ823" s="270">
        <f t="shared" si="229"/>
        <v>803</v>
      </c>
      <c r="AK823" s="270">
        <f t="shared" si="229"/>
        <v>803</v>
      </c>
      <c r="AL823" s="270">
        <f t="shared" si="229"/>
        <v>803</v>
      </c>
      <c r="AM823" s="270">
        <f t="shared" si="229"/>
        <v>803</v>
      </c>
    </row>
    <row r="824" spans="2:39" ht="15.75" thickBot="1" x14ac:dyDescent="0.35">
      <c r="B824" s="56" t="str">
        <f>input_names!$E$3</f>
        <v>plug-in</v>
      </c>
      <c r="C824" s="61">
        <v>69</v>
      </c>
      <c r="D824" s="270">
        <f t="shared" si="231"/>
        <v>414</v>
      </c>
      <c r="E824" s="270">
        <f t="shared" si="231"/>
        <v>414</v>
      </c>
      <c r="F824" s="270">
        <f t="shared" si="231"/>
        <v>8100</v>
      </c>
      <c r="G824" s="270">
        <f t="shared" si="231"/>
        <v>7801</v>
      </c>
      <c r="H824" s="270">
        <f t="shared" si="231"/>
        <v>8219</v>
      </c>
      <c r="I824" s="270">
        <f t="shared" si="231"/>
        <v>8103</v>
      </c>
      <c r="J824" s="270">
        <f t="shared" si="231"/>
        <v>4818</v>
      </c>
      <c r="K824" s="270">
        <f t="shared" si="231"/>
        <v>4862</v>
      </c>
      <c r="L824" s="270">
        <f t="shared" si="231"/>
        <v>5203</v>
      </c>
      <c r="M824" s="270">
        <f t="shared" si="231"/>
        <v>5703</v>
      </c>
      <c r="N824" s="270">
        <f t="shared" si="231"/>
        <v>805</v>
      </c>
      <c r="O824" s="270">
        <f t="shared" si="231"/>
        <v>805</v>
      </c>
      <c r="P824" s="270">
        <f t="shared" si="231"/>
        <v>805</v>
      </c>
      <c r="Q824" s="270">
        <f t="shared" si="231"/>
        <v>805</v>
      </c>
      <c r="R824" s="270">
        <f t="shared" si="231"/>
        <v>805</v>
      </c>
      <c r="S824" s="270">
        <f t="shared" si="232"/>
        <v>805</v>
      </c>
      <c r="T824" s="270">
        <f t="shared" si="232"/>
        <v>805</v>
      </c>
      <c r="U824" s="270">
        <f t="shared" si="232"/>
        <v>805</v>
      </c>
      <c r="V824" s="270">
        <f t="shared" si="232"/>
        <v>805</v>
      </c>
      <c r="W824" s="270">
        <f t="shared" si="232"/>
        <v>805</v>
      </c>
      <c r="X824" s="270">
        <f t="shared" si="232"/>
        <v>805</v>
      </c>
      <c r="Y824" s="270">
        <f t="shared" si="232"/>
        <v>805</v>
      </c>
      <c r="Z824" s="270">
        <f t="shared" si="232"/>
        <v>805</v>
      </c>
      <c r="AA824" s="270">
        <f t="shared" si="232"/>
        <v>805</v>
      </c>
      <c r="AB824" s="270">
        <f t="shared" si="232"/>
        <v>805</v>
      </c>
      <c r="AC824" s="270">
        <f t="shared" si="232"/>
        <v>805</v>
      </c>
      <c r="AD824" s="270">
        <f t="shared" si="231"/>
        <v>805</v>
      </c>
      <c r="AE824" s="270">
        <f t="shared" si="230"/>
        <v>805</v>
      </c>
      <c r="AF824" s="270">
        <f t="shared" si="229"/>
        <v>805</v>
      </c>
      <c r="AG824" s="270">
        <f t="shared" si="229"/>
        <v>805</v>
      </c>
      <c r="AH824" s="270">
        <f t="shared" si="229"/>
        <v>805</v>
      </c>
      <c r="AI824" s="270">
        <f t="shared" si="229"/>
        <v>805</v>
      </c>
      <c r="AJ824" s="270">
        <f t="shared" si="229"/>
        <v>805</v>
      </c>
      <c r="AK824" s="270">
        <f t="shared" si="229"/>
        <v>805</v>
      </c>
      <c r="AL824" s="270">
        <f t="shared" si="229"/>
        <v>805</v>
      </c>
      <c r="AM824" s="270">
        <f t="shared" si="229"/>
        <v>805</v>
      </c>
    </row>
    <row r="825" spans="2:39" ht="15.75" thickBot="1" x14ac:dyDescent="0.35">
      <c r="B825" s="56" t="str">
        <f>input_names!$E$3</f>
        <v>plug-in</v>
      </c>
      <c r="C825" s="61">
        <v>70</v>
      </c>
      <c r="D825" s="270">
        <f t="shared" si="231"/>
        <v>420</v>
      </c>
      <c r="E825" s="270">
        <f t="shared" si="231"/>
        <v>420</v>
      </c>
      <c r="F825" s="270">
        <f t="shared" si="231"/>
        <v>8400</v>
      </c>
      <c r="G825" s="270">
        <f t="shared" si="231"/>
        <v>8090</v>
      </c>
      <c r="H825" s="270">
        <f t="shared" si="231"/>
        <v>8490</v>
      </c>
      <c r="I825" s="270">
        <f t="shared" si="231"/>
        <v>8370</v>
      </c>
      <c r="J825" s="270">
        <f t="shared" si="231"/>
        <v>5020</v>
      </c>
      <c r="K825" s="270">
        <f t="shared" si="231"/>
        <v>5066</v>
      </c>
      <c r="L825" s="270">
        <f t="shared" si="231"/>
        <v>5420</v>
      </c>
      <c r="M825" s="270">
        <f t="shared" si="231"/>
        <v>5942</v>
      </c>
      <c r="N825" s="270">
        <f t="shared" si="231"/>
        <v>807</v>
      </c>
      <c r="O825" s="270">
        <f t="shared" si="231"/>
        <v>807</v>
      </c>
      <c r="P825" s="270">
        <f t="shared" si="231"/>
        <v>807</v>
      </c>
      <c r="Q825" s="270">
        <f t="shared" si="231"/>
        <v>807</v>
      </c>
      <c r="R825" s="270">
        <f t="shared" si="231"/>
        <v>807</v>
      </c>
      <c r="S825" s="270">
        <f t="shared" si="232"/>
        <v>807</v>
      </c>
      <c r="T825" s="270">
        <f t="shared" si="232"/>
        <v>807</v>
      </c>
      <c r="U825" s="270">
        <f t="shared" si="232"/>
        <v>807</v>
      </c>
      <c r="V825" s="270">
        <f t="shared" si="232"/>
        <v>807</v>
      </c>
      <c r="W825" s="270">
        <f t="shared" si="232"/>
        <v>807</v>
      </c>
      <c r="X825" s="270">
        <f t="shared" si="232"/>
        <v>807</v>
      </c>
      <c r="Y825" s="270">
        <f t="shared" si="232"/>
        <v>807</v>
      </c>
      <c r="Z825" s="270">
        <f t="shared" si="232"/>
        <v>807</v>
      </c>
      <c r="AA825" s="270">
        <f t="shared" si="232"/>
        <v>807</v>
      </c>
      <c r="AB825" s="270">
        <f t="shared" si="232"/>
        <v>807</v>
      </c>
      <c r="AC825" s="270">
        <f t="shared" si="232"/>
        <v>807</v>
      </c>
      <c r="AD825" s="270">
        <f t="shared" si="231"/>
        <v>807</v>
      </c>
      <c r="AE825" s="270">
        <f t="shared" si="230"/>
        <v>807</v>
      </c>
      <c r="AF825" s="270">
        <f t="shared" si="229"/>
        <v>807</v>
      </c>
      <c r="AG825" s="270">
        <f t="shared" si="229"/>
        <v>807</v>
      </c>
      <c r="AH825" s="270">
        <f t="shared" si="229"/>
        <v>807</v>
      </c>
      <c r="AI825" s="270">
        <f t="shared" si="229"/>
        <v>807</v>
      </c>
      <c r="AJ825" s="270">
        <f t="shared" si="229"/>
        <v>807</v>
      </c>
      <c r="AK825" s="270">
        <f t="shared" si="229"/>
        <v>807</v>
      </c>
      <c r="AL825" s="270">
        <f t="shared" si="229"/>
        <v>807</v>
      </c>
      <c r="AM825" s="270">
        <f t="shared" si="229"/>
        <v>807</v>
      </c>
    </row>
    <row r="826" spans="2:39" ht="15.75" thickBot="1" x14ac:dyDescent="0.35">
      <c r="B826" s="56" t="str">
        <f>input_names!$E$3</f>
        <v>plug-in</v>
      </c>
      <c r="C826" s="61">
        <v>71</v>
      </c>
      <c r="D826" s="270">
        <f t="shared" si="231"/>
        <v>426</v>
      </c>
      <c r="E826" s="270">
        <f t="shared" si="231"/>
        <v>426</v>
      </c>
      <c r="F826" s="270">
        <f t="shared" si="231"/>
        <v>8700</v>
      </c>
      <c r="G826" s="270">
        <f t="shared" si="231"/>
        <v>8379</v>
      </c>
      <c r="H826" s="270">
        <f t="shared" si="231"/>
        <v>8761</v>
      </c>
      <c r="I826" s="270">
        <f t="shared" si="231"/>
        <v>8637</v>
      </c>
      <c r="J826" s="270">
        <f t="shared" si="231"/>
        <v>5222</v>
      </c>
      <c r="K826" s="270">
        <f t="shared" si="231"/>
        <v>5270</v>
      </c>
      <c r="L826" s="270">
        <f t="shared" si="231"/>
        <v>5637</v>
      </c>
      <c r="M826" s="270">
        <f t="shared" si="231"/>
        <v>6181</v>
      </c>
      <c r="N826" s="270">
        <f t="shared" si="231"/>
        <v>809</v>
      </c>
      <c r="O826" s="270">
        <f t="shared" si="231"/>
        <v>809</v>
      </c>
      <c r="P826" s="270">
        <f t="shared" si="231"/>
        <v>809</v>
      </c>
      <c r="Q826" s="270">
        <f t="shared" si="231"/>
        <v>809</v>
      </c>
      <c r="R826" s="270">
        <f t="shared" si="231"/>
        <v>809</v>
      </c>
      <c r="S826" s="270">
        <f t="shared" si="232"/>
        <v>809</v>
      </c>
      <c r="T826" s="270">
        <f t="shared" si="232"/>
        <v>809</v>
      </c>
      <c r="U826" s="270">
        <f t="shared" si="232"/>
        <v>809</v>
      </c>
      <c r="V826" s="270">
        <f t="shared" si="232"/>
        <v>809</v>
      </c>
      <c r="W826" s="270">
        <f t="shared" si="232"/>
        <v>809</v>
      </c>
      <c r="X826" s="270">
        <f t="shared" si="232"/>
        <v>809</v>
      </c>
      <c r="Y826" s="270">
        <f t="shared" si="232"/>
        <v>809</v>
      </c>
      <c r="Z826" s="270">
        <f t="shared" si="232"/>
        <v>809</v>
      </c>
      <c r="AA826" s="270">
        <f t="shared" si="232"/>
        <v>809</v>
      </c>
      <c r="AB826" s="270">
        <f t="shared" si="232"/>
        <v>809</v>
      </c>
      <c r="AC826" s="270">
        <f t="shared" si="232"/>
        <v>809</v>
      </c>
      <c r="AD826" s="270">
        <f t="shared" si="231"/>
        <v>809</v>
      </c>
      <c r="AE826" s="270">
        <f t="shared" si="230"/>
        <v>809</v>
      </c>
      <c r="AF826" s="270">
        <f t="shared" si="229"/>
        <v>809</v>
      </c>
      <c r="AG826" s="270">
        <f t="shared" si="229"/>
        <v>809</v>
      </c>
      <c r="AH826" s="270">
        <f t="shared" si="229"/>
        <v>809</v>
      </c>
      <c r="AI826" s="270">
        <f t="shared" si="229"/>
        <v>809</v>
      </c>
      <c r="AJ826" s="270">
        <f t="shared" si="229"/>
        <v>809</v>
      </c>
      <c r="AK826" s="270">
        <f t="shared" si="229"/>
        <v>809</v>
      </c>
      <c r="AL826" s="270">
        <f t="shared" si="229"/>
        <v>809</v>
      </c>
      <c r="AM826" s="270">
        <f t="shared" si="229"/>
        <v>809</v>
      </c>
    </row>
    <row r="827" spans="2:39" ht="15.75" thickBot="1" x14ac:dyDescent="0.35">
      <c r="B827" s="56" t="str">
        <f>input_names!$E$3</f>
        <v>plug-in</v>
      </c>
      <c r="C827" s="61">
        <v>72</v>
      </c>
      <c r="D827" s="270">
        <f t="shared" si="231"/>
        <v>432</v>
      </c>
      <c r="E827" s="270">
        <f t="shared" si="231"/>
        <v>432</v>
      </c>
      <c r="F827" s="270">
        <f t="shared" si="231"/>
        <v>9000</v>
      </c>
      <c r="G827" s="270">
        <f t="shared" si="231"/>
        <v>8668</v>
      </c>
      <c r="H827" s="270">
        <f t="shared" si="231"/>
        <v>9032</v>
      </c>
      <c r="I827" s="270">
        <f t="shared" si="231"/>
        <v>8904</v>
      </c>
      <c r="J827" s="270">
        <f t="shared" si="231"/>
        <v>5424</v>
      </c>
      <c r="K827" s="270">
        <f t="shared" si="231"/>
        <v>5474</v>
      </c>
      <c r="L827" s="270">
        <f t="shared" si="231"/>
        <v>5854</v>
      </c>
      <c r="M827" s="270">
        <f t="shared" si="231"/>
        <v>6420</v>
      </c>
      <c r="N827" s="270">
        <f t="shared" si="231"/>
        <v>811</v>
      </c>
      <c r="O827" s="270">
        <f t="shared" si="231"/>
        <v>811</v>
      </c>
      <c r="P827" s="270">
        <f t="shared" si="231"/>
        <v>811</v>
      </c>
      <c r="Q827" s="270">
        <f t="shared" si="231"/>
        <v>811</v>
      </c>
      <c r="R827" s="270">
        <f t="shared" si="231"/>
        <v>811</v>
      </c>
      <c r="S827" s="270">
        <f t="shared" si="232"/>
        <v>811</v>
      </c>
      <c r="T827" s="270">
        <f t="shared" si="232"/>
        <v>811</v>
      </c>
      <c r="U827" s="270">
        <f t="shared" si="232"/>
        <v>811</v>
      </c>
      <c r="V827" s="270">
        <f t="shared" si="232"/>
        <v>811</v>
      </c>
      <c r="W827" s="270">
        <f t="shared" si="232"/>
        <v>811</v>
      </c>
      <c r="X827" s="270">
        <f t="shared" si="232"/>
        <v>811</v>
      </c>
      <c r="Y827" s="270">
        <f t="shared" si="232"/>
        <v>811</v>
      </c>
      <c r="Z827" s="270">
        <f t="shared" si="232"/>
        <v>811</v>
      </c>
      <c r="AA827" s="270">
        <f t="shared" si="232"/>
        <v>811</v>
      </c>
      <c r="AB827" s="270">
        <f t="shared" si="232"/>
        <v>811</v>
      </c>
      <c r="AC827" s="270">
        <f t="shared" si="232"/>
        <v>811</v>
      </c>
      <c r="AD827" s="270">
        <f t="shared" si="231"/>
        <v>811</v>
      </c>
      <c r="AE827" s="270">
        <f t="shared" si="230"/>
        <v>811</v>
      </c>
      <c r="AF827" s="270">
        <f t="shared" si="229"/>
        <v>811</v>
      </c>
      <c r="AG827" s="270">
        <f t="shared" si="229"/>
        <v>811</v>
      </c>
      <c r="AH827" s="270">
        <f t="shared" si="229"/>
        <v>811</v>
      </c>
      <c r="AI827" s="270">
        <f t="shared" si="229"/>
        <v>811</v>
      </c>
      <c r="AJ827" s="270">
        <f t="shared" si="229"/>
        <v>811</v>
      </c>
      <c r="AK827" s="270">
        <f t="shared" si="229"/>
        <v>811</v>
      </c>
      <c r="AL827" s="270">
        <f t="shared" si="229"/>
        <v>811</v>
      </c>
      <c r="AM827" s="270">
        <f t="shared" si="229"/>
        <v>811</v>
      </c>
    </row>
    <row r="828" spans="2:39" ht="15.75" thickBot="1" x14ac:dyDescent="0.35">
      <c r="B828" s="56" t="str">
        <f>input_names!$E$3</f>
        <v>plug-in</v>
      </c>
      <c r="C828" s="61">
        <v>73</v>
      </c>
      <c r="D828" s="270">
        <f t="shared" si="231"/>
        <v>438</v>
      </c>
      <c r="E828" s="270">
        <f t="shared" si="231"/>
        <v>438</v>
      </c>
      <c r="F828" s="270">
        <f t="shared" si="231"/>
        <v>9300</v>
      </c>
      <c r="G828" s="270">
        <f t="shared" si="231"/>
        <v>8957</v>
      </c>
      <c r="H828" s="270">
        <f t="shared" si="231"/>
        <v>9303</v>
      </c>
      <c r="I828" s="270">
        <f t="shared" si="231"/>
        <v>9171</v>
      </c>
      <c r="J828" s="270">
        <f t="shared" si="231"/>
        <v>5626</v>
      </c>
      <c r="K828" s="270">
        <f t="shared" si="231"/>
        <v>5678</v>
      </c>
      <c r="L828" s="270">
        <f t="shared" si="231"/>
        <v>6071</v>
      </c>
      <c r="M828" s="270">
        <f t="shared" si="231"/>
        <v>6659</v>
      </c>
      <c r="N828" s="270">
        <f t="shared" si="231"/>
        <v>813</v>
      </c>
      <c r="O828" s="270">
        <f t="shared" si="231"/>
        <v>813</v>
      </c>
      <c r="P828" s="270">
        <f t="shared" si="231"/>
        <v>813</v>
      </c>
      <c r="Q828" s="270">
        <f t="shared" si="231"/>
        <v>813</v>
      </c>
      <c r="R828" s="270">
        <f t="shared" si="231"/>
        <v>813</v>
      </c>
      <c r="S828" s="270">
        <f t="shared" si="232"/>
        <v>813</v>
      </c>
      <c r="T828" s="270">
        <f t="shared" si="232"/>
        <v>813</v>
      </c>
      <c r="U828" s="270">
        <f t="shared" si="232"/>
        <v>813</v>
      </c>
      <c r="V828" s="270">
        <f t="shared" si="232"/>
        <v>813</v>
      </c>
      <c r="W828" s="270">
        <f t="shared" si="232"/>
        <v>813</v>
      </c>
      <c r="X828" s="270">
        <f t="shared" si="232"/>
        <v>813</v>
      </c>
      <c r="Y828" s="270">
        <f t="shared" si="232"/>
        <v>813</v>
      </c>
      <c r="Z828" s="270">
        <f t="shared" si="232"/>
        <v>813</v>
      </c>
      <c r="AA828" s="270">
        <f t="shared" si="232"/>
        <v>813</v>
      </c>
      <c r="AB828" s="270">
        <f t="shared" si="232"/>
        <v>813</v>
      </c>
      <c r="AC828" s="270">
        <f t="shared" si="232"/>
        <v>813</v>
      </c>
      <c r="AD828" s="270">
        <f t="shared" si="231"/>
        <v>813</v>
      </c>
      <c r="AE828" s="270">
        <f t="shared" si="230"/>
        <v>813</v>
      </c>
      <c r="AF828" s="270">
        <f t="shared" si="229"/>
        <v>813</v>
      </c>
      <c r="AG828" s="270">
        <f t="shared" si="229"/>
        <v>813</v>
      </c>
      <c r="AH828" s="270">
        <f t="shared" si="229"/>
        <v>813</v>
      </c>
      <c r="AI828" s="270">
        <f t="shared" si="229"/>
        <v>813</v>
      </c>
      <c r="AJ828" s="270">
        <f t="shared" si="229"/>
        <v>813</v>
      </c>
      <c r="AK828" s="270">
        <f t="shared" si="229"/>
        <v>813</v>
      </c>
      <c r="AL828" s="270">
        <f t="shared" si="229"/>
        <v>813</v>
      </c>
      <c r="AM828" s="270">
        <f t="shared" si="229"/>
        <v>813</v>
      </c>
    </row>
    <row r="829" spans="2:39" ht="15.75" thickBot="1" x14ac:dyDescent="0.35">
      <c r="B829" s="56" t="str">
        <f>input_names!$E$3</f>
        <v>plug-in</v>
      </c>
      <c r="C829" s="61">
        <v>74</v>
      </c>
      <c r="D829" s="270">
        <f t="shared" si="231"/>
        <v>444</v>
      </c>
      <c r="E829" s="270">
        <f t="shared" si="231"/>
        <v>444</v>
      </c>
      <c r="F829" s="270">
        <f t="shared" si="231"/>
        <v>9600</v>
      </c>
      <c r="G829" s="270">
        <f t="shared" si="231"/>
        <v>9246</v>
      </c>
      <c r="H829" s="270">
        <f t="shared" si="231"/>
        <v>9574</v>
      </c>
      <c r="I829" s="270">
        <f t="shared" si="231"/>
        <v>9438</v>
      </c>
      <c r="J829" s="270">
        <f t="shared" si="231"/>
        <v>5828</v>
      </c>
      <c r="K829" s="270">
        <f t="shared" si="231"/>
        <v>5882</v>
      </c>
      <c r="L829" s="270">
        <f t="shared" si="231"/>
        <v>6288</v>
      </c>
      <c r="M829" s="270">
        <f t="shared" si="231"/>
        <v>6898</v>
      </c>
      <c r="N829" s="270">
        <f t="shared" si="231"/>
        <v>815</v>
      </c>
      <c r="O829" s="270">
        <f t="shared" si="231"/>
        <v>815</v>
      </c>
      <c r="P829" s="270">
        <f t="shared" si="231"/>
        <v>815</v>
      </c>
      <c r="Q829" s="270">
        <f t="shared" si="231"/>
        <v>815</v>
      </c>
      <c r="R829" s="270">
        <f t="shared" si="231"/>
        <v>815</v>
      </c>
      <c r="S829" s="270">
        <f t="shared" si="232"/>
        <v>815</v>
      </c>
      <c r="T829" s="270">
        <f t="shared" si="232"/>
        <v>815</v>
      </c>
      <c r="U829" s="270">
        <f t="shared" si="232"/>
        <v>815</v>
      </c>
      <c r="V829" s="270">
        <f t="shared" si="232"/>
        <v>815</v>
      </c>
      <c r="W829" s="270">
        <f t="shared" si="232"/>
        <v>815</v>
      </c>
      <c r="X829" s="270">
        <f t="shared" si="232"/>
        <v>815</v>
      </c>
      <c r="Y829" s="270">
        <f t="shared" si="232"/>
        <v>815</v>
      </c>
      <c r="Z829" s="270">
        <f t="shared" si="232"/>
        <v>815</v>
      </c>
      <c r="AA829" s="270">
        <f t="shared" si="232"/>
        <v>815</v>
      </c>
      <c r="AB829" s="270">
        <f t="shared" si="232"/>
        <v>815</v>
      </c>
      <c r="AC829" s="270">
        <f t="shared" si="232"/>
        <v>815</v>
      </c>
      <c r="AD829" s="270">
        <f t="shared" si="231"/>
        <v>815</v>
      </c>
      <c r="AE829" s="270">
        <f t="shared" si="230"/>
        <v>815</v>
      </c>
      <c r="AF829" s="270">
        <f t="shared" si="229"/>
        <v>815</v>
      </c>
      <c r="AG829" s="270">
        <f t="shared" si="229"/>
        <v>815</v>
      </c>
      <c r="AH829" s="270">
        <f t="shared" si="229"/>
        <v>815</v>
      </c>
      <c r="AI829" s="270">
        <f t="shared" si="229"/>
        <v>815</v>
      </c>
      <c r="AJ829" s="270">
        <f t="shared" si="229"/>
        <v>815</v>
      </c>
      <c r="AK829" s="270">
        <f t="shared" si="229"/>
        <v>815</v>
      </c>
      <c r="AL829" s="270">
        <f t="shared" si="229"/>
        <v>815</v>
      </c>
      <c r="AM829" s="270">
        <f t="shared" si="229"/>
        <v>815</v>
      </c>
    </row>
    <row r="830" spans="2:39" ht="15.75" thickBot="1" x14ac:dyDescent="0.35">
      <c r="B830" s="56" t="str">
        <f>input_names!$E$3</f>
        <v>plug-in</v>
      </c>
      <c r="C830" s="61">
        <v>75</v>
      </c>
      <c r="D830" s="270">
        <f t="shared" si="231"/>
        <v>450</v>
      </c>
      <c r="E830" s="270">
        <f t="shared" si="231"/>
        <v>450</v>
      </c>
      <c r="F830" s="270">
        <f t="shared" si="231"/>
        <v>9900</v>
      </c>
      <c r="G830" s="270">
        <f t="shared" si="231"/>
        <v>9535</v>
      </c>
      <c r="H830" s="270">
        <f t="shared" si="231"/>
        <v>9845</v>
      </c>
      <c r="I830" s="270">
        <f t="shared" si="231"/>
        <v>9705</v>
      </c>
      <c r="J830" s="270">
        <f t="shared" si="231"/>
        <v>6030</v>
      </c>
      <c r="K830" s="270">
        <f t="shared" si="231"/>
        <v>6086</v>
      </c>
      <c r="L830" s="270">
        <f t="shared" si="231"/>
        <v>6505</v>
      </c>
      <c r="M830" s="270">
        <f t="shared" si="231"/>
        <v>7137</v>
      </c>
      <c r="N830" s="270">
        <f t="shared" si="231"/>
        <v>817</v>
      </c>
      <c r="O830" s="270">
        <f t="shared" si="231"/>
        <v>817</v>
      </c>
      <c r="P830" s="270">
        <f t="shared" si="231"/>
        <v>817</v>
      </c>
      <c r="Q830" s="270">
        <f t="shared" si="231"/>
        <v>817</v>
      </c>
      <c r="R830" s="270">
        <f t="shared" si="231"/>
        <v>817</v>
      </c>
      <c r="S830" s="270">
        <f t="shared" si="232"/>
        <v>817</v>
      </c>
      <c r="T830" s="270">
        <f t="shared" si="232"/>
        <v>817</v>
      </c>
      <c r="U830" s="270">
        <f t="shared" si="232"/>
        <v>817</v>
      </c>
      <c r="V830" s="270">
        <f t="shared" si="232"/>
        <v>817</v>
      </c>
      <c r="W830" s="270">
        <f t="shared" si="232"/>
        <v>817</v>
      </c>
      <c r="X830" s="270">
        <f t="shared" si="232"/>
        <v>817</v>
      </c>
      <c r="Y830" s="270">
        <f t="shared" si="232"/>
        <v>817</v>
      </c>
      <c r="Z830" s="270">
        <f t="shared" si="232"/>
        <v>817</v>
      </c>
      <c r="AA830" s="270">
        <f t="shared" si="232"/>
        <v>817</v>
      </c>
      <c r="AB830" s="270">
        <f t="shared" si="232"/>
        <v>817</v>
      </c>
      <c r="AC830" s="270">
        <f t="shared" si="232"/>
        <v>817</v>
      </c>
      <c r="AD830" s="270">
        <f t="shared" si="231"/>
        <v>817</v>
      </c>
      <c r="AE830" s="270">
        <f t="shared" si="230"/>
        <v>817</v>
      </c>
      <c r="AF830" s="270">
        <f t="shared" si="229"/>
        <v>817</v>
      </c>
      <c r="AG830" s="270">
        <f t="shared" si="229"/>
        <v>817</v>
      </c>
      <c r="AH830" s="270">
        <f t="shared" si="229"/>
        <v>817</v>
      </c>
      <c r="AI830" s="270">
        <f t="shared" si="229"/>
        <v>817</v>
      </c>
      <c r="AJ830" s="270">
        <f t="shared" si="229"/>
        <v>817</v>
      </c>
      <c r="AK830" s="270">
        <f t="shared" si="229"/>
        <v>817</v>
      </c>
      <c r="AL830" s="270">
        <f t="shared" si="229"/>
        <v>817</v>
      </c>
      <c r="AM830" s="270">
        <f t="shared" si="229"/>
        <v>817</v>
      </c>
    </row>
    <row r="831" spans="2:39" ht="15.75" thickBot="1" x14ac:dyDescent="0.35">
      <c r="B831" s="56" t="str">
        <f>input_names!$E$3</f>
        <v>plug-in</v>
      </c>
      <c r="C831" s="61">
        <v>76</v>
      </c>
      <c r="D831" s="270">
        <f t="shared" si="231"/>
        <v>456</v>
      </c>
      <c r="E831" s="270">
        <f t="shared" si="231"/>
        <v>456</v>
      </c>
      <c r="F831" s="270">
        <f t="shared" si="231"/>
        <v>10200</v>
      </c>
      <c r="G831" s="270">
        <f t="shared" si="231"/>
        <v>9824</v>
      </c>
      <c r="H831" s="270">
        <f t="shared" si="231"/>
        <v>10116</v>
      </c>
      <c r="I831" s="270">
        <f t="shared" si="231"/>
        <v>9972</v>
      </c>
      <c r="J831" s="270">
        <f t="shared" si="231"/>
        <v>6232</v>
      </c>
      <c r="K831" s="270">
        <f t="shared" si="231"/>
        <v>6290</v>
      </c>
      <c r="L831" s="270">
        <f t="shared" si="231"/>
        <v>6722</v>
      </c>
      <c r="M831" s="270">
        <f t="shared" si="231"/>
        <v>7376</v>
      </c>
      <c r="N831" s="270">
        <f t="shared" si="231"/>
        <v>819</v>
      </c>
      <c r="O831" s="270">
        <f t="shared" si="231"/>
        <v>819</v>
      </c>
      <c r="P831" s="270">
        <f t="shared" si="231"/>
        <v>819</v>
      </c>
      <c r="Q831" s="270">
        <f t="shared" si="231"/>
        <v>819</v>
      </c>
      <c r="R831" s="270">
        <f t="shared" si="231"/>
        <v>819</v>
      </c>
      <c r="S831" s="270">
        <f t="shared" si="232"/>
        <v>819</v>
      </c>
      <c r="T831" s="270">
        <f t="shared" si="232"/>
        <v>819</v>
      </c>
      <c r="U831" s="270">
        <f t="shared" si="232"/>
        <v>819</v>
      </c>
      <c r="V831" s="270">
        <f t="shared" si="232"/>
        <v>819</v>
      </c>
      <c r="W831" s="270">
        <f t="shared" si="232"/>
        <v>819</v>
      </c>
      <c r="X831" s="270">
        <f t="shared" si="232"/>
        <v>819</v>
      </c>
      <c r="Y831" s="270">
        <f t="shared" si="232"/>
        <v>819</v>
      </c>
      <c r="Z831" s="270">
        <f t="shared" si="232"/>
        <v>819</v>
      </c>
      <c r="AA831" s="270">
        <f t="shared" si="232"/>
        <v>819</v>
      </c>
      <c r="AB831" s="270">
        <f t="shared" si="232"/>
        <v>819</v>
      </c>
      <c r="AC831" s="270">
        <f t="shared" si="232"/>
        <v>819</v>
      </c>
      <c r="AD831" s="270">
        <f t="shared" si="231"/>
        <v>819</v>
      </c>
      <c r="AE831" s="270">
        <f t="shared" si="230"/>
        <v>819</v>
      </c>
      <c r="AF831" s="270">
        <f t="shared" si="229"/>
        <v>819</v>
      </c>
      <c r="AG831" s="270">
        <f t="shared" si="229"/>
        <v>819</v>
      </c>
      <c r="AH831" s="270">
        <f t="shared" si="229"/>
        <v>819</v>
      </c>
      <c r="AI831" s="270">
        <f t="shared" si="229"/>
        <v>819</v>
      </c>
      <c r="AJ831" s="270">
        <f t="shared" si="229"/>
        <v>819</v>
      </c>
      <c r="AK831" s="270">
        <f t="shared" si="229"/>
        <v>819</v>
      </c>
      <c r="AL831" s="270">
        <f t="shared" si="229"/>
        <v>819</v>
      </c>
      <c r="AM831" s="270">
        <f t="shared" si="229"/>
        <v>819</v>
      </c>
    </row>
    <row r="832" spans="2:39" ht="15.75" thickBot="1" x14ac:dyDescent="0.35">
      <c r="B832" s="56" t="str">
        <f>input_names!$E$3</f>
        <v>plug-in</v>
      </c>
      <c r="C832" s="61">
        <v>77</v>
      </c>
      <c r="D832" s="270">
        <f t="shared" si="231"/>
        <v>462</v>
      </c>
      <c r="E832" s="270">
        <f t="shared" si="231"/>
        <v>462</v>
      </c>
      <c r="F832" s="270">
        <f t="shared" si="231"/>
        <v>10500</v>
      </c>
      <c r="G832" s="270">
        <f t="shared" si="231"/>
        <v>10113</v>
      </c>
      <c r="H832" s="270">
        <f t="shared" si="231"/>
        <v>10387</v>
      </c>
      <c r="I832" s="270">
        <f t="shared" si="231"/>
        <v>10239</v>
      </c>
      <c r="J832" s="270">
        <f t="shared" si="231"/>
        <v>6434</v>
      </c>
      <c r="K832" s="270">
        <f t="shared" si="231"/>
        <v>6494</v>
      </c>
      <c r="L832" s="270">
        <f t="shared" si="231"/>
        <v>6939</v>
      </c>
      <c r="M832" s="270">
        <f t="shared" si="231"/>
        <v>7615</v>
      </c>
      <c r="N832" s="270">
        <f t="shared" si="231"/>
        <v>821</v>
      </c>
      <c r="O832" s="270">
        <f t="shared" si="231"/>
        <v>821</v>
      </c>
      <c r="P832" s="270">
        <f t="shared" si="231"/>
        <v>821</v>
      </c>
      <c r="Q832" s="270">
        <f t="shared" si="231"/>
        <v>821</v>
      </c>
      <c r="R832" s="270">
        <f t="shared" si="231"/>
        <v>821</v>
      </c>
      <c r="S832" s="270">
        <f t="shared" si="232"/>
        <v>821</v>
      </c>
      <c r="T832" s="270">
        <f t="shared" si="232"/>
        <v>821</v>
      </c>
      <c r="U832" s="270">
        <f t="shared" si="232"/>
        <v>821</v>
      </c>
      <c r="V832" s="270">
        <f t="shared" si="232"/>
        <v>821</v>
      </c>
      <c r="W832" s="270">
        <f t="shared" si="232"/>
        <v>821</v>
      </c>
      <c r="X832" s="270">
        <f t="shared" si="232"/>
        <v>821</v>
      </c>
      <c r="Y832" s="270">
        <f t="shared" si="232"/>
        <v>821</v>
      </c>
      <c r="Z832" s="270">
        <f t="shared" si="232"/>
        <v>821</v>
      </c>
      <c r="AA832" s="270">
        <f t="shared" si="232"/>
        <v>821</v>
      </c>
      <c r="AB832" s="270">
        <f t="shared" si="232"/>
        <v>821</v>
      </c>
      <c r="AC832" s="270">
        <f t="shared" si="232"/>
        <v>821</v>
      </c>
      <c r="AD832" s="270">
        <f t="shared" si="231"/>
        <v>821</v>
      </c>
      <c r="AE832" s="270">
        <f t="shared" si="230"/>
        <v>821</v>
      </c>
      <c r="AF832" s="270">
        <f t="shared" si="229"/>
        <v>821</v>
      </c>
      <c r="AG832" s="270">
        <f t="shared" si="229"/>
        <v>821</v>
      </c>
      <c r="AH832" s="270">
        <f t="shared" si="229"/>
        <v>821</v>
      </c>
      <c r="AI832" s="270">
        <f t="shared" si="229"/>
        <v>821</v>
      </c>
      <c r="AJ832" s="270">
        <f t="shared" si="229"/>
        <v>821</v>
      </c>
      <c r="AK832" s="270">
        <f t="shared" si="229"/>
        <v>821</v>
      </c>
      <c r="AL832" s="270">
        <f t="shared" si="229"/>
        <v>821</v>
      </c>
      <c r="AM832" s="270">
        <f t="shared" si="229"/>
        <v>821</v>
      </c>
    </row>
    <row r="833" spans="2:39" ht="15.75" thickBot="1" x14ac:dyDescent="0.35">
      <c r="B833" s="56" t="str">
        <f>input_names!$E$3</f>
        <v>plug-in</v>
      </c>
      <c r="C833" s="61">
        <v>78</v>
      </c>
      <c r="D833" s="270">
        <f t="shared" si="231"/>
        <v>468</v>
      </c>
      <c r="E833" s="270">
        <f t="shared" si="231"/>
        <v>468</v>
      </c>
      <c r="F833" s="270">
        <f t="shared" si="231"/>
        <v>10800</v>
      </c>
      <c r="G833" s="270">
        <f t="shared" si="231"/>
        <v>10402</v>
      </c>
      <c r="H833" s="270">
        <f t="shared" si="231"/>
        <v>10658</v>
      </c>
      <c r="I833" s="270">
        <f t="shared" si="231"/>
        <v>10506</v>
      </c>
      <c r="J833" s="270">
        <f t="shared" si="231"/>
        <v>6636</v>
      </c>
      <c r="K833" s="270">
        <f t="shared" si="231"/>
        <v>6698</v>
      </c>
      <c r="L833" s="270">
        <f t="shared" si="231"/>
        <v>7156</v>
      </c>
      <c r="M833" s="270">
        <f t="shared" si="231"/>
        <v>7854</v>
      </c>
      <c r="N833" s="270">
        <f t="shared" si="231"/>
        <v>823</v>
      </c>
      <c r="O833" s="270">
        <f t="shared" si="231"/>
        <v>823</v>
      </c>
      <c r="P833" s="270">
        <f t="shared" si="231"/>
        <v>823</v>
      </c>
      <c r="Q833" s="270">
        <f t="shared" si="231"/>
        <v>823</v>
      </c>
      <c r="R833" s="270">
        <f t="shared" si="231"/>
        <v>823</v>
      </c>
      <c r="S833" s="270">
        <f>+MIN(MAX(0,$C833-S$28),S$29-S$28)*S$34
+MIN(MAX(0,$C833-S$29),S$30-S$29)*S$35
+MIN(MAX(0,$C833-S$30),S$31-S$30)*S$36
+MIN(MAX(0,$C833-S$31),S$32-S$31)*S$37
+MAX(0,$C833-S$32)*S$38
+S$39</f>
        <v>823</v>
      </c>
      <c r="T833" s="270">
        <f t="shared" si="232"/>
        <v>823</v>
      </c>
      <c r="U833" s="270">
        <f t="shared" si="232"/>
        <v>823</v>
      </c>
      <c r="V833" s="270">
        <f t="shared" si="232"/>
        <v>823</v>
      </c>
      <c r="W833" s="270">
        <f t="shared" si="232"/>
        <v>823</v>
      </c>
      <c r="X833" s="270">
        <f t="shared" si="232"/>
        <v>823</v>
      </c>
      <c r="Y833" s="270">
        <f t="shared" si="232"/>
        <v>823</v>
      </c>
      <c r="Z833" s="270">
        <f t="shared" si="232"/>
        <v>823</v>
      </c>
      <c r="AA833" s="270">
        <f t="shared" si="232"/>
        <v>823</v>
      </c>
      <c r="AB833" s="270">
        <f t="shared" si="232"/>
        <v>823</v>
      </c>
      <c r="AC833" s="270">
        <f t="shared" si="232"/>
        <v>823</v>
      </c>
      <c r="AD833" s="270">
        <f>+MIN(MAX(0,$C833-AD$28),AD$29-AD$28)*AD$34
+MIN(MAX(0,$C833-AD$29),AD$30-AD$29)*AD$35
+MIN(MAX(0,$C833-AD$30),AD$31-AD$30)*AD$36
+MIN(MAX(0,$C833-AD$31),AD$32-AD$31)*AD$37
+MAX(0,$C833-AD$32)*AD$38
+AD$39</f>
        <v>823</v>
      </c>
      <c r="AE833" s="270">
        <f t="shared" si="230"/>
        <v>823</v>
      </c>
      <c r="AF833" s="270">
        <f t="shared" si="229"/>
        <v>823</v>
      </c>
      <c r="AG833" s="270">
        <f t="shared" si="229"/>
        <v>823</v>
      </c>
      <c r="AH833" s="270">
        <f t="shared" si="229"/>
        <v>823</v>
      </c>
      <c r="AI833" s="270">
        <f t="shared" si="229"/>
        <v>823</v>
      </c>
      <c r="AJ833" s="270">
        <f t="shared" si="229"/>
        <v>823</v>
      </c>
      <c r="AK833" s="270">
        <f t="shared" si="229"/>
        <v>823</v>
      </c>
      <c r="AL833" s="270">
        <f t="shared" si="229"/>
        <v>823</v>
      </c>
      <c r="AM833" s="270">
        <f t="shared" si="229"/>
        <v>823</v>
      </c>
    </row>
    <row r="834" spans="2:39" ht="15.75" thickBot="1" x14ac:dyDescent="0.35">
      <c r="B834" s="56" t="str">
        <f>input_names!$E$3</f>
        <v>plug-in</v>
      </c>
      <c r="C834" s="61">
        <v>79</v>
      </c>
      <c r="D834" s="270">
        <f t="shared" ref="D834:AD849" si="233">+MIN(MAX(0,$C834-D$28),D$29-D$28)*D$34
+MIN(MAX(0,$C834-D$29),D$30-D$29)*D$35
+MIN(MAX(0,$C834-D$30),D$31-D$30)*D$36
+MIN(MAX(0,$C834-D$31),D$32-D$31)*D$37
+MAX(0,$C834-D$32)*D$38
+D$39</f>
        <v>474</v>
      </c>
      <c r="E834" s="270">
        <f t="shared" si="233"/>
        <v>474</v>
      </c>
      <c r="F834" s="270">
        <f t="shared" si="233"/>
        <v>11100</v>
      </c>
      <c r="G834" s="270">
        <f t="shared" si="233"/>
        <v>10691</v>
      </c>
      <c r="H834" s="270">
        <f t="shared" si="233"/>
        <v>10929</v>
      </c>
      <c r="I834" s="270">
        <f t="shared" si="233"/>
        <v>10773</v>
      </c>
      <c r="J834" s="270">
        <f t="shared" si="233"/>
        <v>6838</v>
      </c>
      <c r="K834" s="270">
        <f t="shared" si="233"/>
        <v>6902</v>
      </c>
      <c r="L834" s="270">
        <f t="shared" si="233"/>
        <v>7373</v>
      </c>
      <c r="M834" s="270">
        <f t="shared" si="233"/>
        <v>8093</v>
      </c>
      <c r="N834" s="270">
        <f t="shared" si="233"/>
        <v>825</v>
      </c>
      <c r="O834" s="270">
        <f t="shared" si="233"/>
        <v>825</v>
      </c>
      <c r="P834" s="270">
        <f t="shared" si="233"/>
        <v>825</v>
      </c>
      <c r="Q834" s="270">
        <f t="shared" si="233"/>
        <v>825</v>
      </c>
      <c r="R834" s="270">
        <f t="shared" si="233"/>
        <v>825</v>
      </c>
      <c r="S834" s="270">
        <f t="shared" ref="S834:AC849" si="234">+MIN(MAX(0,$C834-S$28),S$29-S$28)*S$34
+MIN(MAX(0,$C834-S$29),S$30-S$29)*S$35
+MIN(MAX(0,$C834-S$30),S$31-S$30)*S$36
+MIN(MAX(0,$C834-S$31),S$32-S$31)*S$37
+MAX(0,$C834-S$32)*S$38
+S$39</f>
        <v>825</v>
      </c>
      <c r="T834" s="270">
        <f t="shared" si="234"/>
        <v>825</v>
      </c>
      <c r="U834" s="270">
        <f t="shared" si="234"/>
        <v>825</v>
      </c>
      <c r="V834" s="270">
        <f t="shared" si="234"/>
        <v>825</v>
      </c>
      <c r="W834" s="270">
        <f t="shared" si="234"/>
        <v>825</v>
      </c>
      <c r="X834" s="270">
        <f t="shared" si="234"/>
        <v>825</v>
      </c>
      <c r="Y834" s="270">
        <f t="shared" si="234"/>
        <v>825</v>
      </c>
      <c r="Z834" s="270">
        <f t="shared" si="234"/>
        <v>825</v>
      </c>
      <c r="AA834" s="270">
        <f t="shared" si="234"/>
        <v>825</v>
      </c>
      <c r="AB834" s="270">
        <f t="shared" si="234"/>
        <v>825</v>
      </c>
      <c r="AC834" s="270">
        <f t="shared" si="234"/>
        <v>825</v>
      </c>
      <c r="AD834" s="270">
        <f t="shared" si="233"/>
        <v>825</v>
      </c>
      <c r="AE834" s="270">
        <f t="shared" si="230"/>
        <v>825</v>
      </c>
      <c r="AF834" s="270">
        <f t="shared" si="229"/>
        <v>825</v>
      </c>
      <c r="AG834" s="270">
        <f t="shared" si="229"/>
        <v>825</v>
      </c>
      <c r="AH834" s="270">
        <f t="shared" si="229"/>
        <v>825</v>
      </c>
      <c r="AI834" s="270">
        <f t="shared" si="229"/>
        <v>825</v>
      </c>
      <c r="AJ834" s="270">
        <f t="shared" si="229"/>
        <v>825</v>
      </c>
      <c r="AK834" s="270">
        <f t="shared" si="229"/>
        <v>825</v>
      </c>
      <c r="AL834" s="270">
        <f t="shared" si="229"/>
        <v>825</v>
      </c>
      <c r="AM834" s="270">
        <f t="shared" si="229"/>
        <v>825</v>
      </c>
    </row>
    <row r="835" spans="2:39" ht="15.75" thickBot="1" x14ac:dyDescent="0.35">
      <c r="B835" s="56" t="str">
        <f>input_names!$E$3</f>
        <v>plug-in</v>
      </c>
      <c r="C835" s="61">
        <v>80</v>
      </c>
      <c r="D835" s="270">
        <f t="shared" si="233"/>
        <v>480</v>
      </c>
      <c r="E835" s="270">
        <f t="shared" si="233"/>
        <v>543</v>
      </c>
      <c r="F835" s="270">
        <f t="shared" si="233"/>
        <v>11400</v>
      </c>
      <c r="G835" s="270">
        <f t="shared" si="233"/>
        <v>10980</v>
      </c>
      <c r="H835" s="270">
        <f t="shared" si="233"/>
        <v>11200</v>
      </c>
      <c r="I835" s="270">
        <f t="shared" si="233"/>
        <v>11040</v>
      </c>
      <c r="J835" s="270">
        <f t="shared" si="233"/>
        <v>7040</v>
      </c>
      <c r="K835" s="270">
        <f t="shared" si="233"/>
        <v>7106</v>
      </c>
      <c r="L835" s="270">
        <f t="shared" si="233"/>
        <v>7590</v>
      </c>
      <c r="M835" s="270">
        <f t="shared" si="233"/>
        <v>8332</v>
      </c>
      <c r="N835" s="270">
        <f t="shared" si="233"/>
        <v>904</v>
      </c>
      <c r="O835" s="270">
        <f t="shared" si="233"/>
        <v>904</v>
      </c>
      <c r="P835" s="270">
        <f t="shared" si="233"/>
        <v>904</v>
      </c>
      <c r="Q835" s="270">
        <f t="shared" si="233"/>
        <v>904</v>
      </c>
      <c r="R835" s="270">
        <f t="shared" si="233"/>
        <v>904</v>
      </c>
      <c r="S835" s="270">
        <f t="shared" si="234"/>
        <v>904</v>
      </c>
      <c r="T835" s="270">
        <f t="shared" si="234"/>
        <v>904</v>
      </c>
      <c r="U835" s="270">
        <f t="shared" si="234"/>
        <v>904</v>
      </c>
      <c r="V835" s="270">
        <f t="shared" si="234"/>
        <v>904</v>
      </c>
      <c r="W835" s="270">
        <f t="shared" si="234"/>
        <v>904</v>
      </c>
      <c r="X835" s="270">
        <f t="shared" si="234"/>
        <v>904</v>
      </c>
      <c r="Y835" s="270">
        <f t="shared" si="234"/>
        <v>904</v>
      </c>
      <c r="Z835" s="270">
        <f t="shared" si="234"/>
        <v>904</v>
      </c>
      <c r="AA835" s="270">
        <f t="shared" si="234"/>
        <v>904</v>
      </c>
      <c r="AB835" s="270">
        <f t="shared" si="234"/>
        <v>904</v>
      </c>
      <c r="AC835" s="270">
        <f t="shared" si="234"/>
        <v>904</v>
      </c>
      <c r="AD835" s="270">
        <f t="shared" si="233"/>
        <v>904</v>
      </c>
      <c r="AE835" s="270">
        <f t="shared" si="230"/>
        <v>904</v>
      </c>
      <c r="AF835" s="270">
        <f t="shared" si="229"/>
        <v>904</v>
      </c>
      <c r="AG835" s="270">
        <f t="shared" si="229"/>
        <v>904</v>
      </c>
      <c r="AH835" s="270">
        <f t="shared" si="229"/>
        <v>904</v>
      </c>
      <c r="AI835" s="270">
        <f t="shared" si="229"/>
        <v>904</v>
      </c>
      <c r="AJ835" s="270">
        <f t="shared" si="229"/>
        <v>904</v>
      </c>
      <c r="AK835" s="270">
        <f t="shared" si="229"/>
        <v>904</v>
      </c>
      <c r="AL835" s="270">
        <f t="shared" si="229"/>
        <v>904</v>
      </c>
      <c r="AM835" s="270">
        <f t="shared" si="229"/>
        <v>904</v>
      </c>
    </row>
    <row r="836" spans="2:39" ht="15.75" thickBot="1" x14ac:dyDescent="0.35">
      <c r="B836" s="56" t="str">
        <f>input_names!$E$3</f>
        <v>plug-in</v>
      </c>
      <c r="C836" s="61">
        <v>81</v>
      </c>
      <c r="D836" s="270">
        <f t="shared" si="233"/>
        <v>486</v>
      </c>
      <c r="E836" s="270">
        <f t="shared" si="233"/>
        <v>612</v>
      </c>
      <c r="F836" s="270">
        <f t="shared" si="233"/>
        <v>11700</v>
      </c>
      <c r="G836" s="270">
        <f t="shared" si="233"/>
        <v>11269</v>
      </c>
      <c r="H836" s="270">
        <f t="shared" si="233"/>
        <v>11471</v>
      </c>
      <c r="I836" s="270">
        <f t="shared" si="233"/>
        <v>11307</v>
      </c>
      <c r="J836" s="270">
        <f t="shared" si="233"/>
        <v>7242</v>
      </c>
      <c r="K836" s="270">
        <f t="shared" si="233"/>
        <v>7310</v>
      </c>
      <c r="L836" s="270">
        <f t="shared" si="233"/>
        <v>7807</v>
      </c>
      <c r="M836" s="270">
        <f t="shared" si="233"/>
        <v>8571</v>
      </c>
      <c r="N836" s="270">
        <f t="shared" si="233"/>
        <v>983</v>
      </c>
      <c r="O836" s="270">
        <f t="shared" si="233"/>
        <v>983</v>
      </c>
      <c r="P836" s="270">
        <f t="shared" si="233"/>
        <v>983</v>
      </c>
      <c r="Q836" s="270">
        <f t="shared" si="233"/>
        <v>983</v>
      </c>
      <c r="R836" s="270">
        <f t="shared" si="233"/>
        <v>983</v>
      </c>
      <c r="S836" s="270">
        <f t="shared" si="234"/>
        <v>983</v>
      </c>
      <c r="T836" s="270">
        <f t="shared" si="234"/>
        <v>983</v>
      </c>
      <c r="U836" s="270">
        <f t="shared" si="234"/>
        <v>983</v>
      </c>
      <c r="V836" s="270">
        <f t="shared" si="234"/>
        <v>983</v>
      </c>
      <c r="W836" s="270">
        <f t="shared" si="234"/>
        <v>983</v>
      </c>
      <c r="X836" s="270">
        <f t="shared" si="234"/>
        <v>983</v>
      </c>
      <c r="Y836" s="270">
        <f t="shared" si="234"/>
        <v>983</v>
      </c>
      <c r="Z836" s="270">
        <f t="shared" si="234"/>
        <v>983</v>
      </c>
      <c r="AA836" s="270">
        <f t="shared" si="234"/>
        <v>983</v>
      </c>
      <c r="AB836" s="270">
        <f t="shared" si="234"/>
        <v>983</v>
      </c>
      <c r="AC836" s="270">
        <f t="shared" si="234"/>
        <v>983</v>
      </c>
      <c r="AD836" s="270">
        <f t="shared" si="233"/>
        <v>983</v>
      </c>
      <c r="AE836" s="270">
        <f t="shared" si="230"/>
        <v>983</v>
      </c>
      <c r="AF836" s="270">
        <f t="shared" si="229"/>
        <v>983</v>
      </c>
      <c r="AG836" s="270">
        <f t="shared" si="229"/>
        <v>983</v>
      </c>
      <c r="AH836" s="270">
        <f t="shared" si="229"/>
        <v>983</v>
      </c>
      <c r="AI836" s="270">
        <f t="shared" si="229"/>
        <v>983</v>
      </c>
      <c r="AJ836" s="270">
        <f t="shared" si="229"/>
        <v>983</v>
      </c>
      <c r="AK836" s="270">
        <f t="shared" si="229"/>
        <v>983</v>
      </c>
      <c r="AL836" s="270">
        <f t="shared" si="229"/>
        <v>983</v>
      </c>
      <c r="AM836" s="270">
        <f t="shared" si="229"/>
        <v>983</v>
      </c>
    </row>
    <row r="837" spans="2:39" ht="15.75" thickBot="1" x14ac:dyDescent="0.35">
      <c r="B837" s="56" t="str">
        <f>input_names!$E$3</f>
        <v>plug-in</v>
      </c>
      <c r="C837" s="61">
        <v>82</v>
      </c>
      <c r="D837" s="270">
        <f t="shared" si="233"/>
        <v>492</v>
      </c>
      <c r="E837" s="270">
        <f t="shared" si="233"/>
        <v>681</v>
      </c>
      <c r="F837" s="270">
        <f t="shared" si="233"/>
        <v>12000</v>
      </c>
      <c r="G837" s="270">
        <f t="shared" si="233"/>
        <v>11558</v>
      </c>
      <c r="H837" s="270">
        <f t="shared" si="233"/>
        <v>11742</v>
      </c>
      <c r="I837" s="270">
        <f t="shared" si="233"/>
        <v>11574</v>
      </c>
      <c r="J837" s="270">
        <f t="shared" si="233"/>
        <v>7444</v>
      </c>
      <c r="K837" s="270">
        <f t="shared" si="233"/>
        <v>7514</v>
      </c>
      <c r="L837" s="270">
        <f t="shared" si="233"/>
        <v>8024</v>
      </c>
      <c r="M837" s="270">
        <f t="shared" si="233"/>
        <v>8810</v>
      </c>
      <c r="N837" s="270">
        <f t="shared" si="233"/>
        <v>1062</v>
      </c>
      <c r="O837" s="270">
        <f t="shared" si="233"/>
        <v>1062</v>
      </c>
      <c r="P837" s="270">
        <f t="shared" si="233"/>
        <v>1062</v>
      </c>
      <c r="Q837" s="270">
        <f t="shared" si="233"/>
        <v>1062</v>
      </c>
      <c r="R837" s="270">
        <f t="shared" si="233"/>
        <v>1062</v>
      </c>
      <c r="S837" s="270">
        <f t="shared" si="234"/>
        <v>1062</v>
      </c>
      <c r="T837" s="270">
        <f t="shared" si="234"/>
        <v>1062</v>
      </c>
      <c r="U837" s="270">
        <f t="shared" si="234"/>
        <v>1062</v>
      </c>
      <c r="V837" s="270">
        <f t="shared" si="234"/>
        <v>1062</v>
      </c>
      <c r="W837" s="270">
        <f t="shared" si="234"/>
        <v>1062</v>
      </c>
      <c r="X837" s="270">
        <f t="shared" si="234"/>
        <v>1062</v>
      </c>
      <c r="Y837" s="270">
        <f t="shared" si="234"/>
        <v>1062</v>
      </c>
      <c r="Z837" s="270">
        <f t="shared" si="234"/>
        <v>1062</v>
      </c>
      <c r="AA837" s="270">
        <f t="shared" si="234"/>
        <v>1062</v>
      </c>
      <c r="AB837" s="270">
        <f t="shared" si="234"/>
        <v>1062</v>
      </c>
      <c r="AC837" s="270">
        <f t="shared" si="234"/>
        <v>1062</v>
      </c>
      <c r="AD837" s="270">
        <f t="shared" si="233"/>
        <v>1062</v>
      </c>
      <c r="AE837" s="270">
        <f t="shared" si="230"/>
        <v>1062</v>
      </c>
      <c r="AF837" s="270">
        <f t="shared" si="229"/>
        <v>1062</v>
      </c>
      <c r="AG837" s="270">
        <f t="shared" si="229"/>
        <v>1062</v>
      </c>
      <c r="AH837" s="270">
        <f t="shared" si="229"/>
        <v>1062</v>
      </c>
      <c r="AI837" s="270">
        <f t="shared" si="229"/>
        <v>1062</v>
      </c>
      <c r="AJ837" s="270">
        <f t="shared" si="229"/>
        <v>1062</v>
      </c>
      <c r="AK837" s="270">
        <f t="shared" si="229"/>
        <v>1062</v>
      </c>
      <c r="AL837" s="270">
        <f t="shared" si="229"/>
        <v>1062</v>
      </c>
      <c r="AM837" s="270">
        <f t="shared" si="229"/>
        <v>1062</v>
      </c>
    </row>
    <row r="838" spans="2:39" ht="15.75" thickBot="1" x14ac:dyDescent="0.35">
      <c r="B838" s="56" t="str">
        <f>input_names!$E$3</f>
        <v>plug-in</v>
      </c>
      <c r="C838" s="61">
        <v>83</v>
      </c>
      <c r="D838" s="270">
        <f t="shared" si="233"/>
        <v>561</v>
      </c>
      <c r="E838" s="270">
        <f t="shared" si="233"/>
        <v>750</v>
      </c>
      <c r="F838" s="270">
        <f t="shared" si="233"/>
        <v>12300</v>
      </c>
      <c r="G838" s="270">
        <f t="shared" si="233"/>
        <v>11847</v>
      </c>
      <c r="H838" s="270">
        <f t="shared" si="233"/>
        <v>12013</v>
      </c>
      <c r="I838" s="270">
        <f t="shared" si="233"/>
        <v>11841</v>
      </c>
      <c r="J838" s="270">
        <f t="shared" si="233"/>
        <v>7646</v>
      </c>
      <c r="K838" s="270">
        <f t="shared" si="233"/>
        <v>7718</v>
      </c>
      <c r="L838" s="270">
        <f t="shared" si="233"/>
        <v>8241</v>
      </c>
      <c r="M838" s="270">
        <f t="shared" si="233"/>
        <v>9049</v>
      </c>
      <c r="N838" s="270">
        <f t="shared" si="233"/>
        <v>1141</v>
      </c>
      <c r="O838" s="270">
        <f t="shared" si="233"/>
        <v>1141</v>
      </c>
      <c r="P838" s="270">
        <f t="shared" si="233"/>
        <v>1141</v>
      </c>
      <c r="Q838" s="270">
        <f t="shared" si="233"/>
        <v>1141</v>
      </c>
      <c r="R838" s="270">
        <f t="shared" si="233"/>
        <v>1141</v>
      </c>
      <c r="S838" s="270">
        <f t="shared" si="234"/>
        <v>1141</v>
      </c>
      <c r="T838" s="270">
        <f t="shared" si="234"/>
        <v>1141</v>
      </c>
      <c r="U838" s="270">
        <f t="shared" si="234"/>
        <v>1141</v>
      </c>
      <c r="V838" s="270">
        <f t="shared" si="234"/>
        <v>1141</v>
      </c>
      <c r="W838" s="270">
        <f t="shared" si="234"/>
        <v>1141</v>
      </c>
      <c r="X838" s="270">
        <f t="shared" si="234"/>
        <v>1141</v>
      </c>
      <c r="Y838" s="270">
        <f t="shared" si="234"/>
        <v>1141</v>
      </c>
      <c r="Z838" s="270">
        <f t="shared" si="234"/>
        <v>1141</v>
      </c>
      <c r="AA838" s="270">
        <f t="shared" si="234"/>
        <v>1141</v>
      </c>
      <c r="AB838" s="270">
        <f t="shared" si="234"/>
        <v>1141</v>
      </c>
      <c r="AC838" s="270">
        <f t="shared" si="234"/>
        <v>1141</v>
      </c>
      <c r="AD838" s="270">
        <f t="shared" si="233"/>
        <v>1141</v>
      </c>
      <c r="AE838" s="270">
        <f t="shared" si="230"/>
        <v>1141</v>
      </c>
      <c r="AF838" s="270">
        <f t="shared" si="229"/>
        <v>1141</v>
      </c>
      <c r="AG838" s="270">
        <f t="shared" si="229"/>
        <v>1141</v>
      </c>
      <c r="AH838" s="270">
        <f t="shared" si="229"/>
        <v>1141</v>
      </c>
      <c r="AI838" s="270">
        <f t="shared" si="229"/>
        <v>1141</v>
      </c>
      <c r="AJ838" s="270">
        <f t="shared" si="229"/>
        <v>1141</v>
      </c>
      <c r="AK838" s="270">
        <f t="shared" si="229"/>
        <v>1141</v>
      </c>
      <c r="AL838" s="270">
        <f t="shared" si="229"/>
        <v>1141</v>
      </c>
      <c r="AM838" s="270">
        <f t="shared" si="229"/>
        <v>1141</v>
      </c>
    </row>
    <row r="839" spans="2:39" ht="15.75" thickBot="1" x14ac:dyDescent="0.35">
      <c r="B839" s="56" t="str">
        <f>input_names!$E$3</f>
        <v>plug-in</v>
      </c>
      <c r="C839" s="61">
        <v>84</v>
      </c>
      <c r="D839" s="270">
        <f t="shared" si="233"/>
        <v>630</v>
      </c>
      <c r="E839" s="270">
        <f t="shared" si="233"/>
        <v>819</v>
      </c>
      <c r="F839" s="270">
        <f t="shared" si="233"/>
        <v>12600</v>
      </c>
      <c r="G839" s="270">
        <f t="shared" si="233"/>
        <v>12136</v>
      </c>
      <c r="H839" s="270">
        <f t="shared" si="233"/>
        <v>12284</v>
      </c>
      <c r="I839" s="270">
        <f t="shared" si="233"/>
        <v>12108</v>
      </c>
      <c r="J839" s="270">
        <f t="shared" si="233"/>
        <v>7848</v>
      </c>
      <c r="K839" s="270">
        <f t="shared" si="233"/>
        <v>7922</v>
      </c>
      <c r="L839" s="270">
        <f t="shared" si="233"/>
        <v>8458</v>
      </c>
      <c r="M839" s="270">
        <f t="shared" si="233"/>
        <v>9288</v>
      </c>
      <c r="N839" s="270">
        <f t="shared" si="233"/>
        <v>1220</v>
      </c>
      <c r="O839" s="270">
        <f t="shared" si="233"/>
        <v>1220</v>
      </c>
      <c r="P839" s="270">
        <f t="shared" si="233"/>
        <v>1220</v>
      </c>
      <c r="Q839" s="270">
        <f t="shared" si="233"/>
        <v>1220</v>
      </c>
      <c r="R839" s="270">
        <f t="shared" si="233"/>
        <v>1220</v>
      </c>
      <c r="S839" s="270">
        <f t="shared" si="234"/>
        <v>1220</v>
      </c>
      <c r="T839" s="270">
        <f t="shared" si="234"/>
        <v>1220</v>
      </c>
      <c r="U839" s="270">
        <f t="shared" si="234"/>
        <v>1220</v>
      </c>
      <c r="V839" s="270">
        <f t="shared" si="234"/>
        <v>1220</v>
      </c>
      <c r="W839" s="270">
        <f t="shared" si="234"/>
        <v>1220</v>
      </c>
      <c r="X839" s="270">
        <f t="shared" si="234"/>
        <v>1220</v>
      </c>
      <c r="Y839" s="270">
        <f t="shared" si="234"/>
        <v>1220</v>
      </c>
      <c r="Z839" s="270">
        <f t="shared" si="234"/>
        <v>1220</v>
      </c>
      <c r="AA839" s="270">
        <f t="shared" si="234"/>
        <v>1220</v>
      </c>
      <c r="AB839" s="270">
        <f t="shared" si="234"/>
        <v>1220</v>
      </c>
      <c r="AC839" s="270">
        <f t="shared" si="234"/>
        <v>1220</v>
      </c>
      <c r="AD839" s="270">
        <f t="shared" si="233"/>
        <v>1220</v>
      </c>
      <c r="AE839" s="270">
        <f t="shared" si="230"/>
        <v>1220</v>
      </c>
      <c r="AF839" s="270">
        <f t="shared" si="229"/>
        <v>1220</v>
      </c>
      <c r="AG839" s="270">
        <f t="shared" si="229"/>
        <v>1220</v>
      </c>
      <c r="AH839" s="270">
        <f t="shared" si="229"/>
        <v>1220</v>
      </c>
      <c r="AI839" s="270">
        <f t="shared" si="229"/>
        <v>1220</v>
      </c>
      <c r="AJ839" s="270">
        <f t="shared" si="229"/>
        <v>1220</v>
      </c>
      <c r="AK839" s="270">
        <f t="shared" si="229"/>
        <v>1220</v>
      </c>
      <c r="AL839" s="270">
        <f t="shared" si="229"/>
        <v>1220</v>
      </c>
      <c r="AM839" s="270">
        <f t="shared" ref="AF839:AM868" si="235">+MIN(MAX(0,$C839-AM$28),AM$29-AM$28)*AM$34
+MIN(MAX(0,$C839-AM$29),AM$30-AM$29)*AM$35
+MIN(MAX(0,$C839-AM$30),AM$31-AM$30)*AM$36
+MIN(MAX(0,$C839-AM$31),AM$32-AM$31)*AM$37
+MAX(0,$C839-AM$32)*AM$38
+AM$39</f>
        <v>1220</v>
      </c>
    </row>
    <row r="840" spans="2:39" ht="15.75" thickBot="1" x14ac:dyDescent="0.35">
      <c r="B840" s="56" t="str">
        <f>input_names!$E$3</f>
        <v>plug-in</v>
      </c>
      <c r="C840" s="61">
        <v>85</v>
      </c>
      <c r="D840" s="270">
        <f t="shared" si="233"/>
        <v>699</v>
      </c>
      <c r="E840" s="270">
        <f t="shared" si="233"/>
        <v>888</v>
      </c>
      <c r="F840" s="270">
        <f t="shared" si="233"/>
        <v>12900</v>
      </c>
      <c r="G840" s="270">
        <f t="shared" si="233"/>
        <v>12425</v>
      </c>
      <c r="H840" s="270">
        <f t="shared" si="233"/>
        <v>12555</v>
      </c>
      <c r="I840" s="270">
        <f t="shared" si="233"/>
        <v>12375</v>
      </c>
      <c r="J840" s="270">
        <f t="shared" si="233"/>
        <v>8050</v>
      </c>
      <c r="K840" s="270">
        <f t="shared" si="233"/>
        <v>8126</v>
      </c>
      <c r="L840" s="270">
        <f t="shared" si="233"/>
        <v>8675</v>
      </c>
      <c r="M840" s="270">
        <f t="shared" si="233"/>
        <v>9527</v>
      </c>
      <c r="N840" s="270">
        <f t="shared" si="233"/>
        <v>1299</v>
      </c>
      <c r="O840" s="270">
        <f t="shared" si="233"/>
        <v>1299</v>
      </c>
      <c r="P840" s="270">
        <f t="shared" si="233"/>
        <v>1299</v>
      </c>
      <c r="Q840" s="270">
        <f t="shared" si="233"/>
        <v>1299</v>
      </c>
      <c r="R840" s="270">
        <f t="shared" si="233"/>
        <v>1299</v>
      </c>
      <c r="S840" s="270">
        <f t="shared" si="234"/>
        <v>1299</v>
      </c>
      <c r="T840" s="270">
        <f t="shared" si="234"/>
        <v>1299</v>
      </c>
      <c r="U840" s="270">
        <f t="shared" si="234"/>
        <v>1299</v>
      </c>
      <c r="V840" s="270">
        <f t="shared" si="234"/>
        <v>1299</v>
      </c>
      <c r="W840" s="270">
        <f t="shared" si="234"/>
        <v>1299</v>
      </c>
      <c r="X840" s="270">
        <f t="shared" si="234"/>
        <v>1299</v>
      </c>
      <c r="Y840" s="270">
        <f t="shared" si="234"/>
        <v>1299</v>
      </c>
      <c r="Z840" s="270">
        <f t="shared" si="234"/>
        <v>1299</v>
      </c>
      <c r="AA840" s="270">
        <f t="shared" si="234"/>
        <v>1299</v>
      </c>
      <c r="AB840" s="270">
        <f t="shared" si="234"/>
        <v>1299</v>
      </c>
      <c r="AC840" s="270">
        <f t="shared" si="234"/>
        <v>1299</v>
      </c>
      <c r="AD840" s="270">
        <f t="shared" si="233"/>
        <v>1299</v>
      </c>
      <c r="AE840" s="270">
        <f t="shared" si="230"/>
        <v>1299</v>
      </c>
      <c r="AF840" s="270">
        <f t="shared" si="235"/>
        <v>1299</v>
      </c>
      <c r="AG840" s="270">
        <f t="shared" si="235"/>
        <v>1299</v>
      </c>
      <c r="AH840" s="270">
        <f t="shared" si="235"/>
        <v>1299</v>
      </c>
      <c r="AI840" s="270">
        <f t="shared" si="235"/>
        <v>1299</v>
      </c>
      <c r="AJ840" s="270">
        <f t="shared" si="235"/>
        <v>1299</v>
      </c>
      <c r="AK840" s="270">
        <f t="shared" si="235"/>
        <v>1299</v>
      </c>
      <c r="AL840" s="270">
        <f t="shared" si="235"/>
        <v>1299</v>
      </c>
      <c r="AM840" s="270">
        <f t="shared" si="235"/>
        <v>1299</v>
      </c>
    </row>
    <row r="841" spans="2:39" ht="15.75" thickBot="1" x14ac:dyDescent="0.35">
      <c r="B841" s="56" t="str">
        <f>input_names!$E$3</f>
        <v>plug-in</v>
      </c>
      <c r="C841" s="61">
        <v>86</v>
      </c>
      <c r="D841" s="270">
        <f t="shared" si="233"/>
        <v>768</v>
      </c>
      <c r="E841" s="270">
        <f t="shared" si="233"/>
        <v>957</v>
      </c>
      <c r="F841" s="270">
        <f t="shared" si="233"/>
        <v>13200</v>
      </c>
      <c r="G841" s="270">
        <f t="shared" si="233"/>
        <v>12714</v>
      </c>
      <c r="H841" s="270">
        <f t="shared" si="233"/>
        <v>12826</v>
      </c>
      <c r="I841" s="270">
        <f t="shared" si="233"/>
        <v>12642</v>
      </c>
      <c r="J841" s="270">
        <f t="shared" si="233"/>
        <v>8252</v>
      </c>
      <c r="K841" s="270">
        <f t="shared" si="233"/>
        <v>8330</v>
      </c>
      <c r="L841" s="270">
        <f t="shared" si="233"/>
        <v>8892</v>
      </c>
      <c r="M841" s="270">
        <f t="shared" si="233"/>
        <v>9766</v>
      </c>
      <c r="N841" s="270">
        <f t="shared" si="233"/>
        <v>1378</v>
      </c>
      <c r="O841" s="270">
        <f t="shared" si="233"/>
        <v>1378</v>
      </c>
      <c r="P841" s="270">
        <f t="shared" si="233"/>
        <v>1378</v>
      </c>
      <c r="Q841" s="270">
        <f t="shared" si="233"/>
        <v>1378</v>
      </c>
      <c r="R841" s="270">
        <f t="shared" si="233"/>
        <v>1378</v>
      </c>
      <c r="S841" s="270">
        <f t="shared" si="234"/>
        <v>1378</v>
      </c>
      <c r="T841" s="270">
        <f t="shared" si="234"/>
        <v>1378</v>
      </c>
      <c r="U841" s="270">
        <f t="shared" si="234"/>
        <v>1378</v>
      </c>
      <c r="V841" s="270">
        <f t="shared" si="234"/>
        <v>1378</v>
      </c>
      <c r="W841" s="270">
        <f t="shared" si="234"/>
        <v>1378</v>
      </c>
      <c r="X841" s="270">
        <f t="shared" si="234"/>
        <v>1378</v>
      </c>
      <c r="Y841" s="270">
        <f t="shared" si="234"/>
        <v>1378</v>
      </c>
      <c r="Z841" s="270">
        <f t="shared" si="234"/>
        <v>1378</v>
      </c>
      <c r="AA841" s="270">
        <f t="shared" si="234"/>
        <v>1378</v>
      </c>
      <c r="AB841" s="270">
        <f t="shared" si="234"/>
        <v>1378</v>
      </c>
      <c r="AC841" s="270">
        <f t="shared" si="234"/>
        <v>1378</v>
      </c>
      <c r="AD841" s="270">
        <f t="shared" si="233"/>
        <v>1378</v>
      </c>
      <c r="AE841" s="270">
        <f t="shared" si="230"/>
        <v>1378</v>
      </c>
      <c r="AF841" s="270">
        <f t="shared" si="235"/>
        <v>1378</v>
      </c>
      <c r="AG841" s="270">
        <f t="shared" si="235"/>
        <v>1378</v>
      </c>
      <c r="AH841" s="270">
        <f t="shared" si="235"/>
        <v>1378</v>
      </c>
      <c r="AI841" s="270">
        <f t="shared" si="235"/>
        <v>1378</v>
      </c>
      <c r="AJ841" s="270">
        <f t="shared" si="235"/>
        <v>1378</v>
      </c>
      <c r="AK841" s="270">
        <f t="shared" si="235"/>
        <v>1378</v>
      </c>
      <c r="AL841" s="270">
        <f t="shared" si="235"/>
        <v>1378</v>
      </c>
      <c r="AM841" s="270">
        <f t="shared" si="235"/>
        <v>1378</v>
      </c>
    </row>
    <row r="842" spans="2:39" ht="15.75" thickBot="1" x14ac:dyDescent="0.35">
      <c r="B842" s="56" t="str">
        <f>input_names!$E$3</f>
        <v>plug-in</v>
      </c>
      <c r="C842" s="61">
        <v>87</v>
      </c>
      <c r="D842" s="270">
        <f t="shared" si="233"/>
        <v>837</v>
      </c>
      <c r="E842" s="270">
        <f t="shared" si="233"/>
        <v>1026</v>
      </c>
      <c r="F842" s="270">
        <f t="shared" si="233"/>
        <v>13500</v>
      </c>
      <c r="G842" s="270">
        <f t="shared" si="233"/>
        <v>13003</v>
      </c>
      <c r="H842" s="270">
        <f t="shared" si="233"/>
        <v>13097</v>
      </c>
      <c r="I842" s="270">
        <f t="shared" si="233"/>
        <v>12909</v>
      </c>
      <c r="J842" s="270">
        <f t="shared" si="233"/>
        <v>8454</v>
      </c>
      <c r="K842" s="270">
        <f t="shared" si="233"/>
        <v>8534</v>
      </c>
      <c r="L842" s="270">
        <f t="shared" si="233"/>
        <v>9109</v>
      </c>
      <c r="M842" s="270">
        <f t="shared" si="233"/>
        <v>10005</v>
      </c>
      <c r="N842" s="270">
        <f t="shared" si="233"/>
        <v>1457</v>
      </c>
      <c r="O842" s="270">
        <f t="shared" si="233"/>
        <v>1457</v>
      </c>
      <c r="P842" s="270">
        <f t="shared" si="233"/>
        <v>1457</v>
      </c>
      <c r="Q842" s="270">
        <f t="shared" si="233"/>
        <v>1457</v>
      </c>
      <c r="R842" s="270">
        <f t="shared" si="233"/>
        <v>1457</v>
      </c>
      <c r="S842" s="270">
        <f t="shared" si="234"/>
        <v>1457</v>
      </c>
      <c r="T842" s="270">
        <f t="shared" si="234"/>
        <v>1457</v>
      </c>
      <c r="U842" s="270">
        <f t="shared" si="234"/>
        <v>1457</v>
      </c>
      <c r="V842" s="270">
        <f t="shared" si="234"/>
        <v>1457</v>
      </c>
      <c r="W842" s="270">
        <f t="shared" si="234"/>
        <v>1457</v>
      </c>
      <c r="X842" s="270">
        <f t="shared" si="234"/>
        <v>1457</v>
      </c>
      <c r="Y842" s="270">
        <f t="shared" si="234"/>
        <v>1457</v>
      </c>
      <c r="Z842" s="270">
        <f t="shared" si="234"/>
        <v>1457</v>
      </c>
      <c r="AA842" s="270">
        <f t="shared" si="234"/>
        <v>1457</v>
      </c>
      <c r="AB842" s="270">
        <f t="shared" si="234"/>
        <v>1457</v>
      </c>
      <c r="AC842" s="270">
        <f t="shared" si="234"/>
        <v>1457</v>
      </c>
      <c r="AD842" s="270">
        <f t="shared" si="233"/>
        <v>1457</v>
      </c>
      <c r="AE842" s="270">
        <f t="shared" si="230"/>
        <v>1457</v>
      </c>
      <c r="AF842" s="270">
        <f t="shared" si="235"/>
        <v>1457</v>
      </c>
      <c r="AG842" s="270">
        <f t="shared" si="235"/>
        <v>1457</v>
      </c>
      <c r="AH842" s="270">
        <f t="shared" si="235"/>
        <v>1457</v>
      </c>
      <c r="AI842" s="270">
        <f t="shared" si="235"/>
        <v>1457</v>
      </c>
      <c r="AJ842" s="270">
        <f t="shared" si="235"/>
        <v>1457</v>
      </c>
      <c r="AK842" s="270">
        <f t="shared" si="235"/>
        <v>1457</v>
      </c>
      <c r="AL842" s="270">
        <f t="shared" si="235"/>
        <v>1457</v>
      </c>
      <c r="AM842" s="270">
        <f t="shared" si="235"/>
        <v>1457</v>
      </c>
    </row>
    <row r="843" spans="2:39" ht="15.75" thickBot="1" x14ac:dyDescent="0.35">
      <c r="B843" s="56" t="str">
        <f>input_names!$E$3</f>
        <v>plug-in</v>
      </c>
      <c r="C843" s="61">
        <v>88</v>
      </c>
      <c r="D843" s="270">
        <f t="shared" si="233"/>
        <v>906</v>
      </c>
      <c r="E843" s="270">
        <f t="shared" si="233"/>
        <v>1095</v>
      </c>
      <c r="F843" s="270">
        <f t="shared" si="233"/>
        <v>13800</v>
      </c>
      <c r="G843" s="270">
        <f t="shared" si="233"/>
        <v>13292</v>
      </c>
      <c r="H843" s="270">
        <f t="shared" si="233"/>
        <v>13368</v>
      </c>
      <c r="I843" s="270">
        <f t="shared" si="233"/>
        <v>13176</v>
      </c>
      <c r="J843" s="270">
        <f t="shared" si="233"/>
        <v>8656</v>
      </c>
      <c r="K843" s="270">
        <f t="shared" si="233"/>
        <v>8738</v>
      </c>
      <c r="L843" s="270">
        <f t="shared" si="233"/>
        <v>9326</v>
      </c>
      <c r="M843" s="270">
        <f t="shared" si="233"/>
        <v>10244</v>
      </c>
      <c r="N843" s="270">
        <f t="shared" si="233"/>
        <v>1536</v>
      </c>
      <c r="O843" s="270">
        <f t="shared" si="233"/>
        <v>1536</v>
      </c>
      <c r="P843" s="270">
        <f t="shared" si="233"/>
        <v>1536</v>
      </c>
      <c r="Q843" s="270">
        <f t="shared" si="233"/>
        <v>1536</v>
      </c>
      <c r="R843" s="270">
        <f t="shared" si="233"/>
        <v>1536</v>
      </c>
      <c r="S843" s="270">
        <f t="shared" si="234"/>
        <v>1536</v>
      </c>
      <c r="T843" s="270">
        <f t="shared" si="234"/>
        <v>1536</v>
      </c>
      <c r="U843" s="270">
        <f t="shared" si="234"/>
        <v>1536</v>
      </c>
      <c r="V843" s="270">
        <f t="shared" si="234"/>
        <v>1536</v>
      </c>
      <c r="W843" s="270">
        <f t="shared" si="234"/>
        <v>1536</v>
      </c>
      <c r="X843" s="270">
        <f t="shared" si="234"/>
        <v>1536</v>
      </c>
      <c r="Y843" s="270">
        <f t="shared" si="234"/>
        <v>1536</v>
      </c>
      <c r="Z843" s="270">
        <f t="shared" si="234"/>
        <v>1536</v>
      </c>
      <c r="AA843" s="270">
        <f t="shared" si="234"/>
        <v>1536</v>
      </c>
      <c r="AB843" s="270">
        <f t="shared" si="234"/>
        <v>1536</v>
      </c>
      <c r="AC843" s="270">
        <f t="shared" si="234"/>
        <v>1536</v>
      </c>
      <c r="AD843" s="270">
        <f t="shared" si="233"/>
        <v>1536</v>
      </c>
      <c r="AE843" s="270">
        <f t="shared" si="230"/>
        <v>1536</v>
      </c>
      <c r="AF843" s="270">
        <f t="shared" si="235"/>
        <v>1536</v>
      </c>
      <c r="AG843" s="270">
        <f t="shared" si="235"/>
        <v>1536</v>
      </c>
      <c r="AH843" s="270">
        <f t="shared" si="235"/>
        <v>1536</v>
      </c>
      <c r="AI843" s="270">
        <f t="shared" si="235"/>
        <v>1536</v>
      </c>
      <c r="AJ843" s="270">
        <f t="shared" si="235"/>
        <v>1536</v>
      </c>
      <c r="AK843" s="270">
        <f t="shared" si="235"/>
        <v>1536</v>
      </c>
      <c r="AL843" s="270">
        <f t="shared" si="235"/>
        <v>1536</v>
      </c>
      <c r="AM843" s="270">
        <f t="shared" si="235"/>
        <v>1536</v>
      </c>
    </row>
    <row r="844" spans="2:39" ht="15.75" thickBot="1" x14ac:dyDescent="0.35">
      <c r="B844" s="56" t="str">
        <f>input_names!$E$3</f>
        <v>plug-in</v>
      </c>
      <c r="C844" s="61">
        <v>89</v>
      </c>
      <c r="D844" s="270">
        <f t="shared" si="233"/>
        <v>975</v>
      </c>
      <c r="E844" s="270">
        <f t="shared" si="233"/>
        <v>1164</v>
      </c>
      <c r="F844" s="270">
        <f t="shared" si="233"/>
        <v>14100</v>
      </c>
      <c r="G844" s="270">
        <f t="shared" si="233"/>
        <v>13581</v>
      </c>
      <c r="H844" s="270">
        <f t="shared" si="233"/>
        <v>13639</v>
      </c>
      <c r="I844" s="270">
        <f t="shared" si="233"/>
        <v>13443</v>
      </c>
      <c r="J844" s="270">
        <f t="shared" si="233"/>
        <v>8858</v>
      </c>
      <c r="K844" s="270">
        <f t="shared" si="233"/>
        <v>8942</v>
      </c>
      <c r="L844" s="270">
        <f t="shared" si="233"/>
        <v>9543</v>
      </c>
      <c r="M844" s="270">
        <f t="shared" si="233"/>
        <v>10483</v>
      </c>
      <c r="N844" s="270">
        <f t="shared" si="233"/>
        <v>1615</v>
      </c>
      <c r="O844" s="270">
        <f t="shared" si="233"/>
        <v>1615</v>
      </c>
      <c r="P844" s="270">
        <f t="shared" si="233"/>
        <v>1615</v>
      </c>
      <c r="Q844" s="270">
        <f t="shared" si="233"/>
        <v>1615</v>
      </c>
      <c r="R844" s="270">
        <f t="shared" si="233"/>
        <v>1615</v>
      </c>
      <c r="S844" s="270">
        <f t="shared" si="234"/>
        <v>1615</v>
      </c>
      <c r="T844" s="270">
        <f t="shared" si="234"/>
        <v>1615</v>
      </c>
      <c r="U844" s="270">
        <f t="shared" si="234"/>
        <v>1615</v>
      </c>
      <c r="V844" s="270">
        <f t="shared" si="234"/>
        <v>1615</v>
      </c>
      <c r="W844" s="270">
        <f t="shared" si="234"/>
        <v>1615</v>
      </c>
      <c r="X844" s="270">
        <f t="shared" si="234"/>
        <v>1615</v>
      </c>
      <c r="Y844" s="270">
        <f t="shared" si="234"/>
        <v>1615</v>
      </c>
      <c r="Z844" s="270">
        <f t="shared" si="234"/>
        <v>1615</v>
      </c>
      <c r="AA844" s="270">
        <f t="shared" si="234"/>
        <v>1615</v>
      </c>
      <c r="AB844" s="270">
        <f t="shared" si="234"/>
        <v>1615</v>
      </c>
      <c r="AC844" s="270">
        <f t="shared" si="234"/>
        <v>1615</v>
      </c>
      <c r="AD844" s="270">
        <f t="shared" si="233"/>
        <v>1615</v>
      </c>
      <c r="AE844" s="270">
        <f t="shared" si="230"/>
        <v>1615</v>
      </c>
      <c r="AF844" s="270">
        <f t="shared" si="235"/>
        <v>1615</v>
      </c>
      <c r="AG844" s="270">
        <f t="shared" si="235"/>
        <v>1615</v>
      </c>
      <c r="AH844" s="270">
        <f t="shared" si="235"/>
        <v>1615</v>
      </c>
      <c r="AI844" s="270">
        <f t="shared" si="235"/>
        <v>1615</v>
      </c>
      <c r="AJ844" s="270">
        <f t="shared" si="235"/>
        <v>1615</v>
      </c>
      <c r="AK844" s="270">
        <f t="shared" si="235"/>
        <v>1615</v>
      </c>
      <c r="AL844" s="270">
        <f t="shared" si="235"/>
        <v>1615</v>
      </c>
      <c r="AM844" s="270">
        <f t="shared" si="235"/>
        <v>1615</v>
      </c>
    </row>
    <row r="845" spans="2:39" ht="15.75" thickBot="1" x14ac:dyDescent="0.35">
      <c r="B845" s="56" t="str">
        <f>input_names!$E$3</f>
        <v>plug-in</v>
      </c>
      <c r="C845" s="61">
        <v>90</v>
      </c>
      <c r="D845" s="270">
        <f t="shared" si="233"/>
        <v>1044</v>
      </c>
      <c r="E845" s="270">
        <f t="shared" si="233"/>
        <v>1233</v>
      </c>
      <c r="F845" s="270">
        <f t="shared" si="233"/>
        <v>14400</v>
      </c>
      <c r="G845" s="270">
        <f t="shared" si="233"/>
        <v>13870</v>
      </c>
      <c r="H845" s="270">
        <f t="shared" si="233"/>
        <v>13910</v>
      </c>
      <c r="I845" s="270">
        <f t="shared" si="233"/>
        <v>13710</v>
      </c>
      <c r="J845" s="270">
        <f t="shared" si="233"/>
        <v>9060</v>
      </c>
      <c r="K845" s="270">
        <f t="shared" si="233"/>
        <v>9146</v>
      </c>
      <c r="L845" s="270">
        <f t="shared" si="233"/>
        <v>9760</v>
      </c>
      <c r="M845" s="270">
        <f t="shared" si="233"/>
        <v>10722</v>
      </c>
      <c r="N845" s="270">
        <f t="shared" si="233"/>
        <v>1694</v>
      </c>
      <c r="O845" s="270">
        <f t="shared" si="233"/>
        <v>1694</v>
      </c>
      <c r="P845" s="270">
        <f t="shared" si="233"/>
        <v>1694</v>
      </c>
      <c r="Q845" s="270">
        <f t="shared" si="233"/>
        <v>1694</v>
      </c>
      <c r="R845" s="270">
        <f t="shared" si="233"/>
        <v>1694</v>
      </c>
      <c r="S845" s="270">
        <f t="shared" si="234"/>
        <v>1694</v>
      </c>
      <c r="T845" s="270">
        <f t="shared" si="234"/>
        <v>1694</v>
      </c>
      <c r="U845" s="270">
        <f t="shared" si="234"/>
        <v>1694</v>
      </c>
      <c r="V845" s="270">
        <f t="shared" si="234"/>
        <v>1694</v>
      </c>
      <c r="W845" s="270">
        <f t="shared" si="234"/>
        <v>1694</v>
      </c>
      <c r="X845" s="270">
        <f t="shared" si="234"/>
        <v>1694</v>
      </c>
      <c r="Y845" s="270">
        <f t="shared" si="234"/>
        <v>1694</v>
      </c>
      <c r="Z845" s="270">
        <f t="shared" si="234"/>
        <v>1694</v>
      </c>
      <c r="AA845" s="270">
        <f t="shared" si="234"/>
        <v>1694</v>
      </c>
      <c r="AB845" s="270">
        <f t="shared" si="234"/>
        <v>1694</v>
      </c>
      <c r="AC845" s="270">
        <f t="shared" si="234"/>
        <v>1694</v>
      </c>
      <c r="AD845" s="270">
        <f t="shared" si="233"/>
        <v>1694</v>
      </c>
      <c r="AE845" s="270">
        <f t="shared" si="230"/>
        <v>1694</v>
      </c>
      <c r="AF845" s="270">
        <f t="shared" si="235"/>
        <v>1694</v>
      </c>
      <c r="AG845" s="270">
        <f t="shared" si="235"/>
        <v>1694</v>
      </c>
      <c r="AH845" s="270">
        <f t="shared" si="235"/>
        <v>1694</v>
      </c>
      <c r="AI845" s="270">
        <f t="shared" si="235"/>
        <v>1694</v>
      </c>
      <c r="AJ845" s="270">
        <f t="shared" si="235"/>
        <v>1694</v>
      </c>
      <c r="AK845" s="270">
        <f t="shared" si="235"/>
        <v>1694</v>
      </c>
      <c r="AL845" s="270">
        <f t="shared" si="235"/>
        <v>1694</v>
      </c>
      <c r="AM845" s="270">
        <f t="shared" si="235"/>
        <v>1694</v>
      </c>
    </row>
    <row r="846" spans="2:39" ht="15.75" thickBot="1" x14ac:dyDescent="0.35">
      <c r="B846" s="56" t="str">
        <f>input_names!$E$3</f>
        <v>plug-in</v>
      </c>
      <c r="C846" s="61">
        <v>91</v>
      </c>
      <c r="D846" s="270">
        <f t="shared" si="233"/>
        <v>1113</v>
      </c>
      <c r="E846" s="270">
        <f t="shared" si="233"/>
        <v>1302</v>
      </c>
      <c r="F846" s="270">
        <f t="shared" si="233"/>
        <v>14700</v>
      </c>
      <c r="G846" s="270">
        <f t="shared" si="233"/>
        <v>14159</v>
      </c>
      <c r="H846" s="270">
        <f t="shared" si="233"/>
        <v>14181</v>
      </c>
      <c r="I846" s="270">
        <f t="shared" si="233"/>
        <v>13977</v>
      </c>
      <c r="J846" s="270">
        <f t="shared" si="233"/>
        <v>9262</v>
      </c>
      <c r="K846" s="270">
        <f t="shared" si="233"/>
        <v>9350</v>
      </c>
      <c r="L846" s="270">
        <f t="shared" si="233"/>
        <v>9977</v>
      </c>
      <c r="M846" s="270">
        <f t="shared" si="233"/>
        <v>10961</v>
      </c>
      <c r="N846" s="270">
        <f t="shared" si="233"/>
        <v>1773</v>
      </c>
      <c r="O846" s="270">
        <f t="shared" si="233"/>
        <v>1773</v>
      </c>
      <c r="P846" s="270">
        <f t="shared" si="233"/>
        <v>1773</v>
      </c>
      <c r="Q846" s="270">
        <f t="shared" si="233"/>
        <v>1773</v>
      </c>
      <c r="R846" s="270">
        <f t="shared" si="233"/>
        <v>1773</v>
      </c>
      <c r="S846" s="270">
        <f t="shared" si="234"/>
        <v>1773</v>
      </c>
      <c r="T846" s="270">
        <f t="shared" si="234"/>
        <v>1773</v>
      </c>
      <c r="U846" s="270">
        <f t="shared" si="234"/>
        <v>1773</v>
      </c>
      <c r="V846" s="270">
        <f t="shared" si="234"/>
        <v>1773</v>
      </c>
      <c r="W846" s="270">
        <f t="shared" si="234"/>
        <v>1773</v>
      </c>
      <c r="X846" s="270">
        <f t="shared" si="234"/>
        <v>1773</v>
      </c>
      <c r="Y846" s="270">
        <f t="shared" si="234"/>
        <v>1773</v>
      </c>
      <c r="Z846" s="270">
        <f t="shared" si="234"/>
        <v>1773</v>
      </c>
      <c r="AA846" s="270">
        <f t="shared" si="234"/>
        <v>1773</v>
      </c>
      <c r="AB846" s="270">
        <f t="shared" si="234"/>
        <v>1773</v>
      </c>
      <c r="AC846" s="270">
        <f t="shared" si="234"/>
        <v>1773</v>
      </c>
      <c r="AD846" s="270">
        <f t="shared" si="233"/>
        <v>1773</v>
      </c>
      <c r="AE846" s="270">
        <f t="shared" si="230"/>
        <v>1773</v>
      </c>
      <c r="AF846" s="270">
        <f t="shared" si="235"/>
        <v>1773</v>
      </c>
      <c r="AG846" s="270">
        <f t="shared" si="235"/>
        <v>1773</v>
      </c>
      <c r="AH846" s="270">
        <f t="shared" si="235"/>
        <v>1773</v>
      </c>
      <c r="AI846" s="270">
        <f t="shared" si="235"/>
        <v>1773</v>
      </c>
      <c r="AJ846" s="270">
        <f t="shared" si="235"/>
        <v>1773</v>
      </c>
      <c r="AK846" s="270">
        <f t="shared" si="235"/>
        <v>1773</v>
      </c>
      <c r="AL846" s="270">
        <f t="shared" si="235"/>
        <v>1773</v>
      </c>
      <c r="AM846" s="270">
        <f t="shared" si="235"/>
        <v>1773</v>
      </c>
    </row>
    <row r="847" spans="2:39" ht="15.75" thickBot="1" x14ac:dyDescent="0.35">
      <c r="B847" s="56" t="str">
        <f>input_names!$E$3</f>
        <v>plug-in</v>
      </c>
      <c r="C847" s="61">
        <v>92</v>
      </c>
      <c r="D847" s="270">
        <f t="shared" si="233"/>
        <v>1182</v>
      </c>
      <c r="E847" s="270">
        <f t="shared" si="233"/>
        <v>1371</v>
      </c>
      <c r="F847" s="270">
        <f t="shared" si="233"/>
        <v>15000</v>
      </c>
      <c r="G847" s="270">
        <f t="shared" si="233"/>
        <v>14448</v>
      </c>
      <c r="H847" s="270">
        <f t="shared" si="233"/>
        <v>14452</v>
      </c>
      <c r="I847" s="270">
        <f t="shared" si="233"/>
        <v>14244</v>
      </c>
      <c r="J847" s="270">
        <f t="shared" si="233"/>
        <v>9464</v>
      </c>
      <c r="K847" s="270">
        <f t="shared" si="233"/>
        <v>9554</v>
      </c>
      <c r="L847" s="270">
        <f t="shared" si="233"/>
        <v>10194</v>
      </c>
      <c r="M847" s="270">
        <f t="shared" si="233"/>
        <v>11200</v>
      </c>
      <c r="N847" s="270">
        <f t="shared" si="233"/>
        <v>1852</v>
      </c>
      <c r="O847" s="270">
        <f t="shared" si="233"/>
        <v>1852</v>
      </c>
      <c r="P847" s="270">
        <f t="shared" si="233"/>
        <v>1852</v>
      </c>
      <c r="Q847" s="270">
        <f t="shared" si="233"/>
        <v>1852</v>
      </c>
      <c r="R847" s="270">
        <f t="shared" si="233"/>
        <v>1852</v>
      </c>
      <c r="S847" s="270">
        <f t="shared" si="234"/>
        <v>1852</v>
      </c>
      <c r="T847" s="270">
        <f t="shared" si="234"/>
        <v>1852</v>
      </c>
      <c r="U847" s="270">
        <f t="shared" si="234"/>
        <v>1852</v>
      </c>
      <c r="V847" s="270">
        <f t="shared" si="234"/>
        <v>1852</v>
      </c>
      <c r="W847" s="270">
        <f t="shared" si="234"/>
        <v>1852</v>
      </c>
      <c r="X847" s="270">
        <f t="shared" si="234"/>
        <v>1852</v>
      </c>
      <c r="Y847" s="270">
        <f t="shared" si="234"/>
        <v>1852</v>
      </c>
      <c r="Z847" s="270">
        <f t="shared" si="234"/>
        <v>1852</v>
      </c>
      <c r="AA847" s="270">
        <f t="shared" si="234"/>
        <v>1852</v>
      </c>
      <c r="AB847" s="270">
        <f t="shared" si="234"/>
        <v>1852</v>
      </c>
      <c r="AC847" s="270">
        <f t="shared" si="234"/>
        <v>1852</v>
      </c>
      <c r="AD847" s="270">
        <f t="shared" si="233"/>
        <v>1852</v>
      </c>
      <c r="AE847" s="270">
        <f t="shared" si="230"/>
        <v>1852</v>
      </c>
      <c r="AF847" s="270">
        <f t="shared" si="235"/>
        <v>1852</v>
      </c>
      <c r="AG847" s="270">
        <f t="shared" si="235"/>
        <v>1852</v>
      </c>
      <c r="AH847" s="270">
        <f t="shared" si="235"/>
        <v>1852</v>
      </c>
      <c r="AI847" s="270">
        <f t="shared" si="235"/>
        <v>1852</v>
      </c>
      <c r="AJ847" s="270">
        <f t="shared" si="235"/>
        <v>1852</v>
      </c>
      <c r="AK847" s="270">
        <f t="shared" si="235"/>
        <v>1852</v>
      </c>
      <c r="AL847" s="270">
        <f t="shared" si="235"/>
        <v>1852</v>
      </c>
      <c r="AM847" s="270">
        <f t="shared" si="235"/>
        <v>1852</v>
      </c>
    </row>
    <row r="848" spans="2:39" ht="15.75" thickBot="1" x14ac:dyDescent="0.35">
      <c r="B848" s="56" t="str">
        <f>input_names!$E$3</f>
        <v>plug-in</v>
      </c>
      <c r="C848" s="61">
        <v>93</v>
      </c>
      <c r="D848" s="270">
        <f t="shared" si="233"/>
        <v>1251</v>
      </c>
      <c r="E848" s="270">
        <f t="shared" si="233"/>
        <v>1440</v>
      </c>
      <c r="F848" s="270">
        <f t="shared" si="233"/>
        <v>15300</v>
      </c>
      <c r="G848" s="270">
        <f t="shared" si="233"/>
        <v>14737</v>
      </c>
      <c r="H848" s="270">
        <f t="shared" si="233"/>
        <v>14723</v>
      </c>
      <c r="I848" s="270">
        <f t="shared" si="233"/>
        <v>14511</v>
      </c>
      <c r="J848" s="270">
        <f t="shared" si="233"/>
        <v>9666</v>
      </c>
      <c r="K848" s="270">
        <f t="shared" si="233"/>
        <v>9758</v>
      </c>
      <c r="L848" s="270">
        <f t="shared" si="233"/>
        <v>10411</v>
      </c>
      <c r="M848" s="270">
        <f t="shared" si="233"/>
        <v>11439</v>
      </c>
      <c r="N848" s="270">
        <f t="shared" si="233"/>
        <v>1931</v>
      </c>
      <c r="O848" s="270">
        <f t="shared" si="233"/>
        <v>1931</v>
      </c>
      <c r="P848" s="270">
        <f t="shared" si="233"/>
        <v>1931</v>
      </c>
      <c r="Q848" s="270">
        <f t="shared" si="233"/>
        <v>1931</v>
      </c>
      <c r="R848" s="270">
        <f t="shared" si="233"/>
        <v>1931</v>
      </c>
      <c r="S848" s="270">
        <f t="shared" si="234"/>
        <v>1931</v>
      </c>
      <c r="T848" s="270">
        <f t="shared" si="234"/>
        <v>1931</v>
      </c>
      <c r="U848" s="270">
        <f t="shared" si="234"/>
        <v>1931</v>
      </c>
      <c r="V848" s="270">
        <f t="shared" si="234"/>
        <v>1931</v>
      </c>
      <c r="W848" s="270">
        <f t="shared" si="234"/>
        <v>1931</v>
      </c>
      <c r="X848" s="270">
        <f t="shared" si="234"/>
        <v>1931</v>
      </c>
      <c r="Y848" s="270">
        <f t="shared" si="234"/>
        <v>1931</v>
      </c>
      <c r="Z848" s="270">
        <f t="shared" si="234"/>
        <v>1931</v>
      </c>
      <c r="AA848" s="270">
        <f t="shared" si="234"/>
        <v>1931</v>
      </c>
      <c r="AB848" s="270">
        <f t="shared" si="234"/>
        <v>1931</v>
      </c>
      <c r="AC848" s="270">
        <f t="shared" si="234"/>
        <v>1931</v>
      </c>
      <c r="AD848" s="270">
        <f t="shared" si="233"/>
        <v>1931</v>
      </c>
      <c r="AE848" s="270">
        <f t="shared" si="230"/>
        <v>1931</v>
      </c>
      <c r="AF848" s="270">
        <f t="shared" si="235"/>
        <v>1931</v>
      </c>
      <c r="AG848" s="270">
        <f t="shared" si="235"/>
        <v>1931</v>
      </c>
      <c r="AH848" s="270">
        <f t="shared" si="235"/>
        <v>1931</v>
      </c>
      <c r="AI848" s="270">
        <f t="shared" si="235"/>
        <v>1931</v>
      </c>
      <c r="AJ848" s="270">
        <f t="shared" si="235"/>
        <v>1931</v>
      </c>
      <c r="AK848" s="270">
        <f t="shared" si="235"/>
        <v>1931</v>
      </c>
      <c r="AL848" s="270">
        <f t="shared" si="235"/>
        <v>1931</v>
      </c>
      <c r="AM848" s="270">
        <f t="shared" si="235"/>
        <v>1931</v>
      </c>
    </row>
    <row r="849" spans="2:39" ht="15.75" thickBot="1" x14ac:dyDescent="0.35">
      <c r="B849" s="56" t="str">
        <f>input_names!$E$3</f>
        <v>plug-in</v>
      </c>
      <c r="C849" s="61">
        <v>94</v>
      </c>
      <c r="D849" s="270">
        <f t="shared" si="233"/>
        <v>1320</v>
      </c>
      <c r="E849" s="270">
        <f t="shared" si="233"/>
        <v>1509</v>
      </c>
      <c r="F849" s="270">
        <f t="shared" si="233"/>
        <v>15600</v>
      </c>
      <c r="G849" s="270">
        <f t="shared" si="233"/>
        <v>15026</v>
      </c>
      <c r="H849" s="270">
        <f t="shared" si="233"/>
        <v>14994</v>
      </c>
      <c r="I849" s="270">
        <f t="shared" si="233"/>
        <v>14778</v>
      </c>
      <c r="J849" s="270">
        <f t="shared" si="233"/>
        <v>9868</v>
      </c>
      <c r="K849" s="270">
        <f t="shared" si="233"/>
        <v>9962</v>
      </c>
      <c r="L849" s="270">
        <f t="shared" si="233"/>
        <v>10628</v>
      </c>
      <c r="M849" s="270">
        <f t="shared" si="233"/>
        <v>11678</v>
      </c>
      <c r="N849" s="270">
        <f t="shared" si="233"/>
        <v>2010</v>
      </c>
      <c r="O849" s="270">
        <f t="shared" si="233"/>
        <v>2010</v>
      </c>
      <c r="P849" s="270">
        <f t="shared" si="233"/>
        <v>2010</v>
      </c>
      <c r="Q849" s="270">
        <f t="shared" si="233"/>
        <v>2010</v>
      </c>
      <c r="R849" s="270">
        <f t="shared" si="233"/>
        <v>2010</v>
      </c>
      <c r="S849" s="270">
        <f>+MIN(MAX(0,$C849-S$28),S$29-S$28)*S$34
+MIN(MAX(0,$C849-S$29),S$30-S$29)*S$35
+MIN(MAX(0,$C849-S$30),S$31-S$30)*S$36
+MIN(MAX(0,$C849-S$31),S$32-S$31)*S$37
+MAX(0,$C849-S$32)*S$38
+S$39</f>
        <v>2010</v>
      </c>
      <c r="T849" s="270">
        <f t="shared" si="234"/>
        <v>2010</v>
      </c>
      <c r="U849" s="270">
        <f t="shared" si="234"/>
        <v>2010</v>
      </c>
      <c r="V849" s="270">
        <f t="shared" si="234"/>
        <v>2010</v>
      </c>
      <c r="W849" s="270">
        <f t="shared" si="234"/>
        <v>2010</v>
      </c>
      <c r="X849" s="270">
        <f t="shared" si="234"/>
        <v>2010</v>
      </c>
      <c r="Y849" s="270">
        <f t="shared" si="234"/>
        <v>2010</v>
      </c>
      <c r="Z849" s="270">
        <f t="shared" si="234"/>
        <v>2010</v>
      </c>
      <c r="AA849" s="270">
        <f t="shared" si="234"/>
        <v>2010</v>
      </c>
      <c r="AB849" s="270">
        <f t="shared" si="234"/>
        <v>2010</v>
      </c>
      <c r="AC849" s="270">
        <f t="shared" si="234"/>
        <v>2010</v>
      </c>
      <c r="AD849" s="270">
        <f>+MIN(MAX(0,$C849-AD$28),AD$29-AD$28)*AD$34
+MIN(MAX(0,$C849-AD$29),AD$30-AD$29)*AD$35
+MIN(MAX(0,$C849-AD$30),AD$31-AD$30)*AD$36
+MIN(MAX(0,$C849-AD$31),AD$32-AD$31)*AD$37
+MAX(0,$C849-AD$32)*AD$38
+AD$39</f>
        <v>2010</v>
      </c>
      <c r="AE849" s="270">
        <f t="shared" si="230"/>
        <v>2010</v>
      </c>
      <c r="AF849" s="270">
        <f t="shared" si="235"/>
        <v>2010</v>
      </c>
      <c r="AG849" s="270">
        <f t="shared" si="235"/>
        <v>2010</v>
      </c>
      <c r="AH849" s="270">
        <f t="shared" si="235"/>
        <v>2010</v>
      </c>
      <c r="AI849" s="270">
        <f t="shared" si="235"/>
        <v>2010</v>
      </c>
      <c r="AJ849" s="270">
        <f t="shared" si="235"/>
        <v>2010</v>
      </c>
      <c r="AK849" s="270">
        <f t="shared" si="235"/>
        <v>2010</v>
      </c>
      <c r="AL849" s="270">
        <f t="shared" si="235"/>
        <v>2010</v>
      </c>
      <c r="AM849" s="270">
        <f t="shared" si="235"/>
        <v>2010</v>
      </c>
    </row>
    <row r="850" spans="2:39" ht="15.75" thickBot="1" x14ac:dyDescent="0.35">
      <c r="B850" s="56" t="str">
        <f>input_names!$E$3</f>
        <v>plug-in</v>
      </c>
      <c r="C850" s="61">
        <v>95</v>
      </c>
      <c r="D850" s="270">
        <f t="shared" ref="D850:AD865" si="236">+MIN(MAX(0,$C850-D$28),D$29-D$28)*D$34
+MIN(MAX(0,$C850-D$29),D$30-D$29)*D$35
+MIN(MAX(0,$C850-D$30),D$31-D$30)*D$36
+MIN(MAX(0,$C850-D$31),D$32-D$31)*D$37
+MAX(0,$C850-D$32)*D$38
+D$39</f>
        <v>1389</v>
      </c>
      <c r="E850" s="270">
        <f t="shared" si="236"/>
        <v>1578</v>
      </c>
      <c r="F850" s="270">
        <f t="shared" si="236"/>
        <v>15900</v>
      </c>
      <c r="G850" s="270">
        <f t="shared" si="236"/>
        <v>15315</v>
      </c>
      <c r="H850" s="270">
        <f t="shared" si="236"/>
        <v>15265</v>
      </c>
      <c r="I850" s="270">
        <f t="shared" si="236"/>
        <v>15045</v>
      </c>
      <c r="J850" s="270">
        <f t="shared" si="236"/>
        <v>10070</v>
      </c>
      <c r="K850" s="270">
        <f t="shared" si="236"/>
        <v>10166</v>
      </c>
      <c r="L850" s="270">
        <f t="shared" si="236"/>
        <v>10845</v>
      </c>
      <c r="M850" s="270">
        <f t="shared" si="236"/>
        <v>11917</v>
      </c>
      <c r="N850" s="270">
        <f t="shared" si="236"/>
        <v>2089</v>
      </c>
      <c r="O850" s="270">
        <f t="shared" si="236"/>
        <v>2089</v>
      </c>
      <c r="P850" s="270">
        <f t="shared" si="236"/>
        <v>2089</v>
      </c>
      <c r="Q850" s="270">
        <f t="shared" si="236"/>
        <v>2089</v>
      </c>
      <c r="R850" s="270">
        <f t="shared" si="236"/>
        <v>2089</v>
      </c>
      <c r="S850" s="270">
        <f t="shared" ref="S850:AC865" si="237">+MIN(MAX(0,$C850-S$28),S$29-S$28)*S$34
+MIN(MAX(0,$C850-S$29),S$30-S$29)*S$35
+MIN(MAX(0,$C850-S$30),S$31-S$30)*S$36
+MIN(MAX(0,$C850-S$31),S$32-S$31)*S$37
+MAX(0,$C850-S$32)*S$38
+S$39</f>
        <v>2089</v>
      </c>
      <c r="T850" s="270">
        <f t="shared" si="237"/>
        <v>2089</v>
      </c>
      <c r="U850" s="270">
        <f t="shared" si="237"/>
        <v>2089</v>
      </c>
      <c r="V850" s="270">
        <f t="shared" si="237"/>
        <v>2089</v>
      </c>
      <c r="W850" s="270">
        <f t="shared" si="237"/>
        <v>2089</v>
      </c>
      <c r="X850" s="270">
        <f t="shared" si="237"/>
        <v>2089</v>
      </c>
      <c r="Y850" s="270">
        <f t="shared" si="237"/>
        <v>2089</v>
      </c>
      <c r="Z850" s="270">
        <f t="shared" si="237"/>
        <v>2089</v>
      </c>
      <c r="AA850" s="270">
        <f t="shared" si="237"/>
        <v>2089</v>
      </c>
      <c r="AB850" s="270">
        <f t="shared" si="237"/>
        <v>2089</v>
      </c>
      <c r="AC850" s="270">
        <f t="shared" si="237"/>
        <v>2089</v>
      </c>
      <c r="AD850" s="270">
        <f t="shared" si="236"/>
        <v>2089</v>
      </c>
      <c r="AE850" s="270">
        <f t="shared" si="230"/>
        <v>2089</v>
      </c>
      <c r="AF850" s="270">
        <f t="shared" si="235"/>
        <v>2089</v>
      </c>
      <c r="AG850" s="270">
        <f t="shared" si="235"/>
        <v>2089</v>
      </c>
      <c r="AH850" s="270">
        <f t="shared" si="235"/>
        <v>2089</v>
      </c>
      <c r="AI850" s="270">
        <f t="shared" si="235"/>
        <v>2089</v>
      </c>
      <c r="AJ850" s="270">
        <f t="shared" si="235"/>
        <v>2089</v>
      </c>
      <c r="AK850" s="270">
        <f t="shared" si="235"/>
        <v>2089</v>
      </c>
      <c r="AL850" s="270">
        <f t="shared" si="235"/>
        <v>2089</v>
      </c>
      <c r="AM850" s="270">
        <f t="shared" si="235"/>
        <v>2089</v>
      </c>
    </row>
    <row r="851" spans="2:39" ht="15.75" thickBot="1" x14ac:dyDescent="0.35">
      <c r="B851" s="56" t="str">
        <f>input_names!$E$3</f>
        <v>plug-in</v>
      </c>
      <c r="C851" s="61">
        <v>96</v>
      </c>
      <c r="D851" s="270">
        <f t="shared" si="236"/>
        <v>1458</v>
      </c>
      <c r="E851" s="270">
        <f t="shared" si="236"/>
        <v>1647</v>
      </c>
      <c r="F851" s="270">
        <f t="shared" si="236"/>
        <v>16200</v>
      </c>
      <c r="G851" s="270">
        <f t="shared" si="236"/>
        <v>15604</v>
      </c>
      <c r="H851" s="270">
        <f t="shared" si="236"/>
        <v>15536</v>
      </c>
      <c r="I851" s="270">
        <f t="shared" si="236"/>
        <v>15312</v>
      </c>
      <c r="J851" s="270">
        <f t="shared" si="236"/>
        <v>10272</v>
      </c>
      <c r="K851" s="270">
        <f t="shared" si="236"/>
        <v>10370</v>
      </c>
      <c r="L851" s="270">
        <f t="shared" si="236"/>
        <v>11062</v>
      </c>
      <c r="M851" s="270">
        <f t="shared" si="236"/>
        <v>12156</v>
      </c>
      <c r="N851" s="270">
        <f t="shared" si="236"/>
        <v>2168</v>
      </c>
      <c r="O851" s="270">
        <f t="shared" si="236"/>
        <v>2168</v>
      </c>
      <c r="P851" s="270">
        <f t="shared" si="236"/>
        <v>2168</v>
      </c>
      <c r="Q851" s="270">
        <f t="shared" si="236"/>
        <v>2168</v>
      </c>
      <c r="R851" s="270">
        <f t="shared" si="236"/>
        <v>2168</v>
      </c>
      <c r="S851" s="270">
        <f t="shared" si="237"/>
        <v>2168</v>
      </c>
      <c r="T851" s="270">
        <f t="shared" si="237"/>
        <v>2168</v>
      </c>
      <c r="U851" s="270">
        <f t="shared" si="237"/>
        <v>2168</v>
      </c>
      <c r="V851" s="270">
        <f t="shared" si="237"/>
        <v>2168</v>
      </c>
      <c r="W851" s="270">
        <f t="shared" si="237"/>
        <v>2168</v>
      </c>
      <c r="X851" s="270">
        <f t="shared" si="237"/>
        <v>2168</v>
      </c>
      <c r="Y851" s="270">
        <f t="shared" si="237"/>
        <v>2168</v>
      </c>
      <c r="Z851" s="270">
        <f t="shared" si="237"/>
        <v>2168</v>
      </c>
      <c r="AA851" s="270">
        <f t="shared" si="237"/>
        <v>2168</v>
      </c>
      <c r="AB851" s="270">
        <f t="shared" si="237"/>
        <v>2168</v>
      </c>
      <c r="AC851" s="270">
        <f t="shared" si="237"/>
        <v>2168</v>
      </c>
      <c r="AD851" s="270">
        <f t="shared" si="236"/>
        <v>2168</v>
      </c>
      <c r="AE851" s="270">
        <f t="shared" si="230"/>
        <v>2168</v>
      </c>
      <c r="AF851" s="270">
        <f t="shared" si="235"/>
        <v>2168</v>
      </c>
      <c r="AG851" s="270">
        <f t="shared" si="235"/>
        <v>2168</v>
      </c>
      <c r="AH851" s="270">
        <f t="shared" si="235"/>
        <v>2168</v>
      </c>
      <c r="AI851" s="270">
        <f t="shared" si="235"/>
        <v>2168</v>
      </c>
      <c r="AJ851" s="270">
        <f t="shared" si="235"/>
        <v>2168</v>
      </c>
      <c r="AK851" s="270">
        <f t="shared" si="235"/>
        <v>2168</v>
      </c>
      <c r="AL851" s="270">
        <f t="shared" si="235"/>
        <v>2168</v>
      </c>
      <c r="AM851" s="270">
        <f t="shared" si="235"/>
        <v>2168</v>
      </c>
    </row>
    <row r="852" spans="2:39" ht="15.75" thickBot="1" x14ac:dyDescent="0.35">
      <c r="B852" s="56" t="str">
        <f>input_names!$E$3</f>
        <v>plug-in</v>
      </c>
      <c r="C852" s="61">
        <v>97</v>
      </c>
      <c r="D852" s="270">
        <f t="shared" si="236"/>
        <v>1527</v>
      </c>
      <c r="E852" s="270">
        <f t="shared" si="236"/>
        <v>1716</v>
      </c>
      <c r="F852" s="270">
        <f t="shared" si="236"/>
        <v>16500</v>
      </c>
      <c r="G852" s="270">
        <f t="shared" si="236"/>
        <v>15893</v>
      </c>
      <c r="H852" s="270">
        <f t="shared" si="236"/>
        <v>15807</v>
      </c>
      <c r="I852" s="270">
        <f t="shared" si="236"/>
        <v>15579</v>
      </c>
      <c r="J852" s="270">
        <f t="shared" si="236"/>
        <v>10474</v>
      </c>
      <c r="K852" s="270">
        <f t="shared" si="236"/>
        <v>10574</v>
      </c>
      <c r="L852" s="270">
        <f t="shared" si="236"/>
        <v>11279</v>
      </c>
      <c r="M852" s="270">
        <f t="shared" si="236"/>
        <v>12395</v>
      </c>
      <c r="N852" s="270">
        <f t="shared" si="236"/>
        <v>2247</v>
      </c>
      <c r="O852" s="270">
        <f t="shared" si="236"/>
        <v>2247</v>
      </c>
      <c r="P852" s="270">
        <f t="shared" si="236"/>
        <v>2247</v>
      </c>
      <c r="Q852" s="270">
        <f t="shared" si="236"/>
        <v>2247</v>
      </c>
      <c r="R852" s="270">
        <f t="shared" si="236"/>
        <v>2247</v>
      </c>
      <c r="S852" s="270">
        <f t="shared" si="237"/>
        <v>2247</v>
      </c>
      <c r="T852" s="270">
        <f t="shared" si="237"/>
        <v>2247</v>
      </c>
      <c r="U852" s="270">
        <f t="shared" si="237"/>
        <v>2247</v>
      </c>
      <c r="V852" s="270">
        <f t="shared" si="237"/>
        <v>2247</v>
      </c>
      <c r="W852" s="270">
        <f t="shared" si="237"/>
        <v>2247</v>
      </c>
      <c r="X852" s="270">
        <f t="shared" si="237"/>
        <v>2247</v>
      </c>
      <c r="Y852" s="270">
        <f t="shared" si="237"/>
        <v>2247</v>
      </c>
      <c r="Z852" s="270">
        <f t="shared" si="237"/>
        <v>2247</v>
      </c>
      <c r="AA852" s="270">
        <f t="shared" si="237"/>
        <v>2247</v>
      </c>
      <c r="AB852" s="270">
        <f t="shared" si="237"/>
        <v>2247</v>
      </c>
      <c r="AC852" s="270">
        <f t="shared" si="237"/>
        <v>2247</v>
      </c>
      <c r="AD852" s="270">
        <f t="shared" si="236"/>
        <v>2247</v>
      </c>
      <c r="AE852" s="270">
        <f t="shared" si="230"/>
        <v>2247</v>
      </c>
      <c r="AF852" s="270">
        <f t="shared" si="235"/>
        <v>2247</v>
      </c>
      <c r="AG852" s="270">
        <f t="shared" si="235"/>
        <v>2247</v>
      </c>
      <c r="AH852" s="270">
        <f t="shared" si="235"/>
        <v>2247</v>
      </c>
      <c r="AI852" s="270">
        <f t="shared" si="235"/>
        <v>2247</v>
      </c>
      <c r="AJ852" s="270">
        <f t="shared" si="235"/>
        <v>2247</v>
      </c>
      <c r="AK852" s="270">
        <f t="shared" si="235"/>
        <v>2247</v>
      </c>
      <c r="AL852" s="270">
        <f t="shared" si="235"/>
        <v>2247</v>
      </c>
      <c r="AM852" s="270">
        <f t="shared" si="235"/>
        <v>2247</v>
      </c>
    </row>
    <row r="853" spans="2:39" ht="15.75" thickBot="1" x14ac:dyDescent="0.35">
      <c r="B853" s="56" t="str">
        <f>input_names!$E$3</f>
        <v>plug-in</v>
      </c>
      <c r="C853" s="61">
        <v>98</v>
      </c>
      <c r="D853" s="270">
        <f t="shared" si="236"/>
        <v>1596</v>
      </c>
      <c r="E853" s="270">
        <f t="shared" si="236"/>
        <v>1785</v>
      </c>
      <c r="F853" s="270">
        <f t="shared" si="236"/>
        <v>16800</v>
      </c>
      <c r="G853" s="270">
        <f t="shared" si="236"/>
        <v>16182</v>
      </c>
      <c r="H853" s="270">
        <f t="shared" si="236"/>
        <v>16078</v>
      </c>
      <c r="I853" s="270">
        <f t="shared" si="236"/>
        <v>15846</v>
      </c>
      <c r="J853" s="270">
        <f t="shared" si="236"/>
        <v>10676</v>
      </c>
      <c r="K853" s="270">
        <f t="shared" si="236"/>
        <v>10778</v>
      </c>
      <c r="L853" s="270">
        <f t="shared" si="236"/>
        <v>11496</v>
      </c>
      <c r="M853" s="270">
        <f t="shared" si="236"/>
        <v>12634</v>
      </c>
      <c r="N853" s="270">
        <f t="shared" si="236"/>
        <v>2326</v>
      </c>
      <c r="O853" s="270">
        <f t="shared" si="236"/>
        <v>2326</v>
      </c>
      <c r="P853" s="270">
        <f t="shared" si="236"/>
        <v>2326</v>
      </c>
      <c r="Q853" s="270">
        <f t="shared" si="236"/>
        <v>2326</v>
      </c>
      <c r="R853" s="270">
        <f t="shared" si="236"/>
        <v>2326</v>
      </c>
      <c r="S853" s="270">
        <f t="shared" si="237"/>
        <v>2326</v>
      </c>
      <c r="T853" s="270">
        <f t="shared" si="237"/>
        <v>2326</v>
      </c>
      <c r="U853" s="270">
        <f t="shared" si="237"/>
        <v>2326</v>
      </c>
      <c r="V853" s="270">
        <f t="shared" si="237"/>
        <v>2326</v>
      </c>
      <c r="W853" s="270">
        <f t="shared" si="237"/>
        <v>2326</v>
      </c>
      <c r="X853" s="270">
        <f t="shared" si="237"/>
        <v>2326</v>
      </c>
      <c r="Y853" s="270">
        <f t="shared" si="237"/>
        <v>2326</v>
      </c>
      <c r="Z853" s="270">
        <f t="shared" si="237"/>
        <v>2326</v>
      </c>
      <c r="AA853" s="270">
        <f t="shared" si="237"/>
        <v>2326</v>
      </c>
      <c r="AB853" s="270">
        <f t="shared" si="237"/>
        <v>2326</v>
      </c>
      <c r="AC853" s="270">
        <f t="shared" si="237"/>
        <v>2326</v>
      </c>
      <c r="AD853" s="270">
        <f t="shared" si="236"/>
        <v>2326</v>
      </c>
      <c r="AE853" s="270">
        <f t="shared" si="230"/>
        <v>2326</v>
      </c>
      <c r="AF853" s="270">
        <f t="shared" si="235"/>
        <v>2326</v>
      </c>
      <c r="AG853" s="270">
        <f t="shared" si="235"/>
        <v>2326</v>
      </c>
      <c r="AH853" s="270">
        <f t="shared" si="235"/>
        <v>2326</v>
      </c>
      <c r="AI853" s="270">
        <f t="shared" si="235"/>
        <v>2326</v>
      </c>
      <c r="AJ853" s="270">
        <f t="shared" si="235"/>
        <v>2326</v>
      </c>
      <c r="AK853" s="270">
        <f t="shared" si="235"/>
        <v>2326</v>
      </c>
      <c r="AL853" s="270">
        <f t="shared" si="235"/>
        <v>2326</v>
      </c>
      <c r="AM853" s="270">
        <f t="shared" si="235"/>
        <v>2326</v>
      </c>
    </row>
    <row r="854" spans="2:39" ht="15.75" thickBot="1" x14ac:dyDescent="0.35">
      <c r="B854" s="56" t="str">
        <f>input_names!$E$3</f>
        <v>plug-in</v>
      </c>
      <c r="C854" s="61">
        <v>99</v>
      </c>
      <c r="D854" s="270">
        <f t="shared" si="236"/>
        <v>1665</v>
      </c>
      <c r="E854" s="270">
        <f t="shared" si="236"/>
        <v>1854</v>
      </c>
      <c r="F854" s="270">
        <f t="shared" si="236"/>
        <v>17100</v>
      </c>
      <c r="G854" s="270">
        <f t="shared" si="236"/>
        <v>16471</v>
      </c>
      <c r="H854" s="270">
        <f t="shared" si="236"/>
        <v>16349</v>
      </c>
      <c r="I854" s="270">
        <f t="shared" si="236"/>
        <v>16113</v>
      </c>
      <c r="J854" s="270">
        <f t="shared" si="236"/>
        <v>10878</v>
      </c>
      <c r="K854" s="270">
        <f t="shared" si="236"/>
        <v>10982</v>
      </c>
      <c r="L854" s="270">
        <f t="shared" si="236"/>
        <v>11713</v>
      </c>
      <c r="M854" s="270">
        <f t="shared" si="236"/>
        <v>12873</v>
      </c>
      <c r="N854" s="270">
        <f t="shared" si="236"/>
        <v>2405</v>
      </c>
      <c r="O854" s="270">
        <f t="shared" si="236"/>
        <v>2405</v>
      </c>
      <c r="P854" s="270">
        <f t="shared" si="236"/>
        <v>2405</v>
      </c>
      <c r="Q854" s="270">
        <f t="shared" si="236"/>
        <v>2405</v>
      </c>
      <c r="R854" s="270">
        <f t="shared" si="236"/>
        <v>2405</v>
      </c>
      <c r="S854" s="270">
        <f t="shared" si="237"/>
        <v>2405</v>
      </c>
      <c r="T854" s="270">
        <f t="shared" si="237"/>
        <v>2405</v>
      </c>
      <c r="U854" s="270">
        <f t="shared" si="237"/>
        <v>2405</v>
      </c>
      <c r="V854" s="270">
        <f t="shared" si="237"/>
        <v>2405</v>
      </c>
      <c r="W854" s="270">
        <f t="shared" si="237"/>
        <v>2405</v>
      </c>
      <c r="X854" s="270">
        <f t="shared" si="237"/>
        <v>2405</v>
      </c>
      <c r="Y854" s="270">
        <f t="shared" si="237"/>
        <v>2405</v>
      </c>
      <c r="Z854" s="270">
        <f t="shared" si="237"/>
        <v>2405</v>
      </c>
      <c r="AA854" s="270">
        <f t="shared" si="237"/>
        <v>2405</v>
      </c>
      <c r="AB854" s="270">
        <f t="shared" si="237"/>
        <v>2405</v>
      </c>
      <c r="AC854" s="270">
        <f t="shared" si="237"/>
        <v>2405</v>
      </c>
      <c r="AD854" s="270">
        <f t="shared" si="236"/>
        <v>2405</v>
      </c>
      <c r="AE854" s="270">
        <f t="shared" si="230"/>
        <v>2405</v>
      </c>
      <c r="AF854" s="270">
        <f t="shared" si="235"/>
        <v>2405</v>
      </c>
      <c r="AG854" s="270">
        <f t="shared" si="235"/>
        <v>2405</v>
      </c>
      <c r="AH854" s="270">
        <f t="shared" si="235"/>
        <v>2405</v>
      </c>
      <c r="AI854" s="270">
        <f t="shared" si="235"/>
        <v>2405</v>
      </c>
      <c r="AJ854" s="270">
        <f t="shared" si="235"/>
        <v>2405</v>
      </c>
      <c r="AK854" s="270">
        <f t="shared" si="235"/>
        <v>2405</v>
      </c>
      <c r="AL854" s="270">
        <f t="shared" si="235"/>
        <v>2405</v>
      </c>
      <c r="AM854" s="270">
        <f t="shared" si="235"/>
        <v>2405</v>
      </c>
    </row>
    <row r="855" spans="2:39" ht="15.75" thickBot="1" x14ac:dyDescent="0.35">
      <c r="B855" s="56" t="str">
        <f>input_names!$E$3</f>
        <v>plug-in</v>
      </c>
      <c r="C855" s="61">
        <v>100</v>
      </c>
      <c r="D855" s="270">
        <f t="shared" si="236"/>
        <v>1734</v>
      </c>
      <c r="E855" s="270">
        <f t="shared" si="236"/>
        <v>1923</v>
      </c>
      <c r="F855" s="270">
        <f t="shared" si="236"/>
        <v>17400</v>
      </c>
      <c r="G855" s="270">
        <f t="shared" si="236"/>
        <v>16760</v>
      </c>
      <c r="H855" s="270">
        <f t="shared" si="236"/>
        <v>16620</v>
      </c>
      <c r="I855" s="270">
        <f t="shared" si="236"/>
        <v>16380</v>
      </c>
      <c r="J855" s="270">
        <f t="shared" si="236"/>
        <v>11080</v>
      </c>
      <c r="K855" s="270">
        <f t="shared" si="236"/>
        <v>11186</v>
      </c>
      <c r="L855" s="270">
        <f t="shared" si="236"/>
        <v>11930</v>
      </c>
      <c r="M855" s="270">
        <f t="shared" si="236"/>
        <v>13112</v>
      </c>
      <c r="N855" s="270">
        <f t="shared" si="236"/>
        <v>2484</v>
      </c>
      <c r="O855" s="270">
        <f t="shared" si="236"/>
        <v>2484</v>
      </c>
      <c r="P855" s="270">
        <f t="shared" si="236"/>
        <v>2484</v>
      </c>
      <c r="Q855" s="270">
        <f t="shared" si="236"/>
        <v>2484</v>
      </c>
      <c r="R855" s="270">
        <f t="shared" si="236"/>
        <v>2484</v>
      </c>
      <c r="S855" s="270">
        <f t="shared" si="237"/>
        <v>2484</v>
      </c>
      <c r="T855" s="270">
        <f t="shared" si="237"/>
        <v>2484</v>
      </c>
      <c r="U855" s="270">
        <f t="shared" si="237"/>
        <v>2484</v>
      </c>
      <c r="V855" s="270">
        <f t="shared" si="237"/>
        <v>2484</v>
      </c>
      <c r="W855" s="270">
        <f t="shared" si="237"/>
        <v>2484</v>
      </c>
      <c r="X855" s="270">
        <f t="shared" si="237"/>
        <v>2484</v>
      </c>
      <c r="Y855" s="270">
        <f t="shared" si="237"/>
        <v>2484</v>
      </c>
      <c r="Z855" s="270">
        <f t="shared" si="237"/>
        <v>2484</v>
      </c>
      <c r="AA855" s="270">
        <f t="shared" si="237"/>
        <v>2484</v>
      </c>
      <c r="AB855" s="270">
        <f t="shared" si="237"/>
        <v>2484</v>
      </c>
      <c r="AC855" s="270">
        <f t="shared" si="237"/>
        <v>2484</v>
      </c>
      <c r="AD855" s="270">
        <f t="shared" si="236"/>
        <v>2484</v>
      </c>
      <c r="AE855" s="270">
        <f t="shared" si="230"/>
        <v>2484</v>
      </c>
      <c r="AF855" s="270">
        <f t="shared" si="235"/>
        <v>2484</v>
      </c>
      <c r="AG855" s="270">
        <f t="shared" si="235"/>
        <v>2484</v>
      </c>
      <c r="AH855" s="270">
        <f t="shared" si="235"/>
        <v>2484</v>
      </c>
      <c r="AI855" s="270">
        <f t="shared" si="235"/>
        <v>2484</v>
      </c>
      <c r="AJ855" s="270">
        <f t="shared" si="235"/>
        <v>2484</v>
      </c>
      <c r="AK855" s="270">
        <f t="shared" si="235"/>
        <v>2484</v>
      </c>
      <c r="AL855" s="270">
        <f t="shared" si="235"/>
        <v>2484</v>
      </c>
      <c r="AM855" s="270">
        <f t="shared" si="235"/>
        <v>2484</v>
      </c>
    </row>
    <row r="856" spans="2:39" ht="15.75" thickBot="1" x14ac:dyDescent="0.35">
      <c r="B856" s="56" t="str">
        <f>input_names!$E$3</f>
        <v>plug-in</v>
      </c>
      <c r="C856" s="61">
        <v>101</v>
      </c>
      <c r="D856" s="270">
        <f t="shared" si="236"/>
        <v>1803</v>
      </c>
      <c r="E856" s="270">
        <f t="shared" si="236"/>
        <v>1992</v>
      </c>
      <c r="F856" s="270">
        <f t="shared" si="236"/>
        <v>17700</v>
      </c>
      <c r="G856" s="270">
        <f t="shared" si="236"/>
        <v>17049</v>
      </c>
      <c r="H856" s="270">
        <f t="shared" si="236"/>
        <v>16891</v>
      </c>
      <c r="I856" s="270">
        <f t="shared" si="236"/>
        <v>16647</v>
      </c>
      <c r="J856" s="270">
        <f t="shared" si="236"/>
        <v>11282</v>
      </c>
      <c r="K856" s="270">
        <f t="shared" si="236"/>
        <v>11390</v>
      </c>
      <c r="L856" s="270">
        <f t="shared" si="236"/>
        <v>12147</v>
      </c>
      <c r="M856" s="270">
        <f t="shared" si="236"/>
        <v>13351</v>
      </c>
      <c r="N856" s="270">
        <f t="shared" si="236"/>
        <v>2563</v>
      </c>
      <c r="O856" s="270">
        <f t="shared" si="236"/>
        <v>2563</v>
      </c>
      <c r="P856" s="270">
        <f t="shared" si="236"/>
        <v>2563</v>
      </c>
      <c r="Q856" s="270">
        <f t="shared" si="236"/>
        <v>2563</v>
      </c>
      <c r="R856" s="270">
        <f t="shared" si="236"/>
        <v>2563</v>
      </c>
      <c r="S856" s="270">
        <f t="shared" si="237"/>
        <v>2563</v>
      </c>
      <c r="T856" s="270">
        <f t="shared" si="237"/>
        <v>2563</v>
      </c>
      <c r="U856" s="270">
        <f t="shared" si="237"/>
        <v>2563</v>
      </c>
      <c r="V856" s="270">
        <f t="shared" si="237"/>
        <v>2563</v>
      </c>
      <c r="W856" s="270">
        <f t="shared" si="237"/>
        <v>2563</v>
      </c>
      <c r="X856" s="270">
        <f t="shared" si="237"/>
        <v>2563</v>
      </c>
      <c r="Y856" s="270">
        <f t="shared" si="237"/>
        <v>2563</v>
      </c>
      <c r="Z856" s="270">
        <f t="shared" si="237"/>
        <v>2563</v>
      </c>
      <c r="AA856" s="270">
        <f t="shared" si="237"/>
        <v>2563</v>
      </c>
      <c r="AB856" s="270">
        <f t="shared" si="237"/>
        <v>2563</v>
      </c>
      <c r="AC856" s="270">
        <f t="shared" si="237"/>
        <v>2563</v>
      </c>
      <c r="AD856" s="270">
        <f t="shared" si="236"/>
        <v>2563</v>
      </c>
      <c r="AE856" s="270">
        <f t="shared" si="230"/>
        <v>2563</v>
      </c>
      <c r="AF856" s="270">
        <f t="shared" si="235"/>
        <v>2563</v>
      </c>
      <c r="AG856" s="270">
        <f t="shared" si="235"/>
        <v>2563</v>
      </c>
      <c r="AH856" s="270">
        <f t="shared" si="235"/>
        <v>2563</v>
      </c>
      <c r="AI856" s="270">
        <f t="shared" si="235"/>
        <v>2563</v>
      </c>
      <c r="AJ856" s="270">
        <f t="shared" si="235"/>
        <v>2563</v>
      </c>
      <c r="AK856" s="270">
        <f t="shared" si="235"/>
        <v>2563</v>
      </c>
      <c r="AL856" s="270">
        <f t="shared" si="235"/>
        <v>2563</v>
      </c>
      <c r="AM856" s="270">
        <f t="shared" si="235"/>
        <v>2563</v>
      </c>
    </row>
    <row r="857" spans="2:39" ht="15.75" thickBot="1" x14ac:dyDescent="0.35">
      <c r="B857" s="56" t="str">
        <f>input_names!$E$3</f>
        <v>plug-in</v>
      </c>
      <c r="C857" s="61">
        <v>102</v>
      </c>
      <c r="D857" s="270">
        <f t="shared" si="236"/>
        <v>1872</v>
      </c>
      <c r="E857" s="270">
        <f t="shared" si="236"/>
        <v>2061</v>
      </c>
      <c r="F857" s="270">
        <f t="shared" si="236"/>
        <v>18000</v>
      </c>
      <c r="G857" s="270">
        <f t="shared" si="236"/>
        <v>17338</v>
      </c>
      <c r="H857" s="270">
        <f t="shared" si="236"/>
        <v>17162</v>
      </c>
      <c r="I857" s="270">
        <f t="shared" si="236"/>
        <v>16914</v>
      </c>
      <c r="J857" s="270">
        <f t="shared" si="236"/>
        <v>11484</v>
      </c>
      <c r="K857" s="270">
        <f t="shared" si="236"/>
        <v>11594</v>
      </c>
      <c r="L857" s="270">
        <f t="shared" si="236"/>
        <v>12364</v>
      </c>
      <c r="M857" s="270">
        <f t="shared" si="236"/>
        <v>13590</v>
      </c>
      <c r="N857" s="270">
        <f t="shared" si="236"/>
        <v>2736</v>
      </c>
      <c r="O857" s="270">
        <f t="shared" si="236"/>
        <v>2736</v>
      </c>
      <c r="P857" s="270">
        <f t="shared" si="236"/>
        <v>2736</v>
      </c>
      <c r="Q857" s="270">
        <f t="shared" si="236"/>
        <v>2736</v>
      </c>
      <c r="R857" s="270">
        <f t="shared" si="236"/>
        <v>2736</v>
      </c>
      <c r="S857" s="270">
        <f t="shared" si="237"/>
        <v>2736</v>
      </c>
      <c r="T857" s="270">
        <f t="shared" si="237"/>
        <v>2736</v>
      </c>
      <c r="U857" s="270">
        <f t="shared" si="237"/>
        <v>2736</v>
      </c>
      <c r="V857" s="270">
        <f t="shared" si="237"/>
        <v>2736</v>
      </c>
      <c r="W857" s="270">
        <f t="shared" si="237"/>
        <v>2736</v>
      </c>
      <c r="X857" s="270">
        <f t="shared" si="237"/>
        <v>2736</v>
      </c>
      <c r="Y857" s="270">
        <f t="shared" si="237"/>
        <v>2736</v>
      </c>
      <c r="Z857" s="270">
        <f t="shared" si="237"/>
        <v>2736</v>
      </c>
      <c r="AA857" s="270">
        <f t="shared" si="237"/>
        <v>2736</v>
      </c>
      <c r="AB857" s="270">
        <f t="shared" si="237"/>
        <v>2736</v>
      </c>
      <c r="AC857" s="270">
        <f t="shared" si="237"/>
        <v>2736</v>
      </c>
      <c r="AD857" s="270">
        <f t="shared" si="236"/>
        <v>2736</v>
      </c>
      <c r="AE857" s="270">
        <f t="shared" si="230"/>
        <v>2736</v>
      </c>
      <c r="AF857" s="270">
        <f t="shared" si="235"/>
        <v>2736</v>
      </c>
      <c r="AG857" s="270">
        <f t="shared" si="235"/>
        <v>2736</v>
      </c>
      <c r="AH857" s="270">
        <f t="shared" si="235"/>
        <v>2736</v>
      </c>
      <c r="AI857" s="270">
        <f t="shared" si="235"/>
        <v>2736</v>
      </c>
      <c r="AJ857" s="270">
        <f t="shared" si="235"/>
        <v>2736</v>
      </c>
      <c r="AK857" s="270">
        <f t="shared" si="235"/>
        <v>2736</v>
      </c>
      <c r="AL857" s="270">
        <f t="shared" si="235"/>
        <v>2736</v>
      </c>
      <c r="AM857" s="270">
        <f t="shared" si="235"/>
        <v>2736</v>
      </c>
    </row>
    <row r="858" spans="2:39" ht="15.75" thickBot="1" x14ac:dyDescent="0.35">
      <c r="B858" s="56" t="str">
        <f>input_names!$E$3</f>
        <v>plug-in</v>
      </c>
      <c r="C858" s="61">
        <v>103</v>
      </c>
      <c r="D858" s="270">
        <f t="shared" si="236"/>
        <v>1941</v>
      </c>
      <c r="E858" s="270">
        <f t="shared" si="236"/>
        <v>2130</v>
      </c>
      <c r="F858" s="270">
        <f t="shared" si="236"/>
        <v>18300</v>
      </c>
      <c r="G858" s="270">
        <f t="shared" si="236"/>
        <v>17627</v>
      </c>
      <c r="H858" s="270">
        <f t="shared" si="236"/>
        <v>17433</v>
      </c>
      <c r="I858" s="270">
        <f t="shared" si="236"/>
        <v>17181</v>
      </c>
      <c r="J858" s="270">
        <f t="shared" si="236"/>
        <v>11686</v>
      </c>
      <c r="K858" s="270">
        <f t="shared" si="236"/>
        <v>11798</v>
      </c>
      <c r="L858" s="270">
        <f t="shared" si="236"/>
        <v>12581</v>
      </c>
      <c r="M858" s="270">
        <f t="shared" si="236"/>
        <v>13829</v>
      </c>
      <c r="N858" s="270">
        <f t="shared" si="236"/>
        <v>2909</v>
      </c>
      <c r="O858" s="270">
        <f t="shared" si="236"/>
        <v>2909</v>
      </c>
      <c r="P858" s="270">
        <f t="shared" si="236"/>
        <v>2909</v>
      </c>
      <c r="Q858" s="270">
        <f t="shared" si="236"/>
        <v>2909</v>
      </c>
      <c r="R858" s="270">
        <f t="shared" si="236"/>
        <v>2909</v>
      </c>
      <c r="S858" s="270">
        <f t="shared" si="237"/>
        <v>2909</v>
      </c>
      <c r="T858" s="270">
        <f t="shared" si="237"/>
        <v>2909</v>
      </c>
      <c r="U858" s="270">
        <f t="shared" si="237"/>
        <v>2909</v>
      </c>
      <c r="V858" s="270">
        <f t="shared" si="237"/>
        <v>2909</v>
      </c>
      <c r="W858" s="270">
        <f t="shared" si="237"/>
        <v>2909</v>
      </c>
      <c r="X858" s="270">
        <f t="shared" si="237"/>
        <v>2909</v>
      </c>
      <c r="Y858" s="270">
        <f t="shared" si="237"/>
        <v>2909</v>
      </c>
      <c r="Z858" s="270">
        <f t="shared" si="237"/>
        <v>2909</v>
      </c>
      <c r="AA858" s="270">
        <f t="shared" si="237"/>
        <v>2909</v>
      </c>
      <c r="AB858" s="270">
        <f t="shared" si="237"/>
        <v>2909</v>
      </c>
      <c r="AC858" s="270">
        <f t="shared" si="237"/>
        <v>2909</v>
      </c>
      <c r="AD858" s="270">
        <f t="shared" si="236"/>
        <v>2909</v>
      </c>
      <c r="AE858" s="270">
        <f t="shared" si="230"/>
        <v>2909</v>
      </c>
      <c r="AF858" s="270">
        <f t="shared" si="235"/>
        <v>2909</v>
      </c>
      <c r="AG858" s="270">
        <f t="shared" si="235"/>
        <v>2909</v>
      </c>
      <c r="AH858" s="270">
        <f t="shared" si="235"/>
        <v>2909</v>
      </c>
      <c r="AI858" s="270">
        <f t="shared" si="235"/>
        <v>2909</v>
      </c>
      <c r="AJ858" s="270">
        <f t="shared" si="235"/>
        <v>2909</v>
      </c>
      <c r="AK858" s="270">
        <f t="shared" si="235"/>
        <v>2909</v>
      </c>
      <c r="AL858" s="270">
        <f t="shared" si="235"/>
        <v>2909</v>
      </c>
      <c r="AM858" s="270">
        <f t="shared" si="235"/>
        <v>2909</v>
      </c>
    </row>
    <row r="859" spans="2:39" ht="15.75" thickBot="1" x14ac:dyDescent="0.35">
      <c r="B859" s="56" t="str">
        <f>input_names!$E$3</f>
        <v>plug-in</v>
      </c>
      <c r="C859" s="61">
        <v>104</v>
      </c>
      <c r="D859" s="270">
        <f t="shared" si="236"/>
        <v>2010</v>
      </c>
      <c r="E859" s="270">
        <f t="shared" si="236"/>
        <v>2199</v>
      </c>
      <c r="F859" s="270">
        <f t="shared" si="236"/>
        <v>18600</v>
      </c>
      <c r="G859" s="270">
        <f t="shared" si="236"/>
        <v>17916</v>
      </c>
      <c r="H859" s="270">
        <f t="shared" si="236"/>
        <v>17704</v>
      </c>
      <c r="I859" s="270">
        <f t="shared" si="236"/>
        <v>17448</v>
      </c>
      <c r="J859" s="270">
        <f t="shared" si="236"/>
        <v>11888</v>
      </c>
      <c r="K859" s="270">
        <f t="shared" si="236"/>
        <v>12002</v>
      </c>
      <c r="L859" s="270">
        <f t="shared" si="236"/>
        <v>12798</v>
      </c>
      <c r="M859" s="270">
        <f t="shared" si="236"/>
        <v>14068</v>
      </c>
      <c r="N859" s="270">
        <f t="shared" si="236"/>
        <v>3082</v>
      </c>
      <c r="O859" s="270">
        <f t="shared" si="236"/>
        <v>3082</v>
      </c>
      <c r="P859" s="270">
        <f t="shared" si="236"/>
        <v>3082</v>
      </c>
      <c r="Q859" s="270">
        <f t="shared" si="236"/>
        <v>3082</v>
      </c>
      <c r="R859" s="270">
        <f t="shared" si="236"/>
        <v>3082</v>
      </c>
      <c r="S859" s="270">
        <f t="shared" si="237"/>
        <v>3082</v>
      </c>
      <c r="T859" s="270">
        <f t="shared" si="237"/>
        <v>3082</v>
      </c>
      <c r="U859" s="270">
        <f t="shared" si="237"/>
        <v>3082</v>
      </c>
      <c r="V859" s="270">
        <f t="shared" si="237"/>
        <v>3082</v>
      </c>
      <c r="W859" s="270">
        <f t="shared" si="237"/>
        <v>3082</v>
      </c>
      <c r="X859" s="270">
        <f t="shared" si="237"/>
        <v>3082</v>
      </c>
      <c r="Y859" s="270">
        <f t="shared" si="237"/>
        <v>3082</v>
      </c>
      <c r="Z859" s="270">
        <f t="shared" si="237"/>
        <v>3082</v>
      </c>
      <c r="AA859" s="270">
        <f t="shared" si="237"/>
        <v>3082</v>
      </c>
      <c r="AB859" s="270">
        <f t="shared" si="237"/>
        <v>3082</v>
      </c>
      <c r="AC859" s="270">
        <f t="shared" si="237"/>
        <v>3082</v>
      </c>
      <c r="AD859" s="270">
        <f t="shared" si="236"/>
        <v>3082</v>
      </c>
      <c r="AE859" s="270">
        <f t="shared" si="230"/>
        <v>3082</v>
      </c>
      <c r="AF859" s="270">
        <f t="shared" si="235"/>
        <v>3082</v>
      </c>
      <c r="AG859" s="270">
        <f t="shared" si="235"/>
        <v>3082</v>
      </c>
      <c r="AH859" s="270">
        <f t="shared" si="235"/>
        <v>3082</v>
      </c>
      <c r="AI859" s="270">
        <f t="shared" si="235"/>
        <v>3082</v>
      </c>
      <c r="AJ859" s="270">
        <f t="shared" si="235"/>
        <v>3082</v>
      </c>
      <c r="AK859" s="270">
        <f t="shared" si="235"/>
        <v>3082</v>
      </c>
      <c r="AL859" s="270">
        <f t="shared" si="235"/>
        <v>3082</v>
      </c>
      <c r="AM859" s="270">
        <f t="shared" si="235"/>
        <v>3082</v>
      </c>
    </row>
    <row r="860" spans="2:39" ht="15.75" thickBot="1" x14ac:dyDescent="0.35">
      <c r="B860" s="56" t="str">
        <f>input_names!$E$3</f>
        <v>plug-in</v>
      </c>
      <c r="C860" s="61">
        <v>105</v>
      </c>
      <c r="D860" s="270">
        <f t="shared" si="236"/>
        <v>2079</v>
      </c>
      <c r="E860" s="270">
        <f t="shared" si="236"/>
        <v>2268</v>
      </c>
      <c r="F860" s="270">
        <f t="shared" si="236"/>
        <v>18900</v>
      </c>
      <c r="G860" s="270">
        <f t="shared" si="236"/>
        <v>18205</v>
      </c>
      <c r="H860" s="270">
        <f t="shared" si="236"/>
        <v>17975</v>
      </c>
      <c r="I860" s="270">
        <f t="shared" si="236"/>
        <v>17715</v>
      </c>
      <c r="J860" s="270">
        <f t="shared" si="236"/>
        <v>12090</v>
      </c>
      <c r="K860" s="270">
        <f t="shared" si="236"/>
        <v>12206</v>
      </c>
      <c r="L860" s="270">
        <f t="shared" si="236"/>
        <v>13015</v>
      </c>
      <c r="M860" s="270">
        <f t="shared" si="236"/>
        <v>14307</v>
      </c>
      <c r="N860" s="270">
        <f t="shared" si="236"/>
        <v>3255</v>
      </c>
      <c r="O860" s="270">
        <f t="shared" si="236"/>
        <v>3255</v>
      </c>
      <c r="P860" s="270">
        <f t="shared" si="236"/>
        <v>3255</v>
      </c>
      <c r="Q860" s="270">
        <f t="shared" si="236"/>
        <v>3255</v>
      </c>
      <c r="R860" s="270">
        <f t="shared" si="236"/>
        <v>3255</v>
      </c>
      <c r="S860" s="270">
        <f t="shared" si="237"/>
        <v>3255</v>
      </c>
      <c r="T860" s="270">
        <f t="shared" si="237"/>
        <v>3255</v>
      </c>
      <c r="U860" s="270">
        <f t="shared" si="237"/>
        <v>3255</v>
      </c>
      <c r="V860" s="270">
        <f t="shared" si="237"/>
        <v>3255</v>
      </c>
      <c r="W860" s="270">
        <f t="shared" si="237"/>
        <v>3255</v>
      </c>
      <c r="X860" s="270">
        <f t="shared" si="237"/>
        <v>3255</v>
      </c>
      <c r="Y860" s="270">
        <f t="shared" si="237"/>
        <v>3255</v>
      </c>
      <c r="Z860" s="270">
        <f t="shared" si="237"/>
        <v>3255</v>
      </c>
      <c r="AA860" s="270">
        <f t="shared" si="237"/>
        <v>3255</v>
      </c>
      <c r="AB860" s="270">
        <f t="shared" si="237"/>
        <v>3255</v>
      </c>
      <c r="AC860" s="270">
        <f t="shared" si="237"/>
        <v>3255</v>
      </c>
      <c r="AD860" s="270">
        <f t="shared" si="236"/>
        <v>3255</v>
      </c>
      <c r="AE860" s="270">
        <f t="shared" si="230"/>
        <v>3255</v>
      </c>
      <c r="AF860" s="270">
        <f t="shared" si="235"/>
        <v>3255</v>
      </c>
      <c r="AG860" s="270">
        <f t="shared" si="235"/>
        <v>3255</v>
      </c>
      <c r="AH860" s="270">
        <f t="shared" si="235"/>
        <v>3255</v>
      </c>
      <c r="AI860" s="270">
        <f t="shared" si="235"/>
        <v>3255</v>
      </c>
      <c r="AJ860" s="270">
        <f t="shared" si="235"/>
        <v>3255</v>
      </c>
      <c r="AK860" s="270">
        <f t="shared" si="235"/>
        <v>3255</v>
      </c>
      <c r="AL860" s="270">
        <f t="shared" si="235"/>
        <v>3255</v>
      </c>
      <c r="AM860" s="270">
        <f t="shared" si="235"/>
        <v>3255</v>
      </c>
    </row>
    <row r="861" spans="2:39" ht="15.75" thickBot="1" x14ac:dyDescent="0.35">
      <c r="B861" s="56" t="str">
        <f>input_names!$E$3</f>
        <v>plug-in</v>
      </c>
      <c r="C861" s="61">
        <v>106</v>
      </c>
      <c r="D861" s="270">
        <f t="shared" si="236"/>
        <v>2148</v>
      </c>
      <c r="E861" s="270">
        <f t="shared" si="236"/>
        <v>2337</v>
      </c>
      <c r="F861" s="270">
        <f t="shared" si="236"/>
        <v>19200</v>
      </c>
      <c r="G861" s="270">
        <f t="shared" si="236"/>
        <v>18494</v>
      </c>
      <c r="H861" s="270">
        <f t="shared" si="236"/>
        <v>18246</v>
      </c>
      <c r="I861" s="270">
        <f t="shared" si="236"/>
        <v>17982</v>
      </c>
      <c r="J861" s="270">
        <f t="shared" si="236"/>
        <v>12292</v>
      </c>
      <c r="K861" s="270">
        <f t="shared" si="236"/>
        <v>12410</v>
      </c>
      <c r="L861" s="270">
        <f t="shared" si="236"/>
        <v>13232</v>
      </c>
      <c r="M861" s="270">
        <f t="shared" si="236"/>
        <v>14546</v>
      </c>
      <c r="N861" s="270">
        <f t="shared" si="236"/>
        <v>3428</v>
      </c>
      <c r="O861" s="270">
        <f t="shared" si="236"/>
        <v>3428</v>
      </c>
      <c r="P861" s="270">
        <f t="shared" si="236"/>
        <v>3428</v>
      </c>
      <c r="Q861" s="270">
        <f t="shared" si="236"/>
        <v>3428</v>
      </c>
      <c r="R861" s="270">
        <f t="shared" si="236"/>
        <v>3428</v>
      </c>
      <c r="S861" s="270">
        <f t="shared" si="237"/>
        <v>3428</v>
      </c>
      <c r="T861" s="270">
        <f t="shared" si="237"/>
        <v>3428</v>
      </c>
      <c r="U861" s="270">
        <f t="shared" si="237"/>
        <v>3428</v>
      </c>
      <c r="V861" s="270">
        <f t="shared" si="237"/>
        <v>3428</v>
      </c>
      <c r="W861" s="270">
        <f t="shared" si="237"/>
        <v>3428</v>
      </c>
      <c r="X861" s="270">
        <f t="shared" si="237"/>
        <v>3428</v>
      </c>
      <c r="Y861" s="270">
        <f t="shared" si="237"/>
        <v>3428</v>
      </c>
      <c r="Z861" s="270">
        <f t="shared" si="237"/>
        <v>3428</v>
      </c>
      <c r="AA861" s="270">
        <f t="shared" si="237"/>
        <v>3428</v>
      </c>
      <c r="AB861" s="270">
        <f t="shared" si="237"/>
        <v>3428</v>
      </c>
      <c r="AC861" s="270">
        <f t="shared" si="237"/>
        <v>3428</v>
      </c>
      <c r="AD861" s="270">
        <f t="shared" si="236"/>
        <v>3428</v>
      </c>
      <c r="AE861" s="270">
        <f t="shared" si="230"/>
        <v>3428</v>
      </c>
      <c r="AF861" s="270">
        <f t="shared" si="235"/>
        <v>3428</v>
      </c>
      <c r="AG861" s="270">
        <f t="shared" si="235"/>
        <v>3428</v>
      </c>
      <c r="AH861" s="270">
        <f t="shared" si="235"/>
        <v>3428</v>
      </c>
      <c r="AI861" s="270">
        <f t="shared" si="235"/>
        <v>3428</v>
      </c>
      <c r="AJ861" s="270">
        <f t="shared" si="235"/>
        <v>3428</v>
      </c>
      <c r="AK861" s="270">
        <f t="shared" si="235"/>
        <v>3428</v>
      </c>
      <c r="AL861" s="270">
        <f t="shared" si="235"/>
        <v>3428</v>
      </c>
      <c r="AM861" s="270">
        <f t="shared" si="235"/>
        <v>3428</v>
      </c>
    </row>
    <row r="862" spans="2:39" ht="15.75" thickBot="1" x14ac:dyDescent="0.35">
      <c r="B862" s="56" t="str">
        <f>input_names!$E$3</f>
        <v>plug-in</v>
      </c>
      <c r="C862" s="61">
        <v>107</v>
      </c>
      <c r="D862" s="270">
        <f t="shared" si="236"/>
        <v>2217</v>
      </c>
      <c r="E862" s="270">
        <f t="shared" si="236"/>
        <v>2460</v>
      </c>
      <c r="F862" s="270">
        <f t="shared" si="236"/>
        <v>19500</v>
      </c>
      <c r="G862" s="270">
        <f t="shared" si="236"/>
        <v>18783</v>
      </c>
      <c r="H862" s="270">
        <f t="shared" si="236"/>
        <v>18517</v>
      </c>
      <c r="I862" s="270">
        <f t="shared" si="236"/>
        <v>18249</v>
      </c>
      <c r="J862" s="270">
        <f t="shared" si="236"/>
        <v>12494</v>
      </c>
      <c r="K862" s="270">
        <f t="shared" si="236"/>
        <v>12614</v>
      </c>
      <c r="L862" s="270">
        <f t="shared" si="236"/>
        <v>13449</v>
      </c>
      <c r="M862" s="270">
        <f t="shared" si="236"/>
        <v>14785</v>
      </c>
      <c r="N862" s="270">
        <f t="shared" si="236"/>
        <v>3601</v>
      </c>
      <c r="O862" s="270">
        <f t="shared" si="236"/>
        <v>3601</v>
      </c>
      <c r="P862" s="270">
        <f t="shared" si="236"/>
        <v>3601</v>
      </c>
      <c r="Q862" s="270">
        <f t="shared" si="236"/>
        <v>3601</v>
      </c>
      <c r="R862" s="270">
        <f t="shared" si="236"/>
        <v>3601</v>
      </c>
      <c r="S862" s="270">
        <f t="shared" si="237"/>
        <v>3601</v>
      </c>
      <c r="T862" s="270">
        <f t="shared" si="237"/>
        <v>3601</v>
      </c>
      <c r="U862" s="270">
        <f t="shared" si="237"/>
        <v>3601</v>
      </c>
      <c r="V862" s="270">
        <f t="shared" si="237"/>
        <v>3601</v>
      </c>
      <c r="W862" s="270">
        <f t="shared" si="237"/>
        <v>3601</v>
      </c>
      <c r="X862" s="270">
        <f t="shared" si="237"/>
        <v>3601</v>
      </c>
      <c r="Y862" s="270">
        <f t="shared" si="237"/>
        <v>3601</v>
      </c>
      <c r="Z862" s="270">
        <f t="shared" si="237"/>
        <v>3601</v>
      </c>
      <c r="AA862" s="270">
        <f t="shared" si="237"/>
        <v>3601</v>
      </c>
      <c r="AB862" s="270">
        <f t="shared" si="237"/>
        <v>3601</v>
      </c>
      <c r="AC862" s="270">
        <f t="shared" si="237"/>
        <v>3601</v>
      </c>
      <c r="AD862" s="270">
        <f t="shared" si="236"/>
        <v>3601</v>
      </c>
      <c r="AE862" s="270">
        <f t="shared" si="230"/>
        <v>3601</v>
      </c>
      <c r="AF862" s="270">
        <f t="shared" si="235"/>
        <v>3601</v>
      </c>
      <c r="AG862" s="270">
        <f t="shared" si="235"/>
        <v>3601</v>
      </c>
      <c r="AH862" s="270">
        <f t="shared" si="235"/>
        <v>3601</v>
      </c>
      <c r="AI862" s="270">
        <f t="shared" si="235"/>
        <v>3601</v>
      </c>
      <c r="AJ862" s="270">
        <f t="shared" si="235"/>
        <v>3601</v>
      </c>
      <c r="AK862" s="270">
        <f t="shared" si="235"/>
        <v>3601</v>
      </c>
      <c r="AL862" s="270">
        <f t="shared" si="235"/>
        <v>3601</v>
      </c>
      <c r="AM862" s="270">
        <f t="shared" si="235"/>
        <v>3601</v>
      </c>
    </row>
    <row r="863" spans="2:39" ht="15.75" thickBot="1" x14ac:dyDescent="0.35">
      <c r="B863" s="56" t="str">
        <f>input_names!$E$3</f>
        <v>plug-in</v>
      </c>
      <c r="C863" s="61">
        <v>108</v>
      </c>
      <c r="D863" s="270">
        <f t="shared" si="236"/>
        <v>2286</v>
      </c>
      <c r="E863" s="270">
        <f t="shared" si="236"/>
        <v>2583</v>
      </c>
      <c r="F863" s="270">
        <f t="shared" si="236"/>
        <v>19800</v>
      </c>
      <c r="G863" s="270">
        <f t="shared" si="236"/>
        <v>19072</v>
      </c>
      <c r="H863" s="270">
        <f t="shared" si="236"/>
        <v>18788</v>
      </c>
      <c r="I863" s="270">
        <f t="shared" si="236"/>
        <v>18516</v>
      </c>
      <c r="J863" s="270">
        <f t="shared" si="236"/>
        <v>12696</v>
      </c>
      <c r="K863" s="270">
        <f t="shared" si="236"/>
        <v>12818</v>
      </c>
      <c r="L863" s="270">
        <f t="shared" si="236"/>
        <v>13666</v>
      </c>
      <c r="M863" s="270">
        <f t="shared" si="236"/>
        <v>15024</v>
      </c>
      <c r="N863" s="270">
        <f t="shared" si="236"/>
        <v>3774</v>
      </c>
      <c r="O863" s="270">
        <f t="shared" si="236"/>
        <v>3774</v>
      </c>
      <c r="P863" s="270">
        <f t="shared" si="236"/>
        <v>3774</v>
      </c>
      <c r="Q863" s="270">
        <f t="shared" si="236"/>
        <v>3774</v>
      </c>
      <c r="R863" s="270">
        <f t="shared" si="236"/>
        <v>3774</v>
      </c>
      <c r="S863" s="270">
        <f t="shared" si="237"/>
        <v>3774</v>
      </c>
      <c r="T863" s="270">
        <f t="shared" si="237"/>
        <v>3774</v>
      </c>
      <c r="U863" s="270">
        <f t="shared" si="237"/>
        <v>3774</v>
      </c>
      <c r="V863" s="270">
        <f t="shared" si="237"/>
        <v>3774</v>
      </c>
      <c r="W863" s="270">
        <f t="shared" si="237"/>
        <v>3774</v>
      </c>
      <c r="X863" s="270">
        <f t="shared" si="237"/>
        <v>3774</v>
      </c>
      <c r="Y863" s="270">
        <f t="shared" si="237"/>
        <v>3774</v>
      </c>
      <c r="Z863" s="270">
        <f t="shared" si="237"/>
        <v>3774</v>
      </c>
      <c r="AA863" s="270">
        <f t="shared" si="237"/>
        <v>3774</v>
      </c>
      <c r="AB863" s="270">
        <f t="shared" si="237"/>
        <v>3774</v>
      </c>
      <c r="AC863" s="270">
        <f t="shared" si="237"/>
        <v>3774</v>
      </c>
      <c r="AD863" s="270">
        <f t="shared" si="236"/>
        <v>3774</v>
      </c>
      <c r="AE863" s="270">
        <f t="shared" si="230"/>
        <v>3774</v>
      </c>
      <c r="AF863" s="270">
        <f t="shared" si="235"/>
        <v>3774</v>
      </c>
      <c r="AG863" s="270">
        <f t="shared" si="235"/>
        <v>3774</v>
      </c>
      <c r="AH863" s="270">
        <f t="shared" si="235"/>
        <v>3774</v>
      </c>
      <c r="AI863" s="270">
        <f t="shared" si="235"/>
        <v>3774</v>
      </c>
      <c r="AJ863" s="270">
        <f t="shared" si="235"/>
        <v>3774</v>
      </c>
      <c r="AK863" s="270">
        <f t="shared" si="235"/>
        <v>3774</v>
      </c>
      <c r="AL863" s="270">
        <f t="shared" si="235"/>
        <v>3774</v>
      </c>
      <c r="AM863" s="270">
        <f t="shared" si="235"/>
        <v>3774</v>
      </c>
    </row>
    <row r="864" spans="2:39" ht="15.75" thickBot="1" x14ac:dyDescent="0.35">
      <c r="B864" s="56" t="str">
        <f>input_names!$E$3</f>
        <v>plug-in</v>
      </c>
      <c r="C864" s="61">
        <v>109</v>
      </c>
      <c r="D864" s="270">
        <f t="shared" si="236"/>
        <v>2355</v>
      </c>
      <c r="E864" s="270">
        <f t="shared" si="236"/>
        <v>2706</v>
      </c>
      <c r="F864" s="270">
        <f t="shared" si="236"/>
        <v>20100</v>
      </c>
      <c r="G864" s="270">
        <f t="shared" si="236"/>
        <v>19361</v>
      </c>
      <c r="H864" s="270">
        <f t="shared" si="236"/>
        <v>19059</v>
      </c>
      <c r="I864" s="270">
        <f t="shared" si="236"/>
        <v>18783</v>
      </c>
      <c r="J864" s="270">
        <f t="shared" si="236"/>
        <v>12898</v>
      </c>
      <c r="K864" s="270">
        <f t="shared" si="236"/>
        <v>13022</v>
      </c>
      <c r="L864" s="270">
        <f t="shared" si="236"/>
        <v>13883</v>
      </c>
      <c r="M864" s="270">
        <f t="shared" si="236"/>
        <v>15263</v>
      </c>
      <c r="N864" s="270">
        <f t="shared" si="236"/>
        <v>3947</v>
      </c>
      <c r="O864" s="270">
        <f t="shared" si="236"/>
        <v>3947</v>
      </c>
      <c r="P864" s="270">
        <f t="shared" si="236"/>
        <v>3947</v>
      </c>
      <c r="Q864" s="270">
        <f t="shared" si="236"/>
        <v>3947</v>
      </c>
      <c r="R864" s="270">
        <f t="shared" si="236"/>
        <v>3947</v>
      </c>
      <c r="S864" s="270">
        <f t="shared" si="237"/>
        <v>3947</v>
      </c>
      <c r="T864" s="270">
        <f t="shared" si="237"/>
        <v>3947</v>
      </c>
      <c r="U864" s="270">
        <f t="shared" si="237"/>
        <v>3947</v>
      </c>
      <c r="V864" s="270">
        <f t="shared" si="237"/>
        <v>3947</v>
      </c>
      <c r="W864" s="270">
        <f t="shared" si="237"/>
        <v>3947</v>
      </c>
      <c r="X864" s="270">
        <f t="shared" si="237"/>
        <v>3947</v>
      </c>
      <c r="Y864" s="270">
        <f t="shared" si="237"/>
        <v>3947</v>
      </c>
      <c r="Z864" s="270">
        <f t="shared" si="237"/>
        <v>3947</v>
      </c>
      <c r="AA864" s="270">
        <f t="shared" si="237"/>
        <v>3947</v>
      </c>
      <c r="AB864" s="270">
        <f t="shared" si="237"/>
        <v>3947</v>
      </c>
      <c r="AC864" s="270">
        <f t="shared" si="237"/>
        <v>3947</v>
      </c>
      <c r="AD864" s="270">
        <f t="shared" si="236"/>
        <v>3947</v>
      </c>
      <c r="AE864" s="270">
        <f t="shared" si="230"/>
        <v>3947</v>
      </c>
      <c r="AF864" s="270">
        <f t="shared" si="235"/>
        <v>3947</v>
      </c>
      <c r="AG864" s="270">
        <f t="shared" si="235"/>
        <v>3947</v>
      </c>
      <c r="AH864" s="270">
        <f t="shared" si="235"/>
        <v>3947</v>
      </c>
      <c r="AI864" s="270">
        <f t="shared" si="235"/>
        <v>3947</v>
      </c>
      <c r="AJ864" s="270">
        <f t="shared" si="235"/>
        <v>3947</v>
      </c>
      <c r="AK864" s="270">
        <f t="shared" si="235"/>
        <v>3947</v>
      </c>
      <c r="AL864" s="270">
        <f t="shared" si="235"/>
        <v>3947</v>
      </c>
      <c r="AM864" s="270">
        <f t="shared" si="235"/>
        <v>3947</v>
      </c>
    </row>
    <row r="865" spans="2:39" ht="15.75" thickBot="1" x14ac:dyDescent="0.35">
      <c r="B865" s="56" t="str">
        <f>input_names!$E$3</f>
        <v>plug-in</v>
      </c>
      <c r="C865" s="61">
        <v>110</v>
      </c>
      <c r="D865" s="270">
        <f t="shared" si="236"/>
        <v>2424</v>
      </c>
      <c r="E865" s="270">
        <f t="shared" si="236"/>
        <v>2829</v>
      </c>
      <c r="F865" s="270">
        <f t="shared" si="236"/>
        <v>20400</v>
      </c>
      <c r="G865" s="270">
        <f t="shared" si="236"/>
        <v>19650</v>
      </c>
      <c r="H865" s="270">
        <f t="shared" si="236"/>
        <v>19330</v>
      </c>
      <c r="I865" s="270">
        <f t="shared" si="236"/>
        <v>19050</v>
      </c>
      <c r="J865" s="270">
        <f t="shared" si="236"/>
        <v>13100</v>
      </c>
      <c r="K865" s="270">
        <f t="shared" si="236"/>
        <v>13226</v>
      </c>
      <c r="L865" s="270">
        <f t="shared" si="236"/>
        <v>14100</v>
      </c>
      <c r="M865" s="270">
        <f t="shared" si="236"/>
        <v>15502</v>
      </c>
      <c r="N865" s="270">
        <f t="shared" si="236"/>
        <v>4120</v>
      </c>
      <c r="O865" s="270">
        <f t="shared" si="236"/>
        <v>4120</v>
      </c>
      <c r="P865" s="270">
        <f t="shared" si="236"/>
        <v>4120</v>
      </c>
      <c r="Q865" s="270">
        <f t="shared" si="236"/>
        <v>4120</v>
      </c>
      <c r="R865" s="270">
        <f t="shared" si="236"/>
        <v>4120</v>
      </c>
      <c r="S865" s="270">
        <f>+MIN(MAX(0,$C865-S$28),S$29-S$28)*S$34
+MIN(MAX(0,$C865-S$29),S$30-S$29)*S$35
+MIN(MAX(0,$C865-S$30),S$31-S$30)*S$36
+MIN(MAX(0,$C865-S$31),S$32-S$31)*S$37
+MAX(0,$C865-S$32)*S$38
+S$39</f>
        <v>4120</v>
      </c>
      <c r="T865" s="270">
        <f t="shared" si="237"/>
        <v>4120</v>
      </c>
      <c r="U865" s="270">
        <f t="shared" si="237"/>
        <v>4120</v>
      </c>
      <c r="V865" s="270">
        <f t="shared" si="237"/>
        <v>4120</v>
      </c>
      <c r="W865" s="270">
        <f t="shared" si="237"/>
        <v>4120</v>
      </c>
      <c r="X865" s="270">
        <f t="shared" si="237"/>
        <v>4120</v>
      </c>
      <c r="Y865" s="270">
        <f t="shared" si="237"/>
        <v>4120</v>
      </c>
      <c r="Z865" s="270">
        <f t="shared" si="237"/>
        <v>4120</v>
      </c>
      <c r="AA865" s="270">
        <f t="shared" si="237"/>
        <v>4120</v>
      </c>
      <c r="AB865" s="270">
        <f t="shared" si="237"/>
        <v>4120</v>
      </c>
      <c r="AC865" s="270">
        <f t="shared" si="237"/>
        <v>4120</v>
      </c>
      <c r="AD865" s="270">
        <f>+MIN(MAX(0,$C865-AD$28),AD$29-AD$28)*AD$34
+MIN(MAX(0,$C865-AD$29),AD$30-AD$29)*AD$35
+MIN(MAX(0,$C865-AD$30),AD$31-AD$30)*AD$36
+MIN(MAX(0,$C865-AD$31),AD$32-AD$31)*AD$37
+MAX(0,$C865-AD$32)*AD$38
+AD$39</f>
        <v>4120</v>
      </c>
      <c r="AE865" s="270">
        <f t="shared" si="230"/>
        <v>4120</v>
      </c>
      <c r="AF865" s="270">
        <f t="shared" si="235"/>
        <v>4120</v>
      </c>
      <c r="AG865" s="270">
        <f t="shared" si="235"/>
        <v>4120</v>
      </c>
      <c r="AH865" s="270">
        <f t="shared" si="235"/>
        <v>4120</v>
      </c>
      <c r="AI865" s="270">
        <f t="shared" si="235"/>
        <v>4120</v>
      </c>
      <c r="AJ865" s="270">
        <f t="shared" si="235"/>
        <v>4120</v>
      </c>
      <c r="AK865" s="270">
        <f t="shared" si="235"/>
        <v>4120</v>
      </c>
      <c r="AL865" s="270">
        <f t="shared" si="235"/>
        <v>4120</v>
      </c>
      <c r="AM865" s="270">
        <f t="shared" si="235"/>
        <v>4120</v>
      </c>
    </row>
    <row r="866" spans="2:39" ht="15.75" thickBot="1" x14ac:dyDescent="0.35">
      <c r="B866" s="56" t="str">
        <f>input_names!$E$3</f>
        <v>plug-in</v>
      </c>
      <c r="C866" s="61">
        <v>111</v>
      </c>
      <c r="D866" s="270">
        <f t="shared" ref="D866:AD881" si="238">+MIN(MAX(0,$C866-D$28),D$29-D$28)*D$34
+MIN(MAX(0,$C866-D$29),D$30-D$29)*D$35
+MIN(MAX(0,$C866-D$30),D$31-D$30)*D$36
+MIN(MAX(0,$C866-D$31),D$32-D$31)*D$37
+MAX(0,$C866-D$32)*D$38
+D$39</f>
        <v>2536</v>
      </c>
      <c r="E866" s="270">
        <f t="shared" si="238"/>
        <v>2952</v>
      </c>
      <c r="F866" s="270">
        <f t="shared" si="238"/>
        <v>20700</v>
      </c>
      <c r="G866" s="270">
        <f t="shared" si="238"/>
        <v>19939</v>
      </c>
      <c r="H866" s="270">
        <f t="shared" si="238"/>
        <v>19601</v>
      </c>
      <c r="I866" s="270">
        <f t="shared" si="238"/>
        <v>19317</v>
      </c>
      <c r="J866" s="270">
        <f t="shared" si="238"/>
        <v>13302</v>
      </c>
      <c r="K866" s="270">
        <f t="shared" si="238"/>
        <v>13430</v>
      </c>
      <c r="L866" s="270">
        <f t="shared" si="238"/>
        <v>14317</v>
      </c>
      <c r="M866" s="270">
        <f t="shared" si="238"/>
        <v>15741</v>
      </c>
      <c r="N866" s="270">
        <f t="shared" si="238"/>
        <v>4293</v>
      </c>
      <c r="O866" s="270">
        <f t="shared" si="238"/>
        <v>4293</v>
      </c>
      <c r="P866" s="270">
        <f t="shared" si="238"/>
        <v>4293</v>
      </c>
      <c r="Q866" s="270">
        <f t="shared" si="238"/>
        <v>4293</v>
      </c>
      <c r="R866" s="270">
        <f t="shared" si="238"/>
        <v>4293</v>
      </c>
      <c r="S866" s="270">
        <f t="shared" ref="S866:AC881" si="239">+MIN(MAX(0,$C866-S$28),S$29-S$28)*S$34
+MIN(MAX(0,$C866-S$29),S$30-S$29)*S$35
+MIN(MAX(0,$C866-S$30),S$31-S$30)*S$36
+MIN(MAX(0,$C866-S$31),S$32-S$31)*S$37
+MAX(0,$C866-S$32)*S$38
+S$39</f>
        <v>4293</v>
      </c>
      <c r="T866" s="270">
        <f t="shared" si="239"/>
        <v>4293</v>
      </c>
      <c r="U866" s="270">
        <f t="shared" si="239"/>
        <v>4293</v>
      </c>
      <c r="V866" s="270">
        <f t="shared" si="239"/>
        <v>4293</v>
      </c>
      <c r="W866" s="270">
        <f t="shared" si="239"/>
        <v>4293</v>
      </c>
      <c r="X866" s="270">
        <f t="shared" si="239"/>
        <v>4293</v>
      </c>
      <c r="Y866" s="270">
        <f t="shared" si="239"/>
        <v>4293</v>
      </c>
      <c r="Z866" s="270">
        <f t="shared" si="239"/>
        <v>4293</v>
      </c>
      <c r="AA866" s="270">
        <f t="shared" si="239"/>
        <v>4293</v>
      </c>
      <c r="AB866" s="270">
        <f t="shared" si="239"/>
        <v>4293</v>
      </c>
      <c r="AC866" s="270">
        <f t="shared" si="239"/>
        <v>4293</v>
      </c>
      <c r="AD866" s="270">
        <f t="shared" si="238"/>
        <v>4293</v>
      </c>
      <c r="AE866" s="270">
        <f t="shared" si="230"/>
        <v>4293</v>
      </c>
      <c r="AF866" s="270">
        <f t="shared" si="235"/>
        <v>4293</v>
      </c>
      <c r="AG866" s="270">
        <f t="shared" si="235"/>
        <v>4293</v>
      </c>
      <c r="AH866" s="270">
        <f t="shared" si="235"/>
        <v>4293</v>
      </c>
      <c r="AI866" s="270">
        <f t="shared" si="235"/>
        <v>4293</v>
      </c>
      <c r="AJ866" s="270">
        <f t="shared" si="235"/>
        <v>4293</v>
      </c>
      <c r="AK866" s="270">
        <f t="shared" si="235"/>
        <v>4293</v>
      </c>
      <c r="AL866" s="270">
        <f t="shared" si="235"/>
        <v>4293</v>
      </c>
      <c r="AM866" s="270">
        <f t="shared" si="235"/>
        <v>4293</v>
      </c>
    </row>
    <row r="867" spans="2:39" ht="15.75" thickBot="1" x14ac:dyDescent="0.35">
      <c r="B867" s="56" t="str">
        <f>input_names!$E$3</f>
        <v>plug-in</v>
      </c>
      <c r="C867" s="61">
        <v>112</v>
      </c>
      <c r="D867" s="270">
        <f t="shared" si="238"/>
        <v>2648</v>
      </c>
      <c r="E867" s="270">
        <f t="shared" si="238"/>
        <v>3075</v>
      </c>
      <c r="F867" s="270">
        <f t="shared" si="238"/>
        <v>21000</v>
      </c>
      <c r="G867" s="270">
        <f t="shared" si="238"/>
        <v>20228</v>
      </c>
      <c r="H867" s="270">
        <f t="shared" si="238"/>
        <v>19872</v>
      </c>
      <c r="I867" s="270">
        <f t="shared" si="238"/>
        <v>19584</v>
      </c>
      <c r="J867" s="270">
        <f t="shared" si="238"/>
        <v>13504</v>
      </c>
      <c r="K867" s="270">
        <f t="shared" si="238"/>
        <v>13634</v>
      </c>
      <c r="L867" s="270">
        <f t="shared" si="238"/>
        <v>14534</v>
      </c>
      <c r="M867" s="270">
        <f t="shared" si="238"/>
        <v>15980</v>
      </c>
      <c r="N867" s="270">
        <f t="shared" si="238"/>
        <v>4466</v>
      </c>
      <c r="O867" s="270">
        <f t="shared" si="238"/>
        <v>4466</v>
      </c>
      <c r="P867" s="270">
        <f t="shared" si="238"/>
        <v>4466</v>
      </c>
      <c r="Q867" s="270">
        <f t="shared" si="238"/>
        <v>4466</v>
      </c>
      <c r="R867" s="270">
        <f t="shared" si="238"/>
        <v>4466</v>
      </c>
      <c r="S867" s="270">
        <f t="shared" si="239"/>
        <v>4466</v>
      </c>
      <c r="T867" s="270">
        <f t="shared" si="239"/>
        <v>4466</v>
      </c>
      <c r="U867" s="270">
        <f t="shared" si="239"/>
        <v>4466</v>
      </c>
      <c r="V867" s="270">
        <f t="shared" si="239"/>
        <v>4466</v>
      </c>
      <c r="W867" s="270">
        <f t="shared" si="239"/>
        <v>4466</v>
      </c>
      <c r="X867" s="270">
        <f t="shared" si="239"/>
        <v>4466</v>
      </c>
      <c r="Y867" s="270">
        <f t="shared" si="239"/>
        <v>4466</v>
      </c>
      <c r="Z867" s="270">
        <f t="shared" si="239"/>
        <v>4466</v>
      </c>
      <c r="AA867" s="270">
        <f t="shared" si="239"/>
        <v>4466</v>
      </c>
      <c r="AB867" s="270">
        <f t="shared" si="239"/>
        <v>4466</v>
      </c>
      <c r="AC867" s="270">
        <f t="shared" si="239"/>
        <v>4466</v>
      </c>
      <c r="AD867" s="270">
        <f t="shared" si="238"/>
        <v>4466</v>
      </c>
      <c r="AE867" s="270">
        <f t="shared" si="230"/>
        <v>4466</v>
      </c>
      <c r="AF867" s="270">
        <f t="shared" si="235"/>
        <v>4466</v>
      </c>
      <c r="AG867" s="270">
        <f t="shared" si="235"/>
        <v>4466</v>
      </c>
      <c r="AH867" s="270">
        <f t="shared" si="235"/>
        <v>4466</v>
      </c>
      <c r="AI867" s="270">
        <f t="shared" si="235"/>
        <v>4466</v>
      </c>
      <c r="AJ867" s="270">
        <f t="shared" si="235"/>
        <v>4466</v>
      </c>
      <c r="AK867" s="270">
        <f t="shared" si="235"/>
        <v>4466</v>
      </c>
      <c r="AL867" s="270">
        <f t="shared" si="235"/>
        <v>4466</v>
      </c>
      <c r="AM867" s="270">
        <f t="shared" si="235"/>
        <v>4466</v>
      </c>
    </row>
    <row r="868" spans="2:39" ht="15.75" thickBot="1" x14ac:dyDescent="0.35">
      <c r="B868" s="56" t="str">
        <f>input_names!$E$3</f>
        <v>plug-in</v>
      </c>
      <c r="C868" s="61">
        <v>113</v>
      </c>
      <c r="D868" s="270">
        <f t="shared" si="238"/>
        <v>2760</v>
      </c>
      <c r="E868" s="270">
        <f t="shared" si="238"/>
        <v>3198</v>
      </c>
      <c r="F868" s="270">
        <f t="shared" si="238"/>
        <v>21300</v>
      </c>
      <c r="G868" s="270">
        <f t="shared" si="238"/>
        <v>20517</v>
      </c>
      <c r="H868" s="270">
        <f t="shared" si="238"/>
        <v>20143</v>
      </c>
      <c r="I868" s="270">
        <f t="shared" si="238"/>
        <v>19851</v>
      </c>
      <c r="J868" s="270">
        <f t="shared" si="238"/>
        <v>13706</v>
      </c>
      <c r="K868" s="270">
        <f t="shared" si="238"/>
        <v>13838</v>
      </c>
      <c r="L868" s="270">
        <f t="shared" si="238"/>
        <v>14751</v>
      </c>
      <c r="M868" s="270">
        <f t="shared" si="238"/>
        <v>16219</v>
      </c>
      <c r="N868" s="270">
        <f t="shared" si="238"/>
        <v>4639</v>
      </c>
      <c r="O868" s="270">
        <f t="shared" si="238"/>
        <v>4639</v>
      </c>
      <c r="P868" s="270">
        <f t="shared" si="238"/>
        <v>4639</v>
      </c>
      <c r="Q868" s="270">
        <f t="shared" si="238"/>
        <v>4639</v>
      </c>
      <c r="R868" s="270">
        <f t="shared" si="238"/>
        <v>4639</v>
      </c>
      <c r="S868" s="270">
        <f t="shared" si="239"/>
        <v>4639</v>
      </c>
      <c r="T868" s="270">
        <f t="shared" si="239"/>
        <v>4639</v>
      </c>
      <c r="U868" s="270">
        <f t="shared" si="239"/>
        <v>4639</v>
      </c>
      <c r="V868" s="270">
        <f t="shared" si="239"/>
        <v>4639</v>
      </c>
      <c r="W868" s="270">
        <f t="shared" si="239"/>
        <v>4639</v>
      </c>
      <c r="X868" s="270">
        <f t="shared" si="239"/>
        <v>4639</v>
      </c>
      <c r="Y868" s="270">
        <f t="shared" si="239"/>
        <v>4639</v>
      </c>
      <c r="Z868" s="270">
        <f t="shared" si="239"/>
        <v>4639</v>
      </c>
      <c r="AA868" s="270">
        <f t="shared" si="239"/>
        <v>4639</v>
      </c>
      <c r="AB868" s="270">
        <f t="shared" si="239"/>
        <v>4639</v>
      </c>
      <c r="AC868" s="270">
        <f t="shared" si="239"/>
        <v>4639</v>
      </c>
      <c r="AD868" s="270">
        <f t="shared" si="238"/>
        <v>4639</v>
      </c>
      <c r="AE868" s="270">
        <f t="shared" si="230"/>
        <v>4639</v>
      </c>
      <c r="AF868" s="270">
        <f t="shared" si="235"/>
        <v>4639</v>
      </c>
      <c r="AG868" s="270">
        <f t="shared" ref="AF868:AM896" si="240">+MIN(MAX(0,$C868-AG$28),AG$29-AG$28)*AG$34
+MIN(MAX(0,$C868-AG$29),AG$30-AG$29)*AG$35
+MIN(MAX(0,$C868-AG$30),AG$31-AG$30)*AG$36
+MIN(MAX(0,$C868-AG$31),AG$32-AG$31)*AG$37
+MAX(0,$C868-AG$32)*AG$38
+AG$39</f>
        <v>4639</v>
      </c>
      <c r="AH868" s="270">
        <f t="shared" si="240"/>
        <v>4639</v>
      </c>
      <c r="AI868" s="270">
        <f t="shared" si="240"/>
        <v>4639</v>
      </c>
      <c r="AJ868" s="270">
        <f t="shared" si="240"/>
        <v>4639</v>
      </c>
      <c r="AK868" s="270">
        <f t="shared" si="240"/>
        <v>4639</v>
      </c>
      <c r="AL868" s="270">
        <f t="shared" si="240"/>
        <v>4639</v>
      </c>
      <c r="AM868" s="270">
        <f t="shared" si="240"/>
        <v>4639</v>
      </c>
    </row>
    <row r="869" spans="2:39" ht="15.75" thickBot="1" x14ac:dyDescent="0.35">
      <c r="B869" s="56" t="str">
        <f>input_names!$E$3</f>
        <v>plug-in</v>
      </c>
      <c r="C869" s="61">
        <v>114</v>
      </c>
      <c r="D869" s="270">
        <f t="shared" si="238"/>
        <v>2872</v>
      </c>
      <c r="E869" s="270">
        <f t="shared" si="238"/>
        <v>3321</v>
      </c>
      <c r="F869" s="270">
        <f t="shared" si="238"/>
        <v>21600</v>
      </c>
      <c r="G869" s="270">
        <f t="shared" si="238"/>
        <v>20806</v>
      </c>
      <c r="H869" s="270">
        <f t="shared" si="238"/>
        <v>20414</v>
      </c>
      <c r="I869" s="270">
        <f t="shared" si="238"/>
        <v>20118</v>
      </c>
      <c r="J869" s="270">
        <f t="shared" si="238"/>
        <v>13908</v>
      </c>
      <c r="K869" s="270">
        <f t="shared" si="238"/>
        <v>14042</v>
      </c>
      <c r="L869" s="270">
        <f t="shared" si="238"/>
        <v>14968</v>
      </c>
      <c r="M869" s="270">
        <f t="shared" si="238"/>
        <v>16458</v>
      </c>
      <c r="N869" s="270">
        <f t="shared" si="238"/>
        <v>4812</v>
      </c>
      <c r="O869" s="270">
        <f t="shared" si="238"/>
        <v>4812</v>
      </c>
      <c r="P869" s="270">
        <f t="shared" si="238"/>
        <v>4812</v>
      </c>
      <c r="Q869" s="270">
        <f t="shared" si="238"/>
        <v>4812</v>
      </c>
      <c r="R869" s="270">
        <f t="shared" si="238"/>
        <v>4812</v>
      </c>
      <c r="S869" s="270">
        <f t="shared" si="239"/>
        <v>4812</v>
      </c>
      <c r="T869" s="270">
        <f t="shared" si="239"/>
        <v>4812</v>
      </c>
      <c r="U869" s="270">
        <f t="shared" si="239"/>
        <v>4812</v>
      </c>
      <c r="V869" s="270">
        <f t="shared" si="239"/>
        <v>4812</v>
      </c>
      <c r="W869" s="270">
        <f t="shared" si="239"/>
        <v>4812</v>
      </c>
      <c r="X869" s="270">
        <f t="shared" si="239"/>
        <v>4812</v>
      </c>
      <c r="Y869" s="270">
        <f t="shared" si="239"/>
        <v>4812</v>
      </c>
      <c r="Z869" s="270">
        <f t="shared" si="239"/>
        <v>4812</v>
      </c>
      <c r="AA869" s="270">
        <f t="shared" si="239"/>
        <v>4812</v>
      </c>
      <c r="AB869" s="270">
        <f t="shared" si="239"/>
        <v>4812</v>
      </c>
      <c r="AC869" s="270">
        <f t="shared" si="239"/>
        <v>4812</v>
      </c>
      <c r="AD869" s="270">
        <f t="shared" si="238"/>
        <v>4812</v>
      </c>
      <c r="AE869" s="270">
        <f t="shared" si="230"/>
        <v>4812</v>
      </c>
      <c r="AF869" s="270">
        <f t="shared" si="240"/>
        <v>4812</v>
      </c>
      <c r="AG869" s="270">
        <f t="shared" si="240"/>
        <v>4812</v>
      </c>
      <c r="AH869" s="270">
        <f t="shared" si="240"/>
        <v>4812</v>
      </c>
      <c r="AI869" s="270">
        <f t="shared" si="240"/>
        <v>4812</v>
      </c>
      <c r="AJ869" s="270">
        <f t="shared" si="240"/>
        <v>4812</v>
      </c>
      <c r="AK869" s="270">
        <f t="shared" si="240"/>
        <v>4812</v>
      </c>
      <c r="AL869" s="270">
        <f t="shared" si="240"/>
        <v>4812</v>
      </c>
      <c r="AM869" s="270">
        <f t="shared" si="240"/>
        <v>4812</v>
      </c>
    </row>
    <row r="870" spans="2:39" ht="15.75" thickBot="1" x14ac:dyDescent="0.35">
      <c r="B870" s="56" t="str">
        <f>input_names!$E$3</f>
        <v>plug-in</v>
      </c>
      <c r="C870" s="61">
        <v>115</v>
      </c>
      <c r="D870" s="270">
        <f t="shared" si="238"/>
        <v>2984</v>
      </c>
      <c r="E870" s="270">
        <f t="shared" si="238"/>
        <v>3444</v>
      </c>
      <c r="F870" s="270">
        <f t="shared" si="238"/>
        <v>21900</v>
      </c>
      <c r="G870" s="270">
        <f t="shared" si="238"/>
        <v>21095</v>
      </c>
      <c r="H870" s="270">
        <f t="shared" si="238"/>
        <v>20685</v>
      </c>
      <c r="I870" s="270">
        <f t="shared" si="238"/>
        <v>20385</v>
      </c>
      <c r="J870" s="270">
        <f t="shared" si="238"/>
        <v>14110</v>
      </c>
      <c r="K870" s="270">
        <f t="shared" si="238"/>
        <v>14246</v>
      </c>
      <c r="L870" s="270">
        <f t="shared" si="238"/>
        <v>15185</v>
      </c>
      <c r="M870" s="270">
        <f t="shared" si="238"/>
        <v>16697</v>
      </c>
      <c r="N870" s="270">
        <f t="shared" si="238"/>
        <v>4985</v>
      </c>
      <c r="O870" s="270">
        <f t="shared" si="238"/>
        <v>4985</v>
      </c>
      <c r="P870" s="270">
        <f t="shared" si="238"/>
        <v>4985</v>
      </c>
      <c r="Q870" s="270">
        <f t="shared" si="238"/>
        <v>4985</v>
      </c>
      <c r="R870" s="270">
        <f t="shared" si="238"/>
        <v>4985</v>
      </c>
      <c r="S870" s="270">
        <f t="shared" si="239"/>
        <v>4985</v>
      </c>
      <c r="T870" s="270">
        <f t="shared" si="239"/>
        <v>4985</v>
      </c>
      <c r="U870" s="270">
        <f t="shared" si="239"/>
        <v>4985</v>
      </c>
      <c r="V870" s="270">
        <f t="shared" si="239"/>
        <v>4985</v>
      </c>
      <c r="W870" s="270">
        <f t="shared" si="239"/>
        <v>4985</v>
      </c>
      <c r="X870" s="270">
        <f t="shared" si="239"/>
        <v>4985</v>
      </c>
      <c r="Y870" s="270">
        <f t="shared" si="239"/>
        <v>4985</v>
      </c>
      <c r="Z870" s="270">
        <f t="shared" si="239"/>
        <v>4985</v>
      </c>
      <c r="AA870" s="270">
        <f t="shared" si="239"/>
        <v>4985</v>
      </c>
      <c r="AB870" s="270">
        <f t="shared" si="239"/>
        <v>4985</v>
      </c>
      <c r="AC870" s="270">
        <f t="shared" si="239"/>
        <v>4985</v>
      </c>
      <c r="AD870" s="270">
        <f t="shared" si="238"/>
        <v>4985</v>
      </c>
      <c r="AE870" s="270">
        <f t="shared" si="230"/>
        <v>4985</v>
      </c>
      <c r="AF870" s="270">
        <f t="shared" si="240"/>
        <v>4985</v>
      </c>
      <c r="AG870" s="270">
        <f t="shared" si="240"/>
        <v>4985</v>
      </c>
      <c r="AH870" s="270">
        <f t="shared" si="240"/>
        <v>4985</v>
      </c>
      <c r="AI870" s="270">
        <f t="shared" si="240"/>
        <v>4985</v>
      </c>
      <c r="AJ870" s="270">
        <f t="shared" si="240"/>
        <v>4985</v>
      </c>
      <c r="AK870" s="270">
        <f t="shared" si="240"/>
        <v>4985</v>
      </c>
      <c r="AL870" s="270">
        <f t="shared" si="240"/>
        <v>4985</v>
      </c>
      <c r="AM870" s="270">
        <f t="shared" si="240"/>
        <v>4985</v>
      </c>
    </row>
    <row r="871" spans="2:39" ht="15.75" thickBot="1" x14ac:dyDescent="0.35">
      <c r="B871" s="56" t="str">
        <f>input_names!$E$3</f>
        <v>plug-in</v>
      </c>
      <c r="C871" s="61">
        <v>116</v>
      </c>
      <c r="D871" s="270">
        <f t="shared" si="238"/>
        <v>3096</v>
      </c>
      <c r="E871" s="270">
        <f t="shared" si="238"/>
        <v>3567</v>
      </c>
      <c r="F871" s="270">
        <f t="shared" si="238"/>
        <v>22200</v>
      </c>
      <c r="G871" s="270">
        <f t="shared" si="238"/>
        <v>21384</v>
      </c>
      <c r="H871" s="270">
        <f t="shared" si="238"/>
        <v>20956</v>
      </c>
      <c r="I871" s="270">
        <f t="shared" si="238"/>
        <v>20652</v>
      </c>
      <c r="J871" s="270">
        <f t="shared" si="238"/>
        <v>14312</v>
      </c>
      <c r="K871" s="270">
        <f t="shared" si="238"/>
        <v>14450</v>
      </c>
      <c r="L871" s="270">
        <f t="shared" si="238"/>
        <v>15402</v>
      </c>
      <c r="M871" s="270">
        <f t="shared" si="238"/>
        <v>16936</v>
      </c>
      <c r="N871" s="270">
        <f t="shared" si="238"/>
        <v>5158</v>
      </c>
      <c r="O871" s="270">
        <f t="shared" si="238"/>
        <v>5158</v>
      </c>
      <c r="P871" s="270">
        <f t="shared" si="238"/>
        <v>5158</v>
      </c>
      <c r="Q871" s="270">
        <f t="shared" si="238"/>
        <v>5158</v>
      </c>
      <c r="R871" s="270">
        <f t="shared" si="238"/>
        <v>5158</v>
      </c>
      <c r="S871" s="270">
        <f t="shared" si="239"/>
        <v>5158</v>
      </c>
      <c r="T871" s="270">
        <f t="shared" si="239"/>
        <v>5158</v>
      </c>
      <c r="U871" s="270">
        <f t="shared" si="239"/>
        <v>5158</v>
      </c>
      <c r="V871" s="270">
        <f t="shared" si="239"/>
        <v>5158</v>
      </c>
      <c r="W871" s="270">
        <f t="shared" si="239"/>
        <v>5158</v>
      </c>
      <c r="X871" s="270">
        <f t="shared" si="239"/>
        <v>5158</v>
      </c>
      <c r="Y871" s="270">
        <f t="shared" si="239"/>
        <v>5158</v>
      </c>
      <c r="Z871" s="270">
        <f t="shared" si="239"/>
        <v>5158</v>
      </c>
      <c r="AA871" s="270">
        <f t="shared" si="239"/>
        <v>5158</v>
      </c>
      <c r="AB871" s="270">
        <f t="shared" si="239"/>
        <v>5158</v>
      </c>
      <c r="AC871" s="270">
        <f t="shared" si="239"/>
        <v>5158</v>
      </c>
      <c r="AD871" s="270">
        <f t="shared" si="238"/>
        <v>5158</v>
      </c>
      <c r="AE871" s="270">
        <f t="shared" si="230"/>
        <v>5158</v>
      </c>
      <c r="AF871" s="270">
        <f t="shared" si="240"/>
        <v>5158</v>
      </c>
      <c r="AG871" s="270">
        <f t="shared" si="240"/>
        <v>5158</v>
      </c>
      <c r="AH871" s="270">
        <f t="shared" si="240"/>
        <v>5158</v>
      </c>
      <c r="AI871" s="270">
        <f t="shared" si="240"/>
        <v>5158</v>
      </c>
      <c r="AJ871" s="270">
        <f t="shared" si="240"/>
        <v>5158</v>
      </c>
      <c r="AK871" s="270">
        <f t="shared" si="240"/>
        <v>5158</v>
      </c>
      <c r="AL871" s="270">
        <f t="shared" si="240"/>
        <v>5158</v>
      </c>
      <c r="AM871" s="270">
        <f t="shared" si="240"/>
        <v>5158</v>
      </c>
    </row>
    <row r="872" spans="2:39" ht="15.75" thickBot="1" x14ac:dyDescent="0.35">
      <c r="B872" s="56" t="str">
        <f>input_names!$E$3</f>
        <v>plug-in</v>
      </c>
      <c r="C872" s="61">
        <v>117</v>
      </c>
      <c r="D872" s="270">
        <f t="shared" si="238"/>
        <v>3208</v>
      </c>
      <c r="E872" s="270">
        <f t="shared" si="238"/>
        <v>3690</v>
      </c>
      <c r="F872" s="270">
        <f t="shared" si="238"/>
        <v>22500</v>
      </c>
      <c r="G872" s="270">
        <f t="shared" si="238"/>
        <v>21673</v>
      </c>
      <c r="H872" s="270">
        <f t="shared" si="238"/>
        <v>21227</v>
      </c>
      <c r="I872" s="270">
        <f t="shared" si="238"/>
        <v>20919</v>
      </c>
      <c r="J872" s="270">
        <f t="shared" si="238"/>
        <v>14514</v>
      </c>
      <c r="K872" s="270">
        <f t="shared" si="238"/>
        <v>14654</v>
      </c>
      <c r="L872" s="270">
        <f t="shared" si="238"/>
        <v>15619</v>
      </c>
      <c r="M872" s="270">
        <f t="shared" si="238"/>
        <v>17175</v>
      </c>
      <c r="N872" s="270">
        <f t="shared" si="238"/>
        <v>5331</v>
      </c>
      <c r="O872" s="270">
        <f t="shared" si="238"/>
        <v>5331</v>
      </c>
      <c r="P872" s="270">
        <f t="shared" si="238"/>
        <v>5331</v>
      </c>
      <c r="Q872" s="270">
        <f t="shared" si="238"/>
        <v>5331</v>
      </c>
      <c r="R872" s="270">
        <f t="shared" si="238"/>
        <v>5331</v>
      </c>
      <c r="S872" s="270">
        <f t="shared" si="239"/>
        <v>5331</v>
      </c>
      <c r="T872" s="270">
        <f t="shared" si="239"/>
        <v>5331</v>
      </c>
      <c r="U872" s="270">
        <f t="shared" si="239"/>
        <v>5331</v>
      </c>
      <c r="V872" s="270">
        <f t="shared" si="239"/>
        <v>5331</v>
      </c>
      <c r="W872" s="270">
        <f t="shared" si="239"/>
        <v>5331</v>
      </c>
      <c r="X872" s="270">
        <f t="shared" si="239"/>
        <v>5331</v>
      </c>
      <c r="Y872" s="270">
        <f t="shared" si="239"/>
        <v>5331</v>
      </c>
      <c r="Z872" s="270">
        <f t="shared" si="239"/>
        <v>5331</v>
      </c>
      <c r="AA872" s="270">
        <f t="shared" si="239"/>
        <v>5331</v>
      </c>
      <c r="AB872" s="270">
        <f t="shared" si="239"/>
        <v>5331</v>
      </c>
      <c r="AC872" s="270">
        <f t="shared" si="239"/>
        <v>5331</v>
      </c>
      <c r="AD872" s="270">
        <f t="shared" si="238"/>
        <v>5331</v>
      </c>
      <c r="AE872" s="270">
        <f t="shared" si="230"/>
        <v>5331</v>
      </c>
      <c r="AF872" s="270">
        <f t="shared" si="240"/>
        <v>5331</v>
      </c>
      <c r="AG872" s="270">
        <f t="shared" si="240"/>
        <v>5331</v>
      </c>
      <c r="AH872" s="270">
        <f t="shared" si="240"/>
        <v>5331</v>
      </c>
      <c r="AI872" s="270">
        <f t="shared" si="240"/>
        <v>5331</v>
      </c>
      <c r="AJ872" s="270">
        <f t="shared" si="240"/>
        <v>5331</v>
      </c>
      <c r="AK872" s="270">
        <f t="shared" si="240"/>
        <v>5331</v>
      </c>
      <c r="AL872" s="270">
        <f t="shared" si="240"/>
        <v>5331</v>
      </c>
      <c r="AM872" s="270">
        <f t="shared" si="240"/>
        <v>5331</v>
      </c>
    </row>
    <row r="873" spans="2:39" ht="15.75" thickBot="1" x14ac:dyDescent="0.35">
      <c r="B873" s="56" t="str">
        <f>input_names!$E$3</f>
        <v>plug-in</v>
      </c>
      <c r="C873" s="61">
        <v>118</v>
      </c>
      <c r="D873" s="270">
        <f t="shared" si="238"/>
        <v>3320</v>
      </c>
      <c r="E873" s="270">
        <f t="shared" si="238"/>
        <v>3813</v>
      </c>
      <c r="F873" s="270">
        <f t="shared" si="238"/>
        <v>22800</v>
      </c>
      <c r="G873" s="270">
        <f t="shared" si="238"/>
        <v>21962</v>
      </c>
      <c r="H873" s="270">
        <f t="shared" si="238"/>
        <v>21498</v>
      </c>
      <c r="I873" s="270">
        <f t="shared" si="238"/>
        <v>21186</v>
      </c>
      <c r="J873" s="270">
        <f t="shared" si="238"/>
        <v>14716</v>
      </c>
      <c r="K873" s="270">
        <f t="shared" si="238"/>
        <v>14858</v>
      </c>
      <c r="L873" s="270">
        <f t="shared" si="238"/>
        <v>15836</v>
      </c>
      <c r="M873" s="270">
        <f t="shared" si="238"/>
        <v>17414</v>
      </c>
      <c r="N873" s="270">
        <f t="shared" si="238"/>
        <v>5504</v>
      </c>
      <c r="O873" s="270">
        <f t="shared" si="238"/>
        <v>5504</v>
      </c>
      <c r="P873" s="270">
        <f t="shared" si="238"/>
        <v>5504</v>
      </c>
      <c r="Q873" s="270">
        <f t="shared" si="238"/>
        <v>5504</v>
      </c>
      <c r="R873" s="270">
        <f t="shared" si="238"/>
        <v>5504</v>
      </c>
      <c r="S873" s="270">
        <f t="shared" si="239"/>
        <v>5504</v>
      </c>
      <c r="T873" s="270">
        <f t="shared" si="239"/>
        <v>5504</v>
      </c>
      <c r="U873" s="270">
        <f t="shared" si="239"/>
        <v>5504</v>
      </c>
      <c r="V873" s="270">
        <f t="shared" si="239"/>
        <v>5504</v>
      </c>
      <c r="W873" s="270">
        <f t="shared" si="239"/>
        <v>5504</v>
      </c>
      <c r="X873" s="270">
        <f t="shared" si="239"/>
        <v>5504</v>
      </c>
      <c r="Y873" s="270">
        <f t="shared" si="239"/>
        <v>5504</v>
      </c>
      <c r="Z873" s="270">
        <f t="shared" si="239"/>
        <v>5504</v>
      </c>
      <c r="AA873" s="270">
        <f t="shared" si="239"/>
        <v>5504</v>
      </c>
      <c r="AB873" s="270">
        <f t="shared" si="239"/>
        <v>5504</v>
      </c>
      <c r="AC873" s="270">
        <f t="shared" si="239"/>
        <v>5504</v>
      </c>
      <c r="AD873" s="270">
        <f t="shared" si="238"/>
        <v>5504</v>
      </c>
      <c r="AE873" s="270">
        <f t="shared" si="230"/>
        <v>5504</v>
      </c>
      <c r="AF873" s="270">
        <f t="shared" si="240"/>
        <v>5504</v>
      </c>
      <c r="AG873" s="270">
        <f t="shared" si="240"/>
        <v>5504</v>
      </c>
      <c r="AH873" s="270">
        <f t="shared" si="240"/>
        <v>5504</v>
      </c>
      <c r="AI873" s="270">
        <f t="shared" si="240"/>
        <v>5504</v>
      </c>
      <c r="AJ873" s="270">
        <f t="shared" si="240"/>
        <v>5504</v>
      </c>
      <c r="AK873" s="270">
        <f t="shared" si="240"/>
        <v>5504</v>
      </c>
      <c r="AL873" s="270">
        <f t="shared" si="240"/>
        <v>5504</v>
      </c>
      <c r="AM873" s="270">
        <f t="shared" si="240"/>
        <v>5504</v>
      </c>
    </row>
    <row r="874" spans="2:39" ht="15.75" thickBot="1" x14ac:dyDescent="0.35">
      <c r="B874" s="56" t="str">
        <f>input_names!$E$3</f>
        <v>plug-in</v>
      </c>
      <c r="C874" s="61">
        <v>119</v>
      </c>
      <c r="D874" s="270">
        <f t="shared" si="238"/>
        <v>3432</v>
      </c>
      <c r="E874" s="270">
        <f t="shared" si="238"/>
        <v>3936</v>
      </c>
      <c r="F874" s="270">
        <f t="shared" si="238"/>
        <v>23100</v>
      </c>
      <c r="G874" s="270">
        <f t="shared" si="238"/>
        <v>22251</v>
      </c>
      <c r="H874" s="270">
        <f t="shared" si="238"/>
        <v>21769</v>
      </c>
      <c r="I874" s="270">
        <f t="shared" si="238"/>
        <v>21453</v>
      </c>
      <c r="J874" s="270">
        <f t="shared" si="238"/>
        <v>14918</v>
      </c>
      <c r="K874" s="270">
        <f t="shared" si="238"/>
        <v>15062</v>
      </c>
      <c r="L874" s="270">
        <f t="shared" si="238"/>
        <v>16053</v>
      </c>
      <c r="M874" s="270">
        <f t="shared" si="238"/>
        <v>17653</v>
      </c>
      <c r="N874" s="270">
        <f t="shared" si="238"/>
        <v>5677</v>
      </c>
      <c r="O874" s="270">
        <f t="shared" si="238"/>
        <v>5677</v>
      </c>
      <c r="P874" s="270">
        <f t="shared" si="238"/>
        <v>5677</v>
      </c>
      <c r="Q874" s="270">
        <f t="shared" si="238"/>
        <v>5677</v>
      </c>
      <c r="R874" s="270">
        <f t="shared" si="238"/>
        <v>5677</v>
      </c>
      <c r="S874" s="270">
        <f t="shared" si="239"/>
        <v>5677</v>
      </c>
      <c r="T874" s="270">
        <f t="shared" si="239"/>
        <v>5677</v>
      </c>
      <c r="U874" s="270">
        <f t="shared" si="239"/>
        <v>5677</v>
      </c>
      <c r="V874" s="270">
        <f t="shared" si="239"/>
        <v>5677</v>
      </c>
      <c r="W874" s="270">
        <f t="shared" si="239"/>
        <v>5677</v>
      </c>
      <c r="X874" s="270">
        <f t="shared" si="239"/>
        <v>5677</v>
      </c>
      <c r="Y874" s="270">
        <f t="shared" si="239"/>
        <v>5677</v>
      </c>
      <c r="Z874" s="270">
        <f t="shared" si="239"/>
        <v>5677</v>
      </c>
      <c r="AA874" s="270">
        <f t="shared" si="239"/>
        <v>5677</v>
      </c>
      <c r="AB874" s="270">
        <f t="shared" si="239"/>
        <v>5677</v>
      </c>
      <c r="AC874" s="270">
        <f t="shared" si="239"/>
        <v>5677</v>
      </c>
      <c r="AD874" s="270">
        <f t="shared" si="238"/>
        <v>5677</v>
      </c>
      <c r="AE874" s="270">
        <f t="shared" si="230"/>
        <v>5677</v>
      </c>
      <c r="AF874" s="270">
        <f t="shared" si="240"/>
        <v>5677</v>
      </c>
      <c r="AG874" s="270">
        <f t="shared" si="240"/>
        <v>5677</v>
      </c>
      <c r="AH874" s="270">
        <f t="shared" si="240"/>
        <v>5677</v>
      </c>
      <c r="AI874" s="270">
        <f t="shared" si="240"/>
        <v>5677</v>
      </c>
      <c r="AJ874" s="270">
        <f t="shared" si="240"/>
        <v>5677</v>
      </c>
      <c r="AK874" s="270">
        <f t="shared" si="240"/>
        <v>5677</v>
      </c>
      <c r="AL874" s="270">
        <f t="shared" si="240"/>
        <v>5677</v>
      </c>
      <c r="AM874" s="270">
        <f t="shared" si="240"/>
        <v>5677</v>
      </c>
    </row>
    <row r="875" spans="2:39" ht="15.75" thickBot="1" x14ac:dyDescent="0.35">
      <c r="B875" s="56" t="str">
        <f>input_names!$E$3</f>
        <v>plug-in</v>
      </c>
      <c r="C875" s="61">
        <v>120</v>
      </c>
      <c r="D875" s="270">
        <f t="shared" si="238"/>
        <v>3544</v>
      </c>
      <c r="E875" s="270">
        <f t="shared" si="238"/>
        <v>4059</v>
      </c>
      <c r="F875" s="270">
        <f t="shared" si="238"/>
        <v>23400</v>
      </c>
      <c r="G875" s="270">
        <f t="shared" si="238"/>
        <v>22540</v>
      </c>
      <c r="H875" s="270">
        <f t="shared" si="238"/>
        <v>22040</v>
      </c>
      <c r="I875" s="270">
        <f t="shared" si="238"/>
        <v>21720</v>
      </c>
      <c r="J875" s="270">
        <f t="shared" si="238"/>
        <v>15120</v>
      </c>
      <c r="K875" s="270">
        <f t="shared" si="238"/>
        <v>15266</v>
      </c>
      <c r="L875" s="270">
        <f t="shared" si="238"/>
        <v>16270</v>
      </c>
      <c r="M875" s="270">
        <f t="shared" si="238"/>
        <v>17892</v>
      </c>
      <c r="N875" s="270">
        <f t="shared" si="238"/>
        <v>5850</v>
      </c>
      <c r="O875" s="270">
        <f t="shared" si="238"/>
        <v>5850</v>
      </c>
      <c r="P875" s="270">
        <f t="shared" si="238"/>
        <v>5850</v>
      </c>
      <c r="Q875" s="270">
        <f t="shared" si="238"/>
        <v>5850</v>
      </c>
      <c r="R875" s="270">
        <f t="shared" si="238"/>
        <v>5850</v>
      </c>
      <c r="S875" s="270">
        <f t="shared" si="239"/>
        <v>5850</v>
      </c>
      <c r="T875" s="270">
        <f t="shared" si="239"/>
        <v>5850</v>
      </c>
      <c r="U875" s="270">
        <f t="shared" si="239"/>
        <v>5850</v>
      </c>
      <c r="V875" s="270">
        <f t="shared" si="239"/>
        <v>5850</v>
      </c>
      <c r="W875" s="270">
        <f t="shared" si="239"/>
        <v>5850</v>
      </c>
      <c r="X875" s="270">
        <f t="shared" si="239"/>
        <v>5850</v>
      </c>
      <c r="Y875" s="270">
        <f t="shared" si="239"/>
        <v>5850</v>
      </c>
      <c r="Z875" s="270">
        <f t="shared" si="239"/>
        <v>5850</v>
      </c>
      <c r="AA875" s="270">
        <f t="shared" si="239"/>
        <v>5850</v>
      </c>
      <c r="AB875" s="270">
        <f t="shared" si="239"/>
        <v>5850</v>
      </c>
      <c r="AC875" s="270">
        <f t="shared" si="239"/>
        <v>5850</v>
      </c>
      <c r="AD875" s="270">
        <f t="shared" si="238"/>
        <v>5850</v>
      </c>
      <c r="AE875" s="270">
        <f t="shared" si="230"/>
        <v>5850</v>
      </c>
      <c r="AF875" s="270">
        <f t="shared" si="240"/>
        <v>5850</v>
      </c>
      <c r="AG875" s="270">
        <f t="shared" si="240"/>
        <v>5850</v>
      </c>
      <c r="AH875" s="270">
        <f t="shared" si="240"/>
        <v>5850</v>
      </c>
      <c r="AI875" s="270">
        <f t="shared" si="240"/>
        <v>5850</v>
      </c>
      <c r="AJ875" s="270">
        <f t="shared" si="240"/>
        <v>5850</v>
      </c>
      <c r="AK875" s="270">
        <f t="shared" si="240"/>
        <v>5850</v>
      </c>
      <c r="AL875" s="270">
        <f t="shared" si="240"/>
        <v>5850</v>
      </c>
      <c r="AM875" s="270">
        <f t="shared" si="240"/>
        <v>5850</v>
      </c>
    </row>
    <row r="876" spans="2:39" ht="15.75" thickBot="1" x14ac:dyDescent="0.35">
      <c r="B876" s="56" t="str">
        <f>input_names!$E$3</f>
        <v>plug-in</v>
      </c>
      <c r="C876" s="61">
        <v>121</v>
      </c>
      <c r="D876" s="270">
        <f t="shared" si="238"/>
        <v>3656</v>
      </c>
      <c r="E876" s="270">
        <f t="shared" si="238"/>
        <v>4182</v>
      </c>
      <c r="F876" s="270">
        <f t="shared" si="238"/>
        <v>23700</v>
      </c>
      <c r="G876" s="270">
        <f t="shared" si="238"/>
        <v>22829</v>
      </c>
      <c r="H876" s="270">
        <f t="shared" si="238"/>
        <v>22311</v>
      </c>
      <c r="I876" s="270">
        <f t="shared" si="238"/>
        <v>21987</v>
      </c>
      <c r="J876" s="270">
        <f t="shared" si="238"/>
        <v>15322</v>
      </c>
      <c r="K876" s="270">
        <f t="shared" si="238"/>
        <v>15470</v>
      </c>
      <c r="L876" s="270">
        <f t="shared" si="238"/>
        <v>16487</v>
      </c>
      <c r="M876" s="270">
        <f t="shared" si="238"/>
        <v>18131</v>
      </c>
      <c r="N876" s="270">
        <f t="shared" si="238"/>
        <v>6023</v>
      </c>
      <c r="O876" s="270">
        <f t="shared" si="238"/>
        <v>6023</v>
      </c>
      <c r="P876" s="270">
        <f t="shared" si="238"/>
        <v>6023</v>
      </c>
      <c r="Q876" s="270">
        <f t="shared" si="238"/>
        <v>6023</v>
      </c>
      <c r="R876" s="270">
        <f t="shared" si="238"/>
        <v>6023</v>
      </c>
      <c r="S876" s="270">
        <f t="shared" si="239"/>
        <v>6023</v>
      </c>
      <c r="T876" s="270">
        <f t="shared" si="239"/>
        <v>6023</v>
      </c>
      <c r="U876" s="270">
        <f t="shared" si="239"/>
        <v>6023</v>
      </c>
      <c r="V876" s="270">
        <f t="shared" si="239"/>
        <v>6023</v>
      </c>
      <c r="W876" s="270">
        <f t="shared" si="239"/>
        <v>6023</v>
      </c>
      <c r="X876" s="270">
        <f t="shared" si="239"/>
        <v>6023</v>
      </c>
      <c r="Y876" s="270">
        <f t="shared" si="239"/>
        <v>6023</v>
      </c>
      <c r="Z876" s="270">
        <f t="shared" si="239"/>
        <v>6023</v>
      </c>
      <c r="AA876" s="270">
        <f t="shared" si="239"/>
        <v>6023</v>
      </c>
      <c r="AB876" s="270">
        <f t="shared" si="239"/>
        <v>6023</v>
      </c>
      <c r="AC876" s="270">
        <f t="shared" si="239"/>
        <v>6023</v>
      </c>
      <c r="AD876" s="270">
        <f t="shared" si="238"/>
        <v>6023</v>
      </c>
      <c r="AE876" s="270">
        <f t="shared" ref="AE876:AE939" si="241">+MIN(MAX(0,$C876-AE$28),AE$29-AE$28)*AE$34
+MIN(MAX(0,$C876-AE$29),AE$30-AE$29)*AE$35
+MIN(MAX(0,$C876-AE$30),AE$31-AE$30)*AE$36
+MIN(MAX(0,$C876-AE$31),AE$32-AE$31)*AE$37
+MAX(0,$C876-AE$32)*AE$38
+AE$39</f>
        <v>6023</v>
      </c>
      <c r="AF876" s="270">
        <f t="shared" si="240"/>
        <v>6023</v>
      </c>
      <c r="AG876" s="270">
        <f t="shared" si="240"/>
        <v>6023</v>
      </c>
      <c r="AH876" s="270">
        <f t="shared" si="240"/>
        <v>6023</v>
      </c>
      <c r="AI876" s="270">
        <f t="shared" si="240"/>
        <v>6023</v>
      </c>
      <c r="AJ876" s="270">
        <f t="shared" si="240"/>
        <v>6023</v>
      </c>
      <c r="AK876" s="270">
        <f t="shared" si="240"/>
        <v>6023</v>
      </c>
      <c r="AL876" s="270">
        <f t="shared" si="240"/>
        <v>6023</v>
      </c>
      <c r="AM876" s="270">
        <f t="shared" si="240"/>
        <v>6023</v>
      </c>
    </row>
    <row r="877" spans="2:39" ht="15.75" thickBot="1" x14ac:dyDescent="0.35">
      <c r="B877" s="56" t="str">
        <f>input_names!$E$3</f>
        <v>plug-in</v>
      </c>
      <c r="C877" s="61">
        <v>122</v>
      </c>
      <c r="D877" s="270">
        <f t="shared" si="238"/>
        <v>3768</v>
      </c>
      <c r="E877" s="270">
        <f t="shared" si="238"/>
        <v>4305</v>
      </c>
      <c r="F877" s="270">
        <f t="shared" si="238"/>
        <v>24000</v>
      </c>
      <c r="G877" s="270">
        <f t="shared" si="238"/>
        <v>23118</v>
      </c>
      <c r="H877" s="270">
        <f t="shared" si="238"/>
        <v>22582</v>
      </c>
      <c r="I877" s="270">
        <f t="shared" si="238"/>
        <v>22254</v>
      </c>
      <c r="J877" s="270">
        <f t="shared" si="238"/>
        <v>15524</v>
      </c>
      <c r="K877" s="270">
        <f t="shared" si="238"/>
        <v>15674</v>
      </c>
      <c r="L877" s="270">
        <f t="shared" si="238"/>
        <v>16704</v>
      </c>
      <c r="M877" s="270">
        <f t="shared" si="238"/>
        <v>18370</v>
      </c>
      <c r="N877" s="270">
        <f t="shared" si="238"/>
        <v>6196</v>
      </c>
      <c r="O877" s="270">
        <f t="shared" si="238"/>
        <v>6196</v>
      </c>
      <c r="P877" s="270">
        <f t="shared" si="238"/>
        <v>6196</v>
      </c>
      <c r="Q877" s="270">
        <f t="shared" si="238"/>
        <v>6196</v>
      </c>
      <c r="R877" s="270">
        <f t="shared" si="238"/>
        <v>6196</v>
      </c>
      <c r="S877" s="270">
        <f t="shared" si="239"/>
        <v>6196</v>
      </c>
      <c r="T877" s="270">
        <f t="shared" si="239"/>
        <v>6196</v>
      </c>
      <c r="U877" s="270">
        <f t="shared" si="239"/>
        <v>6196</v>
      </c>
      <c r="V877" s="270">
        <f t="shared" si="239"/>
        <v>6196</v>
      </c>
      <c r="W877" s="270">
        <f t="shared" si="239"/>
        <v>6196</v>
      </c>
      <c r="X877" s="270">
        <f t="shared" si="239"/>
        <v>6196</v>
      </c>
      <c r="Y877" s="270">
        <f t="shared" si="239"/>
        <v>6196</v>
      </c>
      <c r="Z877" s="270">
        <f t="shared" si="239"/>
        <v>6196</v>
      </c>
      <c r="AA877" s="270">
        <f t="shared" si="239"/>
        <v>6196</v>
      </c>
      <c r="AB877" s="270">
        <f t="shared" si="239"/>
        <v>6196</v>
      </c>
      <c r="AC877" s="270">
        <f t="shared" si="239"/>
        <v>6196</v>
      </c>
      <c r="AD877" s="270">
        <f t="shared" si="238"/>
        <v>6196</v>
      </c>
      <c r="AE877" s="270">
        <f t="shared" si="241"/>
        <v>6196</v>
      </c>
      <c r="AF877" s="270">
        <f t="shared" si="240"/>
        <v>6196</v>
      </c>
      <c r="AG877" s="270">
        <f t="shared" si="240"/>
        <v>6196</v>
      </c>
      <c r="AH877" s="270">
        <f t="shared" si="240"/>
        <v>6196</v>
      </c>
      <c r="AI877" s="270">
        <f t="shared" si="240"/>
        <v>6196</v>
      </c>
      <c r="AJ877" s="270">
        <f t="shared" si="240"/>
        <v>6196</v>
      </c>
      <c r="AK877" s="270">
        <f t="shared" si="240"/>
        <v>6196</v>
      </c>
      <c r="AL877" s="270">
        <f t="shared" si="240"/>
        <v>6196</v>
      </c>
      <c r="AM877" s="270">
        <f t="shared" si="240"/>
        <v>6196</v>
      </c>
    </row>
    <row r="878" spans="2:39" ht="15.75" thickBot="1" x14ac:dyDescent="0.35">
      <c r="B878" s="56" t="str">
        <f>input_names!$E$3</f>
        <v>plug-in</v>
      </c>
      <c r="C878" s="61">
        <v>123</v>
      </c>
      <c r="D878" s="270">
        <f t="shared" si="238"/>
        <v>3880</v>
      </c>
      <c r="E878" s="270">
        <f t="shared" si="238"/>
        <v>4428</v>
      </c>
      <c r="F878" s="270">
        <f t="shared" si="238"/>
        <v>24300</v>
      </c>
      <c r="G878" s="270">
        <f t="shared" si="238"/>
        <v>23407</v>
      </c>
      <c r="H878" s="270">
        <f t="shared" si="238"/>
        <v>22853</v>
      </c>
      <c r="I878" s="270">
        <f t="shared" si="238"/>
        <v>22521</v>
      </c>
      <c r="J878" s="270">
        <f t="shared" si="238"/>
        <v>15726</v>
      </c>
      <c r="K878" s="270">
        <f t="shared" si="238"/>
        <v>15878</v>
      </c>
      <c r="L878" s="270">
        <f t="shared" si="238"/>
        <v>16921</v>
      </c>
      <c r="M878" s="270">
        <f t="shared" si="238"/>
        <v>18609</v>
      </c>
      <c r="N878" s="270">
        <f t="shared" si="238"/>
        <v>6369</v>
      </c>
      <c r="O878" s="270">
        <f t="shared" si="238"/>
        <v>6369</v>
      </c>
      <c r="P878" s="270">
        <f t="shared" si="238"/>
        <v>6369</v>
      </c>
      <c r="Q878" s="270">
        <f t="shared" si="238"/>
        <v>6369</v>
      </c>
      <c r="R878" s="270">
        <f t="shared" si="238"/>
        <v>6369</v>
      </c>
      <c r="S878" s="270">
        <f t="shared" si="239"/>
        <v>6369</v>
      </c>
      <c r="T878" s="270">
        <f t="shared" si="239"/>
        <v>6369</v>
      </c>
      <c r="U878" s="270">
        <f t="shared" si="239"/>
        <v>6369</v>
      </c>
      <c r="V878" s="270">
        <f t="shared" si="239"/>
        <v>6369</v>
      </c>
      <c r="W878" s="270">
        <f t="shared" si="239"/>
        <v>6369</v>
      </c>
      <c r="X878" s="270">
        <f t="shared" si="239"/>
        <v>6369</v>
      </c>
      <c r="Y878" s="270">
        <f t="shared" si="239"/>
        <v>6369</v>
      </c>
      <c r="Z878" s="270">
        <f t="shared" si="239"/>
        <v>6369</v>
      </c>
      <c r="AA878" s="270">
        <f t="shared" si="239"/>
        <v>6369</v>
      </c>
      <c r="AB878" s="270">
        <f t="shared" si="239"/>
        <v>6369</v>
      </c>
      <c r="AC878" s="270">
        <f t="shared" si="239"/>
        <v>6369</v>
      </c>
      <c r="AD878" s="270">
        <f t="shared" si="238"/>
        <v>6369</v>
      </c>
      <c r="AE878" s="270">
        <f t="shared" si="241"/>
        <v>6369</v>
      </c>
      <c r="AF878" s="270">
        <f t="shared" si="240"/>
        <v>6369</v>
      </c>
      <c r="AG878" s="270">
        <f t="shared" si="240"/>
        <v>6369</v>
      </c>
      <c r="AH878" s="270">
        <f t="shared" si="240"/>
        <v>6369</v>
      </c>
      <c r="AI878" s="270">
        <f t="shared" si="240"/>
        <v>6369</v>
      </c>
      <c r="AJ878" s="270">
        <f t="shared" si="240"/>
        <v>6369</v>
      </c>
      <c r="AK878" s="270">
        <f t="shared" si="240"/>
        <v>6369</v>
      </c>
      <c r="AL878" s="270">
        <f t="shared" si="240"/>
        <v>6369</v>
      </c>
      <c r="AM878" s="270">
        <f t="shared" si="240"/>
        <v>6369</v>
      </c>
    </row>
    <row r="879" spans="2:39" ht="15.75" thickBot="1" x14ac:dyDescent="0.35">
      <c r="B879" s="56" t="str">
        <f>input_names!$E$3</f>
        <v>plug-in</v>
      </c>
      <c r="C879" s="61">
        <v>124</v>
      </c>
      <c r="D879" s="270">
        <f t="shared" si="238"/>
        <v>3992</v>
      </c>
      <c r="E879" s="270">
        <f t="shared" si="238"/>
        <v>4551</v>
      </c>
      <c r="F879" s="270">
        <f t="shared" si="238"/>
        <v>24600</v>
      </c>
      <c r="G879" s="270">
        <f t="shared" si="238"/>
        <v>23696</v>
      </c>
      <c r="H879" s="270">
        <f t="shared" si="238"/>
        <v>23124</v>
      </c>
      <c r="I879" s="270">
        <f t="shared" si="238"/>
        <v>22788</v>
      </c>
      <c r="J879" s="270">
        <f t="shared" si="238"/>
        <v>15928</v>
      </c>
      <c r="K879" s="270">
        <f t="shared" si="238"/>
        <v>16082</v>
      </c>
      <c r="L879" s="270">
        <f t="shared" si="238"/>
        <v>17138</v>
      </c>
      <c r="M879" s="270">
        <f t="shared" si="238"/>
        <v>18848</v>
      </c>
      <c r="N879" s="270">
        <f t="shared" si="238"/>
        <v>6542</v>
      </c>
      <c r="O879" s="270">
        <f t="shared" si="238"/>
        <v>6542</v>
      </c>
      <c r="P879" s="270">
        <f t="shared" si="238"/>
        <v>6542</v>
      </c>
      <c r="Q879" s="270">
        <f t="shared" si="238"/>
        <v>6542</v>
      </c>
      <c r="R879" s="270">
        <f t="shared" si="238"/>
        <v>6542</v>
      </c>
      <c r="S879" s="270">
        <f t="shared" si="239"/>
        <v>6542</v>
      </c>
      <c r="T879" s="270">
        <f t="shared" si="239"/>
        <v>6542</v>
      </c>
      <c r="U879" s="270">
        <f t="shared" si="239"/>
        <v>6542</v>
      </c>
      <c r="V879" s="270">
        <f t="shared" si="239"/>
        <v>6542</v>
      </c>
      <c r="W879" s="270">
        <f t="shared" si="239"/>
        <v>6542</v>
      </c>
      <c r="X879" s="270">
        <f t="shared" si="239"/>
        <v>6542</v>
      </c>
      <c r="Y879" s="270">
        <f t="shared" si="239"/>
        <v>6542</v>
      </c>
      <c r="Z879" s="270">
        <f t="shared" si="239"/>
        <v>6542</v>
      </c>
      <c r="AA879" s="270">
        <f t="shared" si="239"/>
        <v>6542</v>
      </c>
      <c r="AB879" s="270">
        <f t="shared" si="239"/>
        <v>6542</v>
      </c>
      <c r="AC879" s="270">
        <f t="shared" si="239"/>
        <v>6542</v>
      </c>
      <c r="AD879" s="270">
        <f t="shared" si="238"/>
        <v>6542</v>
      </c>
      <c r="AE879" s="270">
        <f t="shared" si="241"/>
        <v>6542</v>
      </c>
      <c r="AF879" s="270">
        <f t="shared" si="240"/>
        <v>6542</v>
      </c>
      <c r="AG879" s="270">
        <f t="shared" si="240"/>
        <v>6542</v>
      </c>
      <c r="AH879" s="270">
        <f t="shared" si="240"/>
        <v>6542</v>
      </c>
      <c r="AI879" s="270">
        <f t="shared" si="240"/>
        <v>6542</v>
      </c>
      <c r="AJ879" s="270">
        <f t="shared" si="240"/>
        <v>6542</v>
      </c>
      <c r="AK879" s="270">
        <f t="shared" si="240"/>
        <v>6542</v>
      </c>
      <c r="AL879" s="270">
        <f t="shared" si="240"/>
        <v>6542</v>
      </c>
      <c r="AM879" s="270">
        <f t="shared" si="240"/>
        <v>6542</v>
      </c>
    </row>
    <row r="880" spans="2:39" ht="15.75" thickBot="1" x14ac:dyDescent="0.35">
      <c r="B880" s="56" t="str">
        <f>input_names!$E$3</f>
        <v>plug-in</v>
      </c>
      <c r="C880" s="61">
        <v>125</v>
      </c>
      <c r="D880" s="270">
        <f t="shared" si="238"/>
        <v>4104</v>
      </c>
      <c r="E880" s="270">
        <f t="shared" si="238"/>
        <v>4674</v>
      </c>
      <c r="F880" s="270">
        <f t="shared" si="238"/>
        <v>24900</v>
      </c>
      <c r="G880" s="270">
        <f t="shared" si="238"/>
        <v>23985</v>
      </c>
      <c r="H880" s="270">
        <f t="shared" si="238"/>
        <v>23395</v>
      </c>
      <c r="I880" s="270">
        <f t="shared" si="238"/>
        <v>23055</v>
      </c>
      <c r="J880" s="270">
        <f t="shared" si="238"/>
        <v>16130</v>
      </c>
      <c r="K880" s="270">
        <f t="shared" si="238"/>
        <v>16286</v>
      </c>
      <c r="L880" s="270">
        <f t="shared" si="238"/>
        <v>17355</v>
      </c>
      <c r="M880" s="270">
        <f t="shared" si="238"/>
        <v>19087</v>
      </c>
      <c r="N880" s="270">
        <f t="shared" si="238"/>
        <v>6715</v>
      </c>
      <c r="O880" s="270">
        <f t="shared" si="238"/>
        <v>6715</v>
      </c>
      <c r="P880" s="270">
        <f t="shared" si="238"/>
        <v>6715</v>
      </c>
      <c r="Q880" s="270">
        <f t="shared" si="238"/>
        <v>6715</v>
      </c>
      <c r="R880" s="270">
        <f t="shared" si="238"/>
        <v>6715</v>
      </c>
      <c r="S880" s="270">
        <f t="shared" si="239"/>
        <v>6715</v>
      </c>
      <c r="T880" s="270">
        <f t="shared" si="239"/>
        <v>6715</v>
      </c>
      <c r="U880" s="270">
        <f t="shared" si="239"/>
        <v>6715</v>
      </c>
      <c r="V880" s="270">
        <f t="shared" si="239"/>
        <v>6715</v>
      </c>
      <c r="W880" s="270">
        <f t="shared" si="239"/>
        <v>6715</v>
      </c>
      <c r="X880" s="270">
        <f t="shared" si="239"/>
        <v>6715</v>
      </c>
      <c r="Y880" s="270">
        <f t="shared" si="239"/>
        <v>6715</v>
      </c>
      <c r="Z880" s="270">
        <f t="shared" si="239"/>
        <v>6715</v>
      </c>
      <c r="AA880" s="270">
        <f t="shared" si="239"/>
        <v>6715</v>
      </c>
      <c r="AB880" s="270">
        <f t="shared" si="239"/>
        <v>6715</v>
      </c>
      <c r="AC880" s="270">
        <f t="shared" si="239"/>
        <v>6715</v>
      </c>
      <c r="AD880" s="270">
        <f t="shared" si="238"/>
        <v>6715</v>
      </c>
      <c r="AE880" s="270">
        <f t="shared" si="241"/>
        <v>6715</v>
      </c>
      <c r="AF880" s="270">
        <f t="shared" si="240"/>
        <v>6715</v>
      </c>
      <c r="AG880" s="270">
        <f t="shared" si="240"/>
        <v>6715</v>
      </c>
      <c r="AH880" s="270">
        <f t="shared" si="240"/>
        <v>6715</v>
      </c>
      <c r="AI880" s="270">
        <f t="shared" si="240"/>
        <v>6715</v>
      </c>
      <c r="AJ880" s="270">
        <f t="shared" si="240"/>
        <v>6715</v>
      </c>
      <c r="AK880" s="270">
        <f t="shared" si="240"/>
        <v>6715</v>
      </c>
      <c r="AL880" s="270">
        <f t="shared" si="240"/>
        <v>6715</v>
      </c>
      <c r="AM880" s="270">
        <f t="shared" si="240"/>
        <v>6715</v>
      </c>
    </row>
    <row r="881" spans="2:39" ht="15.75" thickBot="1" x14ac:dyDescent="0.35">
      <c r="B881" s="56" t="str">
        <f>input_names!$E$3</f>
        <v>plug-in</v>
      </c>
      <c r="C881" s="61">
        <v>126</v>
      </c>
      <c r="D881" s="270">
        <f t="shared" si="238"/>
        <v>4216</v>
      </c>
      <c r="E881" s="270">
        <f t="shared" si="238"/>
        <v>4797</v>
      </c>
      <c r="F881" s="270">
        <f t="shared" si="238"/>
        <v>25200</v>
      </c>
      <c r="G881" s="270">
        <f t="shared" si="238"/>
        <v>24274</v>
      </c>
      <c r="H881" s="270">
        <f t="shared" si="238"/>
        <v>23666</v>
      </c>
      <c r="I881" s="270">
        <f t="shared" si="238"/>
        <v>23322</v>
      </c>
      <c r="J881" s="270">
        <f t="shared" si="238"/>
        <v>16332</v>
      </c>
      <c r="K881" s="270">
        <f t="shared" si="238"/>
        <v>16490</v>
      </c>
      <c r="L881" s="270">
        <f t="shared" si="238"/>
        <v>17572</v>
      </c>
      <c r="M881" s="270">
        <f t="shared" si="238"/>
        <v>19326</v>
      </c>
      <c r="N881" s="270">
        <f t="shared" si="238"/>
        <v>6888</v>
      </c>
      <c r="O881" s="270">
        <f t="shared" si="238"/>
        <v>6888</v>
      </c>
      <c r="P881" s="270">
        <f t="shared" si="238"/>
        <v>6888</v>
      </c>
      <c r="Q881" s="270">
        <f t="shared" si="238"/>
        <v>6888</v>
      </c>
      <c r="R881" s="270">
        <f t="shared" si="238"/>
        <v>6888</v>
      </c>
      <c r="S881" s="270">
        <f>+MIN(MAX(0,$C881-S$28),S$29-S$28)*S$34
+MIN(MAX(0,$C881-S$29),S$30-S$29)*S$35
+MIN(MAX(0,$C881-S$30),S$31-S$30)*S$36
+MIN(MAX(0,$C881-S$31),S$32-S$31)*S$37
+MAX(0,$C881-S$32)*S$38
+S$39</f>
        <v>6888</v>
      </c>
      <c r="T881" s="270">
        <f t="shared" si="239"/>
        <v>6888</v>
      </c>
      <c r="U881" s="270">
        <f t="shared" si="239"/>
        <v>6888</v>
      </c>
      <c r="V881" s="270">
        <f t="shared" si="239"/>
        <v>6888</v>
      </c>
      <c r="W881" s="270">
        <f t="shared" si="239"/>
        <v>6888</v>
      </c>
      <c r="X881" s="270">
        <f t="shared" si="239"/>
        <v>6888</v>
      </c>
      <c r="Y881" s="270">
        <f t="shared" si="239"/>
        <v>6888</v>
      </c>
      <c r="Z881" s="270">
        <f t="shared" si="239"/>
        <v>6888</v>
      </c>
      <c r="AA881" s="270">
        <f t="shared" si="239"/>
        <v>6888</v>
      </c>
      <c r="AB881" s="270">
        <f t="shared" si="239"/>
        <v>6888</v>
      </c>
      <c r="AC881" s="270">
        <f t="shared" si="239"/>
        <v>6888</v>
      </c>
      <c r="AD881" s="270">
        <f>+MIN(MAX(0,$C881-AD$28),AD$29-AD$28)*AD$34
+MIN(MAX(0,$C881-AD$29),AD$30-AD$29)*AD$35
+MIN(MAX(0,$C881-AD$30),AD$31-AD$30)*AD$36
+MIN(MAX(0,$C881-AD$31),AD$32-AD$31)*AD$37
+MAX(0,$C881-AD$32)*AD$38
+AD$39</f>
        <v>6888</v>
      </c>
      <c r="AE881" s="270">
        <f t="shared" si="241"/>
        <v>6888</v>
      </c>
      <c r="AF881" s="270">
        <f t="shared" si="240"/>
        <v>6888</v>
      </c>
      <c r="AG881" s="270">
        <f t="shared" si="240"/>
        <v>6888</v>
      </c>
      <c r="AH881" s="270">
        <f t="shared" si="240"/>
        <v>6888</v>
      </c>
      <c r="AI881" s="270">
        <f t="shared" si="240"/>
        <v>6888</v>
      </c>
      <c r="AJ881" s="270">
        <f t="shared" si="240"/>
        <v>6888</v>
      </c>
      <c r="AK881" s="270">
        <f t="shared" si="240"/>
        <v>6888</v>
      </c>
      <c r="AL881" s="270">
        <f t="shared" si="240"/>
        <v>6888</v>
      </c>
      <c r="AM881" s="270">
        <f t="shared" si="240"/>
        <v>6888</v>
      </c>
    </row>
    <row r="882" spans="2:39" ht="15.75" thickBot="1" x14ac:dyDescent="0.35">
      <c r="B882" s="56" t="str">
        <f>input_names!$E$3</f>
        <v>plug-in</v>
      </c>
      <c r="C882" s="61">
        <v>127</v>
      </c>
      <c r="D882" s="270">
        <f t="shared" ref="D882:AD897" si="242">+MIN(MAX(0,$C882-D$28),D$29-D$28)*D$34
+MIN(MAX(0,$C882-D$29),D$30-D$29)*D$35
+MIN(MAX(0,$C882-D$30),D$31-D$30)*D$36
+MIN(MAX(0,$C882-D$31),D$32-D$31)*D$37
+MAX(0,$C882-D$32)*D$38
+D$39</f>
        <v>4328</v>
      </c>
      <c r="E882" s="270">
        <f t="shared" si="242"/>
        <v>4920</v>
      </c>
      <c r="F882" s="270">
        <f t="shared" si="242"/>
        <v>25500</v>
      </c>
      <c r="G882" s="270">
        <f t="shared" si="242"/>
        <v>24563</v>
      </c>
      <c r="H882" s="270">
        <f t="shared" si="242"/>
        <v>23937</v>
      </c>
      <c r="I882" s="270">
        <f t="shared" si="242"/>
        <v>23589</v>
      </c>
      <c r="J882" s="270">
        <f t="shared" si="242"/>
        <v>16534</v>
      </c>
      <c r="K882" s="270">
        <f t="shared" si="242"/>
        <v>16694</v>
      </c>
      <c r="L882" s="270">
        <f t="shared" si="242"/>
        <v>17789</v>
      </c>
      <c r="M882" s="270">
        <f t="shared" si="242"/>
        <v>19565</v>
      </c>
      <c r="N882" s="270">
        <f t="shared" si="242"/>
        <v>7061</v>
      </c>
      <c r="O882" s="270">
        <f t="shared" si="242"/>
        <v>7061</v>
      </c>
      <c r="P882" s="270">
        <f t="shared" si="242"/>
        <v>7061</v>
      </c>
      <c r="Q882" s="270">
        <f t="shared" si="242"/>
        <v>7061</v>
      </c>
      <c r="R882" s="270">
        <f t="shared" si="242"/>
        <v>7061</v>
      </c>
      <c r="S882" s="270">
        <f t="shared" ref="S882:AC897" si="243">+MIN(MAX(0,$C882-S$28),S$29-S$28)*S$34
+MIN(MAX(0,$C882-S$29),S$30-S$29)*S$35
+MIN(MAX(0,$C882-S$30),S$31-S$30)*S$36
+MIN(MAX(0,$C882-S$31),S$32-S$31)*S$37
+MAX(0,$C882-S$32)*S$38
+S$39</f>
        <v>7061</v>
      </c>
      <c r="T882" s="270">
        <f t="shared" si="243"/>
        <v>7061</v>
      </c>
      <c r="U882" s="270">
        <f t="shared" si="243"/>
        <v>7061</v>
      </c>
      <c r="V882" s="270">
        <f t="shared" si="243"/>
        <v>7061</v>
      </c>
      <c r="W882" s="270">
        <f t="shared" si="243"/>
        <v>7061</v>
      </c>
      <c r="X882" s="270">
        <f t="shared" si="243"/>
        <v>7061</v>
      </c>
      <c r="Y882" s="270">
        <f t="shared" si="243"/>
        <v>7061</v>
      </c>
      <c r="Z882" s="270">
        <f t="shared" si="243"/>
        <v>7061</v>
      </c>
      <c r="AA882" s="270">
        <f t="shared" si="243"/>
        <v>7061</v>
      </c>
      <c r="AB882" s="270">
        <f t="shared" si="243"/>
        <v>7061</v>
      </c>
      <c r="AC882" s="270">
        <f t="shared" si="243"/>
        <v>7061</v>
      </c>
      <c r="AD882" s="270">
        <f t="shared" si="242"/>
        <v>7061</v>
      </c>
      <c r="AE882" s="270">
        <f t="shared" si="241"/>
        <v>7061</v>
      </c>
      <c r="AF882" s="270">
        <f t="shared" si="240"/>
        <v>7061</v>
      </c>
      <c r="AG882" s="270">
        <f t="shared" si="240"/>
        <v>7061</v>
      </c>
      <c r="AH882" s="270">
        <f t="shared" si="240"/>
        <v>7061</v>
      </c>
      <c r="AI882" s="270">
        <f t="shared" si="240"/>
        <v>7061</v>
      </c>
      <c r="AJ882" s="270">
        <f t="shared" si="240"/>
        <v>7061</v>
      </c>
      <c r="AK882" s="270">
        <f t="shared" si="240"/>
        <v>7061</v>
      </c>
      <c r="AL882" s="270">
        <f t="shared" si="240"/>
        <v>7061</v>
      </c>
      <c r="AM882" s="270">
        <f t="shared" si="240"/>
        <v>7061</v>
      </c>
    </row>
    <row r="883" spans="2:39" ht="15.75" thickBot="1" x14ac:dyDescent="0.35">
      <c r="B883" s="56" t="str">
        <f>input_names!$E$3</f>
        <v>plug-in</v>
      </c>
      <c r="C883" s="61">
        <v>128</v>
      </c>
      <c r="D883" s="270">
        <f t="shared" si="242"/>
        <v>4440</v>
      </c>
      <c r="E883" s="270">
        <f t="shared" si="242"/>
        <v>5043</v>
      </c>
      <c r="F883" s="270">
        <f t="shared" si="242"/>
        <v>25800</v>
      </c>
      <c r="G883" s="270">
        <f t="shared" si="242"/>
        <v>24852</v>
      </c>
      <c r="H883" s="270">
        <f t="shared" si="242"/>
        <v>24208</v>
      </c>
      <c r="I883" s="270">
        <f t="shared" si="242"/>
        <v>23856</v>
      </c>
      <c r="J883" s="270">
        <f t="shared" si="242"/>
        <v>16736</v>
      </c>
      <c r="K883" s="270">
        <f t="shared" si="242"/>
        <v>16898</v>
      </c>
      <c r="L883" s="270">
        <f t="shared" si="242"/>
        <v>18006</v>
      </c>
      <c r="M883" s="270">
        <f t="shared" si="242"/>
        <v>19804</v>
      </c>
      <c r="N883" s="270">
        <f t="shared" si="242"/>
        <v>7234</v>
      </c>
      <c r="O883" s="270">
        <f t="shared" si="242"/>
        <v>7234</v>
      </c>
      <c r="P883" s="270">
        <f t="shared" si="242"/>
        <v>7234</v>
      </c>
      <c r="Q883" s="270">
        <f t="shared" si="242"/>
        <v>7234</v>
      </c>
      <c r="R883" s="270">
        <f t="shared" si="242"/>
        <v>7234</v>
      </c>
      <c r="S883" s="270">
        <f t="shared" si="243"/>
        <v>7234</v>
      </c>
      <c r="T883" s="270">
        <f t="shared" si="243"/>
        <v>7234</v>
      </c>
      <c r="U883" s="270">
        <f t="shared" si="243"/>
        <v>7234</v>
      </c>
      <c r="V883" s="270">
        <f t="shared" si="243"/>
        <v>7234</v>
      </c>
      <c r="W883" s="270">
        <f t="shared" si="243"/>
        <v>7234</v>
      </c>
      <c r="X883" s="270">
        <f t="shared" si="243"/>
        <v>7234</v>
      </c>
      <c r="Y883" s="270">
        <f t="shared" si="243"/>
        <v>7234</v>
      </c>
      <c r="Z883" s="270">
        <f t="shared" si="243"/>
        <v>7234</v>
      </c>
      <c r="AA883" s="270">
        <f t="shared" si="243"/>
        <v>7234</v>
      </c>
      <c r="AB883" s="270">
        <f t="shared" si="243"/>
        <v>7234</v>
      </c>
      <c r="AC883" s="270">
        <f t="shared" si="243"/>
        <v>7234</v>
      </c>
      <c r="AD883" s="270">
        <f t="shared" si="242"/>
        <v>7234</v>
      </c>
      <c r="AE883" s="270">
        <f t="shared" si="241"/>
        <v>7234</v>
      </c>
      <c r="AF883" s="270">
        <f t="shared" si="240"/>
        <v>7234</v>
      </c>
      <c r="AG883" s="270">
        <f t="shared" si="240"/>
        <v>7234</v>
      </c>
      <c r="AH883" s="270">
        <f t="shared" si="240"/>
        <v>7234</v>
      </c>
      <c r="AI883" s="270">
        <f t="shared" si="240"/>
        <v>7234</v>
      </c>
      <c r="AJ883" s="270">
        <f t="shared" si="240"/>
        <v>7234</v>
      </c>
      <c r="AK883" s="270">
        <f t="shared" si="240"/>
        <v>7234</v>
      </c>
      <c r="AL883" s="270">
        <f t="shared" si="240"/>
        <v>7234</v>
      </c>
      <c r="AM883" s="270">
        <f t="shared" si="240"/>
        <v>7234</v>
      </c>
    </row>
    <row r="884" spans="2:39" ht="15.75" thickBot="1" x14ac:dyDescent="0.35">
      <c r="B884" s="56" t="str">
        <f>input_names!$E$3</f>
        <v>plug-in</v>
      </c>
      <c r="C884" s="61">
        <v>129</v>
      </c>
      <c r="D884" s="270">
        <f t="shared" si="242"/>
        <v>4552</v>
      </c>
      <c r="E884" s="270">
        <f t="shared" si="242"/>
        <v>5166</v>
      </c>
      <c r="F884" s="270">
        <f t="shared" si="242"/>
        <v>26100</v>
      </c>
      <c r="G884" s="270">
        <f t="shared" si="242"/>
        <v>25141</v>
      </c>
      <c r="H884" s="270">
        <f t="shared" si="242"/>
        <v>24479</v>
      </c>
      <c r="I884" s="270">
        <f t="shared" si="242"/>
        <v>24123</v>
      </c>
      <c r="J884" s="270">
        <f t="shared" si="242"/>
        <v>16938</v>
      </c>
      <c r="K884" s="270">
        <f t="shared" si="242"/>
        <v>17102</v>
      </c>
      <c r="L884" s="270">
        <f t="shared" si="242"/>
        <v>18223</v>
      </c>
      <c r="M884" s="270">
        <f t="shared" si="242"/>
        <v>20043</v>
      </c>
      <c r="N884" s="270">
        <f t="shared" si="242"/>
        <v>7407</v>
      </c>
      <c r="O884" s="270">
        <f t="shared" si="242"/>
        <v>7407</v>
      </c>
      <c r="P884" s="270">
        <f t="shared" si="242"/>
        <v>7407</v>
      </c>
      <c r="Q884" s="270">
        <f t="shared" si="242"/>
        <v>7407</v>
      </c>
      <c r="R884" s="270">
        <f t="shared" si="242"/>
        <v>7407</v>
      </c>
      <c r="S884" s="270">
        <f t="shared" si="243"/>
        <v>7407</v>
      </c>
      <c r="T884" s="270">
        <f t="shared" si="243"/>
        <v>7407</v>
      </c>
      <c r="U884" s="270">
        <f t="shared" si="243"/>
        <v>7407</v>
      </c>
      <c r="V884" s="270">
        <f t="shared" si="243"/>
        <v>7407</v>
      </c>
      <c r="W884" s="270">
        <f t="shared" si="243"/>
        <v>7407</v>
      </c>
      <c r="X884" s="270">
        <f t="shared" si="243"/>
        <v>7407</v>
      </c>
      <c r="Y884" s="270">
        <f t="shared" si="243"/>
        <v>7407</v>
      </c>
      <c r="Z884" s="270">
        <f t="shared" si="243"/>
        <v>7407</v>
      </c>
      <c r="AA884" s="270">
        <f t="shared" si="243"/>
        <v>7407</v>
      </c>
      <c r="AB884" s="270">
        <f t="shared" si="243"/>
        <v>7407</v>
      </c>
      <c r="AC884" s="270">
        <f t="shared" si="243"/>
        <v>7407</v>
      </c>
      <c r="AD884" s="270">
        <f t="shared" si="242"/>
        <v>7407</v>
      </c>
      <c r="AE884" s="270">
        <f t="shared" si="241"/>
        <v>7407</v>
      </c>
      <c r="AF884" s="270">
        <f t="shared" si="240"/>
        <v>7407</v>
      </c>
      <c r="AG884" s="270">
        <f t="shared" si="240"/>
        <v>7407</v>
      </c>
      <c r="AH884" s="270">
        <f t="shared" si="240"/>
        <v>7407</v>
      </c>
      <c r="AI884" s="270">
        <f t="shared" si="240"/>
        <v>7407</v>
      </c>
      <c r="AJ884" s="270">
        <f t="shared" si="240"/>
        <v>7407</v>
      </c>
      <c r="AK884" s="270">
        <f t="shared" si="240"/>
        <v>7407</v>
      </c>
      <c r="AL884" s="270">
        <f t="shared" si="240"/>
        <v>7407</v>
      </c>
      <c r="AM884" s="270">
        <f t="shared" si="240"/>
        <v>7407</v>
      </c>
    </row>
    <row r="885" spans="2:39" ht="15.75" thickBot="1" x14ac:dyDescent="0.35">
      <c r="B885" s="56" t="str">
        <f>input_names!$E$3</f>
        <v>plug-in</v>
      </c>
      <c r="C885" s="61">
        <v>130</v>
      </c>
      <c r="D885" s="270">
        <f t="shared" si="242"/>
        <v>4664</v>
      </c>
      <c r="E885" s="270">
        <f t="shared" si="242"/>
        <v>5289</v>
      </c>
      <c r="F885" s="270">
        <f t="shared" si="242"/>
        <v>26400</v>
      </c>
      <c r="G885" s="270">
        <f t="shared" si="242"/>
        <v>25430</v>
      </c>
      <c r="H885" s="270">
        <f t="shared" si="242"/>
        <v>24750</v>
      </c>
      <c r="I885" s="270">
        <f t="shared" si="242"/>
        <v>24390</v>
      </c>
      <c r="J885" s="270">
        <f t="shared" si="242"/>
        <v>17140</v>
      </c>
      <c r="K885" s="270">
        <f t="shared" si="242"/>
        <v>17306</v>
      </c>
      <c r="L885" s="270">
        <f t="shared" si="242"/>
        <v>18440</v>
      </c>
      <c r="M885" s="270">
        <f t="shared" si="242"/>
        <v>20282</v>
      </c>
      <c r="N885" s="270">
        <f t="shared" si="242"/>
        <v>7580</v>
      </c>
      <c r="O885" s="270">
        <f t="shared" si="242"/>
        <v>7580</v>
      </c>
      <c r="P885" s="270">
        <f t="shared" si="242"/>
        <v>7580</v>
      </c>
      <c r="Q885" s="270">
        <f t="shared" si="242"/>
        <v>7580</v>
      </c>
      <c r="R885" s="270">
        <f t="shared" si="242"/>
        <v>7580</v>
      </c>
      <c r="S885" s="270">
        <f t="shared" si="243"/>
        <v>7580</v>
      </c>
      <c r="T885" s="270">
        <f t="shared" si="243"/>
        <v>7580</v>
      </c>
      <c r="U885" s="270">
        <f t="shared" si="243"/>
        <v>7580</v>
      </c>
      <c r="V885" s="270">
        <f t="shared" si="243"/>
        <v>7580</v>
      </c>
      <c r="W885" s="270">
        <f t="shared" si="243"/>
        <v>7580</v>
      </c>
      <c r="X885" s="270">
        <f t="shared" si="243"/>
        <v>7580</v>
      </c>
      <c r="Y885" s="270">
        <f t="shared" si="243"/>
        <v>7580</v>
      </c>
      <c r="Z885" s="270">
        <f t="shared" si="243"/>
        <v>7580</v>
      </c>
      <c r="AA885" s="270">
        <f t="shared" si="243"/>
        <v>7580</v>
      </c>
      <c r="AB885" s="270">
        <f t="shared" si="243"/>
        <v>7580</v>
      </c>
      <c r="AC885" s="270">
        <f t="shared" si="243"/>
        <v>7580</v>
      </c>
      <c r="AD885" s="270">
        <f t="shared" si="242"/>
        <v>7580</v>
      </c>
      <c r="AE885" s="270">
        <f t="shared" si="241"/>
        <v>7580</v>
      </c>
      <c r="AF885" s="270">
        <f t="shared" si="240"/>
        <v>7580</v>
      </c>
      <c r="AG885" s="270">
        <f t="shared" si="240"/>
        <v>7580</v>
      </c>
      <c r="AH885" s="270">
        <f t="shared" si="240"/>
        <v>7580</v>
      </c>
      <c r="AI885" s="270">
        <f t="shared" si="240"/>
        <v>7580</v>
      </c>
      <c r="AJ885" s="270">
        <f t="shared" si="240"/>
        <v>7580</v>
      </c>
      <c r="AK885" s="270">
        <f t="shared" si="240"/>
        <v>7580</v>
      </c>
      <c r="AL885" s="270">
        <f t="shared" si="240"/>
        <v>7580</v>
      </c>
      <c r="AM885" s="270">
        <f t="shared" si="240"/>
        <v>7580</v>
      </c>
    </row>
    <row r="886" spans="2:39" ht="15.75" thickBot="1" x14ac:dyDescent="0.35">
      <c r="B886" s="56" t="str">
        <f>input_names!$E$3</f>
        <v>plug-in</v>
      </c>
      <c r="C886" s="61">
        <v>131</v>
      </c>
      <c r="D886" s="270">
        <f t="shared" si="242"/>
        <v>4776</v>
      </c>
      <c r="E886" s="270">
        <f t="shared" si="242"/>
        <v>5412</v>
      </c>
      <c r="F886" s="270">
        <f t="shared" si="242"/>
        <v>26700</v>
      </c>
      <c r="G886" s="270">
        <f t="shared" si="242"/>
        <v>25719</v>
      </c>
      <c r="H886" s="270">
        <f t="shared" si="242"/>
        <v>25021</v>
      </c>
      <c r="I886" s="270">
        <f t="shared" si="242"/>
        <v>24657</v>
      </c>
      <c r="J886" s="270">
        <f t="shared" si="242"/>
        <v>17342</v>
      </c>
      <c r="K886" s="270">
        <f t="shared" si="242"/>
        <v>17510</v>
      </c>
      <c r="L886" s="270">
        <f t="shared" si="242"/>
        <v>18657</v>
      </c>
      <c r="M886" s="270">
        <f t="shared" si="242"/>
        <v>20521</v>
      </c>
      <c r="N886" s="270">
        <f t="shared" si="242"/>
        <v>7753</v>
      </c>
      <c r="O886" s="270">
        <f t="shared" si="242"/>
        <v>7753</v>
      </c>
      <c r="P886" s="270">
        <f t="shared" si="242"/>
        <v>7753</v>
      </c>
      <c r="Q886" s="270">
        <f t="shared" si="242"/>
        <v>7753</v>
      </c>
      <c r="R886" s="270">
        <f t="shared" si="242"/>
        <v>7753</v>
      </c>
      <c r="S886" s="270">
        <f t="shared" si="243"/>
        <v>7753</v>
      </c>
      <c r="T886" s="270">
        <f t="shared" si="243"/>
        <v>7753</v>
      </c>
      <c r="U886" s="270">
        <f t="shared" si="243"/>
        <v>7753</v>
      </c>
      <c r="V886" s="270">
        <f t="shared" si="243"/>
        <v>7753</v>
      </c>
      <c r="W886" s="270">
        <f t="shared" si="243"/>
        <v>7753</v>
      </c>
      <c r="X886" s="270">
        <f t="shared" si="243"/>
        <v>7753</v>
      </c>
      <c r="Y886" s="270">
        <f t="shared" si="243"/>
        <v>7753</v>
      </c>
      <c r="Z886" s="270">
        <f t="shared" si="243"/>
        <v>7753</v>
      </c>
      <c r="AA886" s="270">
        <f t="shared" si="243"/>
        <v>7753</v>
      </c>
      <c r="AB886" s="270">
        <f t="shared" si="243"/>
        <v>7753</v>
      </c>
      <c r="AC886" s="270">
        <f t="shared" si="243"/>
        <v>7753</v>
      </c>
      <c r="AD886" s="270">
        <f t="shared" si="242"/>
        <v>7753</v>
      </c>
      <c r="AE886" s="270">
        <f t="shared" si="241"/>
        <v>7753</v>
      </c>
      <c r="AF886" s="270">
        <f t="shared" si="240"/>
        <v>7753</v>
      </c>
      <c r="AG886" s="270">
        <f t="shared" si="240"/>
        <v>7753</v>
      </c>
      <c r="AH886" s="270">
        <f t="shared" si="240"/>
        <v>7753</v>
      </c>
      <c r="AI886" s="270">
        <f t="shared" si="240"/>
        <v>7753</v>
      </c>
      <c r="AJ886" s="270">
        <f t="shared" si="240"/>
        <v>7753</v>
      </c>
      <c r="AK886" s="270">
        <f t="shared" si="240"/>
        <v>7753</v>
      </c>
      <c r="AL886" s="270">
        <f t="shared" si="240"/>
        <v>7753</v>
      </c>
      <c r="AM886" s="270">
        <f t="shared" si="240"/>
        <v>7753</v>
      </c>
    </row>
    <row r="887" spans="2:39" ht="15.75" thickBot="1" x14ac:dyDescent="0.35">
      <c r="B887" s="56" t="str">
        <f>input_names!$E$3</f>
        <v>plug-in</v>
      </c>
      <c r="C887" s="61">
        <v>132</v>
      </c>
      <c r="D887" s="270">
        <f t="shared" si="242"/>
        <v>4888</v>
      </c>
      <c r="E887" s="270">
        <f t="shared" si="242"/>
        <v>5535</v>
      </c>
      <c r="F887" s="270">
        <f t="shared" si="242"/>
        <v>27000</v>
      </c>
      <c r="G887" s="270">
        <f t="shared" si="242"/>
        <v>26008</v>
      </c>
      <c r="H887" s="270">
        <f t="shared" si="242"/>
        <v>25292</v>
      </c>
      <c r="I887" s="270">
        <f t="shared" si="242"/>
        <v>24924</v>
      </c>
      <c r="J887" s="270">
        <f t="shared" si="242"/>
        <v>17544</v>
      </c>
      <c r="K887" s="270">
        <f t="shared" si="242"/>
        <v>17714</v>
      </c>
      <c r="L887" s="270">
        <f t="shared" si="242"/>
        <v>18874</v>
      </c>
      <c r="M887" s="270">
        <f t="shared" si="242"/>
        <v>20760</v>
      </c>
      <c r="N887" s="270">
        <f t="shared" si="242"/>
        <v>7926</v>
      </c>
      <c r="O887" s="270">
        <f t="shared" si="242"/>
        <v>7926</v>
      </c>
      <c r="P887" s="270">
        <f t="shared" si="242"/>
        <v>7926</v>
      </c>
      <c r="Q887" s="270">
        <f t="shared" si="242"/>
        <v>7926</v>
      </c>
      <c r="R887" s="270">
        <f t="shared" si="242"/>
        <v>7926</v>
      </c>
      <c r="S887" s="270">
        <f t="shared" si="243"/>
        <v>7926</v>
      </c>
      <c r="T887" s="270">
        <f t="shared" si="243"/>
        <v>7926</v>
      </c>
      <c r="U887" s="270">
        <f t="shared" si="243"/>
        <v>7926</v>
      </c>
      <c r="V887" s="270">
        <f t="shared" si="243"/>
        <v>7926</v>
      </c>
      <c r="W887" s="270">
        <f t="shared" si="243"/>
        <v>7926</v>
      </c>
      <c r="X887" s="270">
        <f t="shared" si="243"/>
        <v>7926</v>
      </c>
      <c r="Y887" s="270">
        <f t="shared" si="243"/>
        <v>7926</v>
      </c>
      <c r="Z887" s="270">
        <f t="shared" si="243"/>
        <v>7926</v>
      </c>
      <c r="AA887" s="270">
        <f t="shared" si="243"/>
        <v>7926</v>
      </c>
      <c r="AB887" s="270">
        <f t="shared" si="243"/>
        <v>7926</v>
      </c>
      <c r="AC887" s="270">
        <f t="shared" si="243"/>
        <v>7926</v>
      </c>
      <c r="AD887" s="270">
        <f t="shared" si="242"/>
        <v>7926</v>
      </c>
      <c r="AE887" s="270">
        <f t="shared" si="241"/>
        <v>7926</v>
      </c>
      <c r="AF887" s="270">
        <f t="shared" si="240"/>
        <v>7926</v>
      </c>
      <c r="AG887" s="270">
        <f t="shared" si="240"/>
        <v>7926</v>
      </c>
      <c r="AH887" s="270">
        <f t="shared" si="240"/>
        <v>7926</v>
      </c>
      <c r="AI887" s="270">
        <f t="shared" si="240"/>
        <v>7926</v>
      </c>
      <c r="AJ887" s="270">
        <f t="shared" si="240"/>
        <v>7926</v>
      </c>
      <c r="AK887" s="270">
        <f t="shared" si="240"/>
        <v>7926</v>
      </c>
      <c r="AL887" s="270">
        <f t="shared" si="240"/>
        <v>7926</v>
      </c>
      <c r="AM887" s="270">
        <f t="shared" si="240"/>
        <v>7926</v>
      </c>
    </row>
    <row r="888" spans="2:39" ht="15.75" thickBot="1" x14ac:dyDescent="0.35">
      <c r="B888" s="56" t="str">
        <f>input_names!$E$3</f>
        <v>plug-in</v>
      </c>
      <c r="C888" s="61">
        <v>133</v>
      </c>
      <c r="D888" s="270">
        <f t="shared" si="242"/>
        <v>5000</v>
      </c>
      <c r="E888" s="270">
        <f t="shared" si="242"/>
        <v>5658</v>
      </c>
      <c r="F888" s="270">
        <f t="shared" si="242"/>
        <v>27300</v>
      </c>
      <c r="G888" s="270">
        <f t="shared" si="242"/>
        <v>26297</v>
      </c>
      <c r="H888" s="270">
        <f t="shared" si="242"/>
        <v>25563</v>
      </c>
      <c r="I888" s="270">
        <f t="shared" si="242"/>
        <v>25191</v>
      </c>
      <c r="J888" s="270">
        <f t="shared" si="242"/>
        <v>17746</v>
      </c>
      <c r="K888" s="270">
        <f t="shared" si="242"/>
        <v>17918</v>
      </c>
      <c r="L888" s="270">
        <f t="shared" si="242"/>
        <v>19091</v>
      </c>
      <c r="M888" s="270">
        <f t="shared" si="242"/>
        <v>20999</v>
      </c>
      <c r="N888" s="270">
        <f t="shared" si="242"/>
        <v>8099</v>
      </c>
      <c r="O888" s="270">
        <f t="shared" si="242"/>
        <v>8099</v>
      </c>
      <c r="P888" s="270">
        <f t="shared" si="242"/>
        <v>8099</v>
      </c>
      <c r="Q888" s="270">
        <f t="shared" si="242"/>
        <v>8099</v>
      </c>
      <c r="R888" s="270">
        <f t="shared" si="242"/>
        <v>8099</v>
      </c>
      <c r="S888" s="270">
        <f t="shared" si="243"/>
        <v>8099</v>
      </c>
      <c r="T888" s="270">
        <f t="shared" si="243"/>
        <v>8099</v>
      </c>
      <c r="U888" s="270">
        <f t="shared" si="243"/>
        <v>8099</v>
      </c>
      <c r="V888" s="270">
        <f t="shared" si="243"/>
        <v>8099</v>
      </c>
      <c r="W888" s="270">
        <f t="shared" si="243"/>
        <v>8099</v>
      </c>
      <c r="X888" s="270">
        <f t="shared" si="243"/>
        <v>8099</v>
      </c>
      <c r="Y888" s="270">
        <f t="shared" si="243"/>
        <v>8099</v>
      </c>
      <c r="Z888" s="270">
        <f t="shared" si="243"/>
        <v>8099</v>
      </c>
      <c r="AA888" s="270">
        <f t="shared" si="243"/>
        <v>8099</v>
      </c>
      <c r="AB888" s="270">
        <f t="shared" si="243"/>
        <v>8099</v>
      </c>
      <c r="AC888" s="270">
        <f t="shared" si="243"/>
        <v>8099</v>
      </c>
      <c r="AD888" s="270">
        <f t="shared" si="242"/>
        <v>8099</v>
      </c>
      <c r="AE888" s="270">
        <f t="shared" si="241"/>
        <v>8099</v>
      </c>
      <c r="AF888" s="270">
        <f t="shared" si="240"/>
        <v>8099</v>
      </c>
      <c r="AG888" s="270">
        <f t="shared" si="240"/>
        <v>8099</v>
      </c>
      <c r="AH888" s="270">
        <f t="shared" si="240"/>
        <v>8099</v>
      </c>
      <c r="AI888" s="270">
        <f t="shared" si="240"/>
        <v>8099</v>
      </c>
      <c r="AJ888" s="270">
        <f t="shared" si="240"/>
        <v>8099</v>
      </c>
      <c r="AK888" s="270">
        <f t="shared" si="240"/>
        <v>8099</v>
      </c>
      <c r="AL888" s="270">
        <f t="shared" si="240"/>
        <v>8099</v>
      </c>
      <c r="AM888" s="270">
        <f t="shared" si="240"/>
        <v>8099</v>
      </c>
    </row>
    <row r="889" spans="2:39" ht="15.75" thickBot="1" x14ac:dyDescent="0.35">
      <c r="B889" s="56" t="str">
        <f>input_names!$E$3</f>
        <v>plug-in</v>
      </c>
      <c r="C889" s="61">
        <v>134</v>
      </c>
      <c r="D889" s="270">
        <f t="shared" si="242"/>
        <v>5112</v>
      </c>
      <c r="E889" s="270">
        <f t="shared" si="242"/>
        <v>5781</v>
      </c>
      <c r="F889" s="270">
        <f t="shared" si="242"/>
        <v>27600</v>
      </c>
      <c r="G889" s="270">
        <f t="shared" si="242"/>
        <v>26586</v>
      </c>
      <c r="H889" s="270">
        <f t="shared" si="242"/>
        <v>25834</v>
      </c>
      <c r="I889" s="270">
        <f t="shared" si="242"/>
        <v>25458</v>
      </c>
      <c r="J889" s="270">
        <f t="shared" si="242"/>
        <v>17948</v>
      </c>
      <c r="K889" s="270">
        <f t="shared" si="242"/>
        <v>18122</v>
      </c>
      <c r="L889" s="270">
        <f t="shared" si="242"/>
        <v>19308</v>
      </c>
      <c r="M889" s="270">
        <f t="shared" si="242"/>
        <v>21238</v>
      </c>
      <c r="N889" s="270">
        <f t="shared" si="242"/>
        <v>8272</v>
      </c>
      <c r="O889" s="270">
        <f t="shared" si="242"/>
        <v>8272</v>
      </c>
      <c r="P889" s="270">
        <f t="shared" si="242"/>
        <v>8272</v>
      </c>
      <c r="Q889" s="270">
        <f t="shared" si="242"/>
        <v>8272</v>
      </c>
      <c r="R889" s="270">
        <f t="shared" si="242"/>
        <v>8272</v>
      </c>
      <c r="S889" s="270">
        <f t="shared" si="243"/>
        <v>8272</v>
      </c>
      <c r="T889" s="270">
        <f t="shared" si="243"/>
        <v>8272</v>
      </c>
      <c r="U889" s="270">
        <f t="shared" si="243"/>
        <v>8272</v>
      </c>
      <c r="V889" s="270">
        <f t="shared" si="243"/>
        <v>8272</v>
      </c>
      <c r="W889" s="270">
        <f t="shared" si="243"/>
        <v>8272</v>
      </c>
      <c r="X889" s="270">
        <f t="shared" si="243"/>
        <v>8272</v>
      </c>
      <c r="Y889" s="270">
        <f t="shared" si="243"/>
        <v>8272</v>
      </c>
      <c r="Z889" s="270">
        <f t="shared" si="243"/>
        <v>8272</v>
      </c>
      <c r="AA889" s="270">
        <f t="shared" si="243"/>
        <v>8272</v>
      </c>
      <c r="AB889" s="270">
        <f t="shared" si="243"/>
        <v>8272</v>
      </c>
      <c r="AC889" s="270">
        <f t="shared" si="243"/>
        <v>8272</v>
      </c>
      <c r="AD889" s="270">
        <f t="shared" si="242"/>
        <v>8272</v>
      </c>
      <c r="AE889" s="270">
        <f t="shared" si="241"/>
        <v>8272</v>
      </c>
      <c r="AF889" s="270">
        <f t="shared" si="240"/>
        <v>8272</v>
      </c>
      <c r="AG889" s="270">
        <f t="shared" si="240"/>
        <v>8272</v>
      </c>
      <c r="AH889" s="270">
        <f t="shared" si="240"/>
        <v>8272</v>
      </c>
      <c r="AI889" s="270">
        <f t="shared" si="240"/>
        <v>8272</v>
      </c>
      <c r="AJ889" s="270">
        <f t="shared" si="240"/>
        <v>8272</v>
      </c>
      <c r="AK889" s="270">
        <f t="shared" si="240"/>
        <v>8272</v>
      </c>
      <c r="AL889" s="270">
        <f t="shared" si="240"/>
        <v>8272</v>
      </c>
      <c r="AM889" s="270">
        <f t="shared" si="240"/>
        <v>8272</v>
      </c>
    </row>
    <row r="890" spans="2:39" ht="15.75" thickBot="1" x14ac:dyDescent="0.35">
      <c r="B890" s="56" t="str">
        <f>input_names!$E$3</f>
        <v>plug-in</v>
      </c>
      <c r="C890" s="61">
        <v>135</v>
      </c>
      <c r="D890" s="270">
        <f t="shared" si="242"/>
        <v>5224</v>
      </c>
      <c r="E890" s="270">
        <f t="shared" si="242"/>
        <v>5904</v>
      </c>
      <c r="F890" s="270">
        <f t="shared" si="242"/>
        <v>27900</v>
      </c>
      <c r="G890" s="270">
        <f t="shared" si="242"/>
        <v>26875</v>
      </c>
      <c r="H890" s="270">
        <f t="shared" si="242"/>
        <v>26105</v>
      </c>
      <c r="I890" s="270">
        <f t="shared" si="242"/>
        <v>25725</v>
      </c>
      <c r="J890" s="270">
        <f t="shared" si="242"/>
        <v>18150</v>
      </c>
      <c r="K890" s="270">
        <f t="shared" si="242"/>
        <v>18326</v>
      </c>
      <c r="L890" s="270">
        <f t="shared" si="242"/>
        <v>19525</v>
      </c>
      <c r="M890" s="270">
        <f t="shared" si="242"/>
        <v>21477</v>
      </c>
      <c r="N890" s="270">
        <f t="shared" si="242"/>
        <v>8445</v>
      </c>
      <c r="O890" s="270">
        <f t="shared" si="242"/>
        <v>8445</v>
      </c>
      <c r="P890" s="270">
        <f t="shared" si="242"/>
        <v>8445</v>
      </c>
      <c r="Q890" s="270">
        <f t="shared" si="242"/>
        <v>8445</v>
      </c>
      <c r="R890" s="270">
        <f t="shared" si="242"/>
        <v>8445</v>
      </c>
      <c r="S890" s="270">
        <f t="shared" si="243"/>
        <v>8445</v>
      </c>
      <c r="T890" s="270">
        <f t="shared" si="243"/>
        <v>8445</v>
      </c>
      <c r="U890" s="270">
        <f t="shared" si="243"/>
        <v>8445</v>
      </c>
      <c r="V890" s="270">
        <f t="shared" si="243"/>
        <v>8445</v>
      </c>
      <c r="W890" s="270">
        <f t="shared" si="243"/>
        <v>8445</v>
      </c>
      <c r="X890" s="270">
        <f t="shared" si="243"/>
        <v>8445</v>
      </c>
      <c r="Y890" s="270">
        <f t="shared" si="243"/>
        <v>8445</v>
      </c>
      <c r="Z890" s="270">
        <f t="shared" si="243"/>
        <v>8445</v>
      </c>
      <c r="AA890" s="270">
        <f t="shared" si="243"/>
        <v>8445</v>
      </c>
      <c r="AB890" s="270">
        <f t="shared" si="243"/>
        <v>8445</v>
      </c>
      <c r="AC890" s="270">
        <f t="shared" si="243"/>
        <v>8445</v>
      </c>
      <c r="AD890" s="270">
        <f t="shared" si="242"/>
        <v>8445</v>
      </c>
      <c r="AE890" s="270">
        <f t="shared" si="241"/>
        <v>8445</v>
      </c>
      <c r="AF890" s="270">
        <f t="shared" si="240"/>
        <v>8445</v>
      </c>
      <c r="AG890" s="270">
        <f t="shared" si="240"/>
        <v>8445</v>
      </c>
      <c r="AH890" s="270">
        <f t="shared" si="240"/>
        <v>8445</v>
      </c>
      <c r="AI890" s="270">
        <f t="shared" si="240"/>
        <v>8445</v>
      </c>
      <c r="AJ890" s="270">
        <f t="shared" si="240"/>
        <v>8445</v>
      </c>
      <c r="AK890" s="270">
        <f t="shared" si="240"/>
        <v>8445</v>
      </c>
      <c r="AL890" s="270">
        <f t="shared" si="240"/>
        <v>8445</v>
      </c>
      <c r="AM890" s="270">
        <f t="shared" si="240"/>
        <v>8445</v>
      </c>
    </row>
    <row r="891" spans="2:39" ht="15.75" thickBot="1" x14ac:dyDescent="0.35">
      <c r="B891" s="56" t="str">
        <f>input_names!$E$3</f>
        <v>plug-in</v>
      </c>
      <c r="C891" s="61">
        <v>136</v>
      </c>
      <c r="D891" s="270">
        <f t="shared" si="242"/>
        <v>5336</v>
      </c>
      <c r="E891" s="270">
        <f t="shared" si="242"/>
        <v>6027</v>
      </c>
      <c r="F891" s="270">
        <f t="shared" si="242"/>
        <v>28200</v>
      </c>
      <c r="G891" s="270">
        <f t="shared" si="242"/>
        <v>27164</v>
      </c>
      <c r="H891" s="270">
        <f t="shared" si="242"/>
        <v>26376</v>
      </c>
      <c r="I891" s="270">
        <f t="shared" si="242"/>
        <v>25992</v>
      </c>
      <c r="J891" s="270">
        <f t="shared" si="242"/>
        <v>18352</v>
      </c>
      <c r="K891" s="270">
        <f t="shared" si="242"/>
        <v>18530</v>
      </c>
      <c r="L891" s="270">
        <f t="shared" si="242"/>
        <v>19742</v>
      </c>
      <c r="M891" s="270">
        <f t="shared" si="242"/>
        <v>21716</v>
      </c>
      <c r="N891" s="270">
        <f t="shared" si="242"/>
        <v>8618</v>
      </c>
      <c r="O891" s="270">
        <f t="shared" si="242"/>
        <v>8618</v>
      </c>
      <c r="P891" s="270">
        <f t="shared" si="242"/>
        <v>8618</v>
      </c>
      <c r="Q891" s="270">
        <f t="shared" si="242"/>
        <v>8618</v>
      </c>
      <c r="R891" s="270">
        <f t="shared" si="242"/>
        <v>8618</v>
      </c>
      <c r="S891" s="270">
        <f t="shared" si="243"/>
        <v>8618</v>
      </c>
      <c r="T891" s="270">
        <f t="shared" si="243"/>
        <v>8618</v>
      </c>
      <c r="U891" s="270">
        <f t="shared" si="243"/>
        <v>8618</v>
      </c>
      <c r="V891" s="270">
        <f t="shared" si="243"/>
        <v>8618</v>
      </c>
      <c r="W891" s="270">
        <f t="shared" si="243"/>
        <v>8618</v>
      </c>
      <c r="X891" s="270">
        <f t="shared" si="243"/>
        <v>8618</v>
      </c>
      <c r="Y891" s="270">
        <f t="shared" si="243"/>
        <v>8618</v>
      </c>
      <c r="Z891" s="270">
        <f t="shared" si="243"/>
        <v>8618</v>
      </c>
      <c r="AA891" s="270">
        <f t="shared" si="243"/>
        <v>8618</v>
      </c>
      <c r="AB891" s="270">
        <f t="shared" si="243"/>
        <v>8618</v>
      </c>
      <c r="AC891" s="270">
        <f t="shared" si="243"/>
        <v>8618</v>
      </c>
      <c r="AD891" s="270">
        <f t="shared" si="242"/>
        <v>8618</v>
      </c>
      <c r="AE891" s="270">
        <f t="shared" si="241"/>
        <v>8618</v>
      </c>
      <c r="AF891" s="270">
        <f t="shared" si="240"/>
        <v>8618</v>
      </c>
      <c r="AG891" s="270">
        <f t="shared" si="240"/>
        <v>8618</v>
      </c>
      <c r="AH891" s="270">
        <f t="shared" si="240"/>
        <v>8618</v>
      </c>
      <c r="AI891" s="270">
        <f t="shared" si="240"/>
        <v>8618</v>
      </c>
      <c r="AJ891" s="270">
        <f t="shared" si="240"/>
        <v>8618</v>
      </c>
      <c r="AK891" s="270">
        <f t="shared" si="240"/>
        <v>8618</v>
      </c>
      <c r="AL891" s="270">
        <f t="shared" si="240"/>
        <v>8618</v>
      </c>
      <c r="AM891" s="270">
        <f t="shared" si="240"/>
        <v>8618</v>
      </c>
    </row>
    <row r="892" spans="2:39" ht="15.75" thickBot="1" x14ac:dyDescent="0.35">
      <c r="B892" s="56" t="str">
        <f>input_names!$E$3</f>
        <v>plug-in</v>
      </c>
      <c r="C892" s="61">
        <v>137</v>
      </c>
      <c r="D892" s="270">
        <f t="shared" si="242"/>
        <v>5448</v>
      </c>
      <c r="E892" s="270">
        <f t="shared" si="242"/>
        <v>6150</v>
      </c>
      <c r="F892" s="270">
        <f t="shared" si="242"/>
        <v>28500</v>
      </c>
      <c r="G892" s="270">
        <f t="shared" si="242"/>
        <v>27453</v>
      </c>
      <c r="H892" s="270">
        <f t="shared" si="242"/>
        <v>26647</v>
      </c>
      <c r="I892" s="270">
        <f t="shared" si="242"/>
        <v>26259</v>
      </c>
      <c r="J892" s="270">
        <f t="shared" si="242"/>
        <v>18554</v>
      </c>
      <c r="K892" s="270">
        <f t="shared" si="242"/>
        <v>18734</v>
      </c>
      <c r="L892" s="270">
        <f t="shared" si="242"/>
        <v>19959</v>
      </c>
      <c r="M892" s="270">
        <f t="shared" si="242"/>
        <v>21955</v>
      </c>
      <c r="N892" s="270">
        <f t="shared" si="242"/>
        <v>8791</v>
      </c>
      <c r="O892" s="270">
        <f t="shared" si="242"/>
        <v>8791</v>
      </c>
      <c r="P892" s="270">
        <f t="shared" si="242"/>
        <v>8791</v>
      </c>
      <c r="Q892" s="270">
        <f t="shared" si="242"/>
        <v>8791</v>
      </c>
      <c r="R892" s="270">
        <f t="shared" si="242"/>
        <v>8791</v>
      </c>
      <c r="S892" s="270">
        <f t="shared" si="243"/>
        <v>8791</v>
      </c>
      <c r="T892" s="270">
        <f t="shared" si="243"/>
        <v>8791</v>
      </c>
      <c r="U892" s="270">
        <f t="shared" si="243"/>
        <v>8791</v>
      </c>
      <c r="V892" s="270">
        <f t="shared" si="243"/>
        <v>8791</v>
      </c>
      <c r="W892" s="270">
        <f t="shared" si="243"/>
        <v>8791</v>
      </c>
      <c r="X892" s="270">
        <f t="shared" si="243"/>
        <v>8791</v>
      </c>
      <c r="Y892" s="270">
        <f t="shared" si="243"/>
        <v>8791</v>
      </c>
      <c r="Z892" s="270">
        <f t="shared" si="243"/>
        <v>8791</v>
      </c>
      <c r="AA892" s="270">
        <f t="shared" si="243"/>
        <v>8791</v>
      </c>
      <c r="AB892" s="270">
        <f t="shared" si="243"/>
        <v>8791</v>
      </c>
      <c r="AC892" s="270">
        <f t="shared" si="243"/>
        <v>8791</v>
      </c>
      <c r="AD892" s="270">
        <f t="shared" si="242"/>
        <v>8791</v>
      </c>
      <c r="AE892" s="270">
        <f t="shared" si="241"/>
        <v>8791</v>
      </c>
      <c r="AF892" s="270">
        <f t="shared" si="240"/>
        <v>8791</v>
      </c>
      <c r="AG892" s="270">
        <f t="shared" si="240"/>
        <v>8791</v>
      </c>
      <c r="AH892" s="270">
        <f t="shared" si="240"/>
        <v>8791</v>
      </c>
      <c r="AI892" s="270">
        <f t="shared" si="240"/>
        <v>8791</v>
      </c>
      <c r="AJ892" s="270">
        <f t="shared" si="240"/>
        <v>8791</v>
      </c>
      <c r="AK892" s="270">
        <f t="shared" si="240"/>
        <v>8791</v>
      </c>
      <c r="AL892" s="270">
        <f t="shared" si="240"/>
        <v>8791</v>
      </c>
      <c r="AM892" s="270">
        <f t="shared" si="240"/>
        <v>8791</v>
      </c>
    </row>
    <row r="893" spans="2:39" ht="15.75" thickBot="1" x14ac:dyDescent="0.35">
      <c r="B893" s="56" t="str">
        <f>input_names!$E$3</f>
        <v>plug-in</v>
      </c>
      <c r="C893" s="61">
        <v>138</v>
      </c>
      <c r="D893" s="270">
        <f t="shared" si="242"/>
        <v>5560</v>
      </c>
      <c r="E893" s="270">
        <f t="shared" si="242"/>
        <v>6273</v>
      </c>
      <c r="F893" s="270">
        <f t="shared" si="242"/>
        <v>28800</v>
      </c>
      <c r="G893" s="270">
        <f t="shared" si="242"/>
        <v>27742</v>
      </c>
      <c r="H893" s="270">
        <f t="shared" si="242"/>
        <v>26918</v>
      </c>
      <c r="I893" s="270">
        <f t="shared" si="242"/>
        <v>26526</v>
      </c>
      <c r="J893" s="270">
        <f t="shared" si="242"/>
        <v>18756</v>
      </c>
      <c r="K893" s="270">
        <f t="shared" si="242"/>
        <v>18938</v>
      </c>
      <c r="L893" s="270">
        <f t="shared" si="242"/>
        <v>20176</v>
      </c>
      <c r="M893" s="270">
        <f t="shared" si="242"/>
        <v>22194</v>
      </c>
      <c r="N893" s="270">
        <f t="shared" si="242"/>
        <v>8964</v>
      </c>
      <c r="O893" s="270">
        <f t="shared" si="242"/>
        <v>8964</v>
      </c>
      <c r="P893" s="270">
        <f t="shared" si="242"/>
        <v>8964</v>
      </c>
      <c r="Q893" s="270">
        <f t="shared" si="242"/>
        <v>8964</v>
      </c>
      <c r="R893" s="270">
        <f t="shared" si="242"/>
        <v>8964</v>
      </c>
      <c r="S893" s="270">
        <f t="shared" si="243"/>
        <v>8964</v>
      </c>
      <c r="T893" s="270">
        <f t="shared" si="243"/>
        <v>8964</v>
      </c>
      <c r="U893" s="270">
        <f t="shared" si="243"/>
        <v>8964</v>
      </c>
      <c r="V893" s="270">
        <f t="shared" si="243"/>
        <v>8964</v>
      </c>
      <c r="W893" s="270">
        <f t="shared" si="243"/>
        <v>8964</v>
      </c>
      <c r="X893" s="270">
        <f t="shared" si="243"/>
        <v>8964</v>
      </c>
      <c r="Y893" s="270">
        <f t="shared" si="243"/>
        <v>8964</v>
      </c>
      <c r="Z893" s="270">
        <f t="shared" si="243"/>
        <v>8964</v>
      </c>
      <c r="AA893" s="270">
        <f t="shared" si="243"/>
        <v>8964</v>
      </c>
      <c r="AB893" s="270">
        <f t="shared" si="243"/>
        <v>8964</v>
      </c>
      <c r="AC893" s="270">
        <f t="shared" si="243"/>
        <v>8964</v>
      </c>
      <c r="AD893" s="270">
        <f t="shared" si="242"/>
        <v>8964</v>
      </c>
      <c r="AE893" s="270">
        <f t="shared" si="241"/>
        <v>8964</v>
      </c>
      <c r="AF893" s="270">
        <f t="shared" si="240"/>
        <v>8964</v>
      </c>
      <c r="AG893" s="270">
        <f t="shared" si="240"/>
        <v>8964</v>
      </c>
      <c r="AH893" s="270">
        <f t="shared" si="240"/>
        <v>8964</v>
      </c>
      <c r="AI893" s="270">
        <f t="shared" si="240"/>
        <v>8964</v>
      </c>
      <c r="AJ893" s="270">
        <f t="shared" si="240"/>
        <v>8964</v>
      </c>
      <c r="AK893" s="270">
        <f t="shared" si="240"/>
        <v>8964</v>
      </c>
      <c r="AL893" s="270">
        <f t="shared" si="240"/>
        <v>8964</v>
      </c>
      <c r="AM893" s="270">
        <f t="shared" si="240"/>
        <v>8964</v>
      </c>
    </row>
    <row r="894" spans="2:39" ht="15.75" thickBot="1" x14ac:dyDescent="0.35">
      <c r="B894" s="56" t="str">
        <f>input_names!$E$3</f>
        <v>plug-in</v>
      </c>
      <c r="C894" s="61">
        <v>139</v>
      </c>
      <c r="D894" s="270">
        <f t="shared" si="242"/>
        <v>5672</v>
      </c>
      <c r="E894" s="270">
        <f t="shared" si="242"/>
        <v>6396</v>
      </c>
      <c r="F894" s="270">
        <f t="shared" si="242"/>
        <v>29100</v>
      </c>
      <c r="G894" s="270">
        <f t="shared" si="242"/>
        <v>28031</v>
      </c>
      <c r="H894" s="270">
        <f t="shared" si="242"/>
        <v>27189</v>
      </c>
      <c r="I894" s="270">
        <f t="shared" si="242"/>
        <v>26793</v>
      </c>
      <c r="J894" s="270">
        <f t="shared" si="242"/>
        <v>18958</v>
      </c>
      <c r="K894" s="270">
        <f t="shared" si="242"/>
        <v>19142</v>
      </c>
      <c r="L894" s="270">
        <f t="shared" si="242"/>
        <v>20393</v>
      </c>
      <c r="M894" s="270">
        <f t="shared" si="242"/>
        <v>22433</v>
      </c>
      <c r="N894" s="270">
        <f t="shared" si="242"/>
        <v>9137</v>
      </c>
      <c r="O894" s="270">
        <f t="shared" si="242"/>
        <v>9137</v>
      </c>
      <c r="P894" s="270">
        <f t="shared" si="242"/>
        <v>9137</v>
      </c>
      <c r="Q894" s="270">
        <f t="shared" si="242"/>
        <v>9137</v>
      </c>
      <c r="R894" s="270">
        <f t="shared" si="242"/>
        <v>9137</v>
      </c>
      <c r="S894" s="270">
        <f t="shared" si="243"/>
        <v>9137</v>
      </c>
      <c r="T894" s="270">
        <f t="shared" si="243"/>
        <v>9137</v>
      </c>
      <c r="U894" s="270">
        <f t="shared" si="243"/>
        <v>9137</v>
      </c>
      <c r="V894" s="270">
        <f t="shared" si="243"/>
        <v>9137</v>
      </c>
      <c r="W894" s="270">
        <f t="shared" si="243"/>
        <v>9137</v>
      </c>
      <c r="X894" s="270">
        <f t="shared" si="243"/>
        <v>9137</v>
      </c>
      <c r="Y894" s="270">
        <f t="shared" si="243"/>
        <v>9137</v>
      </c>
      <c r="Z894" s="270">
        <f t="shared" si="243"/>
        <v>9137</v>
      </c>
      <c r="AA894" s="270">
        <f t="shared" si="243"/>
        <v>9137</v>
      </c>
      <c r="AB894" s="270">
        <f t="shared" si="243"/>
        <v>9137</v>
      </c>
      <c r="AC894" s="270">
        <f t="shared" si="243"/>
        <v>9137</v>
      </c>
      <c r="AD894" s="270">
        <f t="shared" si="242"/>
        <v>9137</v>
      </c>
      <c r="AE894" s="270">
        <f t="shared" si="241"/>
        <v>9137</v>
      </c>
      <c r="AF894" s="270">
        <f t="shared" si="240"/>
        <v>9137</v>
      </c>
      <c r="AG894" s="270">
        <f t="shared" si="240"/>
        <v>9137</v>
      </c>
      <c r="AH894" s="270">
        <f t="shared" si="240"/>
        <v>9137</v>
      </c>
      <c r="AI894" s="270">
        <f t="shared" si="240"/>
        <v>9137</v>
      </c>
      <c r="AJ894" s="270">
        <f t="shared" si="240"/>
        <v>9137</v>
      </c>
      <c r="AK894" s="270">
        <f t="shared" si="240"/>
        <v>9137</v>
      </c>
      <c r="AL894" s="270">
        <f t="shared" si="240"/>
        <v>9137</v>
      </c>
      <c r="AM894" s="270">
        <f t="shared" si="240"/>
        <v>9137</v>
      </c>
    </row>
    <row r="895" spans="2:39" ht="15.75" thickBot="1" x14ac:dyDescent="0.35">
      <c r="B895" s="56" t="str">
        <f>input_names!$E$3</f>
        <v>plug-in</v>
      </c>
      <c r="C895" s="61">
        <v>140</v>
      </c>
      <c r="D895" s="270">
        <f t="shared" si="242"/>
        <v>5784</v>
      </c>
      <c r="E895" s="270">
        <f t="shared" si="242"/>
        <v>6519</v>
      </c>
      <c r="F895" s="270">
        <f t="shared" si="242"/>
        <v>29400</v>
      </c>
      <c r="G895" s="270">
        <f t="shared" si="242"/>
        <v>28320</v>
      </c>
      <c r="H895" s="270">
        <f t="shared" si="242"/>
        <v>27460</v>
      </c>
      <c r="I895" s="270">
        <f t="shared" si="242"/>
        <v>27060</v>
      </c>
      <c r="J895" s="270">
        <f t="shared" si="242"/>
        <v>19160</v>
      </c>
      <c r="K895" s="270">
        <f t="shared" si="242"/>
        <v>19346</v>
      </c>
      <c r="L895" s="270">
        <f t="shared" si="242"/>
        <v>20610</v>
      </c>
      <c r="M895" s="270">
        <f t="shared" si="242"/>
        <v>22672</v>
      </c>
      <c r="N895" s="270">
        <f t="shared" si="242"/>
        <v>9310</v>
      </c>
      <c r="O895" s="270">
        <f t="shared" si="242"/>
        <v>9310</v>
      </c>
      <c r="P895" s="270">
        <f t="shared" si="242"/>
        <v>9310</v>
      </c>
      <c r="Q895" s="270">
        <f t="shared" si="242"/>
        <v>9310</v>
      </c>
      <c r="R895" s="270">
        <f t="shared" si="242"/>
        <v>9310</v>
      </c>
      <c r="S895" s="270">
        <f t="shared" si="243"/>
        <v>9310</v>
      </c>
      <c r="T895" s="270">
        <f t="shared" si="243"/>
        <v>9310</v>
      </c>
      <c r="U895" s="270">
        <f t="shared" si="243"/>
        <v>9310</v>
      </c>
      <c r="V895" s="270">
        <f t="shared" si="243"/>
        <v>9310</v>
      </c>
      <c r="W895" s="270">
        <f t="shared" si="243"/>
        <v>9310</v>
      </c>
      <c r="X895" s="270">
        <f t="shared" si="243"/>
        <v>9310</v>
      </c>
      <c r="Y895" s="270">
        <f t="shared" si="243"/>
        <v>9310</v>
      </c>
      <c r="Z895" s="270">
        <f t="shared" si="243"/>
        <v>9310</v>
      </c>
      <c r="AA895" s="270">
        <f t="shared" si="243"/>
        <v>9310</v>
      </c>
      <c r="AB895" s="270">
        <f t="shared" si="243"/>
        <v>9310</v>
      </c>
      <c r="AC895" s="270">
        <f t="shared" si="243"/>
        <v>9310</v>
      </c>
      <c r="AD895" s="270">
        <f t="shared" si="242"/>
        <v>9310</v>
      </c>
      <c r="AE895" s="270">
        <f t="shared" si="241"/>
        <v>9310</v>
      </c>
      <c r="AF895" s="270">
        <f t="shared" si="240"/>
        <v>9310</v>
      </c>
      <c r="AG895" s="270">
        <f t="shared" si="240"/>
        <v>9310</v>
      </c>
      <c r="AH895" s="270">
        <f t="shared" si="240"/>
        <v>9310</v>
      </c>
      <c r="AI895" s="270">
        <f t="shared" si="240"/>
        <v>9310</v>
      </c>
      <c r="AJ895" s="270">
        <f t="shared" si="240"/>
        <v>9310</v>
      </c>
      <c r="AK895" s="270">
        <f t="shared" si="240"/>
        <v>9310</v>
      </c>
      <c r="AL895" s="270">
        <f t="shared" si="240"/>
        <v>9310</v>
      </c>
      <c r="AM895" s="270">
        <f t="shared" si="240"/>
        <v>9310</v>
      </c>
    </row>
    <row r="896" spans="2:39" ht="15.75" thickBot="1" x14ac:dyDescent="0.35">
      <c r="B896" s="56" t="str">
        <f>input_names!$E$3</f>
        <v>plug-in</v>
      </c>
      <c r="C896" s="61">
        <v>141</v>
      </c>
      <c r="D896" s="270">
        <f t="shared" si="242"/>
        <v>5896</v>
      </c>
      <c r="E896" s="270">
        <f t="shared" si="242"/>
        <v>6642</v>
      </c>
      <c r="F896" s="270">
        <f t="shared" si="242"/>
        <v>29700</v>
      </c>
      <c r="G896" s="270">
        <f t="shared" si="242"/>
        <v>28609</v>
      </c>
      <c r="H896" s="270">
        <f t="shared" si="242"/>
        <v>27731</v>
      </c>
      <c r="I896" s="270">
        <f t="shared" si="242"/>
        <v>27327</v>
      </c>
      <c r="J896" s="270">
        <f t="shared" si="242"/>
        <v>19362</v>
      </c>
      <c r="K896" s="270">
        <f t="shared" si="242"/>
        <v>19550</v>
      </c>
      <c r="L896" s="270">
        <f t="shared" si="242"/>
        <v>20827</v>
      </c>
      <c r="M896" s="270">
        <f t="shared" si="242"/>
        <v>22911</v>
      </c>
      <c r="N896" s="270">
        <f t="shared" si="242"/>
        <v>9483</v>
      </c>
      <c r="O896" s="270">
        <f t="shared" si="242"/>
        <v>9483</v>
      </c>
      <c r="P896" s="270">
        <f t="shared" si="242"/>
        <v>9483</v>
      </c>
      <c r="Q896" s="270">
        <f t="shared" si="242"/>
        <v>9483</v>
      </c>
      <c r="R896" s="270">
        <f t="shared" si="242"/>
        <v>9483</v>
      </c>
      <c r="S896" s="270">
        <f t="shared" si="243"/>
        <v>9483</v>
      </c>
      <c r="T896" s="270">
        <f t="shared" si="243"/>
        <v>9483</v>
      </c>
      <c r="U896" s="270">
        <f t="shared" si="243"/>
        <v>9483</v>
      </c>
      <c r="V896" s="270">
        <f t="shared" si="243"/>
        <v>9483</v>
      </c>
      <c r="W896" s="270">
        <f t="shared" si="243"/>
        <v>9483</v>
      </c>
      <c r="X896" s="270">
        <f t="shared" si="243"/>
        <v>9483</v>
      </c>
      <c r="Y896" s="270">
        <f t="shared" si="243"/>
        <v>9483</v>
      </c>
      <c r="Z896" s="270">
        <f t="shared" si="243"/>
        <v>9483</v>
      </c>
      <c r="AA896" s="270">
        <f t="shared" si="243"/>
        <v>9483</v>
      </c>
      <c r="AB896" s="270">
        <f t="shared" si="243"/>
        <v>9483</v>
      </c>
      <c r="AC896" s="270">
        <f t="shared" si="243"/>
        <v>9483</v>
      </c>
      <c r="AD896" s="270">
        <f t="shared" si="242"/>
        <v>9483</v>
      </c>
      <c r="AE896" s="270">
        <f t="shared" si="241"/>
        <v>9483</v>
      </c>
      <c r="AF896" s="270">
        <f t="shared" si="240"/>
        <v>9483</v>
      </c>
      <c r="AG896" s="270">
        <f t="shared" si="240"/>
        <v>9483</v>
      </c>
      <c r="AH896" s="270">
        <f t="shared" si="240"/>
        <v>9483</v>
      </c>
      <c r="AI896" s="270">
        <f t="shared" si="240"/>
        <v>9483</v>
      </c>
      <c r="AJ896" s="270">
        <f t="shared" ref="AF896:AM924" si="244">+MIN(MAX(0,$C896-AJ$28),AJ$29-AJ$28)*AJ$34
+MIN(MAX(0,$C896-AJ$29),AJ$30-AJ$29)*AJ$35
+MIN(MAX(0,$C896-AJ$30),AJ$31-AJ$30)*AJ$36
+MIN(MAX(0,$C896-AJ$31),AJ$32-AJ$31)*AJ$37
+MAX(0,$C896-AJ$32)*AJ$38
+AJ$39</f>
        <v>9483</v>
      </c>
      <c r="AK896" s="270">
        <f t="shared" si="244"/>
        <v>9483</v>
      </c>
      <c r="AL896" s="270">
        <f t="shared" si="244"/>
        <v>9483</v>
      </c>
      <c r="AM896" s="270">
        <f t="shared" si="244"/>
        <v>9483</v>
      </c>
    </row>
    <row r="897" spans="2:39" ht="15.75" thickBot="1" x14ac:dyDescent="0.35">
      <c r="B897" s="56" t="str">
        <f>input_names!$E$3</f>
        <v>plug-in</v>
      </c>
      <c r="C897" s="61">
        <v>142</v>
      </c>
      <c r="D897" s="270">
        <f t="shared" si="242"/>
        <v>6008</v>
      </c>
      <c r="E897" s="270">
        <f t="shared" si="242"/>
        <v>6765</v>
      </c>
      <c r="F897" s="270">
        <f t="shared" si="242"/>
        <v>30000</v>
      </c>
      <c r="G897" s="270">
        <f t="shared" si="242"/>
        <v>28898</v>
      </c>
      <c r="H897" s="270">
        <f t="shared" si="242"/>
        <v>28002</v>
      </c>
      <c r="I897" s="270">
        <f t="shared" si="242"/>
        <v>27594</v>
      </c>
      <c r="J897" s="270">
        <f t="shared" si="242"/>
        <v>19564</v>
      </c>
      <c r="K897" s="270">
        <f t="shared" si="242"/>
        <v>19754</v>
      </c>
      <c r="L897" s="270">
        <f t="shared" si="242"/>
        <v>21044</v>
      </c>
      <c r="M897" s="270">
        <f t="shared" si="242"/>
        <v>23150</v>
      </c>
      <c r="N897" s="270">
        <f t="shared" si="242"/>
        <v>9767</v>
      </c>
      <c r="O897" s="270">
        <f t="shared" si="242"/>
        <v>9767</v>
      </c>
      <c r="P897" s="270">
        <f t="shared" si="242"/>
        <v>9767</v>
      </c>
      <c r="Q897" s="270">
        <f t="shared" si="242"/>
        <v>9767</v>
      </c>
      <c r="R897" s="270">
        <f t="shared" si="242"/>
        <v>9767</v>
      </c>
      <c r="S897" s="270">
        <f>+MIN(MAX(0,$C897-S$28),S$29-S$28)*S$34
+MIN(MAX(0,$C897-S$29),S$30-S$29)*S$35
+MIN(MAX(0,$C897-S$30),S$31-S$30)*S$36
+MIN(MAX(0,$C897-S$31),S$32-S$31)*S$37
+MAX(0,$C897-S$32)*S$38
+S$39</f>
        <v>9767</v>
      </c>
      <c r="T897" s="270">
        <f t="shared" si="243"/>
        <v>9767</v>
      </c>
      <c r="U897" s="270">
        <f t="shared" si="243"/>
        <v>9767</v>
      </c>
      <c r="V897" s="270">
        <f t="shared" si="243"/>
        <v>9767</v>
      </c>
      <c r="W897" s="270">
        <f t="shared" si="243"/>
        <v>9767</v>
      </c>
      <c r="X897" s="270">
        <f t="shared" si="243"/>
        <v>9767</v>
      </c>
      <c r="Y897" s="270">
        <f t="shared" si="243"/>
        <v>9767</v>
      </c>
      <c r="Z897" s="270">
        <f t="shared" si="243"/>
        <v>9767</v>
      </c>
      <c r="AA897" s="270">
        <f t="shared" si="243"/>
        <v>9767</v>
      </c>
      <c r="AB897" s="270">
        <f t="shared" si="243"/>
        <v>9767</v>
      </c>
      <c r="AC897" s="270">
        <f t="shared" si="243"/>
        <v>9767</v>
      </c>
      <c r="AD897" s="270">
        <f>+MIN(MAX(0,$C897-AD$28),AD$29-AD$28)*AD$34
+MIN(MAX(0,$C897-AD$29),AD$30-AD$29)*AD$35
+MIN(MAX(0,$C897-AD$30),AD$31-AD$30)*AD$36
+MIN(MAX(0,$C897-AD$31),AD$32-AD$31)*AD$37
+MAX(0,$C897-AD$32)*AD$38
+AD$39</f>
        <v>9767</v>
      </c>
      <c r="AE897" s="270">
        <f t="shared" si="241"/>
        <v>9767</v>
      </c>
      <c r="AF897" s="270">
        <f t="shared" si="244"/>
        <v>9767</v>
      </c>
      <c r="AG897" s="270">
        <f t="shared" si="244"/>
        <v>9767</v>
      </c>
      <c r="AH897" s="270">
        <f t="shared" si="244"/>
        <v>9767</v>
      </c>
      <c r="AI897" s="270">
        <f t="shared" si="244"/>
        <v>9767</v>
      </c>
      <c r="AJ897" s="270">
        <f t="shared" si="244"/>
        <v>9767</v>
      </c>
      <c r="AK897" s="270">
        <f t="shared" si="244"/>
        <v>9767</v>
      </c>
      <c r="AL897" s="270">
        <f t="shared" si="244"/>
        <v>9767</v>
      </c>
      <c r="AM897" s="270">
        <f t="shared" si="244"/>
        <v>9767</v>
      </c>
    </row>
    <row r="898" spans="2:39" ht="15.75" thickBot="1" x14ac:dyDescent="0.35">
      <c r="B898" s="56" t="str">
        <f>input_names!$E$3</f>
        <v>plug-in</v>
      </c>
      <c r="C898" s="61">
        <v>143</v>
      </c>
      <c r="D898" s="270">
        <f t="shared" ref="D898:AD913" si="245">+MIN(MAX(0,$C898-D$28),D$29-D$28)*D$34
+MIN(MAX(0,$C898-D$29),D$30-D$29)*D$35
+MIN(MAX(0,$C898-D$30),D$31-D$30)*D$36
+MIN(MAX(0,$C898-D$31),D$32-D$31)*D$37
+MAX(0,$C898-D$32)*D$38
+D$39</f>
        <v>6120</v>
      </c>
      <c r="E898" s="270">
        <f t="shared" si="245"/>
        <v>6888</v>
      </c>
      <c r="F898" s="270">
        <f t="shared" si="245"/>
        <v>30300</v>
      </c>
      <c r="G898" s="270">
        <f t="shared" si="245"/>
        <v>29187</v>
      </c>
      <c r="H898" s="270">
        <f t="shared" si="245"/>
        <v>28273</v>
      </c>
      <c r="I898" s="270">
        <f t="shared" si="245"/>
        <v>27861</v>
      </c>
      <c r="J898" s="270">
        <f t="shared" si="245"/>
        <v>19766</v>
      </c>
      <c r="K898" s="270">
        <f t="shared" si="245"/>
        <v>19958</v>
      </c>
      <c r="L898" s="270">
        <f t="shared" si="245"/>
        <v>21261</v>
      </c>
      <c r="M898" s="270">
        <f t="shared" si="245"/>
        <v>23389</v>
      </c>
      <c r="N898" s="270">
        <f t="shared" si="245"/>
        <v>10051</v>
      </c>
      <c r="O898" s="270">
        <f t="shared" si="245"/>
        <v>10051</v>
      </c>
      <c r="P898" s="270">
        <f t="shared" si="245"/>
        <v>10051</v>
      </c>
      <c r="Q898" s="270">
        <f t="shared" si="245"/>
        <v>10051</v>
      </c>
      <c r="R898" s="270">
        <f t="shared" si="245"/>
        <v>10051</v>
      </c>
      <c r="S898" s="270">
        <f t="shared" ref="S898:AC913" si="246">+MIN(MAX(0,$C898-S$28),S$29-S$28)*S$34
+MIN(MAX(0,$C898-S$29),S$30-S$29)*S$35
+MIN(MAX(0,$C898-S$30),S$31-S$30)*S$36
+MIN(MAX(0,$C898-S$31),S$32-S$31)*S$37
+MAX(0,$C898-S$32)*S$38
+S$39</f>
        <v>10051</v>
      </c>
      <c r="T898" s="270">
        <f t="shared" si="246"/>
        <v>10051</v>
      </c>
      <c r="U898" s="270">
        <f t="shared" si="246"/>
        <v>10051</v>
      </c>
      <c r="V898" s="270">
        <f t="shared" si="246"/>
        <v>10051</v>
      </c>
      <c r="W898" s="270">
        <f t="shared" si="246"/>
        <v>10051</v>
      </c>
      <c r="X898" s="270">
        <f t="shared" si="246"/>
        <v>10051</v>
      </c>
      <c r="Y898" s="270">
        <f t="shared" si="246"/>
        <v>10051</v>
      </c>
      <c r="Z898" s="270">
        <f t="shared" si="246"/>
        <v>10051</v>
      </c>
      <c r="AA898" s="270">
        <f t="shared" si="246"/>
        <v>10051</v>
      </c>
      <c r="AB898" s="270">
        <f t="shared" si="246"/>
        <v>10051</v>
      </c>
      <c r="AC898" s="270">
        <f t="shared" si="246"/>
        <v>10051</v>
      </c>
      <c r="AD898" s="270">
        <f t="shared" si="245"/>
        <v>10051</v>
      </c>
      <c r="AE898" s="270">
        <f t="shared" si="241"/>
        <v>10051</v>
      </c>
      <c r="AF898" s="270">
        <f t="shared" si="244"/>
        <v>10051</v>
      </c>
      <c r="AG898" s="270">
        <f t="shared" si="244"/>
        <v>10051</v>
      </c>
      <c r="AH898" s="270">
        <f t="shared" si="244"/>
        <v>10051</v>
      </c>
      <c r="AI898" s="270">
        <f t="shared" si="244"/>
        <v>10051</v>
      </c>
      <c r="AJ898" s="270">
        <f t="shared" si="244"/>
        <v>10051</v>
      </c>
      <c r="AK898" s="270">
        <f t="shared" si="244"/>
        <v>10051</v>
      </c>
      <c r="AL898" s="270">
        <f t="shared" si="244"/>
        <v>10051</v>
      </c>
      <c r="AM898" s="270">
        <f t="shared" si="244"/>
        <v>10051</v>
      </c>
    </row>
    <row r="899" spans="2:39" ht="15.75" thickBot="1" x14ac:dyDescent="0.35">
      <c r="B899" s="56" t="str">
        <f>input_names!$E$3</f>
        <v>plug-in</v>
      </c>
      <c r="C899" s="61">
        <v>144</v>
      </c>
      <c r="D899" s="270">
        <f t="shared" si="245"/>
        <v>6232</v>
      </c>
      <c r="E899" s="270">
        <f t="shared" si="245"/>
        <v>7011</v>
      </c>
      <c r="F899" s="270">
        <f t="shared" si="245"/>
        <v>30600</v>
      </c>
      <c r="G899" s="270">
        <f t="shared" si="245"/>
        <v>29476</v>
      </c>
      <c r="H899" s="270">
        <f t="shared" si="245"/>
        <v>28544</v>
      </c>
      <c r="I899" s="270">
        <f t="shared" si="245"/>
        <v>28128</v>
      </c>
      <c r="J899" s="270">
        <f t="shared" si="245"/>
        <v>19968</v>
      </c>
      <c r="K899" s="270">
        <f t="shared" si="245"/>
        <v>20162</v>
      </c>
      <c r="L899" s="270">
        <f t="shared" si="245"/>
        <v>21478</v>
      </c>
      <c r="M899" s="270">
        <f t="shared" si="245"/>
        <v>23628</v>
      </c>
      <c r="N899" s="270">
        <f t="shared" si="245"/>
        <v>10335</v>
      </c>
      <c r="O899" s="270">
        <f t="shared" si="245"/>
        <v>10335</v>
      </c>
      <c r="P899" s="270">
        <f t="shared" si="245"/>
        <v>10335</v>
      </c>
      <c r="Q899" s="270">
        <f t="shared" si="245"/>
        <v>10335</v>
      </c>
      <c r="R899" s="270">
        <f t="shared" si="245"/>
        <v>10335</v>
      </c>
      <c r="S899" s="270">
        <f t="shared" si="246"/>
        <v>10335</v>
      </c>
      <c r="T899" s="270">
        <f t="shared" si="246"/>
        <v>10335</v>
      </c>
      <c r="U899" s="270">
        <f t="shared" si="246"/>
        <v>10335</v>
      </c>
      <c r="V899" s="270">
        <f t="shared" si="246"/>
        <v>10335</v>
      </c>
      <c r="W899" s="270">
        <f t="shared" si="246"/>
        <v>10335</v>
      </c>
      <c r="X899" s="270">
        <f t="shared" si="246"/>
        <v>10335</v>
      </c>
      <c r="Y899" s="270">
        <f t="shared" si="246"/>
        <v>10335</v>
      </c>
      <c r="Z899" s="270">
        <f t="shared" si="246"/>
        <v>10335</v>
      </c>
      <c r="AA899" s="270">
        <f t="shared" si="246"/>
        <v>10335</v>
      </c>
      <c r="AB899" s="270">
        <f t="shared" si="246"/>
        <v>10335</v>
      </c>
      <c r="AC899" s="270">
        <f t="shared" si="246"/>
        <v>10335</v>
      </c>
      <c r="AD899" s="270">
        <f t="shared" si="245"/>
        <v>10335</v>
      </c>
      <c r="AE899" s="270">
        <f t="shared" si="241"/>
        <v>10335</v>
      </c>
      <c r="AF899" s="270">
        <f t="shared" si="244"/>
        <v>10335</v>
      </c>
      <c r="AG899" s="270">
        <f t="shared" si="244"/>
        <v>10335</v>
      </c>
      <c r="AH899" s="270">
        <f t="shared" si="244"/>
        <v>10335</v>
      </c>
      <c r="AI899" s="270">
        <f t="shared" si="244"/>
        <v>10335</v>
      </c>
      <c r="AJ899" s="270">
        <f t="shared" si="244"/>
        <v>10335</v>
      </c>
      <c r="AK899" s="270">
        <f t="shared" si="244"/>
        <v>10335</v>
      </c>
      <c r="AL899" s="270">
        <f t="shared" si="244"/>
        <v>10335</v>
      </c>
      <c r="AM899" s="270">
        <f t="shared" si="244"/>
        <v>10335</v>
      </c>
    </row>
    <row r="900" spans="2:39" ht="15.75" thickBot="1" x14ac:dyDescent="0.35">
      <c r="B900" s="56" t="str">
        <f>input_names!$E$3</f>
        <v>plug-in</v>
      </c>
      <c r="C900" s="61">
        <v>145</v>
      </c>
      <c r="D900" s="270">
        <f t="shared" si="245"/>
        <v>6344</v>
      </c>
      <c r="E900" s="270">
        <f t="shared" si="245"/>
        <v>7134</v>
      </c>
      <c r="F900" s="270">
        <f t="shared" si="245"/>
        <v>30900</v>
      </c>
      <c r="G900" s="270">
        <f t="shared" si="245"/>
        <v>29765</v>
      </c>
      <c r="H900" s="270">
        <f t="shared" si="245"/>
        <v>28815</v>
      </c>
      <c r="I900" s="270">
        <f t="shared" si="245"/>
        <v>28395</v>
      </c>
      <c r="J900" s="270">
        <f t="shared" si="245"/>
        <v>20170</v>
      </c>
      <c r="K900" s="270">
        <f t="shared" si="245"/>
        <v>20366</v>
      </c>
      <c r="L900" s="270">
        <f t="shared" si="245"/>
        <v>21695</v>
      </c>
      <c r="M900" s="270">
        <f t="shared" si="245"/>
        <v>23867</v>
      </c>
      <c r="N900" s="270">
        <f t="shared" si="245"/>
        <v>10619</v>
      </c>
      <c r="O900" s="270">
        <f t="shared" si="245"/>
        <v>10619</v>
      </c>
      <c r="P900" s="270">
        <f t="shared" si="245"/>
        <v>10619</v>
      </c>
      <c r="Q900" s="270">
        <f t="shared" si="245"/>
        <v>10619</v>
      </c>
      <c r="R900" s="270">
        <f t="shared" si="245"/>
        <v>10619</v>
      </c>
      <c r="S900" s="270">
        <f t="shared" si="246"/>
        <v>10619</v>
      </c>
      <c r="T900" s="270">
        <f t="shared" si="246"/>
        <v>10619</v>
      </c>
      <c r="U900" s="270">
        <f t="shared" si="246"/>
        <v>10619</v>
      </c>
      <c r="V900" s="270">
        <f t="shared" si="246"/>
        <v>10619</v>
      </c>
      <c r="W900" s="270">
        <f t="shared" si="246"/>
        <v>10619</v>
      </c>
      <c r="X900" s="270">
        <f t="shared" si="246"/>
        <v>10619</v>
      </c>
      <c r="Y900" s="270">
        <f t="shared" si="246"/>
        <v>10619</v>
      </c>
      <c r="Z900" s="270">
        <f t="shared" si="246"/>
        <v>10619</v>
      </c>
      <c r="AA900" s="270">
        <f t="shared" si="246"/>
        <v>10619</v>
      </c>
      <c r="AB900" s="270">
        <f t="shared" si="246"/>
        <v>10619</v>
      </c>
      <c r="AC900" s="270">
        <f t="shared" si="246"/>
        <v>10619</v>
      </c>
      <c r="AD900" s="270">
        <f t="shared" si="245"/>
        <v>10619</v>
      </c>
      <c r="AE900" s="270">
        <f t="shared" si="241"/>
        <v>10619</v>
      </c>
      <c r="AF900" s="270">
        <f t="shared" si="244"/>
        <v>10619</v>
      </c>
      <c r="AG900" s="270">
        <f t="shared" si="244"/>
        <v>10619</v>
      </c>
      <c r="AH900" s="270">
        <f t="shared" si="244"/>
        <v>10619</v>
      </c>
      <c r="AI900" s="270">
        <f t="shared" si="244"/>
        <v>10619</v>
      </c>
      <c r="AJ900" s="270">
        <f t="shared" si="244"/>
        <v>10619</v>
      </c>
      <c r="AK900" s="270">
        <f t="shared" si="244"/>
        <v>10619</v>
      </c>
      <c r="AL900" s="270">
        <f t="shared" si="244"/>
        <v>10619</v>
      </c>
      <c r="AM900" s="270">
        <f t="shared" si="244"/>
        <v>10619</v>
      </c>
    </row>
    <row r="901" spans="2:39" ht="15.75" thickBot="1" x14ac:dyDescent="0.35">
      <c r="B901" s="56" t="str">
        <f>input_names!$E$3</f>
        <v>plug-in</v>
      </c>
      <c r="C901" s="61">
        <v>146</v>
      </c>
      <c r="D901" s="270">
        <f t="shared" si="245"/>
        <v>6456</v>
      </c>
      <c r="E901" s="270">
        <f t="shared" si="245"/>
        <v>7257</v>
      </c>
      <c r="F901" s="270">
        <f t="shared" si="245"/>
        <v>31200</v>
      </c>
      <c r="G901" s="270">
        <f t="shared" si="245"/>
        <v>30054</v>
      </c>
      <c r="H901" s="270">
        <f t="shared" si="245"/>
        <v>29086</v>
      </c>
      <c r="I901" s="270">
        <f t="shared" si="245"/>
        <v>28662</v>
      </c>
      <c r="J901" s="270">
        <f t="shared" si="245"/>
        <v>20372</v>
      </c>
      <c r="K901" s="270">
        <f t="shared" si="245"/>
        <v>20570</v>
      </c>
      <c r="L901" s="270">
        <f t="shared" si="245"/>
        <v>21912</v>
      </c>
      <c r="M901" s="270">
        <f t="shared" si="245"/>
        <v>24106</v>
      </c>
      <c r="N901" s="270">
        <f t="shared" si="245"/>
        <v>10903</v>
      </c>
      <c r="O901" s="270">
        <f t="shared" si="245"/>
        <v>10903</v>
      </c>
      <c r="P901" s="270">
        <f t="shared" si="245"/>
        <v>10903</v>
      </c>
      <c r="Q901" s="270">
        <f t="shared" si="245"/>
        <v>10903</v>
      </c>
      <c r="R901" s="270">
        <f t="shared" si="245"/>
        <v>10903</v>
      </c>
      <c r="S901" s="270">
        <f t="shared" si="246"/>
        <v>10903</v>
      </c>
      <c r="T901" s="270">
        <f t="shared" si="246"/>
        <v>10903</v>
      </c>
      <c r="U901" s="270">
        <f t="shared" si="246"/>
        <v>10903</v>
      </c>
      <c r="V901" s="270">
        <f t="shared" si="246"/>
        <v>10903</v>
      </c>
      <c r="W901" s="270">
        <f t="shared" si="246"/>
        <v>10903</v>
      </c>
      <c r="X901" s="270">
        <f t="shared" si="246"/>
        <v>10903</v>
      </c>
      <c r="Y901" s="270">
        <f t="shared" si="246"/>
        <v>10903</v>
      </c>
      <c r="Z901" s="270">
        <f t="shared" si="246"/>
        <v>10903</v>
      </c>
      <c r="AA901" s="270">
        <f t="shared" si="246"/>
        <v>10903</v>
      </c>
      <c r="AB901" s="270">
        <f t="shared" si="246"/>
        <v>10903</v>
      </c>
      <c r="AC901" s="270">
        <f t="shared" si="246"/>
        <v>10903</v>
      </c>
      <c r="AD901" s="270">
        <f t="shared" si="245"/>
        <v>10903</v>
      </c>
      <c r="AE901" s="270">
        <f t="shared" si="241"/>
        <v>10903</v>
      </c>
      <c r="AF901" s="270">
        <f t="shared" si="244"/>
        <v>10903</v>
      </c>
      <c r="AG901" s="270">
        <f t="shared" si="244"/>
        <v>10903</v>
      </c>
      <c r="AH901" s="270">
        <f t="shared" si="244"/>
        <v>10903</v>
      </c>
      <c r="AI901" s="270">
        <f t="shared" si="244"/>
        <v>10903</v>
      </c>
      <c r="AJ901" s="270">
        <f t="shared" si="244"/>
        <v>10903</v>
      </c>
      <c r="AK901" s="270">
        <f t="shared" si="244"/>
        <v>10903</v>
      </c>
      <c r="AL901" s="270">
        <f t="shared" si="244"/>
        <v>10903</v>
      </c>
      <c r="AM901" s="270">
        <f t="shared" si="244"/>
        <v>10903</v>
      </c>
    </row>
    <row r="902" spans="2:39" ht="15.75" thickBot="1" x14ac:dyDescent="0.35">
      <c r="B902" s="56" t="str">
        <f>input_names!$E$3</f>
        <v>plug-in</v>
      </c>
      <c r="C902" s="61">
        <v>147</v>
      </c>
      <c r="D902" s="270">
        <f t="shared" si="245"/>
        <v>6568</v>
      </c>
      <c r="E902" s="270">
        <f t="shared" si="245"/>
        <v>7380</v>
      </c>
      <c r="F902" s="270">
        <f t="shared" si="245"/>
        <v>31500</v>
      </c>
      <c r="G902" s="270">
        <f t="shared" si="245"/>
        <v>30343</v>
      </c>
      <c r="H902" s="270">
        <f t="shared" si="245"/>
        <v>29357</v>
      </c>
      <c r="I902" s="270">
        <f t="shared" si="245"/>
        <v>28929</v>
      </c>
      <c r="J902" s="270">
        <f t="shared" si="245"/>
        <v>20574</v>
      </c>
      <c r="K902" s="270">
        <f t="shared" si="245"/>
        <v>20774</v>
      </c>
      <c r="L902" s="270">
        <f t="shared" si="245"/>
        <v>22129</v>
      </c>
      <c r="M902" s="270">
        <f t="shared" si="245"/>
        <v>24345</v>
      </c>
      <c r="N902" s="270">
        <f t="shared" si="245"/>
        <v>11187</v>
      </c>
      <c r="O902" s="270">
        <f t="shared" si="245"/>
        <v>11187</v>
      </c>
      <c r="P902" s="270">
        <f t="shared" si="245"/>
        <v>11187</v>
      </c>
      <c r="Q902" s="270">
        <f t="shared" si="245"/>
        <v>11187</v>
      </c>
      <c r="R902" s="270">
        <f t="shared" si="245"/>
        <v>11187</v>
      </c>
      <c r="S902" s="270">
        <f t="shared" si="246"/>
        <v>11187</v>
      </c>
      <c r="T902" s="270">
        <f t="shared" si="246"/>
        <v>11187</v>
      </c>
      <c r="U902" s="270">
        <f t="shared" si="246"/>
        <v>11187</v>
      </c>
      <c r="V902" s="270">
        <f t="shared" si="246"/>
        <v>11187</v>
      </c>
      <c r="W902" s="270">
        <f t="shared" si="246"/>
        <v>11187</v>
      </c>
      <c r="X902" s="270">
        <f t="shared" si="246"/>
        <v>11187</v>
      </c>
      <c r="Y902" s="270">
        <f t="shared" si="246"/>
        <v>11187</v>
      </c>
      <c r="Z902" s="270">
        <f t="shared" si="246"/>
        <v>11187</v>
      </c>
      <c r="AA902" s="270">
        <f t="shared" si="246"/>
        <v>11187</v>
      </c>
      <c r="AB902" s="270">
        <f t="shared" si="246"/>
        <v>11187</v>
      </c>
      <c r="AC902" s="270">
        <f t="shared" si="246"/>
        <v>11187</v>
      </c>
      <c r="AD902" s="270">
        <f t="shared" si="245"/>
        <v>11187</v>
      </c>
      <c r="AE902" s="270">
        <f t="shared" si="241"/>
        <v>11187</v>
      </c>
      <c r="AF902" s="270">
        <f t="shared" si="244"/>
        <v>11187</v>
      </c>
      <c r="AG902" s="270">
        <f t="shared" si="244"/>
        <v>11187</v>
      </c>
      <c r="AH902" s="270">
        <f t="shared" si="244"/>
        <v>11187</v>
      </c>
      <c r="AI902" s="270">
        <f t="shared" si="244"/>
        <v>11187</v>
      </c>
      <c r="AJ902" s="270">
        <f t="shared" si="244"/>
        <v>11187</v>
      </c>
      <c r="AK902" s="270">
        <f t="shared" si="244"/>
        <v>11187</v>
      </c>
      <c r="AL902" s="270">
        <f t="shared" si="244"/>
        <v>11187</v>
      </c>
      <c r="AM902" s="270">
        <f t="shared" si="244"/>
        <v>11187</v>
      </c>
    </row>
    <row r="903" spans="2:39" ht="15.75" thickBot="1" x14ac:dyDescent="0.35">
      <c r="B903" s="56" t="str">
        <f>input_names!$E$3</f>
        <v>plug-in</v>
      </c>
      <c r="C903" s="61">
        <v>148</v>
      </c>
      <c r="D903" s="270">
        <f t="shared" si="245"/>
        <v>6680</v>
      </c>
      <c r="E903" s="270">
        <f t="shared" si="245"/>
        <v>7503</v>
      </c>
      <c r="F903" s="270">
        <f t="shared" si="245"/>
        <v>31800</v>
      </c>
      <c r="G903" s="270">
        <f t="shared" si="245"/>
        <v>30632</v>
      </c>
      <c r="H903" s="270">
        <f t="shared" si="245"/>
        <v>29628</v>
      </c>
      <c r="I903" s="270">
        <f t="shared" si="245"/>
        <v>29196</v>
      </c>
      <c r="J903" s="270">
        <f t="shared" si="245"/>
        <v>20776</v>
      </c>
      <c r="K903" s="270">
        <f t="shared" si="245"/>
        <v>20978</v>
      </c>
      <c r="L903" s="270">
        <f t="shared" si="245"/>
        <v>22346</v>
      </c>
      <c r="M903" s="270">
        <f t="shared" si="245"/>
        <v>24584</v>
      </c>
      <c r="N903" s="270">
        <f t="shared" si="245"/>
        <v>11471</v>
      </c>
      <c r="O903" s="270">
        <f t="shared" si="245"/>
        <v>11471</v>
      </c>
      <c r="P903" s="270">
        <f t="shared" si="245"/>
        <v>11471</v>
      </c>
      <c r="Q903" s="270">
        <f t="shared" si="245"/>
        <v>11471</v>
      </c>
      <c r="R903" s="270">
        <f t="shared" si="245"/>
        <v>11471</v>
      </c>
      <c r="S903" s="270">
        <f t="shared" si="246"/>
        <v>11471</v>
      </c>
      <c r="T903" s="270">
        <f t="shared" si="246"/>
        <v>11471</v>
      </c>
      <c r="U903" s="270">
        <f t="shared" si="246"/>
        <v>11471</v>
      </c>
      <c r="V903" s="270">
        <f t="shared" si="246"/>
        <v>11471</v>
      </c>
      <c r="W903" s="270">
        <f t="shared" si="246"/>
        <v>11471</v>
      </c>
      <c r="X903" s="270">
        <f t="shared" si="246"/>
        <v>11471</v>
      </c>
      <c r="Y903" s="270">
        <f t="shared" si="246"/>
        <v>11471</v>
      </c>
      <c r="Z903" s="270">
        <f t="shared" si="246"/>
        <v>11471</v>
      </c>
      <c r="AA903" s="270">
        <f t="shared" si="246"/>
        <v>11471</v>
      </c>
      <c r="AB903" s="270">
        <f t="shared" si="246"/>
        <v>11471</v>
      </c>
      <c r="AC903" s="270">
        <f t="shared" si="246"/>
        <v>11471</v>
      </c>
      <c r="AD903" s="270">
        <f t="shared" si="245"/>
        <v>11471</v>
      </c>
      <c r="AE903" s="270">
        <f t="shared" si="241"/>
        <v>11471</v>
      </c>
      <c r="AF903" s="270">
        <f t="shared" si="244"/>
        <v>11471</v>
      </c>
      <c r="AG903" s="270">
        <f t="shared" si="244"/>
        <v>11471</v>
      </c>
      <c r="AH903" s="270">
        <f t="shared" si="244"/>
        <v>11471</v>
      </c>
      <c r="AI903" s="270">
        <f t="shared" si="244"/>
        <v>11471</v>
      </c>
      <c r="AJ903" s="270">
        <f t="shared" si="244"/>
        <v>11471</v>
      </c>
      <c r="AK903" s="270">
        <f t="shared" si="244"/>
        <v>11471</v>
      </c>
      <c r="AL903" s="270">
        <f t="shared" si="244"/>
        <v>11471</v>
      </c>
      <c r="AM903" s="270">
        <f t="shared" si="244"/>
        <v>11471</v>
      </c>
    </row>
    <row r="904" spans="2:39" ht="15.75" thickBot="1" x14ac:dyDescent="0.35">
      <c r="B904" s="56" t="str">
        <f>input_names!$E$3</f>
        <v>plug-in</v>
      </c>
      <c r="C904" s="61">
        <v>149</v>
      </c>
      <c r="D904" s="270">
        <f t="shared" si="245"/>
        <v>6792</v>
      </c>
      <c r="E904" s="270">
        <f t="shared" si="245"/>
        <v>7626</v>
      </c>
      <c r="F904" s="270">
        <f t="shared" si="245"/>
        <v>32100</v>
      </c>
      <c r="G904" s="270">
        <f t="shared" si="245"/>
        <v>30921</v>
      </c>
      <c r="H904" s="270">
        <f t="shared" si="245"/>
        <v>29899</v>
      </c>
      <c r="I904" s="270">
        <f t="shared" si="245"/>
        <v>29463</v>
      </c>
      <c r="J904" s="270">
        <f t="shared" si="245"/>
        <v>20978</v>
      </c>
      <c r="K904" s="270">
        <f t="shared" si="245"/>
        <v>21182</v>
      </c>
      <c r="L904" s="270">
        <f t="shared" si="245"/>
        <v>22563</v>
      </c>
      <c r="M904" s="270">
        <f t="shared" si="245"/>
        <v>24823</v>
      </c>
      <c r="N904" s="270">
        <f t="shared" si="245"/>
        <v>11755</v>
      </c>
      <c r="O904" s="270">
        <f t="shared" si="245"/>
        <v>11755</v>
      </c>
      <c r="P904" s="270">
        <f t="shared" si="245"/>
        <v>11755</v>
      </c>
      <c r="Q904" s="270">
        <f t="shared" si="245"/>
        <v>11755</v>
      </c>
      <c r="R904" s="270">
        <f t="shared" si="245"/>
        <v>11755</v>
      </c>
      <c r="S904" s="270">
        <f t="shared" si="246"/>
        <v>11755</v>
      </c>
      <c r="T904" s="270">
        <f t="shared" si="246"/>
        <v>11755</v>
      </c>
      <c r="U904" s="270">
        <f t="shared" si="246"/>
        <v>11755</v>
      </c>
      <c r="V904" s="270">
        <f t="shared" si="246"/>
        <v>11755</v>
      </c>
      <c r="W904" s="270">
        <f t="shared" si="246"/>
        <v>11755</v>
      </c>
      <c r="X904" s="270">
        <f t="shared" si="246"/>
        <v>11755</v>
      </c>
      <c r="Y904" s="270">
        <f t="shared" si="246"/>
        <v>11755</v>
      </c>
      <c r="Z904" s="270">
        <f t="shared" si="246"/>
        <v>11755</v>
      </c>
      <c r="AA904" s="270">
        <f t="shared" si="246"/>
        <v>11755</v>
      </c>
      <c r="AB904" s="270">
        <f t="shared" si="246"/>
        <v>11755</v>
      </c>
      <c r="AC904" s="270">
        <f t="shared" si="246"/>
        <v>11755</v>
      </c>
      <c r="AD904" s="270">
        <f t="shared" si="245"/>
        <v>11755</v>
      </c>
      <c r="AE904" s="270">
        <f t="shared" si="241"/>
        <v>11755</v>
      </c>
      <c r="AF904" s="270">
        <f t="shared" si="244"/>
        <v>11755</v>
      </c>
      <c r="AG904" s="270">
        <f t="shared" si="244"/>
        <v>11755</v>
      </c>
      <c r="AH904" s="270">
        <f t="shared" si="244"/>
        <v>11755</v>
      </c>
      <c r="AI904" s="270">
        <f t="shared" si="244"/>
        <v>11755</v>
      </c>
      <c r="AJ904" s="270">
        <f t="shared" si="244"/>
        <v>11755</v>
      </c>
      <c r="AK904" s="270">
        <f t="shared" si="244"/>
        <v>11755</v>
      </c>
      <c r="AL904" s="270">
        <f t="shared" si="244"/>
        <v>11755</v>
      </c>
      <c r="AM904" s="270">
        <f t="shared" si="244"/>
        <v>11755</v>
      </c>
    </row>
    <row r="905" spans="2:39" ht="15.75" thickBot="1" x14ac:dyDescent="0.35">
      <c r="B905" s="56" t="str">
        <f>input_names!$E$3</f>
        <v>plug-in</v>
      </c>
      <c r="C905" s="61">
        <v>150</v>
      </c>
      <c r="D905" s="270">
        <f t="shared" si="245"/>
        <v>6904</v>
      </c>
      <c r="E905" s="270">
        <f t="shared" si="245"/>
        <v>7749</v>
      </c>
      <c r="F905" s="270">
        <f t="shared" si="245"/>
        <v>32400</v>
      </c>
      <c r="G905" s="270">
        <f t="shared" si="245"/>
        <v>31210</v>
      </c>
      <c r="H905" s="270">
        <f t="shared" si="245"/>
        <v>30170</v>
      </c>
      <c r="I905" s="270">
        <f t="shared" si="245"/>
        <v>29730</v>
      </c>
      <c r="J905" s="270">
        <f t="shared" si="245"/>
        <v>21180</v>
      </c>
      <c r="K905" s="270">
        <f t="shared" si="245"/>
        <v>21386</v>
      </c>
      <c r="L905" s="270">
        <f t="shared" si="245"/>
        <v>22780</v>
      </c>
      <c r="M905" s="270">
        <f t="shared" si="245"/>
        <v>25062</v>
      </c>
      <c r="N905" s="270">
        <f t="shared" si="245"/>
        <v>12039</v>
      </c>
      <c r="O905" s="270">
        <f t="shared" si="245"/>
        <v>12039</v>
      </c>
      <c r="P905" s="270">
        <f t="shared" si="245"/>
        <v>12039</v>
      </c>
      <c r="Q905" s="270">
        <f t="shared" si="245"/>
        <v>12039</v>
      </c>
      <c r="R905" s="270">
        <f t="shared" si="245"/>
        <v>12039</v>
      </c>
      <c r="S905" s="270">
        <f t="shared" si="246"/>
        <v>12039</v>
      </c>
      <c r="T905" s="270">
        <f t="shared" si="246"/>
        <v>12039</v>
      </c>
      <c r="U905" s="270">
        <f t="shared" si="246"/>
        <v>12039</v>
      </c>
      <c r="V905" s="270">
        <f t="shared" si="246"/>
        <v>12039</v>
      </c>
      <c r="W905" s="270">
        <f t="shared" si="246"/>
        <v>12039</v>
      </c>
      <c r="X905" s="270">
        <f t="shared" si="246"/>
        <v>12039</v>
      </c>
      <c r="Y905" s="270">
        <f t="shared" si="246"/>
        <v>12039</v>
      </c>
      <c r="Z905" s="270">
        <f t="shared" si="246"/>
        <v>12039</v>
      </c>
      <c r="AA905" s="270">
        <f t="shared" si="246"/>
        <v>12039</v>
      </c>
      <c r="AB905" s="270">
        <f t="shared" si="246"/>
        <v>12039</v>
      </c>
      <c r="AC905" s="270">
        <f t="shared" si="246"/>
        <v>12039</v>
      </c>
      <c r="AD905" s="270">
        <f t="shared" si="245"/>
        <v>12039</v>
      </c>
      <c r="AE905" s="270">
        <f t="shared" si="241"/>
        <v>12039</v>
      </c>
      <c r="AF905" s="270">
        <f t="shared" si="244"/>
        <v>12039</v>
      </c>
      <c r="AG905" s="270">
        <f t="shared" si="244"/>
        <v>12039</v>
      </c>
      <c r="AH905" s="270">
        <f t="shared" si="244"/>
        <v>12039</v>
      </c>
      <c r="AI905" s="270">
        <f t="shared" si="244"/>
        <v>12039</v>
      </c>
      <c r="AJ905" s="270">
        <f t="shared" si="244"/>
        <v>12039</v>
      </c>
      <c r="AK905" s="270">
        <f t="shared" si="244"/>
        <v>12039</v>
      </c>
      <c r="AL905" s="270">
        <f t="shared" si="244"/>
        <v>12039</v>
      </c>
      <c r="AM905" s="270">
        <f t="shared" si="244"/>
        <v>12039</v>
      </c>
    </row>
    <row r="906" spans="2:39" ht="15.75" thickBot="1" x14ac:dyDescent="0.35">
      <c r="B906" s="56" t="str">
        <f>input_names!$E$3</f>
        <v>plug-in</v>
      </c>
      <c r="C906" s="61">
        <v>151</v>
      </c>
      <c r="D906" s="270">
        <f t="shared" si="245"/>
        <v>7016</v>
      </c>
      <c r="E906" s="270">
        <f t="shared" si="245"/>
        <v>7872</v>
      </c>
      <c r="F906" s="270">
        <f t="shared" si="245"/>
        <v>32700</v>
      </c>
      <c r="G906" s="270">
        <f t="shared" si="245"/>
        <v>31499</v>
      </c>
      <c r="H906" s="270">
        <f t="shared" si="245"/>
        <v>30441</v>
      </c>
      <c r="I906" s="270">
        <f t="shared" si="245"/>
        <v>29997</v>
      </c>
      <c r="J906" s="270">
        <f t="shared" si="245"/>
        <v>21382</v>
      </c>
      <c r="K906" s="270">
        <f t="shared" si="245"/>
        <v>21590</v>
      </c>
      <c r="L906" s="270">
        <f t="shared" si="245"/>
        <v>22997</v>
      </c>
      <c r="M906" s="270">
        <f t="shared" si="245"/>
        <v>25301</v>
      </c>
      <c r="N906" s="270">
        <f t="shared" si="245"/>
        <v>12323</v>
      </c>
      <c r="O906" s="270">
        <f t="shared" si="245"/>
        <v>12323</v>
      </c>
      <c r="P906" s="270">
        <f t="shared" si="245"/>
        <v>12323</v>
      </c>
      <c r="Q906" s="270">
        <f t="shared" si="245"/>
        <v>12323</v>
      </c>
      <c r="R906" s="270">
        <f t="shared" si="245"/>
        <v>12323</v>
      </c>
      <c r="S906" s="270">
        <f t="shared" si="246"/>
        <v>12323</v>
      </c>
      <c r="T906" s="270">
        <f t="shared" si="246"/>
        <v>12323</v>
      </c>
      <c r="U906" s="270">
        <f t="shared" si="246"/>
        <v>12323</v>
      </c>
      <c r="V906" s="270">
        <f t="shared" si="246"/>
        <v>12323</v>
      </c>
      <c r="W906" s="270">
        <f t="shared" si="246"/>
        <v>12323</v>
      </c>
      <c r="X906" s="270">
        <f t="shared" si="246"/>
        <v>12323</v>
      </c>
      <c r="Y906" s="270">
        <f t="shared" si="246"/>
        <v>12323</v>
      </c>
      <c r="Z906" s="270">
        <f t="shared" si="246"/>
        <v>12323</v>
      </c>
      <c r="AA906" s="270">
        <f t="shared" si="246"/>
        <v>12323</v>
      </c>
      <c r="AB906" s="270">
        <f t="shared" si="246"/>
        <v>12323</v>
      </c>
      <c r="AC906" s="270">
        <f t="shared" si="246"/>
        <v>12323</v>
      </c>
      <c r="AD906" s="270">
        <f t="shared" si="245"/>
        <v>12323</v>
      </c>
      <c r="AE906" s="270">
        <f t="shared" si="241"/>
        <v>12323</v>
      </c>
      <c r="AF906" s="270">
        <f t="shared" si="244"/>
        <v>12323</v>
      </c>
      <c r="AG906" s="270">
        <f t="shared" si="244"/>
        <v>12323</v>
      </c>
      <c r="AH906" s="270">
        <f t="shared" si="244"/>
        <v>12323</v>
      </c>
      <c r="AI906" s="270">
        <f t="shared" si="244"/>
        <v>12323</v>
      </c>
      <c r="AJ906" s="270">
        <f t="shared" si="244"/>
        <v>12323</v>
      </c>
      <c r="AK906" s="270">
        <f t="shared" si="244"/>
        <v>12323</v>
      </c>
      <c r="AL906" s="270">
        <f t="shared" si="244"/>
        <v>12323</v>
      </c>
      <c r="AM906" s="270">
        <f t="shared" si="244"/>
        <v>12323</v>
      </c>
    </row>
    <row r="907" spans="2:39" ht="15.75" thickBot="1" x14ac:dyDescent="0.35">
      <c r="B907" s="56" t="str">
        <f>input_names!$E$3</f>
        <v>plug-in</v>
      </c>
      <c r="C907" s="61">
        <v>152</v>
      </c>
      <c r="D907" s="270">
        <f t="shared" si="245"/>
        <v>7128</v>
      </c>
      <c r="E907" s="270">
        <f t="shared" si="245"/>
        <v>7995</v>
      </c>
      <c r="F907" s="270">
        <f t="shared" si="245"/>
        <v>33000</v>
      </c>
      <c r="G907" s="270">
        <f t="shared" si="245"/>
        <v>31788</v>
      </c>
      <c r="H907" s="270">
        <f t="shared" si="245"/>
        <v>30712</v>
      </c>
      <c r="I907" s="270">
        <f t="shared" si="245"/>
        <v>30264</v>
      </c>
      <c r="J907" s="270">
        <f t="shared" si="245"/>
        <v>21584</v>
      </c>
      <c r="K907" s="270">
        <f t="shared" si="245"/>
        <v>21794</v>
      </c>
      <c r="L907" s="270">
        <f t="shared" si="245"/>
        <v>23214</v>
      </c>
      <c r="M907" s="270">
        <f t="shared" si="245"/>
        <v>25540</v>
      </c>
      <c r="N907" s="270">
        <f t="shared" si="245"/>
        <v>12607</v>
      </c>
      <c r="O907" s="270">
        <f t="shared" si="245"/>
        <v>12607</v>
      </c>
      <c r="P907" s="270">
        <f t="shared" si="245"/>
        <v>12607</v>
      </c>
      <c r="Q907" s="270">
        <f t="shared" si="245"/>
        <v>12607</v>
      </c>
      <c r="R907" s="270">
        <f t="shared" si="245"/>
        <v>12607</v>
      </c>
      <c r="S907" s="270">
        <f t="shared" si="246"/>
        <v>12607</v>
      </c>
      <c r="T907" s="270">
        <f t="shared" si="246"/>
        <v>12607</v>
      </c>
      <c r="U907" s="270">
        <f t="shared" si="246"/>
        <v>12607</v>
      </c>
      <c r="V907" s="270">
        <f t="shared" si="246"/>
        <v>12607</v>
      </c>
      <c r="W907" s="270">
        <f t="shared" si="246"/>
        <v>12607</v>
      </c>
      <c r="X907" s="270">
        <f t="shared" si="246"/>
        <v>12607</v>
      </c>
      <c r="Y907" s="270">
        <f t="shared" si="246"/>
        <v>12607</v>
      </c>
      <c r="Z907" s="270">
        <f t="shared" si="246"/>
        <v>12607</v>
      </c>
      <c r="AA907" s="270">
        <f t="shared" si="246"/>
        <v>12607</v>
      </c>
      <c r="AB907" s="270">
        <f t="shared" si="246"/>
        <v>12607</v>
      </c>
      <c r="AC907" s="270">
        <f t="shared" si="246"/>
        <v>12607</v>
      </c>
      <c r="AD907" s="270">
        <f t="shared" si="245"/>
        <v>12607</v>
      </c>
      <c r="AE907" s="270">
        <f t="shared" si="241"/>
        <v>12607</v>
      </c>
      <c r="AF907" s="270">
        <f t="shared" si="244"/>
        <v>12607</v>
      </c>
      <c r="AG907" s="270">
        <f t="shared" si="244"/>
        <v>12607</v>
      </c>
      <c r="AH907" s="270">
        <f t="shared" si="244"/>
        <v>12607</v>
      </c>
      <c r="AI907" s="270">
        <f t="shared" si="244"/>
        <v>12607</v>
      </c>
      <c r="AJ907" s="270">
        <f t="shared" si="244"/>
        <v>12607</v>
      </c>
      <c r="AK907" s="270">
        <f t="shared" si="244"/>
        <v>12607</v>
      </c>
      <c r="AL907" s="270">
        <f t="shared" si="244"/>
        <v>12607</v>
      </c>
      <c r="AM907" s="270">
        <f t="shared" si="244"/>
        <v>12607</v>
      </c>
    </row>
    <row r="908" spans="2:39" ht="15.75" thickBot="1" x14ac:dyDescent="0.35">
      <c r="B908" s="56" t="str">
        <f>input_names!$E$3</f>
        <v>plug-in</v>
      </c>
      <c r="C908" s="61">
        <v>153</v>
      </c>
      <c r="D908" s="270">
        <f t="shared" si="245"/>
        <v>7240</v>
      </c>
      <c r="E908" s="270">
        <f t="shared" si="245"/>
        <v>8118</v>
      </c>
      <c r="F908" s="270">
        <f t="shared" si="245"/>
        <v>33300</v>
      </c>
      <c r="G908" s="270">
        <f t="shared" si="245"/>
        <v>32077</v>
      </c>
      <c r="H908" s="270">
        <f t="shared" si="245"/>
        <v>30983</v>
      </c>
      <c r="I908" s="270">
        <f t="shared" si="245"/>
        <v>30531</v>
      </c>
      <c r="J908" s="270">
        <f t="shared" si="245"/>
        <v>21786</v>
      </c>
      <c r="K908" s="270">
        <f t="shared" si="245"/>
        <v>21998</v>
      </c>
      <c r="L908" s="270">
        <f t="shared" si="245"/>
        <v>23431</v>
      </c>
      <c r="M908" s="270">
        <f t="shared" si="245"/>
        <v>25779</v>
      </c>
      <c r="N908" s="270">
        <f t="shared" si="245"/>
        <v>12891</v>
      </c>
      <c r="O908" s="270">
        <f t="shared" si="245"/>
        <v>12891</v>
      </c>
      <c r="P908" s="270">
        <f t="shared" si="245"/>
        <v>12891</v>
      </c>
      <c r="Q908" s="270">
        <f t="shared" si="245"/>
        <v>12891</v>
      </c>
      <c r="R908" s="270">
        <f t="shared" si="245"/>
        <v>12891</v>
      </c>
      <c r="S908" s="270">
        <f t="shared" si="246"/>
        <v>12891</v>
      </c>
      <c r="T908" s="270">
        <f t="shared" si="246"/>
        <v>12891</v>
      </c>
      <c r="U908" s="270">
        <f t="shared" si="246"/>
        <v>12891</v>
      </c>
      <c r="V908" s="270">
        <f t="shared" si="246"/>
        <v>12891</v>
      </c>
      <c r="W908" s="270">
        <f t="shared" si="246"/>
        <v>12891</v>
      </c>
      <c r="X908" s="270">
        <f t="shared" si="246"/>
        <v>12891</v>
      </c>
      <c r="Y908" s="270">
        <f t="shared" si="246"/>
        <v>12891</v>
      </c>
      <c r="Z908" s="270">
        <f t="shared" si="246"/>
        <v>12891</v>
      </c>
      <c r="AA908" s="270">
        <f t="shared" si="246"/>
        <v>12891</v>
      </c>
      <c r="AB908" s="270">
        <f t="shared" si="246"/>
        <v>12891</v>
      </c>
      <c r="AC908" s="270">
        <f t="shared" si="246"/>
        <v>12891</v>
      </c>
      <c r="AD908" s="270">
        <f t="shared" si="245"/>
        <v>12891</v>
      </c>
      <c r="AE908" s="270">
        <f t="shared" si="241"/>
        <v>12891</v>
      </c>
      <c r="AF908" s="270">
        <f t="shared" si="244"/>
        <v>12891</v>
      </c>
      <c r="AG908" s="270">
        <f t="shared" si="244"/>
        <v>12891</v>
      </c>
      <c r="AH908" s="270">
        <f t="shared" si="244"/>
        <v>12891</v>
      </c>
      <c r="AI908" s="270">
        <f t="shared" si="244"/>
        <v>12891</v>
      </c>
      <c r="AJ908" s="270">
        <f t="shared" si="244"/>
        <v>12891</v>
      </c>
      <c r="AK908" s="270">
        <f t="shared" si="244"/>
        <v>12891</v>
      </c>
      <c r="AL908" s="270">
        <f t="shared" si="244"/>
        <v>12891</v>
      </c>
      <c r="AM908" s="270">
        <f t="shared" si="244"/>
        <v>12891</v>
      </c>
    </row>
    <row r="909" spans="2:39" ht="15.75" thickBot="1" x14ac:dyDescent="0.35">
      <c r="B909" s="56" t="str">
        <f>input_names!$E$3</f>
        <v>plug-in</v>
      </c>
      <c r="C909" s="61">
        <v>154</v>
      </c>
      <c r="D909" s="270">
        <f t="shared" si="245"/>
        <v>7352</v>
      </c>
      <c r="E909" s="270">
        <f t="shared" si="245"/>
        <v>8241</v>
      </c>
      <c r="F909" s="270">
        <f t="shared" si="245"/>
        <v>33600</v>
      </c>
      <c r="G909" s="270">
        <f t="shared" si="245"/>
        <v>32366</v>
      </c>
      <c r="H909" s="270">
        <f t="shared" si="245"/>
        <v>31254</v>
      </c>
      <c r="I909" s="270">
        <f t="shared" si="245"/>
        <v>30798</v>
      </c>
      <c r="J909" s="270">
        <f t="shared" si="245"/>
        <v>21988</v>
      </c>
      <c r="K909" s="270">
        <f t="shared" si="245"/>
        <v>22202</v>
      </c>
      <c r="L909" s="270">
        <f t="shared" si="245"/>
        <v>23648</v>
      </c>
      <c r="M909" s="270">
        <f t="shared" si="245"/>
        <v>26018</v>
      </c>
      <c r="N909" s="270">
        <f t="shared" si="245"/>
        <v>13175</v>
      </c>
      <c r="O909" s="270">
        <f t="shared" si="245"/>
        <v>13175</v>
      </c>
      <c r="P909" s="270">
        <f t="shared" si="245"/>
        <v>13175</v>
      </c>
      <c r="Q909" s="270">
        <f t="shared" si="245"/>
        <v>13175</v>
      </c>
      <c r="R909" s="270">
        <f t="shared" si="245"/>
        <v>13175</v>
      </c>
      <c r="S909" s="270">
        <f t="shared" si="246"/>
        <v>13175</v>
      </c>
      <c r="T909" s="270">
        <f t="shared" si="246"/>
        <v>13175</v>
      </c>
      <c r="U909" s="270">
        <f t="shared" si="246"/>
        <v>13175</v>
      </c>
      <c r="V909" s="270">
        <f t="shared" si="246"/>
        <v>13175</v>
      </c>
      <c r="W909" s="270">
        <f t="shared" si="246"/>
        <v>13175</v>
      </c>
      <c r="X909" s="270">
        <f t="shared" si="246"/>
        <v>13175</v>
      </c>
      <c r="Y909" s="270">
        <f t="shared" si="246"/>
        <v>13175</v>
      </c>
      <c r="Z909" s="270">
        <f t="shared" si="246"/>
        <v>13175</v>
      </c>
      <c r="AA909" s="270">
        <f t="shared" si="246"/>
        <v>13175</v>
      </c>
      <c r="AB909" s="270">
        <f t="shared" si="246"/>
        <v>13175</v>
      </c>
      <c r="AC909" s="270">
        <f t="shared" si="246"/>
        <v>13175</v>
      </c>
      <c r="AD909" s="270">
        <f t="shared" si="245"/>
        <v>13175</v>
      </c>
      <c r="AE909" s="270">
        <f t="shared" si="241"/>
        <v>13175</v>
      </c>
      <c r="AF909" s="270">
        <f t="shared" si="244"/>
        <v>13175</v>
      </c>
      <c r="AG909" s="270">
        <f t="shared" si="244"/>
        <v>13175</v>
      </c>
      <c r="AH909" s="270">
        <f t="shared" si="244"/>
        <v>13175</v>
      </c>
      <c r="AI909" s="270">
        <f t="shared" si="244"/>
        <v>13175</v>
      </c>
      <c r="AJ909" s="270">
        <f t="shared" si="244"/>
        <v>13175</v>
      </c>
      <c r="AK909" s="270">
        <f t="shared" si="244"/>
        <v>13175</v>
      </c>
      <c r="AL909" s="270">
        <f t="shared" si="244"/>
        <v>13175</v>
      </c>
      <c r="AM909" s="270">
        <f t="shared" si="244"/>
        <v>13175</v>
      </c>
    </row>
    <row r="910" spans="2:39" ht="15.75" thickBot="1" x14ac:dyDescent="0.35">
      <c r="B910" s="56" t="str">
        <f>input_names!$E$3</f>
        <v>plug-in</v>
      </c>
      <c r="C910" s="61">
        <v>155</v>
      </c>
      <c r="D910" s="270">
        <f t="shared" si="245"/>
        <v>7464</v>
      </c>
      <c r="E910" s="270">
        <f t="shared" si="245"/>
        <v>8364</v>
      </c>
      <c r="F910" s="270">
        <f t="shared" si="245"/>
        <v>33900</v>
      </c>
      <c r="G910" s="270">
        <f t="shared" si="245"/>
        <v>32655</v>
      </c>
      <c r="H910" s="270">
        <f t="shared" si="245"/>
        <v>31525</v>
      </c>
      <c r="I910" s="270">
        <f t="shared" si="245"/>
        <v>31065</v>
      </c>
      <c r="J910" s="270">
        <f t="shared" si="245"/>
        <v>22190</v>
      </c>
      <c r="K910" s="270">
        <f t="shared" si="245"/>
        <v>22406</v>
      </c>
      <c r="L910" s="270">
        <f t="shared" si="245"/>
        <v>23865</v>
      </c>
      <c r="M910" s="270">
        <f t="shared" si="245"/>
        <v>26257</v>
      </c>
      <c r="N910" s="270">
        <f t="shared" si="245"/>
        <v>13459</v>
      </c>
      <c r="O910" s="270">
        <f t="shared" si="245"/>
        <v>13459</v>
      </c>
      <c r="P910" s="270">
        <f t="shared" si="245"/>
        <v>13459</v>
      </c>
      <c r="Q910" s="270">
        <f t="shared" si="245"/>
        <v>13459</v>
      </c>
      <c r="R910" s="270">
        <f t="shared" si="245"/>
        <v>13459</v>
      </c>
      <c r="S910" s="270">
        <f t="shared" si="246"/>
        <v>13459</v>
      </c>
      <c r="T910" s="270">
        <f t="shared" si="246"/>
        <v>13459</v>
      </c>
      <c r="U910" s="270">
        <f t="shared" si="246"/>
        <v>13459</v>
      </c>
      <c r="V910" s="270">
        <f t="shared" si="246"/>
        <v>13459</v>
      </c>
      <c r="W910" s="270">
        <f t="shared" si="246"/>
        <v>13459</v>
      </c>
      <c r="X910" s="270">
        <f t="shared" si="246"/>
        <v>13459</v>
      </c>
      <c r="Y910" s="270">
        <f t="shared" si="246"/>
        <v>13459</v>
      </c>
      <c r="Z910" s="270">
        <f t="shared" si="246"/>
        <v>13459</v>
      </c>
      <c r="AA910" s="270">
        <f t="shared" si="246"/>
        <v>13459</v>
      </c>
      <c r="AB910" s="270">
        <f t="shared" si="246"/>
        <v>13459</v>
      </c>
      <c r="AC910" s="270">
        <f t="shared" si="246"/>
        <v>13459</v>
      </c>
      <c r="AD910" s="270">
        <f t="shared" si="245"/>
        <v>13459</v>
      </c>
      <c r="AE910" s="270">
        <f t="shared" si="241"/>
        <v>13459</v>
      </c>
      <c r="AF910" s="270">
        <f t="shared" si="244"/>
        <v>13459</v>
      </c>
      <c r="AG910" s="270">
        <f t="shared" si="244"/>
        <v>13459</v>
      </c>
      <c r="AH910" s="270">
        <f t="shared" si="244"/>
        <v>13459</v>
      </c>
      <c r="AI910" s="270">
        <f t="shared" si="244"/>
        <v>13459</v>
      </c>
      <c r="AJ910" s="270">
        <f t="shared" si="244"/>
        <v>13459</v>
      </c>
      <c r="AK910" s="270">
        <f t="shared" si="244"/>
        <v>13459</v>
      </c>
      <c r="AL910" s="270">
        <f t="shared" si="244"/>
        <v>13459</v>
      </c>
      <c r="AM910" s="270">
        <f t="shared" si="244"/>
        <v>13459</v>
      </c>
    </row>
    <row r="911" spans="2:39" ht="15.75" thickBot="1" x14ac:dyDescent="0.35">
      <c r="B911" s="56" t="str">
        <f>input_names!$E$3</f>
        <v>plug-in</v>
      </c>
      <c r="C911" s="61">
        <v>156</v>
      </c>
      <c r="D911" s="270">
        <f t="shared" si="245"/>
        <v>7576</v>
      </c>
      <c r="E911" s="270">
        <f t="shared" si="245"/>
        <v>8602</v>
      </c>
      <c r="F911" s="270">
        <f t="shared" si="245"/>
        <v>34200</v>
      </c>
      <c r="G911" s="270">
        <f t="shared" si="245"/>
        <v>32944</v>
      </c>
      <c r="H911" s="270">
        <f t="shared" si="245"/>
        <v>31796</v>
      </c>
      <c r="I911" s="270">
        <f t="shared" si="245"/>
        <v>31332</v>
      </c>
      <c r="J911" s="270">
        <f t="shared" si="245"/>
        <v>22392</v>
      </c>
      <c r="K911" s="270">
        <f t="shared" si="245"/>
        <v>22610</v>
      </c>
      <c r="L911" s="270">
        <f t="shared" si="245"/>
        <v>24082</v>
      </c>
      <c r="M911" s="270">
        <f t="shared" si="245"/>
        <v>26496</v>
      </c>
      <c r="N911" s="270">
        <f t="shared" si="245"/>
        <v>13743</v>
      </c>
      <c r="O911" s="270">
        <f t="shared" si="245"/>
        <v>13743</v>
      </c>
      <c r="P911" s="270">
        <f t="shared" si="245"/>
        <v>13743</v>
      </c>
      <c r="Q911" s="270">
        <f t="shared" si="245"/>
        <v>13743</v>
      </c>
      <c r="R911" s="270">
        <f t="shared" si="245"/>
        <v>13743</v>
      </c>
      <c r="S911" s="270">
        <f t="shared" si="246"/>
        <v>13743</v>
      </c>
      <c r="T911" s="270">
        <f t="shared" si="246"/>
        <v>13743</v>
      </c>
      <c r="U911" s="270">
        <f t="shared" si="246"/>
        <v>13743</v>
      </c>
      <c r="V911" s="270">
        <f t="shared" si="246"/>
        <v>13743</v>
      </c>
      <c r="W911" s="270">
        <f t="shared" si="246"/>
        <v>13743</v>
      </c>
      <c r="X911" s="270">
        <f t="shared" si="246"/>
        <v>13743</v>
      </c>
      <c r="Y911" s="270">
        <f t="shared" si="246"/>
        <v>13743</v>
      </c>
      <c r="Z911" s="270">
        <f t="shared" si="246"/>
        <v>13743</v>
      </c>
      <c r="AA911" s="270">
        <f t="shared" si="246"/>
        <v>13743</v>
      </c>
      <c r="AB911" s="270">
        <f t="shared" si="246"/>
        <v>13743</v>
      </c>
      <c r="AC911" s="270">
        <f t="shared" si="246"/>
        <v>13743</v>
      </c>
      <c r="AD911" s="270">
        <f t="shared" si="245"/>
        <v>13743</v>
      </c>
      <c r="AE911" s="270">
        <f t="shared" si="241"/>
        <v>13743</v>
      </c>
      <c r="AF911" s="270">
        <f t="shared" si="244"/>
        <v>13743</v>
      </c>
      <c r="AG911" s="270">
        <f t="shared" si="244"/>
        <v>13743</v>
      </c>
      <c r="AH911" s="270">
        <f t="shared" si="244"/>
        <v>13743</v>
      </c>
      <c r="AI911" s="270">
        <f t="shared" si="244"/>
        <v>13743</v>
      </c>
      <c r="AJ911" s="270">
        <f t="shared" si="244"/>
        <v>13743</v>
      </c>
      <c r="AK911" s="270">
        <f t="shared" si="244"/>
        <v>13743</v>
      </c>
      <c r="AL911" s="270">
        <f t="shared" si="244"/>
        <v>13743</v>
      </c>
      <c r="AM911" s="270">
        <f t="shared" si="244"/>
        <v>13743</v>
      </c>
    </row>
    <row r="912" spans="2:39" ht="15.75" thickBot="1" x14ac:dyDescent="0.35">
      <c r="B912" s="56" t="str">
        <f>input_names!$E$3</f>
        <v>plug-in</v>
      </c>
      <c r="C912" s="61">
        <v>157</v>
      </c>
      <c r="D912" s="270">
        <f t="shared" si="245"/>
        <v>7688</v>
      </c>
      <c r="E912" s="270">
        <f t="shared" si="245"/>
        <v>8840</v>
      </c>
      <c r="F912" s="270">
        <f t="shared" si="245"/>
        <v>34500</v>
      </c>
      <c r="G912" s="270">
        <f t="shared" si="245"/>
        <v>33233</v>
      </c>
      <c r="H912" s="270">
        <f t="shared" si="245"/>
        <v>32067</v>
      </c>
      <c r="I912" s="270">
        <f t="shared" si="245"/>
        <v>31599</v>
      </c>
      <c r="J912" s="270">
        <f t="shared" si="245"/>
        <v>22594</v>
      </c>
      <c r="K912" s="270">
        <f t="shared" si="245"/>
        <v>22814</v>
      </c>
      <c r="L912" s="270">
        <f t="shared" si="245"/>
        <v>24299</v>
      </c>
      <c r="M912" s="270">
        <f t="shared" si="245"/>
        <v>26735</v>
      </c>
      <c r="N912" s="270">
        <f t="shared" si="245"/>
        <v>14027</v>
      </c>
      <c r="O912" s="270">
        <f t="shared" si="245"/>
        <v>14027</v>
      </c>
      <c r="P912" s="270">
        <f t="shared" si="245"/>
        <v>14027</v>
      </c>
      <c r="Q912" s="270">
        <f t="shared" si="245"/>
        <v>14027</v>
      </c>
      <c r="R912" s="270">
        <f t="shared" si="245"/>
        <v>14027</v>
      </c>
      <c r="S912" s="270">
        <f t="shared" si="246"/>
        <v>14027</v>
      </c>
      <c r="T912" s="270">
        <f t="shared" si="246"/>
        <v>14027</v>
      </c>
      <c r="U912" s="270">
        <f t="shared" si="246"/>
        <v>14027</v>
      </c>
      <c r="V912" s="270">
        <f t="shared" si="246"/>
        <v>14027</v>
      </c>
      <c r="W912" s="270">
        <f t="shared" si="246"/>
        <v>14027</v>
      </c>
      <c r="X912" s="270">
        <f t="shared" si="246"/>
        <v>14027</v>
      </c>
      <c r="Y912" s="270">
        <f t="shared" si="246"/>
        <v>14027</v>
      </c>
      <c r="Z912" s="270">
        <f t="shared" si="246"/>
        <v>14027</v>
      </c>
      <c r="AA912" s="270">
        <f t="shared" si="246"/>
        <v>14027</v>
      </c>
      <c r="AB912" s="270">
        <f t="shared" si="246"/>
        <v>14027</v>
      </c>
      <c r="AC912" s="270">
        <f t="shared" si="246"/>
        <v>14027</v>
      </c>
      <c r="AD912" s="270">
        <f t="shared" si="245"/>
        <v>14027</v>
      </c>
      <c r="AE912" s="270">
        <f t="shared" si="241"/>
        <v>14027</v>
      </c>
      <c r="AF912" s="270">
        <f t="shared" si="244"/>
        <v>14027</v>
      </c>
      <c r="AG912" s="270">
        <f t="shared" si="244"/>
        <v>14027</v>
      </c>
      <c r="AH912" s="270">
        <f t="shared" si="244"/>
        <v>14027</v>
      </c>
      <c r="AI912" s="270">
        <f t="shared" si="244"/>
        <v>14027</v>
      </c>
      <c r="AJ912" s="270">
        <f t="shared" si="244"/>
        <v>14027</v>
      </c>
      <c r="AK912" s="270">
        <f t="shared" si="244"/>
        <v>14027</v>
      </c>
      <c r="AL912" s="270">
        <f t="shared" si="244"/>
        <v>14027</v>
      </c>
      <c r="AM912" s="270">
        <f t="shared" si="244"/>
        <v>14027</v>
      </c>
    </row>
    <row r="913" spans="2:39" ht="15.75" thickBot="1" x14ac:dyDescent="0.35">
      <c r="B913" s="56" t="str">
        <f>input_names!$E$3</f>
        <v>plug-in</v>
      </c>
      <c r="C913" s="61">
        <v>158</v>
      </c>
      <c r="D913" s="270">
        <f t="shared" si="245"/>
        <v>7800</v>
      </c>
      <c r="E913" s="270">
        <f t="shared" si="245"/>
        <v>9078</v>
      </c>
      <c r="F913" s="270">
        <f t="shared" si="245"/>
        <v>34800</v>
      </c>
      <c r="G913" s="270">
        <f t="shared" si="245"/>
        <v>33522</v>
      </c>
      <c r="H913" s="270">
        <f t="shared" si="245"/>
        <v>32338</v>
      </c>
      <c r="I913" s="270">
        <f t="shared" si="245"/>
        <v>31866</v>
      </c>
      <c r="J913" s="270">
        <f t="shared" si="245"/>
        <v>22796</v>
      </c>
      <c r="K913" s="270">
        <f t="shared" si="245"/>
        <v>23018</v>
      </c>
      <c r="L913" s="270">
        <f t="shared" si="245"/>
        <v>24516</v>
      </c>
      <c r="M913" s="270">
        <f t="shared" si="245"/>
        <v>26974</v>
      </c>
      <c r="N913" s="270">
        <f t="shared" si="245"/>
        <v>14595</v>
      </c>
      <c r="O913" s="270">
        <f t="shared" si="245"/>
        <v>14595</v>
      </c>
      <c r="P913" s="270">
        <f t="shared" si="245"/>
        <v>14595</v>
      </c>
      <c r="Q913" s="270">
        <f t="shared" si="245"/>
        <v>14595</v>
      </c>
      <c r="R913" s="270">
        <f t="shared" si="245"/>
        <v>14595</v>
      </c>
      <c r="S913" s="270">
        <f>+MIN(MAX(0,$C913-S$28),S$29-S$28)*S$34
+MIN(MAX(0,$C913-S$29),S$30-S$29)*S$35
+MIN(MAX(0,$C913-S$30),S$31-S$30)*S$36
+MIN(MAX(0,$C913-S$31),S$32-S$31)*S$37
+MAX(0,$C913-S$32)*S$38
+S$39</f>
        <v>14595</v>
      </c>
      <c r="T913" s="270">
        <f t="shared" si="246"/>
        <v>14595</v>
      </c>
      <c r="U913" s="270">
        <f t="shared" si="246"/>
        <v>14595</v>
      </c>
      <c r="V913" s="270">
        <f t="shared" si="246"/>
        <v>14595</v>
      </c>
      <c r="W913" s="270">
        <f t="shared" si="246"/>
        <v>14595</v>
      </c>
      <c r="X913" s="270">
        <f t="shared" si="246"/>
        <v>14595</v>
      </c>
      <c r="Y913" s="270">
        <f t="shared" si="246"/>
        <v>14595</v>
      </c>
      <c r="Z913" s="270">
        <f t="shared" si="246"/>
        <v>14595</v>
      </c>
      <c r="AA913" s="270">
        <f t="shared" si="246"/>
        <v>14595</v>
      </c>
      <c r="AB913" s="270">
        <f t="shared" si="246"/>
        <v>14595</v>
      </c>
      <c r="AC913" s="270">
        <f t="shared" si="246"/>
        <v>14595</v>
      </c>
      <c r="AD913" s="270">
        <f>+MIN(MAX(0,$C913-AD$28),AD$29-AD$28)*AD$34
+MIN(MAX(0,$C913-AD$29),AD$30-AD$29)*AD$35
+MIN(MAX(0,$C913-AD$30),AD$31-AD$30)*AD$36
+MIN(MAX(0,$C913-AD$31),AD$32-AD$31)*AD$37
+MAX(0,$C913-AD$32)*AD$38
+AD$39</f>
        <v>14595</v>
      </c>
      <c r="AE913" s="270">
        <f t="shared" si="241"/>
        <v>14595</v>
      </c>
      <c r="AF913" s="270">
        <f t="shared" si="244"/>
        <v>14595</v>
      </c>
      <c r="AG913" s="270">
        <f t="shared" si="244"/>
        <v>14595</v>
      </c>
      <c r="AH913" s="270">
        <f t="shared" si="244"/>
        <v>14595</v>
      </c>
      <c r="AI913" s="270">
        <f t="shared" si="244"/>
        <v>14595</v>
      </c>
      <c r="AJ913" s="270">
        <f t="shared" si="244"/>
        <v>14595</v>
      </c>
      <c r="AK913" s="270">
        <f t="shared" si="244"/>
        <v>14595</v>
      </c>
      <c r="AL913" s="270">
        <f t="shared" si="244"/>
        <v>14595</v>
      </c>
      <c r="AM913" s="270">
        <f t="shared" si="244"/>
        <v>14595</v>
      </c>
    </row>
    <row r="914" spans="2:39" ht="15.75" thickBot="1" x14ac:dyDescent="0.35">
      <c r="B914" s="56" t="str">
        <f>input_names!$E$3</f>
        <v>plug-in</v>
      </c>
      <c r="C914" s="61">
        <v>159</v>
      </c>
      <c r="D914" s="270">
        <f t="shared" ref="D914:AD929" si="247">+MIN(MAX(0,$C914-D$28),D$29-D$28)*D$34
+MIN(MAX(0,$C914-D$29),D$30-D$29)*D$35
+MIN(MAX(0,$C914-D$30),D$31-D$30)*D$36
+MIN(MAX(0,$C914-D$31),D$32-D$31)*D$37
+MAX(0,$C914-D$32)*D$38
+D$39</f>
        <v>7912</v>
      </c>
      <c r="E914" s="270">
        <f t="shared" si="247"/>
        <v>9316</v>
      </c>
      <c r="F914" s="270">
        <f t="shared" si="247"/>
        <v>35100</v>
      </c>
      <c r="G914" s="270">
        <f t="shared" si="247"/>
        <v>33811</v>
      </c>
      <c r="H914" s="270">
        <f t="shared" si="247"/>
        <v>32609</v>
      </c>
      <c r="I914" s="270">
        <f t="shared" si="247"/>
        <v>32133</v>
      </c>
      <c r="J914" s="270">
        <f t="shared" si="247"/>
        <v>22998</v>
      </c>
      <c r="K914" s="270">
        <f t="shared" si="247"/>
        <v>23222</v>
      </c>
      <c r="L914" s="270">
        <f t="shared" si="247"/>
        <v>24733</v>
      </c>
      <c r="M914" s="270">
        <f t="shared" si="247"/>
        <v>27213</v>
      </c>
      <c r="N914" s="270">
        <f t="shared" si="247"/>
        <v>15163</v>
      </c>
      <c r="O914" s="270">
        <f t="shared" si="247"/>
        <v>15163</v>
      </c>
      <c r="P914" s="270">
        <f t="shared" si="247"/>
        <v>15163</v>
      </c>
      <c r="Q914" s="270">
        <f t="shared" si="247"/>
        <v>15163</v>
      </c>
      <c r="R914" s="270">
        <f t="shared" si="247"/>
        <v>15163</v>
      </c>
      <c r="S914" s="270">
        <f t="shared" ref="S914:AC929" si="248">+MIN(MAX(0,$C914-S$28),S$29-S$28)*S$34
+MIN(MAX(0,$C914-S$29),S$30-S$29)*S$35
+MIN(MAX(0,$C914-S$30),S$31-S$30)*S$36
+MIN(MAX(0,$C914-S$31),S$32-S$31)*S$37
+MAX(0,$C914-S$32)*S$38
+S$39</f>
        <v>15163</v>
      </c>
      <c r="T914" s="270">
        <f t="shared" si="248"/>
        <v>15163</v>
      </c>
      <c r="U914" s="270">
        <f t="shared" si="248"/>
        <v>15163</v>
      </c>
      <c r="V914" s="270">
        <f t="shared" si="248"/>
        <v>15163</v>
      </c>
      <c r="W914" s="270">
        <f t="shared" si="248"/>
        <v>15163</v>
      </c>
      <c r="X914" s="270">
        <f t="shared" si="248"/>
        <v>15163</v>
      </c>
      <c r="Y914" s="270">
        <f t="shared" si="248"/>
        <v>15163</v>
      </c>
      <c r="Z914" s="270">
        <f t="shared" si="248"/>
        <v>15163</v>
      </c>
      <c r="AA914" s="270">
        <f t="shared" si="248"/>
        <v>15163</v>
      </c>
      <c r="AB914" s="270">
        <f t="shared" si="248"/>
        <v>15163</v>
      </c>
      <c r="AC914" s="270">
        <f t="shared" si="248"/>
        <v>15163</v>
      </c>
      <c r="AD914" s="270">
        <f t="shared" si="247"/>
        <v>15163</v>
      </c>
      <c r="AE914" s="270">
        <f t="shared" si="241"/>
        <v>15163</v>
      </c>
      <c r="AF914" s="270">
        <f t="shared" si="244"/>
        <v>15163</v>
      </c>
      <c r="AG914" s="270">
        <f t="shared" si="244"/>
        <v>15163</v>
      </c>
      <c r="AH914" s="270">
        <f t="shared" si="244"/>
        <v>15163</v>
      </c>
      <c r="AI914" s="270">
        <f t="shared" si="244"/>
        <v>15163</v>
      </c>
      <c r="AJ914" s="270">
        <f t="shared" si="244"/>
        <v>15163</v>
      </c>
      <c r="AK914" s="270">
        <f t="shared" si="244"/>
        <v>15163</v>
      </c>
      <c r="AL914" s="270">
        <f t="shared" si="244"/>
        <v>15163</v>
      </c>
      <c r="AM914" s="270">
        <f t="shared" si="244"/>
        <v>15163</v>
      </c>
    </row>
    <row r="915" spans="2:39" ht="15.75" thickBot="1" x14ac:dyDescent="0.35">
      <c r="B915" s="56" t="str">
        <f>input_names!$E$3</f>
        <v>plug-in</v>
      </c>
      <c r="C915" s="61">
        <v>160</v>
      </c>
      <c r="D915" s="270">
        <f t="shared" si="247"/>
        <v>8024</v>
      </c>
      <c r="E915" s="270">
        <f t="shared" si="247"/>
        <v>9554</v>
      </c>
      <c r="F915" s="270">
        <f t="shared" si="247"/>
        <v>35400</v>
      </c>
      <c r="G915" s="270">
        <f t="shared" si="247"/>
        <v>34100</v>
      </c>
      <c r="H915" s="270">
        <f t="shared" si="247"/>
        <v>32880</v>
      </c>
      <c r="I915" s="270">
        <f t="shared" si="247"/>
        <v>32400</v>
      </c>
      <c r="J915" s="270">
        <f t="shared" si="247"/>
        <v>23200</v>
      </c>
      <c r="K915" s="270">
        <f t="shared" si="247"/>
        <v>23426</v>
      </c>
      <c r="L915" s="270">
        <f t="shared" si="247"/>
        <v>24950</v>
      </c>
      <c r="M915" s="270">
        <f t="shared" si="247"/>
        <v>27452</v>
      </c>
      <c r="N915" s="270">
        <f t="shared" si="247"/>
        <v>15731</v>
      </c>
      <c r="O915" s="270">
        <f t="shared" si="247"/>
        <v>15731</v>
      </c>
      <c r="P915" s="270">
        <f t="shared" si="247"/>
        <v>15731</v>
      </c>
      <c r="Q915" s="270">
        <f t="shared" si="247"/>
        <v>15731</v>
      </c>
      <c r="R915" s="270">
        <f t="shared" si="247"/>
        <v>15731</v>
      </c>
      <c r="S915" s="270">
        <f t="shared" si="248"/>
        <v>15731</v>
      </c>
      <c r="T915" s="270">
        <f t="shared" si="248"/>
        <v>15731</v>
      </c>
      <c r="U915" s="270">
        <f t="shared" si="248"/>
        <v>15731</v>
      </c>
      <c r="V915" s="270">
        <f t="shared" si="248"/>
        <v>15731</v>
      </c>
      <c r="W915" s="270">
        <f t="shared" si="248"/>
        <v>15731</v>
      </c>
      <c r="X915" s="270">
        <f t="shared" si="248"/>
        <v>15731</v>
      </c>
      <c r="Y915" s="270">
        <f t="shared" si="248"/>
        <v>15731</v>
      </c>
      <c r="Z915" s="270">
        <f t="shared" si="248"/>
        <v>15731</v>
      </c>
      <c r="AA915" s="270">
        <f t="shared" si="248"/>
        <v>15731</v>
      </c>
      <c r="AB915" s="270">
        <f t="shared" si="248"/>
        <v>15731</v>
      </c>
      <c r="AC915" s="270">
        <f t="shared" si="248"/>
        <v>15731</v>
      </c>
      <c r="AD915" s="270">
        <f t="shared" si="247"/>
        <v>15731</v>
      </c>
      <c r="AE915" s="270">
        <f t="shared" si="241"/>
        <v>15731</v>
      </c>
      <c r="AF915" s="270">
        <f t="shared" si="244"/>
        <v>15731</v>
      </c>
      <c r="AG915" s="270">
        <f t="shared" si="244"/>
        <v>15731</v>
      </c>
      <c r="AH915" s="270">
        <f t="shared" si="244"/>
        <v>15731</v>
      </c>
      <c r="AI915" s="270">
        <f t="shared" si="244"/>
        <v>15731</v>
      </c>
      <c r="AJ915" s="270">
        <f t="shared" si="244"/>
        <v>15731</v>
      </c>
      <c r="AK915" s="270">
        <f t="shared" si="244"/>
        <v>15731</v>
      </c>
      <c r="AL915" s="270">
        <f t="shared" si="244"/>
        <v>15731</v>
      </c>
      <c r="AM915" s="270">
        <f t="shared" si="244"/>
        <v>15731</v>
      </c>
    </row>
    <row r="916" spans="2:39" ht="15.75" thickBot="1" x14ac:dyDescent="0.35">
      <c r="B916" s="56" t="str">
        <f>input_names!$E$3</f>
        <v>plug-in</v>
      </c>
      <c r="C916" s="61">
        <v>161</v>
      </c>
      <c r="D916" s="270">
        <f t="shared" si="247"/>
        <v>8241</v>
      </c>
      <c r="E916" s="270">
        <f t="shared" si="247"/>
        <v>9792</v>
      </c>
      <c r="F916" s="270">
        <f t="shared" si="247"/>
        <v>35700</v>
      </c>
      <c r="G916" s="270">
        <f t="shared" si="247"/>
        <v>34389</v>
      </c>
      <c r="H916" s="270">
        <f t="shared" si="247"/>
        <v>33151</v>
      </c>
      <c r="I916" s="270">
        <f t="shared" si="247"/>
        <v>32667</v>
      </c>
      <c r="J916" s="270">
        <f t="shared" si="247"/>
        <v>23402</v>
      </c>
      <c r="K916" s="270">
        <f t="shared" si="247"/>
        <v>23630</v>
      </c>
      <c r="L916" s="270">
        <f t="shared" si="247"/>
        <v>25167</v>
      </c>
      <c r="M916" s="270">
        <f t="shared" si="247"/>
        <v>27691</v>
      </c>
      <c r="N916" s="270">
        <f t="shared" si="247"/>
        <v>16299</v>
      </c>
      <c r="O916" s="270">
        <f t="shared" si="247"/>
        <v>16299</v>
      </c>
      <c r="P916" s="270">
        <f t="shared" si="247"/>
        <v>16299</v>
      </c>
      <c r="Q916" s="270">
        <f t="shared" si="247"/>
        <v>16299</v>
      </c>
      <c r="R916" s="270">
        <f t="shared" si="247"/>
        <v>16299</v>
      </c>
      <c r="S916" s="270">
        <f t="shared" si="248"/>
        <v>16299</v>
      </c>
      <c r="T916" s="270">
        <f t="shared" si="248"/>
        <v>16299</v>
      </c>
      <c r="U916" s="270">
        <f t="shared" si="248"/>
        <v>16299</v>
      </c>
      <c r="V916" s="270">
        <f t="shared" si="248"/>
        <v>16299</v>
      </c>
      <c r="W916" s="270">
        <f t="shared" si="248"/>
        <v>16299</v>
      </c>
      <c r="X916" s="270">
        <f t="shared" si="248"/>
        <v>16299</v>
      </c>
      <c r="Y916" s="270">
        <f t="shared" si="248"/>
        <v>16299</v>
      </c>
      <c r="Z916" s="270">
        <f t="shared" si="248"/>
        <v>16299</v>
      </c>
      <c r="AA916" s="270">
        <f t="shared" si="248"/>
        <v>16299</v>
      </c>
      <c r="AB916" s="270">
        <f t="shared" si="248"/>
        <v>16299</v>
      </c>
      <c r="AC916" s="270">
        <f t="shared" si="248"/>
        <v>16299</v>
      </c>
      <c r="AD916" s="270">
        <f t="shared" si="247"/>
        <v>16299</v>
      </c>
      <c r="AE916" s="270">
        <f t="shared" si="241"/>
        <v>16299</v>
      </c>
      <c r="AF916" s="270">
        <f t="shared" si="244"/>
        <v>16299</v>
      </c>
      <c r="AG916" s="270">
        <f t="shared" si="244"/>
        <v>16299</v>
      </c>
      <c r="AH916" s="270">
        <f t="shared" si="244"/>
        <v>16299</v>
      </c>
      <c r="AI916" s="270">
        <f t="shared" si="244"/>
        <v>16299</v>
      </c>
      <c r="AJ916" s="270">
        <f t="shared" si="244"/>
        <v>16299</v>
      </c>
      <c r="AK916" s="270">
        <f t="shared" si="244"/>
        <v>16299</v>
      </c>
      <c r="AL916" s="270">
        <f t="shared" si="244"/>
        <v>16299</v>
      </c>
      <c r="AM916" s="270">
        <f t="shared" si="244"/>
        <v>16299</v>
      </c>
    </row>
    <row r="917" spans="2:39" ht="15.75" thickBot="1" x14ac:dyDescent="0.35">
      <c r="B917" s="56" t="str">
        <f>input_names!$E$3</f>
        <v>plug-in</v>
      </c>
      <c r="C917" s="61">
        <v>162</v>
      </c>
      <c r="D917" s="270">
        <f t="shared" si="247"/>
        <v>8458</v>
      </c>
      <c r="E917" s="270">
        <f t="shared" si="247"/>
        <v>10030</v>
      </c>
      <c r="F917" s="270">
        <f t="shared" si="247"/>
        <v>36000</v>
      </c>
      <c r="G917" s="270">
        <f t="shared" si="247"/>
        <v>34678</v>
      </c>
      <c r="H917" s="270">
        <f t="shared" si="247"/>
        <v>33422</v>
      </c>
      <c r="I917" s="270">
        <f t="shared" si="247"/>
        <v>32934</v>
      </c>
      <c r="J917" s="270">
        <f t="shared" si="247"/>
        <v>23604</v>
      </c>
      <c r="K917" s="270">
        <f t="shared" si="247"/>
        <v>23834</v>
      </c>
      <c r="L917" s="270">
        <f t="shared" si="247"/>
        <v>25384</v>
      </c>
      <c r="M917" s="270">
        <f t="shared" si="247"/>
        <v>27930</v>
      </c>
      <c r="N917" s="270">
        <f t="shared" si="247"/>
        <v>16867</v>
      </c>
      <c r="O917" s="270">
        <f t="shared" si="247"/>
        <v>16867</v>
      </c>
      <c r="P917" s="270">
        <f t="shared" si="247"/>
        <v>16867</v>
      </c>
      <c r="Q917" s="270">
        <f t="shared" si="247"/>
        <v>16867</v>
      </c>
      <c r="R917" s="270">
        <f t="shared" si="247"/>
        <v>16867</v>
      </c>
      <c r="S917" s="270">
        <f t="shared" si="248"/>
        <v>16867</v>
      </c>
      <c r="T917" s="270">
        <f t="shared" si="248"/>
        <v>16867</v>
      </c>
      <c r="U917" s="270">
        <f t="shared" si="248"/>
        <v>16867</v>
      </c>
      <c r="V917" s="270">
        <f t="shared" si="248"/>
        <v>16867</v>
      </c>
      <c r="W917" s="270">
        <f t="shared" si="248"/>
        <v>16867</v>
      </c>
      <c r="X917" s="270">
        <f t="shared" si="248"/>
        <v>16867</v>
      </c>
      <c r="Y917" s="270">
        <f t="shared" si="248"/>
        <v>16867</v>
      </c>
      <c r="Z917" s="270">
        <f t="shared" si="248"/>
        <v>16867</v>
      </c>
      <c r="AA917" s="270">
        <f t="shared" si="248"/>
        <v>16867</v>
      </c>
      <c r="AB917" s="270">
        <f t="shared" si="248"/>
        <v>16867</v>
      </c>
      <c r="AC917" s="270">
        <f t="shared" si="248"/>
        <v>16867</v>
      </c>
      <c r="AD917" s="270">
        <f t="shared" si="247"/>
        <v>16867</v>
      </c>
      <c r="AE917" s="270">
        <f t="shared" si="241"/>
        <v>16867</v>
      </c>
      <c r="AF917" s="270">
        <f t="shared" si="244"/>
        <v>16867</v>
      </c>
      <c r="AG917" s="270">
        <f t="shared" si="244"/>
        <v>16867</v>
      </c>
      <c r="AH917" s="270">
        <f t="shared" si="244"/>
        <v>16867</v>
      </c>
      <c r="AI917" s="270">
        <f t="shared" si="244"/>
        <v>16867</v>
      </c>
      <c r="AJ917" s="270">
        <f t="shared" si="244"/>
        <v>16867</v>
      </c>
      <c r="AK917" s="270">
        <f t="shared" si="244"/>
        <v>16867</v>
      </c>
      <c r="AL917" s="270">
        <f t="shared" si="244"/>
        <v>16867</v>
      </c>
      <c r="AM917" s="270">
        <f t="shared" si="244"/>
        <v>16867</v>
      </c>
    </row>
    <row r="918" spans="2:39" ht="15.75" thickBot="1" x14ac:dyDescent="0.35">
      <c r="B918" s="56" t="str">
        <f>input_names!$E$3</f>
        <v>plug-in</v>
      </c>
      <c r="C918" s="61">
        <v>163</v>
      </c>
      <c r="D918" s="270">
        <f t="shared" si="247"/>
        <v>8675</v>
      </c>
      <c r="E918" s="270">
        <f t="shared" si="247"/>
        <v>10268</v>
      </c>
      <c r="F918" s="270">
        <f t="shared" si="247"/>
        <v>36300</v>
      </c>
      <c r="G918" s="270">
        <f t="shared" si="247"/>
        <v>34967</v>
      </c>
      <c r="H918" s="270">
        <f t="shared" si="247"/>
        <v>33693</v>
      </c>
      <c r="I918" s="270">
        <f t="shared" si="247"/>
        <v>33201</v>
      </c>
      <c r="J918" s="270">
        <f t="shared" si="247"/>
        <v>23806</v>
      </c>
      <c r="K918" s="270">
        <f t="shared" si="247"/>
        <v>24038</v>
      </c>
      <c r="L918" s="270">
        <f t="shared" si="247"/>
        <v>25601</v>
      </c>
      <c r="M918" s="270">
        <f t="shared" si="247"/>
        <v>28169</v>
      </c>
      <c r="N918" s="270">
        <f t="shared" si="247"/>
        <v>17435</v>
      </c>
      <c r="O918" s="270">
        <f t="shared" si="247"/>
        <v>17435</v>
      </c>
      <c r="P918" s="270">
        <f t="shared" si="247"/>
        <v>17435</v>
      </c>
      <c r="Q918" s="270">
        <f t="shared" si="247"/>
        <v>17435</v>
      </c>
      <c r="R918" s="270">
        <f t="shared" si="247"/>
        <v>17435</v>
      </c>
      <c r="S918" s="270">
        <f t="shared" si="248"/>
        <v>17435</v>
      </c>
      <c r="T918" s="270">
        <f t="shared" si="248"/>
        <v>17435</v>
      </c>
      <c r="U918" s="270">
        <f t="shared" si="248"/>
        <v>17435</v>
      </c>
      <c r="V918" s="270">
        <f t="shared" si="248"/>
        <v>17435</v>
      </c>
      <c r="W918" s="270">
        <f t="shared" si="248"/>
        <v>17435</v>
      </c>
      <c r="X918" s="270">
        <f t="shared" si="248"/>
        <v>17435</v>
      </c>
      <c r="Y918" s="270">
        <f t="shared" si="248"/>
        <v>17435</v>
      </c>
      <c r="Z918" s="270">
        <f t="shared" si="248"/>
        <v>17435</v>
      </c>
      <c r="AA918" s="270">
        <f t="shared" si="248"/>
        <v>17435</v>
      </c>
      <c r="AB918" s="270">
        <f t="shared" si="248"/>
        <v>17435</v>
      </c>
      <c r="AC918" s="270">
        <f t="shared" si="248"/>
        <v>17435</v>
      </c>
      <c r="AD918" s="270">
        <f t="shared" si="247"/>
        <v>17435</v>
      </c>
      <c r="AE918" s="270">
        <f t="shared" si="241"/>
        <v>17435</v>
      </c>
      <c r="AF918" s="270">
        <f t="shared" si="244"/>
        <v>17435</v>
      </c>
      <c r="AG918" s="270">
        <f t="shared" si="244"/>
        <v>17435</v>
      </c>
      <c r="AH918" s="270">
        <f t="shared" si="244"/>
        <v>17435</v>
      </c>
      <c r="AI918" s="270">
        <f t="shared" si="244"/>
        <v>17435</v>
      </c>
      <c r="AJ918" s="270">
        <f t="shared" si="244"/>
        <v>17435</v>
      </c>
      <c r="AK918" s="270">
        <f t="shared" si="244"/>
        <v>17435</v>
      </c>
      <c r="AL918" s="270">
        <f t="shared" si="244"/>
        <v>17435</v>
      </c>
      <c r="AM918" s="270">
        <f t="shared" si="244"/>
        <v>17435</v>
      </c>
    </row>
    <row r="919" spans="2:39" ht="15.75" thickBot="1" x14ac:dyDescent="0.35">
      <c r="B919" s="56" t="str">
        <f>input_names!$E$3</f>
        <v>plug-in</v>
      </c>
      <c r="C919" s="61">
        <v>164</v>
      </c>
      <c r="D919" s="270">
        <f t="shared" si="247"/>
        <v>8892</v>
      </c>
      <c r="E919" s="270">
        <f t="shared" si="247"/>
        <v>10506</v>
      </c>
      <c r="F919" s="270">
        <f t="shared" si="247"/>
        <v>36600</v>
      </c>
      <c r="G919" s="270">
        <f t="shared" si="247"/>
        <v>35256</v>
      </c>
      <c r="H919" s="270">
        <f t="shared" si="247"/>
        <v>33964</v>
      </c>
      <c r="I919" s="270">
        <f t="shared" si="247"/>
        <v>33468</v>
      </c>
      <c r="J919" s="270">
        <f t="shared" si="247"/>
        <v>24008</v>
      </c>
      <c r="K919" s="270">
        <f t="shared" si="247"/>
        <v>24242</v>
      </c>
      <c r="L919" s="270">
        <f t="shared" si="247"/>
        <v>25818</v>
      </c>
      <c r="M919" s="270">
        <f t="shared" si="247"/>
        <v>28408</v>
      </c>
      <c r="N919" s="270">
        <f t="shared" si="247"/>
        <v>18003</v>
      </c>
      <c r="O919" s="270">
        <f t="shared" si="247"/>
        <v>18003</v>
      </c>
      <c r="P919" s="270">
        <f t="shared" si="247"/>
        <v>18003</v>
      </c>
      <c r="Q919" s="270">
        <f t="shared" si="247"/>
        <v>18003</v>
      </c>
      <c r="R919" s="270">
        <f t="shared" si="247"/>
        <v>18003</v>
      </c>
      <c r="S919" s="270">
        <f t="shared" si="248"/>
        <v>18003</v>
      </c>
      <c r="T919" s="270">
        <f t="shared" si="248"/>
        <v>18003</v>
      </c>
      <c r="U919" s="270">
        <f t="shared" si="248"/>
        <v>18003</v>
      </c>
      <c r="V919" s="270">
        <f t="shared" si="248"/>
        <v>18003</v>
      </c>
      <c r="W919" s="270">
        <f t="shared" si="248"/>
        <v>18003</v>
      </c>
      <c r="X919" s="270">
        <f t="shared" si="248"/>
        <v>18003</v>
      </c>
      <c r="Y919" s="270">
        <f t="shared" si="248"/>
        <v>18003</v>
      </c>
      <c r="Z919" s="270">
        <f t="shared" si="248"/>
        <v>18003</v>
      </c>
      <c r="AA919" s="270">
        <f t="shared" si="248"/>
        <v>18003</v>
      </c>
      <c r="AB919" s="270">
        <f t="shared" si="248"/>
        <v>18003</v>
      </c>
      <c r="AC919" s="270">
        <f t="shared" si="248"/>
        <v>18003</v>
      </c>
      <c r="AD919" s="270">
        <f t="shared" si="247"/>
        <v>18003</v>
      </c>
      <c r="AE919" s="270">
        <f t="shared" si="241"/>
        <v>18003</v>
      </c>
      <c r="AF919" s="270">
        <f t="shared" si="244"/>
        <v>18003</v>
      </c>
      <c r="AG919" s="270">
        <f t="shared" si="244"/>
        <v>18003</v>
      </c>
      <c r="AH919" s="270">
        <f t="shared" si="244"/>
        <v>18003</v>
      </c>
      <c r="AI919" s="270">
        <f t="shared" si="244"/>
        <v>18003</v>
      </c>
      <c r="AJ919" s="270">
        <f t="shared" si="244"/>
        <v>18003</v>
      </c>
      <c r="AK919" s="270">
        <f t="shared" si="244"/>
        <v>18003</v>
      </c>
      <c r="AL919" s="270">
        <f t="shared" si="244"/>
        <v>18003</v>
      </c>
      <c r="AM919" s="270">
        <f t="shared" si="244"/>
        <v>18003</v>
      </c>
    </row>
    <row r="920" spans="2:39" ht="15.75" thickBot="1" x14ac:dyDescent="0.35">
      <c r="B920" s="56" t="str">
        <f>input_names!$E$3</f>
        <v>plug-in</v>
      </c>
      <c r="C920" s="61">
        <v>165</v>
      </c>
      <c r="D920" s="270">
        <f t="shared" si="247"/>
        <v>9109</v>
      </c>
      <c r="E920" s="270">
        <f t="shared" si="247"/>
        <v>10744</v>
      </c>
      <c r="F920" s="270">
        <f t="shared" si="247"/>
        <v>36900</v>
      </c>
      <c r="G920" s="270">
        <f t="shared" si="247"/>
        <v>35545</v>
      </c>
      <c r="H920" s="270">
        <f t="shared" si="247"/>
        <v>34235</v>
      </c>
      <c r="I920" s="270">
        <f t="shared" si="247"/>
        <v>33735</v>
      </c>
      <c r="J920" s="270">
        <f t="shared" si="247"/>
        <v>24210</v>
      </c>
      <c r="K920" s="270">
        <f t="shared" si="247"/>
        <v>24446</v>
      </c>
      <c r="L920" s="270">
        <f t="shared" si="247"/>
        <v>26035</v>
      </c>
      <c r="M920" s="270">
        <f t="shared" si="247"/>
        <v>28647</v>
      </c>
      <c r="N920" s="270">
        <f t="shared" si="247"/>
        <v>18571</v>
      </c>
      <c r="O920" s="270">
        <f t="shared" si="247"/>
        <v>18571</v>
      </c>
      <c r="P920" s="270">
        <f t="shared" si="247"/>
        <v>18571</v>
      </c>
      <c r="Q920" s="270">
        <f t="shared" si="247"/>
        <v>18571</v>
      </c>
      <c r="R920" s="270">
        <f t="shared" si="247"/>
        <v>18571</v>
      </c>
      <c r="S920" s="270">
        <f t="shared" si="248"/>
        <v>18571</v>
      </c>
      <c r="T920" s="270">
        <f t="shared" si="248"/>
        <v>18571</v>
      </c>
      <c r="U920" s="270">
        <f t="shared" si="248"/>
        <v>18571</v>
      </c>
      <c r="V920" s="270">
        <f t="shared" si="248"/>
        <v>18571</v>
      </c>
      <c r="W920" s="270">
        <f t="shared" si="248"/>
        <v>18571</v>
      </c>
      <c r="X920" s="270">
        <f t="shared" si="248"/>
        <v>18571</v>
      </c>
      <c r="Y920" s="270">
        <f t="shared" si="248"/>
        <v>18571</v>
      </c>
      <c r="Z920" s="270">
        <f t="shared" si="248"/>
        <v>18571</v>
      </c>
      <c r="AA920" s="270">
        <f t="shared" si="248"/>
        <v>18571</v>
      </c>
      <c r="AB920" s="270">
        <f t="shared" si="248"/>
        <v>18571</v>
      </c>
      <c r="AC920" s="270">
        <f t="shared" si="248"/>
        <v>18571</v>
      </c>
      <c r="AD920" s="270">
        <f t="shared" si="247"/>
        <v>18571</v>
      </c>
      <c r="AE920" s="270">
        <f t="shared" si="241"/>
        <v>18571</v>
      </c>
      <c r="AF920" s="270">
        <f t="shared" si="244"/>
        <v>18571</v>
      </c>
      <c r="AG920" s="270">
        <f t="shared" si="244"/>
        <v>18571</v>
      </c>
      <c r="AH920" s="270">
        <f t="shared" si="244"/>
        <v>18571</v>
      </c>
      <c r="AI920" s="270">
        <f t="shared" si="244"/>
        <v>18571</v>
      </c>
      <c r="AJ920" s="270">
        <f t="shared" si="244"/>
        <v>18571</v>
      </c>
      <c r="AK920" s="270">
        <f t="shared" si="244"/>
        <v>18571</v>
      </c>
      <c r="AL920" s="270">
        <f t="shared" si="244"/>
        <v>18571</v>
      </c>
      <c r="AM920" s="270">
        <f t="shared" si="244"/>
        <v>18571</v>
      </c>
    </row>
    <row r="921" spans="2:39" ht="15.75" thickBot="1" x14ac:dyDescent="0.35">
      <c r="B921" s="56" t="str">
        <f>input_names!$E$3</f>
        <v>plug-in</v>
      </c>
      <c r="C921" s="61">
        <v>166</v>
      </c>
      <c r="D921" s="270">
        <f t="shared" si="247"/>
        <v>9326</v>
      </c>
      <c r="E921" s="270">
        <f t="shared" si="247"/>
        <v>10982</v>
      </c>
      <c r="F921" s="270">
        <f t="shared" si="247"/>
        <v>37200</v>
      </c>
      <c r="G921" s="270">
        <f t="shared" si="247"/>
        <v>35834</v>
      </c>
      <c r="H921" s="270">
        <f t="shared" si="247"/>
        <v>34506</v>
      </c>
      <c r="I921" s="270">
        <f t="shared" si="247"/>
        <v>34002</v>
      </c>
      <c r="J921" s="270">
        <f t="shared" si="247"/>
        <v>24412</v>
      </c>
      <c r="K921" s="270">
        <f t="shared" si="247"/>
        <v>24650</v>
      </c>
      <c r="L921" s="270">
        <f t="shared" si="247"/>
        <v>26252</v>
      </c>
      <c r="M921" s="270">
        <f t="shared" si="247"/>
        <v>28886</v>
      </c>
      <c r="N921" s="270">
        <f t="shared" si="247"/>
        <v>19139</v>
      </c>
      <c r="O921" s="270">
        <f t="shared" si="247"/>
        <v>19139</v>
      </c>
      <c r="P921" s="270">
        <f t="shared" si="247"/>
        <v>19139</v>
      </c>
      <c r="Q921" s="270">
        <f t="shared" si="247"/>
        <v>19139</v>
      </c>
      <c r="R921" s="270">
        <f t="shared" si="247"/>
        <v>19139</v>
      </c>
      <c r="S921" s="270">
        <f t="shared" si="248"/>
        <v>19139</v>
      </c>
      <c r="T921" s="270">
        <f t="shared" si="248"/>
        <v>19139</v>
      </c>
      <c r="U921" s="270">
        <f t="shared" si="248"/>
        <v>19139</v>
      </c>
      <c r="V921" s="270">
        <f t="shared" si="248"/>
        <v>19139</v>
      </c>
      <c r="W921" s="270">
        <f t="shared" si="248"/>
        <v>19139</v>
      </c>
      <c r="X921" s="270">
        <f t="shared" si="248"/>
        <v>19139</v>
      </c>
      <c r="Y921" s="270">
        <f t="shared" si="248"/>
        <v>19139</v>
      </c>
      <c r="Z921" s="270">
        <f t="shared" si="248"/>
        <v>19139</v>
      </c>
      <c r="AA921" s="270">
        <f t="shared" si="248"/>
        <v>19139</v>
      </c>
      <c r="AB921" s="270">
        <f t="shared" si="248"/>
        <v>19139</v>
      </c>
      <c r="AC921" s="270">
        <f t="shared" si="248"/>
        <v>19139</v>
      </c>
      <c r="AD921" s="270">
        <f t="shared" si="247"/>
        <v>19139</v>
      </c>
      <c r="AE921" s="270">
        <f t="shared" si="241"/>
        <v>19139</v>
      </c>
      <c r="AF921" s="270">
        <f t="shared" si="244"/>
        <v>19139</v>
      </c>
      <c r="AG921" s="270">
        <f t="shared" si="244"/>
        <v>19139</v>
      </c>
      <c r="AH921" s="270">
        <f t="shared" si="244"/>
        <v>19139</v>
      </c>
      <c r="AI921" s="270">
        <f t="shared" si="244"/>
        <v>19139</v>
      </c>
      <c r="AJ921" s="270">
        <f t="shared" si="244"/>
        <v>19139</v>
      </c>
      <c r="AK921" s="270">
        <f t="shared" si="244"/>
        <v>19139</v>
      </c>
      <c r="AL921" s="270">
        <f t="shared" si="244"/>
        <v>19139</v>
      </c>
      <c r="AM921" s="270">
        <f t="shared" si="244"/>
        <v>19139</v>
      </c>
    </row>
    <row r="922" spans="2:39" ht="15.75" thickBot="1" x14ac:dyDescent="0.35">
      <c r="B922" s="56" t="str">
        <f>input_names!$E$3</f>
        <v>plug-in</v>
      </c>
      <c r="C922" s="61">
        <v>167</v>
      </c>
      <c r="D922" s="270">
        <f t="shared" si="247"/>
        <v>9543</v>
      </c>
      <c r="E922" s="270">
        <f t="shared" si="247"/>
        <v>11220</v>
      </c>
      <c r="F922" s="270">
        <f t="shared" si="247"/>
        <v>37500</v>
      </c>
      <c r="G922" s="270">
        <f t="shared" si="247"/>
        <v>36123</v>
      </c>
      <c r="H922" s="270">
        <f t="shared" si="247"/>
        <v>34777</v>
      </c>
      <c r="I922" s="270">
        <f t="shared" si="247"/>
        <v>34269</v>
      </c>
      <c r="J922" s="270">
        <f t="shared" si="247"/>
        <v>24614</v>
      </c>
      <c r="K922" s="270">
        <f t="shared" si="247"/>
        <v>24854</v>
      </c>
      <c r="L922" s="270">
        <f t="shared" si="247"/>
        <v>26469</v>
      </c>
      <c r="M922" s="270">
        <f t="shared" si="247"/>
        <v>29125</v>
      </c>
      <c r="N922" s="270">
        <f t="shared" si="247"/>
        <v>19707</v>
      </c>
      <c r="O922" s="270">
        <f t="shared" si="247"/>
        <v>19707</v>
      </c>
      <c r="P922" s="270">
        <f t="shared" si="247"/>
        <v>19707</v>
      </c>
      <c r="Q922" s="270">
        <f t="shared" si="247"/>
        <v>19707</v>
      </c>
      <c r="R922" s="270">
        <f t="shared" si="247"/>
        <v>19707</v>
      </c>
      <c r="S922" s="270">
        <f t="shared" si="248"/>
        <v>19707</v>
      </c>
      <c r="T922" s="270">
        <f t="shared" si="248"/>
        <v>19707</v>
      </c>
      <c r="U922" s="270">
        <f t="shared" si="248"/>
        <v>19707</v>
      </c>
      <c r="V922" s="270">
        <f t="shared" si="248"/>
        <v>19707</v>
      </c>
      <c r="W922" s="270">
        <f t="shared" si="248"/>
        <v>19707</v>
      </c>
      <c r="X922" s="270">
        <f t="shared" si="248"/>
        <v>19707</v>
      </c>
      <c r="Y922" s="270">
        <f t="shared" si="248"/>
        <v>19707</v>
      </c>
      <c r="Z922" s="270">
        <f t="shared" si="248"/>
        <v>19707</v>
      </c>
      <c r="AA922" s="270">
        <f t="shared" si="248"/>
        <v>19707</v>
      </c>
      <c r="AB922" s="270">
        <f t="shared" si="248"/>
        <v>19707</v>
      </c>
      <c r="AC922" s="270">
        <f t="shared" si="248"/>
        <v>19707</v>
      </c>
      <c r="AD922" s="270">
        <f t="shared" si="247"/>
        <v>19707</v>
      </c>
      <c r="AE922" s="270">
        <f t="shared" si="241"/>
        <v>19707</v>
      </c>
      <c r="AF922" s="270">
        <f t="shared" si="244"/>
        <v>19707</v>
      </c>
      <c r="AG922" s="270">
        <f t="shared" si="244"/>
        <v>19707</v>
      </c>
      <c r="AH922" s="270">
        <f t="shared" si="244"/>
        <v>19707</v>
      </c>
      <c r="AI922" s="270">
        <f t="shared" si="244"/>
        <v>19707</v>
      </c>
      <c r="AJ922" s="270">
        <f t="shared" si="244"/>
        <v>19707</v>
      </c>
      <c r="AK922" s="270">
        <f t="shared" si="244"/>
        <v>19707</v>
      </c>
      <c r="AL922" s="270">
        <f t="shared" si="244"/>
        <v>19707</v>
      </c>
      <c r="AM922" s="270">
        <f t="shared" si="244"/>
        <v>19707</v>
      </c>
    </row>
    <row r="923" spans="2:39" ht="15.75" thickBot="1" x14ac:dyDescent="0.35">
      <c r="B923" s="56" t="str">
        <f>input_names!$E$3</f>
        <v>plug-in</v>
      </c>
      <c r="C923" s="61">
        <v>168</v>
      </c>
      <c r="D923" s="270">
        <f t="shared" si="247"/>
        <v>9760</v>
      </c>
      <c r="E923" s="270">
        <f t="shared" si="247"/>
        <v>11458</v>
      </c>
      <c r="F923" s="270">
        <f t="shared" si="247"/>
        <v>37800</v>
      </c>
      <c r="G923" s="270">
        <f t="shared" si="247"/>
        <v>36412</v>
      </c>
      <c r="H923" s="270">
        <f t="shared" si="247"/>
        <v>35048</v>
      </c>
      <c r="I923" s="270">
        <f t="shared" si="247"/>
        <v>34536</v>
      </c>
      <c r="J923" s="270">
        <f t="shared" si="247"/>
        <v>24816</v>
      </c>
      <c r="K923" s="270">
        <f t="shared" si="247"/>
        <v>25058</v>
      </c>
      <c r="L923" s="270">
        <f t="shared" si="247"/>
        <v>26686</v>
      </c>
      <c r="M923" s="270">
        <f t="shared" si="247"/>
        <v>29364</v>
      </c>
      <c r="N923" s="270">
        <f t="shared" si="247"/>
        <v>20275</v>
      </c>
      <c r="O923" s="270">
        <f t="shared" si="247"/>
        <v>20275</v>
      </c>
      <c r="P923" s="270">
        <f t="shared" si="247"/>
        <v>20275</v>
      </c>
      <c r="Q923" s="270">
        <f t="shared" si="247"/>
        <v>20275</v>
      </c>
      <c r="R923" s="270">
        <f t="shared" si="247"/>
        <v>20275</v>
      </c>
      <c r="S923" s="270">
        <f t="shared" si="248"/>
        <v>20275</v>
      </c>
      <c r="T923" s="270">
        <f t="shared" si="248"/>
        <v>20275</v>
      </c>
      <c r="U923" s="270">
        <f t="shared" si="248"/>
        <v>20275</v>
      </c>
      <c r="V923" s="270">
        <f t="shared" si="248"/>
        <v>20275</v>
      </c>
      <c r="W923" s="270">
        <f t="shared" si="248"/>
        <v>20275</v>
      </c>
      <c r="X923" s="270">
        <f t="shared" si="248"/>
        <v>20275</v>
      </c>
      <c r="Y923" s="270">
        <f t="shared" si="248"/>
        <v>20275</v>
      </c>
      <c r="Z923" s="270">
        <f t="shared" si="248"/>
        <v>20275</v>
      </c>
      <c r="AA923" s="270">
        <f t="shared" si="248"/>
        <v>20275</v>
      </c>
      <c r="AB923" s="270">
        <f t="shared" si="248"/>
        <v>20275</v>
      </c>
      <c r="AC923" s="270">
        <f t="shared" si="248"/>
        <v>20275</v>
      </c>
      <c r="AD923" s="270">
        <f t="shared" si="247"/>
        <v>20275</v>
      </c>
      <c r="AE923" s="270">
        <f t="shared" si="241"/>
        <v>20275</v>
      </c>
      <c r="AF923" s="270">
        <f t="shared" si="244"/>
        <v>20275</v>
      </c>
      <c r="AG923" s="270">
        <f t="shared" si="244"/>
        <v>20275</v>
      </c>
      <c r="AH923" s="270">
        <f t="shared" si="244"/>
        <v>20275</v>
      </c>
      <c r="AI923" s="270">
        <f t="shared" si="244"/>
        <v>20275</v>
      </c>
      <c r="AJ923" s="270">
        <f t="shared" si="244"/>
        <v>20275</v>
      </c>
      <c r="AK923" s="270">
        <f t="shared" si="244"/>
        <v>20275</v>
      </c>
      <c r="AL923" s="270">
        <f t="shared" si="244"/>
        <v>20275</v>
      </c>
      <c r="AM923" s="270">
        <f t="shared" si="244"/>
        <v>20275</v>
      </c>
    </row>
    <row r="924" spans="2:39" ht="15.75" thickBot="1" x14ac:dyDescent="0.35">
      <c r="B924" s="56" t="str">
        <f>input_names!$E$3</f>
        <v>plug-in</v>
      </c>
      <c r="C924" s="61">
        <v>169</v>
      </c>
      <c r="D924" s="270">
        <f t="shared" si="247"/>
        <v>9977</v>
      </c>
      <c r="E924" s="270">
        <f t="shared" si="247"/>
        <v>11696</v>
      </c>
      <c r="F924" s="270">
        <f t="shared" si="247"/>
        <v>38100</v>
      </c>
      <c r="G924" s="270">
        <f t="shared" si="247"/>
        <v>36701</v>
      </c>
      <c r="H924" s="270">
        <f t="shared" si="247"/>
        <v>35319</v>
      </c>
      <c r="I924" s="270">
        <f t="shared" si="247"/>
        <v>34803</v>
      </c>
      <c r="J924" s="270">
        <f t="shared" si="247"/>
        <v>25018</v>
      </c>
      <c r="K924" s="270">
        <f t="shared" si="247"/>
        <v>25262</v>
      </c>
      <c r="L924" s="270">
        <f t="shared" si="247"/>
        <v>26903</v>
      </c>
      <c r="M924" s="270">
        <f t="shared" si="247"/>
        <v>29603</v>
      </c>
      <c r="N924" s="270">
        <f t="shared" si="247"/>
        <v>20843</v>
      </c>
      <c r="O924" s="270">
        <f t="shared" si="247"/>
        <v>20843</v>
      </c>
      <c r="P924" s="270">
        <f t="shared" si="247"/>
        <v>20843</v>
      </c>
      <c r="Q924" s="270">
        <f t="shared" si="247"/>
        <v>20843</v>
      </c>
      <c r="R924" s="270">
        <f t="shared" si="247"/>
        <v>20843</v>
      </c>
      <c r="S924" s="270">
        <f t="shared" si="248"/>
        <v>20843</v>
      </c>
      <c r="T924" s="270">
        <f t="shared" si="248"/>
        <v>20843</v>
      </c>
      <c r="U924" s="270">
        <f t="shared" si="248"/>
        <v>20843</v>
      </c>
      <c r="V924" s="270">
        <f t="shared" si="248"/>
        <v>20843</v>
      </c>
      <c r="W924" s="270">
        <f t="shared" si="248"/>
        <v>20843</v>
      </c>
      <c r="X924" s="270">
        <f t="shared" si="248"/>
        <v>20843</v>
      </c>
      <c r="Y924" s="270">
        <f t="shared" si="248"/>
        <v>20843</v>
      </c>
      <c r="Z924" s="270">
        <f t="shared" si="248"/>
        <v>20843</v>
      </c>
      <c r="AA924" s="270">
        <f t="shared" si="248"/>
        <v>20843</v>
      </c>
      <c r="AB924" s="270">
        <f t="shared" si="248"/>
        <v>20843</v>
      </c>
      <c r="AC924" s="270">
        <f t="shared" si="248"/>
        <v>20843</v>
      </c>
      <c r="AD924" s="270">
        <f t="shared" si="247"/>
        <v>20843</v>
      </c>
      <c r="AE924" s="270">
        <f t="shared" si="241"/>
        <v>20843</v>
      </c>
      <c r="AF924" s="270">
        <f t="shared" si="244"/>
        <v>20843</v>
      </c>
      <c r="AG924" s="270">
        <f t="shared" si="244"/>
        <v>20843</v>
      </c>
      <c r="AH924" s="270">
        <f t="shared" si="244"/>
        <v>20843</v>
      </c>
      <c r="AI924" s="270">
        <f t="shared" si="244"/>
        <v>20843</v>
      </c>
      <c r="AJ924" s="270">
        <f t="shared" si="244"/>
        <v>20843</v>
      </c>
      <c r="AK924" s="270">
        <f t="shared" si="244"/>
        <v>20843</v>
      </c>
      <c r="AL924" s="270">
        <f t="shared" si="244"/>
        <v>20843</v>
      </c>
      <c r="AM924" s="270">
        <f t="shared" ref="AF924:AM953" si="249">+MIN(MAX(0,$C924-AM$28),AM$29-AM$28)*AM$34
+MIN(MAX(0,$C924-AM$29),AM$30-AM$29)*AM$35
+MIN(MAX(0,$C924-AM$30),AM$31-AM$30)*AM$36
+MIN(MAX(0,$C924-AM$31),AM$32-AM$31)*AM$37
+MAX(0,$C924-AM$32)*AM$38
+AM$39</f>
        <v>20843</v>
      </c>
    </row>
    <row r="925" spans="2:39" ht="15.75" thickBot="1" x14ac:dyDescent="0.35">
      <c r="B925" s="56" t="str">
        <f>input_names!$E$3</f>
        <v>plug-in</v>
      </c>
      <c r="C925" s="61">
        <v>170</v>
      </c>
      <c r="D925" s="270">
        <f t="shared" si="247"/>
        <v>10194</v>
      </c>
      <c r="E925" s="270">
        <f t="shared" si="247"/>
        <v>11934</v>
      </c>
      <c r="F925" s="270">
        <f t="shared" si="247"/>
        <v>38400</v>
      </c>
      <c r="G925" s="270">
        <f t="shared" si="247"/>
        <v>36990</v>
      </c>
      <c r="H925" s="270">
        <f t="shared" si="247"/>
        <v>35590</v>
      </c>
      <c r="I925" s="270">
        <f t="shared" si="247"/>
        <v>35070</v>
      </c>
      <c r="J925" s="270">
        <f t="shared" si="247"/>
        <v>25220</v>
      </c>
      <c r="K925" s="270">
        <f t="shared" si="247"/>
        <v>25466</v>
      </c>
      <c r="L925" s="270">
        <f t="shared" si="247"/>
        <v>27120</v>
      </c>
      <c r="M925" s="270">
        <f t="shared" si="247"/>
        <v>29842</v>
      </c>
      <c r="N925" s="270">
        <f t="shared" si="247"/>
        <v>21411</v>
      </c>
      <c r="O925" s="270">
        <f t="shared" si="247"/>
        <v>21411</v>
      </c>
      <c r="P925" s="270">
        <f t="shared" si="247"/>
        <v>21411</v>
      </c>
      <c r="Q925" s="270">
        <f t="shared" si="247"/>
        <v>21411</v>
      </c>
      <c r="R925" s="270">
        <f t="shared" si="247"/>
        <v>21411</v>
      </c>
      <c r="S925" s="270">
        <f t="shared" si="248"/>
        <v>21411</v>
      </c>
      <c r="T925" s="270">
        <f t="shared" si="248"/>
        <v>21411</v>
      </c>
      <c r="U925" s="270">
        <f t="shared" si="248"/>
        <v>21411</v>
      </c>
      <c r="V925" s="270">
        <f t="shared" si="248"/>
        <v>21411</v>
      </c>
      <c r="W925" s="270">
        <f t="shared" si="248"/>
        <v>21411</v>
      </c>
      <c r="X925" s="270">
        <f t="shared" si="248"/>
        <v>21411</v>
      </c>
      <c r="Y925" s="270">
        <f t="shared" si="248"/>
        <v>21411</v>
      </c>
      <c r="Z925" s="270">
        <f t="shared" si="248"/>
        <v>21411</v>
      </c>
      <c r="AA925" s="270">
        <f t="shared" si="248"/>
        <v>21411</v>
      </c>
      <c r="AB925" s="270">
        <f t="shared" si="248"/>
        <v>21411</v>
      </c>
      <c r="AC925" s="270">
        <f t="shared" si="248"/>
        <v>21411</v>
      </c>
      <c r="AD925" s="270">
        <f t="shared" si="247"/>
        <v>21411</v>
      </c>
      <c r="AE925" s="270">
        <f t="shared" si="241"/>
        <v>21411</v>
      </c>
      <c r="AF925" s="270">
        <f t="shared" si="249"/>
        <v>21411</v>
      </c>
      <c r="AG925" s="270">
        <f t="shared" si="249"/>
        <v>21411</v>
      </c>
      <c r="AH925" s="270">
        <f t="shared" si="249"/>
        <v>21411</v>
      </c>
      <c r="AI925" s="270">
        <f t="shared" si="249"/>
        <v>21411</v>
      </c>
      <c r="AJ925" s="270">
        <f t="shared" si="249"/>
        <v>21411</v>
      </c>
      <c r="AK925" s="270">
        <f t="shared" si="249"/>
        <v>21411</v>
      </c>
      <c r="AL925" s="270">
        <f t="shared" si="249"/>
        <v>21411</v>
      </c>
      <c r="AM925" s="270">
        <f t="shared" si="249"/>
        <v>21411</v>
      </c>
    </row>
    <row r="926" spans="2:39" ht="15.75" thickBot="1" x14ac:dyDescent="0.35">
      <c r="B926" s="56" t="str">
        <f>input_names!$E$3</f>
        <v>plug-in</v>
      </c>
      <c r="C926" s="61">
        <v>171</v>
      </c>
      <c r="D926" s="270">
        <f t="shared" si="247"/>
        <v>10411</v>
      </c>
      <c r="E926" s="270">
        <f t="shared" si="247"/>
        <v>12172</v>
      </c>
      <c r="F926" s="270">
        <f t="shared" si="247"/>
        <v>38700</v>
      </c>
      <c r="G926" s="270">
        <f t="shared" si="247"/>
        <v>37279</v>
      </c>
      <c r="H926" s="270">
        <f t="shared" si="247"/>
        <v>35861</v>
      </c>
      <c r="I926" s="270">
        <f t="shared" si="247"/>
        <v>35337</v>
      </c>
      <c r="J926" s="270">
        <f t="shared" si="247"/>
        <v>25422</v>
      </c>
      <c r="K926" s="270">
        <f t="shared" si="247"/>
        <v>25670</v>
      </c>
      <c r="L926" s="270">
        <f t="shared" si="247"/>
        <v>27337</v>
      </c>
      <c r="M926" s="270">
        <f t="shared" si="247"/>
        <v>30081</v>
      </c>
      <c r="N926" s="270">
        <f t="shared" si="247"/>
        <v>21979</v>
      </c>
      <c r="O926" s="270">
        <f t="shared" si="247"/>
        <v>21979</v>
      </c>
      <c r="P926" s="270">
        <f t="shared" si="247"/>
        <v>21979</v>
      </c>
      <c r="Q926" s="270">
        <f t="shared" si="247"/>
        <v>21979</v>
      </c>
      <c r="R926" s="270">
        <f t="shared" si="247"/>
        <v>21979</v>
      </c>
      <c r="S926" s="270">
        <f t="shared" si="248"/>
        <v>21979</v>
      </c>
      <c r="T926" s="270">
        <f t="shared" si="248"/>
        <v>21979</v>
      </c>
      <c r="U926" s="270">
        <f t="shared" si="248"/>
        <v>21979</v>
      </c>
      <c r="V926" s="270">
        <f t="shared" si="248"/>
        <v>21979</v>
      </c>
      <c r="W926" s="270">
        <f t="shared" si="248"/>
        <v>21979</v>
      </c>
      <c r="X926" s="270">
        <f t="shared" si="248"/>
        <v>21979</v>
      </c>
      <c r="Y926" s="270">
        <f t="shared" si="248"/>
        <v>21979</v>
      </c>
      <c r="Z926" s="270">
        <f t="shared" si="248"/>
        <v>21979</v>
      </c>
      <c r="AA926" s="270">
        <f t="shared" si="248"/>
        <v>21979</v>
      </c>
      <c r="AB926" s="270">
        <f t="shared" si="248"/>
        <v>21979</v>
      </c>
      <c r="AC926" s="270">
        <f t="shared" si="248"/>
        <v>21979</v>
      </c>
      <c r="AD926" s="270">
        <f t="shared" si="247"/>
        <v>21979</v>
      </c>
      <c r="AE926" s="270">
        <f t="shared" si="241"/>
        <v>21979</v>
      </c>
      <c r="AF926" s="270">
        <f t="shared" si="249"/>
        <v>21979</v>
      </c>
      <c r="AG926" s="270">
        <f t="shared" si="249"/>
        <v>21979</v>
      </c>
      <c r="AH926" s="270">
        <f t="shared" si="249"/>
        <v>21979</v>
      </c>
      <c r="AI926" s="270">
        <f t="shared" si="249"/>
        <v>21979</v>
      </c>
      <c r="AJ926" s="270">
        <f t="shared" si="249"/>
        <v>21979</v>
      </c>
      <c r="AK926" s="270">
        <f t="shared" si="249"/>
        <v>21979</v>
      </c>
      <c r="AL926" s="270">
        <f t="shared" si="249"/>
        <v>21979</v>
      </c>
      <c r="AM926" s="270">
        <f t="shared" si="249"/>
        <v>21979</v>
      </c>
    </row>
    <row r="927" spans="2:39" ht="15.75" thickBot="1" x14ac:dyDescent="0.35">
      <c r="B927" s="56" t="str">
        <f>input_names!$E$3</f>
        <v>plug-in</v>
      </c>
      <c r="C927" s="61">
        <v>172</v>
      </c>
      <c r="D927" s="270">
        <f t="shared" si="247"/>
        <v>10628</v>
      </c>
      <c r="E927" s="270">
        <f t="shared" si="247"/>
        <v>12410</v>
      </c>
      <c r="F927" s="270">
        <f t="shared" si="247"/>
        <v>39000</v>
      </c>
      <c r="G927" s="270">
        <f t="shared" si="247"/>
        <v>37568</v>
      </c>
      <c r="H927" s="270">
        <f t="shared" si="247"/>
        <v>36132</v>
      </c>
      <c r="I927" s="270">
        <f t="shared" si="247"/>
        <v>35604</v>
      </c>
      <c r="J927" s="270">
        <f t="shared" si="247"/>
        <v>25624</v>
      </c>
      <c r="K927" s="270">
        <f t="shared" si="247"/>
        <v>25874</v>
      </c>
      <c r="L927" s="270">
        <f t="shared" si="247"/>
        <v>27554</v>
      </c>
      <c r="M927" s="270">
        <f t="shared" si="247"/>
        <v>30320</v>
      </c>
      <c r="N927" s="270">
        <f t="shared" si="247"/>
        <v>22547</v>
      </c>
      <c r="O927" s="270">
        <f t="shared" si="247"/>
        <v>22547</v>
      </c>
      <c r="P927" s="270">
        <f t="shared" si="247"/>
        <v>22547</v>
      </c>
      <c r="Q927" s="270">
        <f t="shared" si="247"/>
        <v>22547</v>
      </c>
      <c r="R927" s="270">
        <f t="shared" si="247"/>
        <v>22547</v>
      </c>
      <c r="S927" s="270">
        <f t="shared" si="248"/>
        <v>22547</v>
      </c>
      <c r="T927" s="270">
        <f t="shared" si="248"/>
        <v>22547</v>
      </c>
      <c r="U927" s="270">
        <f t="shared" si="248"/>
        <v>22547</v>
      </c>
      <c r="V927" s="270">
        <f t="shared" si="248"/>
        <v>22547</v>
      </c>
      <c r="W927" s="270">
        <f t="shared" si="248"/>
        <v>22547</v>
      </c>
      <c r="X927" s="270">
        <f t="shared" si="248"/>
        <v>22547</v>
      </c>
      <c r="Y927" s="270">
        <f t="shared" si="248"/>
        <v>22547</v>
      </c>
      <c r="Z927" s="270">
        <f t="shared" si="248"/>
        <v>22547</v>
      </c>
      <c r="AA927" s="270">
        <f t="shared" si="248"/>
        <v>22547</v>
      </c>
      <c r="AB927" s="270">
        <f t="shared" si="248"/>
        <v>22547</v>
      </c>
      <c r="AC927" s="270">
        <f t="shared" si="248"/>
        <v>22547</v>
      </c>
      <c r="AD927" s="270">
        <f t="shared" si="247"/>
        <v>22547</v>
      </c>
      <c r="AE927" s="270">
        <f t="shared" si="241"/>
        <v>22547</v>
      </c>
      <c r="AF927" s="270">
        <f t="shared" si="249"/>
        <v>22547</v>
      </c>
      <c r="AG927" s="270">
        <f t="shared" si="249"/>
        <v>22547</v>
      </c>
      <c r="AH927" s="270">
        <f t="shared" si="249"/>
        <v>22547</v>
      </c>
      <c r="AI927" s="270">
        <f t="shared" si="249"/>
        <v>22547</v>
      </c>
      <c r="AJ927" s="270">
        <f t="shared" si="249"/>
        <v>22547</v>
      </c>
      <c r="AK927" s="270">
        <f t="shared" si="249"/>
        <v>22547</v>
      </c>
      <c r="AL927" s="270">
        <f t="shared" si="249"/>
        <v>22547</v>
      </c>
      <c r="AM927" s="270">
        <f t="shared" si="249"/>
        <v>22547</v>
      </c>
    </row>
    <row r="928" spans="2:39" ht="15.75" thickBot="1" x14ac:dyDescent="0.35">
      <c r="B928" s="56" t="str">
        <f>input_names!$E$3</f>
        <v>plug-in</v>
      </c>
      <c r="C928" s="61">
        <v>173</v>
      </c>
      <c r="D928" s="270">
        <f t="shared" si="247"/>
        <v>10845</v>
      </c>
      <c r="E928" s="270">
        <f t="shared" si="247"/>
        <v>12648</v>
      </c>
      <c r="F928" s="270">
        <f t="shared" si="247"/>
        <v>39300</v>
      </c>
      <c r="G928" s="270">
        <f t="shared" si="247"/>
        <v>37857</v>
      </c>
      <c r="H928" s="270">
        <f t="shared" si="247"/>
        <v>36403</v>
      </c>
      <c r="I928" s="270">
        <f t="shared" si="247"/>
        <v>35871</v>
      </c>
      <c r="J928" s="270">
        <f t="shared" si="247"/>
        <v>25826</v>
      </c>
      <c r="K928" s="270">
        <f t="shared" si="247"/>
        <v>26078</v>
      </c>
      <c r="L928" s="270">
        <f t="shared" si="247"/>
        <v>27771</v>
      </c>
      <c r="M928" s="270">
        <f t="shared" si="247"/>
        <v>30559</v>
      </c>
      <c r="N928" s="270">
        <f t="shared" si="247"/>
        <v>23115</v>
      </c>
      <c r="O928" s="270">
        <f t="shared" si="247"/>
        <v>23115</v>
      </c>
      <c r="P928" s="270">
        <f t="shared" si="247"/>
        <v>23115</v>
      </c>
      <c r="Q928" s="270">
        <f t="shared" si="247"/>
        <v>23115</v>
      </c>
      <c r="R928" s="270">
        <f t="shared" si="247"/>
        <v>23115</v>
      </c>
      <c r="S928" s="270">
        <f t="shared" si="248"/>
        <v>23115</v>
      </c>
      <c r="T928" s="270">
        <f t="shared" si="248"/>
        <v>23115</v>
      </c>
      <c r="U928" s="270">
        <f t="shared" si="248"/>
        <v>23115</v>
      </c>
      <c r="V928" s="270">
        <f t="shared" si="248"/>
        <v>23115</v>
      </c>
      <c r="W928" s="270">
        <f t="shared" si="248"/>
        <v>23115</v>
      </c>
      <c r="X928" s="270">
        <f t="shared" si="248"/>
        <v>23115</v>
      </c>
      <c r="Y928" s="270">
        <f t="shared" si="248"/>
        <v>23115</v>
      </c>
      <c r="Z928" s="270">
        <f t="shared" si="248"/>
        <v>23115</v>
      </c>
      <c r="AA928" s="270">
        <f t="shared" si="248"/>
        <v>23115</v>
      </c>
      <c r="AB928" s="270">
        <f t="shared" si="248"/>
        <v>23115</v>
      </c>
      <c r="AC928" s="270">
        <f t="shared" si="248"/>
        <v>23115</v>
      </c>
      <c r="AD928" s="270">
        <f t="shared" si="247"/>
        <v>23115</v>
      </c>
      <c r="AE928" s="270">
        <f t="shared" si="241"/>
        <v>23115</v>
      </c>
      <c r="AF928" s="270">
        <f t="shared" si="249"/>
        <v>23115</v>
      </c>
      <c r="AG928" s="270">
        <f t="shared" si="249"/>
        <v>23115</v>
      </c>
      <c r="AH928" s="270">
        <f t="shared" si="249"/>
        <v>23115</v>
      </c>
      <c r="AI928" s="270">
        <f t="shared" si="249"/>
        <v>23115</v>
      </c>
      <c r="AJ928" s="270">
        <f t="shared" si="249"/>
        <v>23115</v>
      </c>
      <c r="AK928" s="270">
        <f t="shared" si="249"/>
        <v>23115</v>
      </c>
      <c r="AL928" s="270">
        <f t="shared" si="249"/>
        <v>23115</v>
      </c>
      <c r="AM928" s="270">
        <f t="shared" si="249"/>
        <v>23115</v>
      </c>
    </row>
    <row r="929" spans="2:39" ht="15.75" thickBot="1" x14ac:dyDescent="0.35">
      <c r="B929" s="56" t="str">
        <f>input_names!$E$3</f>
        <v>plug-in</v>
      </c>
      <c r="C929" s="61">
        <v>174</v>
      </c>
      <c r="D929" s="270">
        <f t="shared" si="247"/>
        <v>11062</v>
      </c>
      <c r="E929" s="270">
        <f t="shared" si="247"/>
        <v>12886</v>
      </c>
      <c r="F929" s="270">
        <f t="shared" si="247"/>
        <v>39600</v>
      </c>
      <c r="G929" s="270">
        <f t="shared" si="247"/>
        <v>38146</v>
      </c>
      <c r="H929" s="270">
        <f t="shared" si="247"/>
        <v>36674</v>
      </c>
      <c r="I929" s="270">
        <f t="shared" si="247"/>
        <v>36138</v>
      </c>
      <c r="J929" s="270">
        <f t="shared" si="247"/>
        <v>26028</v>
      </c>
      <c r="K929" s="270">
        <f t="shared" si="247"/>
        <v>26282</v>
      </c>
      <c r="L929" s="270">
        <f t="shared" si="247"/>
        <v>27988</v>
      </c>
      <c r="M929" s="270">
        <f t="shared" si="247"/>
        <v>30798</v>
      </c>
      <c r="N929" s="270">
        <f t="shared" si="247"/>
        <v>23683</v>
      </c>
      <c r="O929" s="270">
        <f t="shared" si="247"/>
        <v>23683</v>
      </c>
      <c r="P929" s="270">
        <f t="shared" si="247"/>
        <v>23683</v>
      </c>
      <c r="Q929" s="270">
        <f t="shared" si="247"/>
        <v>23683</v>
      </c>
      <c r="R929" s="270">
        <f t="shared" si="247"/>
        <v>23683</v>
      </c>
      <c r="S929" s="270">
        <f>+MIN(MAX(0,$C929-S$28),S$29-S$28)*S$34
+MIN(MAX(0,$C929-S$29),S$30-S$29)*S$35
+MIN(MAX(0,$C929-S$30),S$31-S$30)*S$36
+MIN(MAX(0,$C929-S$31),S$32-S$31)*S$37
+MAX(0,$C929-S$32)*S$38
+S$39</f>
        <v>23683</v>
      </c>
      <c r="T929" s="270">
        <f t="shared" si="248"/>
        <v>23683</v>
      </c>
      <c r="U929" s="270">
        <f t="shared" si="248"/>
        <v>23683</v>
      </c>
      <c r="V929" s="270">
        <f t="shared" si="248"/>
        <v>23683</v>
      </c>
      <c r="W929" s="270">
        <f t="shared" si="248"/>
        <v>23683</v>
      </c>
      <c r="X929" s="270">
        <f t="shared" si="248"/>
        <v>23683</v>
      </c>
      <c r="Y929" s="270">
        <f t="shared" si="248"/>
        <v>23683</v>
      </c>
      <c r="Z929" s="270">
        <f t="shared" si="248"/>
        <v>23683</v>
      </c>
      <c r="AA929" s="270">
        <f t="shared" si="248"/>
        <v>23683</v>
      </c>
      <c r="AB929" s="270">
        <f t="shared" si="248"/>
        <v>23683</v>
      </c>
      <c r="AC929" s="270">
        <f t="shared" si="248"/>
        <v>23683</v>
      </c>
      <c r="AD929" s="270">
        <f>+MIN(MAX(0,$C929-AD$28),AD$29-AD$28)*AD$34
+MIN(MAX(0,$C929-AD$29),AD$30-AD$29)*AD$35
+MIN(MAX(0,$C929-AD$30),AD$31-AD$30)*AD$36
+MIN(MAX(0,$C929-AD$31),AD$32-AD$31)*AD$37
+MAX(0,$C929-AD$32)*AD$38
+AD$39</f>
        <v>23683</v>
      </c>
      <c r="AE929" s="270">
        <f t="shared" si="241"/>
        <v>23683</v>
      </c>
      <c r="AF929" s="270">
        <f t="shared" si="249"/>
        <v>23683</v>
      </c>
      <c r="AG929" s="270">
        <f t="shared" si="249"/>
        <v>23683</v>
      </c>
      <c r="AH929" s="270">
        <f t="shared" si="249"/>
        <v>23683</v>
      </c>
      <c r="AI929" s="270">
        <f t="shared" si="249"/>
        <v>23683</v>
      </c>
      <c r="AJ929" s="270">
        <f t="shared" si="249"/>
        <v>23683</v>
      </c>
      <c r="AK929" s="270">
        <f t="shared" si="249"/>
        <v>23683</v>
      </c>
      <c r="AL929" s="270">
        <f t="shared" si="249"/>
        <v>23683</v>
      </c>
      <c r="AM929" s="270">
        <f t="shared" si="249"/>
        <v>23683</v>
      </c>
    </row>
    <row r="930" spans="2:39" ht="15.75" thickBot="1" x14ac:dyDescent="0.35">
      <c r="B930" s="56" t="str">
        <f>input_names!$E$3</f>
        <v>plug-in</v>
      </c>
      <c r="C930" s="61">
        <v>175</v>
      </c>
      <c r="D930" s="270">
        <f t="shared" ref="D930:AD945" si="250">+MIN(MAX(0,$C930-D$28),D$29-D$28)*D$34
+MIN(MAX(0,$C930-D$29),D$30-D$29)*D$35
+MIN(MAX(0,$C930-D$30),D$31-D$30)*D$36
+MIN(MAX(0,$C930-D$31),D$32-D$31)*D$37
+MAX(0,$C930-D$32)*D$38
+D$39</f>
        <v>11279</v>
      </c>
      <c r="E930" s="270">
        <f t="shared" si="250"/>
        <v>13362</v>
      </c>
      <c r="F930" s="270">
        <f t="shared" si="250"/>
        <v>39900</v>
      </c>
      <c r="G930" s="270">
        <f t="shared" si="250"/>
        <v>38435</v>
      </c>
      <c r="H930" s="270">
        <f t="shared" si="250"/>
        <v>36945</v>
      </c>
      <c r="I930" s="270">
        <f t="shared" si="250"/>
        <v>36405</v>
      </c>
      <c r="J930" s="270">
        <f t="shared" si="250"/>
        <v>26230</v>
      </c>
      <c r="K930" s="270">
        <f t="shared" si="250"/>
        <v>26486</v>
      </c>
      <c r="L930" s="270">
        <f t="shared" si="250"/>
        <v>28205</v>
      </c>
      <c r="M930" s="270">
        <f t="shared" si="250"/>
        <v>31037</v>
      </c>
      <c r="N930" s="270">
        <f t="shared" si="250"/>
        <v>24251</v>
      </c>
      <c r="O930" s="270">
        <f t="shared" si="250"/>
        <v>24251</v>
      </c>
      <c r="P930" s="270">
        <f t="shared" si="250"/>
        <v>24251</v>
      </c>
      <c r="Q930" s="270">
        <f t="shared" si="250"/>
        <v>24251</v>
      </c>
      <c r="R930" s="270">
        <f t="shared" si="250"/>
        <v>24251</v>
      </c>
      <c r="S930" s="270">
        <f t="shared" ref="S930:AC945" si="251">+MIN(MAX(0,$C930-S$28),S$29-S$28)*S$34
+MIN(MAX(0,$C930-S$29),S$30-S$29)*S$35
+MIN(MAX(0,$C930-S$30),S$31-S$30)*S$36
+MIN(MAX(0,$C930-S$31),S$32-S$31)*S$37
+MAX(0,$C930-S$32)*S$38
+S$39</f>
        <v>24251</v>
      </c>
      <c r="T930" s="270">
        <f t="shared" si="251"/>
        <v>24251</v>
      </c>
      <c r="U930" s="270">
        <f t="shared" si="251"/>
        <v>24251</v>
      </c>
      <c r="V930" s="270">
        <f t="shared" si="251"/>
        <v>24251</v>
      </c>
      <c r="W930" s="270">
        <f t="shared" si="251"/>
        <v>24251</v>
      </c>
      <c r="X930" s="270">
        <f t="shared" si="251"/>
        <v>24251</v>
      </c>
      <c r="Y930" s="270">
        <f t="shared" si="251"/>
        <v>24251</v>
      </c>
      <c r="Z930" s="270">
        <f t="shared" si="251"/>
        <v>24251</v>
      </c>
      <c r="AA930" s="270">
        <f t="shared" si="251"/>
        <v>24251</v>
      </c>
      <c r="AB930" s="270">
        <f t="shared" si="251"/>
        <v>24251</v>
      </c>
      <c r="AC930" s="270">
        <f t="shared" si="251"/>
        <v>24251</v>
      </c>
      <c r="AD930" s="270">
        <f t="shared" si="250"/>
        <v>24251</v>
      </c>
      <c r="AE930" s="270">
        <f t="shared" si="241"/>
        <v>24251</v>
      </c>
      <c r="AF930" s="270">
        <f t="shared" si="249"/>
        <v>24251</v>
      </c>
      <c r="AG930" s="270">
        <f t="shared" si="249"/>
        <v>24251</v>
      </c>
      <c r="AH930" s="270">
        <f t="shared" si="249"/>
        <v>24251</v>
      </c>
      <c r="AI930" s="270">
        <f t="shared" si="249"/>
        <v>24251</v>
      </c>
      <c r="AJ930" s="270">
        <f t="shared" si="249"/>
        <v>24251</v>
      </c>
      <c r="AK930" s="270">
        <f t="shared" si="249"/>
        <v>24251</v>
      </c>
      <c r="AL930" s="270">
        <f t="shared" si="249"/>
        <v>24251</v>
      </c>
      <c r="AM930" s="270">
        <f t="shared" si="249"/>
        <v>24251</v>
      </c>
    </row>
    <row r="931" spans="2:39" ht="15.75" thickBot="1" x14ac:dyDescent="0.35">
      <c r="B931" s="56" t="str">
        <f>input_names!$E$3</f>
        <v>plug-in</v>
      </c>
      <c r="C931" s="61">
        <v>176</v>
      </c>
      <c r="D931" s="270">
        <f t="shared" si="250"/>
        <v>11496</v>
      </c>
      <c r="E931" s="270">
        <f t="shared" si="250"/>
        <v>13838</v>
      </c>
      <c r="F931" s="270">
        <f t="shared" si="250"/>
        <v>40200</v>
      </c>
      <c r="G931" s="270">
        <f t="shared" si="250"/>
        <v>38724</v>
      </c>
      <c r="H931" s="270">
        <f t="shared" si="250"/>
        <v>37216</v>
      </c>
      <c r="I931" s="270">
        <f t="shared" si="250"/>
        <v>36672</v>
      </c>
      <c r="J931" s="270">
        <f t="shared" si="250"/>
        <v>26432</v>
      </c>
      <c r="K931" s="270">
        <f t="shared" si="250"/>
        <v>26690</v>
      </c>
      <c r="L931" s="270">
        <f t="shared" si="250"/>
        <v>28422</v>
      </c>
      <c r="M931" s="270">
        <f t="shared" si="250"/>
        <v>31276</v>
      </c>
      <c r="N931" s="270">
        <f t="shared" si="250"/>
        <v>24819</v>
      </c>
      <c r="O931" s="270">
        <f t="shared" si="250"/>
        <v>24819</v>
      </c>
      <c r="P931" s="270">
        <f t="shared" si="250"/>
        <v>24819</v>
      </c>
      <c r="Q931" s="270">
        <f t="shared" si="250"/>
        <v>24819</v>
      </c>
      <c r="R931" s="270">
        <f t="shared" si="250"/>
        <v>24819</v>
      </c>
      <c r="S931" s="270">
        <f t="shared" si="251"/>
        <v>24819</v>
      </c>
      <c r="T931" s="270">
        <f t="shared" si="251"/>
        <v>24819</v>
      </c>
      <c r="U931" s="270">
        <f t="shared" si="251"/>
        <v>24819</v>
      </c>
      <c r="V931" s="270">
        <f t="shared" si="251"/>
        <v>24819</v>
      </c>
      <c r="W931" s="270">
        <f t="shared" si="251"/>
        <v>24819</v>
      </c>
      <c r="X931" s="270">
        <f t="shared" si="251"/>
        <v>24819</v>
      </c>
      <c r="Y931" s="270">
        <f t="shared" si="251"/>
        <v>24819</v>
      </c>
      <c r="Z931" s="270">
        <f t="shared" si="251"/>
        <v>24819</v>
      </c>
      <c r="AA931" s="270">
        <f t="shared" si="251"/>
        <v>24819</v>
      </c>
      <c r="AB931" s="270">
        <f t="shared" si="251"/>
        <v>24819</v>
      </c>
      <c r="AC931" s="270">
        <f t="shared" si="251"/>
        <v>24819</v>
      </c>
      <c r="AD931" s="270">
        <f t="shared" si="250"/>
        <v>24819</v>
      </c>
      <c r="AE931" s="270">
        <f t="shared" si="241"/>
        <v>24819</v>
      </c>
      <c r="AF931" s="270">
        <f t="shared" si="249"/>
        <v>24819</v>
      </c>
      <c r="AG931" s="270">
        <f t="shared" si="249"/>
        <v>24819</v>
      </c>
      <c r="AH931" s="270">
        <f t="shared" si="249"/>
        <v>24819</v>
      </c>
      <c r="AI931" s="270">
        <f t="shared" si="249"/>
        <v>24819</v>
      </c>
      <c r="AJ931" s="270">
        <f t="shared" si="249"/>
        <v>24819</v>
      </c>
      <c r="AK931" s="270">
        <f t="shared" si="249"/>
        <v>24819</v>
      </c>
      <c r="AL931" s="270">
        <f t="shared" si="249"/>
        <v>24819</v>
      </c>
      <c r="AM931" s="270">
        <f t="shared" si="249"/>
        <v>24819</v>
      </c>
    </row>
    <row r="932" spans="2:39" ht="15.75" thickBot="1" x14ac:dyDescent="0.35">
      <c r="B932" s="56" t="str">
        <f>input_names!$E$3</f>
        <v>plug-in</v>
      </c>
      <c r="C932" s="61">
        <v>177</v>
      </c>
      <c r="D932" s="270">
        <f t="shared" si="250"/>
        <v>11713</v>
      </c>
      <c r="E932" s="270">
        <f t="shared" si="250"/>
        <v>14314</v>
      </c>
      <c r="F932" s="270">
        <f t="shared" si="250"/>
        <v>40500</v>
      </c>
      <c r="G932" s="270">
        <f t="shared" si="250"/>
        <v>39013</v>
      </c>
      <c r="H932" s="270">
        <f t="shared" si="250"/>
        <v>37487</v>
      </c>
      <c r="I932" s="270">
        <f t="shared" si="250"/>
        <v>36939</v>
      </c>
      <c r="J932" s="270">
        <f t="shared" si="250"/>
        <v>26634</v>
      </c>
      <c r="K932" s="270">
        <f t="shared" si="250"/>
        <v>26894</v>
      </c>
      <c r="L932" s="270">
        <f t="shared" si="250"/>
        <v>28639</v>
      </c>
      <c r="M932" s="270">
        <f t="shared" si="250"/>
        <v>31515</v>
      </c>
      <c r="N932" s="270">
        <f t="shared" si="250"/>
        <v>25387</v>
      </c>
      <c r="O932" s="270">
        <f t="shared" si="250"/>
        <v>25387</v>
      </c>
      <c r="P932" s="270">
        <f t="shared" si="250"/>
        <v>25387</v>
      </c>
      <c r="Q932" s="270">
        <f t="shared" si="250"/>
        <v>25387</v>
      </c>
      <c r="R932" s="270">
        <f t="shared" si="250"/>
        <v>25387</v>
      </c>
      <c r="S932" s="270">
        <f t="shared" si="251"/>
        <v>25387</v>
      </c>
      <c r="T932" s="270">
        <f t="shared" si="251"/>
        <v>25387</v>
      </c>
      <c r="U932" s="270">
        <f t="shared" si="251"/>
        <v>25387</v>
      </c>
      <c r="V932" s="270">
        <f t="shared" si="251"/>
        <v>25387</v>
      </c>
      <c r="W932" s="270">
        <f t="shared" si="251"/>
        <v>25387</v>
      </c>
      <c r="X932" s="270">
        <f t="shared" si="251"/>
        <v>25387</v>
      </c>
      <c r="Y932" s="270">
        <f t="shared" si="251"/>
        <v>25387</v>
      </c>
      <c r="Z932" s="270">
        <f t="shared" si="251"/>
        <v>25387</v>
      </c>
      <c r="AA932" s="270">
        <f t="shared" si="251"/>
        <v>25387</v>
      </c>
      <c r="AB932" s="270">
        <f t="shared" si="251"/>
        <v>25387</v>
      </c>
      <c r="AC932" s="270">
        <f t="shared" si="251"/>
        <v>25387</v>
      </c>
      <c r="AD932" s="270">
        <f t="shared" si="250"/>
        <v>25387</v>
      </c>
      <c r="AE932" s="270">
        <f t="shared" si="241"/>
        <v>25387</v>
      </c>
      <c r="AF932" s="270">
        <f t="shared" si="249"/>
        <v>25387</v>
      </c>
      <c r="AG932" s="270">
        <f t="shared" si="249"/>
        <v>25387</v>
      </c>
      <c r="AH932" s="270">
        <f t="shared" si="249"/>
        <v>25387</v>
      </c>
      <c r="AI932" s="270">
        <f t="shared" si="249"/>
        <v>25387</v>
      </c>
      <c r="AJ932" s="270">
        <f t="shared" si="249"/>
        <v>25387</v>
      </c>
      <c r="AK932" s="270">
        <f t="shared" si="249"/>
        <v>25387</v>
      </c>
      <c r="AL932" s="270">
        <f t="shared" si="249"/>
        <v>25387</v>
      </c>
      <c r="AM932" s="270">
        <f t="shared" si="249"/>
        <v>25387</v>
      </c>
    </row>
    <row r="933" spans="2:39" ht="15.75" thickBot="1" x14ac:dyDescent="0.35">
      <c r="B933" s="56" t="str">
        <f>input_names!$E$3</f>
        <v>plug-in</v>
      </c>
      <c r="C933" s="61">
        <v>178</v>
      </c>
      <c r="D933" s="270">
        <f t="shared" si="250"/>
        <v>11930</v>
      </c>
      <c r="E933" s="270">
        <f t="shared" si="250"/>
        <v>14790</v>
      </c>
      <c r="F933" s="270">
        <f t="shared" si="250"/>
        <v>40800</v>
      </c>
      <c r="G933" s="270">
        <f t="shared" si="250"/>
        <v>39302</v>
      </c>
      <c r="H933" s="270">
        <f t="shared" si="250"/>
        <v>37758</v>
      </c>
      <c r="I933" s="270">
        <f t="shared" si="250"/>
        <v>37206</v>
      </c>
      <c r="J933" s="270">
        <f t="shared" si="250"/>
        <v>26836</v>
      </c>
      <c r="K933" s="270">
        <f t="shared" si="250"/>
        <v>27098</v>
      </c>
      <c r="L933" s="270">
        <f t="shared" si="250"/>
        <v>28856</v>
      </c>
      <c r="M933" s="270">
        <f t="shared" si="250"/>
        <v>31754</v>
      </c>
      <c r="N933" s="270">
        <f t="shared" si="250"/>
        <v>25955</v>
      </c>
      <c r="O933" s="270">
        <f t="shared" si="250"/>
        <v>25955</v>
      </c>
      <c r="P933" s="270">
        <f t="shared" si="250"/>
        <v>25955</v>
      </c>
      <c r="Q933" s="270">
        <f t="shared" si="250"/>
        <v>25955</v>
      </c>
      <c r="R933" s="270">
        <f t="shared" si="250"/>
        <v>25955</v>
      </c>
      <c r="S933" s="270">
        <f t="shared" si="251"/>
        <v>25955</v>
      </c>
      <c r="T933" s="270">
        <f t="shared" si="251"/>
        <v>25955</v>
      </c>
      <c r="U933" s="270">
        <f t="shared" si="251"/>
        <v>25955</v>
      </c>
      <c r="V933" s="270">
        <f t="shared" si="251"/>
        <v>25955</v>
      </c>
      <c r="W933" s="270">
        <f t="shared" si="251"/>
        <v>25955</v>
      </c>
      <c r="X933" s="270">
        <f t="shared" si="251"/>
        <v>25955</v>
      </c>
      <c r="Y933" s="270">
        <f t="shared" si="251"/>
        <v>25955</v>
      </c>
      <c r="Z933" s="270">
        <f t="shared" si="251"/>
        <v>25955</v>
      </c>
      <c r="AA933" s="270">
        <f t="shared" si="251"/>
        <v>25955</v>
      </c>
      <c r="AB933" s="270">
        <f t="shared" si="251"/>
        <v>25955</v>
      </c>
      <c r="AC933" s="270">
        <f t="shared" si="251"/>
        <v>25955</v>
      </c>
      <c r="AD933" s="270">
        <f t="shared" si="250"/>
        <v>25955</v>
      </c>
      <c r="AE933" s="270">
        <f t="shared" si="241"/>
        <v>25955</v>
      </c>
      <c r="AF933" s="270">
        <f t="shared" si="249"/>
        <v>25955</v>
      </c>
      <c r="AG933" s="270">
        <f t="shared" si="249"/>
        <v>25955</v>
      </c>
      <c r="AH933" s="270">
        <f t="shared" si="249"/>
        <v>25955</v>
      </c>
      <c r="AI933" s="270">
        <f t="shared" si="249"/>
        <v>25955</v>
      </c>
      <c r="AJ933" s="270">
        <f t="shared" si="249"/>
        <v>25955</v>
      </c>
      <c r="AK933" s="270">
        <f t="shared" si="249"/>
        <v>25955</v>
      </c>
      <c r="AL933" s="270">
        <f t="shared" si="249"/>
        <v>25955</v>
      </c>
      <c r="AM933" s="270">
        <f t="shared" si="249"/>
        <v>25955</v>
      </c>
    </row>
    <row r="934" spans="2:39" ht="15.75" thickBot="1" x14ac:dyDescent="0.35">
      <c r="B934" s="56" t="str">
        <f>input_names!$E$3</f>
        <v>plug-in</v>
      </c>
      <c r="C934" s="61">
        <v>179</v>
      </c>
      <c r="D934" s="270">
        <f t="shared" si="250"/>
        <v>12147</v>
      </c>
      <c r="E934" s="270">
        <f t="shared" si="250"/>
        <v>15266</v>
      </c>
      <c r="F934" s="270">
        <f t="shared" si="250"/>
        <v>41100</v>
      </c>
      <c r="G934" s="270">
        <f t="shared" si="250"/>
        <v>39591</v>
      </c>
      <c r="H934" s="270">
        <f t="shared" si="250"/>
        <v>38029</v>
      </c>
      <c r="I934" s="270">
        <f t="shared" si="250"/>
        <v>37473</v>
      </c>
      <c r="J934" s="270">
        <f t="shared" si="250"/>
        <v>27038</v>
      </c>
      <c r="K934" s="270">
        <f t="shared" si="250"/>
        <v>27302</v>
      </c>
      <c r="L934" s="270">
        <f t="shared" si="250"/>
        <v>29073</v>
      </c>
      <c r="M934" s="270">
        <f t="shared" si="250"/>
        <v>31993</v>
      </c>
      <c r="N934" s="270">
        <f t="shared" si="250"/>
        <v>26523</v>
      </c>
      <c r="O934" s="270">
        <f t="shared" si="250"/>
        <v>26523</v>
      </c>
      <c r="P934" s="270">
        <f t="shared" si="250"/>
        <v>26523</v>
      </c>
      <c r="Q934" s="270">
        <f t="shared" si="250"/>
        <v>26523</v>
      </c>
      <c r="R934" s="270">
        <f t="shared" si="250"/>
        <v>26523</v>
      </c>
      <c r="S934" s="270">
        <f t="shared" si="251"/>
        <v>26523</v>
      </c>
      <c r="T934" s="270">
        <f t="shared" si="251"/>
        <v>26523</v>
      </c>
      <c r="U934" s="270">
        <f t="shared" si="251"/>
        <v>26523</v>
      </c>
      <c r="V934" s="270">
        <f t="shared" si="251"/>
        <v>26523</v>
      </c>
      <c r="W934" s="270">
        <f t="shared" si="251"/>
        <v>26523</v>
      </c>
      <c r="X934" s="270">
        <f t="shared" si="251"/>
        <v>26523</v>
      </c>
      <c r="Y934" s="270">
        <f t="shared" si="251"/>
        <v>26523</v>
      </c>
      <c r="Z934" s="270">
        <f t="shared" si="251"/>
        <v>26523</v>
      </c>
      <c r="AA934" s="270">
        <f t="shared" si="251"/>
        <v>26523</v>
      </c>
      <c r="AB934" s="270">
        <f t="shared" si="251"/>
        <v>26523</v>
      </c>
      <c r="AC934" s="270">
        <f t="shared" si="251"/>
        <v>26523</v>
      </c>
      <c r="AD934" s="270">
        <f t="shared" si="250"/>
        <v>26523</v>
      </c>
      <c r="AE934" s="270">
        <f t="shared" si="241"/>
        <v>26523</v>
      </c>
      <c r="AF934" s="270">
        <f t="shared" si="249"/>
        <v>26523</v>
      </c>
      <c r="AG934" s="270">
        <f t="shared" si="249"/>
        <v>26523</v>
      </c>
      <c r="AH934" s="270">
        <f t="shared" si="249"/>
        <v>26523</v>
      </c>
      <c r="AI934" s="270">
        <f t="shared" si="249"/>
        <v>26523</v>
      </c>
      <c r="AJ934" s="270">
        <f t="shared" si="249"/>
        <v>26523</v>
      </c>
      <c r="AK934" s="270">
        <f t="shared" si="249"/>
        <v>26523</v>
      </c>
      <c r="AL934" s="270">
        <f t="shared" si="249"/>
        <v>26523</v>
      </c>
      <c r="AM934" s="270">
        <f t="shared" si="249"/>
        <v>26523</v>
      </c>
    </row>
    <row r="935" spans="2:39" ht="15.75" thickBot="1" x14ac:dyDescent="0.35">
      <c r="B935" s="56" t="str">
        <f>input_names!$E$3</f>
        <v>plug-in</v>
      </c>
      <c r="C935" s="61">
        <v>180</v>
      </c>
      <c r="D935" s="270">
        <f t="shared" si="250"/>
        <v>12364</v>
      </c>
      <c r="E935" s="270">
        <f t="shared" si="250"/>
        <v>15742</v>
      </c>
      <c r="F935" s="270">
        <f t="shared" si="250"/>
        <v>41400</v>
      </c>
      <c r="G935" s="270">
        <f t="shared" si="250"/>
        <v>39880</v>
      </c>
      <c r="H935" s="270">
        <f t="shared" si="250"/>
        <v>38300</v>
      </c>
      <c r="I935" s="270">
        <f t="shared" si="250"/>
        <v>37740</v>
      </c>
      <c r="J935" s="270">
        <f t="shared" si="250"/>
        <v>27240</v>
      </c>
      <c r="K935" s="270">
        <f t="shared" si="250"/>
        <v>27506</v>
      </c>
      <c r="L935" s="270">
        <f t="shared" si="250"/>
        <v>29290</v>
      </c>
      <c r="M935" s="270">
        <f t="shared" si="250"/>
        <v>32232</v>
      </c>
      <c r="N935" s="270">
        <f t="shared" si="250"/>
        <v>27091</v>
      </c>
      <c r="O935" s="270">
        <f t="shared" si="250"/>
        <v>27091</v>
      </c>
      <c r="P935" s="270">
        <f t="shared" si="250"/>
        <v>27091</v>
      </c>
      <c r="Q935" s="270">
        <f t="shared" si="250"/>
        <v>27091</v>
      </c>
      <c r="R935" s="270">
        <f t="shared" si="250"/>
        <v>27091</v>
      </c>
      <c r="S935" s="270">
        <f t="shared" si="251"/>
        <v>27091</v>
      </c>
      <c r="T935" s="270">
        <f t="shared" si="251"/>
        <v>27091</v>
      </c>
      <c r="U935" s="270">
        <f t="shared" si="251"/>
        <v>27091</v>
      </c>
      <c r="V935" s="270">
        <f t="shared" si="251"/>
        <v>27091</v>
      </c>
      <c r="W935" s="270">
        <f t="shared" si="251"/>
        <v>27091</v>
      </c>
      <c r="X935" s="270">
        <f t="shared" si="251"/>
        <v>27091</v>
      </c>
      <c r="Y935" s="270">
        <f t="shared" si="251"/>
        <v>27091</v>
      </c>
      <c r="Z935" s="270">
        <f t="shared" si="251"/>
        <v>27091</v>
      </c>
      <c r="AA935" s="270">
        <f t="shared" si="251"/>
        <v>27091</v>
      </c>
      <c r="AB935" s="270">
        <f t="shared" si="251"/>
        <v>27091</v>
      </c>
      <c r="AC935" s="270">
        <f t="shared" si="251"/>
        <v>27091</v>
      </c>
      <c r="AD935" s="270">
        <f t="shared" si="250"/>
        <v>27091</v>
      </c>
      <c r="AE935" s="270">
        <f t="shared" si="241"/>
        <v>27091</v>
      </c>
      <c r="AF935" s="270">
        <f t="shared" si="249"/>
        <v>27091</v>
      </c>
      <c r="AG935" s="270">
        <f t="shared" si="249"/>
        <v>27091</v>
      </c>
      <c r="AH935" s="270">
        <f t="shared" si="249"/>
        <v>27091</v>
      </c>
      <c r="AI935" s="270">
        <f t="shared" si="249"/>
        <v>27091</v>
      </c>
      <c r="AJ935" s="270">
        <f t="shared" si="249"/>
        <v>27091</v>
      </c>
      <c r="AK935" s="270">
        <f t="shared" si="249"/>
        <v>27091</v>
      </c>
      <c r="AL935" s="270">
        <f t="shared" si="249"/>
        <v>27091</v>
      </c>
      <c r="AM935" s="270">
        <f t="shared" si="249"/>
        <v>27091</v>
      </c>
    </row>
    <row r="936" spans="2:39" ht="15.75" thickBot="1" x14ac:dyDescent="0.35">
      <c r="B936" s="56" t="str">
        <f>input_names!$E$3</f>
        <v>plug-in</v>
      </c>
      <c r="C936" s="61">
        <v>181</v>
      </c>
      <c r="D936" s="270">
        <f t="shared" si="250"/>
        <v>12798</v>
      </c>
      <c r="E936" s="270">
        <f t="shared" si="250"/>
        <v>16218</v>
      </c>
      <c r="F936" s="270">
        <f t="shared" si="250"/>
        <v>41700</v>
      </c>
      <c r="G936" s="270">
        <f t="shared" si="250"/>
        <v>40169</v>
      </c>
      <c r="H936" s="270">
        <f t="shared" si="250"/>
        <v>38571</v>
      </c>
      <c r="I936" s="270">
        <f t="shared" si="250"/>
        <v>38007</v>
      </c>
      <c r="J936" s="270">
        <f t="shared" si="250"/>
        <v>27442</v>
      </c>
      <c r="K936" s="270">
        <f t="shared" si="250"/>
        <v>27710</v>
      </c>
      <c r="L936" s="270">
        <f t="shared" si="250"/>
        <v>29507</v>
      </c>
      <c r="M936" s="270">
        <f t="shared" si="250"/>
        <v>32471</v>
      </c>
      <c r="N936" s="270">
        <f t="shared" si="250"/>
        <v>27659</v>
      </c>
      <c r="O936" s="270">
        <f t="shared" si="250"/>
        <v>27659</v>
      </c>
      <c r="P936" s="270">
        <f t="shared" si="250"/>
        <v>27659</v>
      </c>
      <c r="Q936" s="270">
        <f t="shared" si="250"/>
        <v>27659</v>
      </c>
      <c r="R936" s="270">
        <f t="shared" si="250"/>
        <v>27659</v>
      </c>
      <c r="S936" s="270">
        <f t="shared" si="251"/>
        <v>27659</v>
      </c>
      <c r="T936" s="270">
        <f t="shared" si="251"/>
        <v>27659</v>
      </c>
      <c r="U936" s="270">
        <f t="shared" si="251"/>
        <v>27659</v>
      </c>
      <c r="V936" s="270">
        <f t="shared" si="251"/>
        <v>27659</v>
      </c>
      <c r="W936" s="270">
        <f t="shared" si="251"/>
        <v>27659</v>
      </c>
      <c r="X936" s="270">
        <f t="shared" si="251"/>
        <v>27659</v>
      </c>
      <c r="Y936" s="270">
        <f t="shared" si="251"/>
        <v>27659</v>
      </c>
      <c r="Z936" s="270">
        <f t="shared" si="251"/>
        <v>27659</v>
      </c>
      <c r="AA936" s="270">
        <f t="shared" si="251"/>
        <v>27659</v>
      </c>
      <c r="AB936" s="270">
        <f t="shared" si="251"/>
        <v>27659</v>
      </c>
      <c r="AC936" s="270">
        <f t="shared" si="251"/>
        <v>27659</v>
      </c>
      <c r="AD936" s="270">
        <f t="shared" si="250"/>
        <v>27659</v>
      </c>
      <c r="AE936" s="270">
        <f t="shared" si="241"/>
        <v>27659</v>
      </c>
      <c r="AF936" s="270">
        <f t="shared" si="249"/>
        <v>27659</v>
      </c>
      <c r="AG936" s="270">
        <f t="shared" si="249"/>
        <v>27659</v>
      </c>
      <c r="AH936" s="270">
        <f t="shared" si="249"/>
        <v>27659</v>
      </c>
      <c r="AI936" s="270">
        <f t="shared" si="249"/>
        <v>27659</v>
      </c>
      <c r="AJ936" s="270">
        <f t="shared" si="249"/>
        <v>27659</v>
      </c>
      <c r="AK936" s="270">
        <f t="shared" si="249"/>
        <v>27659</v>
      </c>
      <c r="AL936" s="270">
        <f t="shared" si="249"/>
        <v>27659</v>
      </c>
      <c r="AM936" s="270">
        <f t="shared" si="249"/>
        <v>27659</v>
      </c>
    </row>
    <row r="937" spans="2:39" ht="15.75" thickBot="1" x14ac:dyDescent="0.35">
      <c r="B937" s="56" t="str">
        <f>input_names!$E$3</f>
        <v>plug-in</v>
      </c>
      <c r="C937" s="61">
        <v>182</v>
      </c>
      <c r="D937" s="270">
        <f t="shared" si="250"/>
        <v>13232</v>
      </c>
      <c r="E937" s="270">
        <f t="shared" si="250"/>
        <v>16694</v>
      </c>
      <c r="F937" s="270">
        <f t="shared" si="250"/>
        <v>42000</v>
      </c>
      <c r="G937" s="270">
        <f t="shared" si="250"/>
        <v>40458</v>
      </c>
      <c r="H937" s="270">
        <f t="shared" si="250"/>
        <v>38842</v>
      </c>
      <c r="I937" s="270">
        <f t="shared" si="250"/>
        <v>38274</v>
      </c>
      <c r="J937" s="270">
        <f t="shared" si="250"/>
        <v>27644</v>
      </c>
      <c r="K937" s="270">
        <f t="shared" si="250"/>
        <v>27914</v>
      </c>
      <c r="L937" s="270">
        <f t="shared" si="250"/>
        <v>29724</v>
      </c>
      <c r="M937" s="270">
        <f t="shared" si="250"/>
        <v>32710</v>
      </c>
      <c r="N937" s="270">
        <f t="shared" si="250"/>
        <v>28227</v>
      </c>
      <c r="O937" s="270">
        <f t="shared" si="250"/>
        <v>28227</v>
      </c>
      <c r="P937" s="270">
        <f t="shared" si="250"/>
        <v>28227</v>
      </c>
      <c r="Q937" s="270">
        <f t="shared" si="250"/>
        <v>28227</v>
      </c>
      <c r="R937" s="270">
        <f t="shared" si="250"/>
        <v>28227</v>
      </c>
      <c r="S937" s="270">
        <f t="shared" si="251"/>
        <v>28227</v>
      </c>
      <c r="T937" s="270">
        <f t="shared" si="251"/>
        <v>28227</v>
      </c>
      <c r="U937" s="270">
        <f t="shared" si="251"/>
        <v>28227</v>
      </c>
      <c r="V937" s="270">
        <f t="shared" si="251"/>
        <v>28227</v>
      </c>
      <c r="W937" s="270">
        <f t="shared" si="251"/>
        <v>28227</v>
      </c>
      <c r="X937" s="270">
        <f t="shared" si="251"/>
        <v>28227</v>
      </c>
      <c r="Y937" s="270">
        <f t="shared" si="251"/>
        <v>28227</v>
      </c>
      <c r="Z937" s="270">
        <f t="shared" si="251"/>
        <v>28227</v>
      </c>
      <c r="AA937" s="270">
        <f t="shared" si="251"/>
        <v>28227</v>
      </c>
      <c r="AB937" s="270">
        <f t="shared" si="251"/>
        <v>28227</v>
      </c>
      <c r="AC937" s="270">
        <f t="shared" si="251"/>
        <v>28227</v>
      </c>
      <c r="AD937" s="270">
        <f t="shared" si="250"/>
        <v>28227</v>
      </c>
      <c r="AE937" s="270">
        <f t="shared" si="241"/>
        <v>28227</v>
      </c>
      <c r="AF937" s="270">
        <f t="shared" si="249"/>
        <v>28227</v>
      </c>
      <c r="AG937" s="270">
        <f t="shared" si="249"/>
        <v>28227</v>
      </c>
      <c r="AH937" s="270">
        <f t="shared" si="249"/>
        <v>28227</v>
      </c>
      <c r="AI937" s="270">
        <f t="shared" si="249"/>
        <v>28227</v>
      </c>
      <c r="AJ937" s="270">
        <f t="shared" si="249"/>
        <v>28227</v>
      </c>
      <c r="AK937" s="270">
        <f t="shared" si="249"/>
        <v>28227</v>
      </c>
      <c r="AL937" s="270">
        <f t="shared" si="249"/>
        <v>28227</v>
      </c>
      <c r="AM937" s="270">
        <f t="shared" si="249"/>
        <v>28227</v>
      </c>
    </row>
    <row r="938" spans="2:39" ht="15.75" thickBot="1" x14ac:dyDescent="0.35">
      <c r="B938" s="56" t="str">
        <f>input_names!$E$3</f>
        <v>plug-in</v>
      </c>
      <c r="C938" s="61">
        <v>183</v>
      </c>
      <c r="D938" s="270">
        <f t="shared" si="250"/>
        <v>13666</v>
      </c>
      <c r="E938" s="270">
        <f t="shared" si="250"/>
        <v>17170</v>
      </c>
      <c r="F938" s="270">
        <f t="shared" si="250"/>
        <v>42300</v>
      </c>
      <c r="G938" s="270">
        <f t="shared" si="250"/>
        <v>40747</v>
      </c>
      <c r="H938" s="270">
        <f t="shared" si="250"/>
        <v>39113</v>
      </c>
      <c r="I938" s="270">
        <f t="shared" si="250"/>
        <v>38541</v>
      </c>
      <c r="J938" s="270">
        <f t="shared" si="250"/>
        <v>27846</v>
      </c>
      <c r="K938" s="270">
        <f t="shared" si="250"/>
        <v>28118</v>
      </c>
      <c r="L938" s="270">
        <f t="shared" si="250"/>
        <v>29941</v>
      </c>
      <c r="M938" s="270">
        <f t="shared" si="250"/>
        <v>32949</v>
      </c>
      <c r="N938" s="270">
        <f t="shared" si="250"/>
        <v>28795</v>
      </c>
      <c r="O938" s="270">
        <f t="shared" si="250"/>
        <v>28795</v>
      </c>
      <c r="P938" s="270">
        <f t="shared" si="250"/>
        <v>28795</v>
      </c>
      <c r="Q938" s="270">
        <f t="shared" si="250"/>
        <v>28795</v>
      </c>
      <c r="R938" s="270">
        <f t="shared" si="250"/>
        <v>28795</v>
      </c>
      <c r="S938" s="270">
        <f t="shared" si="251"/>
        <v>28795</v>
      </c>
      <c r="T938" s="270">
        <f t="shared" si="251"/>
        <v>28795</v>
      </c>
      <c r="U938" s="270">
        <f t="shared" si="251"/>
        <v>28795</v>
      </c>
      <c r="V938" s="270">
        <f t="shared" si="251"/>
        <v>28795</v>
      </c>
      <c r="W938" s="270">
        <f t="shared" si="251"/>
        <v>28795</v>
      </c>
      <c r="X938" s="270">
        <f t="shared" si="251"/>
        <v>28795</v>
      </c>
      <c r="Y938" s="270">
        <f t="shared" si="251"/>
        <v>28795</v>
      </c>
      <c r="Z938" s="270">
        <f t="shared" si="251"/>
        <v>28795</v>
      </c>
      <c r="AA938" s="270">
        <f t="shared" si="251"/>
        <v>28795</v>
      </c>
      <c r="AB938" s="270">
        <f t="shared" si="251"/>
        <v>28795</v>
      </c>
      <c r="AC938" s="270">
        <f t="shared" si="251"/>
        <v>28795</v>
      </c>
      <c r="AD938" s="270">
        <f t="shared" si="250"/>
        <v>28795</v>
      </c>
      <c r="AE938" s="270">
        <f t="shared" si="241"/>
        <v>28795</v>
      </c>
      <c r="AF938" s="270">
        <f t="shared" si="249"/>
        <v>28795</v>
      </c>
      <c r="AG938" s="270">
        <f t="shared" si="249"/>
        <v>28795</v>
      </c>
      <c r="AH938" s="270">
        <f t="shared" si="249"/>
        <v>28795</v>
      </c>
      <c r="AI938" s="270">
        <f t="shared" si="249"/>
        <v>28795</v>
      </c>
      <c r="AJ938" s="270">
        <f t="shared" si="249"/>
        <v>28795</v>
      </c>
      <c r="AK938" s="270">
        <f t="shared" si="249"/>
        <v>28795</v>
      </c>
      <c r="AL938" s="270">
        <f t="shared" si="249"/>
        <v>28795</v>
      </c>
      <c r="AM938" s="270">
        <f t="shared" si="249"/>
        <v>28795</v>
      </c>
    </row>
    <row r="939" spans="2:39" ht="15.75" thickBot="1" x14ac:dyDescent="0.35">
      <c r="B939" s="56" t="str">
        <f>input_names!$E$3</f>
        <v>plug-in</v>
      </c>
      <c r="C939" s="61">
        <v>184</v>
      </c>
      <c r="D939" s="270">
        <f t="shared" si="250"/>
        <v>14100</v>
      </c>
      <c r="E939" s="270">
        <f t="shared" si="250"/>
        <v>17646</v>
      </c>
      <c r="F939" s="270">
        <f t="shared" si="250"/>
        <v>42600</v>
      </c>
      <c r="G939" s="270">
        <f t="shared" si="250"/>
        <v>41036</v>
      </c>
      <c r="H939" s="270">
        <f t="shared" si="250"/>
        <v>39384</v>
      </c>
      <c r="I939" s="270">
        <f t="shared" si="250"/>
        <v>38808</v>
      </c>
      <c r="J939" s="270">
        <f t="shared" si="250"/>
        <v>28048</v>
      </c>
      <c r="K939" s="270">
        <f t="shared" si="250"/>
        <v>28322</v>
      </c>
      <c r="L939" s="270">
        <f t="shared" si="250"/>
        <v>30158</v>
      </c>
      <c r="M939" s="270">
        <f t="shared" si="250"/>
        <v>33188</v>
      </c>
      <c r="N939" s="270">
        <f t="shared" si="250"/>
        <v>29363</v>
      </c>
      <c r="O939" s="270">
        <f t="shared" si="250"/>
        <v>29363</v>
      </c>
      <c r="P939" s="270">
        <f t="shared" si="250"/>
        <v>29363</v>
      </c>
      <c r="Q939" s="270">
        <f t="shared" si="250"/>
        <v>29363</v>
      </c>
      <c r="R939" s="270">
        <f t="shared" si="250"/>
        <v>29363</v>
      </c>
      <c r="S939" s="270">
        <f t="shared" si="251"/>
        <v>29363</v>
      </c>
      <c r="T939" s="270">
        <f t="shared" si="251"/>
        <v>29363</v>
      </c>
      <c r="U939" s="270">
        <f t="shared" si="251"/>
        <v>29363</v>
      </c>
      <c r="V939" s="270">
        <f t="shared" si="251"/>
        <v>29363</v>
      </c>
      <c r="W939" s="270">
        <f t="shared" si="251"/>
        <v>29363</v>
      </c>
      <c r="X939" s="270">
        <f t="shared" si="251"/>
        <v>29363</v>
      </c>
      <c r="Y939" s="270">
        <f t="shared" si="251"/>
        <v>29363</v>
      </c>
      <c r="Z939" s="270">
        <f t="shared" si="251"/>
        <v>29363</v>
      </c>
      <c r="AA939" s="270">
        <f t="shared" si="251"/>
        <v>29363</v>
      </c>
      <c r="AB939" s="270">
        <f t="shared" si="251"/>
        <v>29363</v>
      </c>
      <c r="AC939" s="270">
        <f t="shared" si="251"/>
        <v>29363</v>
      </c>
      <c r="AD939" s="270">
        <f t="shared" si="250"/>
        <v>29363</v>
      </c>
      <c r="AE939" s="270">
        <f t="shared" si="241"/>
        <v>29363</v>
      </c>
      <c r="AF939" s="270">
        <f t="shared" si="249"/>
        <v>29363</v>
      </c>
      <c r="AG939" s="270">
        <f t="shared" si="249"/>
        <v>29363</v>
      </c>
      <c r="AH939" s="270">
        <f t="shared" si="249"/>
        <v>29363</v>
      </c>
      <c r="AI939" s="270">
        <f t="shared" si="249"/>
        <v>29363</v>
      </c>
      <c r="AJ939" s="270">
        <f t="shared" si="249"/>
        <v>29363</v>
      </c>
      <c r="AK939" s="270">
        <f t="shared" si="249"/>
        <v>29363</v>
      </c>
      <c r="AL939" s="270">
        <f t="shared" si="249"/>
        <v>29363</v>
      </c>
      <c r="AM939" s="270">
        <f t="shared" si="249"/>
        <v>29363</v>
      </c>
    </row>
    <row r="940" spans="2:39" ht="15.75" thickBot="1" x14ac:dyDescent="0.35">
      <c r="B940" s="56" t="str">
        <f>input_names!$E$3</f>
        <v>plug-in</v>
      </c>
      <c r="C940" s="61">
        <v>185</v>
      </c>
      <c r="D940" s="270">
        <f t="shared" si="250"/>
        <v>14534</v>
      </c>
      <c r="E940" s="270">
        <f t="shared" si="250"/>
        <v>18122</v>
      </c>
      <c r="F940" s="270">
        <f t="shared" si="250"/>
        <v>42900</v>
      </c>
      <c r="G940" s="270">
        <f t="shared" si="250"/>
        <v>41325</v>
      </c>
      <c r="H940" s="270">
        <f t="shared" si="250"/>
        <v>39655</v>
      </c>
      <c r="I940" s="270">
        <f t="shared" si="250"/>
        <v>39075</v>
      </c>
      <c r="J940" s="270">
        <f t="shared" si="250"/>
        <v>28250</v>
      </c>
      <c r="K940" s="270">
        <f t="shared" si="250"/>
        <v>28526</v>
      </c>
      <c r="L940" s="270">
        <f t="shared" si="250"/>
        <v>30375</v>
      </c>
      <c r="M940" s="270">
        <f t="shared" si="250"/>
        <v>33427</v>
      </c>
      <c r="N940" s="270">
        <f t="shared" si="250"/>
        <v>29931</v>
      </c>
      <c r="O940" s="270">
        <f t="shared" si="250"/>
        <v>29931</v>
      </c>
      <c r="P940" s="270">
        <f t="shared" si="250"/>
        <v>29931</v>
      </c>
      <c r="Q940" s="270">
        <f t="shared" si="250"/>
        <v>29931</v>
      </c>
      <c r="R940" s="270">
        <f t="shared" si="250"/>
        <v>29931</v>
      </c>
      <c r="S940" s="270">
        <f t="shared" si="251"/>
        <v>29931</v>
      </c>
      <c r="T940" s="270">
        <f t="shared" si="251"/>
        <v>29931</v>
      </c>
      <c r="U940" s="270">
        <f t="shared" si="251"/>
        <v>29931</v>
      </c>
      <c r="V940" s="270">
        <f t="shared" si="251"/>
        <v>29931</v>
      </c>
      <c r="W940" s="270">
        <f t="shared" si="251"/>
        <v>29931</v>
      </c>
      <c r="X940" s="270">
        <f t="shared" si="251"/>
        <v>29931</v>
      </c>
      <c r="Y940" s="270">
        <f t="shared" si="251"/>
        <v>29931</v>
      </c>
      <c r="Z940" s="270">
        <f t="shared" si="251"/>
        <v>29931</v>
      </c>
      <c r="AA940" s="270">
        <f t="shared" si="251"/>
        <v>29931</v>
      </c>
      <c r="AB940" s="270">
        <f t="shared" si="251"/>
        <v>29931</v>
      </c>
      <c r="AC940" s="270">
        <f t="shared" si="251"/>
        <v>29931</v>
      </c>
      <c r="AD940" s="270">
        <f t="shared" si="250"/>
        <v>29931</v>
      </c>
      <c r="AE940" s="270">
        <f t="shared" ref="AE940:AE1003" si="252">+MIN(MAX(0,$C940-AE$28),AE$29-AE$28)*AE$34
+MIN(MAX(0,$C940-AE$29),AE$30-AE$29)*AE$35
+MIN(MAX(0,$C940-AE$30),AE$31-AE$30)*AE$36
+MIN(MAX(0,$C940-AE$31),AE$32-AE$31)*AE$37
+MAX(0,$C940-AE$32)*AE$38
+AE$39</f>
        <v>29931</v>
      </c>
      <c r="AF940" s="270">
        <f t="shared" si="249"/>
        <v>29931</v>
      </c>
      <c r="AG940" s="270">
        <f t="shared" si="249"/>
        <v>29931</v>
      </c>
      <c r="AH940" s="270">
        <f t="shared" si="249"/>
        <v>29931</v>
      </c>
      <c r="AI940" s="270">
        <f t="shared" si="249"/>
        <v>29931</v>
      </c>
      <c r="AJ940" s="270">
        <f t="shared" si="249"/>
        <v>29931</v>
      </c>
      <c r="AK940" s="270">
        <f t="shared" si="249"/>
        <v>29931</v>
      </c>
      <c r="AL940" s="270">
        <f t="shared" si="249"/>
        <v>29931</v>
      </c>
      <c r="AM940" s="270">
        <f t="shared" si="249"/>
        <v>29931</v>
      </c>
    </row>
    <row r="941" spans="2:39" ht="15.75" thickBot="1" x14ac:dyDescent="0.35">
      <c r="B941" s="56" t="str">
        <f>input_names!$E$3</f>
        <v>plug-in</v>
      </c>
      <c r="C941" s="61">
        <v>186</v>
      </c>
      <c r="D941" s="270">
        <f t="shared" si="250"/>
        <v>14968</v>
      </c>
      <c r="E941" s="270">
        <f t="shared" si="250"/>
        <v>18598</v>
      </c>
      <c r="F941" s="270">
        <f t="shared" si="250"/>
        <v>43200</v>
      </c>
      <c r="G941" s="270">
        <f t="shared" si="250"/>
        <v>41614</v>
      </c>
      <c r="H941" s="270">
        <f t="shared" si="250"/>
        <v>39926</v>
      </c>
      <c r="I941" s="270">
        <f t="shared" si="250"/>
        <v>39342</v>
      </c>
      <c r="J941" s="270">
        <f t="shared" si="250"/>
        <v>28452</v>
      </c>
      <c r="K941" s="270">
        <f t="shared" si="250"/>
        <v>28730</v>
      </c>
      <c r="L941" s="270">
        <f t="shared" si="250"/>
        <v>30592</v>
      </c>
      <c r="M941" s="270">
        <f t="shared" si="250"/>
        <v>33666</v>
      </c>
      <c r="N941" s="270">
        <f t="shared" si="250"/>
        <v>30499</v>
      </c>
      <c r="O941" s="270">
        <f t="shared" si="250"/>
        <v>30499</v>
      </c>
      <c r="P941" s="270">
        <f t="shared" si="250"/>
        <v>30499</v>
      </c>
      <c r="Q941" s="270">
        <f t="shared" si="250"/>
        <v>30499</v>
      </c>
      <c r="R941" s="270">
        <f t="shared" si="250"/>
        <v>30499</v>
      </c>
      <c r="S941" s="270">
        <f t="shared" si="251"/>
        <v>30499</v>
      </c>
      <c r="T941" s="270">
        <f t="shared" si="251"/>
        <v>30499</v>
      </c>
      <c r="U941" s="270">
        <f t="shared" si="251"/>
        <v>30499</v>
      </c>
      <c r="V941" s="270">
        <f t="shared" si="251"/>
        <v>30499</v>
      </c>
      <c r="W941" s="270">
        <f t="shared" si="251"/>
        <v>30499</v>
      </c>
      <c r="X941" s="270">
        <f t="shared" si="251"/>
        <v>30499</v>
      </c>
      <c r="Y941" s="270">
        <f t="shared" si="251"/>
        <v>30499</v>
      </c>
      <c r="Z941" s="270">
        <f t="shared" si="251"/>
        <v>30499</v>
      </c>
      <c r="AA941" s="270">
        <f t="shared" si="251"/>
        <v>30499</v>
      </c>
      <c r="AB941" s="270">
        <f t="shared" si="251"/>
        <v>30499</v>
      </c>
      <c r="AC941" s="270">
        <f t="shared" si="251"/>
        <v>30499</v>
      </c>
      <c r="AD941" s="270">
        <f t="shared" si="250"/>
        <v>30499</v>
      </c>
      <c r="AE941" s="270">
        <f t="shared" si="252"/>
        <v>30499</v>
      </c>
      <c r="AF941" s="270">
        <f t="shared" si="249"/>
        <v>30499</v>
      </c>
      <c r="AG941" s="270">
        <f t="shared" si="249"/>
        <v>30499</v>
      </c>
      <c r="AH941" s="270">
        <f t="shared" si="249"/>
        <v>30499</v>
      </c>
      <c r="AI941" s="270">
        <f t="shared" si="249"/>
        <v>30499</v>
      </c>
      <c r="AJ941" s="270">
        <f t="shared" si="249"/>
        <v>30499</v>
      </c>
      <c r="AK941" s="270">
        <f t="shared" si="249"/>
        <v>30499</v>
      </c>
      <c r="AL941" s="270">
        <f t="shared" si="249"/>
        <v>30499</v>
      </c>
      <c r="AM941" s="270">
        <f t="shared" si="249"/>
        <v>30499</v>
      </c>
    </row>
    <row r="942" spans="2:39" ht="15.75" thickBot="1" x14ac:dyDescent="0.35">
      <c r="B942" s="56" t="str">
        <f>input_names!$E$3</f>
        <v>plug-in</v>
      </c>
      <c r="C942" s="61">
        <v>187</v>
      </c>
      <c r="D942" s="270">
        <f t="shared" si="250"/>
        <v>15402</v>
      </c>
      <c r="E942" s="270">
        <f t="shared" si="250"/>
        <v>19074</v>
      </c>
      <c r="F942" s="270">
        <f t="shared" si="250"/>
        <v>43500</v>
      </c>
      <c r="G942" s="270">
        <f t="shared" si="250"/>
        <v>41903</v>
      </c>
      <c r="H942" s="270">
        <f t="shared" si="250"/>
        <v>40197</v>
      </c>
      <c r="I942" s="270">
        <f t="shared" si="250"/>
        <v>39609</v>
      </c>
      <c r="J942" s="270">
        <f t="shared" si="250"/>
        <v>28654</v>
      </c>
      <c r="K942" s="270">
        <f t="shared" si="250"/>
        <v>28934</v>
      </c>
      <c r="L942" s="270">
        <f t="shared" si="250"/>
        <v>30809</v>
      </c>
      <c r="M942" s="270">
        <f t="shared" si="250"/>
        <v>33905</v>
      </c>
      <c r="N942" s="270">
        <f t="shared" si="250"/>
        <v>31067</v>
      </c>
      <c r="O942" s="270">
        <f t="shared" si="250"/>
        <v>31067</v>
      </c>
      <c r="P942" s="270">
        <f t="shared" si="250"/>
        <v>31067</v>
      </c>
      <c r="Q942" s="270">
        <f t="shared" si="250"/>
        <v>31067</v>
      </c>
      <c r="R942" s="270">
        <f t="shared" si="250"/>
        <v>31067</v>
      </c>
      <c r="S942" s="270">
        <f t="shared" si="251"/>
        <v>31067</v>
      </c>
      <c r="T942" s="270">
        <f t="shared" si="251"/>
        <v>31067</v>
      </c>
      <c r="U942" s="270">
        <f t="shared" si="251"/>
        <v>31067</v>
      </c>
      <c r="V942" s="270">
        <f t="shared" si="251"/>
        <v>31067</v>
      </c>
      <c r="W942" s="270">
        <f t="shared" si="251"/>
        <v>31067</v>
      </c>
      <c r="X942" s="270">
        <f t="shared" si="251"/>
        <v>31067</v>
      </c>
      <c r="Y942" s="270">
        <f t="shared" si="251"/>
        <v>31067</v>
      </c>
      <c r="Z942" s="270">
        <f t="shared" si="251"/>
        <v>31067</v>
      </c>
      <c r="AA942" s="270">
        <f t="shared" si="251"/>
        <v>31067</v>
      </c>
      <c r="AB942" s="270">
        <f t="shared" si="251"/>
        <v>31067</v>
      </c>
      <c r="AC942" s="270">
        <f t="shared" si="251"/>
        <v>31067</v>
      </c>
      <c r="AD942" s="270">
        <f t="shared" si="250"/>
        <v>31067</v>
      </c>
      <c r="AE942" s="270">
        <f t="shared" si="252"/>
        <v>31067</v>
      </c>
      <c r="AF942" s="270">
        <f t="shared" si="249"/>
        <v>31067</v>
      </c>
      <c r="AG942" s="270">
        <f t="shared" si="249"/>
        <v>31067</v>
      </c>
      <c r="AH942" s="270">
        <f t="shared" si="249"/>
        <v>31067</v>
      </c>
      <c r="AI942" s="270">
        <f t="shared" si="249"/>
        <v>31067</v>
      </c>
      <c r="AJ942" s="270">
        <f t="shared" si="249"/>
        <v>31067</v>
      </c>
      <c r="AK942" s="270">
        <f t="shared" si="249"/>
        <v>31067</v>
      </c>
      <c r="AL942" s="270">
        <f t="shared" si="249"/>
        <v>31067</v>
      </c>
      <c r="AM942" s="270">
        <f t="shared" si="249"/>
        <v>31067</v>
      </c>
    </row>
    <row r="943" spans="2:39" ht="15.75" thickBot="1" x14ac:dyDescent="0.35">
      <c r="B943" s="56" t="str">
        <f>input_names!$E$3</f>
        <v>plug-in</v>
      </c>
      <c r="C943" s="61">
        <v>188</v>
      </c>
      <c r="D943" s="270">
        <f t="shared" si="250"/>
        <v>15836</v>
      </c>
      <c r="E943" s="270">
        <f t="shared" si="250"/>
        <v>19550</v>
      </c>
      <c r="F943" s="270">
        <f t="shared" si="250"/>
        <v>43800</v>
      </c>
      <c r="G943" s="270">
        <f t="shared" si="250"/>
        <v>42192</v>
      </c>
      <c r="H943" s="270">
        <f t="shared" si="250"/>
        <v>40468</v>
      </c>
      <c r="I943" s="270">
        <f t="shared" si="250"/>
        <v>39876</v>
      </c>
      <c r="J943" s="270">
        <f t="shared" si="250"/>
        <v>28856</v>
      </c>
      <c r="K943" s="270">
        <f t="shared" si="250"/>
        <v>29138</v>
      </c>
      <c r="L943" s="270">
        <f t="shared" si="250"/>
        <v>31026</v>
      </c>
      <c r="M943" s="270">
        <f t="shared" si="250"/>
        <v>34144</v>
      </c>
      <c r="N943" s="270">
        <f t="shared" si="250"/>
        <v>31635</v>
      </c>
      <c r="O943" s="270">
        <f t="shared" si="250"/>
        <v>31635</v>
      </c>
      <c r="P943" s="270">
        <f t="shared" si="250"/>
        <v>31635</v>
      </c>
      <c r="Q943" s="270">
        <f t="shared" si="250"/>
        <v>31635</v>
      </c>
      <c r="R943" s="270">
        <f t="shared" si="250"/>
        <v>31635</v>
      </c>
      <c r="S943" s="270">
        <f t="shared" si="251"/>
        <v>31635</v>
      </c>
      <c r="T943" s="270">
        <f t="shared" si="251"/>
        <v>31635</v>
      </c>
      <c r="U943" s="270">
        <f t="shared" si="251"/>
        <v>31635</v>
      </c>
      <c r="V943" s="270">
        <f t="shared" si="251"/>
        <v>31635</v>
      </c>
      <c r="W943" s="270">
        <f t="shared" si="251"/>
        <v>31635</v>
      </c>
      <c r="X943" s="270">
        <f t="shared" si="251"/>
        <v>31635</v>
      </c>
      <c r="Y943" s="270">
        <f t="shared" si="251"/>
        <v>31635</v>
      </c>
      <c r="Z943" s="270">
        <f t="shared" si="251"/>
        <v>31635</v>
      </c>
      <c r="AA943" s="270">
        <f t="shared" si="251"/>
        <v>31635</v>
      </c>
      <c r="AB943" s="270">
        <f t="shared" si="251"/>
        <v>31635</v>
      </c>
      <c r="AC943" s="270">
        <f t="shared" si="251"/>
        <v>31635</v>
      </c>
      <c r="AD943" s="270">
        <f t="shared" si="250"/>
        <v>31635</v>
      </c>
      <c r="AE943" s="270">
        <f t="shared" si="252"/>
        <v>31635</v>
      </c>
      <c r="AF943" s="270">
        <f t="shared" si="249"/>
        <v>31635</v>
      </c>
      <c r="AG943" s="270">
        <f t="shared" si="249"/>
        <v>31635</v>
      </c>
      <c r="AH943" s="270">
        <f t="shared" si="249"/>
        <v>31635</v>
      </c>
      <c r="AI943" s="270">
        <f t="shared" si="249"/>
        <v>31635</v>
      </c>
      <c r="AJ943" s="270">
        <f t="shared" si="249"/>
        <v>31635</v>
      </c>
      <c r="AK943" s="270">
        <f t="shared" si="249"/>
        <v>31635</v>
      </c>
      <c r="AL943" s="270">
        <f t="shared" si="249"/>
        <v>31635</v>
      </c>
      <c r="AM943" s="270">
        <f t="shared" si="249"/>
        <v>31635</v>
      </c>
    </row>
    <row r="944" spans="2:39" ht="15.75" thickBot="1" x14ac:dyDescent="0.35">
      <c r="B944" s="56" t="str">
        <f>input_names!$E$3</f>
        <v>plug-in</v>
      </c>
      <c r="C944" s="61">
        <v>189</v>
      </c>
      <c r="D944" s="270">
        <f t="shared" si="250"/>
        <v>16270</v>
      </c>
      <c r="E944" s="270">
        <f t="shared" si="250"/>
        <v>20026</v>
      </c>
      <c r="F944" s="270">
        <f t="shared" si="250"/>
        <v>44100</v>
      </c>
      <c r="G944" s="270">
        <f t="shared" si="250"/>
        <v>42481</v>
      </c>
      <c r="H944" s="270">
        <f t="shared" si="250"/>
        <v>40739</v>
      </c>
      <c r="I944" s="270">
        <f t="shared" si="250"/>
        <v>40143</v>
      </c>
      <c r="J944" s="270">
        <f t="shared" si="250"/>
        <v>29058</v>
      </c>
      <c r="K944" s="270">
        <f t="shared" si="250"/>
        <v>29342</v>
      </c>
      <c r="L944" s="270">
        <f t="shared" si="250"/>
        <v>31243</v>
      </c>
      <c r="M944" s="270">
        <f t="shared" si="250"/>
        <v>34383</v>
      </c>
      <c r="N944" s="270">
        <f t="shared" si="250"/>
        <v>32203</v>
      </c>
      <c r="O944" s="270">
        <f t="shared" si="250"/>
        <v>32203</v>
      </c>
      <c r="P944" s="270">
        <f t="shared" si="250"/>
        <v>32203</v>
      </c>
      <c r="Q944" s="270">
        <f t="shared" si="250"/>
        <v>32203</v>
      </c>
      <c r="R944" s="270">
        <f t="shared" si="250"/>
        <v>32203</v>
      </c>
      <c r="S944" s="270">
        <f t="shared" si="251"/>
        <v>32203</v>
      </c>
      <c r="T944" s="270">
        <f t="shared" si="251"/>
        <v>32203</v>
      </c>
      <c r="U944" s="270">
        <f t="shared" si="251"/>
        <v>32203</v>
      </c>
      <c r="V944" s="270">
        <f t="shared" si="251"/>
        <v>32203</v>
      </c>
      <c r="W944" s="270">
        <f t="shared" si="251"/>
        <v>32203</v>
      </c>
      <c r="X944" s="270">
        <f t="shared" si="251"/>
        <v>32203</v>
      </c>
      <c r="Y944" s="270">
        <f t="shared" si="251"/>
        <v>32203</v>
      </c>
      <c r="Z944" s="270">
        <f t="shared" si="251"/>
        <v>32203</v>
      </c>
      <c r="AA944" s="270">
        <f t="shared" si="251"/>
        <v>32203</v>
      </c>
      <c r="AB944" s="270">
        <f t="shared" si="251"/>
        <v>32203</v>
      </c>
      <c r="AC944" s="270">
        <f t="shared" si="251"/>
        <v>32203</v>
      </c>
      <c r="AD944" s="270">
        <f t="shared" si="250"/>
        <v>32203</v>
      </c>
      <c r="AE944" s="270">
        <f t="shared" si="252"/>
        <v>32203</v>
      </c>
      <c r="AF944" s="270">
        <f t="shared" si="249"/>
        <v>32203</v>
      </c>
      <c r="AG944" s="270">
        <f t="shared" si="249"/>
        <v>32203</v>
      </c>
      <c r="AH944" s="270">
        <f t="shared" si="249"/>
        <v>32203</v>
      </c>
      <c r="AI944" s="270">
        <f t="shared" si="249"/>
        <v>32203</v>
      </c>
      <c r="AJ944" s="270">
        <f t="shared" si="249"/>
        <v>32203</v>
      </c>
      <c r="AK944" s="270">
        <f t="shared" si="249"/>
        <v>32203</v>
      </c>
      <c r="AL944" s="270">
        <f t="shared" si="249"/>
        <v>32203</v>
      </c>
      <c r="AM944" s="270">
        <f t="shared" si="249"/>
        <v>32203</v>
      </c>
    </row>
    <row r="945" spans="2:39" ht="15.75" thickBot="1" x14ac:dyDescent="0.35">
      <c r="B945" s="56" t="str">
        <f>input_names!$E$3</f>
        <v>plug-in</v>
      </c>
      <c r="C945" s="61">
        <v>190</v>
      </c>
      <c r="D945" s="270">
        <f t="shared" si="250"/>
        <v>16704</v>
      </c>
      <c r="E945" s="270">
        <f t="shared" si="250"/>
        <v>20502</v>
      </c>
      <c r="F945" s="270">
        <f t="shared" si="250"/>
        <v>44400</v>
      </c>
      <c r="G945" s="270">
        <f t="shared" si="250"/>
        <v>42770</v>
      </c>
      <c r="H945" s="270">
        <f t="shared" si="250"/>
        <v>41010</v>
      </c>
      <c r="I945" s="270">
        <f t="shared" si="250"/>
        <v>40410</v>
      </c>
      <c r="J945" s="270">
        <f t="shared" si="250"/>
        <v>29260</v>
      </c>
      <c r="K945" s="270">
        <f t="shared" si="250"/>
        <v>29546</v>
      </c>
      <c r="L945" s="270">
        <f t="shared" si="250"/>
        <v>31460</v>
      </c>
      <c r="M945" s="270">
        <f t="shared" si="250"/>
        <v>34622</v>
      </c>
      <c r="N945" s="270">
        <f t="shared" si="250"/>
        <v>32771</v>
      </c>
      <c r="O945" s="270">
        <f t="shared" si="250"/>
        <v>32771</v>
      </c>
      <c r="P945" s="270">
        <f t="shared" si="250"/>
        <v>32771</v>
      </c>
      <c r="Q945" s="270">
        <f t="shared" si="250"/>
        <v>32771</v>
      </c>
      <c r="R945" s="270">
        <f t="shared" si="250"/>
        <v>32771</v>
      </c>
      <c r="S945" s="270">
        <f>+MIN(MAX(0,$C945-S$28),S$29-S$28)*S$34
+MIN(MAX(0,$C945-S$29),S$30-S$29)*S$35
+MIN(MAX(0,$C945-S$30),S$31-S$30)*S$36
+MIN(MAX(0,$C945-S$31),S$32-S$31)*S$37
+MAX(0,$C945-S$32)*S$38
+S$39</f>
        <v>32771</v>
      </c>
      <c r="T945" s="270">
        <f t="shared" si="251"/>
        <v>32771</v>
      </c>
      <c r="U945" s="270">
        <f t="shared" si="251"/>
        <v>32771</v>
      </c>
      <c r="V945" s="270">
        <f t="shared" si="251"/>
        <v>32771</v>
      </c>
      <c r="W945" s="270">
        <f t="shared" si="251"/>
        <v>32771</v>
      </c>
      <c r="X945" s="270">
        <f t="shared" si="251"/>
        <v>32771</v>
      </c>
      <c r="Y945" s="270">
        <f t="shared" si="251"/>
        <v>32771</v>
      </c>
      <c r="Z945" s="270">
        <f t="shared" si="251"/>
        <v>32771</v>
      </c>
      <c r="AA945" s="270">
        <f t="shared" si="251"/>
        <v>32771</v>
      </c>
      <c r="AB945" s="270">
        <f t="shared" si="251"/>
        <v>32771</v>
      </c>
      <c r="AC945" s="270">
        <f t="shared" si="251"/>
        <v>32771</v>
      </c>
      <c r="AD945" s="270">
        <f>+MIN(MAX(0,$C945-AD$28),AD$29-AD$28)*AD$34
+MIN(MAX(0,$C945-AD$29),AD$30-AD$29)*AD$35
+MIN(MAX(0,$C945-AD$30),AD$31-AD$30)*AD$36
+MIN(MAX(0,$C945-AD$31),AD$32-AD$31)*AD$37
+MAX(0,$C945-AD$32)*AD$38
+AD$39</f>
        <v>32771</v>
      </c>
      <c r="AE945" s="270">
        <f t="shared" si="252"/>
        <v>32771</v>
      </c>
      <c r="AF945" s="270">
        <f t="shared" si="249"/>
        <v>32771</v>
      </c>
      <c r="AG945" s="270">
        <f t="shared" si="249"/>
        <v>32771</v>
      </c>
      <c r="AH945" s="270">
        <f t="shared" si="249"/>
        <v>32771</v>
      </c>
      <c r="AI945" s="270">
        <f t="shared" si="249"/>
        <v>32771</v>
      </c>
      <c r="AJ945" s="270">
        <f t="shared" si="249"/>
        <v>32771</v>
      </c>
      <c r="AK945" s="270">
        <f t="shared" si="249"/>
        <v>32771</v>
      </c>
      <c r="AL945" s="270">
        <f t="shared" si="249"/>
        <v>32771</v>
      </c>
      <c r="AM945" s="270">
        <f t="shared" si="249"/>
        <v>32771</v>
      </c>
    </row>
    <row r="946" spans="2:39" ht="15.75" thickBot="1" x14ac:dyDescent="0.35">
      <c r="B946" s="56" t="str">
        <f>input_names!$E$3</f>
        <v>plug-in</v>
      </c>
      <c r="C946" s="61">
        <v>191</v>
      </c>
      <c r="D946" s="270">
        <f t="shared" ref="D946:AD961" si="253">+MIN(MAX(0,$C946-D$28),D$29-D$28)*D$34
+MIN(MAX(0,$C946-D$29),D$30-D$29)*D$35
+MIN(MAX(0,$C946-D$30),D$31-D$30)*D$36
+MIN(MAX(0,$C946-D$31),D$32-D$31)*D$37
+MAX(0,$C946-D$32)*D$38
+D$39</f>
        <v>17138</v>
      </c>
      <c r="E946" s="270">
        <f t="shared" si="253"/>
        <v>20978</v>
      </c>
      <c r="F946" s="270">
        <f t="shared" si="253"/>
        <v>44700</v>
      </c>
      <c r="G946" s="270">
        <f t="shared" si="253"/>
        <v>43059</v>
      </c>
      <c r="H946" s="270">
        <f t="shared" si="253"/>
        <v>41281</v>
      </c>
      <c r="I946" s="270">
        <f t="shared" si="253"/>
        <v>40677</v>
      </c>
      <c r="J946" s="270">
        <f t="shared" si="253"/>
        <v>29462</v>
      </c>
      <c r="K946" s="270">
        <f t="shared" si="253"/>
        <v>29750</v>
      </c>
      <c r="L946" s="270">
        <f t="shared" si="253"/>
        <v>31677</v>
      </c>
      <c r="M946" s="270">
        <f t="shared" si="253"/>
        <v>34861</v>
      </c>
      <c r="N946" s="270">
        <f t="shared" si="253"/>
        <v>33339</v>
      </c>
      <c r="O946" s="270">
        <f t="shared" si="253"/>
        <v>33339</v>
      </c>
      <c r="P946" s="270">
        <f t="shared" si="253"/>
        <v>33339</v>
      </c>
      <c r="Q946" s="270">
        <f t="shared" si="253"/>
        <v>33339</v>
      </c>
      <c r="R946" s="270">
        <f t="shared" si="253"/>
        <v>33339</v>
      </c>
      <c r="S946" s="270">
        <f t="shared" ref="S946:AC961" si="254">+MIN(MAX(0,$C946-S$28),S$29-S$28)*S$34
+MIN(MAX(0,$C946-S$29),S$30-S$29)*S$35
+MIN(MAX(0,$C946-S$30),S$31-S$30)*S$36
+MIN(MAX(0,$C946-S$31),S$32-S$31)*S$37
+MAX(0,$C946-S$32)*S$38
+S$39</f>
        <v>33339</v>
      </c>
      <c r="T946" s="270">
        <f t="shared" si="254"/>
        <v>33339</v>
      </c>
      <c r="U946" s="270">
        <f t="shared" si="254"/>
        <v>33339</v>
      </c>
      <c r="V946" s="270">
        <f t="shared" si="254"/>
        <v>33339</v>
      </c>
      <c r="W946" s="270">
        <f t="shared" si="254"/>
        <v>33339</v>
      </c>
      <c r="X946" s="270">
        <f t="shared" si="254"/>
        <v>33339</v>
      </c>
      <c r="Y946" s="270">
        <f t="shared" si="254"/>
        <v>33339</v>
      </c>
      <c r="Z946" s="270">
        <f t="shared" si="254"/>
        <v>33339</v>
      </c>
      <c r="AA946" s="270">
        <f t="shared" si="254"/>
        <v>33339</v>
      </c>
      <c r="AB946" s="270">
        <f t="shared" si="254"/>
        <v>33339</v>
      </c>
      <c r="AC946" s="270">
        <f t="shared" si="254"/>
        <v>33339</v>
      </c>
      <c r="AD946" s="270">
        <f t="shared" si="253"/>
        <v>33339</v>
      </c>
      <c r="AE946" s="270">
        <f t="shared" si="252"/>
        <v>33339</v>
      </c>
      <c r="AF946" s="270">
        <f t="shared" si="249"/>
        <v>33339</v>
      </c>
      <c r="AG946" s="270">
        <f t="shared" si="249"/>
        <v>33339</v>
      </c>
      <c r="AH946" s="270">
        <f t="shared" si="249"/>
        <v>33339</v>
      </c>
      <c r="AI946" s="270">
        <f t="shared" si="249"/>
        <v>33339</v>
      </c>
      <c r="AJ946" s="270">
        <f t="shared" si="249"/>
        <v>33339</v>
      </c>
      <c r="AK946" s="270">
        <f t="shared" si="249"/>
        <v>33339</v>
      </c>
      <c r="AL946" s="270">
        <f t="shared" si="249"/>
        <v>33339</v>
      </c>
      <c r="AM946" s="270">
        <f t="shared" si="249"/>
        <v>33339</v>
      </c>
    </row>
    <row r="947" spans="2:39" ht="15.75" thickBot="1" x14ac:dyDescent="0.35">
      <c r="B947" s="56" t="str">
        <f>input_names!$E$3</f>
        <v>plug-in</v>
      </c>
      <c r="C947" s="61">
        <v>192</v>
      </c>
      <c r="D947" s="270">
        <f t="shared" si="253"/>
        <v>17572</v>
      </c>
      <c r="E947" s="270">
        <f t="shared" si="253"/>
        <v>21454</v>
      </c>
      <c r="F947" s="270">
        <f t="shared" si="253"/>
        <v>45000</v>
      </c>
      <c r="G947" s="270">
        <f t="shared" si="253"/>
        <v>43348</v>
      </c>
      <c r="H947" s="270">
        <f t="shared" si="253"/>
        <v>41552</v>
      </c>
      <c r="I947" s="270">
        <f t="shared" si="253"/>
        <v>40944</v>
      </c>
      <c r="J947" s="270">
        <f t="shared" si="253"/>
        <v>29664</v>
      </c>
      <c r="K947" s="270">
        <f t="shared" si="253"/>
        <v>29954</v>
      </c>
      <c r="L947" s="270">
        <f t="shared" si="253"/>
        <v>31894</v>
      </c>
      <c r="M947" s="270">
        <f t="shared" si="253"/>
        <v>35100</v>
      </c>
      <c r="N947" s="270">
        <f t="shared" si="253"/>
        <v>33907</v>
      </c>
      <c r="O947" s="270">
        <f t="shared" si="253"/>
        <v>33907</v>
      </c>
      <c r="P947" s="270">
        <f t="shared" si="253"/>
        <v>33907</v>
      </c>
      <c r="Q947" s="270">
        <f t="shared" si="253"/>
        <v>33907</v>
      </c>
      <c r="R947" s="270">
        <f t="shared" si="253"/>
        <v>33907</v>
      </c>
      <c r="S947" s="270">
        <f t="shared" si="254"/>
        <v>33907</v>
      </c>
      <c r="T947" s="270">
        <f t="shared" si="254"/>
        <v>33907</v>
      </c>
      <c r="U947" s="270">
        <f t="shared" si="254"/>
        <v>33907</v>
      </c>
      <c r="V947" s="270">
        <f t="shared" si="254"/>
        <v>33907</v>
      </c>
      <c r="W947" s="270">
        <f t="shared" si="254"/>
        <v>33907</v>
      </c>
      <c r="X947" s="270">
        <f t="shared" si="254"/>
        <v>33907</v>
      </c>
      <c r="Y947" s="270">
        <f t="shared" si="254"/>
        <v>33907</v>
      </c>
      <c r="Z947" s="270">
        <f t="shared" si="254"/>
        <v>33907</v>
      </c>
      <c r="AA947" s="270">
        <f t="shared" si="254"/>
        <v>33907</v>
      </c>
      <c r="AB947" s="270">
        <f t="shared" si="254"/>
        <v>33907</v>
      </c>
      <c r="AC947" s="270">
        <f t="shared" si="254"/>
        <v>33907</v>
      </c>
      <c r="AD947" s="270">
        <f t="shared" si="253"/>
        <v>33907</v>
      </c>
      <c r="AE947" s="270">
        <f t="shared" si="252"/>
        <v>33907</v>
      </c>
      <c r="AF947" s="270">
        <f t="shared" si="249"/>
        <v>33907</v>
      </c>
      <c r="AG947" s="270">
        <f t="shared" si="249"/>
        <v>33907</v>
      </c>
      <c r="AH947" s="270">
        <f t="shared" si="249"/>
        <v>33907</v>
      </c>
      <c r="AI947" s="270">
        <f t="shared" si="249"/>
        <v>33907</v>
      </c>
      <c r="AJ947" s="270">
        <f t="shared" si="249"/>
        <v>33907</v>
      </c>
      <c r="AK947" s="270">
        <f t="shared" si="249"/>
        <v>33907</v>
      </c>
      <c r="AL947" s="270">
        <f t="shared" si="249"/>
        <v>33907</v>
      </c>
      <c r="AM947" s="270">
        <f t="shared" si="249"/>
        <v>33907</v>
      </c>
    </row>
    <row r="948" spans="2:39" ht="15.75" thickBot="1" x14ac:dyDescent="0.35">
      <c r="B948" s="56" t="str">
        <f>input_names!$E$3</f>
        <v>plug-in</v>
      </c>
      <c r="C948" s="61">
        <v>193</v>
      </c>
      <c r="D948" s="270">
        <f t="shared" si="253"/>
        <v>18006</v>
      </c>
      <c r="E948" s="270">
        <f t="shared" si="253"/>
        <v>21930</v>
      </c>
      <c r="F948" s="270">
        <f t="shared" si="253"/>
        <v>45300</v>
      </c>
      <c r="G948" s="270">
        <f t="shared" si="253"/>
        <v>43637</v>
      </c>
      <c r="H948" s="270">
        <f t="shared" si="253"/>
        <v>41823</v>
      </c>
      <c r="I948" s="270">
        <f t="shared" si="253"/>
        <v>41211</v>
      </c>
      <c r="J948" s="270">
        <f t="shared" si="253"/>
        <v>29866</v>
      </c>
      <c r="K948" s="270">
        <f t="shared" si="253"/>
        <v>30158</v>
      </c>
      <c r="L948" s="270">
        <f t="shared" si="253"/>
        <v>32111</v>
      </c>
      <c r="M948" s="270">
        <f t="shared" si="253"/>
        <v>35339</v>
      </c>
      <c r="N948" s="270">
        <f t="shared" si="253"/>
        <v>34475</v>
      </c>
      <c r="O948" s="270">
        <f t="shared" si="253"/>
        <v>34475</v>
      </c>
      <c r="P948" s="270">
        <f t="shared" si="253"/>
        <v>34475</v>
      </c>
      <c r="Q948" s="270">
        <f t="shared" si="253"/>
        <v>34475</v>
      </c>
      <c r="R948" s="270">
        <f t="shared" si="253"/>
        <v>34475</v>
      </c>
      <c r="S948" s="270">
        <f t="shared" si="254"/>
        <v>34475</v>
      </c>
      <c r="T948" s="270">
        <f t="shared" si="254"/>
        <v>34475</v>
      </c>
      <c r="U948" s="270">
        <f t="shared" si="254"/>
        <v>34475</v>
      </c>
      <c r="V948" s="270">
        <f t="shared" si="254"/>
        <v>34475</v>
      </c>
      <c r="W948" s="270">
        <f t="shared" si="254"/>
        <v>34475</v>
      </c>
      <c r="X948" s="270">
        <f t="shared" si="254"/>
        <v>34475</v>
      </c>
      <c r="Y948" s="270">
        <f t="shared" si="254"/>
        <v>34475</v>
      </c>
      <c r="Z948" s="270">
        <f t="shared" si="254"/>
        <v>34475</v>
      </c>
      <c r="AA948" s="270">
        <f t="shared" si="254"/>
        <v>34475</v>
      </c>
      <c r="AB948" s="270">
        <f t="shared" si="254"/>
        <v>34475</v>
      </c>
      <c r="AC948" s="270">
        <f t="shared" si="254"/>
        <v>34475</v>
      </c>
      <c r="AD948" s="270">
        <f t="shared" si="253"/>
        <v>34475</v>
      </c>
      <c r="AE948" s="270">
        <f t="shared" si="252"/>
        <v>34475</v>
      </c>
      <c r="AF948" s="270">
        <f t="shared" si="249"/>
        <v>34475</v>
      </c>
      <c r="AG948" s="270">
        <f t="shared" si="249"/>
        <v>34475</v>
      </c>
      <c r="AH948" s="270">
        <f t="shared" si="249"/>
        <v>34475</v>
      </c>
      <c r="AI948" s="270">
        <f t="shared" si="249"/>
        <v>34475</v>
      </c>
      <c r="AJ948" s="270">
        <f t="shared" si="249"/>
        <v>34475</v>
      </c>
      <c r="AK948" s="270">
        <f t="shared" si="249"/>
        <v>34475</v>
      </c>
      <c r="AL948" s="270">
        <f t="shared" si="249"/>
        <v>34475</v>
      </c>
      <c r="AM948" s="270">
        <f t="shared" si="249"/>
        <v>34475</v>
      </c>
    </row>
    <row r="949" spans="2:39" ht="15.75" thickBot="1" x14ac:dyDescent="0.35">
      <c r="B949" s="56" t="str">
        <f>input_names!$E$3</f>
        <v>plug-in</v>
      </c>
      <c r="C949" s="61">
        <v>194</v>
      </c>
      <c r="D949" s="270">
        <f t="shared" si="253"/>
        <v>18440</v>
      </c>
      <c r="E949" s="270">
        <f t="shared" si="253"/>
        <v>22406</v>
      </c>
      <c r="F949" s="270">
        <f t="shared" si="253"/>
        <v>45600</v>
      </c>
      <c r="G949" s="270">
        <f t="shared" si="253"/>
        <v>43926</v>
      </c>
      <c r="H949" s="270">
        <f t="shared" si="253"/>
        <v>42094</v>
      </c>
      <c r="I949" s="270">
        <f t="shared" si="253"/>
        <v>41478</v>
      </c>
      <c r="J949" s="270">
        <f t="shared" si="253"/>
        <v>30068</v>
      </c>
      <c r="K949" s="270">
        <f t="shared" si="253"/>
        <v>30362</v>
      </c>
      <c r="L949" s="270">
        <f t="shared" si="253"/>
        <v>32328</v>
      </c>
      <c r="M949" s="270">
        <f t="shared" si="253"/>
        <v>35578</v>
      </c>
      <c r="N949" s="270">
        <f t="shared" si="253"/>
        <v>35043</v>
      </c>
      <c r="O949" s="270">
        <f t="shared" si="253"/>
        <v>35043</v>
      </c>
      <c r="P949" s="270">
        <f t="shared" si="253"/>
        <v>35043</v>
      </c>
      <c r="Q949" s="270">
        <f t="shared" si="253"/>
        <v>35043</v>
      </c>
      <c r="R949" s="270">
        <f t="shared" si="253"/>
        <v>35043</v>
      </c>
      <c r="S949" s="270">
        <f t="shared" si="254"/>
        <v>35043</v>
      </c>
      <c r="T949" s="270">
        <f t="shared" si="254"/>
        <v>35043</v>
      </c>
      <c r="U949" s="270">
        <f t="shared" si="254"/>
        <v>35043</v>
      </c>
      <c r="V949" s="270">
        <f t="shared" si="254"/>
        <v>35043</v>
      </c>
      <c r="W949" s="270">
        <f t="shared" si="254"/>
        <v>35043</v>
      </c>
      <c r="X949" s="270">
        <f t="shared" si="254"/>
        <v>35043</v>
      </c>
      <c r="Y949" s="270">
        <f t="shared" si="254"/>
        <v>35043</v>
      </c>
      <c r="Z949" s="270">
        <f t="shared" si="254"/>
        <v>35043</v>
      </c>
      <c r="AA949" s="270">
        <f t="shared" si="254"/>
        <v>35043</v>
      </c>
      <c r="AB949" s="270">
        <f t="shared" si="254"/>
        <v>35043</v>
      </c>
      <c r="AC949" s="270">
        <f t="shared" si="254"/>
        <v>35043</v>
      </c>
      <c r="AD949" s="270">
        <f t="shared" si="253"/>
        <v>35043</v>
      </c>
      <c r="AE949" s="270">
        <f t="shared" si="252"/>
        <v>35043</v>
      </c>
      <c r="AF949" s="270">
        <f t="shared" si="249"/>
        <v>35043</v>
      </c>
      <c r="AG949" s="270">
        <f t="shared" si="249"/>
        <v>35043</v>
      </c>
      <c r="AH949" s="270">
        <f t="shared" si="249"/>
        <v>35043</v>
      </c>
      <c r="AI949" s="270">
        <f t="shared" si="249"/>
        <v>35043</v>
      </c>
      <c r="AJ949" s="270">
        <f t="shared" si="249"/>
        <v>35043</v>
      </c>
      <c r="AK949" s="270">
        <f t="shared" si="249"/>
        <v>35043</v>
      </c>
      <c r="AL949" s="270">
        <f t="shared" si="249"/>
        <v>35043</v>
      </c>
      <c r="AM949" s="270">
        <f t="shared" si="249"/>
        <v>35043</v>
      </c>
    </row>
    <row r="950" spans="2:39" ht="15.75" thickBot="1" x14ac:dyDescent="0.35">
      <c r="B950" s="56" t="str">
        <f>input_names!$E$3</f>
        <v>plug-in</v>
      </c>
      <c r="C950" s="61">
        <v>195</v>
      </c>
      <c r="D950" s="270">
        <f t="shared" si="253"/>
        <v>18874</v>
      </c>
      <c r="E950" s="270">
        <f t="shared" si="253"/>
        <v>22882</v>
      </c>
      <c r="F950" s="270">
        <f t="shared" si="253"/>
        <v>45900</v>
      </c>
      <c r="G950" s="270">
        <f t="shared" si="253"/>
        <v>44215</v>
      </c>
      <c r="H950" s="270">
        <f t="shared" si="253"/>
        <v>42365</v>
      </c>
      <c r="I950" s="270">
        <f t="shared" si="253"/>
        <v>41745</v>
      </c>
      <c r="J950" s="270">
        <f t="shared" si="253"/>
        <v>30270</v>
      </c>
      <c r="K950" s="270">
        <f t="shared" si="253"/>
        <v>30566</v>
      </c>
      <c r="L950" s="270">
        <f t="shared" si="253"/>
        <v>32545</v>
      </c>
      <c r="M950" s="270">
        <f t="shared" si="253"/>
        <v>35817</v>
      </c>
      <c r="N950" s="270">
        <f t="shared" si="253"/>
        <v>35611</v>
      </c>
      <c r="O950" s="270">
        <f t="shared" si="253"/>
        <v>35611</v>
      </c>
      <c r="P950" s="270">
        <f t="shared" si="253"/>
        <v>35611</v>
      </c>
      <c r="Q950" s="270">
        <f t="shared" si="253"/>
        <v>35611</v>
      </c>
      <c r="R950" s="270">
        <f t="shared" si="253"/>
        <v>35611</v>
      </c>
      <c r="S950" s="270">
        <f t="shared" si="254"/>
        <v>35611</v>
      </c>
      <c r="T950" s="270">
        <f t="shared" si="254"/>
        <v>35611</v>
      </c>
      <c r="U950" s="270">
        <f t="shared" si="254"/>
        <v>35611</v>
      </c>
      <c r="V950" s="270">
        <f t="shared" si="254"/>
        <v>35611</v>
      </c>
      <c r="W950" s="270">
        <f t="shared" si="254"/>
        <v>35611</v>
      </c>
      <c r="X950" s="270">
        <f t="shared" si="254"/>
        <v>35611</v>
      </c>
      <c r="Y950" s="270">
        <f t="shared" si="254"/>
        <v>35611</v>
      </c>
      <c r="Z950" s="270">
        <f t="shared" si="254"/>
        <v>35611</v>
      </c>
      <c r="AA950" s="270">
        <f t="shared" si="254"/>
        <v>35611</v>
      </c>
      <c r="AB950" s="270">
        <f t="shared" si="254"/>
        <v>35611</v>
      </c>
      <c r="AC950" s="270">
        <f t="shared" si="254"/>
        <v>35611</v>
      </c>
      <c r="AD950" s="270">
        <f t="shared" si="253"/>
        <v>35611</v>
      </c>
      <c r="AE950" s="270">
        <f t="shared" si="252"/>
        <v>35611</v>
      </c>
      <c r="AF950" s="270">
        <f t="shared" si="249"/>
        <v>35611</v>
      </c>
      <c r="AG950" s="270">
        <f t="shared" si="249"/>
        <v>35611</v>
      </c>
      <c r="AH950" s="270">
        <f t="shared" si="249"/>
        <v>35611</v>
      </c>
      <c r="AI950" s="270">
        <f t="shared" si="249"/>
        <v>35611</v>
      </c>
      <c r="AJ950" s="270">
        <f t="shared" si="249"/>
        <v>35611</v>
      </c>
      <c r="AK950" s="270">
        <f t="shared" si="249"/>
        <v>35611</v>
      </c>
      <c r="AL950" s="270">
        <f t="shared" si="249"/>
        <v>35611</v>
      </c>
      <c r="AM950" s="270">
        <f t="shared" si="249"/>
        <v>35611</v>
      </c>
    </row>
    <row r="951" spans="2:39" ht="15.75" thickBot="1" x14ac:dyDescent="0.35">
      <c r="B951" s="56" t="str">
        <f>input_names!$E$3</f>
        <v>plug-in</v>
      </c>
      <c r="C951" s="61">
        <v>196</v>
      </c>
      <c r="D951" s="270">
        <f t="shared" si="253"/>
        <v>19308</v>
      </c>
      <c r="E951" s="270">
        <f t="shared" si="253"/>
        <v>23358</v>
      </c>
      <c r="F951" s="270">
        <f t="shared" si="253"/>
        <v>46200</v>
      </c>
      <c r="G951" s="270">
        <f t="shared" si="253"/>
        <v>44504</v>
      </c>
      <c r="H951" s="270">
        <f t="shared" si="253"/>
        <v>42636</v>
      </c>
      <c r="I951" s="270">
        <f t="shared" si="253"/>
        <v>42012</v>
      </c>
      <c r="J951" s="270">
        <f t="shared" si="253"/>
        <v>30472</v>
      </c>
      <c r="K951" s="270">
        <f t="shared" si="253"/>
        <v>30770</v>
      </c>
      <c r="L951" s="270">
        <f t="shared" si="253"/>
        <v>32762</v>
      </c>
      <c r="M951" s="270">
        <f t="shared" si="253"/>
        <v>36056</v>
      </c>
      <c r="N951" s="270">
        <f t="shared" si="253"/>
        <v>36179</v>
      </c>
      <c r="O951" s="270">
        <f t="shared" si="253"/>
        <v>36179</v>
      </c>
      <c r="P951" s="270">
        <f t="shared" si="253"/>
        <v>36179</v>
      </c>
      <c r="Q951" s="270">
        <f t="shared" si="253"/>
        <v>36179</v>
      </c>
      <c r="R951" s="270">
        <f t="shared" si="253"/>
        <v>36179</v>
      </c>
      <c r="S951" s="270">
        <f t="shared" si="254"/>
        <v>36179</v>
      </c>
      <c r="T951" s="270">
        <f t="shared" si="254"/>
        <v>36179</v>
      </c>
      <c r="U951" s="270">
        <f t="shared" si="254"/>
        <v>36179</v>
      </c>
      <c r="V951" s="270">
        <f t="shared" si="254"/>
        <v>36179</v>
      </c>
      <c r="W951" s="270">
        <f t="shared" si="254"/>
        <v>36179</v>
      </c>
      <c r="X951" s="270">
        <f t="shared" si="254"/>
        <v>36179</v>
      </c>
      <c r="Y951" s="270">
        <f t="shared" si="254"/>
        <v>36179</v>
      </c>
      <c r="Z951" s="270">
        <f t="shared" si="254"/>
        <v>36179</v>
      </c>
      <c r="AA951" s="270">
        <f t="shared" si="254"/>
        <v>36179</v>
      </c>
      <c r="AB951" s="270">
        <f t="shared" si="254"/>
        <v>36179</v>
      </c>
      <c r="AC951" s="270">
        <f t="shared" si="254"/>
        <v>36179</v>
      </c>
      <c r="AD951" s="270">
        <f t="shared" si="253"/>
        <v>36179</v>
      </c>
      <c r="AE951" s="270">
        <f t="shared" si="252"/>
        <v>36179</v>
      </c>
      <c r="AF951" s="270">
        <f t="shared" si="249"/>
        <v>36179</v>
      </c>
      <c r="AG951" s="270">
        <f t="shared" si="249"/>
        <v>36179</v>
      </c>
      <c r="AH951" s="270">
        <f t="shared" si="249"/>
        <v>36179</v>
      </c>
      <c r="AI951" s="270">
        <f t="shared" si="249"/>
        <v>36179</v>
      </c>
      <c r="AJ951" s="270">
        <f t="shared" si="249"/>
        <v>36179</v>
      </c>
      <c r="AK951" s="270">
        <f t="shared" si="249"/>
        <v>36179</v>
      </c>
      <c r="AL951" s="270">
        <f t="shared" si="249"/>
        <v>36179</v>
      </c>
      <c r="AM951" s="270">
        <f t="shared" si="249"/>
        <v>36179</v>
      </c>
    </row>
    <row r="952" spans="2:39" ht="15.75" thickBot="1" x14ac:dyDescent="0.35">
      <c r="B952" s="56" t="str">
        <f>input_names!$E$3</f>
        <v>plug-in</v>
      </c>
      <c r="C952" s="61">
        <v>197</v>
      </c>
      <c r="D952" s="270">
        <f t="shared" si="253"/>
        <v>19742</v>
      </c>
      <c r="E952" s="270">
        <f t="shared" si="253"/>
        <v>23834</v>
      </c>
      <c r="F952" s="270">
        <f t="shared" si="253"/>
        <v>46500</v>
      </c>
      <c r="G952" s="270">
        <f t="shared" si="253"/>
        <v>44793</v>
      </c>
      <c r="H952" s="270">
        <f t="shared" si="253"/>
        <v>42907</v>
      </c>
      <c r="I952" s="270">
        <f t="shared" si="253"/>
        <v>42279</v>
      </c>
      <c r="J952" s="270">
        <f t="shared" si="253"/>
        <v>30674</v>
      </c>
      <c r="K952" s="270">
        <f t="shared" si="253"/>
        <v>30974</v>
      </c>
      <c r="L952" s="270">
        <f t="shared" si="253"/>
        <v>32979</v>
      </c>
      <c r="M952" s="270">
        <f t="shared" si="253"/>
        <v>36295</v>
      </c>
      <c r="N952" s="270">
        <f t="shared" si="253"/>
        <v>36747</v>
      </c>
      <c r="O952" s="270">
        <f t="shared" si="253"/>
        <v>36747</v>
      </c>
      <c r="P952" s="270">
        <f t="shared" si="253"/>
        <v>36747</v>
      </c>
      <c r="Q952" s="270">
        <f t="shared" si="253"/>
        <v>36747</v>
      </c>
      <c r="R952" s="270">
        <f t="shared" si="253"/>
        <v>36747</v>
      </c>
      <c r="S952" s="270">
        <f t="shared" si="254"/>
        <v>36747</v>
      </c>
      <c r="T952" s="270">
        <f t="shared" si="254"/>
        <v>36747</v>
      </c>
      <c r="U952" s="270">
        <f t="shared" si="254"/>
        <v>36747</v>
      </c>
      <c r="V952" s="270">
        <f t="shared" si="254"/>
        <v>36747</v>
      </c>
      <c r="W952" s="270">
        <f t="shared" si="254"/>
        <v>36747</v>
      </c>
      <c r="X952" s="270">
        <f t="shared" si="254"/>
        <v>36747</v>
      </c>
      <c r="Y952" s="270">
        <f t="shared" si="254"/>
        <v>36747</v>
      </c>
      <c r="Z952" s="270">
        <f t="shared" si="254"/>
        <v>36747</v>
      </c>
      <c r="AA952" s="270">
        <f t="shared" si="254"/>
        <v>36747</v>
      </c>
      <c r="AB952" s="270">
        <f t="shared" si="254"/>
        <v>36747</v>
      </c>
      <c r="AC952" s="270">
        <f t="shared" si="254"/>
        <v>36747</v>
      </c>
      <c r="AD952" s="270">
        <f t="shared" si="253"/>
        <v>36747</v>
      </c>
      <c r="AE952" s="270">
        <f t="shared" si="252"/>
        <v>36747</v>
      </c>
      <c r="AF952" s="270">
        <f t="shared" si="249"/>
        <v>36747</v>
      </c>
      <c r="AG952" s="270">
        <f t="shared" si="249"/>
        <v>36747</v>
      </c>
      <c r="AH952" s="270">
        <f t="shared" si="249"/>
        <v>36747</v>
      </c>
      <c r="AI952" s="270">
        <f t="shared" si="249"/>
        <v>36747</v>
      </c>
      <c r="AJ952" s="270">
        <f t="shared" si="249"/>
        <v>36747</v>
      </c>
      <c r="AK952" s="270">
        <f t="shared" si="249"/>
        <v>36747</v>
      </c>
      <c r="AL952" s="270">
        <f t="shared" si="249"/>
        <v>36747</v>
      </c>
      <c r="AM952" s="270">
        <f t="shared" si="249"/>
        <v>36747</v>
      </c>
    </row>
    <row r="953" spans="2:39" ht="15.75" thickBot="1" x14ac:dyDescent="0.35">
      <c r="B953" s="56" t="str">
        <f>input_names!$E$3</f>
        <v>plug-in</v>
      </c>
      <c r="C953" s="61">
        <v>198</v>
      </c>
      <c r="D953" s="270">
        <f t="shared" si="253"/>
        <v>20176</v>
      </c>
      <c r="E953" s="270">
        <f t="shared" si="253"/>
        <v>24310</v>
      </c>
      <c r="F953" s="270">
        <f t="shared" si="253"/>
        <v>46800</v>
      </c>
      <c r="G953" s="270">
        <f t="shared" si="253"/>
        <v>45082</v>
      </c>
      <c r="H953" s="270">
        <f t="shared" si="253"/>
        <v>43178</v>
      </c>
      <c r="I953" s="270">
        <f t="shared" si="253"/>
        <v>42546</v>
      </c>
      <c r="J953" s="270">
        <f t="shared" si="253"/>
        <v>30876</v>
      </c>
      <c r="K953" s="270">
        <f t="shared" si="253"/>
        <v>31178</v>
      </c>
      <c r="L953" s="270">
        <f t="shared" si="253"/>
        <v>33196</v>
      </c>
      <c r="M953" s="270">
        <f t="shared" si="253"/>
        <v>36534</v>
      </c>
      <c r="N953" s="270">
        <f t="shared" si="253"/>
        <v>37315</v>
      </c>
      <c r="O953" s="270">
        <f t="shared" si="253"/>
        <v>37315</v>
      </c>
      <c r="P953" s="270">
        <f t="shared" si="253"/>
        <v>37315</v>
      </c>
      <c r="Q953" s="270">
        <f t="shared" si="253"/>
        <v>37315</v>
      </c>
      <c r="R953" s="270">
        <f t="shared" si="253"/>
        <v>37315</v>
      </c>
      <c r="S953" s="270">
        <f t="shared" si="254"/>
        <v>37315</v>
      </c>
      <c r="T953" s="270">
        <f t="shared" si="254"/>
        <v>37315</v>
      </c>
      <c r="U953" s="270">
        <f t="shared" si="254"/>
        <v>37315</v>
      </c>
      <c r="V953" s="270">
        <f t="shared" si="254"/>
        <v>37315</v>
      </c>
      <c r="W953" s="270">
        <f t="shared" si="254"/>
        <v>37315</v>
      </c>
      <c r="X953" s="270">
        <f t="shared" si="254"/>
        <v>37315</v>
      </c>
      <c r="Y953" s="270">
        <f t="shared" si="254"/>
        <v>37315</v>
      </c>
      <c r="Z953" s="270">
        <f t="shared" si="254"/>
        <v>37315</v>
      </c>
      <c r="AA953" s="270">
        <f t="shared" si="254"/>
        <v>37315</v>
      </c>
      <c r="AB953" s="270">
        <f t="shared" si="254"/>
        <v>37315</v>
      </c>
      <c r="AC953" s="270">
        <f t="shared" si="254"/>
        <v>37315</v>
      </c>
      <c r="AD953" s="270">
        <f t="shared" si="253"/>
        <v>37315</v>
      </c>
      <c r="AE953" s="270">
        <f t="shared" si="252"/>
        <v>37315</v>
      </c>
      <c r="AF953" s="270">
        <f t="shared" si="249"/>
        <v>37315</v>
      </c>
      <c r="AG953" s="270">
        <f t="shared" ref="AF953:AM981" si="255">+MIN(MAX(0,$C953-AG$28),AG$29-AG$28)*AG$34
+MIN(MAX(0,$C953-AG$29),AG$30-AG$29)*AG$35
+MIN(MAX(0,$C953-AG$30),AG$31-AG$30)*AG$36
+MIN(MAX(0,$C953-AG$31),AG$32-AG$31)*AG$37
+MAX(0,$C953-AG$32)*AG$38
+AG$39</f>
        <v>37315</v>
      </c>
      <c r="AH953" s="270">
        <f t="shared" si="255"/>
        <v>37315</v>
      </c>
      <c r="AI953" s="270">
        <f t="shared" si="255"/>
        <v>37315</v>
      </c>
      <c r="AJ953" s="270">
        <f t="shared" si="255"/>
        <v>37315</v>
      </c>
      <c r="AK953" s="270">
        <f t="shared" si="255"/>
        <v>37315</v>
      </c>
      <c r="AL953" s="270">
        <f t="shared" si="255"/>
        <v>37315</v>
      </c>
      <c r="AM953" s="270">
        <f t="shared" si="255"/>
        <v>37315</v>
      </c>
    </row>
    <row r="954" spans="2:39" ht="15.75" thickBot="1" x14ac:dyDescent="0.35">
      <c r="B954" s="56" t="str">
        <f>input_names!$E$3</f>
        <v>plug-in</v>
      </c>
      <c r="C954" s="61">
        <v>199</v>
      </c>
      <c r="D954" s="270">
        <f t="shared" si="253"/>
        <v>20610</v>
      </c>
      <c r="E954" s="270">
        <f t="shared" si="253"/>
        <v>24786</v>
      </c>
      <c r="F954" s="270">
        <f t="shared" si="253"/>
        <v>47100</v>
      </c>
      <c r="G954" s="270">
        <f t="shared" si="253"/>
        <v>45371</v>
      </c>
      <c r="H954" s="270">
        <f t="shared" si="253"/>
        <v>43449</v>
      </c>
      <c r="I954" s="270">
        <f t="shared" si="253"/>
        <v>42813</v>
      </c>
      <c r="J954" s="270">
        <f t="shared" si="253"/>
        <v>31078</v>
      </c>
      <c r="K954" s="270">
        <f t="shared" si="253"/>
        <v>31382</v>
      </c>
      <c r="L954" s="270">
        <f t="shared" si="253"/>
        <v>33413</v>
      </c>
      <c r="M954" s="270">
        <f t="shared" si="253"/>
        <v>36773</v>
      </c>
      <c r="N954" s="270">
        <f t="shared" si="253"/>
        <v>37883</v>
      </c>
      <c r="O954" s="270">
        <f t="shared" si="253"/>
        <v>37883</v>
      </c>
      <c r="P954" s="270">
        <f t="shared" si="253"/>
        <v>37883</v>
      </c>
      <c r="Q954" s="270">
        <f t="shared" si="253"/>
        <v>37883</v>
      </c>
      <c r="R954" s="270">
        <f t="shared" si="253"/>
        <v>37883</v>
      </c>
      <c r="S954" s="270">
        <f t="shared" si="254"/>
        <v>37883</v>
      </c>
      <c r="T954" s="270">
        <f t="shared" si="254"/>
        <v>37883</v>
      </c>
      <c r="U954" s="270">
        <f t="shared" si="254"/>
        <v>37883</v>
      </c>
      <c r="V954" s="270">
        <f t="shared" si="254"/>
        <v>37883</v>
      </c>
      <c r="W954" s="270">
        <f t="shared" si="254"/>
        <v>37883</v>
      </c>
      <c r="X954" s="270">
        <f t="shared" si="254"/>
        <v>37883</v>
      </c>
      <c r="Y954" s="270">
        <f t="shared" si="254"/>
        <v>37883</v>
      </c>
      <c r="Z954" s="270">
        <f t="shared" si="254"/>
        <v>37883</v>
      </c>
      <c r="AA954" s="270">
        <f t="shared" si="254"/>
        <v>37883</v>
      </c>
      <c r="AB954" s="270">
        <f t="shared" si="254"/>
        <v>37883</v>
      </c>
      <c r="AC954" s="270">
        <f t="shared" si="254"/>
        <v>37883</v>
      </c>
      <c r="AD954" s="270">
        <f t="shared" si="253"/>
        <v>37883</v>
      </c>
      <c r="AE954" s="270">
        <f t="shared" si="252"/>
        <v>37883</v>
      </c>
      <c r="AF954" s="270">
        <f t="shared" si="255"/>
        <v>37883</v>
      </c>
      <c r="AG954" s="270">
        <f t="shared" si="255"/>
        <v>37883</v>
      </c>
      <c r="AH954" s="270">
        <f t="shared" si="255"/>
        <v>37883</v>
      </c>
      <c r="AI954" s="270">
        <f t="shared" si="255"/>
        <v>37883</v>
      </c>
      <c r="AJ954" s="270">
        <f t="shared" si="255"/>
        <v>37883</v>
      </c>
      <c r="AK954" s="270">
        <f t="shared" si="255"/>
        <v>37883</v>
      </c>
      <c r="AL954" s="270">
        <f t="shared" si="255"/>
        <v>37883</v>
      </c>
      <c r="AM954" s="270">
        <f t="shared" si="255"/>
        <v>37883</v>
      </c>
    </row>
    <row r="955" spans="2:39" ht="15.75" thickBot="1" x14ac:dyDescent="0.35">
      <c r="B955" s="56" t="str">
        <f>input_names!$E$3</f>
        <v>plug-in</v>
      </c>
      <c r="C955" s="61">
        <v>200</v>
      </c>
      <c r="D955" s="270">
        <f t="shared" si="253"/>
        <v>21044</v>
      </c>
      <c r="E955" s="270">
        <f t="shared" si="253"/>
        <v>25262</v>
      </c>
      <c r="F955" s="270">
        <f t="shared" si="253"/>
        <v>47400</v>
      </c>
      <c r="G955" s="270">
        <f t="shared" si="253"/>
        <v>45660</v>
      </c>
      <c r="H955" s="270">
        <f t="shared" si="253"/>
        <v>43720</v>
      </c>
      <c r="I955" s="270">
        <f t="shared" si="253"/>
        <v>43080</v>
      </c>
      <c r="J955" s="270">
        <f t="shared" si="253"/>
        <v>31280</v>
      </c>
      <c r="K955" s="270">
        <f t="shared" si="253"/>
        <v>31586</v>
      </c>
      <c r="L955" s="270">
        <f t="shared" si="253"/>
        <v>33630</v>
      </c>
      <c r="M955" s="270">
        <f t="shared" si="253"/>
        <v>37012</v>
      </c>
      <c r="N955" s="270">
        <f t="shared" si="253"/>
        <v>38451</v>
      </c>
      <c r="O955" s="270">
        <f t="shared" si="253"/>
        <v>38451</v>
      </c>
      <c r="P955" s="270">
        <f t="shared" si="253"/>
        <v>38451</v>
      </c>
      <c r="Q955" s="270">
        <f t="shared" si="253"/>
        <v>38451</v>
      </c>
      <c r="R955" s="270">
        <f t="shared" si="253"/>
        <v>38451</v>
      </c>
      <c r="S955" s="270">
        <f t="shared" si="254"/>
        <v>38451</v>
      </c>
      <c r="T955" s="270">
        <f t="shared" si="254"/>
        <v>38451</v>
      </c>
      <c r="U955" s="270">
        <f t="shared" si="254"/>
        <v>38451</v>
      </c>
      <c r="V955" s="270">
        <f t="shared" si="254"/>
        <v>38451</v>
      </c>
      <c r="W955" s="270">
        <f t="shared" si="254"/>
        <v>38451</v>
      </c>
      <c r="X955" s="270">
        <f t="shared" si="254"/>
        <v>38451</v>
      </c>
      <c r="Y955" s="270">
        <f t="shared" si="254"/>
        <v>38451</v>
      </c>
      <c r="Z955" s="270">
        <f t="shared" si="254"/>
        <v>38451</v>
      </c>
      <c r="AA955" s="270">
        <f t="shared" si="254"/>
        <v>38451</v>
      </c>
      <c r="AB955" s="270">
        <f t="shared" si="254"/>
        <v>38451</v>
      </c>
      <c r="AC955" s="270">
        <f t="shared" si="254"/>
        <v>38451</v>
      </c>
      <c r="AD955" s="270">
        <f t="shared" si="253"/>
        <v>38451</v>
      </c>
      <c r="AE955" s="270">
        <f t="shared" si="252"/>
        <v>38451</v>
      </c>
      <c r="AF955" s="270">
        <f t="shared" si="255"/>
        <v>38451</v>
      </c>
      <c r="AG955" s="270">
        <f t="shared" si="255"/>
        <v>38451</v>
      </c>
      <c r="AH955" s="270">
        <f t="shared" si="255"/>
        <v>38451</v>
      </c>
      <c r="AI955" s="270">
        <f t="shared" si="255"/>
        <v>38451</v>
      </c>
      <c r="AJ955" s="270">
        <f t="shared" si="255"/>
        <v>38451</v>
      </c>
      <c r="AK955" s="270">
        <f t="shared" si="255"/>
        <v>38451</v>
      </c>
      <c r="AL955" s="270">
        <f t="shared" si="255"/>
        <v>38451</v>
      </c>
      <c r="AM955" s="270">
        <f t="shared" si="255"/>
        <v>38451</v>
      </c>
    </row>
    <row r="956" spans="2:39" ht="15.75" thickBot="1" x14ac:dyDescent="0.35">
      <c r="B956" s="56" t="str">
        <f>input_names!$E$3</f>
        <v>plug-in</v>
      </c>
      <c r="C956" s="61">
        <v>201</v>
      </c>
      <c r="D956" s="270">
        <f t="shared" si="253"/>
        <v>21478</v>
      </c>
      <c r="E956" s="270">
        <f t="shared" si="253"/>
        <v>25738</v>
      </c>
      <c r="F956" s="270">
        <f t="shared" si="253"/>
        <v>47700</v>
      </c>
      <c r="G956" s="270">
        <f t="shared" si="253"/>
        <v>45949</v>
      </c>
      <c r="H956" s="270">
        <f t="shared" si="253"/>
        <v>43991</v>
      </c>
      <c r="I956" s="270">
        <f t="shared" si="253"/>
        <v>43347</v>
      </c>
      <c r="J956" s="270">
        <f t="shared" si="253"/>
        <v>31482</v>
      </c>
      <c r="K956" s="270">
        <f t="shared" si="253"/>
        <v>31790</v>
      </c>
      <c r="L956" s="270">
        <f t="shared" si="253"/>
        <v>33847</v>
      </c>
      <c r="M956" s="270">
        <f t="shared" si="253"/>
        <v>37251</v>
      </c>
      <c r="N956" s="270">
        <f t="shared" si="253"/>
        <v>39019</v>
      </c>
      <c r="O956" s="270">
        <f t="shared" si="253"/>
        <v>39019</v>
      </c>
      <c r="P956" s="270">
        <f t="shared" si="253"/>
        <v>39019</v>
      </c>
      <c r="Q956" s="270">
        <f t="shared" si="253"/>
        <v>39019</v>
      </c>
      <c r="R956" s="270">
        <f t="shared" si="253"/>
        <v>39019</v>
      </c>
      <c r="S956" s="270">
        <f t="shared" si="254"/>
        <v>39019</v>
      </c>
      <c r="T956" s="270">
        <f t="shared" si="254"/>
        <v>39019</v>
      </c>
      <c r="U956" s="270">
        <f t="shared" si="254"/>
        <v>39019</v>
      </c>
      <c r="V956" s="270">
        <f t="shared" si="254"/>
        <v>39019</v>
      </c>
      <c r="W956" s="270">
        <f t="shared" si="254"/>
        <v>39019</v>
      </c>
      <c r="X956" s="270">
        <f t="shared" si="254"/>
        <v>39019</v>
      </c>
      <c r="Y956" s="270">
        <f t="shared" si="254"/>
        <v>39019</v>
      </c>
      <c r="Z956" s="270">
        <f t="shared" si="254"/>
        <v>39019</v>
      </c>
      <c r="AA956" s="270">
        <f t="shared" si="254"/>
        <v>39019</v>
      </c>
      <c r="AB956" s="270">
        <f t="shared" si="254"/>
        <v>39019</v>
      </c>
      <c r="AC956" s="270">
        <f t="shared" si="254"/>
        <v>39019</v>
      </c>
      <c r="AD956" s="270">
        <f t="shared" si="253"/>
        <v>39019</v>
      </c>
      <c r="AE956" s="270">
        <f t="shared" si="252"/>
        <v>39019</v>
      </c>
      <c r="AF956" s="270">
        <f t="shared" si="255"/>
        <v>39019</v>
      </c>
      <c r="AG956" s="270">
        <f t="shared" si="255"/>
        <v>39019</v>
      </c>
      <c r="AH956" s="270">
        <f t="shared" si="255"/>
        <v>39019</v>
      </c>
      <c r="AI956" s="270">
        <f t="shared" si="255"/>
        <v>39019</v>
      </c>
      <c r="AJ956" s="270">
        <f t="shared" si="255"/>
        <v>39019</v>
      </c>
      <c r="AK956" s="270">
        <f t="shared" si="255"/>
        <v>39019</v>
      </c>
      <c r="AL956" s="270">
        <f t="shared" si="255"/>
        <v>39019</v>
      </c>
      <c r="AM956" s="270">
        <f t="shared" si="255"/>
        <v>39019</v>
      </c>
    </row>
    <row r="957" spans="2:39" ht="15.75" thickBot="1" x14ac:dyDescent="0.35">
      <c r="B957" s="56" t="str">
        <f>input_names!$E$3</f>
        <v>plug-in</v>
      </c>
      <c r="C957" s="61">
        <v>202</v>
      </c>
      <c r="D957" s="270">
        <f t="shared" si="253"/>
        <v>21912</v>
      </c>
      <c r="E957" s="270">
        <f t="shared" si="253"/>
        <v>26214</v>
      </c>
      <c r="F957" s="270">
        <f t="shared" si="253"/>
        <v>48000</v>
      </c>
      <c r="G957" s="270">
        <f t="shared" si="253"/>
        <v>46238</v>
      </c>
      <c r="H957" s="270">
        <f t="shared" si="253"/>
        <v>44262</v>
      </c>
      <c r="I957" s="270">
        <f t="shared" si="253"/>
        <v>43614</v>
      </c>
      <c r="J957" s="270">
        <f t="shared" si="253"/>
        <v>31684</v>
      </c>
      <c r="K957" s="270">
        <f t="shared" si="253"/>
        <v>31994</v>
      </c>
      <c r="L957" s="270">
        <f t="shared" si="253"/>
        <v>34064</v>
      </c>
      <c r="M957" s="270">
        <f t="shared" si="253"/>
        <v>37490</v>
      </c>
      <c r="N957" s="270">
        <f t="shared" si="253"/>
        <v>39587</v>
      </c>
      <c r="O957" s="270">
        <f t="shared" si="253"/>
        <v>39587</v>
      </c>
      <c r="P957" s="270">
        <f t="shared" si="253"/>
        <v>39587</v>
      </c>
      <c r="Q957" s="270">
        <f t="shared" si="253"/>
        <v>39587</v>
      </c>
      <c r="R957" s="270">
        <f t="shared" si="253"/>
        <v>39587</v>
      </c>
      <c r="S957" s="270">
        <f t="shared" si="254"/>
        <v>39587</v>
      </c>
      <c r="T957" s="270">
        <f t="shared" si="254"/>
        <v>39587</v>
      </c>
      <c r="U957" s="270">
        <f t="shared" si="254"/>
        <v>39587</v>
      </c>
      <c r="V957" s="270">
        <f t="shared" si="254"/>
        <v>39587</v>
      </c>
      <c r="W957" s="270">
        <f t="shared" si="254"/>
        <v>39587</v>
      </c>
      <c r="X957" s="270">
        <f t="shared" si="254"/>
        <v>39587</v>
      </c>
      <c r="Y957" s="270">
        <f t="shared" si="254"/>
        <v>39587</v>
      </c>
      <c r="Z957" s="270">
        <f t="shared" si="254"/>
        <v>39587</v>
      </c>
      <c r="AA957" s="270">
        <f t="shared" si="254"/>
        <v>39587</v>
      </c>
      <c r="AB957" s="270">
        <f t="shared" si="254"/>
        <v>39587</v>
      </c>
      <c r="AC957" s="270">
        <f t="shared" si="254"/>
        <v>39587</v>
      </c>
      <c r="AD957" s="270">
        <f t="shared" si="253"/>
        <v>39587</v>
      </c>
      <c r="AE957" s="270">
        <f t="shared" si="252"/>
        <v>39587</v>
      </c>
      <c r="AF957" s="270">
        <f t="shared" si="255"/>
        <v>39587</v>
      </c>
      <c r="AG957" s="270">
        <f t="shared" si="255"/>
        <v>39587</v>
      </c>
      <c r="AH957" s="270">
        <f t="shared" si="255"/>
        <v>39587</v>
      </c>
      <c r="AI957" s="270">
        <f t="shared" si="255"/>
        <v>39587</v>
      </c>
      <c r="AJ957" s="270">
        <f t="shared" si="255"/>
        <v>39587</v>
      </c>
      <c r="AK957" s="270">
        <f t="shared" si="255"/>
        <v>39587</v>
      </c>
      <c r="AL957" s="270">
        <f t="shared" si="255"/>
        <v>39587</v>
      </c>
      <c r="AM957" s="270">
        <f t="shared" si="255"/>
        <v>39587</v>
      </c>
    </row>
    <row r="958" spans="2:39" ht="15.75" thickBot="1" x14ac:dyDescent="0.35">
      <c r="B958" s="56" t="str">
        <f>input_names!$E$3</f>
        <v>plug-in</v>
      </c>
      <c r="C958" s="61">
        <v>203</v>
      </c>
      <c r="D958" s="270">
        <f t="shared" si="253"/>
        <v>22346</v>
      </c>
      <c r="E958" s="270">
        <f t="shared" si="253"/>
        <v>26690</v>
      </c>
      <c r="F958" s="270">
        <f t="shared" si="253"/>
        <v>48300</v>
      </c>
      <c r="G958" s="270">
        <f t="shared" si="253"/>
        <v>46527</v>
      </c>
      <c r="H958" s="270">
        <f t="shared" si="253"/>
        <v>44533</v>
      </c>
      <c r="I958" s="270">
        <f t="shared" si="253"/>
        <v>43881</v>
      </c>
      <c r="J958" s="270">
        <f t="shared" si="253"/>
        <v>31886</v>
      </c>
      <c r="K958" s="270">
        <f t="shared" si="253"/>
        <v>32198</v>
      </c>
      <c r="L958" s="270">
        <f t="shared" si="253"/>
        <v>34281</v>
      </c>
      <c r="M958" s="270">
        <f t="shared" si="253"/>
        <v>37729</v>
      </c>
      <c r="N958" s="270">
        <f t="shared" si="253"/>
        <v>40155</v>
      </c>
      <c r="O958" s="270">
        <f t="shared" si="253"/>
        <v>40155</v>
      </c>
      <c r="P958" s="270">
        <f t="shared" si="253"/>
        <v>40155</v>
      </c>
      <c r="Q958" s="270">
        <f t="shared" si="253"/>
        <v>40155</v>
      </c>
      <c r="R958" s="270">
        <f t="shared" si="253"/>
        <v>40155</v>
      </c>
      <c r="S958" s="270">
        <f t="shared" si="254"/>
        <v>40155</v>
      </c>
      <c r="T958" s="270">
        <f t="shared" si="254"/>
        <v>40155</v>
      </c>
      <c r="U958" s="270">
        <f t="shared" si="254"/>
        <v>40155</v>
      </c>
      <c r="V958" s="270">
        <f t="shared" si="254"/>
        <v>40155</v>
      </c>
      <c r="W958" s="270">
        <f t="shared" si="254"/>
        <v>40155</v>
      </c>
      <c r="X958" s="270">
        <f t="shared" si="254"/>
        <v>40155</v>
      </c>
      <c r="Y958" s="270">
        <f t="shared" si="254"/>
        <v>40155</v>
      </c>
      <c r="Z958" s="270">
        <f t="shared" si="254"/>
        <v>40155</v>
      </c>
      <c r="AA958" s="270">
        <f t="shared" si="254"/>
        <v>40155</v>
      </c>
      <c r="AB958" s="270">
        <f t="shared" si="254"/>
        <v>40155</v>
      </c>
      <c r="AC958" s="270">
        <f t="shared" si="254"/>
        <v>40155</v>
      </c>
      <c r="AD958" s="270">
        <f t="shared" si="253"/>
        <v>40155</v>
      </c>
      <c r="AE958" s="270">
        <f t="shared" si="252"/>
        <v>40155</v>
      </c>
      <c r="AF958" s="270">
        <f t="shared" si="255"/>
        <v>40155</v>
      </c>
      <c r="AG958" s="270">
        <f t="shared" si="255"/>
        <v>40155</v>
      </c>
      <c r="AH958" s="270">
        <f t="shared" si="255"/>
        <v>40155</v>
      </c>
      <c r="AI958" s="270">
        <f t="shared" si="255"/>
        <v>40155</v>
      </c>
      <c r="AJ958" s="270">
        <f t="shared" si="255"/>
        <v>40155</v>
      </c>
      <c r="AK958" s="270">
        <f t="shared" si="255"/>
        <v>40155</v>
      </c>
      <c r="AL958" s="270">
        <f t="shared" si="255"/>
        <v>40155</v>
      </c>
      <c r="AM958" s="270">
        <f t="shared" si="255"/>
        <v>40155</v>
      </c>
    </row>
    <row r="959" spans="2:39" ht="15.75" thickBot="1" x14ac:dyDescent="0.35">
      <c r="B959" s="56" t="str">
        <f>input_names!$E$3</f>
        <v>plug-in</v>
      </c>
      <c r="C959" s="61">
        <v>204</v>
      </c>
      <c r="D959" s="270">
        <f t="shared" si="253"/>
        <v>22780</v>
      </c>
      <c r="E959" s="270">
        <f t="shared" si="253"/>
        <v>27166</v>
      </c>
      <c r="F959" s="270">
        <f t="shared" si="253"/>
        <v>48600</v>
      </c>
      <c r="G959" s="270">
        <f t="shared" si="253"/>
        <v>46816</v>
      </c>
      <c r="H959" s="270">
        <f t="shared" si="253"/>
        <v>44804</v>
      </c>
      <c r="I959" s="270">
        <f t="shared" si="253"/>
        <v>44148</v>
      </c>
      <c r="J959" s="270">
        <f t="shared" si="253"/>
        <v>32088</v>
      </c>
      <c r="K959" s="270">
        <f t="shared" si="253"/>
        <v>32402</v>
      </c>
      <c r="L959" s="270">
        <f t="shared" si="253"/>
        <v>34498</v>
      </c>
      <c r="M959" s="270">
        <f t="shared" si="253"/>
        <v>37968</v>
      </c>
      <c r="N959" s="270">
        <f t="shared" si="253"/>
        <v>40723</v>
      </c>
      <c r="O959" s="270">
        <f t="shared" si="253"/>
        <v>40723</v>
      </c>
      <c r="P959" s="270">
        <f t="shared" si="253"/>
        <v>40723</v>
      </c>
      <c r="Q959" s="270">
        <f t="shared" si="253"/>
        <v>40723</v>
      </c>
      <c r="R959" s="270">
        <f t="shared" si="253"/>
        <v>40723</v>
      </c>
      <c r="S959" s="270">
        <f t="shared" si="254"/>
        <v>40723</v>
      </c>
      <c r="T959" s="270">
        <f t="shared" si="254"/>
        <v>40723</v>
      </c>
      <c r="U959" s="270">
        <f t="shared" si="254"/>
        <v>40723</v>
      </c>
      <c r="V959" s="270">
        <f t="shared" si="254"/>
        <v>40723</v>
      </c>
      <c r="W959" s="270">
        <f t="shared" si="254"/>
        <v>40723</v>
      </c>
      <c r="X959" s="270">
        <f t="shared" si="254"/>
        <v>40723</v>
      </c>
      <c r="Y959" s="270">
        <f t="shared" si="254"/>
        <v>40723</v>
      </c>
      <c r="Z959" s="270">
        <f t="shared" si="254"/>
        <v>40723</v>
      </c>
      <c r="AA959" s="270">
        <f t="shared" si="254"/>
        <v>40723</v>
      </c>
      <c r="AB959" s="270">
        <f t="shared" si="254"/>
        <v>40723</v>
      </c>
      <c r="AC959" s="270">
        <f t="shared" si="254"/>
        <v>40723</v>
      </c>
      <c r="AD959" s="270">
        <f t="shared" si="253"/>
        <v>40723</v>
      </c>
      <c r="AE959" s="270">
        <f t="shared" si="252"/>
        <v>40723</v>
      </c>
      <c r="AF959" s="270">
        <f t="shared" si="255"/>
        <v>40723</v>
      </c>
      <c r="AG959" s="270">
        <f t="shared" si="255"/>
        <v>40723</v>
      </c>
      <c r="AH959" s="270">
        <f t="shared" si="255"/>
        <v>40723</v>
      </c>
      <c r="AI959" s="270">
        <f t="shared" si="255"/>
        <v>40723</v>
      </c>
      <c r="AJ959" s="270">
        <f t="shared" si="255"/>
        <v>40723</v>
      </c>
      <c r="AK959" s="270">
        <f t="shared" si="255"/>
        <v>40723</v>
      </c>
      <c r="AL959" s="270">
        <f t="shared" si="255"/>
        <v>40723</v>
      </c>
      <c r="AM959" s="270">
        <f t="shared" si="255"/>
        <v>40723</v>
      </c>
    </row>
    <row r="960" spans="2:39" ht="15.75" thickBot="1" x14ac:dyDescent="0.35">
      <c r="B960" s="56" t="str">
        <f>input_names!$E$3</f>
        <v>plug-in</v>
      </c>
      <c r="C960" s="61">
        <v>205</v>
      </c>
      <c r="D960" s="270">
        <f t="shared" si="253"/>
        <v>23214</v>
      </c>
      <c r="E960" s="270">
        <f t="shared" si="253"/>
        <v>27642</v>
      </c>
      <c r="F960" s="270">
        <f t="shared" si="253"/>
        <v>48900</v>
      </c>
      <c r="G960" s="270">
        <f t="shared" si="253"/>
        <v>47105</v>
      </c>
      <c r="H960" s="270">
        <f t="shared" si="253"/>
        <v>45075</v>
      </c>
      <c r="I960" s="270">
        <f t="shared" si="253"/>
        <v>44415</v>
      </c>
      <c r="J960" s="270">
        <f t="shared" si="253"/>
        <v>32290</v>
      </c>
      <c r="K960" s="270">
        <f t="shared" si="253"/>
        <v>32606</v>
      </c>
      <c r="L960" s="270">
        <f t="shared" si="253"/>
        <v>34715</v>
      </c>
      <c r="M960" s="270">
        <f t="shared" si="253"/>
        <v>38207</v>
      </c>
      <c r="N960" s="270">
        <f t="shared" si="253"/>
        <v>41291</v>
      </c>
      <c r="O960" s="270">
        <f t="shared" si="253"/>
        <v>41291</v>
      </c>
      <c r="P960" s="270">
        <f t="shared" si="253"/>
        <v>41291</v>
      </c>
      <c r="Q960" s="270">
        <f t="shared" si="253"/>
        <v>41291</v>
      </c>
      <c r="R960" s="270">
        <f t="shared" si="253"/>
        <v>41291</v>
      </c>
      <c r="S960" s="270">
        <f t="shared" si="254"/>
        <v>41291</v>
      </c>
      <c r="T960" s="270">
        <f t="shared" si="254"/>
        <v>41291</v>
      </c>
      <c r="U960" s="270">
        <f t="shared" si="254"/>
        <v>41291</v>
      </c>
      <c r="V960" s="270">
        <f t="shared" si="254"/>
        <v>41291</v>
      </c>
      <c r="W960" s="270">
        <f t="shared" si="254"/>
        <v>41291</v>
      </c>
      <c r="X960" s="270">
        <f t="shared" si="254"/>
        <v>41291</v>
      </c>
      <c r="Y960" s="270">
        <f t="shared" si="254"/>
        <v>41291</v>
      </c>
      <c r="Z960" s="270">
        <f t="shared" si="254"/>
        <v>41291</v>
      </c>
      <c r="AA960" s="270">
        <f t="shared" si="254"/>
        <v>41291</v>
      </c>
      <c r="AB960" s="270">
        <f t="shared" si="254"/>
        <v>41291</v>
      </c>
      <c r="AC960" s="270">
        <f t="shared" si="254"/>
        <v>41291</v>
      </c>
      <c r="AD960" s="270">
        <f t="shared" si="253"/>
        <v>41291</v>
      </c>
      <c r="AE960" s="270">
        <f t="shared" si="252"/>
        <v>41291</v>
      </c>
      <c r="AF960" s="270">
        <f t="shared" si="255"/>
        <v>41291</v>
      </c>
      <c r="AG960" s="270">
        <f t="shared" si="255"/>
        <v>41291</v>
      </c>
      <c r="AH960" s="270">
        <f t="shared" si="255"/>
        <v>41291</v>
      </c>
      <c r="AI960" s="270">
        <f t="shared" si="255"/>
        <v>41291</v>
      </c>
      <c r="AJ960" s="270">
        <f t="shared" si="255"/>
        <v>41291</v>
      </c>
      <c r="AK960" s="270">
        <f t="shared" si="255"/>
        <v>41291</v>
      </c>
      <c r="AL960" s="270">
        <f t="shared" si="255"/>
        <v>41291</v>
      </c>
      <c r="AM960" s="270">
        <f t="shared" si="255"/>
        <v>41291</v>
      </c>
    </row>
    <row r="961" spans="2:39" ht="15.75" thickBot="1" x14ac:dyDescent="0.35">
      <c r="B961" s="56" t="str">
        <f>input_names!$E$3</f>
        <v>plug-in</v>
      </c>
      <c r="C961" s="61">
        <v>206</v>
      </c>
      <c r="D961" s="270">
        <f t="shared" si="253"/>
        <v>23648</v>
      </c>
      <c r="E961" s="270">
        <f t="shared" si="253"/>
        <v>28118</v>
      </c>
      <c r="F961" s="270">
        <f t="shared" si="253"/>
        <v>49200</v>
      </c>
      <c r="G961" s="270">
        <f t="shared" si="253"/>
        <v>47394</v>
      </c>
      <c r="H961" s="270">
        <f t="shared" si="253"/>
        <v>45346</v>
      </c>
      <c r="I961" s="270">
        <f t="shared" si="253"/>
        <v>44682</v>
      </c>
      <c r="J961" s="270">
        <f t="shared" si="253"/>
        <v>32492</v>
      </c>
      <c r="K961" s="270">
        <f t="shared" si="253"/>
        <v>32810</v>
      </c>
      <c r="L961" s="270">
        <f t="shared" si="253"/>
        <v>34932</v>
      </c>
      <c r="M961" s="270">
        <f t="shared" si="253"/>
        <v>38446</v>
      </c>
      <c r="N961" s="270">
        <f t="shared" si="253"/>
        <v>41859</v>
      </c>
      <c r="O961" s="270">
        <f t="shared" si="253"/>
        <v>41859</v>
      </c>
      <c r="P961" s="270">
        <f t="shared" si="253"/>
        <v>41859</v>
      </c>
      <c r="Q961" s="270">
        <f t="shared" si="253"/>
        <v>41859</v>
      </c>
      <c r="R961" s="270">
        <f t="shared" si="253"/>
        <v>41859</v>
      </c>
      <c r="S961" s="270">
        <f>+MIN(MAX(0,$C961-S$28),S$29-S$28)*S$34
+MIN(MAX(0,$C961-S$29),S$30-S$29)*S$35
+MIN(MAX(0,$C961-S$30),S$31-S$30)*S$36
+MIN(MAX(0,$C961-S$31),S$32-S$31)*S$37
+MAX(0,$C961-S$32)*S$38
+S$39</f>
        <v>41859</v>
      </c>
      <c r="T961" s="270">
        <f t="shared" si="254"/>
        <v>41859</v>
      </c>
      <c r="U961" s="270">
        <f t="shared" si="254"/>
        <v>41859</v>
      </c>
      <c r="V961" s="270">
        <f t="shared" si="254"/>
        <v>41859</v>
      </c>
      <c r="W961" s="270">
        <f t="shared" si="254"/>
        <v>41859</v>
      </c>
      <c r="X961" s="270">
        <f t="shared" si="254"/>
        <v>41859</v>
      </c>
      <c r="Y961" s="270">
        <f t="shared" si="254"/>
        <v>41859</v>
      </c>
      <c r="Z961" s="270">
        <f t="shared" si="254"/>
        <v>41859</v>
      </c>
      <c r="AA961" s="270">
        <f t="shared" si="254"/>
        <v>41859</v>
      </c>
      <c r="AB961" s="270">
        <f t="shared" si="254"/>
        <v>41859</v>
      </c>
      <c r="AC961" s="270">
        <f t="shared" si="254"/>
        <v>41859</v>
      </c>
      <c r="AD961" s="270">
        <f>+MIN(MAX(0,$C961-AD$28),AD$29-AD$28)*AD$34
+MIN(MAX(0,$C961-AD$29),AD$30-AD$29)*AD$35
+MIN(MAX(0,$C961-AD$30),AD$31-AD$30)*AD$36
+MIN(MAX(0,$C961-AD$31),AD$32-AD$31)*AD$37
+MAX(0,$C961-AD$32)*AD$38
+AD$39</f>
        <v>41859</v>
      </c>
      <c r="AE961" s="270">
        <f t="shared" si="252"/>
        <v>41859</v>
      </c>
      <c r="AF961" s="270">
        <f t="shared" si="255"/>
        <v>41859</v>
      </c>
      <c r="AG961" s="270">
        <f t="shared" si="255"/>
        <v>41859</v>
      </c>
      <c r="AH961" s="270">
        <f t="shared" si="255"/>
        <v>41859</v>
      </c>
      <c r="AI961" s="270">
        <f t="shared" si="255"/>
        <v>41859</v>
      </c>
      <c r="AJ961" s="270">
        <f t="shared" si="255"/>
        <v>41859</v>
      </c>
      <c r="AK961" s="270">
        <f t="shared" si="255"/>
        <v>41859</v>
      </c>
      <c r="AL961" s="270">
        <f t="shared" si="255"/>
        <v>41859</v>
      </c>
      <c r="AM961" s="270">
        <f t="shared" si="255"/>
        <v>41859</v>
      </c>
    </row>
    <row r="962" spans="2:39" ht="15.75" thickBot="1" x14ac:dyDescent="0.35">
      <c r="B962" s="56" t="str">
        <f>input_names!$E$3</f>
        <v>plug-in</v>
      </c>
      <c r="C962" s="61">
        <v>207</v>
      </c>
      <c r="D962" s="270">
        <f t="shared" ref="D962:AD977" si="256">+MIN(MAX(0,$C962-D$28),D$29-D$28)*D$34
+MIN(MAX(0,$C962-D$29),D$30-D$29)*D$35
+MIN(MAX(0,$C962-D$30),D$31-D$30)*D$36
+MIN(MAX(0,$C962-D$31),D$32-D$31)*D$37
+MAX(0,$C962-D$32)*D$38
+D$39</f>
        <v>24082</v>
      </c>
      <c r="E962" s="270">
        <f t="shared" si="256"/>
        <v>28594</v>
      </c>
      <c r="F962" s="270">
        <f t="shared" si="256"/>
        <v>49500</v>
      </c>
      <c r="G962" s="270">
        <f t="shared" si="256"/>
        <v>47683</v>
      </c>
      <c r="H962" s="270">
        <f t="shared" si="256"/>
        <v>45617</v>
      </c>
      <c r="I962" s="270">
        <f t="shared" si="256"/>
        <v>44949</v>
      </c>
      <c r="J962" s="270">
        <f t="shared" si="256"/>
        <v>32694</v>
      </c>
      <c r="K962" s="270">
        <f t="shared" si="256"/>
        <v>33014</v>
      </c>
      <c r="L962" s="270">
        <f t="shared" si="256"/>
        <v>35149</v>
      </c>
      <c r="M962" s="270">
        <f t="shared" si="256"/>
        <v>38685</v>
      </c>
      <c r="N962" s="270">
        <f t="shared" si="256"/>
        <v>42427</v>
      </c>
      <c r="O962" s="270">
        <f t="shared" si="256"/>
        <v>42427</v>
      </c>
      <c r="P962" s="270">
        <f t="shared" si="256"/>
        <v>42427</v>
      </c>
      <c r="Q962" s="270">
        <f t="shared" si="256"/>
        <v>42427</v>
      </c>
      <c r="R962" s="270">
        <f t="shared" si="256"/>
        <v>42427</v>
      </c>
      <c r="S962" s="270">
        <f t="shared" ref="S962:AC977" si="257">+MIN(MAX(0,$C962-S$28),S$29-S$28)*S$34
+MIN(MAX(0,$C962-S$29),S$30-S$29)*S$35
+MIN(MAX(0,$C962-S$30),S$31-S$30)*S$36
+MIN(MAX(0,$C962-S$31),S$32-S$31)*S$37
+MAX(0,$C962-S$32)*S$38
+S$39</f>
        <v>42427</v>
      </c>
      <c r="T962" s="270">
        <f t="shared" si="257"/>
        <v>42427</v>
      </c>
      <c r="U962" s="270">
        <f t="shared" si="257"/>
        <v>42427</v>
      </c>
      <c r="V962" s="270">
        <f t="shared" si="257"/>
        <v>42427</v>
      </c>
      <c r="W962" s="270">
        <f t="shared" si="257"/>
        <v>42427</v>
      </c>
      <c r="X962" s="270">
        <f t="shared" si="257"/>
        <v>42427</v>
      </c>
      <c r="Y962" s="270">
        <f t="shared" si="257"/>
        <v>42427</v>
      </c>
      <c r="Z962" s="270">
        <f t="shared" si="257"/>
        <v>42427</v>
      </c>
      <c r="AA962" s="270">
        <f t="shared" si="257"/>
        <v>42427</v>
      </c>
      <c r="AB962" s="270">
        <f t="shared" si="257"/>
        <v>42427</v>
      </c>
      <c r="AC962" s="270">
        <f t="shared" si="257"/>
        <v>42427</v>
      </c>
      <c r="AD962" s="270">
        <f t="shared" si="256"/>
        <v>42427</v>
      </c>
      <c r="AE962" s="270">
        <f t="shared" si="252"/>
        <v>42427</v>
      </c>
      <c r="AF962" s="270">
        <f t="shared" si="255"/>
        <v>42427</v>
      </c>
      <c r="AG962" s="270">
        <f t="shared" si="255"/>
        <v>42427</v>
      </c>
      <c r="AH962" s="270">
        <f t="shared" si="255"/>
        <v>42427</v>
      </c>
      <c r="AI962" s="270">
        <f t="shared" si="255"/>
        <v>42427</v>
      </c>
      <c r="AJ962" s="270">
        <f t="shared" si="255"/>
        <v>42427</v>
      </c>
      <c r="AK962" s="270">
        <f t="shared" si="255"/>
        <v>42427</v>
      </c>
      <c r="AL962" s="270">
        <f t="shared" si="255"/>
        <v>42427</v>
      </c>
      <c r="AM962" s="270">
        <f t="shared" si="255"/>
        <v>42427</v>
      </c>
    </row>
    <row r="963" spans="2:39" ht="15.75" thickBot="1" x14ac:dyDescent="0.35">
      <c r="B963" s="56" t="str">
        <f>input_names!$E$3</f>
        <v>plug-in</v>
      </c>
      <c r="C963" s="61">
        <v>208</v>
      </c>
      <c r="D963" s="270">
        <f t="shared" si="256"/>
        <v>24516</v>
      </c>
      <c r="E963" s="270">
        <f t="shared" si="256"/>
        <v>29070</v>
      </c>
      <c r="F963" s="270">
        <f t="shared" si="256"/>
        <v>49800</v>
      </c>
      <c r="G963" s="270">
        <f t="shared" si="256"/>
        <v>47972</v>
      </c>
      <c r="H963" s="270">
        <f t="shared" si="256"/>
        <v>45888</v>
      </c>
      <c r="I963" s="270">
        <f t="shared" si="256"/>
        <v>45216</v>
      </c>
      <c r="J963" s="270">
        <f t="shared" si="256"/>
        <v>32896</v>
      </c>
      <c r="K963" s="270">
        <f t="shared" si="256"/>
        <v>33218</v>
      </c>
      <c r="L963" s="270">
        <f t="shared" si="256"/>
        <v>35366</v>
      </c>
      <c r="M963" s="270">
        <f t="shared" si="256"/>
        <v>38924</v>
      </c>
      <c r="N963" s="270">
        <f t="shared" si="256"/>
        <v>42995</v>
      </c>
      <c r="O963" s="270">
        <f t="shared" si="256"/>
        <v>42995</v>
      </c>
      <c r="P963" s="270">
        <f t="shared" si="256"/>
        <v>42995</v>
      </c>
      <c r="Q963" s="270">
        <f t="shared" si="256"/>
        <v>42995</v>
      </c>
      <c r="R963" s="270">
        <f t="shared" si="256"/>
        <v>42995</v>
      </c>
      <c r="S963" s="270">
        <f t="shared" si="257"/>
        <v>42995</v>
      </c>
      <c r="T963" s="270">
        <f t="shared" si="257"/>
        <v>42995</v>
      </c>
      <c r="U963" s="270">
        <f t="shared" si="257"/>
        <v>42995</v>
      </c>
      <c r="V963" s="270">
        <f t="shared" si="257"/>
        <v>42995</v>
      </c>
      <c r="W963" s="270">
        <f t="shared" si="257"/>
        <v>42995</v>
      </c>
      <c r="X963" s="270">
        <f t="shared" si="257"/>
        <v>42995</v>
      </c>
      <c r="Y963" s="270">
        <f t="shared" si="257"/>
        <v>42995</v>
      </c>
      <c r="Z963" s="270">
        <f t="shared" si="257"/>
        <v>42995</v>
      </c>
      <c r="AA963" s="270">
        <f t="shared" si="257"/>
        <v>42995</v>
      </c>
      <c r="AB963" s="270">
        <f t="shared" si="257"/>
        <v>42995</v>
      </c>
      <c r="AC963" s="270">
        <f t="shared" si="257"/>
        <v>42995</v>
      </c>
      <c r="AD963" s="270">
        <f t="shared" si="256"/>
        <v>42995</v>
      </c>
      <c r="AE963" s="270">
        <f t="shared" si="252"/>
        <v>42995</v>
      </c>
      <c r="AF963" s="270">
        <f t="shared" si="255"/>
        <v>42995</v>
      </c>
      <c r="AG963" s="270">
        <f t="shared" si="255"/>
        <v>42995</v>
      </c>
      <c r="AH963" s="270">
        <f t="shared" si="255"/>
        <v>42995</v>
      </c>
      <c r="AI963" s="270">
        <f t="shared" si="255"/>
        <v>42995</v>
      </c>
      <c r="AJ963" s="270">
        <f t="shared" si="255"/>
        <v>42995</v>
      </c>
      <c r="AK963" s="270">
        <f t="shared" si="255"/>
        <v>42995</v>
      </c>
      <c r="AL963" s="270">
        <f t="shared" si="255"/>
        <v>42995</v>
      </c>
      <c r="AM963" s="270">
        <f t="shared" si="255"/>
        <v>42995</v>
      </c>
    </row>
    <row r="964" spans="2:39" ht="15.75" thickBot="1" x14ac:dyDescent="0.35">
      <c r="B964" s="56" t="str">
        <f>input_names!$E$3</f>
        <v>plug-in</v>
      </c>
      <c r="C964" s="61">
        <v>209</v>
      </c>
      <c r="D964" s="270">
        <f t="shared" si="256"/>
        <v>24950</v>
      </c>
      <c r="E964" s="270">
        <f t="shared" si="256"/>
        <v>29546</v>
      </c>
      <c r="F964" s="270">
        <f t="shared" si="256"/>
        <v>50100</v>
      </c>
      <c r="G964" s="270">
        <f t="shared" si="256"/>
        <v>48261</v>
      </c>
      <c r="H964" s="270">
        <f t="shared" si="256"/>
        <v>46159</v>
      </c>
      <c r="I964" s="270">
        <f t="shared" si="256"/>
        <v>45483</v>
      </c>
      <c r="J964" s="270">
        <f t="shared" si="256"/>
        <v>33098</v>
      </c>
      <c r="K964" s="270">
        <f t="shared" si="256"/>
        <v>33422</v>
      </c>
      <c r="L964" s="270">
        <f t="shared" si="256"/>
        <v>35583</v>
      </c>
      <c r="M964" s="270">
        <f t="shared" si="256"/>
        <v>39163</v>
      </c>
      <c r="N964" s="270">
        <f t="shared" si="256"/>
        <v>43563</v>
      </c>
      <c r="O964" s="270">
        <f t="shared" si="256"/>
        <v>43563</v>
      </c>
      <c r="P964" s="270">
        <f t="shared" si="256"/>
        <v>43563</v>
      </c>
      <c r="Q964" s="270">
        <f t="shared" si="256"/>
        <v>43563</v>
      </c>
      <c r="R964" s="270">
        <f t="shared" si="256"/>
        <v>43563</v>
      </c>
      <c r="S964" s="270">
        <f t="shared" si="257"/>
        <v>43563</v>
      </c>
      <c r="T964" s="270">
        <f t="shared" si="257"/>
        <v>43563</v>
      </c>
      <c r="U964" s="270">
        <f t="shared" si="257"/>
        <v>43563</v>
      </c>
      <c r="V964" s="270">
        <f t="shared" si="257"/>
        <v>43563</v>
      </c>
      <c r="W964" s="270">
        <f t="shared" si="257"/>
        <v>43563</v>
      </c>
      <c r="X964" s="270">
        <f t="shared" si="257"/>
        <v>43563</v>
      </c>
      <c r="Y964" s="270">
        <f t="shared" si="257"/>
        <v>43563</v>
      </c>
      <c r="Z964" s="270">
        <f t="shared" si="257"/>
        <v>43563</v>
      </c>
      <c r="AA964" s="270">
        <f t="shared" si="257"/>
        <v>43563</v>
      </c>
      <c r="AB964" s="270">
        <f t="shared" si="257"/>
        <v>43563</v>
      </c>
      <c r="AC964" s="270">
        <f t="shared" si="257"/>
        <v>43563</v>
      </c>
      <c r="AD964" s="270">
        <f t="shared" si="256"/>
        <v>43563</v>
      </c>
      <c r="AE964" s="270">
        <f t="shared" si="252"/>
        <v>43563</v>
      </c>
      <c r="AF964" s="270">
        <f t="shared" si="255"/>
        <v>43563</v>
      </c>
      <c r="AG964" s="270">
        <f t="shared" si="255"/>
        <v>43563</v>
      </c>
      <c r="AH964" s="270">
        <f t="shared" si="255"/>
        <v>43563</v>
      </c>
      <c r="AI964" s="270">
        <f t="shared" si="255"/>
        <v>43563</v>
      </c>
      <c r="AJ964" s="270">
        <f t="shared" si="255"/>
        <v>43563</v>
      </c>
      <c r="AK964" s="270">
        <f t="shared" si="255"/>
        <v>43563</v>
      </c>
      <c r="AL964" s="270">
        <f t="shared" si="255"/>
        <v>43563</v>
      </c>
      <c r="AM964" s="270">
        <f t="shared" si="255"/>
        <v>43563</v>
      </c>
    </row>
    <row r="965" spans="2:39" ht="15.75" thickBot="1" x14ac:dyDescent="0.35">
      <c r="B965" s="56" t="str">
        <f>input_names!$E$3</f>
        <v>plug-in</v>
      </c>
      <c r="C965" s="61">
        <v>210</v>
      </c>
      <c r="D965" s="270">
        <f t="shared" si="256"/>
        <v>25384</v>
      </c>
      <c r="E965" s="270">
        <f t="shared" si="256"/>
        <v>30022</v>
      </c>
      <c r="F965" s="270">
        <f t="shared" si="256"/>
        <v>50400</v>
      </c>
      <c r="G965" s="270">
        <f t="shared" si="256"/>
        <v>48550</v>
      </c>
      <c r="H965" s="270">
        <f t="shared" si="256"/>
        <v>46430</v>
      </c>
      <c r="I965" s="270">
        <f t="shared" si="256"/>
        <v>45750</v>
      </c>
      <c r="J965" s="270">
        <f t="shared" si="256"/>
        <v>33300</v>
      </c>
      <c r="K965" s="270">
        <f t="shared" si="256"/>
        <v>33626</v>
      </c>
      <c r="L965" s="270">
        <f t="shared" si="256"/>
        <v>35800</v>
      </c>
      <c r="M965" s="270">
        <f t="shared" si="256"/>
        <v>39402</v>
      </c>
      <c r="N965" s="270">
        <f t="shared" si="256"/>
        <v>44131</v>
      </c>
      <c r="O965" s="270">
        <f t="shared" si="256"/>
        <v>44131</v>
      </c>
      <c r="P965" s="270">
        <f t="shared" si="256"/>
        <v>44131</v>
      </c>
      <c r="Q965" s="270">
        <f t="shared" si="256"/>
        <v>44131</v>
      </c>
      <c r="R965" s="270">
        <f t="shared" si="256"/>
        <v>44131</v>
      </c>
      <c r="S965" s="270">
        <f t="shared" si="257"/>
        <v>44131</v>
      </c>
      <c r="T965" s="270">
        <f t="shared" si="257"/>
        <v>44131</v>
      </c>
      <c r="U965" s="270">
        <f t="shared" si="257"/>
        <v>44131</v>
      </c>
      <c r="V965" s="270">
        <f t="shared" si="257"/>
        <v>44131</v>
      </c>
      <c r="W965" s="270">
        <f t="shared" si="257"/>
        <v>44131</v>
      </c>
      <c r="X965" s="270">
        <f t="shared" si="257"/>
        <v>44131</v>
      </c>
      <c r="Y965" s="270">
        <f t="shared" si="257"/>
        <v>44131</v>
      </c>
      <c r="Z965" s="270">
        <f t="shared" si="257"/>
        <v>44131</v>
      </c>
      <c r="AA965" s="270">
        <f t="shared" si="257"/>
        <v>44131</v>
      </c>
      <c r="AB965" s="270">
        <f t="shared" si="257"/>
        <v>44131</v>
      </c>
      <c r="AC965" s="270">
        <f t="shared" si="257"/>
        <v>44131</v>
      </c>
      <c r="AD965" s="270">
        <f t="shared" si="256"/>
        <v>44131</v>
      </c>
      <c r="AE965" s="270">
        <f t="shared" si="252"/>
        <v>44131</v>
      </c>
      <c r="AF965" s="270">
        <f t="shared" si="255"/>
        <v>44131</v>
      </c>
      <c r="AG965" s="270">
        <f t="shared" si="255"/>
        <v>44131</v>
      </c>
      <c r="AH965" s="270">
        <f t="shared" si="255"/>
        <v>44131</v>
      </c>
      <c r="AI965" s="270">
        <f t="shared" si="255"/>
        <v>44131</v>
      </c>
      <c r="AJ965" s="270">
        <f t="shared" si="255"/>
        <v>44131</v>
      </c>
      <c r="AK965" s="270">
        <f t="shared" si="255"/>
        <v>44131</v>
      </c>
      <c r="AL965" s="270">
        <f t="shared" si="255"/>
        <v>44131</v>
      </c>
      <c r="AM965" s="270">
        <f t="shared" si="255"/>
        <v>44131</v>
      </c>
    </row>
    <row r="966" spans="2:39" ht="15.75" thickBot="1" x14ac:dyDescent="0.35">
      <c r="B966" s="56" t="str">
        <f>input_names!$E$3</f>
        <v>plug-in</v>
      </c>
      <c r="C966" s="61">
        <v>211</v>
      </c>
      <c r="D966" s="270">
        <f t="shared" si="256"/>
        <v>25818</v>
      </c>
      <c r="E966" s="270">
        <f t="shared" si="256"/>
        <v>30498</v>
      </c>
      <c r="F966" s="270">
        <f t="shared" si="256"/>
        <v>50700</v>
      </c>
      <c r="G966" s="270">
        <f t="shared" si="256"/>
        <v>48839</v>
      </c>
      <c r="H966" s="270">
        <f t="shared" si="256"/>
        <v>46701</v>
      </c>
      <c r="I966" s="270">
        <f t="shared" si="256"/>
        <v>46017</v>
      </c>
      <c r="J966" s="270">
        <f t="shared" si="256"/>
        <v>33502</v>
      </c>
      <c r="K966" s="270">
        <f t="shared" si="256"/>
        <v>33830</v>
      </c>
      <c r="L966" s="270">
        <f t="shared" si="256"/>
        <v>36017</v>
      </c>
      <c r="M966" s="270">
        <f t="shared" si="256"/>
        <v>39641</v>
      </c>
      <c r="N966" s="270">
        <f t="shared" si="256"/>
        <v>44699</v>
      </c>
      <c r="O966" s="270">
        <f t="shared" si="256"/>
        <v>44699</v>
      </c>
      <c r="P966" s="270">
        <f t="shared" si="256"/>
        <v>44699</v>
      </c>
      <c r="Q966" s="270">
        <f t="shared" si="256"/>
        <v>44699</v>
      </c>
      <c r="R966" s="270">
        <f t="shared" si="256"/>
        <v>44699</v>
      </c>
      <c r="S966" s="270">
        <f t="shared" si="257"/>
        <v>44699</v>
      </c>
      <c r="T966" s="270">
        <f t="shared" si="257"/>
        <v>44699</v>
      </c>
      <c r="U966" s="270">
        <f t="shared" si="257"/>
        <v>44699</v>
      </c>
      <c r="V966" s="270">
        <f t="shared" si="257"/>
        <v>44699</v>
      </c>
      <c r="W966" s="270">
        <f t="shared" si="257"/>
        <v>44699</v>
      </c>
      <c r="X966" s="270">
        <f t="shared" si="257"/>
        <v>44699</v>
      </c>
      <c r="Y966" s="270">
        <f t="shared" si="257"/>
        <v>44699</v>
      </c>
      <c r="Z966" s="270">
        <f t="shared" si="257"/>
        <v>44699</v>
      </c>
      <c r="AA966" s="270">
        <f t="shared" si="257"/>
        <v>44699</v>
      </c>
      <c r="AB966" s="270">
        <f t="shared" si="257"/>
        <v>44699</v>
      </c>
      <c r="AC966" s="270">
        <f t="shared" si="257"/>
        <v>44699</v>
      </c>
      <c r="AD966" s="270">
        <f t="shared" si="256"/>
        <v>44699</v>
      </c>
      <c r="AE966" s="270">
        <f t="shared" si="252"/>
        <v>44699</v>
      </c>
      <c r="AF966" s="270">
        <f t="shared" si="255"/>
        <v>44699</v>
      </c>
      <c r="AG966" s="270">
        <f t="shared" si="255"/>
        <v>44699</v>
      </c>
      <c r="AH966" s="270">
        <f t="shared" si="255"/>
        <v>44699</v>
      </c>
      <c r="AI966" s="270">
        <f t="shared" si="255"/>
        <v>44699</v>
      </c>
      <c r="AJ966" s="270">
        <f t="shared" si="255"/>
        <v>44699</v>
      </c>
      <c r="AK966" s="270">
        <f t="shared" si="255"/>
        <v>44699</v>
      </c>
      <c r="AL966" s="270">
        <f t="shared" si="255"/>
        <v>44699</v>
      </c>
      <c r="AM966" s="270">
        <f t="shared" si="255"/>
        <v>44699</v>
      </c>
    </row>
    <row r="967" spans="2:39" ht="15.75" thickBot="1" x14ac:dyDescent="0.35">
      <c r="B967" s="56" t="str">
        <f>input_names!$E$3</f>
        <v>plug-in</v>
      </c>
      <c r="C967" s="61">
        <v>212</v>
      </c>
      <c r="D967" s="270">
        <f t="shared" si="256"/>
        <v>26252</v>
      </c>
      <c r="E967" s="270">
        <f t="shared" si="256"/>
        <v>30974</v>
      </c>
      <c r="F967" s="270">
        <f t="shared" si="256"/>
        <v>51000</v>
      </c>
      <c r="G967" s="270">
        <f t="shared" si="256"/>
        <v>49128</v>
      </c>
      <c r="H967" s="270">
        <f t="shared" si="256"/>
        <v>46972</v>
      </c>
      <c r="I967" s="270">
        <f t="shared" si="256"/>
        <v>46284</v>
      </c>
      <c r="J967" s="270">
        <f t="shared" si="256"/>
        <v>33704</v>
      </c>
      <c r="K967" s="270">
        <f t="shared" si="256"/>
        <v>34034</v>
      </c>
      <c r="L967" s="270">
        <f t="shared" si="256"/>
        <v>36234</v>
      </c>
      <c r="M967" s="270">
        <f t="shared" si="256"/>
        <v>39880</v>
      </c>
      <c r="N967" s="270">
        <f t="shared" si="256"/>
        <v>45267</v>
      </c>
      <c r="O967" s="270">
        <f t="shared" si="256"/>
        <v>45267</v>
      </c>
      <c r="P967" s="270">
        <f t="shared" si="256"/>
        <v>45267</v>
      </c>
      <c r="Q967" s="270">
        <f t="shared" si="256"/>
        <v>45267</v>
      </c>
      <c r="R967" s="270">
        <f t="shared" si="256"/>
        <v>45267</v>
      </c>
      <c r="S967" s="270">
        <f t="shared" si="257"/>
        <v>45267</v>
      </c>
      <c r="T967" s="270">
        <f t="shared" si="257"/>
        <v>45267</v>
      </c>
      <c r="U967" s="270">
        <f t="shared" si="257"/>
        <v>45267</v>
      </c>
      <c r="V967" s="270">
        <f t="shared" si="257"/>
        <v>45267</v>
      </c>
      <c r="W967" s="270">
        <f t="shared" si="257"/>
        <v>45267</v>
      </c>
      <c r="X967" s="270">
        <f t="shared" si="257"/>
        <v>45267</v>
      </c>
      <c r="Y967" s="270">
        <f t="shared" si="257"/>
        <v>45267</v>
      </c>
      <c r="Z967" s="270">
        <f t="shared" si="257"/>
        <v>45267</v>
      </c>
      <c r="AA967" s="270">
        <f t="shared" si="257"/>
        <v>45267</v>
      </c>
      <c r="AB967" s="270">
        <f t="shared" si="257"/>
        <v>45267</v>
      </c>
      <c r="AC967" s="270">
        <f t="shared" si="257"/>
        <v>45267</v>
      </c>
      <c r="AD967" s="270">
        <f t="shared" si="256"/>
        <v>45267</v>
      </c>
      <c r="AE967" s="270">
        <f t="shared" si="252"/>
        <v>45267</v>
      </c>
      <c r="AF967" s="270">
        <f t="shared" si="255"/>
        <v>45267</v>
      </c>
      <c r="AG967" s="270">
        <f t="shared" si="255"/>
        <v>45267</v>
      </c>
      <c r="AH967" s="270">
        <f t="shared" si="255"/>
        <v>45267</v>
      </c>
      <c r="AI967" s="270">
        <f t="shared" si="255"/>
        <v>45267</v>
      </c>
      <c r="AJ967" s="270">
        <f t="shared" si="255"/>
        <v>45267</v>
      </c>
      <c r="AK967" s="270">
        <f t="shared" si="255"/>
        <v>45267</v>
      </c>
      <c r="AL967" s="270">
        <f t="shared" si="255"/>
        <v>45267</v>
      </c>
      <c r="AM967" s="270">
        <f t="shared" si="255"/>
        <v>45267</v>
      </c>
    </row>
    <row r="968" spans="2:39" ht="15.75" thickBot="1" x14ac:dyDescent="0.35">
      <c r="B968" s="56" t="str">
        <f>input_names!$E$3</f>
        <v>plug-in</v>
      </c>
      <c r="C968" s="61">
        <v>213</v>
      </c>
      <c r="D968" s="270">
        <f t="shared" si="256"/>
        <v>26686</v>
      </c>
      <c r="E968" s="270">
        <f t="shared" si="256"/>
        <v>31450</v>
      </c>
      <c r="F968" s="270">
        <f t="shared" si="256"/>
        <v>51300</v>
      </c>
      <c r="G968" s="270">
        <f t="shared" si="256"/>
        <v>49417</v>
      </c>
      <c r="H968" s="270">
        <f t="shared" si="256"/>
        <v>47243</v>
      </c>
      <c r="I968" s="270">
        <f t="shared" si="256"/>
        <v>46551</v>
      </c>
      <c r="J968" s="270">
        <f t="shared" si="256"/>
        <v>33906</v>
      </c>
      <c r="K968" s="270">
        <f t="shared" si="256"/>
        <v>34238</v>
      </c>
      <c r="L968" s="270">
        <f t="shared" si="256"/>
        <v>36451</v>
      </c>
      <c r="M968" s="270">
        <f t="shared" si="256"/>
        <v>40119</v>
      </c>
      <c r="N968" s="270">
        <f t="shared" si="256"/>
        <v>45835</v>
      </c>
      <c r="O968" s="270">
        <f t="shared" si="256"/>
        <v>45835</v>
      </c>
      <c r="P968" s="270">
        <f t="shared" si="256"/>
        <v>45835</v>
      </c>
      <c r="Q968" s="270">
        <f t="shared" si="256"/>
        <v>45835</v>
      </c>
      <c r="R968" s="270">
        <f t="shared" si="256"/>
        <v>45835</v>
      </c>
      <c r="S968" s="270">
        <f t="shared" si="257"/>
        <v>45835</v>
      </c>
      <c r="T968" s="270">
        <f t="shared" si="257"/>
        <v>45835</v>
      </c>
      <c r="U968" s="270">
        <f t="shared" si="257"/>
        <v>45835</v>
      </c>
      <c r="V968" s="270">
        <f t="shared" si="257"/>
        <v>45835</v>
      </c>
      <c r="W968" s="270">
        <f t="shared" si="257"/>
        <v>45835</v>
      </c>
      <c r="X968" s="270">
        <f t="shared" si="257"/>
        <v>45835</v>
      </c>
      <c r="Y968" s="270">
        <f t="shared" si="257"/>
        <v>45835</v>
      </c>
      <c r="Z968" s="270">
        <f t="shared" si="257"/>
        <v>45835</v>
      </c>
      <c r="AA968" s="270">
        <f t="shared" si="257"/>
        <v>45835</v>
      </c>
      <c r="AB968" s="270">
        <f t="shared" si="257"/>
        <v>45835</v>
      </c>
      <c r="AC968" s="270">
        <f t="shared" si="257"/>
        <v>45835</v>
      </c>
      <c r="AD968" s="270">
        <f t="shared" si="256"/>
        <v>45835</v>
      </c>
      <c r="AE968" s="270">
        <f t="shared" si="252"/>
        <v>45835</v>
      </c>
      <c r="AF968" s="270">
        <f t="shared" si="255"/>
        <v>45835</v>
      </c>
      <c r="AG968" s="270">
        <f t="shared" si="255"/>
        <v>45835</v>
      </c>
      <c r="AH968" s="270">
        <f t="shared" si="255"/>
        <v>45835</v>
      </c>
      <c r="AI968" s="270">
        <f t="shared" si="255"/>
        <v>45835</v>
      </c>
      <c r="AJ968" s="270">
        <f t="shared" si="255"/>
        <v>45835</v>
      </c>
      <c r="AK968" s="270">
        <f t="shared" si="255"/>
        <v>45835</v>
      </c>
      <c r="AL968" s="270">
        <f t="shared" si="255"/>
        <v>45835</v>
      </c>
      <c r="AM968" s="270">
        <f t="shared" si="255"/>
        <v>45835</v>
      </c>
    </row>
    <row r="969" spans="2:39" ht="15.75" thickBot="1" x14ac:dyDescent="0.35">
      <c r="B969" s="56" t="str">
        <f>input_names!$E$3</f>
        <v>plug-in</v>
      </c>
      <c r="C969" s="61">
        <v>214</v>
      </c>
      <c r="D969" s="270">
        <f t="shared" si="256"/>
        <v>27120</v>
      </c>
      <c r="E969" s="270">
        <f t="shared" si="256"/>
        <v>31926</v>
      </c>
      <c r="F969" s="270">
        <f t="shared" si="256"/>
        <v>51600</v>
      </c>
      <c r="G969" s="270">
        <f t="shared" si="256"/>
        <v>49706</v>
      </c>
      <c r="H969" s="270">
        <f t="shared" si="256"/>
        <v>47514</v>
      </c>
      <c r="I969" s="270">
        <f t="shared" si="256"/>
        <v>46818</v>
      </c>
      <c r="J969" s="270">
        <f t="shared" si="256"/>
        <v>34108</v>
      </c>
      <c r="K969" s="270">
        <f t="shared" si="256"/>
        <v>34442</v>
      </c>
      <c r="L969" s="270">
        <f t="shared" si="256"/>
        <v>36668</v>
      </c>
      <c r="M969" s="270">
        <f t="shared" si="256"/>
        <v>40358</v>
      </c>
      <c r="N969" s="270">
        <f t="shared" si="256"/>
        <v>46403</v>
      </c>
      <c r="O969" s="270">
        <f t="shared" si="256"/>
        <v>46403</v>
      </c>
      <c r="P969" s="270">
        <f t="shared" si="256"/>
        <v>46403</v>
      </c>
      <c r="Q969" s="270">
        <f t="shared" si="256"/>
        <v>46403</v>
      </c>
      <c r="R969" s="270">
        <f t="shared" si="256"/>
        <v>46403</v>
      </c>
      <c r="S969" s="270">
        <f t="shared" si="257"/>
        <v>46403</v>
      </c>
      <c r="T969" s="270">
        <f t="shared" si="257"/>
        <v>46403</v>
      </c>
      <c r="U969" s="270">
        <f t="shared" si="257"/>
        <v>46403</v>
      </c>
      <c r="V969" s="270">
        <f t="shared" si="257"/>
        <v>46403</v>
      </c>
      <c r="W969" s="270">
        <f t="shared" si="257"/>
        <v>46403</v>
      </c>
      <c r="X969" s="270">
        <f t="shared" si="257"/>
        <v>46403</v>
      </c>
      <c r="Y969" s="270">
        <f t="shared" si="257"/>
        <v>46403</v>
      </c>
      <c r="Z969" s="270">
        <f t="shared" si="257"/>
        <v>46403</v>
      </c>
      <c r="AA969" s="270">
        <f t="shared" si="257"/>
        <v>46403</v>
      </c>
      <c r="AB969" s="270">
        <f t="shared" si="257"/>
        <v>46403</v>
      </c>
      <c r="AC969" s="270">
        <f t="shared" si="257"/>
        <v>46403</v>
      </c>
      <c r="AD969" s="270">
        <f t="shared" si="256"/>
        <v>46403</v>
      </c>
      <c r="AE969" s="270">
        <f t="shared" si="252"/>
        <v>46403</v>
      </c>
      <c r="AF969" s="270">
        <f t="shared" si="255"/>
        <v>46403</v>
      </c>
      <c r="AG969" s="270">
        <f t="shared" si="255"/>
        <v>46403</v>
      </c>
      <c r="AH969" s="270">
        <f t="shared" si="255"/>
        <v>46403</v>
      </c>
      <c r="AI969" s="270">
        <f t="shared" si="255"/>
        <v>46403</v>
      </c>
      <c r="AJ969" s="270">
        <f t="shared" si="255"/>
        <v>46403</v>
      </c>
      <c r="AK969" s="270">
        <f t="shared" si="255"/>
        <v>46403</v>
      </c>
      <c r="AL969" s="270">
        <f t="shared" si="255"/>
        <v>46403</v>
      </c>
      <c r="AM969" s="270">
        <f t="shared" si="255"/>
        <v>46403</v>
      </c>
    </row>
    <row r="970" spans="2:39" ht="15.75" thickBot="1" x14ac:dyDescent="0.35">
      <c r="B970" s="56" t="str">
        <f>input_names!$E$3</f>
        <v>plug-in</v>
      </c>
      <c r="C970" s="61">
        <v>215</v>
      </c>
      <c r="D970" s="270">
        <f t="shared" si="256"/>
        <v>27554</v>
      </c>
      <c r="E970" s="270">
        <f t="shared" si="256"/>
        <v>32402</v>
      </c>
      <c r="F970" s="270">
        <f t="shared" si="256"/>
        <v>51900</v>
      </c>
      <c r="G970" s="270">
        <f t="shared" si="256"/>
        <v>49995</v>
      </c>
      <c r="H970" s="270">
        <f t="shared" si="256"/>
        <v>47785</v>
      </c>
      <c r="I970" s="270">
        <f t="shared" si="256"/>
        <v>47085</v>
      </c>
      <c r="J970" s="270">
        <f t="shared" si="256"/>
        <v>34310</v>
      </c>
      <c r="K970" s="270">
        <f t="shared" si="256"/>
        <v>34646</v>
      </c>
      <c r="L970" s="270">
        <f t="shared" si="256"/>
        <v>36885</v>
      </c>
      <c r="M970" s="270">
        <f t="shared" si="256"/>
        <v>40597</v>
      </c>
      <c r="N970" s="270">
        <f t="shared" si="256"/>
        <v>46971</v>
      </c>
      <c r="O970" s="270">
        <f t="shared" si="256"/>
        <v>46971</v>
      </c>
      <c r="P970" s="270">
        <f t="shared" si="256"/>
        <v>46971</v>
      </c>
      <c r="Q970" s="270">
        <f t="shared" si="256"/>
        <v>46971</v>
      </c>
      <c r="R970" s="270">
        <f t="shared" si="256"/>
        <v>46971</v>
      </c>
      <c r="S970" s="270">
        <f t="shared" si="257"/>
        <v>46971</v>
      </c>
      <c r="T970" s="270">
        <f t="shared" si="257"/>
        <v>46971</v>
      </c>
      <c r="U970" s="270">
        <f t="shared" si="257"/>
        <v>46971</v>
      </c>
      <c r="V970" s="270">
        <f t="shared" si="257"/>
        <v>46971</v>
      </c>
      <c r="W970" s="270">
        <f t="shared" si="257"/>
        <v>46971</v>
      </c>
      <c r="X970" s="270">
        <f t="shared" si="257"/>
        <v>46971</v>
      </c>
      <c r="Y970" s="270">
        <f t="shared" si="257"/>
        <v>46971</v>
      </c>
      <c r="Z970" s="270">
        <f t="shared" si="257"/>
        <v>46971</v>
      </c>
      <c r="AA970" s="270">
        <f t="shared" si="257"/>
        <v>46971</v>
      </c>
      <c r="AB970" s="270">
        <f t="shared" si="257"/>
        <v>46971</v>
      </c>
      <c r="AC970" s="270">
        <f t="shared" si="257"/>
        <v>46971</v>
      </c>
      <c r="AD970" s="270">
        <f t="shared" si="256"/>
        <v>46971</v>
      </c>
      <c r="AE970" s="270">
        <f t="shared" si="252"/>
        <v>46971</v>
      </c>
      <c r="AF970" s="270">
        <f t="shared" si="255"/>
        <v>46971</v>
      </c>
      <c r="AG970" s="270">
        <f t="shared" si="255"/>
        <v>46971</v>
      </c>
      <c r="AH970" s="270">
        <f t="shared" si="255"/>
        <v>46971</v>
      </c>
      <c r="AI970" s="270">
        <f t="shared" si="255"/>
        <v>46971</v>
      </c>
      <c r="AJ970" s="270">
        <f t="shared" si="255"/>
        <v>46971</v>
      </c>
      <c r="AK970" s="270">
        <f t="shared" si="255"/>
        <v>46971</v>
      </c>
      <c r="AL970" s="270">
        <f t="shared" si="255"/>
        <v>46971</v>
      </c>
      <c r="AM970" s="270">
        <f t="shared" si="255"/>
        <v>46971</v>
      </c>
    </row>
    <row r="971" spans="2:39" ht="15.75" thickBot="1" x14ac:dyDescent="0.35">
      <c r="B971" s="56" t="str">
        <f>input_names!$E$3</f>
        <v>plug-in</v>
      </c>
      <c r="C971" s="61">
        <v>216</v>
      </c>
      <c r="D971" s="270">
        <f t="shared" si="256"/>
        <v>27988</v>
      </c>
      <c r="E971" s="270">
        <f t="shared" si="256"/>
        <v>32878</v>
      </c>
      <c r="F971" s="270">
        <f t="shared" si="256"/>
        <v>52200</v>
      </c>
      <c r="G971" s="270">
        <f t="shared" si="256"/>
        <v>50284</v>
      </c>
      <c r="H971" s="270">
        <f t="shared" si="256"/>
        <v>48056</v>
      </c>
      <c r="I971" s="270">
        <f t="shared" si="256"/>
        <v>47352</v>
      </c>
      <c r="J971" s="270">
        <f t="shared" si="256"/>
        <v>34512</v>
      </c>
      <c r="K971" s="270">
        <f t="shared" si="256"/>
        <v>34850</v>
      </c>
      <c r="L971" s="270">
        <f t="shared" si="256"/>
        <v>37102</v>
      </c>
      <c r="M971" s="270">
        <f t="shared" si="256"/>
        <v>40836</v>
      </c>
      <c r="N971" s="270">
        <f t="shared" si="256"/>
        <v>47539</v>
      </c>
      <c r="O971" s="270">
        <f t="shared" si="256"/>
        <v>47539</v>
      </c>
      <c r="P971" s="270">
        <f t="shared" si="256"/>
        <v>47539</v>
      </c>
      <c r="Q971" s="270">
        <f t="shared" si="256"/>
        <v>47539</v>
      </c>
      <c r="R971" s="270">
        <f t="shared" si="256"/>
        <v>47539</v>
      </c>
      <c r="S971" s="270">
        <f t="shared" si="257"/>
        <v>47539</v>
      </c>
      <c r="T971" s="270">
        <f t="shared" si="257"/>
        <v>47539</v>
      </c>
      <c r="U971" s="270">
        <f t="shared" si="257"/>
        <v>47539</v>
      </c>
      <c r="V971" s="270">
        <f t="shared" si="257"/>
        <v>47539</v>
      </c>
      <c r="W971" s="270">
        <f t="shared" si="257"/>
        <v>47539</v>
      </c>
      <c r="X971" s="270">
        <f t="shared" si="257"/>
        <v>47539</v>
      </c>
      <c r="Y971" s="270">
        <f t="shared" si="257"/>
        <v>47539</v>
      </c>
      <c r="Z971" s="270">
        <f t="shared" si="257"/>
        <v>47539</v>
      </c>
      <c r="AA971" s="270">
        <f t="shared" si="257"/>
        <v>47539</v>
      </c>
      <c r="AB971" s="270">
        <f t="shared" si="257"/>
        <v>47539</v>
      </c>
      <c r="AC971" s="270">
        <f t="shared" si="257"/>
        <v>47539</v>
      </c>
      <c r="AD971" s="270">
        <f t="shared" si="256"/>
        <v>47539</v>
      </c>
      <c r="AE971" s="270">
        <f t="shared" si="252"/>
        <v>47539</v>
      </c>
      <c r="AF971" s="270">
        <f t="shared" si="255"/>
        <v>47539</v>
      </c>
      <c r="AG971" s="270">
        <f t="shared" si="255"/>
        <v>47539</v>
      </c>
      <c r="AH971" s="270">
        <f t="shared" si="255"/>
        <v>47539</v>
      </c>
      <c r="AI971" s="270">
        <f t="shared" si="255"/>
        <v>47539</v>
      </c>
      <c r="AJ971" s="270">
        <f t="shared" si="255"/>
        <v>47539</v>
      </c>
      <c r="AK971" s="270">
        <f t="shared" si="255"/>
        <v>47539</v>
      </c>
      <c r="AL971" s="270">
        <f t="shared" si="255"/>
        <v>47539</v>
      </c>
      <c r="AM971" s="270">
        <f t="shared" si="255"/>
        <v>47539</v>
      </c>
    </row>
    <row r="972" spans="2:39" ht="15.75" thickBot="1" x14ac:dyDescent="0.35">
      <c r="B972" s="56" t="str">
        <f>input_names!$E$3</f>
        <v>plug-in</v>
      </c>
      <c r="C972" s="61">
        <v>217</v>
      </c>
      <c r="D972" s="270">
        <f t="shared" si="256"/>
        <v>28422</v>
      </c>
      <c r="E972" s="270">
        <f t="shared" si="256"/>
        <v>33354</v>
      </c>
      <c r="F972" s="270">
        <f t="shared" si="256"/>
        <v>52500</v>
      </c>
      <c r="G972" s="270">
        <f t="shared" si="256"/>
        <v>50573</v>
      </c>
      <c r="H972" s="270">
        <f t="shared" si="256"/>
        <v>48327</v>
      </c>
      <c r="I972" s="270">
        <f t="shared" si="256"/>
        <v>47619</v>
      </c>
      <c r="J972" s="270">
        <f t="shared" si="256"/>
        <v>34714</v>
      </c>
      <c r="K972" s="270">
        <f t="shared" si="256"/>
        <v>35054</v>
      </c>
      <c r="L972" s="270">
        <f t="shared" si="256"/>
        <v>37319</v>
      </c>
      <c r="M972" s="270">
        <f t="shared" si="256"/>
        <v>41075</v>
      </c>
      <c r="N972" s="270">
        <f t="shared" si="256"/>
        <v>48107</v>
      </c>
      <c r="O972" s="270">
        <f t="shared" si="256"/>
        <v>48107</v>
      </c>
      <c r="P972" s="270">
        <f t="shared" si="256"/>
        <v>48107</v>
      </c>
      <c r="Q972" s="270">
        <f t="shared" si="256"/>
        <v>48107</v>
      </c>
      <c r="R972" s="270">
        <f t="shared" si="256"/>
        <v>48107</v>
      </c>
      <c r="S972" s="270">
        <f t="shared" si="257"/>
        <v>48107</v>
      </c>
      <c r="T972" s="270">
        <f t="shared" si="257"/>
        <v>48107</v>
      </c>
      <c r="U972" s="270">
        <f t="shared" si="257"/>
        <v>48107</v>
      </c>
      <c r="V972" s="270">
        <f t="shared" si="257"/>
        <v>48107</v>
      </c>
      <c r="W972" s="270">
        <f t="shared" si="257"/>
        <v>48107</v>
      </c>
      <c r="X972" s="270">
        <f t="shared" si="257"/>
        <v>48107</v>
      </c>
      <c r="Y972" s="270">
        <f t="shared" si="257"/>
        <v>48107</v>
      </c>
      <c r="Z972" s="270">
        <f t="shared" si="257"/>
        <v>48107</v>
      </c>
      <c r="AA972" s="270">
        <f t="shared" si="257"/>
        <v>48107</v>
      </c>
      <c r="AB972" s="270">
        <f t="shared" si="257"/>
        <v>48107</v>
      </c>
      <c r="AC972" s="270">
        <f t="shared" si="257"/>
        <v>48107</v>
      </c>
      <c r="AD972" s="270">
        <f t="shared" si="256"/>
        <v>48107</v>
      </c>
      <c r="AE972" s="270">
        <f t="shared" si="252"/>
        <v>48107</v>
      </c>
      <c r="AF972" s="270">
        <f t="shared" si="255"/>
        <v>48107</v>
      </c>
      <c r="AG972" s="270">
        <f t="shared" si="255"/>
        <v>48107</v>
      </c>
      <c r="AH972" s="270">
        <f t="shared" si="255"/>
        <v>48107</v>
      </c>
      <c r="AI972" s="270">
        <f t="shared" si="255"/>
        <v>48107</v>
      </c>
      <c r="AJ972" s="270">
        <f t="shared" si="255"/>
        <v>48107</v>
      </c>
      <c r="AK972" s="270">
        <f t="shared" si="255"/>
        <v>48107</v>
      </c>
      <c r="AL972" s="270">
        <f t="shared" si="255"/>
        <v>48107</v>
      </c>
      <c r="AM972" s="270">
        <f t="shared" si="255"/>
        <v>48107</v>
      </c>
    </row>
    <row r="973" spans="2:39" ht="15.75" thickBot="1" x14ac:dyDescent="0.35">
      <c r="B973" s="56" t="str">
        <f>input_names!$E$3</f>
        <v>plug-in</v>
      </c>
      <c r="C973" s="61">
        <v>218</v>
      </c>
      <c r="D973" s="270">
        <f t="shared" si="256"/>
        <v>28856</v>
      </c>
      <c r="E973" s="270">
        <f t="shared" si="256"/>
        <v>33830</v>
      </c>
      <c r="F973" s="270">
        <f t="shared" si="256"/>
        <v>52800</v>
      </c>
      <c r="G973" s="270">
        <f t="shared" si="256"/>
        <v>50862</v>
      </c>
      <c r="H973" s="270">
        <f t="shared" si="256"/>
        <v>48598</v>
      </c>
      <c r="I973" s="270">
        <f t="shared" si="256"/>
        <v>47886</v>
      </c>
      <c r="J973" s="270">
        <f t="shared" si="256"/>
        <v>34916</v>
      </c>
      <c r="K973" s="270">
        <f t="shared" si="256"/>
        <v>35258</v>
      </c>
      <c r="L973" s="270">
        <f t="shared" si="256"/>
        <v>37536</v>
      </c>
      <c r="M973" s="270">
        <f t="shared" si="256"/>
        <v>41314</v>
      </c>
      <c r="N973" s="270">
        <f t="shared" si="256"/>
        <v>48675</v>
      </c>
      <c r="O973" s="270">
        <f t="shared" si="256"/>
        <v>48675</v>
      </c>
      <c r="P973" s="270">
        <f t="shared" si="256"/>
        <v>48675</v>
      </c>
      <c r="Q973" s="270">
        <f t="shared" si="256"/>
        <v>48675</v>
      </c>
      <c r="R973" s="270">
        <f t="shared" si="256"/>
        <v>48675</v>
      </c>
      <c r="S973" s="270">
        <f t="shared" si="257"/>
        <v>48675</v>
      </c>
      <c r="T973" s="270">
        <f t="shared" si="257"/>
        <v>48675</v>
      </c>
      <c r="U973" s="270">
        <f t="shared" si="257"/>
        <v>48675</v>
      </c>
      <c r="V973" s="270">
        <f t="shared" si="257"/>
        <v>48675</v>
      </c>
      <c r="W973" s="270">
        <f t="shared" si="257"/>
        <v>48675</v>
      </c>
      <c r="X973" s="270">
        <f t="shared" si="257"/>
        <v>48675</v>
      </c>
      <c r="Y973" s="270">
        <f t="shared" si="257"/>
        <v>48675</v>
      </c>
      <c r="Z973" s="270">
        <f t="shared" si="257"/>
        <v>48675</v>
      </c>
      <c r="AA973" s="270">
        <f t="shared" si="257"/>
        <v>48675</v>
      </c>
      <c r="AB973" s="270">
        <f t="shared" si="257"/>
        <v>48675</v>
      </c>
      <c r="AC973" s="270">
        <f t="shared" si="257"/>
        <v>48675</v>
      </c>
      <c r="AD973" s="270">
        <f t="shared" si="256"/>
        <v>48675</v>
      </c>
      <c r="AE973" s="270">
        <f t="shared" si="252"/>
        <v>48675</v>
      </c>
      <c r="AF973" s="270">
        <f t="shared" si="255"/>
        <v>48675</v>
      </c>
      <c r="AG973" s="270">
        <f t="shared" si="255"/>
        <v>48675</v>
      </c>
      <c r="AH973" s="270">
        <f t="shared" si="255"/>
        <v>48675</v>
      </c>
      <c r="AI973" s="270">
        <f t="shared" si="255"/>
        <v>48675</v>
      </c>
      <c r="AJ973" s="270">
        <f t="shared" si="255"/>
        <v>48675</v>
      </c>
      <c r="AK973" s="270">
        <f t="shared" si="255"/>
        <v>48675</v>
      </c>
      <c r="AL973" s="270">
        <f t="shared" si="255"/>
        <v>48675</v>
      </c>
      <c r="AM973" s="270">
        <f t="shared" si="255"/>
        <v>48675</v>
      </c>
    </row>
    <row r="974" spans="2:39" ht="15.75" thickBot="1" x14ac:dyDescent="0.35">
      <c r="B974" s="56" t="str">
        <f>input_names!$E$3</f>
        <v>plug-in</v>
      </c>
      <c r="C974" s="61">
        <v>219</v>
      </c>
      <c r="D974" s="270">
        <f t="shared" si="256"/>
        <v>29290</v>
      </c>
      <c r="E974" s="270">
        <f t="shared" si="256"/>
        <v>34306</v>
      </c>
      <c r="F974" s="270">
        <f t="shared" si="256"/>
        <v>53100</v>
      </c>
      <c r="G974" s="270">
        <f t="shared" si="256"/>
        <v>51151</v>
      </c>
      <c r="H974" s="270">
        <f t="shared" si="256"/>
        <v>48869</v>
      </c>
      <c r="I974" s="270">
        <f t="shared" si="256"/>
        <v>48153</v>
      </c>
      <c r="J974" s="270">
        <f t="shared" si="256"/>
        <v>35118</v>
      </c>
      <c r="K974" s="270">
        <f t="shared" si="256"/>
        <v>35462</v>
      </c>
      <c r="L974" s="270">
        <f t="shared" si="256"/>
        <v>37753</v>
      </c>
      <c r="M974" s="270">
        <f t="shared" si="256"/>
        <v>41553</v>
      </c>
      <c r="N974" s="270">
        <f t="shared" si="256"/>
        <v>49243</v>
      </c>
      <c r="O974" s="270">
        <f t="shared" si="256"/>
        <v>49243</v>
      </c>
      <c r="P974" s="270">
        <f t="shared" si="256"/>
        <v>49243</v>
      </c>
      <c r="Q974" s="270">
        <f t="shared" si="256"/>
        <v>49243</v>
      </c>
      <c r="R974" s="270">
        <f t="shared" si="256"/>
        <v>49243</v>
      </c>
      <c r="S974" s="270">
        <f t="shared" si="257"/>
        <v>49243</v>
      </c>
      <c r="T974" s="270">
        <f t="shared" si="257"/>
        <v>49243</v>
      </c>
      <c r="U974" s="270">
        <f t="shared" si="257"/>
        <v>49243</v>
      </c>
      <c r="V974" s="270">
        <f t="shared" si="257"/>
        <v>49243</v>
      </c>
      <c r="W974" s="270">
        <f t="shared" si="257"/>
        <v>49243</v>
      </c>
      <c r="X974" s="270">
        <f t="shared" si="257"/>
        <v>49243</v>
      </c>
      <c r="Y974" s="270">
        <f t="shared" si="257"/>
        <v>49243</v>
      </c>
      <c r="Z974" s="270">
        <f t="shared" si="257"/>
        <v>49243</v>
      </c>
      <c r="AA974" s="270">
        <f t="shared" si="257"/>
        <v>49243</v>
      </c>
      <c r="AB974" s="270">
        <f t="shared" si="257"/>
        <v>49243</v>
      </c>
      <c r="AC974" s="270">
        <f t="shared" si="257"/>
        <v>49243</v>
      </c>
      <c r="AD974" s="270">
        <f t="shared" si="256"/>
        <v>49243</v>
      </c>
      <c r="AE974" s="270">
        <f t="shared" si="252"/>
        <v>49243</v>
      </c>
      <c r="AF974" s="270">
        <f t="shared" si="255"/>
        <v>49243</v>
      </c>
      <c r="AG974" s="270">
        <f t="shared" si="255"/>
        <v>49243</v>
      </c>
      <c r="AH974" s="270">
        <f t="shared" si="255"/>
        <v>49243</v>
      </c>
      <c r="AI974" s="270">
        <f t="shared" si="255"/>
        <v>49243</v>
      </c>
      <c r="AJ974" s="270">
        <f t="shared" si="255"/>
        <v>49243</v>
      </c>
      <c r="AK974" s="270">
        <f t="shared" si="255"/>
        <v>49243</v>
      </c>
      <c r="AL974" s="270">
        <f t="shared" si="255"/>
        <v>49243</v>
      </c>
      <c r="AM974" s="270">
        <f t="shared" si="255"/>
        <v>49243</v>
      </c>
    </row>
    <row r="975" spans="2:39" ht="15.75" thickBot="1" x14ac:dyDescent="0.35">
      <c r="B975" s="56" t="str">
        <f>input_names!$E$3</f>
        <v>plug-in</v>
      </c>
      <c r="C975" s="61">
        <v>220</v>
      </c>
      <c r="D975" s="270">
        <f t="shared" si="256"/>
        <v>29724</v>
      </c>
      <c r="E975" s="270">
        <f t="shared" si="256"/>
        <v>34782</v>
      </c>
      <c r="F975" s="270">
        <f t="shared" si="256"/>
        <v>53400</v>
      </c>
      <c r="G975" s="270">
        <f t="shared" si="256"/>
        <v>51440</v>
      </c>
      <c r="H975" s="270">
        <f t="shared" si="256"/>
        <v>49140</v>
      </c>
      <c r="I975" s="270">
        <f t="shared" si="256"/>
        <v>48420</v>
      </c>
      <c r="J975" s="270">
        <f t="shared" si="256"/>
        <v>35320</v>
      </c>
      <c r="K975" s="270">
        <f t="shared" si="256"/>
        <v>35666</v>
      </c>
      <c r="L975" s="270">
        <f t="shared" si="256"/>
        <v>37970</v>
      </c>
      <c r="M975" s="270">
        <f t="shared" si="256"/>
        <v>41792</v>
      </c>
      <c r="N975" s="270">
        <f t="shared" si="256"/>
        <v>49811</v>
      </c>
      <c r="O975" s="270">
        <f t="shared" si="256"/>
        <v>49811</v>
      </c>
      <c r="P975" s="270">
        <f t="shared" si="256"/>
        <v>49811</v>
      </c>
      <c r="Q975" s="270">
        <f t="shared" si="256"/>
        <v>49811</v>
      </c>
      <c r="R975" s="270">
        <f t="shared" si="256"/>
        <v>49811</v>
      </c>
      <c r="S975" s="270">
        <f t="shared" si="257"/>
        <v>49811</v>
      </c>
      <c r="T975" s="270">
        <f t="shared" si="257"/>
        <v>49811</v>
      </c>
      <c r="U975" s="270">
        <f t="shared" si="257"/>
        <v>49811</v>
      </c>
      <c r="V975" s="270">
        <f t="shared" si="257"/>
        <v>49811</v>
      </c>
      <c r="W975" s="270">
        <f t="shared" si="257"/>
        <v>49811</v>
      </c>
      <c r="X975" s="270">
        <f t="shared" si="257"/>
        <v>49811</v>
      </c>
      <c r="Y975" s="270">
        <f t="shared" si="257"/>
        <v>49811</v>
      </c>
      <c r="Z975" s="270">
        <f t="shared" si="257"/>
        <v>49811</v>
      </c>
      <c r="AA975" s="270">
        <f t="shared" si="257"/>
        <v>49811</v>
      </c>
      <c r="AB975" s="270">
        <f t="shared" si="257"/>
        <v>49811</v>
      </c>
      <c r="AC975" s="270">
        <f t="shared" si="257"/>
        <v>49811</v>
      </c>
      <c r="AD975" s="270">
        <f t="shared" si="256"/>
        <v>49811</v>
      </c>
      <c r="AE975" s="270">
        <f t="shared" si="252"/>
        <v>49811</v>
      </c>
      <c r="AF975" s="270">
        <f t="shared" si="255"/>
        <v>49811</v>
      </c>
      <c r="AG975" s="270">
        <f t="shared" si="255"/>
        <v>49811</v>
      </c>
      <c r="AH975" s="270">
        <f t="shared" si="255"/>
        <v>49811</v>
      </c>
      <c r="AI975" s="270">
        <f t="shared" si="255"/>
        <v>49811</v>
      </c>
      <c r="AJ975" s="270">
        <f t="shared" si="255"/>
        <v>49811</v>
      </c>
      <c r="AK975" s="270">
        <f t="shared" si="255"/>
        <v>49811</v>
      </c>
      <c r="AL975" s="270">
        <f t="shared" si="255"/>
        <v>49811</v>
      </c>
      <c r="AM975" s="270">
        <f t="shared" si="255"/>
        <v>49811</v>
      </c>
    </row>
    <row r="976" spans="2:39" ht="15.75" thickBot="1" x14ac:dyDescent="0.35">
      <c r="B976" s="56" t="str">
        <f>input_names!$E$3</f>
        <v>plug-in</v>
      </c>
      <c r="C976" s="61">
        <v>221</v>
      </c>
      <c r="D976" s="270">
        <f t="shared" si="256"/>
        <v>30158</v>
      </c>
      <c r="E976" s="270">
        <f t="shared" si="256"/>
        <v>35258</v>
      </c>
      <c r="F976" s="270">
        <f t="shared" si="256"/>
        <v>53700</v>
      </c>
      <c r="G976" s="270">
        <f t="shared" si="256"/>
        <v>51729</v>
      </c>
      <c r="H976" s="270">
        <f t="shared" si="256"/>
        <v>49411</v>
      </c>
      <c r="I976" s="270">
        <f t="shared" si="256"/>
        <v>48687</v>
      </c>
      <c r="J976" s="270">
        <f t="shared" si="256"/>
        <v>35522</v>
      </c>
      <c r="K976" s="270">
        <f t="shared" si="256"/>
        <v>35870</v>
      </c>
      <c r="L976" s="270">
        <f t="shared" si="256"/>
        <v>38187</v>
      </c>
      <c r="M976" s="270">
        <f t="shared" si="256"/>
        <v>42031</v>
      </c>
      <c r="N976" s="270">
        <f t="shared" si="256"/>
        <v>50379</v>
      </c>
      <c r="O976" s="270">
        <f t="shared" si="256"/>
        <v>50379</v>
      </c>
      <c r="P976" s="270">
        <f t="shared" si="256"/>
        <v>50379</v>
      </c>
      <c r="Q976" s="270">
        <f t="shared" si="256"/>
        <v>50379</v>
      </c>
      <c r="R976" s="270">
        <f t="shared" si="256"/>
        <v>50379</v>
      </c>
      <c r="S976" s="270">
        <f t="shared" si="257"/>
        <v>50379</v>
      </c>
      <c r="T976" s="270">
        <f t="shared" si="257"/>
        <v>50379</v>
      </c>
      <c r="U976" s="270">
        <f t="shared" si="257"/>
        <v>50379</v>
      </c>
      <c r="V976" s="270">
        <f t="shared" si="257"/>
        <v>50379</v>
      </c>
      <c r="W976" s="270">
        <f t="shared" si="257"/>
        <v>50379</v>
      </c>
      <c r="X976" s="270">
        <f t="shared" si="257"/>
        <v>50379</v>
      </c>
      <c r="Y976" s="270">
        <f t="shared" si="257"/>
        <v>50379</v>
      </c>
      <c r="Z976" s="270">
        <f t="shared" si="257"/>
        <v>50379</v>
      </c>
      <c r="AA976" s="270">
        <f t="shared" si="257"/>
        <v>50379</v>
      </c>
      <c r="AB976" s="270">
        <f t="shared" si="257"/>
        <v>50379</v>
      </c>
      <c r="AC976" s="270">
        <f t="shared" si="257"/>
        <v>50379</v>
      </c>
      <c r="AD976" s="270">
        <f t="shared" si="256"/>
        <v>50379</v>
      </c>
      <c r="AE976" s="270">
        <f t="shared" si="252"/>
        <v>50379</v>
      </c>
      <c r="AF976" s="270">
        <f t="shared" si="255"/>
        <v>50379</v>
      </c>
      <c r="AG976" s="270">
        <f t="shared" si="255"/>
        <v>50379</v>
      </c>
      <c r="AH976" s="270">
        <f t="shared" si="255"/>
        <v>50379</v>
      </c>
      <c r="AI976" s="270">
        <f t="shared" si="255"/>
        <v>50379</v>
      </c>
      <c r="AJ976" s="270">
        <f t="shared" si="255"/>
        <v>50379</v>
      </c>
      <c r="AK976" s="270">
        <f t="shared" si="255"/>
        <v>50379</v>
      </c>
      <c r="AL976" s="270">
        <f t="shared" si="255"/>
        <v>50379</v>
      </c>
      <c r="AM976" s="270">
        <f t="shared" si="255"/>
        <v>50379</v>
      </c>
    </row>
    <row r="977" spans="2:39" ht="15.75" thickBot="1" x14ac:dyDescent="0.35">
      <c r="B977" s="56" t="str">
        <f>input_names!$E$3</f>
        <v>plug-in</v>
      </c>
      <c r="C977" s="61">
        <v>222</v>
      </c>
      <c r="D977" s="270">
        <f t="shared" si="256"/>
        <v>30592</v>
      </c>
      <c r="E977" s="270">
        <f t="shared" si="256"/>
        <v>35734</v>
      </c>
      <c r="F977" s="270">
        <f t="shared" si="256"/>
        <v>54000</v>
      </c>
      <c r="G977" s="270">
        <f t="shared" si="256"/>
        <v>52018</v>
      </c>
      <c r="H977" s="270">
        <f t="shared" si="256"/>
        <v>49682</v>
      </c>
      <c r="I977" s="270">
        <f t="shared" si="256"/>
        <v>48954</v>
      </c>
      <c r="J977" s="270">
        <f t="shared" si="256"/>
        <v>35724</v>
      </c>
      <c r="K977" s="270">
        <f t="shared" si="256"/>
        <v>36074</v>
      </c>
      <c r="L977" s="270">
        <f t="shared" si="256"/>
        <v>38404</v>
      </c>
      <c r="M977" s="270">
        <f t="shared" si="256"/>
        <v>42270</v>
      </c>
      <c r="N977" s="270">
        <f t="shared" si="256"/>
        <v>50947</v>
      </c>
      <c r="O977" s="270">
        <f t="shared" si="256"/>
        <v>50947</v>
      </c>
      <c r="P977" s="270">
        <f t="shared" si="256"/>
        <v>50947</v>
      </c>
      <c r="Q977" s="270">
        <f t="shared" si="256"/>
        <v>50947</v>
      </c>
      <c r="R977" s="270">
        <f t="shared" si="256"/>
        <v>50947</v>
      </c>
      <c r="S977" s="270">
        <f>+MIN(MAX(0,$C977-S$28),S$29-S$28)*S$34
+MIN(MAX(0,$C977-S$29),S$30-S$29)*S$35
+MIN(MAX(0,$C977-S$30),S$31-S$30)*S$36
+MIN(MAX(0,$C977-S$31),S$32-S$31)*S$37
+MAX(0,$C977-S$32)*S$38
+S$39</f>
        <v>50947</v>
      </c>
      <c r="T977" s="270">
        <f t="shared" si="257"/>
        <v>50947</v>
      </c>
      <c r="U977" s="270">
        <f t="shared" si="257"/>
        <v>50947</v>
      </c>
      <c r="V977" s="270">
        <f t="shared" si="257"/>
        <v>50947</v>
      </c>
      <c r="W977" s="270">
        <f t="shared" si="257"/>
        <v>50947</v>
      </c>
      <c r="X977" s="270">
        <f t="shared" si="257"/>
        <v>50947</v>
      </c>
      <c r="Y977" s="270">
        <f t="shared" si="257"/>
        <v>50947</v>
      </c>
      <c r="Z977" s="270">
        <f t="shared" si="257"/>
        <v>50947</v>
      </c>
      <c r="AA977" s="270">
        <f t="shared" si="257"/>
        <v>50947</v>
      </c>
      <c r="AB977" s="270">
        <f t="shared" si="257"/>
        <v>50947</v>
      </c>
      <c r="AC977" s="270">
        <f t="shared" si="257"/>
        <v>50947</v>
      </c>
      <c r="AD977" s="270">
        <f>+MIN(MAX(0,$C977-AD$28),AD$29-AD$28)*AD$34
+MIN(MAX(0,$C977-AD$29),AD$30-AD$29)*AD$35
+MIN(MAX(0,$C977-AD$30),AD$31-AD$30)*AD$36
+MIN(MAX(0,$C977-AD$31),AD$32-AD$31)*AD$37
+MAX(0,$C977-AD$32)*AD$38
+AD$39</f>
        <v>50947</v>
      </c>
      <c r="AE977" s="270">
        <f t="shared" si="252"/>
        <v>50947</v>
      </c>
      <c r="AF977" s="270">
        <f t="shared" si="255"/>
        <v>50947</v>
      </c>
      <c r="AG977" s="270">
        <f t="shared" si="255"/>
        <v>50947</v>
      </c>
      <c r="AH977" s="270">
        <f t="shared" si="255"/>
        <v>50947</v>
      </c>
      <c r="AI977" s="270">
        <f t="shared" si="255"/>
        <v>50947</v>
      </c>
      <c r="AJ977" s="270">
        <f t="shared" si="255"/>
        <v>50947</v>
      </c>
      <c r="AK977" s="270">
        <f t="shared" si="255"/>
        <v>50947</v>
      </c>
      <c r="AL977" s="270">
        <f t="shared" si="255"/>
        <v>50947</v>
      </c>
      <c r="AM977" s="270">
        <f t="shared" si="255"/>
        <v>50947</v>
      </c>
    </row>
    <row r="978" spans="2:39" ht="15.75" thickBot="1" x14ac:dyDescent="0.35">
      <c r="B978" s="56" t="str">
        <f>input_names!$E$3</f>
        <v>plug-in</v>
      </c>
      <c r="C978" s="61">
        <v>223</v>
      </c>
      <c r="D978" s="270">
        <f t="shared" ref="D978:AD993" si="258">+MIN(MAX(0,$C978-D$28),D$29-D$28)*D$34
+MIN(MAX(0,$C978-D$29),D$30-D$29)*D$35
+MIN(MAX(0,$C978-D$30),D$31-D$30)*D$36
+MIN(MAX(0,$C978-D$31),D$32-D$31)*D$37
+MAX(0,$C978-D$32)*D$38
+D$39</f>
        <v>31026</v>
      </c>
      <c r="E978" s="270">
        <f t="shared" si="258"/>
        <v>36210</v>
      </c>
      <c r="F978" s="270">
        <f t="shared" si="258"/>
        <v>54300</v>
      </c>
      <c r="G978" s="270">
        <f t="shared" si="258"/>
        <v>52307</v>
      </c>
      <c r="H978" s="270">
        <f t="shared" si="258"/>
        <v>49953</v>
      </c>
      <c r="I978" s="270">
        <f t="shared" si="258"/>
        <v>49221</v>
      </c>
      <c r="J978" s="270">
        <f t="shared" si="258"/>
        <v>35926</v>
      </c>
      <c r="K978" s="270">
        <f t="shared" si="258"/>
        <v>36278</v>
      </c>
      <c r="L978" s="270">
        <f t="shared" si="258"/>
        <v>38621</v>
      </c>
      <c r="M978" s="270">
        <f t="shared" si="258"/>
        <v>42509</v>
      </c>
      <c r="N978" s="270">
        <f t="shared" si="258"/>
        <v>51515</v>
      </c>
      <c r="O978" s="270">
        <f t="shared" si="258"/>
        <v>51515</v>
      </c>
      <c r="P978" s="270">
        <f t="shared" si="258"/>
        <v>51515</v>
      </c>
      <c r="Q978" s="270">
        <f t="shared" si="258"/>
        <v>51515</v>
      </c>
      <c r="R978" s="270">
        <f t="shared" si="258"/>
        <v>51515</v>
      </c>
      <c r="S978" s="270">
        <f t="shared" ref="S978:AC993" si="259">+MIN(MAX(0,$C978-S$28),S$29-S$28)*S$34
+MIN(MAX(0,$C978-S$29),S$30-S$29)*S$35
+MIN(MAX(0,$C978-S$30),S$31-S$30)*S$36
+MIN(MAX(0,$C978-S$31),S$32-S$31)*S$37
+MAX(0,$C978-S$32)*S$38
+S$39</f>
        <v>51515</v>
      </c>
      <c r="T978" s="270">
        <f t="shared" si="259"/>
        <v>51515</v>
      </c>
      <c r="U978" s="270">
        <f t="shared" si="259"/>
        <v>51515</v>
      </c>
      <c r="V978" s="270">
        <f t="shared" si="259"/>
        <v>51515</v>
      </c>
      <c r="W978" s="270">
        <f t="shared" si="259"/>
        <v>51515</v>
      </c>
      <c r="X978" s="270">
        <f t="shared" si="259"/>
        <v>51515</v>
      </c>
      <c r="Y978" s="270">
        <f t="shared" si="259"/>
        <v>51515</v>
      </c>
      <c r="Z978" s="270">
        <f t="shared" si="259"/>
        <v>51515</v>
      </c>
      <c r="AA978" s="270">
        <f t="shared" si="259"/>
        <v>51515</v>
      </c>
      <c r="AB978" s="270">
        <f t="shared" si="259"/>
        <v>51515</v>
      </c>
      <c r="AC978" s="270">
        <f t="shared" si="259"/>
        <v>51515</v>
      </c>
      <c r="AD978" s="270">
        <f t="shared" si="258"/>
        <v>51515</v>
      </c>
      <c r="AE978" s="270">
        <f t="shared" si="252"/>
        <v>51515</v>
      </c>
      <c r="AF978" s="270">
        <f t="shared" si="255"/>
        <v>51515</v>
      </c>
      <c r="AG978" s="270">
        <f t="shared" si="255"/>
        <v>51515</v>
      </c>
      <c r="AH978" s="270">
        <f t="shared" si="255"/>
        <v>51515</v>
      </c>
      <c r="AI978" s="270">
        <f t="shared" si="255"/>
        <v>51515</v>
      </c>
      <c r="AJ978" s="270">
        <f t="shared" si="255"/>
        <v>51515</v>
      </c>
      <c r="AK978" s="270">
        <f t="shared" si="255"/>
        <v>51515</v>
      </c>
      <c r="AL978" s="270">
        <f t="shared" si="255"/>
        <v>51515</v>
      </c>
      <c r="AM978" s="270">
        <f t="shared" si="255"/>
        <v>51515</v>
      </c>
    </row>
    <row r="979" spans="2:39" ht="15.75" thickBot="1" x14ac:dyDescent="0.35">
      <c r="B979" s="56" t="str">
        <f>input_names!$E$3</f>
        <v>plug-in</v>
      </c>
      <c r="C979" s="61">
        <v>224</v>
      </c>
      <c r="D979" s="270">
        <f t="shared" si="258"/>
        <v>31460</v>
      </c>
      <c r="E979" s="270">
        <f t="shared" si="258"/>
        <v>36686</v>
      </c>
      <c r="F979" s="270">
        <f t="shared" si="258"/>
        <v>54600</v>
      </c>
      <c r="G979" s="270">
        <f t="shared" si="258"/>
        <v>52596</v>
      </c>
      <c r="H979" s="270">
        <f t="shared" si="258"/>
        <v>50224</v>
      </c>
      <c r="I979" s="270">
        <f t="shared" si="258"/>
        <v>49488</v>
      </c>
      <c r="J979" s="270">
        <f t="shared" si="258"/>
        <v>36128</v>
      </c>
      <c r="K979" s="270">
        <f t="shared" si="258"/>
        <v>36482</v>
      </c>
      <c r="L979" s="270">
        <f t="shared" si="258"/>
        <v>38838</v>
      </c>
      <c r="M979" s="270">
        <f t="shared" si="258"/>
        <v>42748</v>
      </c>
      <c r="N979" s="270">
        <f t="shared" si="258"/>
        <v>52083</v>
      </c>
      <c r="O979" s="270">
        <f t="shared" si="258"/>
        <v>52083</v>
      </c>
      <c r="P979" s="270">
        <f t="shared" si="258"/>
        <v>52083</v>
      </c>
      <c r="Q979" s="270">
        <f t="shared" si="258"/>
        <v>52083</v>
      </c>
      <c r="R979" s="270">
        <f t="shared" si="258"/>
        <v>52083</v>
      </c>
      <c r="S979" s="270">
        <f t="shared" si="259"/>
        <v>52083</v>
      </c>
      <c r="T979" s="270">
        <f t="shared" si="259"/>
        <v>52083</v>
      </c>
      <c r="U979" s="270">
        <f t="shared" si="259"/>
        <v>52083</v>
      </c>
      <c r="V979" s="270">
        <f t="shared" si="259"/>
        <v>52083</v>
      </c>
      <c r="W979" s="270">
        <f t="shared" si="259"/>
        <v>52083</v>
      </c>
      <c r="X979" s="270">
        <f t="shared" si="259"/>
        <v>52083</v>
      </c>
      <c r="Y979" s="270">
        <f t="shared" si="259"/>
        <v>52083</v>
      </c>
      <c r="Z979" s="270">
        <f t="shared" si="259"/>
        <v>52083</v>
      </c>
      <c r="AA979" s="270">
        <f t="shared" si="259"/>
        <v>52083</v>
      </c>
      <c r="AB979" s="270">
        <f t="shared" si="259"/>
        <v>52083</v>
      </c>
      <c r="AC979" s="270">
        <f t="shared" si="259"/>
        <v>52083</v>
      </c>
      <c r="AD979" s="270">
        <f t="shared" si="258"/>
        <v>52083</v>
      </c>
      <c r="AE979" s="270">
        <f t="shared" si="252"/>
        <v>52083</v>
      </c>
      <c r="AF979" s="270">
        <f t="shared" si="255"/>
        <v>52083</v>
      </c>
      <c r="AG979" s="270">
        <f t="shared" si="255"/>
        <v>52083</v>
      </c>
      <c r="AH979" s="270">
        <f t="shared" si="255"/>
        <v>52083</v>
      </c>
      <c r="AI979" s="270">
        <f t="shared" si="255"/>
        <v>52083</v>
      </c>
      <c r="AJ979" s="270">
        <f t="shared" si="255"/>
        <v>52083</v>
      </c>
      <c r="AK979" s="270">
        <f t="shared" si="255"/>
        <v>52083</v>
      </c>
      <c r="AL979" s="270">
        <f t="shared" si="255"/>
        <v>52083</v>
      </c>
      <c r="AM979" s="270">
        <f t="shared" si="255"/>
        <v>52083</v>
      </c>
    </row>
    <row r="980" spans="2:39" ht="15.75" thickBot="1" x14ac:dyDescent="0.35">
      <c r="B980" s="56" t="str">
        <f>input_names!$E$3</f>
        <v>plug-in</v>
      </c>
      <c r="C980" s="61">
        <v>225</v>
      </c>
      <c r="D980" s="270">
        <f t="shared" si="258"/>
        <v>31894</v>
      </c>
      <c r="E980" s="270">
        <f t="shared" si="258"/>
        <v>37162</v>
      </c>
      <c r="F980" s="270">
        <f t="shared" si="258"/>
        <v>54900</v>
      </c>
      <c r="G980" s="270">
        <f t="shared" si="258"/>
        <v>52885</v>
      </c>
      <c r="H980" s="270">
        <f t="shared" si="258"/>
        <v>50495</v>
      </c>
      <c r="I980" s="270">
        <f t="shared" si="258"/>
        <v>49755</v>
      </c>
      <c r="J980" s="270">
        <f t="shared" si="258"/>
        <v>36330</v>
      </c>
      <c r="K980" s="270">
        <f t="shared" si="258"/>
        <v>36686</v>
      </c>
      <c r="L980" s="270">
        <f t="shared" si="258"/>
        <v>39055</v>
      </c>
      <c r="M980" s="270">
        <f t="shared" si="258"/>
        <v>42987</v>
      </c>
      <c r="N980" s="270">
        <f t="shared" si="258"/>
        <v>52651</v>
      </c>
      <c r="O980" s="270">
        <f t="shared" si="258"/>
        <v>52651</v>
      </c>
      <c r="P980" s="270">
        <f t="shared" si="258"/>
        <v>52651</v>
      </c>
      <c r="Q980" s="270">
        <f t="shared" si="258"/>
        <v>52651</v>
      </c>
      <c r="R980" s="270">
        <f t="shared" si="258"/>
        <v>52651</v>
      </c>
      <c r="S980" s="270">
        <f t="shared" si="259"/>
        <v>52651</v>
      </c>
      <c r="T980" s="270">
        <f t="shared" si="259"/>
        <v>52651</v>
      </c>
      <c r="U980" s="270">
        <f t="shared" si="259"/>
        <v>52651</v>
      </c>
      <c r="V980" s="270">
        <f t="shared" si="259"/>
        <v>52651</v>
      </c>
      <c r="W980" s="270">
        <f t="shared" si="259"/>
        <v>52651</v>
      </c>
      <c r="X980" s="270">
        <f t="shared" si="259"/>
        <v>52651</v>
      </c>
      <c r="Y980" s="270">
        <f t="shared" si="259"/>
        <v>52651</v>
      </c>
      <c r="Z980" s="270">
        <f t="shared" si="259"/>
        <v>52651</v>
      </c>
      <c r="AA980" s="270">
        <f t="shared" si="259"/>
        <v>52651</v>
      </c>
      <c r="AB980" s="270">
        <f t="shared" si="259"/>
        <v>52651</v>
      </c>
      <c r="AC980" s="270">
        <f t="shared" si="259"/>
        <v>52651</v>
      </c>
      <c r="AD980" s="270">
        <f t="shared" si="258"/>
        <v>52651</v>
      </c>
      <c r="AE980" s="270">
        <f t="shared" si="252"/>
        <v>52651</v>
      </c>
      <c r="AF980" s="270">
        <f t="shared" si="255"/>
        <v>52651</v>
      </c>
      <c r="AG980" s="270">
        <f t="shared" si="255"/>
        <v>52651</v>
      </c>
      <c r="AH980" s="270">
        <f t="shared" si="255"/>
        <v>52651</v>
      </c>
      <c r="AI980" s="270">
        <f t="shared" si="255"/>
        <v>52651</v>
      </c>
      <c r="AJ980" s="270">
        <f t="shared" si="255"/>
        <v>52651</v>
      </c>
      <c r="AK980" s="270">
        <f t="shared" si="255"/>
        <v>52651</v>
      </c>
      <c r="AL980" s="270">
        <f t="shared" si="255"/>
        <v>52651</v>
      </c>
      <c r="AM980" s="270">
        <f t="shared" si="255"/>
        <v>52651</v>
      </c>
    </row>
    <row r="981" spans="2:39" ht="15.75" thickBot="1" x14ac:dyDescent="0.35">
      <c r="B981" s="56" t="str">
        <f>input_names!$E$3</f>
        <v>plug-in</v>
      </c>
      <c r="C981" s="61">
        <v>226</v>
      </c>
      <c r="D981" s="270">
        <f t="shared" si="258"/>
        <v>32328</v>
      </c>
      <c r="E981" s="270">
        <f t="shared" si="258"/>
        <v>37638</v>
      </c>
      <c r="F981" s="270">
        <f t="shared" si="258"/>
        <v>55200</v>
      </c>
      <c r="G981" s="270">
        <f t="shared" si="258"/>
        <v>53174</v>
      </c>
      <c r="H981" s="270">
        <f t="shared" si="258"/>
        <v>50766</v>
      </c>
      <c r="I981" s="270">
        <f t="shared" si="258"/>
        <v>50022</v>
      </c>
      <c r="J981" s="270">
        <f t="shared" si="258"/>
        <v>36532</v>
      </c>
      <c r="K981" s="270">
        <f t="shared" si="258"/>
        <v>36890</v>
      </c>
      <c r="L981" s="270">
        <f t="shared" si="258"/>
        <v>39272</v>
      </c>
      <c r="M981" s="270">
        <f t="shared" si="258"/>
        <v>43226</v>
      </c>
      <c r="N981" s="270">
        <f t="shared" si="258"/>
        <v>53219</v>
      </c>
      <c r="O981" s="270">
        <f t="shared" si="258"/>
        <v>53219</v>
      </c>
      <c r="P981" s="270">
        <f t="shared" si="258"/>
        <v>53219</v>
      </c>
      <c r="Q981" s="270">
        <f t="shared" si="258"/>
        <v>53219</v>
      </c>
      <c r="R981" s="270">
        <f t="shared" si="258"/>
        <v>53219</v>
      </c>
      <c r="S981" s="270">
        <f t="shared" si="259"/>
        <v>53219</v>
      </c>
      <c r="T981" s="270">
        <f t="shared" si="259"/>
        <v>53219</v>
      </c>
      <c r="U981" s="270">
        <f t="shared" si="259"/>
        <v>53219</v>
      </c>
      <c r="V981" s="270">
        <f t="shared" si="259"/>
        <v>53219</v>
      </c>
      <c r="W981" s="270">
        <f t="shared" si="259"/>
        <v>53219</v>
      </c>
      <c r="X981" s="270">
        <f t="shared" si="259"/>
        <v>53219</v>
      </c>
      <c r="Y981" s="270">
        <f t="shared" si="259"/>
        <v>53219</v>
      </c>
      <c r="Z981" s="270">
        <f t="shared" si="259"/>
        <v>53219</v>
      </c>
      <c r="AA981" s="270">
        <f t="shared" si="259"/>
        <v>53219</v>
      </c>
      <c r="AB981" s="270">
        <f t="shared" si="259"/>
        <v>53219</v>
      </c>
      <c r="AC981" s="270">
        <f t="shared" si="259"/>
        <v>53219</v>
      </c>
      <c r="AD981" s="270">
        <f t="shared" si="258"/>
        <v>53219</v>
      </c>
      <c r="AE981" s="270">
        <f t="shared" si="252"/>
        <v>53219</v>
      </c>
      <c r="AF981" s="270">
        <f t="shared" si="255"/>
        <v>53219</v>
      </c>
      <c r="AG981" s="270">
        <f t="shared" si="255"/>
        <v>53219</v>
      </c>
      <c r="AH981" s="270">
        <f t="shared" si="255"/>
        <v>53219</v>
      </c>
      <c r="AI981" s="270">
        <f t="shared" si="255"/>
        <v>53219</v>
      </c>
      <c r="AJ981" s="270">
        <f t="shared" ref="AF981:AM1009" si="260">+MIN(MAX(0,$C981-AJ$28),AJ$29-AJ$28)*AJ$34
+MIN(MAX(0,$C981-AJ$29),AJ$30-AJ$29)*AJ$35
+MIN(MAX(0,$C981-AJ$30),AJ$31-AJ$30)*AJ$36
+MIN(MAX(0,$C981-AJ$31),AJ$32-AJ$31)*AJ$37
+MAX(0,$C981-AJ$32)*AJ$38
+AJ$39</f>
        <v>53219</v>
      </c>
      <c r="AK981" s="270">
        <f t="shared" si="260"/>
        <v>53219</v>
      </c>
      <c r="AL981" s="270">
        <f t="shared" si="260"/>
        <v>53219</v>
      </c>
      <c r="AM981" s="270">
        <f t="shared" si="260"/>
        <v>53219</v>
      </c>
    </row>
    <row r="982" spans="2:39" ht="15.75" thickBot="1" x14ac:dyDescent="0.35">
      <c r="B982" s="56" t="str">
        <f>input_names!$E$3</f>
        <v>plug-in</v>
      </c>
      <c r="C982" s="61">
        <v>227</v>
      </c>
      <c r="D982" s="270">
        <f t="shared" si="258"/>
        <v>32762</v>
      </c>
      <c r="E982" s="270">
        <f t="shared" si="258"/>
        <v>38114</v>
      </c>
      <c r="F982" s="270">
        <f t="shared" si="258"/>
        <v>55500</v>
      </c>
      <c r="G982" s="270">
        <f t="shared" si="258"/>
        <v>53463</v>
      </c>
      <c r="H982" s="270">
        <f t="shared" si="258"/>
        <v>51037</v>
      </c>
      <c r="I982" s="270">
        <f t="shared" si="258"/>
        <v>50289</v>
      </c>
      <c r="J982" s="270">
        <f t="shared" si="258"/>
        <v>36734</v>
      </c>
      <c r="K982" s="270">
        <f t="shared" si="258"/>
        <v>37094</v>
      </c>
      <c r="L982" s="270">
        <f t="shared" si="258"/>
        <v>39489</v>
      </c>
      <c r="M982" s="270">
        <f t="shared" si="258"/>
        <v>43465</v>
      </c>
      <c r="N982" s="270">
        <f t="shared" si="258"/>
        <v>53787</v>
      </c>
      <c r="O982" s="270">
        <f t="shared" si="258"/>
        <v>53787</v>
      </c>
      <c r="P982" s="270">
        <f t="shared" si="258"/>
        <v>53787</v>
      </c>
      <c r="Q982" s="270">
        <f t="shared" si="258"/>
        <v>53787</v>
      </c>
      <c r="R982" s="270">
        <f t="shared" si="258"/>
        <v>53787</v>
      </c>
      <c r="S982" s="270">
        <f t="shared" si="259"/>
        <v>53787</v>
      </c>
      <c r="T982" s="270">
        <f t="shared" si="259"/>
        <v>53787</v>
      </c>
      <c r="U982" s="270">
        <f t="shared" si="259"/>
        <v>53787</v>
      </c>
      <c r="V982" s="270">
        <f t="shared" si="259"/>
        <v>53787</v>
      </c>
      <c r="W982" s="270">
        <f t="shared" si="259"/>
        <v>53787</v>
      </c>
      <c r="X982" s="270">
        <f t="shared" si="259"/>
        <v>53787</v>
      </c>
      <c r="Y982" s="270">
        <f t="shared" si="259"/>
        <v>53787</v>
      </c>
      <c r="Z982" s="270">
        <f t="shared" si="259"/>
        <v>53787</v>
      </c>
      <c r="AA982" s="270">
        <f t="shared" si="259"/>
        <v>53787</v>
      </c>
      <c r="AB982" s="270">
        <f t="shared" si="259"/>
        <v>53787</v>
      </c>
      <c r="AC982" s="270">
        <f t="shared" si="259"/>
        <v>53787</v>
      </c>
      <c r="AD982" s="270">
        <f t="shared" si="258"/>
        <v>53787</v>
      </c>
      <c r="AE982" s="270">
        <f t="shared" si="252"/>
        <v>53787</v>
      </c>
      <c r="AF982" s="270">
        <f t="shared" si="260"/>
        <v>53787</v>
      </c>
      <c r="AG982" s="270">
        <f t="shared" si="260"/>
        <v>53787</v>
      </c>
      <c r="AH982" s="270">
        <f t="shared" si="260"/>
        <v>53787</v>
      </c>
      <c r="AI982" s="270">
        <f t="shared" si="260"/>
        <v>53787</v>
      </c>
      <c r="AJ982" s="270">
        <f t="shared" si="260"/>
        <v>53787</v>
      </c>
      <c r="AK982" s="270">
        <f t="shared" si="260"/>
        <v>53787</v>
      </c>
      <c r="AL982" s="270">
        <f t="shared" si="260"/>
        <v>53787</v>
      </c>
      <c r="AM982" s="270">
        <f t="shared" si="260"/>
        <v>53787</v>
      </c>
    </row>
    <row r="983" spans="2:39" ht="15.75" thickBot="1" x14ac:dyDescent="0.35">
      <c r="B983" s="56" t="str">
        <f>input_names!$E$3</f>
        <v>plug-in</v>
      </c>
      <c r="C983" s="61">
        <v>228</v>
      </c>
      <c r="D983" s="270">
        <f t="shared" si="258"/>
        <v>33196</v>
      </c>
      <c r="E983" s="270">
        <f t="shared" si="258"/>
        <v>38590</v>
      </c>
      <c r="F983" s="270">
        <f t="shared" si="258"/>
        <v>55800</v>
      </c>
      <c r="G983" s="270">
        <f t="shared" si="258"/>
        <v>53752</v>
      </c>
      <c r="H983" s="270">
        <f t="shared" si="258"/>
        <v>51308</v>
      </c>
      <c r="I983" s="270">
        <f t="shared" si="258"/>
        <v>50556</v>
      </c>
      <c r="J983" s="270">
        <f t="shared" si="258"/>
        <v>36936</v>
      </c>
      <c r="K983" s="270">
        <f t="shared" si="258"/>
        <v>37298</v>
      </c>
      <c r="L983" s="270">
        <f t="shared" si="258"/>
        <v>39706</v>
      </c>
      <c r="M983" s="270">
        <f t="shared" si="258"/>
        <v>43704</v>
      </c>
      <c r="N983" s="270">
        <f t="shared" si="258"/>
        <v>54355</v>
      </c>
      <c r="O983" s="270">
        <f t="shared" si="258"/>
        <v>54355</v>
      </c>
      <c r="P983" s="270">
        <f t="shared" si="258"/>
        <v>54355</v>
      </c>
      <c r="Q983" s="270">
        <f t="shared" si="258"/>
        <v>54355</v>
      </c>
      <c r="R983" s="270">
        <f t="shared" si="258"/>
        <v>54355</v>
      </c>
      <c r="S983" s="270">
        <f t="shared" si="259"/>
        <v>54355</v>
      </c>
      <c r="T983" s="270">
        <f t="shared" si="259"/>
        <v>54355</v>
      </c>
      <c r="U983" s="270">
        <f t="shared" si="259"/>
        <v>54355</v>
      </c>
      <c r="V983" s="270">
        <f t="shared" si="259"/>
        <v>54355</v>
      </c>
      <c r="W983" s="270">
        <f t="shared" si="259"/>
        <v>54355</v>
      </c>
      <c r="X983" s="270">
        <f t="shared" si="259"/>
        <v>54355</v>
      </c>
      <c r="Y983" s="270">
        <f t="shared" si="259"/>
        <v>54355</v>
      </c>
      <c r="Z983" s="270">
        <f t="shared" si="259"/>
        <v>54355</v>
      </c>
      <c r="AA983" s="270">
        <f t="shared" si="259"/>
        <v>54355</v>
      </c>
      <c r="AB983" s="270">
        <f t="shared" si="259"/>
        <v>54355</v>
      </c>
      <c r="AC983" s="270">
        <f t="shared" si="259"/>
        <v>54355</v>
      </c>
      <c r="AD983" s="270">
        <f t="shared" si="258"/>
        <v>54355</v>
      </c>
      <c r="AE983" s="270">
        <f t="shared" si="252"/>
        <v>54355</v>
      </c>
      <c r="AF983" s="270">
        <f t="shared" si="260"/>
        <v>54355</v>
      </c>
      <c r="AG983" s="270">
        <f t="shared" si="260"/>
        <v>54355</v>
      </c>
      <c r="AH983" s="270">
        <f t="shared" si="260"/>
        <v>54355</v>
      </c>
      <c r="AI983" s="270">
        <f t="shared" si="260"/>
        <v>54355</v>
      </c>
      <c r="AJ983" s="270">
        <f t="shared" si="260"/>
        <v>54355</v>
      </c>
      <c r="AK983" s="270">
        <f t="shared" si="260"/>
        <v>54355</v>
      </c>
      <c r="AL983" s="270">
        <f t="shared" si="260"/>
        <v>54355</v>
      </c>
      <c r="AM983" s="270">
        <f t="shared" si="260"/>
        <v>54355</v>
      </c>
    </row>
    <row r="984" spans="2:39" ht="15.75" thickBot="1" x14ac:dyDescent="0.35">
      <c r="B984" s="56" t="str">
        <f>input_names!$E$3</f>
        <v>plug-in</v>
      </c>
      <c r="C984" s="61">
        <v>229</v>
      </c>
      <c r="D984" s="270">
        <f t="shared" si="258"/>
        <v>33630</v>
      </c>
      <c r="E984" s="270">
        <f t="shared" si="258"/>
        <v>39066</v>
      </c>
      <c r="F984" s="270">
        <f t="shared" si="258"/>
        <v>56100</v>
      </c>
      <c r="G984" s="270">
        <f t="shared" si="258"/>
        <v>54041</v>
      </c>
      <c r="H984" s="270">
        <f t="shared" si="258"/>
        <v>51579</v>
      </c>
      <c r="I984" s="270">
        <f t="shared" si="258"/>
        <v>50823</v>
      </c>
      <c r="J984" s="270">
        <f t="shared" si="258"/>
        <v>37138</v>
      </c>
      <c r="K984" s="270">
        <f t="shared" si="258"/>
        <v>37502</v>
      </c>
      <c r="L984" s="270">
        <f t="shared" si="258"/>
        <v>39923</v>
      </c>
      <c r="M984" s="270">
        <f t="shared" si="258"/>
        <v>43943</v>
      </c>
      <c r="N984" s="270">
        <f t="shared" si="258"/>
        <v>54923</v>
      </c>
      <c r="O984" s="270">
        <f t="shared" si="258"/>
        <v>54923</v>
      </c>
      <c r="P984" s="270">
        <f t="shared" si="258"/>
        <v>54923</v>
      </c>
      <c r="Q984" s="270">
        <f t="shared" si="258"/>
        <v>54923</v>
      </c>
      <c r="R984" s="270">
        <f t="shared" si="258"/>
        <v>54923</v>
      </c>
      <c r="S984" s="270">
        <f t="shared" si="259"/>
        <v>54923</v>
      </c>
      <c r="T984" s="270">
        <f t="shared" si="259"/>
        <v>54923</v>
      </c>
      <c r="U984" s="270">
        <f t="shared" si="259"/>
        <v>54923</v>
      </c>
      <c r="V984" s="270">
        <f t="shared" si="259"/>
        <v>54923</v>
      </c>
      <c r="W984" s="270">
        <f t="shared" si="259"/>
        <v>54923</v>
      </c>
      <c r="X984" s="270">
        <f t="shared" si="259"/>
        <v>54923</v>
      </c>
      <c r="Y984" s="270">
        <f t="shared" si="259"/>
        <v>54923</v>
      </c>
      <c r="Z984" s="270">
        <f t="shared" si="259"/>
        <v>54923</v>
      </c>
      <c r="AA984" s="270">
        <f t="shared" si="259"/>
        <v>54923</v>
      </c>
      <c r="AB984" s="270">
        <f t="shared" si="259"/>
        <v>54923</v>
      </c>
      <c r="AC984" s="270">
        <f t="shared" si="259"/>
        <v>54923</v>
      </c>
      <c r="AD984" s="270">
        <f t="shared" si="258"/>
        <v>54923</v>
      </c>
      <c r="AE984" s="270">
        <f t="shared" si="252"/>
        <v>54923</v>
      </c>
      <c r="AF984" s="270">
        <f t="shared" si="260"/>
        <v>54923</v>
      </c>
      <c r="AG984" s="270">
        <f t="shared" si="260"/>
        <v>54923</v>
      </c>
      <c r="AH984" s="270">
        <f t="shared" si="260"/>
        <v>54923</v>
      </c>
      <c r="AI984" s="270">
        <f t="shared" si="260"/>
        <v>54923</v>
      </c>
      <c r="AJ984" s="270">
        <f t="shared" si="260"/>
        <v>54923</v>
      </c>
      <c r="AK984" s="270">
        <f t="shared" si="260"/>
        <v>54923</v>
      </c>
      <c r="AL984" s="270">
        <f t="shared" si="260"/>
        <v>54923</v>
      </c>
      <c r="AM984" s="270">
        <f t="shared" si="260"/>
        <v>54923</v>
      </c>
    </row>
    <row r="985" spans="2:39" ht="15.75" thickBot="1" x14ac:dyDescent="0.35">
      <c r="B985" s="56" t="str">
        <f>input_names!$E$3</f>
        <v>plug-in</v>
      </c>
      <c r="C985" s="61">
        <v>230</v>
      </c>
      <c r="D985" s="270">
        <f t="shared" si="258"/>
        <v>34064</v>
      </c>
      <c r="E985" s="270">
        <f t="shared" si="258"/>
        <v>39542</v>
      </c>
      <c r="F985" s="270">
        <f t="shared" si="258"/>
        <v>56400</v>
      </c>
      <c r="G985" s="270">
        <f t="shared" si="258"/>
        <v>54330</v>
      </c>
      <c r="H985" s="270">
        <f t="shared" si="258"/>
        <v>51850</v>
      </c>
      <c r="I985" s="270">
        <f t="shared" si="258"/>
        <v>51090</v>
      </c>
      <c r="J985" s="270">
        <f t="shared" si="258"/>
        <v>37340</v>
      </c>
      <c r="K985" s="270">
        <f t="shared" si="258"/>
        <v>37706</v>
      </c>
      <c r="L985" s="270">
        <f t="shared" si="258"/>
        <v>40140</v>
      </c>
      <c r="M985" s="270">
        <f t="shared" si="258"/>
        <v>44182</v>
      </c>
      <c r="N985" s="270">
        <f t="shared" si="258"/>
        <v>55491</v>
      </c>
      <c r="O985" s="270">
        <f t="shared" si="258"/>
        <v>55491</v>
      </c>
      <c r="P985" s="270">
        <f t="shared" si="258"/>
        <v>55491</v>
      </c>
      <c r="Q985" s="270">
        <f t="shared" si="258"/>
        <v>55491</v>
      </c>
      <c r="R985" s="270">
        <f t="shared" si="258"/>
        <v>55491</v>
      </c>
      <c r="S985" s="270">
        <f t="shared" si="259"/>
        <v>55491</v>
      </c>
      <c r="T985" s="270">
        <f t="shared" si="259"/>
        <v>55491</v>
      </c>
      <c r="U985" s="270">
        <f t="shared" si="259"/>
        <v>55491</v>
      </c>
      <c r="V985" s="270">
        <f t="shared" si="259"/>
        <v>55491</v>
      </c>
      <c r="W985" s="270">
        <f t="shared" si="259"/>
        <v>55491</v>
      </c>
      <c r="X985" s="270">
        <f t="shared" si="259"/>
        <v>55491</v>
      </c>
      <c r="Y985" s="270">
        <f t="shared" si="259"/>
        <v>55491</v>
      </c>
      <c r="Z985" s="270">
        <f t="shared" si="259"/>
        <v>55491</v>
      </c>
      <c r="AA985" s="270">
        <f t="shared" si="259"/>
        <v>55491</v>
      </c>
      <c r="AB985" s="270">
        <f t="shared" si="259"/>
        <v>55491</v>
      </c>
      <c r="AC985" s="270">
        <f t="shared" si="259"/>
        <v>55491</v>
      </c>
      <c r="AD985" s="270">
        <f t="shared" si="258"/>
        <v>55491</v>
      </c>
      <c r="AE985" s="270">
        <f t="shared" si="252"/>
        <v>55491</v>
      </c>
      <c r="AF985" s="270">
        <f t="shared" si="260"/>
        <v>55491</v>
      </c>
      <c r="AG985" s="270">
        <f t="shared" si="260"/>
        <v>55491</v>
      </c>
      <c r="AH985" s="270">
        <f t="shared" si="260"/>
        <v>55491</v>
      </c>
      <c r="AI985" s="270">
        <f t="shared" si="260"/>
        <v>55491</v>
      </c>
      <c r="AJ985" s="270">
        <f t="shared" si="260"/>
        <v>55491</v>
      </c>
      <c r="AK985" s="270">
        <f t="shared" si="260"/>
        <v>55491</v>
      </c>
      <c r="AL985" s="270">
        <f t="shared" si="260"/>
        <v>55491</v>
      </c>
      <c r="AM985" s="270">
        <f t="shared" si="260"/>
        <v>55491</v>
      </c>
    </row>
    <row r="986" spans="2:39" ht="15.75" thickBot="1" x14ac:dyDescent="0.35">
      <c r="B986" s="56" t="str">
        <f>input_names!$E$3</f>
        <v>plug-in</v>
      </c>
      <c r="C986" s="61">
        <v>231</v>
      </c>
      <c r="D986" s="270">
        <f t="shared" si="258"/>
        <v>34498</v>
      </c>
      <c r="E986" s="270">
        <f t="shared" si="258"/>
        <v>40018</v>
      </c>
      <c r="F986" s="270">
        <f t="shared" si="258"/>
        <v>56700</v>
      </c>
      <c r="G986" s="270">
        <f t="shared" si="258"/>
        <v>54619</v>
      </c>
      <c r="H986" s="270">
        <f t="shared" si="258"/>
        <v>52121</v>
      </c>
      <c r="I986" s="270">
        <f t="shared" si="258"/>
        <v>51357</v>
      </c>
      <c r="J986" s="270">
        <f t="shared" si="258"/>
        <v>37542</v>
      </c>
      <c r="K986" s="270">
        <f t="shared" si="258"/>
        <v>37910</v>
      </c>
      <c r="L986" s="270">
        <f t="shared" si="258"/>
        <v>40357</v>
      </c>
      <c r="M986" s="270">
        <f t="shared" si="258"/>
        <v>44421</v>
      </c>
      <c r="N986" s="270">
        <f t="shared" si="258"/>
        <v>56059</v>
      </c>
      <c r="O986" s="270">
        <f t="shared" si="258"/>
        <v>56059</v>
      </c>
      <c r="P986" s="270">
        <f t="shared" si="258"/>
        <v>56059</v>
      </c>
      <c r="Q986" s="270">
        <f t="shared" si="258"/>
        <v>56059</v>
      </c>
      <c r="R986" s="270">
        <f t="shared" si="258"/>
        <v>56059</v>
      </c>
      <c r="S986" s="270">
        <f t="shared" si="259"/>
        <v>56059</v>
      </c>
      <c r="T986" s="270">
        <f t="shared" si="259"/>
        <v>56059</v>
      </c>
      <c r="U986" s="270">
        <f t="shared" si="259"/>
        <v>56059</v>
      </c>
      <c r="V986" s="270">
        <f t="shared" si="259"/>
        <v>56059</v>
      </c>
      <c r="W986" s="270">
        <f t="shared" si="259"/>
        <v>56059</v>
      </c>
      <c r="X986" s="270">
        <f t="shared" si="259"/>
        <v>56059</v>
      </c>
      <c r="Y986" s="270">
        <f t="shared" si="259"/>
        <v>56059</v>
      </c>
      <c r="Z986" s="270">
        <f t="shared" si="259"/>
        <v>56059</v>
      </c>
      <c r="AA986" s="270">
        <f t="shared" si="259"/>
        <v>56059</v>
      </c>
      <c r="AB986" s="270">
        <f t="shared" si="259"/>
        <v>56059</v>
      </c>
      <c r="AC986" s="270">
        <f t="shared" si="259"/>
        <v>56059</v>
      </c>
      <c r="AD986" s="270">
        <f t="shared" si="258"/>
        <v>56059</v>
      </c>
      <c r="AE986" s="270">
        <f t="shared" si="252"/>
        <v>56059</v>
      </c>
      <c r="AF986" s="270">
        <f t="shared" si="260"/>
        <v>56059</v>
      </c>
      <c r="AG986" s="270">
        <f t="shared" si="260"/>
        <v>56059</v>
      </c>
      <c r="AH986" s="270">
        <f t="shared" si="260"/>
        <v>56059</v>
      </c>
      <c r="AI986" s="270">
        <f t="shared" si="260"/>
        <v>56059</v>
      </c>
      <c r="AJ986" s="270">
        <f t="shared" si="260"/>
        <v>56059</v>
      </c>
      <c r="AK986" s="270">
        <f t="shared" si="260"/>
        <v>56059</v>
      </c>
      <c r="AL986" s="270">
        <f t="shared" si="260"/>
        <v>56059</v>
      </c>
      <c r="AM986" s="270">
        <f t="shared" si="260"/>
        <v>56059</v>
      </c>
    </row>
    <row r="987" spans="2:39" ht="15.75" thickBot="1" x14ac:dyDescent="0.35">
      <c r="B987" s="56" t="str">
        <f>input_names!$E$3</f>
        <v>plug-in</v>
      </c>
      <c r="C987" s="61">
        <v>232</v>
      </c>
      <c r="D987" s="270">
        <f t="shared" si="258"/>
        <v>34932</v>
      </c>
      <c r="E987" s="270">
        <f t="shared" si="258"/>
        <v>40494</v>
      </c>
      <c r="F987" s="270">
        <f t="shared" si="258"/>
        <v>57000</v>
      </c>
      <c r="G987" s="270">
        <f t="shared" si="258"/>
        <v>54908</v>
      </c>
      <c r="H987" s="270">
        <f t="shared" si="258"/>
        <v>52392</v>
      </c>
      <c r="I987" s="270">
        <f t="shared" si="258"/>
        <v>51624</v>
      </c>
      <c r="J987" s="270">
        <f t="shared" si="258"/>
        <v>37744</v>
      </c>
      <c r="K987" s="270">
        <f t="shared" si="258"/>
        <v>38114</v>
      </c>
      <c r="L987" s="270">
        <f t="shared" si="258"/>
        <v>40574</v>
      </c>
      <c r="M987" s="270">
        <f t="shared" si="258"/>
        <v>44660</v>
      </c>
      <c r="N987" s="270">
        <f t="shared" si="258"/>
        <v>56627</v>
      </c>
      <c r="O987" s="270">
        <f t="shared" si="258"/>
        <v>56627</v>
      </c>
      <c r="P987" s="270">
        <f t="shared" si="258"/>
        <v>56627</v>
      </c>
      <c r="Q987" s="270">
        <f t="shared" si="258"/>
        <v>56627</v>
      </c>
      <c r="R987" s="270">
        <f t="shared" si="258"/>
        <v>56627</v>
      </c>
      <c r="S987" s="270">
        <f t="shared" si="259"/>
        <v>56627</v>
      </c>
      <c r="T987" s="270">
        <f t="shared" si="259"/>
        <v>56627</v>
      </c>
      <c r="U987" s="270">
        <f t="shared" si="259"/>
        <v>56627</v>
      </c>
      <c r="V987" s="270">
        <f t="shared" si="259"/>
        <v>56627</v>
      </c>
      <c r="W987" s="270">
        <f t="shared" si="259"/>
        <v>56627</v>
      </c>
      <c r="X987" s="270">
        <f t="shared" si="259"/>
        <v>56627</v>
      </c>
      <c r="Y987" s="270">
        <f t="shared" si="259"/>
        <v>56627</v>
      </c>
      <c r="Z987" s="270">
        <f t="shared" si="259"/>
        <v>56627</v>
      </c>
      <c r="AA987" s="270">
        <f t="shared" si="259"/>
        <v>56627</v>
      </c>
      <c r="AB987" s="270">
        <f t="shared" si="259"/>
        <v>56627</v>
      </c>
      <c r="AC987" s="270">
        <f t="shared" si="259"/>
        <v>56627</v>
      </c>
      <c r="AD987" s="270">
        <f t="shared" si="258"/>
        <v>56627</v>
      </c>
      <c r="AE987" s="270">
        <f t="shared" si="252"/>
        <v>56627</v>
      </c>
      <c r="AF987" s="270">
        <f t="shared" si="260"/>
        <v>56627</v>
      </c>
      <c r="AG987" s="270">
        <f t="shared" si="260"/>
        <v>56627</v>
      </c>
      <c r="AH987" s="270">
        <f t="shared" si="260"/>
        <v>56627</v>
      </c>
      <c r="AI987" s="270">
        <f t="shared" si="260"/>
        <v>56627</v>
      </c>
      <c r="AJ987" s="270">
        <f t="shared" si="260"/>
        <v>56627</v>
      </c>
      <c r="AK987" s="270">
        <f t="shared" si="260"/>
        <v>56627</v>
      </c>
      <c r="AL987" s="270">
        <f t="shared" si="260"/>
        <v>56627</v>
      </c>
      <c r="AM987" s="270">
        <f t="shared" si="260"/>
        <v>56627</v>
      </c>
    </row>
    <row r="988" spans="2:39" ht="15.75" thickBot="1" x14ac:dyDescent="0.35">
      <c r="B988" s="56" t="str">
        <f>input_names!$E$3</f>
        <v>plug-in</v>
      </c>
      <c r="C988" s="61">
        <v>233</v>
      </c>
      <c r="D988" s="270">
        <f t="shared" si="258"/>
        <v>35366</v>
      </c>
      <c r="E988" s="270">
        <f t="shared" si="258"/>
        <v>40970</v>
      </c>
      <c r="F988" s="270">
        <f t="shared" si="258"/>
        <v>57300</v>
      </c>
      <c r="G988" s="270">
        <f t="shared" si="258"/>
        <v>55197</v>
      </c>
      <c r="H988" s="270">
        <f t="shared" si="258"/>
        <v>52663</v>
      </c>
      <c r="I988" s="270">
        <f t="shared" si="258"/>
        <v>51891</v>
      </c>
      <c r="J988" s="270">
        <f t="shared" si="258"/>
        <v>37946</v>
      </c>
      <c r="K988" s="270">
        <f t="shared" si="258"/>
        <v>38318</v>
      </c>
      <c r="L988" s="270">
        <f t="shared" si="258"/>
        <v>40791</v>
      </c>
      <c r="M988" s="270">
        <f t="shared" si="258"/>
        <v>44899</v>
      </c>
      <c r="N988" s="270">
        <f t="shared" si="258"/>
        <v>57195</v>
      </c>
      <c r="O988" s="270">
        <f t="shared" si="258"/>
        <v>57195</v>
      </c>
      <c r="P988" s="270">
        <f t="shared" si="258"/>
        <v>57195</v>
      </c>
      <c r="Q988" s="270">
        <f t="shared" si="258"/>
        <v>57195</v>
      </c>
      <c r="R988" s="270">
        <f t="shared" si="258"/>
        <v>57195</v>
      </c>
      <c r="S988" s="270">
        <f t="shared" si="259"/>
        <v>57195</v>
      </c>
      <c r="T988" s="270">
        <f t="shared" si="259"/>
        <v>57195</v>
      </c>
      <c r="U988" s="270">
        <f t="shared" si="259"/>
        <v>57195</v>
      </c>
      <c r="V988" s="270">
        <f t="shared" si="259"/>
        <v>57195</v>
      </c>
      <c r="W988" s="270">
        <f t="shared" si="259"/>
        <v>57195</v>
      </c>
      <c r="X988" s="270">
        <f t="shared" si="259"/>
        <v>57195</v>
      </c>
      <c r="Y988" s="270">
        <f t="shared" si="259"/>
        <v>57195</v>
      </c>
      <c r="Z988" s="270">
        <f t="shared" si="259"/>
        <v>57195</v>
      </c>
      <c r="AA988" s="270">
        <f t="shared" si="259"/>
        <v>57195</v>
      </c>
      <c r="AB988" s="270">
        <f t="shared" si="259"/>
        <v>57195</v>
      </c>
      <c r="AC988" s="270">
        <f t="shared" si="259"/>
        <v>57195</v>
      </c>
      <c r="AD988" s="270">
        <f t="shared" si="258"/>
        <v>57195</v>
      </c>
      <c r="AE988" s="270">
        <f t="shared" si="252"/>
        <v>57195</v>
      </c>
      <c r="AF988" s="270">
        <f t="shared" si="260"/>
        <v>57195</v>
      </c>
      <c r="AG988" s="270">
        <f t="shared" si="260"/>
        <v>57195</v>
      </c>
      <c r="AH988" s="270">
        <f t="shared" si="260"/>
        <v>57195</v>
      </c>
      <c r="AI988" s="270">
        <f t="shared" si="260"/>
        <v>57195</v>
      </c>
      <c r="AJ988" s="270">
        <f t="shared" si="260"/>
        <v>57195</v>
      </c>
      <c r="AK988" s="270">
        <f t="shared" si="260"/>
        <v>57195</v>
      </c>
      <c r="AL988" s="270">
        <f t="shared" si="260"/>
        <v>57195</v>
      </c>
      <c r="AM988" s="270">
        <f t="shared" si="260"/>
        <v>57195</v>
      </c>
    </row>
    <row r="989" spans="2:39" ht="15.75" thickBot="1" x14ac:dyDescent="0.35">
      <c r="B989" s="56" t="str">
        <f>input_names!$E$3</f>
        <v>plug-in</v>
      </c>
      <c r="C989" s="61">
        <v>234</v>
      </c>
      <c r="D989" s="270">
        <f t="shared" si="258"/>
        <v>35800</v>
      </c>
      <c r="E989" s="270">
        <f t="shared" si="258"/>
        <v>41446</v>
      </c>
      <c r="F989" s="270">
        <f t="shared" si="258"/>
        <v>57600</v>
      </c>
      <c r="G989" s="270">
        <f t="shared" si="258"/>
        <v>55486</v>
      </c>
      <c r="H989" s="270">
        <f t="shared" si="258"/>
        <v>52934</v>
      </c>
      <c r="I989" s="270">
        <f t="shared" si="258"/>
        <v>52158</v>
      </c>
      <c r="J989" s="270">
        <f t="shared" si="258"/>
        <v>38148</v>
      </c>
      <c r="K989" s="270">
        <f t="shared" si="258"/>
        <v>38522</v>
      </c>
      <c r="L989" s="270">
        <f t="shared" si="258"/>
        <v>41008</v>
      </c>
      <c r="M989" s="270">
        <f t="shared" si="258"/>
        <v>45138</v>
      </c>
      <c r="N989" s="270">
        <f t="shared" si="258"/>
        <v>57763</v>
      </c>
      <c r="O989" s="270">
        <f t="shared" si="258"/>
        <v>57763</v>
      </c>
      <c r="P989" s="270">
        <f t="shared" si="258"/>
        <v>57763</v>
      </c>
      <c r="Q989" s="270">
        <f t="shared" si="258"/>
        <v>57763</v>
      </c>
      <c r="R989" s="270">
        <f t="shared" si="258"/>
        <v>57763</v>
      </c>
      <c r="S989" s="270">
        <f t="shared" si="259"/>
        <v>57763</v>
      </c>
      <c r="T989" s="270">
        <f t="shared" si="259"/>
        <v>57763</v>
      </c>
      <c r="U989" s="270">
        <f t="shared" si="259"/>
        <v>57763</v>
      </c>
      <c r="V989" s="270">
        <f t="shared" si="259"/>
        <v>57763</v>
      </c>
      <c r="W989" s="270">
        <f t="shared" si="259"/>
        <v>57763</v>
      </c>
      <c r="X989" s="270">
        <f t="shared" si="259"/>
        <v>57763</v>
      </c>
      <c r="Y989" s="270">
        <f t="shared" si="259"/>
        <v>57763</v>
      </c>
      <c r="Z989" s="270">
        <f t="shared" si="259"/>
        <v>57763</v>
      </c>
      <c r="AA989" s="270">
        <f t="shared" si="259"/>
        <v>57763</v>
      </c>
      <c r="AB989" s="270">
        <f t="shared" si="259"/>
        <v>57763</v>
      </c>
      <c r="AC989" s="270">
        <f t="shared" si="259"/>
        <v>57763</v>
      </c>
      <c r="AD989" s="270">
        <f t="shared" si="258"/>
        <v>57763</v>
      </c>
      <c r="AE989" s="270">
        <f t="shared" si="252"/>
        <v>57763</v>
      </c>
      <c r="AF989" s="270">
        <f t="shared" si="260"/>
        <v>57763</v>
      </c>
      <c r="AG989" s="270">
        <f t="shared" si="260"/>
        <v>57763</v>
      </c>
      <c r="AH989" s="270">
        <f t="shared" si="260"/>
        <v>57763</v>
      </c>
      <c r="AI989" s="270">
        <f t="shared" si="260"/>
        <v>57763</v>
      </c>
      <c r="AJ989" s="270">
        <f t="shared" si="260"/>
        <v>57763</v>
      </c>
      <c r="AK989" s="270">
        <f t="shared" si="260"/>
        <v>57763</v>
      </c>
      <c r="AL989" s="270">
        <f t="shared" si="260"/>
        <v>57763</v>
      </c>
      <c r="AM989" s="270">
        <f t="shared" si="260"/>
        <v>57763</v>
      </c>
    </row>
    <row r="990" spans="2:39" ht="15.75" thickBot="1" x14ac:dyDescent="0.35">
      <c r="B990" s="56" t="str">
        <f>input_names!$E$3</f>
        <v>plug-in</v>
      </c>
      <c r="C990" s="61">
        <v>235</v>
      </c>
      <c r="D990" s="270">
        <f t="shared" si="258"/>
        <v>36234</v>
      </c>
      <c r="E990" s="270">
        <f t="shared" si="258"/>
        <v>41922</v>
      </c>
      <c r="F990" s="270">
        <f t="shared" si="258"/>
        <v>57900</v>
      </c>
      <c r="G990" s="270">
        <f t="shared" si="258"/>
        <v>55775</v>
      </c>
      <c r="H990" s="270">
        <f t="shared" si="258"/>
        <v>53205</v>
      </c>
      <c r="I990" s="270">
        <f t="shared" si="258"/>
        <v>52425</v>
      </c>
      <c r="J990" s="270">
        <f t="shared" si="258"/>
        <v>38350</v>
      </c>
      <c r="K990" s="270">
        <f t="shared" si="258"/>
        <v>38726</v>
      </c>
      <c r="L990" s="270">
        <f t="shared" si="258"/>
        <v>41225</v>
      </c>
      <c r="M990" s="270">
        <f t="shared" si="258"/>
        <v>45377</v>
      </c>
      <c r="N990" s="270">
        <f t="shared" si="258"/>
        <v>58331</v>
      </c>
      <c r="O990" s="270">
        <f t="shared" si="258"/>
        <v>58331</v>
      </c>
      <c r="P990" s="270">
        <f t="shared" si="258"/>
        <v>58331</v>
      </c>
      <c r="Q990" s="270">
        <f t="shared" si="258"/>
        <v>58331</v>
      </c>
      <c r="R990" s="270">
        <f t="shared" si="258"/>
        <v>58331</v>
      </c>
      <c r="S990" s="270">
        <f t="shared" si="259"/>
        <v>58331</v>
      </c>
      <c r="T990" s="270">
        <f t="shared" si="259"/>
        <v>58331</v>
      </c>
      <c r="U990" s="270">
        <f t="shared" si="259"/>
        <v>58331</v>
      </c>
      <c r="V990" s="270">
        <f t="shared" si="259"/>
        <v>58331</v>
      </c>
      <c r="W990" s="270">
        <f t="shared" si="259"/>
        <v>58331</v>
      </c>
      <c r="X990" s="270">
        <f t="shared" si="259"/>
        <v>58331</v>
      </c>
      <c r="Y990" s="270">
        <f t="shared" si="259"/>
        <v>58331</v>
      </c>
      <c r="Z990" s="270">
        <f t="shared" si="259"/>
        <v>58331</v>
      </c>
      <c r="AA990" s="270">
        <f t="shared" si="259"/>
        <v>58331</v>
      </c>
      <c r="AB990" s="270">
        <f t="shared" si="259"/>
        <v>58331</v>
      </c>
      <c r="AC990" s="270">
        <f t="shared" si="259"/>
        <v>58331</v>
      </c>
      <c r="AD990" s="270">
        <f t="shared" si="258"/>
        <v>58331</v>
      </c>
      <c r="AE990" s="270">
        <f t="shared" si="252"/>
        <v>58331</v>
      </c>
      <c r="AF990" s="270">
        <f t="shared" si="260"/>
        <v>58331</v>
      </c>
      <c r="AG990" s="270">
        <f t="shared" si="260"/>
        <v>58331</v>
      </c>
      <c r="AH990" s="270">
        <f t="shared" si="260"/>
        <v>58331</v>
      </c>
      <c r="AI990" s="270">
        <f t="shared" si="260"/>
        <v>58331</v>
      </c>
      <c r="AJ990" s="270">
        <f t="shared" si="260"/>
        <v>58331</v>
      </c>
      <c r="AK990" s="270">
        <f t="shared" si="260"/>
        <v>58331</v>
      </c>
      <c r="AL990" s="270">
        <f t="shared" si="260"/>
        <v>58331</v>
      </c>
      <c r="AM990" s="270">
        <f t="shared" si="260"/>
        <v>58331</v>
      </c>
    </row>
    <row r="991" spans="2:39" ht="15.75" thickBot="1" x14ac:dyDescent="0.35">
      <c r="B991" s="56" t="str">
        <f>input_names!$E$3</f>
        <v>plug-in</v>
      </c>
      <c r="C991" s="61">
        <v>236</v>
      </c>
      <c r="D991" s="270">
        <f t="shared" si="258"/>
        <v>36668</v>
      </c>
      <c r="E991" s="270">
        <f t="shared" si="258"/>
        <v>42398</v>
      </c>
      <c r="F991" s="270">
        <f t="shared" si="258"/>
        <v>58200</v>
      </c>
      <c r="G991" s="270">
        <f t="shared" si="258"/>
        <v>56064</v>
      </c>
      <c r="H991" s="270">
        <f t="shared" si="258"/>
        <v>53476</v>
      </c>
      <c r="I991" s="270">
        <f t="shared" si="258"/>
        <v>52692</v>
      </c>
      <c r="J991" s="270">
        <f t="shared" si="258"/>
        <v>38552</v>
      </c>
      <c r="K991" s="270">
        <f t="shared" si="258"/>
        <v>38930</v>
      </c>
      <c r="L991" s="270">
        <f t="shared" si="258"/>
        <v>41442</v>
      </c>
      <c r="M991" s="270">
        <f t="shared" si="258"/>
        <v>45616</v>
      </c>
      <c r="N991" s="270">
        <f t="shared" si="258"/>
        <v>58899</v>
      </c>
      <c r="O991" s="270">
        <f t="shared" si="258"/>
        <v>58899</v>
      </c>
      <c r="P991" s="270">
        <f t="shared" si="258"/>
        <v>58899</v>
      </c>
      <c r="Q991" s="270">
        <f t="shared" si="258"/>
        <v>58899</v>
      </c>
      <c r="R991" s="270">
        <f t="shared" si="258"/>
        <v>58899</v>
      </c>
      <c r="S991" s="270">
        <f t="shared" si="259"/>
        <v>58899</v>
      </c>
      <c r="T991" s="270">
        <f t="shared" si="259"/>
        <v>58899</v>
      </c>
      <c r="U991" s="270">
        <f t="shared" si="259"/>
        <v>58899</v>
      </c>
      <c r="V991" s="270">
        <f t="shared" si="259"/>
        <v>58899</v>
      </c>
      <c r="W991" s="270">
        <f t="shared" si="259"/>
        <v>58899</v>
      </c>
      <c r="X991" s="270">
        <f t="shared" si="259"/>
        <v>58899</v>
      </c>
      <c r="Y991" s="270">
        <f t="shared" si="259"/>
        <v>58899</v>
      </c>
      <c r="Z991" s="270">
        <f t="shared" si="259"/>
        <v>58899</v>
      </c>
      <c r="AA991" s="270">
        <f t="shared" si="259"/>
        <v>58899</v>
      </c>
      <c r="AB991" s="270">
        <f t="shared" si="259"/>
        <v>58899</v>
      </c>
      <c r="AC991" s="270">
        <f t="shared" si="259"/>
        <v>58899</v>
      </c>
      <c r="AD991" s="270">
        <f t="shared" si="258"/>
        <v>58899</v>
      </c>
      <c r="AE991" s="270">
        <f t="shared" si="252"/>
        <v>58899</v>
      </c>
      <c r="AF991" s="270">
        <f t="shared" si="260"/>
        <v>58899</v>
      </c>
      <c r="AG991" s="270">
        <f t="shared" si="260"/>
        <v>58899</v>
      </c>
      <c r="AH991" s="270">
        <f t="shared" si="260"/>
        <v>58899</v>
      </c>
      <c r="AI991" s="270">
        <f t="shared" si="260"/>
        <v>58899</v>
      </c>
      <c r="AJ991" s="270">
        <f t="shared" si="260"/>
        <v>58899</v>
      </c>
      <c r="AK991" s="270">
        <f t="shared" si="260"/>
        <v>58899</v>
      </c>
      <c r="AL991" s="270">
        <f t="shared" si="260"/>
        <v>58899</v>
      </c>
      <c r="AM991" s="270">
        <f t="shared" si="260"/>
        <v>58899</v>
      </c>
    </row>
    <row r="992" spans="2:39" ht="15.75" thickBot="1" x14ac:dyDescent="0.35">
      <c r="B992" s="56" t="str">
        <f>input_names!$E$3</f>
        <v>plug-in</v>
      </c>
      <c r="C992" s="61">
        <v>237</v>
      </c>
      <c r="D992" s="270">
        <f t="shared" si="258"/>
        <v>37102</v>
      </c>
      <c r="E992" s="270">
        <f t="shared" si="258"/>
        <v>42874</v>
      </c>
      <c r="F992" s="270">
        <f t="shared" si="258"/>
        <v>58500</v>
      </c>
      <c r="G992" s="270">
        <f t="shared" si="258"/>
        <v>56353</v>
      </c>
      <c r="H992" s="270">
        <f t="shared" si="258"/>
        <v>53747</v>
      </c>
      <c r="I992" s="270">
        <f t="shared" si="258"/>
        <v>52959</v>
      </c>
      <c r="J992" s="270">
        <f t="shared" si="258"/>
        <v>38754</v>
      </c>
      <c r="K992" s="270">
        <f t="shared" si="258"/>
        <v>39134</v>
      </c>
      <c r="L992" s="270">
        <f t="shared" si="258"/>
        <v>41659</v>
      </c>
      <c r="M992" s="270">
        <f t="shared" si="258"/>
        <v>45855</v>
      </c>
      <c r="N992" s="270">
        <f t="shared" si="258"/>
        <v>59467</v>
      </c>
      <c r="O992" s="270">
        <f t="shared" si="258"/>
        <v>59467</v>
      </c>
      <c r="P992" s="270">
        <f t="shared" si="258"/>
        <v>59467</v>
      </c>
      <c r="Q992" s="270">
        <f t="shared" si="258"/>
        <v>59467</v>
      </c>
      <c r="R992" s="270">
        <f t="shared" si="258"/>
        <v>59467</v>
      </c>
      <c r="S992" s="270">
        <f t="shared" si="259"/>
        <v>59467</v>
      </c>
      <c r="T992" s="270">
        <f t="shared" si="259"/>
        <v>59467</v>
      </c>
      <c r="U992" s="270">
        <f t="shared" si="259"/>
        <v>59467</v>
      </c>
      <c r="V992" s="270">
        <f t="shared" si="259"/>
        <v>59467</v>
      </c>
      <c r="W992" s="270">
        <f t="shared" si="259"/>
        <v>59467</v>
      </c>
      <c r="X992" s="270">
        <f t="shared" si="259"/>
        <v>59467</v>
      </c>
      <c r="Y992" s="270">
        <f t="shared" si="259"/>
        <v>59467</v>
      </c>
      <c r="Z992" s="270">
        <f t="shared" si="259"/>
        <v>59467</v>
      </c>
      <c r="AA992" s="270">
        <f t="shared" si="259"/>
        <v>59467</v>
      </c>
      <c r="AB992" s="270">
        <f t="shared" si="259"/>
        <v>59467</v>
      </c>
      <c r="AC992" s="270">
        <f t="shared" si="259"/>
        <v>59467</v>
      </c>
      <c r="AD992" s="270">
        <f t="shared" si="258"/>
        <v>59467</v>
      </c>
      <c r="AE992" s="270">
        <f t="shared" si="252"/>
        <v>59467</v>
      </c>
      <c r="AF992" s="270">
        <f t="shared" si="260"/>
        <v>59467</v>
      </c>
      <c r="AG992" s="270">
        <f t="shared" si="260"/>
        <v>59467</v>
      </c>
      <c r="AH992" s="270">
        <f t="shared" si="260"/>
        <v>59467</v>
      </c>
      <c r="AI992" s="270">
        <f t="shared" si="260"/>
        <v>59467</v>
      </c>
      <c r="AJ992" s="270">
        <f t="shared" si="260"/>
        <v>59467</v>
      </c>
      <c r="AK992" s="270">
        <f t="shared" si="260"/>
        <v>59467</v>
      </c>
      <c r="AL992" s="270">
        <f t="shared" si="260"/>
        <v>59467</v>
      </c>
      <c r="AM992" s="270">
        <f t="shared" si="260"/>
        <v>59467</v>
      </c>
    </row>
    <row r="993" spans="2:39" ht="15.75" thickBot="1" x14ac:dyDescent="0.35">
      <c r="B993" s="56" t="str">
        <f>input_names!$E$3</f>
        <v>plug-in</v>
      </c>
      <c r="C993" s="61">
        <v>238</v>
      </c>
      <c r="D993" s="270">
        <f t="shared" si="258"/>
        <v>37536</v>
      </c>
      <c r="E993" s="270">
        <f t="shared" si="258"/>
        <v>43350</v>
      </c>
      <c r="F993" s="270">
        <f t="shared" si="258"/>
        <v>58800</v>
      </c>
      <c r="G993" s="270">
        <f t="shared" si="258"/>
        <v>56642</v>
      </c>
      <c r="H993" s="270">
        <f t="shared" si="258"/>
        <v>54018</v>
      </c>
      <c r="I993" s="270">
        <f t="shared" si="258"/>
        <v>53226</v>
      </c>
      <c r="J993" s="270">
        <f t="shared" si="258"/>
        <v>38956</v>
      </c>
      <c r="K993" s="270">
        <f t="shared" si="258"/>
        <v>39338</v>
      </c>
      <c r="L993" s="270">
        <f t="shared" si="258"/>
        <v>41876</v>
      </c>
      <c r="M993" s="270">
        <f t="shared" si="258"/>
        <v>46094</v>
      </c>
      <c r="N993" s="270">
        <f t="shared" si="258"/>
        <v>60035</v>
      </c>
      <c r="O993" s="270">
        <f t="shared" si="258"/>
        <v>60035</v>
      </c>
      <c r="P993" s="270">
        <f t="shared" si="258"/>
        <v>60035</v>
      </c>
      <c r="Q993" s="270">
        <f t="shared" si="258"/>
        <v>60035</v>
      </c>
      <c r="R993" s="270">
        <f t="shared" si="258"/>
        <v>60035</v>
      </c>
      <c r="S993" s="270">
        <f>+MIN(MAX(0,$C993-S$28),S$29-S$28)*S$34
+MIN(MAX(0,$C993-S$29),S$30-S$29)*S$35
+MIN(MAX(0,$C993-S$30),S$31-S$30)*S$36
+MIN(MAX(0,$C993-S$31),S$32-S$31)*S$37
+MAX(0,$C993-S$32)*S$38
+S$39</f>
        <v>60035</v>
      </c>
      <c r="T993" s="270">
        <f t="shared" si="259"/>
        <v>60035</v>
      </c>
      <c r="U993" s="270">
        <f t="shared" si="259"/>
        <v>60035</v>
      </c>
      <c r="V993" s="270">
        <f t="shared" si="259"/>
        <v>60035</v>
      </c>
      <c r="W993" s="270">
        <f t="shared" si="259"/>
        <v>60035</v>
      </c>
      <c r="X993" s="270">
        <f t="shared" si="259"/>
        <v>60035</v>
      </c>
      <c r="Y993" s="270">
        <f t="shared" si="259"/>
        <v>60035</v>
      </c>
      <c r="Z993" s="270">
        <f t="shared" si="259"/>
        <v>60035</v>
      </c>
      <c r="AA993" s="270">
        <f t="shared" si="259"/>
        <v>60035</v>
      </c>
      <c r="AB993" s="270">
        <f t="shared" si="259"/>
        <v>60035</v>
      </c>
      <c r="AC993" s="270">
        <f t="shared" si="259"/>
        <v>60035</v>
      </c>
      <c r="AD993" s="270">
        <f>+MIN(MAX(0,$C993-AD$28),AD$29-AD$28)*AD$34
+MIN(MAX(0,$C993-AD$29),AD$30-AD$29)*AD$35
+MIN(MAX(0,$C993-AD$30),AD$31-AD$30)*AD$36
+MIN(MAX(0,$C993-AD$31),AD$32-AD$31)*AD$37
+MAX(0,$C993-AD$32)*AD$38
+AD$39</f>
        <v>60035</v>
      </c>
      <c r="AE993" s="270">
        <f t="shared" si="252"/>
        <v>60035</v>
      </c>
      <c r="AF993" s="270">
        <f t="shared" si="260"/>
        <v>60035</v>
      </c>
      <c r="AG993" s="270">
        <f t="shared" si="260"/>
        <v>60035</v>
      </c>
      <c r="AH993" s="270">
        <f t="shared" si="260"/>
        <v>60035</v>
      </c>
      <c r="AI993" s="270">
        <f t="shared" si="260"/>
        <v>60035</v>
      </c>
      <c r="AJ993" s="270">
        <f t="shared" si="260"/>
        <v>60035</v>
      </c>
      <c r="AK993" s="270">
        <f t="shared" si="260"/>
        <v>60035</v>
      </c>
      <c r="AL993" s="270">
        <f t="shared" si="260"/>
        <v>60035</v>
      </c>
      <c r="AM993" s="270">
        <f t="shared" si="260"/>
        <v>60035</v>
      </c>
    </row>
    <row r="994" spans="2:39" ht="15.75" thickBot="1" x14ac:dyDescent="0.35">
      <c r="B994" s="56" t="str">
        <f>input_names!$E$3</f>
        <v>plug-in</v>
      </c>
      <c r="C994" s="61">
        <v>239</v>
      </c>
      <c r="D994" s="270">
        <f t="shared" ref="D994:AD1009" si="261">+MIN(MAX(0,$C994-D$28),D$29-D$28)*D$34
+MIN(MAX(0,$C994-D$29),D$30-D$29)*D$35
+MIN(MAX(0,$C994-D$30),D$31-D$30)*D$36
+MIN(MAX(0,$C994-D$31),D$32-D$31)*D$37
+MAX(0,$C994-D$32)*D$38
+D$39</f>
        <v>37970</v>
      </c>
      <c r="E994" s="270">
        <f t="shared" si="261"/>
        <v>43826</v>
      </c>
      <c r="F994" s="270">
        <f t="shared" si="261"/>
        <v>59100</v>
      </c>
      <c r="G994" s="270">
        <f t="shared" si="261"/>
        <v>56931</v>
      </c>
      <c r="H994" s="270">
        <f t="shared" si="261"/>
        <v>54289</v>
      </c>
      <c r="I994" s="270">
        <f t="shared" si="261"/>
        <v>53493</v>
      </c>
      <c r="J994" s="270">
        <f t="shared" si="261"/>
        <v>39158</v>
      </c>
      <c r="K994" s="270">
        <f t="shared" si="261"/>
        <v>39542</v>
      </c>
      <c r="L994" s="270">
        <f t="shared" si="261"/>
        <v>42093</v>
      </c>
      <c r="M994" s="270">
        <f t="shared" si="261"/>
        <v>46333</v>
      </c>
      <c r="N994" s="270">
        <f t="shared" si="261"/>
        <v>60603</v>
      </c>
      <c r="O994" s="270">
        <f t="shared" si="261"/>
        <v>60603</v>
      </c>
      <c r="P994" s="270">
        <f t="shared" si="261"/>
        <v>60603</v>
      </c>
      <c r="Q994" s="270">
        <f t="shared" si="261"/>
        <v>60603</v>
      </c>
      <c r="R994" s="270">
        <f t="shared" si="261"/>
        <v>60603</v>
      </c>
      <c r="S994" s="270">
        <f t="shared" ref="S994:AC1009" si="262">+MIN(MAX(0,$C994-S$28),S$29-S$28)*S$34
+MIN(MAX(0,$C994-S$29),S$30-S$29)*S$35
+MIN(MAX(0,$C994-S$30),S$31-S$30)*S$36
+MIN(MAX(0,$C994-S$31),S$32-S$31)*S$37
+MAX(0,$C994-S$32)*S$38
+S$39</f>
        <v>60603</v>
      </c>
      <c r="T994" s="270">
        <f t="shared" si="262"/>
        <v>60603</v>
      </c>
      <c r="U994" s="270">
        <f t="shared" si="262"/>
        <v>60603</v>
      </c>
      <c r="V994" s="270">
        <f t="shared" si="262"/>
        <v>60603</v>
      </c>
      <c r="W994" s="270">
        <f t="shared" si="262"/>
        <v>60603</v>
      </c>
      <c r="X994" s="270">
        <f t="shared" si="262"/>
        <v>60603</v>
      </c>
      <c r="Y994" s="270">
        <f t="shared" si="262"/>
        <v>60603</v>
      </c>
      <c r="Z994" s="270">
        <f t="shared" si="262"/>
        <v>60603</v>
      </c>
      <c r="AA994" s="270">
        <f t="shared" si="262"/>
        <v>60603</v>
      </c>
      <c r="AB994" s="270">
        <f t="shared" si="262"/>
        <v>60603</v>
      </c>
      <c r="AC994" s="270">
        <f t="shared" si="262"/>
        <v>60603</v>
      </c>
      <c r="AD994" s="270">
        <f t="shared" si="261"/>
        <v>60603</v>
      </c>
      <c r="AE994" s="270">
        <f t="shared" si="252"/>
        <v>60603</v>
      </c>
      <c r="AF994" s="270">
        <f t="shared" si="260"/>
        <v>60603</v>
      </c>
      <c r="AG994" s="270">
        <f t="shared" si="260"/>
        <v>60603</v>
      </c>
      <c r="AH994" s="270">
        <f t="shared" si="260"/>
        <v>60603</v>
      </c>
      <c r="AI994" s="270">
        <f t="shared" si="260"/>
        <v>60603</v>
      </c>
      <c r="AJ994" s="270">
        <f t="shared" si="260"/>
        <v>60603</v>
      </c>
      <c r="AK994" s="270">
        <f t="shared" si="260"/>
        <v>60603</v>
      </c>
      <c r="AL994" s="270">
        <f t="shared" si="260"/>
        <v>60603</v>
      </c>
      <c r="AM994" s="270">
        <f t="shared" si="260"/>
        <v>60603</v>
      </c>
    </row>
    <row r="995" spans="2:39" ht="15.75" thickBot="1" x14ac:dyDescent="0.35">
      <c r="B995" s="56" t="str">
        <f>input_names!$E$3</f>
        <v>plug-in</v>
      </c>
      <c r="C995" s="61">
        <v>240</v>
      </c>
      <c r="D995" s="270">
        <f t="shared" si="261"/>
        <v>38404</v>
      </c>
      <c r="E995" s="270">
        <f t="shared" si="261"/>
        <v>44302</v>
      </c>
      <c r="F995" s="270">
        <f t="shared" si="261"/>
        <v>59400</v>
      </c>
      <c r="G995" s="270">
        <f t="shared" si="261"/>
        <v>57220</v>
      </c>
      <c r="H995" s="270">
        <f t="shared" si="261"/>
        <v>54560</v>
      </c>
      <c r="I995" s="270">
        <f t="shared" si="261"/>
        <v>53760</v>
      </c>
      <c r="J995" s="270">
        <f t="shared" si="261"/>
        <v>39360</v>
      </c>
      <c r="K995" s="270">
        <f t="shared" si="261"/>
        <v>39746</v>
      </c>
      <c r="L995" s="270">
        <f t="shared" si="261"/>
        <v>42310</v>
      </c>
      <c r="M995" s="270">
        <f t="shared" si="261"/>
        <v>46572</v>
      </c>
      <c r="N995" s="270">
        <f t="shared" si="261"/>
        <v>61171</v>
      </c>
      <c r="O995" s="270">
        <f t="shared" si="261"/>
        <v>61171</v>
      </c>
      <c r="P995" s="270">
        <f t="shared" si="261"/>
        <v>61171</v>
      </c>
      <c r="Q995" s="270">
        <f t="shared" si="261"/>
        <v>61171</v>
      </c>
      <c r="R995" s="270">
        <f t="shared" si="261"/>
        <v>61171</v>
      </c>
      <c r="S995" s="270">
        <f t="shared" si="262"/>
        <v>61171</v>
      </c>
      <c r="T995" s="270">
        <f t="shared" si="262"/>
        <v>61171</v>
      </c>
      <c r="U995" s="270">
        <f t="shared" si="262"/>
        <v>61171</v>
      </c>
      <c r="V995" s="270">
        <f t="shared" si="262"/>
        <v>61171</v>
      </c>
      <c r="W995" s="270">
        <f t="shared" si="262"/>
        <v>61171</v>
      </c>
      <c r="X995" s="270">
        <f t="shared" si="262"/>
        <v>61171</v>
      </c>
      <c r="Y995" s="270">
        <f t="shared" si="262"/>
        <v>61171</v>
      </c>
      <c r="Z995" s="270">
        <f t="shared" si="262"/>
        <v>61171</v>
      </c>
      <c r="AA995" s="270">
        <f t="shared" si="262"/>
        <v>61171</v>
      </c>
      <c r="AB995" s="270">
        <f t="shared" si="262"/>
        <v>61171</v>
      </c>
      <c r="AC995" s="270">
        <f t="shared" si="262"/>
        <v>61171</v>
      </c>
      <c r="AD995" s="270">
        <f t="shared" si="261"/>
        <v>61171</v>
      </c>
      <c r="AE995" s="270">
        <f t="shared" si="252"/>
        <v>61171</v>
      </c>
      <c r="AF995" s="270">
        <f t="shared" si="260"/>
        <v>61171</v>
      </c>
      <c r="AG995" s="270">
        <f t="shared" si="260"/>
        <v>61171</v>
      </c>
      <c r="AH995" s="270">
        <f t="shared" si="260"/>
        <v>61171</v>
      </c>
      <c r="AI995" s="270">
        <f t="shared" si="260"/>
        <v>61171</v>
      </c>
      <c r="AJ995" s="270">
        <f t="shared" si="260"/>
        <v>61171</v>
      </c>
      <c r="AK995" s="270">
        <f t="shared" si="260"/>
        <v>61171</v>
      </c>
      <c r="AL995" s="270">
        <f t="shared" si="260"/>
        <v>61171</v>
      </c>
      <c r="AM995" s="270">
        <f t="shared" si="260"/>
        <v>61171</v>
      </c>
    </row>
    <row r="996" spans="2:39" ht="15.75" thickBot="1" x14ac:dyDescent="0.35">
      <c r="B996" s="56" t="str">
        <f>input_names!$E$3</f>
        <v>plug-in</v>
      </c>
      <c r="C996" s="61">
        <v>241</v>
      </c>
      <c r="D996" s="270">
        <f t="shared" si="261"/>
        <v>38838</v>
      </c>
      <c r="E996" s="270">
        <f t="shared" si="261"/>
        <v>44778</v>
      </c>
      <c r="F996" s="270">
        <f t="shared" si="261"/>
        <v>59700</v>
      </c>
      <c r="G996" s="270">
        <f t="shared" si="261"/>
        <v>57509</v>
      </c>
      <c r="H996" s="270">
        <f t="shared" si="261"/>
        <v>54831</v>
      </c>
      <c r="I996" s="270">
        <f t="shared" si="261"/>
        <v>54027</v>
      </c>
      <c r="J996" s="270">
        <f t="shared" si="261"/>
        <v>39562</v>
      </c>
      <c r="K996" s="270">
        <f t="shared" si="261"/>
        <v>39950</v>
      </c>
      <c r="L996" s="270">
        <f t="shared" si="261"/>
        <v>42527</v>
      </c>
      <c r="M996" s="270">
        <f t="shared" si="261"/>
        <v>46811</v>
      </c>
      <c r="N996" s="270">
        <f t="shared" si="261"/>
        <v>61739</v>
      </c>
      <c r="O996" s="270">
        <f t="shared" si="261"/>
        <v>61739</v>
      </c>
      <c r="P996" s="270">
        <f t="shared" si="261"/>
        <v>61739</v>
      </c>
      <c r="Q996" s="270">
        <f t="shared" si="261"/>
        <v>61739</v>
      </c>
      <c r="R996" s="270">
        <f t="shared" si="261"/>
        <v>61739</v>
      </c>
      <c r="S996" s="270">
        <f t="shared" si="262"/>
        <v>61739</v>
      </c>
      <c r="T996" s="270">
        <f t="shared" si="262"/>
        <v>61739</v>
      </c>
      <c r="U996" s="270">
        <f t="shared" si="262"/>
        <v>61739</v>
      </c>
      <c r="V996" s="270">
        <f t="shared" si="262"/>
        <v>61739</v>
      </c>
      <c r="W996" s="270">
        <f t="shared" si="262"/>
        <v>61739</v>
      </c>
      <c r="X996" s="270">
        <f t="shared" si="262"/>
        <v>61739</v>
      </c>
      <c r="Y996" s="270">
        <f t="shared" si="262"/>
        <v>61739</v>
      </c>
      <c r="Z996" s="270">
        <f t="shared" si="262"/>
        <v>61739</v>
      </c>
      <c r="AA996" s="270">
        <f t="shared" si="262"/>
        <v>61739</v>
      </c>
      <c r="AB996" s="270">
        <f t="shared" si="262"/>
        <v>61739</v>
      </c>
      <c r="AC996" s="270">
        <f t="shared" si="262"/>
        <v>61739</v>
      </c>
      <c r="AD996" s="270">
        <f t="shared" si="261"/>
        <v>61739</v>
      </c>
      <c r="AE996" s="270">
        <f t="shared" si="252"/>
        <v>61739</v>
      </c>
      <c r="AF996" s="270">
        <f t="shared" si="260"/>
        <v>61739</v>
      </c>
      <c r="AG996" s="270">
        <f t="shared" si="260"/>
        <v>61739</v>
      </c>
      <c r="AH996" s="270">
        <f t="shared" si="260"/>
        <v>61739</v>
      </c>
      <c r="AI996" s="270">
        <f t="shared" si="260"/>
        <v>61739</v>
      </c>
      <c r="AJ996" s="270">
        <f t="shared" si="260"/>
        <v>61739</v>
      </c>
      <c r="AK996" s="270">
        <f t="shared" si="260"/>
        <v>61739</v>
      </c>
      <c r="AL996" s="270">
        <f t="shared" si="260"/>
        <v>61739</v>
      </c>
      <c r="AM996" s="270">
        <f t="shared" si="260"/>
        <v>61739</v>
      </c>
    </row>
    <row r="997" spans="2:39" ht="15.75" thickBot="1" x14ac:dyDescent="0.35">
      <c r="B997" s="56" t="str">
        <f>input_names!$E$3</f>
        <v>plug-in</v>
      </c>
      <c r="C997" s="61">
        <v>242</v>
      </c>
      <c r="D997" s="270">
        <f t="shared" si="261"/>
        <v>39272</v>
      </c>
      <c r="E997" s="270">
        <f t="shared" si="261"/>
        <v>45254</v>
      </c>
      <c r="F997" s="270">
        <f t="shared" si="261"/>
        <v>60000</v>
      </c>
      <c r="G997" s="270">
        <f t="shared" si="261"/>
        <v>57798</v>
      </c>
      <c r="H997" s="270">
        <f t="shared" si="261"/>
        <v>55102</v>
      </c>
      <c r="I997" s="270">
        <f t="shared" si="261"/>
        <v>54294</v>
      </c>
      <c r="J997" s="270">
        <f t="shared" si="261"/>
        <v>39764</v>
      </c>
      <c r="K997" s="270">
        <f t="shared" si="261"/>
        <v>40154</v>
      </c>
      <c r="L997" s="270">
        <f t="shared" si="261"/>
        <v>42744</v>
      </c>
      <c r="M997" s="270">
        <f t="shared" si="261"/>
        <v>47050</v>
      </c>
      <c r="N997" s="270">
        <f t="shared" si="261"/>
        <v>62307</v>
      </c>
      <c r="O997" s="270">
        <f t="shared" si="261"/>
        <v>62307</v>
      </c>
      <c r="P997" s="270">
        <f t="shared" si="261"/>
        <v>62307</v>
      </c>
      <c r="Q997" s="270">
        <f t="shared" si="261"/>
        <v>62307</v>
      </c>
      <c r="R997" s="270">
        <f t="shared" si="261"/>
        <v>62307</v>
      </c>
      <c r="S997" s="270">
        <f t="shared" si="262"/>
        <v>62307</v>
      </c>
      <c r="T997" s="270">
        <f t="shared" si="262"/>
        <v>62307</v>
      </c>
      <c r="U997" s="270">
        <f t="shared" si="262"/>
        <v>62307</v>
      </c>
      <c r="V997" s="270">
        <f t="shared" si="262"/>
        <v>62307</v>
      </c>
      <c r="W997" s="270">
        <f t="shared" si="262"/>
        <v>62307</v>
      </c>
      <c r="X997" s="270">
        <f t="shared" si="262"/>
        <v>62307</v>
      </c>
      <c r="Y997" s="270">
        <f t="shared" si="262"/>
        <v>62307</v>
      </c>
      <c r="Z997" s="270">
        <f t="shared" si="262"/>
        <v>62307</v>
      </c>
      <c r="AA997" s="270">
        <f t="shared" si="262"/>
        <v>62307</v>
      </c>
      <c r="AB997" s="270">
        <f t="shared" si="262"/>
        <v>62307</v>
      </c>
      <c r="AC997" s="270">
        <f t="shared" si="262"/>
        <v>62307</v>
      </c>
      <c r="AD997" s="270">
        <f t="shared" si="261"/>
        <v>62307</v>
      </c>
      <c r="AE997" s="270">
        <f t="shared" si="252"/>
        <v>62307</v>
      </c>
      <c r="AF997" s="270">
        <f t="shared" si="260"/>
        <v>62307</v>
      </c>
      <c r="AG997" s="270">
        <f t="shared" si="260"/>
        <v>62307</v>
      </c>
      <c r="AH997" s="270">
        <f t="shared" si="260"/>
        <v>62307</v>
      </c>
      <c r="AI997" s="270">
        <f t="shared" si="260"/>
        <v>62307</v>
      </c>
      <c r="AJ997" s="270">
        <f t="shared" si="260"/>
        <v>62307</v>
      </c>
      <c r="AK997" s="270">
        <f t="shared" si="260"/>
        <v>62307</v>
      </c>
      <c r="AL997" s="270">
        <f t="shared" si="260"/>
        <v>62307</v>
      </c>
      <c r="AM997" s="270">
        <f t="shared" si="260"/>
        <v>62307</v>
      </c>
    </row>
    <row r="998" spans="2:39" ht="15.75" thickBot="1" x14ac:dyDescent="0.35">
      <c r="B998" s="56" t="str">
        <f>input_names!$E$3</f>
        <v>plug-in</v>
      </c>
      <c r="C998" s="61">
        <v>243</v>
      </c>
      <c r="D998" s="270">
        <f t="shared" si="261"/>
        <v>39706</v>
      </c>
      <c r="E998" s="270">
        <f t="shared" si="261"/>
        <v>45730</v>
      </c>
      <c r="F998" s="270">
        <f t="shared" si="261"/>
        <v>60300</v>
      </c>
      <c r="G998" s="270">
        <f t="shared" si="261"/>
        <v>58087</v>
      </c>
      <c r="H998" s="270">
        <f t="shared" si="261"/>
        <v>55373</v>
      </c>
      <c r="I998" s="270">
        <f t="shared" si="261"/>
        <v>54561</v>
      </c>
      <c r="J998" s="270">
        <f t="shared" si="261"/>
        <v>39966</v>
      </c>
      <c r="K998" s="270">
        <f t="shared" si="261"/>
        <v>40358</v>
      </c>
      <c r="L998" s="270">
        <f t="shared" si="261"/>
        <v>42961</v>
      </c>
      <c r="M998" s="270">
        <f t="shared" si="261"/>
        <v>47289</v>
      </c>
      <c r="N998" s="270">
        <f t="shared" si="261"/>
        <v>62875</v>
      </c>
      <c r="O998" s="270">
        <f t="shared" si="261"/>
        <v>62875</v>
      </c>
      <c r="P998" s="270">
        <f t="shared" si="261"/>
        <v>62875</v>
      </c>
      <c r="Q998" s="270">
        <f t="shared" si="261"/>
        <v>62875</v>
      </c>
      <c r="R998" s="270">
        <f t="shared" si="261"/>
        <v>62875</v>
      </c>
      <c r="S998" s="270">
        <f t="shared" si="262"/>
        <v>62875</v>
      </c>
      <c r="T998" s="270">
        <f t="shared" si="262"/>
        <v>62875</v>
      </c>
      <c r="U998" s="270">
        <f t="shared" si="262"/>
        <v>62875</v>
      </c>
      <c r="V998" s="270">
        <f t="shared" si="262"/>
        <v>62875</v>
      </c>
      <c r="W998" s="270">
        <f t="shared" si="262"/>
        <v>62875</v>
      </c>
      <c r="X998" s="270">
        <f t="shared" si="262"/>
        <v>62875</v>
      </c>
      <c r="Y998" s="270">
        <f t="shared" si="262"/>
        <v>62875</v>
      </c>
      <c r="Z998" s="270">
        <f t="shared" si="262"/>
        <v>62875</v>
      </c>
      <c r="AA998" s="270">
        <f t="shared" si="262"/>
        <v>62875</v>
      </c>
      <c r="AB998" s="270">
        <f t="shared" si="262"/>
        <v>62875</v>
      </c>
      <c r="AC998" s="270">
        <f t="shared" si="262"/>
        <v>62875</v>
      </c>
      <c r="AD998" s="270">
        <f t="shared" si="261"/>
        <v>62875</v>
      </c>
      <c r="AE998" s="270">
        <f t="shared" si="252"/>
        <v>62875</v>
      </c>
      <c r="AF998" s="270">
        <f t="shared" si="260"/>
        <v>62875</v>
      </c>
      <c r="AG998" s="270">
        <f t="shared" si="260"/>
        <v>62875</v>
      </c>
      <c r="AH998" s="270">
        <f t="shared" si="260"/>
        <v>62875</v>
      </c>
      <c r="AI998" s="270">
        <f t="shared" si="260"/>
        <v>62875</v>
      </c>
      <c r="AJ998" s="270">
        <f t="shared" si="260"/>
        <v>62875</v>
      </c>
      <c r="AK998" s="270">
        <f t="shared" si="260"/>
        <v>62875</v>
      </c>
      <c r="AL998" s="270">
        <f t="shared" si="260"/>
        <v>62875</v>
      </c>
      <c r="AM998" s="270">
        <f t="shared" si="260"/>
        <v>62875</v>
      </c>
    </row>
    <row r="999" spans="2:39" ht="15.75" thickBot="1" x14ac:dyDescent="0.35">
      <c r="B999" s="56" t="str">
        <f>input_names!$E$3</f>
        <v>plug-in</v>
      </c>
      <c r="C999" s="61">
        <v>244</v>
      </c>
      <c r="D999" s="270">
        <f t="shared" si="261"/>
        <v>40140</v>
      </c>
      <c r="E999" s="270">
        <f t="shared" si="261"/>
        <v>46206</v>
      </c>
      <c r="F999" s="270">
        <f t="shared" si="261"/>
        <v>60600</v>
      </c>
      <c r="G999" s="270">
        <f t="shared" si="261"/>
        <v>58376</v>
      </c>
      <c r="H999" s="270">
        <f t="shared" si="261"/>
        <v>55644</v>
      </c>
      <c r="I999" s="270">
        <f t="shared" si="261"/>
        <v>54828</v>
      </c>
      <c r="J999" s="270">
        <f t="shared" si="261"/>
        <v>40168</v>
      </c>
      <c r="K999" s="270">
        <f t="shared" si="261"/>
        <v>40562</v>
      </c>
      <c r="L999" s="270">
        <f t="shared" si="261"/>
        <v>43178</v>
      </c>
      <c r="M999" s="270">
        <f t="shared" si="261"/>
        <v>47528</v>
      </c>
      <c r="N999" s="270">
        <f t="shared" si="261"/>
        <v>63443</v>
      </c>
      <c r="O999" s="270">
        <f t="shared" si="261"/>
        <v>63443</v>
      </c>
      <c r="P999" s="270">
        <f t="shared" si="261"/>
        <v>63443</v>
      </c>
      <c r="Q999" s="270">
        <f t="shared" si="261"/>
        <v>63443</v>
      </c>
      <c r="R999" s="270">
        <f t="shared" si="261"/>
        <v>63443</v>
      </c>
      <c r="S999" s="270">
        <f t="shared" si="262"/>
        <v>63443</v>
      </c>
      <c r="T999" s="270">
        <f t="shared" si="262"/>
        <v>63443</v>
      </c>
      <c r="U999" s="270">
        <f t="shared" si="262"/>
        <v>63443</v>
      </c>
      <c r="V999" s="270">
        <f t="shared" si="262"/>
        <v>63443</v>
      </c>
      <c r="W999" s="270">
        <f t="shared" si="262"/>
        <v>63443</v>
      </c>
      <c r="X999" s="270">
        <f t="shared" si="262"/>
        <v>63443</v>
      </c>
      <c r="Y999" s="270">
        <f t="shared" si="262"/>
        <v>63443</v>
      </c>
      <c r="Z999" s="270">
        <f t="shared" si="262"/>
        <v>63443</v>
      </c>
      <c r="AA999" s="270">
        <f t="shared" si="262"/>
        <v>63443</v>
      </c>
      <c r="AB999" s="270">
        <f t="shared" si="262"/>
        <v>63443</v>
      </c>
      <c r="AC999" s="270">
        <f t="shared" si="262"/>
        <v>63443</v>
      </c>
      <c r="AD999" s="270">
        <f t="shared" si="261"/>
        <v>63443</v>
      </c>
      <c r="AE999" s="270">
        <f t="shared" si="252"/>
        <v>63443</v>
      </c>
      <c r="AF999" s="270">
        <f t="shared" si="260"/>
        <v>63443</v>
      </c>
      <c r="AG999" s="270">
        <f t="shared" si="260"/>
        <v>63443</v>
      </c>
      <c r="AH999" s="270">
        <f t="shared" si="260"/>
        <v>63443</v>
      </c>
      <c r="AI999" s="270">
        <f t="shared" si="260"/>
        <v>63443</v>
      </c>
      <c r="AJ999" s="270">
        <f t="shared" si="260"/>
        <v>63443</v>
      </c>
      <c r="AK999" s="270">
        <f t="shared" si="260"/>
        <v>63443</v>
      </c>
      <c r="AL999" s="270">
        <f t="shared" si="260"/>
        <v>63443</v>
      </c>
      <c r="AM999" s="270">
        <f t="shared" si="260"/>
        <v>63443</v>
      </c>
    </row>
    <row r="1000" spans="2:39" ht="15.75" thickBot="1" x14ac:dyDescent="0.35">
      <c r="B1000" s="56" t="str">
        <f>input_names!$E$3</f>
        <v>plug-in</v>
      </c>
      <c r="C1000" s="61">
        <v>245</v>
      </c>
      <c r="D1000" s="270">
        <f t="shared" si="261"/>
        <v>40574</v>
      </c>
      <c r="E1000" s="270">
        <f t="shared" si="261"/>
        <v>46682</v>
      </c>
      <c r="F1000" s="270">
        <f t="shared" si="261"/>
        <v>60900</v>
      </c>
      <c r="G1000" s="270">
        <f t="shared" si="261"/>
        <v>58665</v>
      </c>
      <c r="H1000" s="270">
        <f t="shared" si="261"/>
        <v>55915</v>
      </c>
      <c r="I1000" s="270">
        <f t="shared" si="261"/>
        <v>55095</v>
      </c>
      <c r="J1000" s="270">
        <f t="shared" si="261"/>
        <v>40370</v>
      </c>
      <c r="K1000" s="270">
        <f t="shared" si="261"/>
        <v>40766</v>
      </c>
      <c r="L1000" s="270">
        <f t="shared" si="261"/>
        <v>43395</v>
      </c>
      <c r="M1000" s="270">
        <f t="shared" si="261"/>
        <v>47767</v>
      </c>
      <c r="N1000" s="270">
        <f t="shared" si="261"/>
        <v>64011</v>
      </c>
      <c r="O1000" s="270">
        <f t="shared" si="261"/>
        <v>64011</v>
      </c>
      <c r="P1000" s="270">
        <f t="shared" si="261"/>
        <v>64011</v>
      </c>
      <c r="Q1000" s="270">
        <f t="shared" si="261"/>
        <v>64011</v>
      </c>
      <c r="R1000" s="270">
        <f t="shared" si="261"/>
        <v>64011</v>
      </c>
      <c r="S1000" s="270">
        <f t="shared" si="262"/>
        <v>64011</v>
      </c>
      <c r="T1000" s="270">
        <f t="shared" si="262"/>
        <v>64011</v>
      </c>
      <c r="U1000" s="270">
        <f t="shared" si="262"/>
        <v>64011</v>
      </c>
      <c r="V1000" s="270">
        <f t="shared" si="262"/>
        <v>64011</v>
      </c>
      <c r="W1000" s="270">
        <f t="shared" si="262"/>
        <v>64011</v>
      </c>
      <c r="X1000" s="270">
        <f t="shared" si="262"/>
        <v>64011</v>
      </c>
      <c r="Y1000" s="270">
        <f t="shared" si="262"/>
        <v>64011</v>
      </c>
      <c r="Z1000" s="270">
        <f t="shared" si="262"/>
        <v>64011</v>
      </c>
      <c r="AA1000" s="270">
        <f t="shared" si="262"/>
        <v>64011</v>
      </c>
      <c r="AB1000" s="270">
        <f t="shared" si="262"/>
        <v>64011</v>
      </c>
      <c r="AC1000" s="270">
        <f t="shared" si="262"/>
        <v>64011</v>
      </c>
      <c r="AD1000" s="270">
        <f t="shared" si="261"/>
        <v>64011</v>
      </c>
      <c r="AE1000" s="270">
        <f t="shared" si="252"/>
        <v>64011</v>
      </c>
      <c r="AF1000" s="270">
        <f t="shared" si="260"/>
        <v>64011</v>
      </c>
      <c r="AG1000" s="270">
        <f t="shared" si="260"/>
        <v>64011</v>
      </c>
      <c r="AH1000" s="270">
        <f t="shared" si="260"/>
        <v>64011</v>
      </c>
      <c r="AI1000" s="270">
        <f t="shared" si="260"/>
        <v>64011</v>
      </c>
      <c r="AJ1000" s="270">
        <f t="shared" si="260"/>
        <v>64011</v>
      </c>
      <c r="AK1000" s="270">
        <f t="shared" si="260"/>
        <v>64011</v>
      </c>
      <c r="AL1000" s="270">
        <f t="shared" si="260"/>
        <v>64011</v>
      </c>
      <c r="AM1000" s="270">
        <f t="shared" si="260"/>
        <v>64011</v>
      </c>
    </row>
    <row r="1001" spans="2:39" ht="15.75" thickBot="1" x14ac:dyDescent="0.35">
      <c r="B1001" s="56" t="str">
        <f>input_names!$E$3</f>
        <v>plug-in</v>
      </c>
      <c r="C1001" s="61">
        <v>246</v>
      </c>
      <c r="D1001" s="270">
        <f t="shared" si="261"/>
        <v>41008</v>
      </c>
      <c r="E1001" s="270">
        <f t="shared" si="261"/>
        <v>47158</v>
      </c>
      <c r="F1001" s="270">
        <f t="shared" si="261"/>
        <v>61200</v>
      </c>
      <c r="G1001" s="270">
        <f t="shared" si="261"/>
        <v>58954</v>
      </c>
      <c r="H1001" s="270">
        <f t="shared" si="261"/>
        <v>56186</v>
      </c>
      <c r="I1001" s="270">
        <f t="shared" si="261"/>
        <v>55362</v>
      </c>
      <c r="J1001" s="270">
        <f t="shared" si="261"/>
        <v>40572</v>
      </c>
      <c r="K1001" s="270">
        <f t="shared" si="261"/>
        <v>40970</v>
      </c>
      <c r="L1001" s="270">
        <f t="shared" si="261"/>
        <v>43612</v>
      </c>
      <c r="M1001" s="270">
        <f t="shared" si="261"/>
        <v>48006</v>
      </c>
      <c r="N1001" s="270">
        <f t="shared" si="261"/>
        <v>64579</v>
      </c>
      <c r="O1001" s="270">
        <f t="shared" si="261"/>
        <v>64579</v>
      </c>
      <c r="P1001" s="270">
        <f t="shared" si="261"/>
        <v>64579</v>
      </c>
      <c r="Q1001" s="270">
        <f t="shared" si="261"/>
        <v>64579</v>
      </c>
      <c r="R1001" s="270">
        <f t="shared" si="261"/>
        <v>64579</v>
      </c>
      <c r="S1001" s="270">
        <f t="shared" si="262"/>
        <v>64579</v>
      </c>
      <c r="T1001" s="270">
        <f t="shared" si="262"/>
        <v>64579</v>
      </c>
      <c r="U1001" s="270">
        <f t="shared" si="262"/>
        <v>64579</v>
      </c>
      <c r="V1001" s="270">
        <f t="shared" si="262"/>
        <v>64579</v>
      </c>
      <c r="W1001" s="270">
        <f t="shared" si="262"/>
        <v>64579</v>
      </c>
      <c r="X1001" s="270">
        <f t="shared" si="262"/>
        <v>64579</v>
      </c>
      <c r="Y1001" s="270">
        <f t="shared" si="262"/>
        <v>64579</v>
      </c>
      <c r="Z1001" s="270">
        <f t="shared" si="262"/>
        <v>64579</v>
      </c>
      <c r="AA1001" s="270">
        <f t="shared" si="262"/>
        <v>64579</v>
      </c>
      <c r="AB1001" s="270">
        <f t="shared" si="262"/>
        <v>64579</v>
      </c>
      <c r="AC1001" s="270">
        <f t="shared" si="262"/>
        <v>64579</v>
      </c>
      <c r="AD1001" s="270">
        <f t="shared" si="261"/>
        <v>64579</v>
      </c>
      <c r="AE1001" s="270">
        <f t="shared" si="252"/>
        <v>64579</v>
      </c>
      <c r="AF1001" s="270">
        <f t="shared" si="260"/>
        <v>64579</v>
      </c>
      <c r="AG1001" s="270">
        <f t="shared" si="260"/>
        <v>64579</v>
      </c>
      <c r="AH1001" s="270">
        <f t="shared" si="260"/>
        <v>64579</v>
      </c>
      <c r="AI1001" s="270">
        <f t="shared" si="260"/>
        <v>64579</v>
      </c>
      <c r="AJ1001" s="270">
        <f t="shared" si="260"/>
        <v>64579</v>
      </c>
      <c r="AK1001" s="270">
        <f t="shared" si="260"/>
        <v>64579</v>
      </c>
      <c r="AL1001" s="270">
        <f t="shared" si="260"/>
        <v>64579</v>
      </c>
      <c r="AM1001" s="270">
        <f t="shared" si="260"/>
        <v>64579</v>
      </c>
    </row>
    <row r="1002" spans="2:39" ht="15.75" thickBot="1" x14ac:dyDescent="0.35">
      <c r="B1002" s="56" t="str">
        <f>input_names!$E$3</f>
        <v>plug-in</v>
      </c>
      <c r="C1002" s="61">
        <v>247</v>
      </c>
      <c r="D1002" s="270">
        <f t="shared" si="261"/>
        <v>41442</v>
      </c>
      <c r="E1002" s="270">
        <f t="shared" si="261"/>
        <v>47634</v>
      </c>
      <c r="F1002" s="270">
        <f t="shared" si="261"/>
        <v>61500</v>
      </c>
      <c r="G1002" s="270">
        <f t="shared" si="261"/>
        <v>59243</v>
      </c>
      <c r="H1002" s="270">
        <f t="shared" si="261"/>
        <v>56457</v>
      </c>
      <c r="I1002" s="270">
        <f t="shared" si="261"/>
        <v>55629</v>
      </c>
      <c r="J1002" s="270">
        <f t="shared" si="261"/>
        <v>40774</v>
      </c>
      <c r="K1002" s="270">
        <f t="shared" si="261"/>
        <v>41174</v>
      </c>
      <c r="L1002" s="270">
        <f t="shared" si="261"/>
        <v>43829</v>
      </c>
      <c r="M1002" s="270">
        <f t="shared" si="261"/>
        <v>48245</v>
      </c>
      <c r="N1002" s="270">
        <f t="shared" si="261"/>
        <v>65147</v>
      </c>
      <c r="O1002" s="270">
        <f t="shared" si="261"/>
        <v>65147</v>
      </c>
      <c r="P1002" s="270">
        <f t="shared" si="261"/>
        <v>65147</v>
      </c>
      <c r="Q1002" s="270">
        <f t="shared" si="261"/>
        <v>65147</v>
      </c>
      <c r="R1002" s="270">
        <f t="shared" si="261"/>
        <v>65147</v>
      </c>
      <c r="S1002" s="270">
        <f t="shared" si="262"/>
        <v>65147</v>
      </c>
      <c r="T1002" s="270">
        <f t="shared" si="262"/>
        <v>65147</v>
      </c>
      <c r="U1002" s="270">
        <f t="shared" si="262"/>
        <v>65147</v>
      </c>
      <c r="V1002" s="270">
        <f t="shared" si="262"/>
        <v>65147</v>
      </c>
      <c r="W1002" s="270">
        <f t="shared" si="262"/>
        <v>65147</v>
      </c>
      <c r="X1002" s="270">
        <f t="shared" si="262"/>
        <v>65147</v>
      </c>
      <c r="Y1002" s="270">
        <f t="shared" si="262"/>
        <v>65147</v>
      </c>
      <c r="Z1002" s="270">
        <f t="shared" si="262"/>
        <v>65147</v>
      </c>
      <c r="AA1002" s="270">
        <f t="shared" si="262"/>
        <v>65147</v>
      </c>
      <c r="AB1002" s="270">
        <f t="shared" si="262"/>
        <v>65147</v>
      </c>
      <c r="AC1002" s="270">
        <f t="shared" si="262"/>
        <v>65147</v>
      </c>
      <c r="AD1002" s="270">
        <f t="shared" si="261"/>
        <v>65147</v>
      </c>
      <c r="AE1002" s="270">
        <f t="shared" si="252"/>
        <v>65147</v>
      </c>
      <c r="AF1002" s="270">
        <f t="shared" si="260"/>
        <v>65147</v>
      </c>
      <c r="AG1002" s="270">
        <f t="shared" si="260"/>
        <v>65147</v>
      </c>
      <c r="AH1002" s="270">
        <f t="shared" si="260"/>
        <v>65147</v>
      </c>
      <c r="AI1002" s="270">
        <f t="shared" si="260"/>
        <v>65147</v>
      </c>
      <c r="AJ1002" s="270">
        <f t="shared" si="260"/>
        <v>65147</v>
      </c>
      <c r="AK1002" s="270">
        <f t="shared" si="260"/>
        <v>65147</v>
      </c>
      <c r="AL1002" s="270">
        <f t="shared" si="260"/>
        <v>65147</v>
      </c>
      <c r="AM1002" s="270">
        <f t="shared" si="260"/>
        <v>65147</v>
      </c>
    </row>
    <row r="1003" spans="2:39" ht="15.75" thickBot="1" x14ac:dyDescent="0.35">
      <c r="B1003" s="56" t="str">
        <f>input_names!$E$3</f>
        <v>plug-in</v>
      </c>
      <c r="C1003" s="61">
        <v>248</v>
      </c>
      <c r="D1003" s="270">
        <f t="shared" si="261"/>
        <v>41876</v>
      </c>
      <c r="E1003" s="270">
        <f t="shared" si="261"/>
        <v>48110</v>
      </c>
      <c r="F1003" s="270">
        <f t="shared" si="261"/>
        <v>61800</v>
      </c>
      <c r="G1003" s="270">
        <f t="shared" si="261"/>
        <v>59532</v>
      </c>
      <c r="H1003" s="270">
        <f t="shared" si="261"/>
        <v>56728</v>
      </c>
      <c r="I1003" s="270">
        <f t="shared" si="261"/>
        <v>55896</v>
      </c>
      <c r="J1003" s="270">
        <f t="shared" si="261"/>
        <v>40976</v>
      </c>
      <c r="K1003" s="270">
        <f t="shared" si="261"/>
        <v>41378</v>
      </c>
      <c r="L1003" s="270">
        <f t="shared" si="261"/>
        <v>44046</v>
      </c>
      <c r="M1003" s="270">
        <f t="shared" si="261"/>
        <v>48484</v>
      </c>
      <c r="N1003" s="270">
        <f t="shared" si="261"/>
        <v>65715</v>
      </c>
      <c r="O1003" s="270">
        <f t="shared" si="261"/>
        <v>65715</v>
      </c>
      <c r="P1003" s="270">
        <f t="shared" si="261"/>
        <v>65715</v>
      </c>
      <c r="Q1003" s="270">
        <f t="shared" si="261"/>
        <v>65715</v>
      </c>
      <c r="R1003" s="270">
        <f t="shared" si="261"/>
        <v>65715</v>
      </c>
      <c r="S1003" s="270">
        <f t="shared" si="262"/>
        <v>65715</v>
      </c>
      <c r="T1003" s="270">
        <f t="shared" si="262"/>
        <v>65715</v>
      </c>
      <c r="U1003" s="270">
        <f t="shared" si="262"/>
        <v>65715</v>
      </c>
      <c r="V1003" s="270">
        <f t="shared" si="262"/>
        <v>65715</v>
      </c>
      <c r="W1003" s="270">
        <f t="shared" si="262"/>
        <v>65715</v>
      </c>
      <c r="X1003" s="270">
        <f t="shared" si="262"/>
        <v>65715</v>
      </c>
      <c r="Y1003" s="270">
        <f t="shared" si="262"/>
        <v>65715</v>
      </c>
      <c r="Z1003" s="270">
        <f t="shared" si="262"/>
        <v>65715</v>
      </c>
      <c r="AA1003" s="270">
        <f t="shared" si="262"/>
        <v>65715</v>
      </c>
      <c r="AB1003" s="270">
        <f t="shared" si="262"/>
        <v>65715</v>
      </c>
      <c r="AC1003" s="270">
        <f t="shared" si="262"/>
        <v>65715</v>
      </c>
      <c r="AD1003" s="270">
        <f t="shared" si="261"/>
        <v>65715</v>
      </c>
      <c r="AE1003" s="270">
        <f t="shared" si="252"/>
        <v>65715</v>
      </c>
      <c r="AF1003" s="270">
        <f t="shared" si="260"/>
        <v>65715</v>
      </c>
      <c r="AG1003" s="270">
        <f t="shared" si="260"/>
        <v>65715</v>
      </c>
      <c r="AH1003" s="270">
        <f t="shared" si="260"/>
        <v>65715</v>
      </c>
      <c r="AI1003" s="270">
        <f t="shared" si="260"/>
        <v>65715</v>
      </c>
      <c r="AJ1003" s="270">
        <f t="shared" si="260"/>
        <v>65715</v>
      </c>
      <c r="AK1003" s="270">
        <f t="shared" si="260"/>
        <v>65715</v>
      </c>
      <c r="AL1003" s="270">
        <f t="shared" si="260"/>
        <v>65715</v>
      </c>
      <c r="AM1003" s="270">
        <f t="shared" si="260"/>
        <v>65715</v>
      </c>
    </row>
    <row r="1004" spans="2:39" ht="15.75" thickBot="1" x14ac:dyDescent="0.35">
      <c r="B1004" s="56" t="str">
        <f>input_names!$E$3</f>
        <v>plug-in</v>
      </c>
      <c r="C1004" s="61">
        <v>249</v>
      </c>
      <c r="D1004" s="270">
        <f t="shared" si="261"/>
        <v>42310</v>
      </c>
      <c r="E1004" s="270">
        <f t="shared" si="261"/>
        <v>48586</v>
      </c>
      <c r="F1004" s="270">
        <f t="shared" si="261"/>
        <v>62100</v>
      </c>
      <c r="G1004" s="270">
        <f t="shared" si="261"/>
        <v>59821</v>
      </c>
      <c r="H1004" s="270">
        <f t="shared" si="261"/>
        <v>56999</v>
      </c>
      <c r="I1004" s="270">
        <f t="shared" si="261"/>
        <v>56163</v>
      </c>
      <c r="J1004" s="270">
        <f t="shared" si="261"/>
        <v>41178</v>
      </c>
      <c r="K1004" s="270">
        <f t="shared" si="261"/>
        <v>41582</v>
      </c>
      <c r="L1004" s="270">
        <f t="shared" si="261"/>
        <v>44263</v>
      </c>
      <c r="M1004" s="270">
        <f t="shared" si="261"/>
        <v>48723</v>
      </c>
      <c r="N1004" s="270">
        <f t="shared" si="261"/>
        <v>66283</v>
      </c>
      <c r="O1004" s="270">
        <f t="shared" si="261"/>
        <v>66283</v>
      </c>
      <c r="P1004" s="270">
        <f t="shared" si="261"/>
        <v>66283</v>
      </c>
      <c r="Q1004" s="270">
        <f t="shared" si="261"/>
        <v>66283</v>
      </c>
      <c r="R1004" s="270">
        <f t="shared" si="261"/>
        <v>66283</v>
      </c>
      <c r="S1004" s="270">
        <f t="shared" si="262"/>
        <v>66283</v>
      </c>
      <c r="T1004" s="270">
        <f t="shared" si="262"/>
        <v>66283</v>
      </c>
      <c r="U1004" s="270">
        <f t="shared" si="262"/>
        <v>66283</v>
      </c>
      <c r="V1004" s="270">
        <f t="shared" si="262"/>
        <v>66283</v>
      </c>
      <c r="W1004" s="270">
        <f t="shared" si="262"/>
        <v>66283</v>
      </c>
      <c r="X1004" s="270">
        <f t="shared" si="262"/>
        <v>66283</v>
      </c>
      <c r="Y1004" s="270">
        <f t="shared" si="262"/>
        <v>66283</v>
      </c>
      <c r="Z1004" s="270">
        <f t="shared" si="262"/>
        <v>66283</v>
      </c>
      <c r="AA1004" s="270">
        <f t="shared" si="262"/>
        <v>66283</v>
      </c>
      <c r="AB1004" s="270">
        <f t="shared" si="262"/>
        <v>66283</v>
      </c>
      <c r="AC1004" s="270">
        <f t="shared" si="262"/>
        <v>66283</v>
      </c>
      <c r="AD1004" s="270">
        <f t="shared" si="261"/>
        <v>66283</v>
      </c>
      <c r="AE1004" s="270">
        <f t="shared" ref="AE1004:AE1067" si="263">+MIN(MAX(0,$C1004-AE$28),AE$29-AE$28)*AE$34
+MIN(MAX(0,$C1004-AE$29),AE$30-AE$29)*AE$35
+MIN(MAX(0,$C1004-AE$30),AE$31-AE$30)*AE$36
+MIN(MAX(0,$C1004-AE$31),AE$32-AE$31)*AE$37
+MAX(0,$C1004-AE$32)*AE$38
+AE$39</f>
        <v>66283</v>
      </c>
      <c r="AF1004" s="270">
        <f t="shared" si="260"/>
        <v>66283</v>
      </c>
      <c r="AG1004" s="270">
        <f t="shared" si="260"/>
        <v>66283</v>
      </c>
      <c r="AH1004" s="270">
        <f t="shared" si="260"/>
        <v>66283</v>
      </c>
      <c r="AI1004" s="270">
        <f t="shared" si="260"/>
        <v>66283</v>
      </c>
      <c r="AJ1004" s="270">
        <f t="shared" si="260"/>
        <v>66283</v>
      </c>
      <c r="AK1004" s="270">
        <f t="shared" si="260"/>
        <v>66283</v>
      </c>
      <c r="AL1004" s="270">
        <f t="shared" si="260"/>
        <v>66283</v>
      </c>
      <c r="AM1004" s="270">
        <f t="shared" si="260"/>
        <v>66283</v>
      </c>
    </row>
    <row r="1005" spans="2:39" ht="15.75" thickBot="1" x14ac:dyDescent="0.35">
      <c r="B1005" s="56" t="str">
        <f>input_names!$E$3</f>
        <v>plug-in</v>
      </c>
      <c r="C1005" s="61">
        <v>250</v>
      </c>
      <c r="D1005" s="270">
        <f t="shared" si="261"/>
        <v>42744</v>
      </c>
      <c r="E1005" s="270">
        <f t="shared" si="261"/>
        <v>49062</v>
      </c>
      <c r="F1005" s="270">
        <f t="shared" si="261"/>
        <v>62400</v>
      </c>
      <c r="G1005" s="270">
        <f t="shared" si="261"/>
        <v>60110</v>
      </c>
      <c r="H1005" s="270">
        <f t="shared" si="261"/>
        <v>57270</v>
      </c>
      <c r="I1005" s="270">
        <f t="shared" si="261"/>
        <v>56430</v>
      </c>
      <c r="J1005" s="270">
        <f t="shared" si="261"/>
        <v>41380</v>
      </c>
      <c r="K1005" s="270">
        <f t="shared" si="261"/>
        <v>41786</v>
      </c>
      <c r="L1005" s="270">
        <f t="shared" si="261"/>
        <v>44480</v>
      </c>
      <c r="M1005" s="270">
        <f t="shared" si="261"/>
        <v>48962</v>
      </c>
      <c r="N1005" s="270">
        <f t="shared" si="261"/>
        <v>66851</v>
      </c>
      <c r="O1005" s="270">
        <f t="shared" si="261"/>
        <v>66851</v>
      </c>
      <c r="P1005" s="270">
        <f t="shared" si="261"/>
        <v>66851</v>
      </c>
      <c r="Q1005" s="270">
        <f t="shared" si="261"/>
        <v>66851</v>
      </c>
      <c r="R1005" s="270">
        <f t="shared" si="261"/>
        <v>66851</v>
      </c>
      <c r="S1005" s="270">
        <f t="shared" si="262"/>
        <v>66851</v>
      </c>
      <c r="T1005" s="270">
        <f t="shared" si="262"/>
        <v>66851</v>
      </c>
      <c r="U1005" s="270">
        <f t="shared" si="262"/>
        <v>66851</v>
      </c>
      <c r="V1005" s="270">
        <f t="shared" si="262"/>
        <v>66851</v>
      </c>
      <c r="W1005" s="270">
        <f t="shared" si="262"/>
        <v>66851</v>
      </c>
      <c r="X1005" s="270">
        <f t="shared" si="262"/>
        <v>66851</v>
      </c>
      <c r="Y1005" s="270">
        <f t="shared" si="262"/>
        <v>66851</v>
      </c>
      <c r="Z1005" s="270">
        <f t="shared" si="262"/>
        <v>66851</v>
      </c>
      <c r="AA1005" s="270">
        <f t="shared" si="262"/>
        <v>66851</v>
      </c>
      <c r="AB1005" s="270">
        <f t="shared" si="262"/>
        <v>66851</v>
      </c>
      <c r="AC1005" s="270">
        <f t="shared" si="262"/>
        <v>66851</v>
      </c>
      <c r="AD1005" s="270">
        <f t="shared" si="261"/>
        <v>66851</v>
      </c>
      <c r="AE1005" s="270">
        <f t="shared" si="263"/>
        <v>66851</v>
      </c>
      <c r="AF1005" s="270">
        <f t="shared" si="260"/>
        <v>66851</v>
      </c>
      <c r="AG1005" s="270">
        <f t="shared" si="260"/>
        <v>66851</v>
      </c>
      <c r="AH1005" s="270">
        <f t="shared" si="260"/>
        <v>66851</v>
      </c>
      <c r="AI1005" s="270">
        <f t="shared" si="260"/>
        <v>66851</v>
      </c>
      <c r="AJ1005" s="270">
        <f t="shared" si="260"/>
        <v>66851</v>
      </c>
      <c r="AK1005" s="270">
        <f t="shared" si="260"/>
        <v>66851</v>
      </c>
      <c r="AL1005" s="270">
        <f t="shared" si="260"/>
        <v>66851</v>
      </c>
      <c r="AM1005" s="270">
        <f t="shared" si="260"/>
        <v>66851</v>
      </c>
    </row>
    <row r="1006" spans="2:39" ht="15.75" thickBot="1" x14ac:dyDescent="0.35">
      <c r="B1006" s="56" t="str">
        <f>input_names!$E$3</f>
        <v>plug-in</v>
      </c>
      <c r="C1006" s="61">
        <v>251</v>
      </c>
      <c r="D1006" s="270">
        <f t="shared" si="261"/>
        <v>43178</v>
      </c>
      <c r="E1006" s="270">
        <f t="shared" si="261"/>
        <v>49538</v>
      </c>
      <c r="F1006" s="270">
        <f t="shared" si="261"/>
        <v>62700</v>
      </c>
      <c r="G1006" s="270">
        <f t="shared" si="261"/>
        <v>60399</v>
      </c>
      <c r="H1006" s="270">
        <f t="shared" si="261"/>
        <v>57541</v>
      </c>
      <c r="I1006" s="270">
        <f t="shared" si="261"/>
        <v>56697</v>
      </c>
      <c r="J1006" s="270">
        <f t="shared" si="261"/>
        <v>41582</v>
      </c>
      <c r="K1006" s="270">
        <f t="shared" si="261"/>
        <v>41990</v>
      </c>
      <c r="L1006" s="270">
        <f t="shared" si="261"/>
        <v>44697</v>
      </c>
      <c r="M1006" s="270">
        <f t="shared" si="261"/>
        <v>49201</v>
      </c>
      <c r="N1006" s="270">
        <f t="shared" si="261"/>
        <v>67419</v>
      </c>
      <c r="O1006" s="270">
        <f t="shared" si="261"/>
        <v>67419</v>
      </c>
      <c r="P1006" s="270">
        <f t="shared" si="261"/>
        <v>67419</v>
      </c>
      <c r="Q1006" s="270">
        <f t="shared" si="261"/>
        <v>67419</v>
      </c>
      <c r="R1006" s="270">
        <f t="shared" si="261"/>
        <v>67419</v>
      </c>
      <c r="S1006" s="270">
        <f t="shared" si="262"/>
        <v>67419</v>
      </c>
      <c r="T1006" s="270">
        <f t="shared" si="262"/>
        <v>67419</v>
      </c>
      <c r="U1006" s="270">
        <f t="shared" si="262"/>
        <v>67419</v>
      </c>
      <c r="V1006" s="270">
        <f t="shared" si="262"/>
        <v>67419</v>
      </c>
      <c r="W1006" s="270">
        <f t="shared" si="262"/>
        <v>67419</v>
      </c>
      <c r="X1006" s="270">
        <f t="shared" si="262"/>
        <v>67419</v>
      </c>
      <c r="Y1006" s="270">
        <f t="shared" si="262"/>
        <v>67419</v>
      </c>
      <c r="Z1006" s="270">
        <f t="shared" si="262"/>
        <v>67419</v>
      </c>
      <c r="AA1006" s="270">
        <f t="shared" si="262"/>
        <v>67419</v>
      </c>
      <c r="AB1006" s="270">
        <f t="shared" si="262"/>
        <v>67419</v>
      </c>
      <c r="AC1006" s="270">
        <f t="shared" si="262"/>
        <v>67419</v>
      </c>
      <c r="AD1006" s="270">
        <f t="shared" si="261"/>
        <v>67419</v>
      </c>
      <c r="AE1006" s="270">
        <f t="shared" si="263"/>
        <v>67419</v>
      </c>
      <c r="AF1006" s="270">
        <f t="shared" si="260"/>
        <v>67419</v>
      </c>
      <c r="AG1006" s="270">
        <f t="shared" si="260"/>
        <v>67419</v>
      </c>
      <c r="AH1006" s="270">
        <f t="shared" si="260"/>
        <v>67419</v>
      </c>
      <c r="AI1006" s="270">
        <f t="shared" si="260"/>
        <v>67419</v>
      </c>
      <c r="AJ1006" s="270">
        <f t="shared" si="260"/>
        <v>67419</v>
      </c>
      <c r="AK1006" s="270">
        <f t="shared" si="260"/>
        <v>67419</v>
      </c>
      <c r="AL1006" s="270">
        <f t="shared" si="260"/>
        <v>67419</v>
      </c>
      <c r="AM1006" s="270">
        <f t="shared" si="260"/>
        <v>67419</v>
      </c>
    </row>
    <row r="1007" spans="2:39" ht="15.75" thickBot="1" x14ac:dyDescent="0.35">
      <c r="B1007" s="56" t="str">
        <f>input_names!$E$3</f>
        <v>plug-in</v>
      </c>
      <c r="C1007" s="61">
        <v>252</v>
      </c>
      <c r="D1007" s="270">
        <f t="shared" si="261"/>
        <v>43612</v>
      </c>
      <c r="E1007" s="270">
        <f t="shared" si="261"/>
        <v>50014</v>
      </c>
      <c r="F1007" s="270">
        <f t="shared" si="261"/>
        <v>63000</v>
      </c>
      <c r="G1007" s="270">
        <f t="shared" si="261"/>
        <v>60688</v>
      </c>
      <c r="H1007" s="270">
        <f t="shared" si="261"/>
        <v>57812</v>
      </c>
      <c r="I1007" s="270">
        <f t="shared" si="261"/>
        <v>56964</v>
      </c>
      <c r="J1007" s="270">
        <f t="shared" si="261"/>
        <v>41784</v>
      </c>
      <c r="K1007" s="270">
        <f t="shared" si="261"/>
        <v>42194</v>
      </c>
      <c r="L1007" s="270">
        <f t="shared" si="261"/>
        <v>44914</v>
      </c>
      <c r="M1007" s="270">
        <f t="shared" si="261"/>
        <v>49440</v>
      </c>
      <c r="N1007" s="270">
        <f t="shared" si="261"/>
        <v>67987</v>
      </c>
      <c r="O1007" s="270">
        <f t="shared" si="261"/>
        <v>67987</v>
      </c>
      <c r="P1007" s="270">
        <f t="shared" si="261"/>
        <v>67987</v>
      </c>
      <c r="Q1007" s="270">
        <f t="shared" si="261"/>
        <v>67987</v>
      </c>
      <c r="R1007" s="270">
        <f t="shared" si="261"/>
        <v>67987</v>
      </c>
      <c r="S1007" s="270">
        <f t="shared" si="262"/>
        <v>67987</v>
      </c>
      <c r="T1007" s="270">
        <f t="shared" si="262"/>
        <v>67987</v>
      </c>
      <c r="U1007" s="270">
        <f t="shared" si="262"/>
        <v>67987</v>
      </c>
      <c r="V1007" s="270">
        <f t="shared" si="262"/>
        <v>67987</v>
      </c>
      <c r="W1007" s="270">
        <f t="shared" si="262"/>
        <v>67987</v>
      </c>
      <c r="X1007" s="270">
        <f t="shared" si="262"/>
        <v>67987</v>
      </c>
      <c r="Y1007" s="270">
        <f t="shared" si="262"/>
        <v>67987</v>
      </c>
      <c r="Z1007" s="270">
        <f t="shared" si="262"/>
        <v>67987</v>
      </c>
      <c r="AA1007" s="270">
        <f t="shared" si="262"/>
        <v>67987</v>
      </c>
      <c r="AB1007" s="270">
        <f t="shared" si="262"/>
        <v>67987</v>
      </c>
      <c r="AC1007" s="270">
        <f t="shared" si="262"/>
        <v>67987</v>
      </c>
      <c r="AD1007" s="270">
        <f t="shared" si="261"/>
        <v>67987</v>
      </c>
      <c r="AE1007" s="270">
        <f t="shared" si="263"/>
        <v>67987</v>
      </c>
      <c r="AF1007" s="270">
        <f t="shared" si="260"/>
        <v>67987</v>
      </c>
      <c r="AG1007" s="270">
        <f t="shared" si="260"/>
        <v>67987</v>
      </c>
      <c r="AH1007" s="270">
        <f t="shared" si="260"/>
        <v>67987</v>
      </c>
      <c r="AI1007" s="270">
        <f t="shared" si="260"/>
        <v>67987</v>
      </c>
      <c r="AJ1007" s="270">
        <f t="shared" si="260"/>
        <v>67987</v>
      </c>
      <c r="AK1007" s="270">
        <f t="shared" si="260"/>
        <v>67987</v>
      </c>
      <c r="AL1007" s="270">
        <f t="shared" si="260"/>
        <v>67987</v>
      </c>
      <c r="AM1007" s="270">
        <f t="shared" si="260"/>
        <v>67987</v>
      </c>
    </row>
    <row r="1008" spans="2:39" ht="15.75" thickBot="1" x14ac:dyDescent="0.35">
      <c r="B1008" s="56" t="str">
        <f>input_names!$E$3</f>
        <v>plug-in</v>
      </c>
      <c r="C1008" s="61">
        <v>253</v>
      </c>
      <c r="D1008" s="270">
        <f t="shared" si="261"/>
        <v>44046</v>
      </c>
      <c r="E1008" s="270">
        <f t="shared" si="261"/>
        <v>50490</v>
      </c>
      <c r="F1008" s="270">
        <f t="shared" si="261"/>
        <v>63300</v>
      </c>
      <c r="G1008" s="270">
        <f t="shared" si="261"/>
        <v>60977</v>
      </c>
      <c r="H1008" s="270">
        <f t="shared" si="261"/>
        <v>58083</v>
      </c>
      <c r="I1008" s="270">
        <f t="shared" si="261"/>
        <v>57231</v>
      </c>
      <c r="J1008" s="270">
        <f t="shared" si="261"/>
        <v>41986</v>
      </c>
      <c r="K1008" s="270">
        <f t="shared" si="261"/>
        <v>42398</v>
      </c>
      <c r="L1008" s="270">
        <f t="shared" si="261"/>
        <v>45131</v>
      </c>
      <c r="M1008" s="270">
        <f t="shared" si="261"/>
        <v>49679</v>
      </c>
      <c r="N1008" s="270">
        <f t="shared" si="261"/>
        <v>68555</v>
      </c>
      <c r="O1008" s="270">
        <f t="shared" si="261"/>
        <v>68555</v>
      </c>
      <c r="P1008" s="270">
        <f t="shared" si="261"/>
        <v>68555</v>
      </c>
      <c r="Q1008" s="270">
        <f t="shared" si="261"/>
        <v>68555</v>
      </c>
      <c r="R1008" s="270">
        <f t="shared" si="261"/>
        <v>68555</v>
      </c>
      <c r="S1008" s="270">
        <f t="shared" si="262"/>
        <v>68555</v>
      </c>
      <c r="T1008" s="270">
        <f t="shared" si="262"/>
        <v>68555</v>
      </c>
      <c r="U1008" s="270">
        <f t="shared" si="262"/>
        <v>68555</v>
      </c>
      <c r="V1008" s="270">
        <f t="shared" si="262"/>
        <v>68555</v>
      </c>
      <c r="W1008" s="270">
        <f t="shared" si="262"/>
        <v>68555</v>
      </c>
      <c r="X1008" s="270">
        <f t="shared" si="262"/>
        <v>68555</v>
      </c>
      <c r="Y1008" s="270">
        <f t="shared" si="262"/>
        <v>68555</v>
      </c>
      <c r="Z1008" s="270">
        <f t="shared" si="262"/>
        <v>68555</v>
      </c>
      <c r="AA1008" s="270">
        <f t="shared" si="262"/>
        <v>68555</v>
      </c>
      <c r="AB1008" s="270">
        <f t="shared" si="262"/>
        <v>68555</v>
      </c>
      <c r="AC1008" s="270">
        <f t="shared" si="262"/>
        <v>68555</v>
      </c>
      <c r="AD1008" s="270">
        <f t="shared" si="261"/>
        <v>68555</v>
      </c>
      <c r="AE1008" s="270">
        <f t="shared" si="263"/>
        <v>68555</v>
      </c>
      <c r="AF1008" s="270">
        <f t="shared" si="260"/>
        <v>68555</v>
      </c>
      <c r="AG1008" s="270">
        <f t="shared" si="260"/>
        <v>68555</v>
      </c>
      <c r="AH1008" s="270">
        <f t="shared" si="260"/>
        <v>68555</v>
      </c>
      <c r="AI1008" s="270">
        <f t="shared" si="260"/>
        <v>68555</v>
      </c>
      <c r="AJ1008" s="270">
        <f t="shared" si="260"/>
        <v>68555</v>
      </c>
      <c r="AK1008" s="270">
        <f t="shared" si="260"/>
        <v>68555</v>
      </c>
      <c r="AL1008" s="270">
        <f t="shared" si="260"/>
        <v>68555</v>
      </c>
      <c r="AM1008" s="270">
        <f t="shared" si="260"/>
        <v>68555</v>
      </c>
    </row>
    <row r="1009" spans="2:39" ht="15.75" thickBot="1" x14ac:dyDescent="0.35">
      <c r="B1009" s="56" t="str">
        <f>input_names!$E$3</f>
        <v>plug-in</v>
      </c>
      <c r="C1009" s="61">
        <v>254</v>
      </c>
      <c r="D1009" s="270">
        <f t="shared" si="261"/>
        <v>44480</v>
      </c>
      <c r="E1009" s="270">
        <f t="shared" si="261"/>
        <v>50966</v>
      </c>
      <c r="F1009" s="270">
        <f t="shared" si="261"/>
        <v>63600</v>
      </c>
      <c r="G1009" s="270">
        <f t="shared" si="261"/>
        <v>61266</v>
      </c>
      <c r="H1009" s="270">
        <f t="shared" si="261"/>
        <v>58354</v>
      </c>
      <c r="I1009" s="270">
        <f t="shared" si="261"/>
        <v>57498</v>
      </c>
      <c r="J1009" s="270">
        <f t="shared" si="261"/>
        <v>42188</v>
      </c>
      <c r="K1009" s="270">
        <f t="shared" si="261"/>
        <v>42602</v>
      </c>
      <c r="L1009" s="270">
        <f t="shared" si="261"/>
        <v>45348</v>
      </c>
      <c r="M1009" s="270">
        <f t="shared" si="261"/>
        <v>49918</v>
      </c>
      <c r="N1009" s="270">
        <f t="shared" si="261"/>
        <v>69123</v>
      </c>
      <c r="O1009" s="270">
        <f t="shared" si="261"/>
        <v>69123</v>
      </c>
      <c r="P1009" s="270">
        <f t="shared" si="261"/>
        <v>69123</v>
      </c>
      <c r="Q1009" s="270">
        <f t="shared" si="261"/>
        <v>69123</v>
      </c>
      <c r="R1009" s="270">
        <f t="shared" si="261"/>
        <v>69123</v>
      </c>
      <c r="S1009" s="270">
        <f>+MIN(MAX(0,$C1009-S$28),S$29-S$28)*S$34
+MIN(MAX(0,$C1009-S$29),S$30-S$29)*S$35
+MIN(MAX(0,$C1009-S$30),S$31-S$30)*S$36
+MIN(MAX(0,$C1009-S$31),S$32-S$31)*S$37
+MAX(0,$C1009-S$32)*S$38
+S$39</f>
        <v>69123</v>
      </c>
      <c r="T1009" s="270">
        <f t="shared" si="262"/>
        <v>69123</v>
      </c>
      <c r="U1009" s="270">
        <f t="shared" si="262"/>
        <v>69123</v>
      </c>
      <c r="V1009" s="270">
        <f t="shared" si="262"/>
        <v>69123</v>
      </c>
      <c r="W1009" s="270">
        <f t="shared" si="262"/>
        <v>69123</v>
      </c>
      <c r="X1009" s="270">
        <f t="shared" si="262"/>
        <v>69123</v>
      </c>
      <c r="Y1009" s="270">
        <f t="shared" si="262"/>
        <v>69123</v>
      </c>
      <c r="Z1009" s="270">
        <f t="shared" si="262"/>
        <v>69123</v>
      </c>
      <c r="AA1009" s="270">
        <f t="shared" si="262"/>
        <v>69123</v>
      </c>
      <c r="AB1009" s="270">
        <f t="shared" si="262"/>
        <v>69123</v>
      </c>
      <c r="AC1009" s="270">
        <f t="shared" si="262"/>
        <v>69123</v>
      </c>
      <c r="AD1009" s="270">
        <f>+MIN(MAX(0,$C1009-AD$28),AD$29-AD$28)*AD$34
+MIN(MAX(0,$C1009-AD$29),AD$30-AD$29)*AD$35
+MIN(MAX(0,$C1009-AD$30),AD$31-AD$30)*AD$36
+MIN(MAX(0,$C1009-AD$31),AD$32-AD$31)*AD$37
+MAX(0,$C1009-AD$32)*AD$38
+AD$39</f>
        <v>69123</v>
      </c>
      <c r="AE1009" s="270">
        <f t="shared" si="263"/>
        <v>69123</v>
      </c>
      <c r="AF1009" s="270">
        <f t="shared" si="260"/>
        <v>69123</v>
      </c>
      <c r="AG1009" s="270">
        <f t="shared" si="260"/>
        <v>69123</v>
      </c>
      <c r="AH1009" s="270">
        <f t="shared" si="260"/>
        <v>69123</v>
      </c>
      <c r="AI1009" s="270">
        <f t="shared" si="260"/>
        <v>69123</v>
      </c>
      <c r="AJ1009" s="270">
        <f t="shared" si="260"/>
        <v>69123</v>
      </c>
      <c r="AK1009" s="270">
        <f t="shared" si="260"/>
        <v>69123</v>
      </c>
      <c r="AL1009" s="270">
        <f t="shared" si="260"/>
        <v>69123</v>
      </c>
      <c r="AM1009" s="270">
        <f t="shared" ref="AF1009:AM1038" si="264">+MIN(MAX(0,$C1009-AM$28),AM$29-AM$28)*AM$34
+MIN(MAX(0,$C1009-AM$29),AM$30-AM$29)*AM$35
+MIN(MAX(0,$C1009-AM$30),AM$31-AM$30)*AM$36
+MIN(MAX(0,$C1009-AM$31),AM$32-AM$31)*AM$37
+MAX(0,$C1009-AM$32)*AM$38
+AM$39</f>
        <v>69123</v>
      </c>
    </row>
    <row r="1010" spans="2:39" ht="15.75" thickBot="1" x14ac:dyDescent="0.35">
      <c r="B1010" s="56" t="str">
        <f>input_names!$E$3</f>
        <v>plug-in</v>
      </c>
      <c r="C1010" s="61">
        <v>255</v>
      </c>
      <c r="D1010" s="270">
        <f t="shared" ref="D1010:AD1025" si="265">+MIN(MAX(0,$C1010-D$28),D$29-D$28)*D$34
+MIN(MAX(0,$C1010-D$29),D$30-D$29)*D$35
+MIN(MAX(0,$C1010-D$30),D$31-D$30)*D$36
+MIN(MAX(0,$C1010-D$31),D$32-D$31)*D$37
+MAX(0,$C1010-D$32)*D$38
+D$39</f>
        <v>44914</v>
      </c>
      <c r="E1010" s="270">
        <f t="shared" si="265"/>
        <v>51442</v>
      </c>
      <c r="F1010" s="270">
        <f t="shared" si="265"/>
        <v>63900</v>
      </c>
      <c r="G1010" s="270">
        <f t="shared" si="265"/>
        <v>61555</v>
      </c>
      <c r="H1010" s="270">
        <f t="shared" si="265"/>
        <v>58625</v>
      </c>
      <c r="I1010" s="270">
        <f t="shared" si="265"/>
        <v>57765</v>
      </c>
      <c r="J1010" s="270">
        <f t="shared" si="265"/>
        <v>42390</v>
      </c>
      <c r="K1010" s="270">
        <f t="shared" si="265"/>
        <v>42806</v>
      </c>
      <c r="L1010" s="270">
        <f t="shared" si="265"/>
        <v>45565</v>
      </c>
      <c r="M1010" s="270">
        <f t="shared" si="265"/>
        <v>50157</v>
      </c>
      <c r="N1010" s="270">
        <f t="shared" si="265"/>
        <v>69691</v>
      </c>
      <c r="O1010" s="270">
        <f t="shared" si="265"/>
        <v>69691</v>
      </c>
      <c r="P1010" s="270">
        <f t="shared" si="265"/>
        <v>69691</v>
      </c>
      <c r="Q1010" s="270">
        <f t="shared" si="265"/>
        <v>69691</v>
      </c>
      <c r="R1010" s="270">
        <f t="shared" si="265"/>
        <v>69691</v>
      </c>
      <c r="S1010" s="270">
        <f t="shared" ref="S1010:AC1025" si="266">+MIN(MAX(0,$C1010-S$28),S$29-S$28)*S$34
+MIN(MAX(0,$C1010-S$29),S$30-S$29)*S$35
+MIN(MAX(0,$C1010-S$30),S$31-S$30)*S$36
+MIN(MAX(0,$C1010-S$31),S$32-S$31)*S$37
+MAX(0,$C1010-S$32)*S$38
+S$39</f>
        <v>69691</v>
      </c>
      <c r="T1010" s="270">
        <f t="shared" si="266"/>
        <v>69691</v>
      </c>
      <c r="U1010" s="270">
        <f t="shared" si="266"/>
        <v>69691</v>
      </c>
      <c r="V1010" s="270">
        <f t="shared" si="266"/>
        <v>69691</v>
      </c>
      <c r="W1010" s="270">
        <f t="shared" si="266"/>
        <v>69691</v>
      </c>
      <c r="X1010" s="270">
        <f t="shared" si="266"/>
        <v>69691</v>
      </c>
      <c r="Y1010" s="270">
        <f t="shared" si="266"/>
        <v>69691</v>
      </c>
      <c r="Z1010" s="270">
        <f t="shared" si="266"/>
        <v>69691</v>
      </c>
      <c r="AA1010" s="270">
        <f t="shared" si="266"/>
        <v>69691</v>
      </c>
      <c r="AB1010" s="270">
        <f t="shared" si="266"/>
        <v>69691</v>
      </c>
      <c r="AC1010" s="270">
        <f t="shared" si="266"/>
        <v>69691</v>
      </c>
      <c r="AD1010" s="270">
        <f t="shared" si="265"/>
        <v>69691</v>
      </c>
      <c r="AE1010" s="270">
        <f t="shared" si="263"/>
        <v>69691</v>
      </c>
      <c r="AF1010" s="270">
        <f t="shared" si="264"/>
        <v>69691</v>
      </c>
      <c r="AG1010" s="270">
        <f t="shared" si="264"/>
        <v>69691</v>
      </c>
      <c r="AH1010" s="270">
        <f t="shared" si="264"/>
        <v>69691</v>
      </c>
      <c r="AI1010" s="270">
        <f t="shared" si="264"/>
        <v>69691</v>
      </c>
      <c r="AJ1010" s="270">
        <f t="shared" si="264"/>
        <v>69691</v>
      </c>
      <c r="AK1010" s="270">
        <f t="shared" si="264"/>
        <v>69691</v>
      </c>
      <c r="AL1010" s="270">
        <f t="shared" si="264"/>
        <v>69691</v>
      </c>
      <c r="AM1010" s="270">
        <f t="shared" si="264"/>
        <v>69691</v>
      </c>
    </row>
    <row r="1011" spans="2:39" ht="15.75" thickBot="1" x14ac:dyDescent="0.35">
      <c r="B1011" s="56" t="str">
        <f>input_names!$E$3</f>
        <v>plug-in</v>
      </c>
      <c r="C1011" s="61">
        <v>256</v>
      </c>
      <c r="D1011" s="270">
        <f t="shared" si="265"/>
        <v>45348</v>
      </c>
      <c r="E1011" s="270">
        <f t="shared" si="265"/>
        <v>51918</v>
      </c>
      <c r="F1011" s="270">
        <f t="shared" si="265"/>
        <v>64200</v>
      </c>
      <c r="G1011" s="270">
        <f t="shared" si="265"/>
        <v>61844</v>
      </c>
      <c r="H1011" s="270">
        <f t="shared" si="265"/>
        <v>58896</v>
      </c>
      <c r="I1011" s="270">
        <f t="shared" si="265"/>
        <v>58032</v>
      </c>
      <c r="J1011" s="270">
        <f t="shared" si="265"/>
        <v>42592</v>
      </c>
      <c r="K1011" s="270">
        <f t="shared" si="265"/>
        <v>43010</v>
      </c>
      <c r="L1011" s="270">
        <f t="shared" si="265"/>
        <v>45782</v>
      </c>
      <c r="M1011" s="270">
        <f t="shared" si="265"/>
        <v>50396</v>
      </c>
      <c r="N1011" s="270">
        <f t="shared" si="265"/>
        <v>70259</v>
      </c>
      <c r="O1011" s="270">
        <f t="shared" si="265"/>
        <v>70259</v>
      </c>
      <c r="P1011" s="270">
        <f t="shared" si="265"/>
        <v>70259</v>
      </c>
      <c r="Q1011" s="270">
        <f t="shared" si="265"/>
        <v>70259</v>
      </c>
      <c r="R1011" s="270">
        <f t="shared" si="265"/>
        <v>70259</v>
      </c>
      <c r="S1011" s="270">
        <f t="shared" si="266"/>
        <v>70259</v>
      </c>
      <c r="T1011" s="270">
        <f t="shared" si="266"/>
        <v>70259</v>
      </c>
      <c r="U1011" s="270">
        <f t="shared" si="266"/>
        <v>70259</v>
      </c>
      <c r="V1011" s="270">
        <f t="shared" si="266"/>
        <v>70259</v>
      </c>
      <c r="W1011" s="270">
        <f t="shared" si="266"/>
        <v>70259</v>
      </c>
      <c r="X1011" s="270">
        <f t="shared" si="266"/>
        <v>70259</v>
      </c>
      <c r="Y1011" s="270">
        <f t="shared" si="266"/>
        <v>70259</v>
      </c>
      <c r="Z1011" s="270">
        <f t="shared" si="266"/>
        <v>70259</v>
      </c>
      <c r="AA1011" s="270">
        <f t="shared" si="266"/>
        <v>70259</v>
      </c>
      <c r="AB1011" s="270">
        <f t="shared" si="266"/>
        <v>70259</v>
      </c>
      <c r="AC1011" s="270">
        <f t="shared" si="266"/>
        <v>70259</v>
      </c>
      <c r="AD1011" s="270">
        <f t="shared" si="265"/>
        <v>70259</v>
      </c>
      <c r="AE1011" s="270">
        <f t="shared" si="263"/>
        <v>70259</v>
      </c>
      <c r="AF1011" s="270">
        <f t="shared" si="264"/>
        <v>70259</v>
      </c>
      <c r="AG1011" s="270">
        <f t="shared" si="264"/>
        <v>70259</v>
      </c>
      <c r="AH1011" s="270">
        <f t="shared" si="264"/>
        <v>70259</v>
      </c>
      <c r="AI1011" s="270">
        <f t="shared" si="264"/>
        <v>70259</v>
      </c>
      <c r="AJ1011" s="270">
        <f t="shared" si="264"/>
        <v>70259</v>
      </c>
      <c r="AK1011" s="270">
        <f t="shared" si="264"/>
        <v>70259</v>
      </c>
      <c r="AL1011" s="270">
        <f t="shared" si="264"/>
        <v>70259</v>
      </c>
      <c r="AM1011" s="270">
        <f t="shared" si="264"/>
        <v>70259</v>
      </c>
    </row>
    <row r="1012" spans="2:39" ht="15.75" thickBot="1" x14ac:dyDescent="0.35">
      <c r="B1012" s="56" t="str">
        <f>input_names!$E$3</f>
        <v>plug-in</v>
      </c>
      <c r="C1012" s="61">
        <v>257</v>
      </c>
      <c r="D1012" s="270">
        <f t="shared" si="265"/>
        <v>45782</v>
      </c>
      <c r="E1012" s="270">
        <f t="shared" si="265"/>
        <v>52394</v>
      </c>
      <c r="F1012" s="270">
        <f t="shared" si="265"/>
        <v>64500</v>
      </c>
      <c r="G1012" s="270">
        <f t="shared" si="265"/>
        <v>62133</v>
      </c>
      <c r="H1012" s="270">
        <f t="shared" si="265"/>
        <v>59167</v>
      </c>
      <c r="I1012" s="270">
        <f t="shared" si="265"/>
        <v>58299</v>
      </c>
      <c r="J1012" s="270">
        <f t="shared" si="265"/>
        <v>42794</v>
      </c>
      <c r="K1012" s="270">
        <f t="shared" si="265"/>
        <v>43214</v>
      </c>
      <c r="L1012" s="270">
        <f t="shared" si="265"/>
        <v>45999</v>
      </c>
      <c r="M1012" s="270">
        <f t="shared" si="265"/>
        <v>50635</v>
      </c>
      <c r="N1012" s="270">
        <f t="shared" si="265"/>
        <v>70827</v>
      </c>
      <c r="O1012" s="270">
        <f t="shared" si="265"/>
        <v>70827</v>
      </c>
      <c r="P1012" s="270">
        <f t="shared" si="265"/>
        <v>70827</v>
      </c>
      <c r="Q1012" s="270">
        <f t="shared" si="265"/>
        <v>70827</v>
      </c>
      <c r="R1012" s="270">
        <f t="shared" si="265"/>
        <v>70827</v>
      </c>
      <c r="S1012" s="270">
        <f t="shared" si="266"/>
        <v>70827</v>
      </c>
      <c r="T1012" s="270">
        <f t="shared" si="266"/>
        <v>70827</v>
      </c>
      <c r="U1012" s="270">
        <f t="shared" si="266"/>
        <v>70827</v>
      </c>
      <c r="V1012" s="270">
        <f t="shared" si="266"/>
        <v>70827</v>
      </c>
      <c r="W1012" s="270">
        <f t="shared" si="266"/>
        <v>70827</v>
      </c>
      <c r="X1012" s="270">
        <f t="shared" si="266"/>
        <v>70827</v>
      </c>
      <c r="Y1012" s="270">
        <f t="shared" si="266"/>
        <v>70827</v>
      </c>
      <c r="Z1012" s="270">
        <f t="shared" si="266"/>
        <v>70827</v>
      </c>
      <c r="AA1012" s="270">
        <f t="shared" si="266"/>
        <v>70827</v>
      </c>
      <c r="AB1012" s="270">
        <f t="shared" si="266"/>
        <v>70827</v>
      </c>
      <c r="AC1012" s="270">
        <f t="shared" si="266"/>
        <v>70827</v>
      </c>
      <c r="AD1012" s="270">
        <f t="shared" si="265"/>
        <v>70827</v>
      </c>
      <c r="AE1012" s="270">
        <f t="shared" si="263"/>
        <v>70827</v>
      </c>
      <c r="AF1012" s="270">
        <f t="shared" si="264"/>
        <v>70827</v>
      </c>
      <c r="AG1012" s="270">
        <f t="shared" si="264"/>
        <v>70827</v>
      </c>
      <c r="AH1012" s="270">
        <f t="shared" si="264"/>
        <v>70827</v>
      </c>
      <c r="AI1012" s="270">
        <f t="shared" si="264"/>
        <v>70827</v>
      </c>
      <c r="AJ1012" s="270">
        <f t="shared" si="264"/>
        <v>70827</v>
      </c>
      <c r="AK1012" s="270">
        <f t="shared" si="264"/>
        <v>70827</v>
      </c>
      <c r="AL1012" s="270">
        <f t="shared" si="264"/>
        <v>70827</v>
      </c>
      <c r="AM1012" s="270">
        <f t="shared" si="264"/>
        <v>70827</v>
      </c>
    </row>
    <row r="1013" spans="2:39" ht="15.75" thickBot="1" x14ac:dyDescent="0.35">
      <c r="B1013" s="56" t="str">
        <f>input_names!$E$3</f>
        <v>plug-in</v>
      </c>
      <c r="C1013" s="61">
        <v>258</v>
      </c>
      <c r="D1013" s="270">
        <f t="shared" si="265"/>
        <v>46216</v>
      </c>
      <c r="E1013" s="270">
        <f t="shared" si="265"/>
        <v>52870</v>
      </c>
      <c r="F1013" s="270">
        <f t="shared" si="265"/>
        <v>64800</v>
      </c>
      <c r="G1013" s="270">
        <f t="shared" si="265"/>
        <v>62422</v>
      </c>
      <c r="H1013" s="270">
        <f t="shared" si="265"/>
        <v>59438</v>
      </c>
      <c r="I1013" s="270">
        <f t="shared" si="265"/>
        <v>58566</v>
      </c>
      <c r="J1013" s="270">
        <f t="shared" si="265"/>
        <v>42996</v>
      </c>
      <c r="K1013" s="270">
        <f t="shared" si="265"/>
        <v>43418</v>
      </c>
      <c r="L1013" s="270">
        <f t="shared" si="265"/>
        <v>46216</v>
      </c>
      <c r="M1013" s="270">
        <f t="shared" si="265"/>
        <v>50874</v>
      </c>
      <c r="N1013" s="270">
        <f t="shared" si="265"/>
        <v>71395</v>
      </c>
      <c r="O1013" s="270">
        <f t="shared" si="265"/>
        <v>71395</v>
      </c>
      <c r="P1013" s="270">
        <f t="shared" si="265"/>
        <v>71395</v>
      </c>
      <c r="Q1013" s="270">
        <f t="shared" si="265"/>
        <v>71395</v>
      </c>
      <c r="R1013" s="270">
        <f t="shared" si="265"/>
        <v>71395</v>
      </c>
      <c r="S1013" s="270">
        <f t="shared" si="266"/>
        <v>71395</v>
      </c>
      <c r="T1013" s="270">
        <f t="shared" si="266"/>
        <v>71395</v>
      </c>
      <c r="U1013" s="270">
        <f t="shared" si="266"/>
        <v>71395</v>
      </c>
      <c r="V1013" s="270">
        <f t="shared" si="266"/>
        <v>71395</v>
      </c>
      <c r="W1013" s="270">
        <f t="shared" si="266"/>
        <v>71395</v>
      </c>
      <c r="X1013" s="270">
        <f t="shared" si="266"/>
        <v>71395</v>
      </c>
      <c r="Y1013" s="270">
        <f t="shared" si="266"/>
        <v>71395</v>
      </c>
      <c r="Z1013" s="270">
        <f t="shared" si="266"/>
        <v>71395</v>
      </c>
      <c r="AA1013" s="270">
        <f t="shared" si="266"/>
        <v>71395</v>
      </c>
      <c r="AB1013" s="270">
        <f t="shared" si="266"/>
        <v>71395</v>
      </c>
      <c r="AC1013" s="270">
        <f t="shared" si="266"/>
        <v>71395</v>
      </c>
      <c r="AD1013" s="270">
        <f t="shared" si="265"/>
        <v>71395</v>
      </c>
      <c r="AE1013" s="270">
        <f t="shared" si="263"/>
        <v>71395</v>
      </c>
      <c r="AF1013" s="270">
        <f t="shared" si="264"/>
        <v>71395</v>
      </c>
      <c r="AG1013" s="270">
        <f t="shared" si="264"/>
        <v>71395</v>
      </c>
      <c r="AH1013" s="270">
        <f t="shared" si="264"/>
        <v>71395</v>
      </c>
      <c r="AI1013" s="270">
        <f t="shared" si="264"/>
        <v>71395</v>
      </c>
      <c r="AJ1013" s="270">
        <f t="shared" si="264"/>
        <v>71395</v>
      </c>
      <c r="AK1013" s="270">
        <f t="shared" si="264"/>
        <v>71395</v>
      </c>
      <c r="AL1013" s="270">
        <f t="shared" si="264"/>
        <v>71395</v>
      </c>
      <c r="AM1013" s="270">
        <f t="shared" si="264"/>
        <v>71395</v>
      </c>
    </row>
    <row r="1014" spans="2:39" ht="15.75" thickBot="1" x14ac:dyDescent="0.35">
      <c r="B1014" s="56" t="str">
        <f>input_names!$E$3</f>
        <v>plug-in</v>
      </c>
      <c r="C1014" s="61">
        <v>259</v>
      </c>
      <c r="D1014" s="270">
        <f t="shared" si="265"/>
        <v>46650</v>
      </c>
      <c r="E1014" s="270">
        <f t="shared" si="265"/>
        <v>53346</v>
      </c>
      <c r="F1014" s="270">
        <f t="shared" si="265"/>
        <v>65100</v>
      </c>
      <c r="G1014" s="270">
        <f t="shared" si="265"/>
        <v>62711</v>
      </c>
      <c r="H1014" s="270">
        <f t="shared" si="265"/>
        <v>59709</v>
      </c>
      <c r="I1014" s="270">
        <f t="shared" si="265"/>
        <v>58833</v>
      </c>
      <c r="J1014" s="270">
        <f t="shared" si="265"/>
        <v>43198</v>
      </c>
      <c r="K1014" s="270">
        <f t="shared" si="265"/>
        <v>43622</v>
      </c>
      <c r="L1014" s="270">
        <f t="shared" si="265"/>
        <v>46433</v>
      </c>
      <c r="M1014" s="270">
        <f t="shared" si="265"/>
        <v>51113</v>
      </c>
      <c r="N1014" s="270">
        <f t="shared" si="265"/>
        <v>71963</v>
      </c>
      <c r="O1014" s="270">
        <f t="shared" si="265"/>
        <v>71963</v>
      </c>
      <c r="P1014" s="270">
        <f t="shared" si="265"/>
        <v>71963</v>
      </c>
      <c r="Q1014" s="270">
        <f t="shared" si="265"/>
        <v>71963</v>
      </c>
      <c r="R1014" s="270">
        <f t="shared" si="265"/>
        <v>71963</v>
      </c>
      <c r="S1014" s="270">
        <f t="shared" si="266"/>
        <v>71963</v>
      </c>
      <c r="T1014" s="270">
        <f t="shared" si="266"/>
        <v>71963</v>
      </c>
      <c r="U1014" s="270">
        <f t="shared" si="266"/>
        <v>71963</v>
      </c>
      <c r="V1014" s="270">
        <f t="shared" si="266"/>
        <v>71963</v>
      </c>
      <c r="W1014" s="270">
        <f t="shared" si="266"/>
        <v>71963</v>
      </c>
      <c r="X1014" s="270">
        <f t="shared" si="266"/>
        <v>71963</v>
      </c>
      <c r="Y1014" s="270">
        <f t="shared" si="266"/>
        <v>71963</v>
      </c>
      <c r="Z1014" s="270">
        <f t="shared" si="266"/>
        <v>71963</v>
      </c>
      <c r="AA1014" s="270">
        <f t="shared" si="266"/>
        <v>71963</v>
      </c>
      <c r="AB1014" s="270">
        <f t="shared" si="266"/>
        <v>71963</v>
      </c>
      <c r="AC1014" s="270">
        <f t="shared" si="266"/>
        <v>71963</v>
      </c>
      <c r="AD1014" s="270">
        <f t="shared" si="265"/>
        <v>71963</v>
      </c>
      <c r="AE1014" s="270">
        <f t="shared" si="263"/>
        <v>71963</v>
      </c>
      <c r="AF1014" s="270">
        <f t="shared" si="264"/>
        <v>71963</v>
      </c>
      <c r="AG1014" s="270">
        <f t="shared" si="264"/>
        <v>71963</v>
      </c>
      <c r="AH1014" s="270">
        <f t="shared" si="264"/>
        <v>71963</v>
      </c>
      <c r="AI1014" s="270">
        <f t="shared" si="264"/>
        <v>71963</v>
      </c>
      <c r="AJ1014" s="270">
        <f t="shared" si="264"/>
        <v>71963</v>
      </c>
      <c r="AK1014" s="270">
        <f t="shared" si="264"/>
        <v>71963</v>
      </c>
      <c r="AL1014" s="270">
        <f t="shared" si="264"/>
        <v>71963</v>
      </c>
      <c r="AM1014" s="270">
        <f t="shared" si="264"/>
        <v>71963</v>
      </c>
    </row>
    <row r="1015" spans="2:39" ht="15.75" thickBot="1" x14ac:dyDescent="0.35">
      <c r="B1015" s="56" t="str">
        <f>input_names!$E$3</f>
        <v>plug-in</v>
      </c>
      <c r="C1015" s="61">
        <v>260</v>
      </c>
      <c r="D1015" s="270">
        <f t="shared" si="265"/>
        <v>47084</v>
      </c>
      <c r="E1015" s="270">
        <f t="shared" si="265"/>
        <v>53822</v>
      </c>
      <c r="F1015" s="270">
        <f t="shared" si="265"/>
        <v>65400</v>
      </c>
      <c r="G1015" s="270">
        <f t="shared" si="265"/>
        <v>63000</v>
      </c>
      <c r="H1015" s="270">
        <f t="shared" si="265"/>
        <v>59980</v>
      </c>
      <c r="I1015" s="270">
        <f t="shared" si="265"/>
        <v>59100</v>
      </c>
      <c r="J1015" s="270">
        <f t="shared" si="265"/>
        <v>43400</v>
      </c>
      <c r="K1015" s="270">
        <f t="shared" si="265"/>
        <v>43826</v>
      </c>
      <c r="L1015" s="270">
        <f t="shared" si="265"/>
        <v>46650</v>
      </c>
      <c r="M1015" s="270">
        <f t="shared" si="265"/>
        <v>51352</v>
      </c>
      <c r="N1015" s="270">
        <f t="shared" si="265"/>
        <v>72531</v>
      </c>
      <c r="O1015" s="270">
        <f t="shared" si="265"/>
        <v>72531</v>
      </c>
      <c r="P1015" s="270">
        <f t="shared" si="265"/>
        <v>72531</v>
      </c>
      <c r="Q1015" s="270">
        <f t="shared" si="265"/>
        <v>72531</v>
      </c>
      <c r="R1015" s="270">
        <f t="shared" si="265"/>
        <v>72531</v>
      </c>
      <c r="S1015" s="270">
        <f t="shared" si="266"/>
        <v>72531</v>
      </c>
      <c r="T1015" s="270">
        <f t="shared" si="266"/>
        <v>72531</v>
      </c>
      <c r="U1015" s="270">
        <f t="shared" si="266"/>
        <v>72531</v>
      </c>
      <c r="V1015" s="270">
        <f t="shared" si="266"/>
        <v>72531</v>
      </c>
      <c r="W1015" s="270">
        <f t="shared" si="266"/>
        <v>72531</v>
      </c>
      <c r="X1015" s="270">
        <f t="shared" si="266"/>
        <v>72531</v>
      </c>
      <c r="Y1015" s="270">
        <f t="shared" si="266"/>
        <v>72531</v>
      </c>
      <c r="Z1015" s="270">
        <f t="shared" si="266"/>
        <v>72531</v>
      </c>
      <c r="AA1015" s="270">
        <f t="shared" si="266"/>
        <v>72531</v>
      </c>
      <c r="AB1015" s="270">
        <f t="shared" si="266"/>
        <v>72531</v>
      </c>
      <c r="AC1015" s="270">
        <f t="shared" si="266"/>
        <v>72531</v>
      </c>
      <c r="AD1015" s="270">
        <f t="shared" si="265"/>
        <v>72531</v>
      </c>
      <c r="AE1015" s="270">
        <f t="shared" si="263"/>
        <v>72531</v>
      </c>
      <c r="AF1015" s="270">
        <f t="shared" si="264"/>
        <v>72531</v>
      </c>
      <c r="AG1015" s="270">
        <f t="shared" si="264"/>
        <v>72531</v>
      </c>
      <c r="AH1015" s="270">
        <f t="shared" si="264"/>
        <v>72531</v>
      </c>
      <c r="AI1015" s="270">
        <f t="shared" si="264"/>
        <v>72531</v>
      </c>
      <c r="AJ1015" s="270">
        <f t="shared" si="264"/>
        <v>72531</v>
      </c>
      <c r="AK1015" s="270">
        <f t="shared" si="264"/>
        <v>72531</v>
      </c>
      <c r="AL1015" s="270">
        <f t="shared" si="264"/>
        <v>72531</v>
      </c>
      <c r="AM1015" s="270">
        <f t="shared" si="264"/>
        <v>72531</v>
      </c>
    </row>
    <row r="1016" spans="2:39" ht="15.75" thickBot="1" x14ac:dyDescent="0.35">
      <c r="B1016" s="56" t="str">
        <f>input_names!$E$3</f>
        <v>plug-in</v>
      </c>
      <c r="C1016" s="61">
        <v>261</v>
      </c>
      <c r="D1016" s="270">
        <f t="shared" si="265"/>
        <v>47518</v>
      </c>
      <c r="E1016" s="270">
        <f t="shared" si="265"/>
        <v>54298</v>
      </c>
      <c r="F1016" s="270">
        <f t="shared" si="265"/>
        <v>65700</v>
      </c>
      <c r="G1016" s="270">
        <f t="shared" si="265"/>
        <v>63289</v>
      </c>
      <c r="H1016" s="270">
        <f t="shared" si="265"/>
        <v>60251</v>
      </c>
      <c r="I1016" s="270">
        <f t="shared" si="265"/>
        <v>59367</v>
      </c>
      <c r="J1016" s="270">
        <f t="shared" si="265"/>
        <v>43602</v>
      </c>
      <c r="K1016" s="270">
        <f t="shared" si="265"/>
        <v>44030</v>
      </c>
      <c r="L1016" s="270">
        <f t="shared" si="265"/>
        <v>46867</v>
      </c>
      <c r="M1016" s="270">
        <f t="shared" si="265"/>
        <v>51591</v>
      </c>
      <c r="N1016" s="270">
        <f t="shared" si="265"/>
        <v>73099</v>
      </c>
      <c r="O1016" s="270">
        <f t="shared" si="265"/>
        <v>73099</v>
      </c>
      <c r="P1016" s="270">
        <f t="shared" si="265"/>
        <v>73099</v>
      </c>
      <c r="Q1016" s="270">
        <f t="shared" si="265"/>
        <v>73099</v>
      </c>
      <c r="R1016" s="270">
        <f t="shared" si="265"/>
        <v>73099</v>
      </c>
      <c r="S1016" s="270">
        <f t="shared" si="266"/>
        <v>73099</v>
      </c>
      <c r="T1016" s="270">
        <f t="shared" si="266"/>
        <v>73099</v>
      </c>
      <c r="U1016" s="270">
        <f t="shared" si="266"/>
        <v>73099</v>
      </c>
      <c r="V1016" s="270">
        <f t="shared" si="266"/>
        <v>73099</v>
      </c>
      <c r="W1016" s="270">
        <f t="shared" si="266"/>
        <v>73099</v>
      </c>
      <c r="X1016" s="270">
        <f t="shared" si="266"/>
        <v>73099</v>
      </c>
      <c r="Y1016" s="270">
        <f t="shared" si="266"/>
        <v>73099</v>
      </c>
      <c r="Z1016" s="270">
        <f t="shared" si="266"/>
        <v>73099</v>
      </c>
      <c r="AA1016" s="270">
        <f t="shared" si="266"/>
        <v>73099</v>
      </c>
      <c r="AB1016" s="270">
        <f t="shared" si="266"/>
        <v>73099</v>
      </c>
      <c r="AC1016" s="270">
        <f t="shared" si="266"/>
        <v>73099</v>
      </c>
      <c r="AD1016" s="270">
        <f t="shared" si="265"/>
        <v>73099</v>
      </c>
      <c r="AE1016" s="270">
        <f t="shared" si="263"/>
        <v>73099</v>
      </c>
      <c r="AF1016" s="270">
        <f t="shared" si="264"/>
        <v>73099</v>
      </c>
      <c r="AG1016" s="270">
        <f t="shared" si="264"/>
        <v>73099</v>
      </c>
      <c r="AH1016" s="270">
        <f t="shared" si="264"/>
        <v>73099</v>
      </c>
      <c r="AI1016" s="270">
        <f t="shared" si="264"/>
        <v>73099</v>
      </c>
      <c r="AJ1016" s="270">
        <f t="shared" si="264"/>
        <v>73099</v>
      </c>
      <c r="AK1016" s="270">
        <f t="shared" si="264"/>
        <v>73099</v>
      </c>
      <c r="AL1016" s="270">
        <f t="shared" si="264"/>
        <v>73099</v>
      </c>
      <c r="AM1016" s="270">
        <f t="shared" si="264"/>
        <v>73099</v>
      </c>
    </row>
    <row r="1017" spans="2:39" ht="15.75" thickBot="1" x14ac:dyDescent="0.35">
      <c r="B1017" s="56" t="str">
        <f>input_names!$E$3</f>
        <v>plug-in</v>
      </c>
      <c r="C1017" s="61">
        <v>262</v>
      </c>
      <c r="D1017" s="270">
        <f t="shared" si="265"/>
        <v>47952</v>
      </c>
      <c r="E1017" s="270">
        <f t="shared" si="265"/>
        <v>54774</v>
      </c>
      <c r="F1017" s="270">
        <f t="shared" si="265"/>
        <v>66000</v>
      </c>
      <c r="G1017" s="270">
        <f t="shared" si="265"/>
        <v>63578</v>
      </c>
      <c r="H1017" s="270">
        <f t="shared" si="265"/>
        <v>60522</v>
      </c>
      <c r="I1017" s="270">
        <f t="shared" si="265"/>
        <v>59634</v>
      </c>
      <c r="J1017" s="270">
        <f t="shared" si="265"/>
        <v>43804</v>
      </c>
      <c r="K1017" s="270">
        <f t="shared" si="265"/>
        <v>44234</v>
      </c>
      <c r="L1017" s="270">
        <f t="shared" si="265"/>
        <v>47084</v>
      </c>
      <c r="M1017" s="270">
        <f t="shared" si="265"/>
        <v>51830</v>
      </c>
      <c r="N1017" s="270">
        <f t="shared" si="265"/>
        <v>73667</v>
      </c>
      <c r="O1017" s="270">
        <f t="shared" si="265"/>
        <v>73667</v>
      </c>
      <c r="P1017" s="270">
        <f t="shared" si="265"/>
        <v>73667</v>
      </c>
      <c r="Q1017" s="270">
        <f t="shared" si="265"/>
        <v>73667</v>
      </c>
      <c r="R1017" s="270">
        <f t="shared" si="265"/>
        <v>73667</v>
      </c>
      <c r="S1017" s="270">
        <f t="shared" si="266"/>
        <v>73667</v>
      </c>
      <c r="T1017" s="270">
        <f t="shared" si="266"/>
        <v>73667</v>
      </c>
      <c r="U1017" s="270">
        <f t="shared" si="266"/>
        <v>73667</v>
      </c>
      <c r="V1017" s="270">
        <f t="shared" si="266"/>
        <v>73667</v>
      </c>
      <c r="W1017" s="270">
        <f t="shared" si="266"/>
        <v>73667</v>
      </c>
      <c r="X1017" s="270">
        <f t="shared" si="266"/>
        <v>73667</v>
      </c>
      <c r="Y1017" s="270">
        <f t="shared" si="266"/>
        <v>73667</v>
      </c>
      <c r="Z1017" s="270">
        <f t="shared" si="266"/>
        <v>73667</v>
      </c>
      <c r="AA1017" s="270">
        <f t="shared" si="266"/>
        <v>73667</v>
      </c>
      <c r="AB1017" s="270">
        <f t="shared" si="266"/>
        <v>73667</v>
      </c>
      <c r="AC1017" s="270">
        <f t="shared" si="266"/>
        <v>73667</v>
      </c>
      <c r="AD1017" s="270">
        <f t="shared" si="265"/>
        <v>73667</v>
      </c>
      <c r="AE1017" s="270">
        <f t="shared" si="263"/>
        <v>73667</v>
      </c>
      <c r="AF1017" s="270">
        <f t="shared" si="264"/>
        <v>73667</v>
      </c>
      <c r="AG1017" s="270">
        <f t="shared" si="264"/>
        <v>73667</v>
      </c>
      <c r="AH1017" s="270">
        <f t="shared" si="264"/>
        <v>73667</v>
      </c>
      <c r="AI1017" s="270">
        <f t="shared" si="264"/>
        <v>73667</v>
      </c>
      <c r="AJ1017" s="270">
        <f t="shared" si="264"/>
        <v>73667</v>
      </c>
      <c r="AK1017" s="270">
        <f t="shared" si="264"/>
        <v>73667</v>
      </c>
      <c r="AL1017" s="270">
        <f t="shared" si="264"/>
        <v>73667</v>
      </c>
      <c r="AM1017" s="270">
        <f t="shared" si="264"/>
        <v>73667</v>
      </c>
    </row>
    <row r="1018" spans="2:39" ht="15.75" thickBot="1" x14ac:dyDescent="0.35">
      <c r="B1018" s="56" t="str">
        <f>input_names!$E$3</f>
        <v>plug-in</v>
      </c>
      <c r="C1018" s="61">
        <v>263</v>
      </c>
      <c r="D1018" s="270">
        <f t="shared" si="265"/>
        <v>48386</v>
      </c>
      <c r="E1018" s="270">
        <f t="shared" si="265"/>
        <v>55250</v>
      </c>
      <c r="F1018" s="270">
        <f t="shared" si="265"/>
        <v>66300</v>
      </c>
      <c r="G1018" s="270">
        <f t="shared" si="265"/>
        <v>63867</v>
      </c>
      <c r="H1018" s="270">
        <f t="shared" si="265"/>
        <v>60793</v>
      </c>
      <c r="I1018" s="270">
        <f t="shared" si="265"/>
        <v>59901</v>
      </c>
      <c r="J1018" s="270">
        <f t="shared" si="265"/>
        <v>44006</v>
      </c>
      <c r="K1018" s="270">
        <f t="shared" si="265"/>
        <v>44438</v>
      </c>
      <c r="L1018" s="270">
        <f t="shared" si="265"/>
        <v>47301</v>
      </c>
      <c r="M1018" s="270">
        <f t="shared" si="265"/>
        <v>52069</v>
      </c>
      <c r="N1018" s="270">
        <f t="shared" si="265"/>
        <v>74235</v>
      </c>
      <c r="O1018" s="270">
        <f t="shared" si="265"/>
        <v>74235</v>
      </c>
      <c r="P1018" s="270">
        <f t="shared" si="265"/>
        <v>74235</v>
      </c>
      <c r="Q1018" s="270">
        <f t="shared" si="265"/>
        <v>74235</v>
      </c>
      <c r="R1018" s="270">
        <f t="shared" si="265"/>
        <v>74235</v>
      </c>
      <c r="S1018" s="270">
        <f t="shared" si="266"/>
        <v>74235</v>
      </c>
      <c r="T1018" s="270">
        <f t="shared" si="266"/>
        <v>74235</v>
      </c>
      <c r="U1018" s="270">
        <f t="shared" si="266"/>
        <v>74235</v>
      </c>
      <c r="V1018" s="270">
        <f t="shared" si="266"/>
        <v>74235</v>
      </c>
      <c r="W1018" s="270">
        <f t="shared" si="266"/>
        <v>74235</v>
      </c>
      <c r="X1018" s="270">
        <f t="shared" si="266"/>
        <v>74235</v>
      </c>
      <c r="Y1018" s="270">
        <f t="shared" si="266"/>
        <v>74235</v>
      </c>
      <c r="Z1018" s="270">
        <f t="shared" si="266"/>
        <v>74235</v>
      </c>
      <c r="AA1018" s="270">
        <f t="shared" si="266"/>
        <v>74235</v>
      </c>
      <c r="AB1018" s="270">
        <f t="shared" si="266"/>
        <v>74235</v>
      </c>
      <c r="AC1018" s="270">
        <f t="shared" si="266"/>
        <v>74235</v>
      </c>
      <c r="AD1018" s="270">
        <f t="shared" si="265"/>
        <v>74235</v>
      </c>
      <c r="AE1018" s="270">
        <f t="shared" si="263"/>
        <v>74235</v>
      </c>
      <c r="AF1018" s="270">
        <f t="shared" si="264"/>
        <v>74235</v>
      </c>
      <c r="AG1018" s="270">
        <f t="shared" si="264"/>
        <v>74235</v>
      </c>
      <c r="AH1018" s="270">
        <f t="shared" si="264"/>
        <v>74235</v>
      </c>
      <c r="AI1018" s="270">
        <f t="shared" si="264"/>
        <v>74235</v>
      </c>
      <c r="AJ1018" s="270">
        <f t="shared" si="264"/>
        <v>74235</v>
      </c>
      <c r="AK1018" s="270">
        <f t="shared" si="264"/>
        <v>74235</v>
      </c>
      <c r="AL1018" s="270">
        <f t="shared" si="264"/>
        <v>74235</v>
      </c>
      <c r="AM1018" s="270">
        <f t="shared" si="264"/>
        <v>74235</v>
      </c>
    </row>
    <row r="1019" spans="2:39" ht="15.75" thickBot="1" x14ac:dyDescent="0.35">
      <c r="B1019" s="56" t="str">
        <f>input_names!$E$3</f>
        <v>plug-in</v>
      </c>
      <c r="C1019" s="61">
        <v>264</v>
      </c>
      <c r="D1019" s="270">
        <f t="shared" si="265"/>
        <v>48820</v>
      </c>
      <c r="E1019" s="270">
        <f t="shared" si="265"/>
        <v>55726</v>
      </c>
      <c r="F1019" s="270">
        <f t="shared" si="265"/>
        <v>66600</v>
      </c>
      <c r="G1019" s="270">
        <f t="shared" si="265"/>
        <v>64156</v>
      </c>
      <c r="H1019" s="270">
        <f t="shared" si="265"/>
        <v>61064</v>
      </c>
      <c r="I1019" s="270">
        <f t="shared" si="265"/>
        <v>60168</v>
      </c>
      <c r="J1019" s="270">
        <f t="shared" si="265"/>
        <v>44208</v>
      </c>
      <c r="K1019" s="270">
        <f t="shared" si="265"/>
        <v>44642</v>
      </c>
      <c r="L1019" s="270">
        <f t="shared" si="265"/>
        <v>47518</v>
      </c>
      <c r="M1019" s="270">
        <f t="shared" si="265"/>
        <v>52308</v>
      </c>
      <c r="N1019" s="270">
        <f t="shared" si="265"/>
        <v>74803</v>
      </c>
      <c r="O1019" s="270">
        <f t="shared" si="265"/>
        <v>74803</v>
      </c>
      <c r="P1019" s="270">
        <f t="shared" si="265"/>
        <v>74803</v>
      </c>
      <c r="Q1019" s="270">
        <f t="shared" si="265"/>
        <v>74803</v>
      </c>
      <c r="R1019" s="270">
        <f t="shared" si="265"/>
        <v>74803</v>
      </c>
      <c r="S1019" s="270">
        <f t="shared" si="266"/>
        <v>74803</v>
      </c>
      <c r="T1019" s="270">
        <f t="shared" si="266"/>
        <v>74803</v>
      </c>
      <c r="U1019" s="270">
        <f t="shared" si="266"/>
        <v>74803</v>
      </c>
      <c r="V1019" s="270">
        <f t="shared" si="266"/>
        <v>74803</v>
      </c>
      <c r="W1019" s="270">
        <f t="shared" si="266"/>
        <v>74803</v>
      </c>
      <c r="X1019" s="270">
        <f t="shared" si="266"/>
        <v>74803</v>
      </c>
      <c r="Y1019" s="270">
        <f t="shared" si="266"/>
        <v>74803</v>
      </c>
      <c r="Z1019" s="270">
        <f t="shared" si="266"/>
        <v>74803</v>
      </c>
      <c r="AA1019" s="270">
        <f t="shared" si="266"/>
        <v>74803</v>
      </c>
      <c r="AB1019" s="270">
        <f t="shared" si="266"/>
        <v>74803</v>
      </c>
      <c r="AC1019" s="270">
        <f t="shared" si="266"/>
        <v>74803</v>
      </c>
      <c r="AD1019" s="270">
        <f t="shared" si="265"/>
        <v>74803</v>
      </c>
      <c r="AE1019" s="270">
        <f t="shared" si="263"/>
        <v>74803</v>
      </c>
      <c r="AF1019" s="270">
        <f t="shared" si="264"/>
        <v>74803</v>
      </c>
      <c r="AG1019" s="270">
        <f t="shared" si="264"/>
        <v>74803</v>
      </c>
      <c r="AH1019" s="270">
        <f t="shared" si="264"/>
        <v>74803</v>
      </c>
      <c r="AI1019" s="270">
        <f t="shared" si="264"/>
        <v>74803</v>
      </c>
      <c r="AJ1019" s="270">
        <f t="shared" si="264"/>
        <v>74803</v>
      </c>
      <c r="AK1019" s="270">
        <f t="shared" si="264"/>
        <v>74803</v>
      </c>
      <c r="AL1019" s="270">
        <f t="shared" si="264"/>
        <v>74803</v>
      </c>
      <c r="AM1019" s="270">
        <f t="shared" si="264"/>
        <v>74803</v>
      </c>
    </row>
    <row r="1020" spans="2:39" ht="15.75" thickBot="1" x14ac:dyDescent="0.35">
      <c r="B1020" s="56" t="str">
        <f>input_names!$E$3</f>
        <v>plug-in</v>
      </c>
      <c r="C1020" s="61">
        <v>265</v>
      </c>
      <c r="D1020" s="270">
        <f t="shared" si="265"/>
        <v>49254</v>
      </c>
      <c r="E1020" s="270">
        <f t="shared" si="265"/>
        <v>56202</v>
      </c>
      <c r="F1020" s="270">
        <f t="shared" si="265"/>
        <v>66900</v>
      </c>
      <c r="G1020" s="270">
        <f t="shared" si="265"/>
        <v>64445</v>
      </c>
      <c r="H1020" s="270">
        <f t="shared" si="265"/>
        <v>61335</v>
      </c>
      <c r="I1020" s="270">
        <f t="shared" si="265"/>
        <v>60435</v>
      </c>
      <c r="J1020" s="270">
        <f t="shared" si="265"/>
        <v>44410</v>
      </c>
      <c r="K1020" s="270">
        <f t="shared" si="265"/>
        <v>44846</v>
      </c>
      <c r="L1020" s="270">
        <f t="shared" si="265"/>
        <v>47735</v>
      </c>
      <c r="M1020" s="270">
        <f t="shared" si="265"/>
        <v>52547</v>
      </c>
      <c r="N1020" s="270">
        <f t="shared" si="265"/>
        <v>75371</v>
      </c>
      <c r="O1020" s="270">
        <f t="shared" si="265"/>
        <v>75371</v>
      </c>
      <c r="P1020" s="270">
        <f t="shared" si="265"/>
        <v>75371</v>
      </c>
      <c r="Q1020" s="270">
        <f t="shared" si="265"/>
        <v>75371</v>
      </c>
      <c r="R1020" s="270">
        <f t="shared" si="265"/>
        <v>75371</v>
      </c>
      <c r="S1020" s="270">
        <f t="shared" si="266"/>
        <v>75371</v>
      </c>
      <c r="T1020" s="270">
        <f t="shared" si="266"/>
        <v>75371</v>
      </c>
      <c r="U1020" s="270">
        <f t="shared" si="266"/>
        <v>75371</v>
      </c>
      <c r="V1020" s="270">
        <f t="shared" si="266"/>
        <v>75371</v>
      </c>
      <c r="W1020" s="270">
        <f t="shared" si="266"/>
        <v>75371</v>
      </c>
      <c r="X1020" s="270">
        <f t="shared" si="266"/>
        <v>75371</v>
      </c>
      <c r="Y1020" s="270">
        <f t="shared" si="266"/>
        <v>75371</v>
      </c>
      <c r="Z1020" s="270">
        <f t="shared" si="266"/>
        <v>75371</v>
      </c>
      <c r="AA1020" s="270">
        <f t="shared" si="266"/>
        <v>75371</v>
      </c>
      <c r="AB1020" s="270">
        <f t="shared" si="266"/>
        <v>75371</v>
      </c>
      <c r="AC1020" s="270">
        <f t="shared" si="266"/>
        <v>75371</v>
      </c>
      <c r="AD1020" s="270">
        <f t="shared" si="265"/>
        <v>75371</v>
      </c>
      <c r="AE1020" s="270">
        <f t="shared" si="263"/>
        <v>75371</v>
      </c>
      <c r="AF1020" s="270">
        <f t="shared" si="264"/>
        <v>75371</v>
      </c>
      <c r="AG1020" s="270">
        <f t="shared" si="264"/>
        <v>75371</v>
      </c>
      <c r="AH1020" s="270">
        <f t="shared" si="264"/>
        <v>75371</v>
      </c>
      <c r="AI1020" s="270">
        <f t="shared" si="264"/>
        <v>75371</v>
      </c>
      <c r="AJ1020" s="270">
        <f t="shared" si="264"/>
        <v>75371</v>
      </c>
      <c r="AK1020" s="270">
        <f t="shared" si="264"/>
        <v>75371</v>
      </c>
      <c r="AL1020" s="270">
        <f t="shared" si="264"/>
        <v>75371</v>
      </c>
      <c r="AM1020" s="270">
        <f t="shared" si="264"/>
        <v>75371</v>
      </c>
    </row>
    <row r="1021" spans="2:39" ht="15.75" thickBot="1" x14ac:dyDescent="0.35">
      <c r="B1021" s="56" t="str">
        <f>input_names!$E$3</f>
        <v>plug-in</v>
      </c>
      <c r="C1021" s="61">
        <v>266</v>
      </c>
      <c r="D1021" s="270">
        <f t="shared" si="265"/>
        <v>49688</v>
      </c>
      <c r="E1021" s="270">
        <f t="shared" si="265"/>
        <v>56678</v>
      </c>
      <c r="F1021" s="270">
        <f t="shared" si="265"/>
        <v>67200</v>
      </c>
      <c r="G1021" s="270">
        <f t="shared" si="265"/>
        <v>64734</v>
      </c>
      <c r="H1021" s="270">
        <f t="shared" si="265"/>
        <v>61606</v>
      </c>
      <c r="I1021" s="270">
        <f t="shared" si="265"/>
        <v>60702</v>
      </c>
      <c r="J1021" s="270">
        <f t="shared" si="265"/>
        <v>44612</v>
      </c>
      <c r="K1021" s="270">
        <f t="shared" si="265"/>
        <v>45050</v>
      </c>
      <c r="L1021" s="270">
        <f t="shared" si="265"/>
        <v>47952</v>
      </c>
      <c r="M1021" s="270">
        <f t="shared" si="265"/>
        <v>52786</v>
      </c>
      <c r="N1021" s="270">
        <f t="shared" si="265"/>
        <v>75939</v>
      </c>
      <c r="O1021" s="270">
        <f t="shared" si="265"/>
        <v>75939</v>
      </c>
      <c r="P1021" s="270">
        <f t="shared" si="265"/>
        <v>75939</v>
      </c>
      <c r="Q1021" s="270">
        <f t="shared" si="265"/>
        <v>75939</v>
      </c>
      <c r="R1021" s="270">
        <f t="shared" si="265"/>
        <v>75939</v>
      </c>
      <c r="S1021" s="270">
        <f t="shared" si="266"/>
        <v>75939</v>
      </c>
      <c r="T1021" s="270">
        <f t="shared" si="266"/>
        <v>75939</v>
      </c>
      <c r="U1021" s="270">
        <f t="shared" si="266"/>
        <v>75939</v>
      </c>
      <c r="V1021" s="270">
        <f t="shared" si="266"/>
        <v>75939</v>
      </c>
      <c r="W1021" s="270">
        <f t="shared" si="266"/>
        <v>75939</v>
      </c>
      <c r="X1021" s="270">
        <f t="shared" si="266"/>
        <v>75939</v>
      </c>
      <c r="Y1021" s="270">
        <f t="shared" si="266"/>
        <v>75939</v>
      </c>
      <c r="Z1021" s="270">
        <f t="shared" si="266"/>
        <v>75939</v>
      </c>
      <c r="AA1021" s="270">
        <f t="shared" si="266"/>
        <v>75939</v>
      </c>
      <c r="AB1021" s="270">
        <f t="shared" si="266"/>
        <v>75939</v>
      </c>
      <c r="AC1021" s="270">
        <f t="shared" si="266"/>
        <v>75939</v>
      </c>
      <c r="AD1021" s="270">
        <f t="shared" si="265"/>
        <v>75939</v>
      </c>
      <c r="AE1021" s="270">
        <f t="shared" si="263"/>
        <v>75939</v>
      </c>
      <c r="AF1021" s="270">
        <f t="shared" si="264"/>
        <v>75939</v>
      </c>
      <c r="AG1021" s="270">
        <f t="shared" si="264"/>
        <v>75939</v>
      </c>
      <c r="AH1021" s="270">
        <f t="shared" si="264"/>
        <v>75939</v>
      </c>
      <c r="AI1021" s="270">
        <f t="shared" si="264"/>
        <v>75939</v>
      </c>
      <c r="AJ1021" s="270">
        <f t="shared" si="264"/>
        <v>75939</v>
      </c>
      <c r="AK1021" s="270">
        <f t="shared" si="264"/>
        <v>75939</v>
      </c>
      <c r="AL1021" s="270">
        <f t="shared" si="264"/>
        <v>75939</v>
      </c>
      <c r="AM1021" s="270">
        <f t="shared" si="264"/>
        <v>75939</v>
      </c>
    </row>
    <row r="1022" spans="2:39" ht="15.75" thickBot="1" x14ac:dyDescent="0.35">
      <c r="B1022" s="56" t="str">
        <f>input_names!$E$3</f>
        <v>plug-in</v>
      </c>
      <c r="C1022" s="61">
        <v>267</v>
      </c>
      <c r="D1022" s="270">
        <f t="shared" si="265"/>
        <v>50122</v>
      </c>
      <c r="E1022" s="270">
        <f t="shared" si="265"/>
        <v>57154</v>
      </c>
      <c r="F1022" s="270">
        <f t="shared" si="265"/>
        <v>67500</v>
      </c>
      <c r="G1022" s="270">
        <f t="shared" si="265"/>
        <v>65023</v>
      </c>
      <c r="H1022" s="270">
        <f t="shared" si="265"/>
        <v>61877</v>
      </c>
      <c r="I1022" s="270">
        <f t="shared" si="265"/>
        <v>60969</v>
      </c>
      <c r="J1022" s="270">
        <f t="shared" si="265"/>
        <v>44814</v>
      </c>
      <c r="K1022" s="270">
        <f t="shared" si="265"/>
        <v>45254</v>
      </c>
      <c r="L1022" s="270">
        <f t="shared" si="265"/>
        <v>48169</v>
      </c>
      <c r="M1022" s="270">
        <f t="shared" si="265"/>
        <v>53025</v>
      </c>
      <c r="N1022" s="270">
        <f t="shared" si="265"/>
        <v>76507</v>
      </c>
      <c r="O1022" s="270">
        <f t="shared" si="265"/>
        <v>76507</v>
      </c>
      <c r="P1022" s="270">
        <f t="shared" si="265"/>
        <v>76507</v>
      </c>
      <c r="Q1022" s="270">
        <f t="shared" si="265"/>
        <v>76507</v>
      </c>
      <c r="R1022" s="270">
        <f t="shared" si="265"/>
        <v>76507</v>
      </c>
      <c r="S1022" s="270">
        <f t="shared" si="266"/>
        <v>76507</v>
      </c>
      <c r="T1022" s="270">
        <f t="shared" si="266"/>
        <v>76507</v>
      </c>
      <c r="U1022" s="270">
        <f t="shared" si="266"/>
        <v>76507</v>
      </c>
      <c r="V1022" s="270">
        <f t="shared" si="266"/>
        <v>76507</v>
      </c>
      <c r="W1022" s="270">
        <f t="shared" si="266"/>
        <v>76507</v>
      </c>
      <c r="X1022" s="270">
        <f t="shared" si="266"/>
        <v>76507</v>
      </c>
      <c r="Y1022" s="270">
        <f t="shared" si="266"/>
        <v>76507</v>
      </c>
      <c r="Z1022" s="270">
        <f t="shared" si="266"/>
        <v>76507</v>
      </c>
      <c r="AA1022" s="270">
        <f t="shared" si="266"/>
        <v>76507</v>
      </c>
      <c r="AB1022" s="270">
        <f t="shared" si="266"/>
        <v>76507</v>
      </c>
      <c r="AC1022" s="270">
        <f t="shared" si="266"/>
        <v>76507</v>
      </c>
      <c r="AD1022" s="270">
        <f t="shared" si="265"/>
        <v>76507</v>
      </c>
      <c r="AE1022" s="270">
        <f t="shared" si="263"/>
        <v>76507</v>
      </c>
      <c r="AF1022" s="270">
        <f t="shared" si="264"/>
        <v>76507</v>
      </c>
      <c r="AG1022" s="270">
        <f t="shared" si="264"/>
        <v>76507</v>
      </c>
      <c r="AH1022" s="270">
        <f t="shared" si="264"/>
        <v>76507</v>
      </c>
      <c r="AI1022" s="270">
        <f t="shared" si="264"/>
        <v>76507</v>
      </c>
      <c r="AJ1022" s="270">
        <f t="shared" si="264"/>
        <v>76507</v>
      </c>
      <c r="AK1022" s="270">
        <f t="shared" si="264"/>
        <v>76507</v>
      </c>
      <c r="AL1022" s="270">
        <f t="shared" si="264"/>
        <v>76507</v>
      </c>
      <c r="AM1022" s="270">
        <f t="shared" si="264"/>
        <v>76507</v>
      </c>
    </row>
    <row r="1023" spans="2:39" ht="15.75" thickBot="1" x14ac:dyDescent="0.35">
      <c r="B1023" s="56" t="str">
        <f>input_names!$E$3</f>
        <v>plug-in</v>
      </c>
      <c r="C1023" s="61">
        <v>268</v>
      </c>
      <c r="D1023" s="270">
        <f t="shared" si="265"/>
        <v>50556</v>
      </c>
      <c r="E1023" s="270">
        <f t="shared" si="265"/>
        <v>57630</v>
      </c>
      <c r="F1023" s="270">
        <f t="shared" si="265"/>
        <v>67800</v>
      </c>
      <c r="G1023" s="270">
        <f t="shared" si="265"/>
        <v>65312</v>
      </c>
      <c r="H1023" s="270">
        <f t="shared" si="265"/>
        <v>62148</v>
      </c>
      <c r="I1023" s="270">
        <f t="shared" si="265"/>
        <v>61236</v>
      </c>
      <c r="J1023" s="270">
        <f t="shared" si="265"/>
        <v>45016</v>
      </c>
      <c r="K1023" s="270">
        <f t="shared" si="265"/>
        <v>45458</v>
      </c>
      <c r="L1023" s="270">
        <f t="shared" si="265"/>
        <v>48386</v>
      </c>
      <c r="M1023" s="270">
        <f t="shared" si="265"/>
        <v>53264</v>
      </c>
      <c r="N1023" s="270">
        <f t="shared" si="265"/>
        <v>77075</v>
      </c>
      <c r="O1023" s="270">
        <f t="shared" si="265"/>
        <v>77075</v>
      </c>
      <c r="P1023" s="270">
        <f t="shared" si="265"/>
        <v>77075</v>
      </c>
      <c r="Q1023" s="270">
        <f t="shared" si="265"/>
        <v>77075</v>
      </c>
      <c r="R1023" s="270">
        <f t="shared" si="265"/>
        <v>77075</v>
      </c>
      <c r="S1023" s="270">
        <f t="shared" si="266"/>
        <v>77075</v>
      </c>
      <c r="T1023" s="270">
        <f t="shared" si="266"/>
        <v>77075</v>
      </c>
      <c r="U1023" s="270">
        <f t="shared" si="266"/>
        <v>77075</v>
      </c>
      <c r="V1023" s="270">
        <f t="shared" si="266"/>
        <v>77075</v>
      </c>
      <c r="W1023" s="270">
        <f t="shared" si="266"/>
        <v>77075</v>
      </c>
      <c r="X1023" s="270">
        <f t="shared" si="266"/>
        <v>77075</v>
      </c>
      <c r="Y1023" s="270">
        <f t="shared" si="266"/>
        <v>77075</v>
      </c>
      <c r="Z1023" s="270">
        <f t="shared" si="266"/>
        <v>77075</v>
      </c>
      <c r="AA1023" s="270">
        <f t="shared" si="266"/>
        <v>77075</v>
      </c>
      <c r="AB1023" s="270">
        <f t="shared" si="266"/>
        <v>77075</v>
      </c>
      <c r="AC1023" s="270">
        <f t="shared" si="266"/>
        <v>77075</v>
      </c>
      <c r="AD1023" s="270">
        <f t="shared" si="265"/>
        <v>77075</v>
      </c>
      <c r="AE1023" s="270">
        <f t="shared" si="263"/>
        <v>77075</v>
      </c>
      <c r="AF1023" s="270">
        <f t="shared" si="264"/>
        <v>77075</v>
      </c>
      <c r="AG1023" s="270">
        <f t="shared" si="264"/>
        <v>77075</v>
      </c>
      <c r="AH1023" s="270">
        <f t="shared" si="264"/>
        <v>77075</v>
      </c>
      <c r="AI1023" s="270">
        <f t="shared" si="264"/>
        <v>77075</v>
      </c>
      <c r="AJ1023" s="270">
        <f t="shared" si="264"/>
        <v>77075</v>
      </c>
      <c r="AK1023" s="270">
        <f t="shared" si="264"/>
        <v>77075</v>
      </c>
      <c r="AL1023" s="270">
        <f t="shared" si="264"/>
        <v>77075</v>
      </c>
      <c r="AM1023" s="270">
        <f t="shared" si="264"/>
        <v>77075</v>
      </c>
    </row>
    <row r="1024" spans="2:39" ht="15.75" thickBot="1" x14ac:dyDescent="0.35">
      <c r="B1024" s="56" t="str">
        <f>input_names!$E$3</f>
        <v>plug-in</v>
      </c>
      <c r="C1024" s="61">
        <v>269</v>
      </c>
      <c r="D1024" s="270">
        <f t="shared" si="265"/>
        <v>50990</v>
      </c>
      <c r="E1024" s="270">
        <f t="shared" si="265"/>
        <v>58106</v>
      </c>
      <c r="F1024" s="270">
        <f t="shared" si="265"/>
        <v>68100</v>
      </c>
      <c r="G1024" s="270">
        <f t="shared" si="265"/>
        <v>65601</v>
      </c>
      <c r="H1024" s="270">
        <f t="shared" si="265"/>
        <v>62419</v>
      </c>
      <c r="I1024" s="270">
        <f t="shared" si="265"/>
        <v>61503</v>
      </c>
      <c r="J1024" s="270">
        <f t="shared" si="265"/>
        <v>45218</v>
      </c>
      <c r="K1024" s="270">
        <f t="shared" si="265"/>
        <v>45662</v>
      </c>
      <c r="L1024" s="270">
        <f t="shared" si="265"/>
        <v>48603</v>
      </c>
      <c r="M1024" s="270">
        <f t="shared" si="265"/>
        <v>53503</v>
      </c>
      <c r="N1024" s="270">
        <f t="shared" si="265"/>
        <v>77643</v>
      </c>
      <c r="O1024" s="270">
        <f t="shared" si="265"/>
        <v>77643</v>
      </c>
      <c r="P1024" s="270">
        <f t="shared" si="265"/>
        <v>77643</v>
      </c>
      <c r="Q1024" s="270">
        <f t="shared" si="265"/>
        <v>77643</v>
      </c>
      <c r="R1024" s="270">
        <f t="shared" si="265"/>
        <v>77643</v>
      </c>
      <c r="S1024" s="270">
        <f t="shared" si="266"/>
        <v>77643</v>
      </c>
      <c r="T1024" s="270">
        <f t="shared" si="266"/>
        <v>77643</v>
      </c>
      <c r="U1024" s="270">
        <f t="shared" si="266"/>
        <v>77643</v>
      </c>
      <c r="V1024" s="270">
        <f t="shared" si="266"/>
        <v>77643</v>
      </c>
      <c r="W1024" s="270">
        <f t="shared" si="266"/>
        <v>77643</v>
      </c>
      <c r="X1024" s="270">
        <f t="shared" si="266"/>
        <v>77643</v>
      </c>
      <c r="Y1024" s="270">
        <f t="shared" si="266"/>
        <v>77643</v>
      </c>
      <c r="Z1024" s="270">
        <f t="shared" si="266"/>
        <v>77643</v>
      </c>
      <c r="AA1024" s="270">
        <f t="shared" si="266"/>
        <v>77643</v>
      </c>
      <c r="AB1024" s="270">
        <f t="shared" si="266"/>
        <v>77643</v>
      </c>
      <c r="AC1024" s="270">
        <f t="shared" si="266"/>
        <v>77643</v>
      </c>
      <c r="AD1024" s="270">
        <f t="shared" si="265"/>
        <v>77643</v>
      </c>
      <c r="AE1024" s="270">
        <f t="shared" si="263"/>
        <v>77643</v>
      </c>
      <c r="AF1024" s="270">
        <f t="shared" si="264"/>
        <v>77643</v>
      </c>
      <c r="AG1024" s="270">
        <f t="shared" si="264"/>
        <v>77643</v>
      </c>
      <c r="AH1024" s="270">
        <f t="shared" si="264"/>
        <v>77643</v>
      </c>
      <c r="AI1024" s="270">
        <f t="shared" si="264"/>
        <v>77643</v>
      </c>
      <c r="AJ1024" s="270">
        <f t="shared" si="264"/>
        <v>77643</v>
      </c>
      <c r="AK1024" s="270">
        <f t="shared" si="264"/>
        <v>77643</v>
      </c>
      <c r="AL1024" s="270">
        <f t="shared" si="264"/>
        <v>77643</v>
      </c>
      <c r="AM1024" s="270">
        <f t="shared" si="264"/>
        <v>77643</v>
      </c>
    </row>
    <row r="1025" spans="2:39" ht="15.75" thickBot="1" x14ac:dyDescent="0.35">
      <c r="B1025" s="56" t="str">
        <f>input_names!$E$3</f>
        <v>plug-in</v>
      </c>
      <c r="C1025" s="61">
        <v>270</v>
      </c>
      <c r="D1025" s="270">
        <f t="shared" si="265"/>
        <v>51424</v>
      </c>
      <c r="E1025" s="270">
        <f t="shared" si="265"/>
        <v>58582</v>
      </c>
      <c r="F1025" s="270">
        <f t="shared" si="265"/>
        <v>68400</v>
      </c>
      <c r="G1025" s="270">
        <f t="shared" si="265"/>
        <v>65890</v>
      </c>
      <c r="H1025" s="270">
        <f t="shared" si="265"/>
        <v>62690</v>
      </c>
      <c r="I1025" s="270">
        <f t="shared" si="265"/>
        <v>61770</v>
      </c>
      <c r="J1025" s="270">
        <f t="shared" si="265"/>
        <v>45420</v>
      </c>
      <c r="K1025" s="270">
        <f t="shared" si="265"/>
        <v>45866</v>
      </c>
      <c r="L1025" s="270">
        <f t="shared" si="265"/>
        <v>48820</v>
      </c>
      <c r="M1025" s="270">
        <f t="shared" si="265"/>
        <v>53742</v>
      </c>
      <c r="N1025" s="270">
        <f t="shared" si="265"/>
        <v>78211</v>
      </c>
      <c r="O1025" s="270">
        <f t="shared" si="265"/>
        <v>78211</v>
      </c>
      <c r="P1025" s="270">
        <f t="shared" si="265"/>
        <v>78211</v>
      </c>
      <c r="Q1025" s="270">
        <f t="shared" si="265"/>
        <v>78211</v>
      </c>
      <c r="R1025" s="270">
        <f t="shared" si="265"/>
        <v>78211</v>
      </c>
      <c r="S1025" s="270">
        <f>+MIN(MAX(0,$C1025-S$28),S$29-S$28)*S$34
+MIN(MAX(0,$C1025-S$29),S$30-S$29)*S$35
+MIN(MAX(0,$C1025-S$30),S$31-S$30)*S$36
+MIN(MAX(0,$C1025-S$31),S$32-S$31)*S$37
+MAX(0,$C1025-S$32)*S$38
+S$39</f>
        <v>78211</v>
      </c>
      <c r="T1025" s="270">
        <f t="shared" si="266"/>
        <v>78211</v>
      </c>
      <c r="U1025" s="270">
        <f t="shared" si="266"/>
        <v>78211</v>
      </c>
      <c r="V1025" s="270">
        <f t="shared" si="266"/>
        <v>78211</v>
      </c>
      <c r="W1025" s="270">
        <f t="shared" si="266"/>
        <v>78211</v>
      </c>
      <c r="X1025" s="270">
        <f t="shared" si="266"/>
        <v>78211</v>
      </c>
      <c r="Y1025" s="270">
        <f t="shared" si="266"/>
        <v>78211</v>
      </c>
      <c r="Z1025" s="270">
        <f t="shared" si="266"/>
        <v>78211</v>
      </c>
      <c r="AA1025" s="270">
        <f t="shared" si="266"/>
        <v>78211</v>
      </c>
      <c r="AB1025" s="270">
        <f t="shared" si="266"/>
        <v>78211</v>
      </c>
      <c r="AC1025" s="270">
        <f t="shared" si="266"/>
        <v>78211</v>
      </c>
      <c r="AD1025" s="270">
        <f>+MIN(MAX(0,$C1025-AD$28),AD$29-AD$28)*AD$34
+MIN(MAX(0,$C1025-AD$29),AD$30-AD$29)*AD$35
+MIN(MAX(0,$C1025-AD$30),AD$31-AD$30)*AD$36
+MIN(MAX(0,$C1025-AD$31),AD$32-AD$31)*AD$37
+MAX(0,$C1025-AD$32)*AD$38
+AD$39</f>
        <v>78211</v>
      </c>
      <c r="AE1025" s="270">
        <f t="shared" si="263"/>
        <v>78211</v>
      </c>
      <c r="AF1025" s="270">
        <f t="shared" si="264"/>
        <v>78211</v>
      </c>
      <c r="AG1025" s="270">
        <f t="shared" si="264"/>
        <v>78211</v>
      </c>
      <c r="AH1025" s="270">
        <f t="shared" si="264"/>
        <v>78211</v>
      </c>
      <c r="AI1025" s="270">
        <f t="shared" si="264"/>
        <v>78211</v>
      </c>
      <c r="AJ1025" s="270">
        <f t="shared" si="264"/>
        <v>78211</v>
      </c>
      <c r="AK1025" s="270">
        <f t="shared" si="264"/>
        <v>78211</v>
      </c>
      <c r="AL1025" s="270">
        <f t="shared" si="264"/>
        <v>78211</v>
      </c>
      <c r="AM1025" s="270">
        <f t="shared" si="264"/>
        <v>78211</v>
      </c>
    </row>
    <row r="1026" spans="2:39" ht="15.75" thickBot="1" x14ac:dyDescent="0.35">
      <c r="B1026" s="56" t="str">
        <f>input_names!$E$3</f>
        <v>plug-in</v>
      </c>
      <c r="C1026" s="61">
        <v>271</v>
      </c>
      <c r="D1026" s="270">
        <f t="shared" ref="D1026:AD1041" si="267">+MIN(MAX(0,$C1026-D$28),D$29-D$28)*D$34
+MIN(MAX(0,$C1026-D$29),D$30-D$29)*D$35
+MIN(MAX(0,$C1026-D$30),D$31-D$30)*D$36
+MIN(MAX(0,$C1026-D$31),D$32-D$31)*D$37
+MAX(0,$C1026-D$32)*D$38
+D$39</f>
        <v>51858</v>
      </c>
      <c r="E1026" s="270">
        <f t="shared" si="267"/>
        <v>59058</v>
      </c>
      <c r="F1026" s="270">
        <f t="shared" si="267"/>
        <v>68700</v>
      </c>
      <c r="G1026" s="270">
        <f t="shared" si="267"/>
        <v>66179</v>
      </c>
      <c r="H1026" s="270">
        <f t="shared" si="267"/>
        <v>62961</v>
      </c>
      <c r="I1026" s="270">
        <f t="shared" si="267"/>
        <v>62037</v>
      </c>
      <c r="J1026" s="270">
        <f t="shared" si="267"/>
        <v>45622</v>
      </c>
      <c r="K1026" s="270">
        <f t="shared" si="267"/>
        <v>46070</v>
      </c>
      <c r="L1026" s="270">
        <f t="shared" si="267"/>
        <v>49037</v>
      </c>
      <c r="M1026" s="270">
        <f t="shared" si="267"/>
        <v>53981</v>
      </c>
      <c r="N1026" s="270">
        <f t="shared" si="267"/>
        <v>78779</v>
      </c>
      <c r="O1026" s="270">
        <f t="shared" si="267"/>
        <v>78779</v>
      </c>
      <c r="P1026" s="270">
        <f t="shared" si="267"/>
        <v>78779</v>
      </c>
      <c r="Q1026" s="270">
        <f t="shared" si="267"/>
        <v>78779</v>
      </c>
      <c r="R1026" s="270">
        <f t="shared" si="267"/>
        <v>78779</v>
      </c>
      <c r="S1026" s="270">
        <f t="shared" ref="S1026:AC1041" si="268">+MIN(MAX(0,$C1026-S$28),S$29-S$28)*S$34
+MIN(MAX(0,$C1026-S$29),S$30-S$29)*S$35
+MIN(MAX(0,$C1026-S$30),S$31-S$30)*S$36
+MIN(MAX(0,$C1026-S$31),S$32-S$31)*S$37
+MAX(0,$C1026-S$32)*S$38
+S$39</f>
        <v>78779</v>
      </c>
      <c r="T1026" s="270">
        <f t="shared" si="268"/>
        <v>78779</v>
      </c>
      <c r="U1026" s="270">
        <f t="shared" si="268"/>
        <v>78779</v>
      </c>
      <c r="V1026" s="270">
        <f t="shared" si="268"/>
        <v>78779</v>
      </c>
      <c r="W1026" s="270">
        <f t="shared" si="268"/>
        <v>78779</v>
      </c>
      <c r="X1026" s="270">
        <f t="shared" si="268"/>
        <v>78779</v>
      </c>
      <c r="Y1026" s="270">
        <f t="shared" si="268"/>
        <v>78779</v>
      </c>
      <c r="Z1026" s="270">
        <f t="shared" si="268"/>
        <v>78779</v>
      </c>
      <c r="AA1026" s="270">
        <f t="shared" si="268"/>
        <v>78779</v>
      </c>
      <c r="AB1026" s="270">
        <f t="shared" si="268"/>
        <v>78779</v>
      </c>
      <c r="AC1026" s="270">
        <f t="shared" si="268"/>
        <v>78779</v>
      </c>
      <c r="AD1026" s="270">
        <f t="shared" si="267"/>
        <v>78779</v>
      </c>
      <c r="AE1026" s="270">
        <f t="shared" si="263"/>
        <v>78779</v>
      </c>
      <c r="AF1026" s="270">
        <f t="shared" si="264"/>
        <v>78779</v>
      </c>
      <c r="AG1026" s="270">
        <f t="shared" si="264"/>
        <v>78779</v>
      </c>
      <c r="AH1026" s="270">
        <f t="shared" si="264"/>
        <v>78779</v>
      </c>
      <c r="AI1026" s="270">
        <f t="shared" si="264"/>
        <v>78779</v>
      </c>
      <c r="AJ1026" s="270">
        <f t="shared" si="264"/>
        <v>78779</v>
      </c>
      <c r="AK1026" s="270">
        <f t="shared" si="264"/>
        <v>78779</v>
      </c>
      <c r="AL1026" s="270">
        <f t="shared" si="264"/>
        <v>78779</v>
      </c>
      <c r="AM1026" s="270">
        <f t="shared" si="264"/>
        <v>78779</v>
      </c>
    </row>
    <row r="1027" spans="2:39" ht="15.75" thickBot="1" x14ac:dyDescent="0.35">
      <c r="B1027" s="56" t="str">
        <f>input_names!$E$3</f>
        <v>plug-in</v>
      </c>
      <c r="C1027" s="61">
        <v>272</v>
      </c>
      <c r="D1027" s="270">
        <f t="shared" si="267"/>
        <v>52292</v>
      </c>
      <c r="E1027" s="270">
        <f t="shared" si="267"/>
        <v>59534</v>
      </c>
      <c r="F1027" s="270">
        <f t="shared" si="267"/>
        <v>69000</v>
      </c>
      <c r="G1027" s="270">
        <f t="shared" si="267"/>
        <v>66468</v>
      </c>
      <c r="H1027" s="270">
        <f t="shared" si="267"/>
        <v>63232</v>
      </c>
      <c r="I1027" s="270">
        <f t="shared" si="267"/>
        <v>62304</v>
      </c>
      <c r="J1027" s="270">
        <f t="shared" si="267"/>
        <v>45824</v>
      </c>
      <c r="K1027" s="270">
        <f t="shared" si="267"/>
        <v>46274</v>
      </c>
      <c r="L1027" s="270">
        <f t="shared" si="267"/>
        <v>49254</v>
      </c>
      <c r="M1027" s="270">
        <f t="shared" si="267"/>
        <v>54220</v>
      </c>
      <c r="N1027" s="270">
        <f t="shared" si="267"/>
        <v>79347</v>
      </c>
      <c r="O1027" s="270">
        <f t="shared" si="267"/>
        <v>79347</v>
      </c>
      <c r="P1027" s="270">
        <f t="shared" si="267"/>
        <v>79347</v>
      </c>
      <c r="Q1027" s="270">
        <f t="shared" si="267"/>
        <v>79347</v>
      </c>
      <c r="R1027" s="270">
        <f t="shared" si="267"/>
        <v>79347</v>
      </c>
      <c r="S1027" s="270">
        <f t="shared" si="268"/>
        <v>79347</v>
      </c>
      <c r="T1027" s="270">
        <f t="shared" si="268"/>
        <v>79347</v>
      </c>
      <c r="U1027" s="270">
        <f t="shared" si="268"/>
        <v>79347</v>
      </c>
      <c r="V1027" s="270">
        <f t="shared" si="268"/>
        <v>79347</v>
      </c>
      <c r="W1027" s="270">
        <f t="shared" si="268"/>
        <v>79347</v>
      </c>
      <c r="X1027" s="270">
        <f t="shared" si="268"/>
        <v>79347</v>
      </c>
      <c r="Y1027" s="270">
        <f t="shared" si="268"/>
        <v>79347</v>
      </c>
      <c r="Z1027" s="270">
        <f t="shared" si="268"/>
        <v>79347</v>
      </c>
      <c r="AA1027" s="270">
        <f t="shared" si="268"/>
        <v>79347</v>
      </c>
      <c r="AB1027" s="270">
        <f t="shared" si="268"/>
        <v>79347</v>
      </c>
      <c r="AC1027" s="270">
        <f t="shared" si="268"/>
        <v>79347</v>
      </c>
      <c r="AD1027" s="270">
        <f t="shared" si="267"/>
        <v>79347</v>
      </c>
      <c r="AE1027" s="270">
        <f t="shared" si="263"/>
        <v>79347</v>
      </c>
      <c r="AF1027" s="270">
        <f t="shared" si="264"/>
        <v>79347</v>
      </c>
      <c r="AG1027" s="270">
        <f t="shared" si="264"/>
        <v>79347</v>
      </c>
      <c r="AH1027" s="270">
        <f t="shared" si="264"/>
        <v>79347</v>
      </c>
      <c r="AI1027" s="270">
        <f t="shared" si="264"/>
        <v>79347</v>
      </c>
      <c r="AJ1027" s="270">
        <f t="shared" si="264"/>
        <v>79347</v>
      </c>
      <c r="AK1027" s="270">
        <f t="shared" si="264"/>
        <v>79347</v>
      </c>
      <c r="AL1027" s="270">
        <f t="shared" si="264"/>
        <v>79347</v>
      </c>
      <c r="AM1027" s="270">
        <f t="shared" si="264"/>
        <v>79347</v>
      </c>
    </row>
    <row r="1028" spans="2:39" ht="15.75" thickBot="1" x14ac:dyDescent="0.35">
      <c r="B1028" s="56" t="str">
        <f>input_names!$E$3</f>
        <v>plug-in</v>
      </c>
      <c r="C1028" s="61">
        <v>273</v>
      </c>
      <c r="D1028" s="270">
        <f t="shared" si="267"/>
        <v>52726</v>
      </c>
      <c r="E1028" s="270">
        <f t="shared" si="267"/>
        <v>60010</v>
      </c>
      <c r="F1028" s="270">
        <f t="shared" si="267"/>
        <v>69300</v>
      </c>
      <c r="G1028" s="270">
        <f t="shared" si="267"/>
        <v>66757</v>
      </c>
      <c r="H1028" s="270">
        <f t="shared" si="267"/>
        <v>63503</v>
      </c>
      <c r="I1028" s="270">
        <f t="shared" si="267"/>
        <v>62571</v>
      </c>
      <c r="J1028" s="270">
        <f t="shared" si="267"/>
        <v>46026</v>
      </c>
      <c r="K1028" s="270">
        <f t="shared" si="267"/>
        <v>46478</v>
      </c>
      <c r="L1028" s="270">
        <f t="shared" si="267"/>
        <v>49471</v>
      </c>
      <c r="M1028" s="270">
        <f t="shared" si="267"/>
        <v>54459</v>
      </c>
      <c r="N1028" s="270">
        <f t="shared" si="267"/>
        <v>79915</v>
      </c>
      <c r="O1028" s="270">
        <f t="shared" si="267"/>
        <v>79915</v>
      </c>
      <c r="P1028" s="270">
        <f t="shared" si="267"/>
        <v>79915</v>
      </c>
      <c r="Q1028" s="270">
        <f t="shared" si="267"/>
        <v>79915</v>
      </c>
      <c r="R1028" s="270">
        <f t="shared" si="267"/>
        <v>79915</v>
      </c>
      <c r="S1028" s="270">
        <f t="shared" si="268"/>
        <v>79915</v>
      </c>
      <c r="T1028" s="270">
        <f t="shared" si="268"/>
        <v>79915</v>
      </c>
      <c r="U1028" s="270">
        <f t="shared" si="268"/>
        <v>79915</v>
      </c>
      <c r="V1028" s="270">
        <f t="shared" si="268"/>
        <v>79915</v>
      </c>
      <c r="W1028" s="270">
        <f t="shared" si="268"/>
        <v>79915</v>
      </c>
      <c r="X1028" s="270">
        <f t="shared" si="268"/>
        <v>79915</v>
      </c>
      <c r="Y1028" s="270">
        <f t="shared" si="268"/>
        <v>79915</v>
      </c>
      <c r="Z1028" s="270">
        <f t="shared" si="268"/>
        <v>79915</v>
      </c>
      <c r="AA1028" s="270">
        <f t="shared" si="268"/>
        <v>79915</v>
      </c>
      <c r="AB1028" s="270">
        <f t="shared" si="268"/>
        <v>79915</v>
      </c>
      <c r="AC1028" s="270">
        <f t="shared" si="268"/>
        <v>79915</v>
      </c>
      <c r="AD1028" s="270">
        <f t="shared" si="267"/>
        <v>79915</v>
      </c>
      <c r="AE1028" s="270">
        <f t="shared" si="263"/>
        <v>79915</v>
      </c>
      <c r="AF1028" s="270">
        <f t="shared" si="264"/>
        <v>79915</v>
      </c>
      <c r="AG1028" s="270">
        <f t="shared" si="264"/>
        <v>79915</v>
      </c>
      <c r="AH1028" s="270">
        <f t="shared" si="264"/>
        <v>79915</v>
      </c>
      <c r="AI1028" s="270">
        <f t="shared" si="264"/>
        <v>79915</v>
      </c>
      <c r="AJ1028" s="270">
        <f t="shared" si="264"/>
        <v>79915</v>
      </c>
      <c r="AK1028" s="270">
        <f t="shared" si="264"/>
        <v>79915</v>
      </c>
      <c r="AL1028" s="270">
        <f t="shared" si="264"/>
        <v>79915</v>
      </c>
      <c r="AM1028" s="270">
        <f t="shared" si="264"/>
        <v>79915</v>
      </c>
    </row>
    <row r="1029" spans="2:39" ht="15.75" thickBot="1" x14ac:dyDescent="0.35">
      <c r="B1029" s="56" t="str">
        <f>input_names!$E$3</f>
        <v>plug-in</v>
      </c>
      <c r="C1029" s="61">
        <v>274</v>
      </c>
      <c r="D1029" s="270">
        <f t="shared" si="267"/>
        <v>53160</v>
      </c>
      <c r="E1029" s="270">
        <f t="shared" si="267"/>
        <v>60486</v>
      </c>
      <c r="F1029" s="270">
        <f t="shared" si="267"/>
        <v>69600</v>
      </c>
      <c r="G1029" s="270">
        <f t="shared" si="267"/>
        <v>67046</v>
      </c>
      <c r="H1029" s="270">
        <f t="shared" si="267"/>
        <v>63774</v>
      </c>
      <c r="I1029" s="270">
        <f t="shared" si="267"/>
        <v>62838</v>
      </c>
      <c r="J1029" s="270">
        <f t="shared" si="267"/>
        <v>46228</v>
      </c>
      <c r="K1029" s="270">
        <f t="shared" si="267"/>
        <v>46682</v>
      </c>
      <c r="L1029" s="270">
        <f t="shared" si="267"/>
        <v>49688</v>
      </c>
      <c r="M1029" s="270">
        <f t="shared" si="267"/>
        <v>54698</v>
      </c>
      <c r="N1029" s="270">
        <f t="shared" si="267"/>
        <v>80483</v>
      </c>
      <c r="O1029" s="270">
        <f t="shared" si="267"/>
        <v>80483</v>
      </c>
      <c r="P1029" s="270">
        <f t="shared" si="267"/>
        <v>80483</v>
      </c>
      <c r="Q1029" s="270">
        <f t="shared" si="267"/>
        <v>80483</v>
      </c>
      <c r="R1029" s="270">
        <f t="shared" si="267"/>
        <v>80483</v>
      </c>
      <c r="S1029" s="270">
        <f t="shared" si="268"/>
        <v>80483</v>
      </c>
      <c r="T1029" s="270">
        <f t="shared" si="268"/>
        <v>80483</v>
      </c>
      <c r="U1029" s="270">
        <f t="shared" si="268"/>
        <v>80483</v>
      </c>
      <c r="V1029" s="270">
        <f t="shared" si="268"/>
        <v>80483</v>
      </c>
      <c r="W1029" s="270">
        <f t="shared" si="268"/>
        <v>80483</v>
      </c>
      <c r="X1029" s="270">
        <f t="shared" si="268"/>
        <v>80483</v>
      </c>
      <c r="Y1029" s="270">
        <f t="shared" si="268"/>
        <v>80483</v>
      </c>
      <c r="Z1029" s="270">
        <f t="shared" si="268"/>
        <v>80483</v>
      </c>
      <c r="AA1029" s="270">
        <f t="shared" si="268"/>
        <v>80483</v>
      </c>
      <c r="AB1029" s="270">
        <f t="shared" si="268"/>
        <v>80483</v>
      </c>
      <c r="AC1029" s="270">
        <f t="shared" si="268"/>
        <v>80483</v>
      </c>
      <c r="AD1029" s="270">
        <f t="shared" si="267"/>
        <v>80483</v>
      </c>
      <c r="AE1029" s="270">
        <f t="shared" si="263"/>
        <v>80483</v>
      </c>
      <c r="AF1029" s="270">
        <f t="shared" si="264"/>
        <v>80483</v>
      </c>
      <c r="AG1029" s="270">
        <f t="shared" si="264"/>
        <v>80483</v>
      </c>
      <c r="AH1029" s="270">
        <f t="shared" si="264"/>
        <v>80483</v>
      </c>
      <c r="AI1029" s="270">
        <f t="shared" si="264"/>
        <v>80483</v>
      </c>
      <c r="AJ1029" s="270">
        <f t="shared" si="264"/>
        <v>80483</v>
      </c>
      <c r="AK1029" s="270">
        <f t="shared" si="264"/>
        <v>80483</v>
      </c>
      <c r="AL1029" s="270">
        <f t="shared" si="264"/>
        <v>80483</v>
      </c>
      <c r="AM1029" s="270">
        <f t="shared" si="264"/>
        <v>80483</v>
      </c>
    </row>
    <row r="1030" spans="2:39" ht="15.75" thickBot="1" x14ac:dyDescent="0.35">
      <c r="B1030" s="56" t="str">
        <f>input_names!$E$3</f>
        <v>plug-in</v>
      </c>
      <c r="C1030" s="61">
        <v>275</v>
      </c>
      <c r="D1030" s="270">
        <f t="shared" si="267"/>
        <v>53594</v>
      </c>
      <c r="E1030" s="270">
        <f t="shared" si="267"/>
        <v>60962</v>
      </c>
      <c r="F1030" s="270">
        <f t="shared" si="267"/>
        <v>69900</v>
      </c>
      <c r="G1030" s="270">
        <f t="shared" si="267"/>
        <v>67335</v>
      </c>
      <c r="H1030" s="270">
        <f t="shared" si="267"/>
        <v>64045</v>
      </c>
      <c r="I1030" s="270">
        <f t="shared" si="267"/>
        <v>63105</v>
      </c>
      <c r="J1030" s="270">
        <f t="shared" si="267"/>
        <v>46430</v>
      </c>
      <c r="K1030" s="270">
        <f t="shared" si="267"/>
        <v>46886</v>
      </c>
      <c r="L1030" s="270">
        <f t="shared" si="267"/>
        <v>49905</v>
      </c>
      <c r="M1030" s="270">
        <f t="shared" si="267"/>
        <v>54937</v>
      </c>
      <c r="N1030" s="270">
        <f t="shared" si="267"/>
        <v>81051</v>
      </c>
      <c r="O1030" s="270">
        <f t="shared" si="267"/>
        <v>81051</v>
      </c>
      <c r="P1030" s="270">
        <f t="shared" si="267"/>
        <v>81051</v>
      </c>
      <c r="Q1030" s="270">
        <f t="shared" si="267"/>
        <v>81051</v>
      </c>
      <c r="R1030" s="270">
        <f t="shared" si="267"/>
        <v>81051</v>
      </c>
      <c r="S1030" s="270">
        <f t="shared" si="268"/>
        <v>81051</v>
      </c>
      <c r="T1030" s="270">
        <f t="shared" si="268"/>
        <v>81051</v>
      </c>
      <c r="U1030" s="270">
        <f t="shared" si="268"/>
        <v>81051</v>
      </c>
      <c r="V1030" s="270">
        <f t="shared" si="268"/>
        <v>81051</v>
      </c>
      <c r="W1030" s="270">
        <f t="shared" si="268"/>
        <v>81051</v>
      </c>
      <c r="X1030" s="270">
        <f t="shared" si="268"/>
        <v>81051</v>
      </c>
      <c r="Y1030" s="270">
        <f t="shared" si="268"/>
        <v>81051</v>
      </c>
      <c r="Z1030" s="270">
        <f t="shared" si="268"/>
        <v>81051</v>
      </c>
      <c r="AA1030" s="270">
        <f t="shared" si="268"/>
        <v>81051</v>
      </c>
      <c r="AB1030" s="270">
        <f t="shared" si="268"/>
        <v>81051</v>
      </c>
      <c r="AC1030" s="270">
        <f t="shared" si="268"/>
        <v>81051</v>
      </c>
      <c r="AD1030" s="270">
        <f t="shared" si="267"/>
        <v>81051</v>
      </c>
      <c r="AE1030" s="270">
        <f t="shared" si="263"/>
        <v>81051</v>
      </c>
      <c r="AF1030" s="270">
        <f t="shared" si="264"/>
        <v>81051</v>
      </c>
      <c r="AG1030" s="270">
        <f t="shared" si="264"/>
        <v>81051</v>
      </c>
      <c r="AH1030" s="270">
        <f t="shared" si="264"/>
        <v>81051</v>
      </c>
      <c r="AI1030" s="270">
        <f t="shared" si="264"/>
        <v>81051</v>
      </c>
      <c r="AJ1030" s="270">
        <f t="shared" si="264"/>
        <v>81051</v>
      </c>
      <c r="AK1030" s="270">
        <f t="shared" si="264"/>
        <v>81051</v>
      </c>
      <c r="AL1030" s="270">
        <f t="shared" si="264"/>
        <v>81051</v>
      </c>
      <c r="AM1030" s="270">
        <f t="shared" si="264"/>
        <v>81051</v>
      </c>
    </row>
    <row r="1031" spans="2:39" ht="15.75" thickBot="1" x14ac:dyDescent="0.35">
      <c r="B1031" s="56" t="str">
        <f>input_names!$E$3</f>
        <v>plug-in</v>
      </c>
      <c r="C1031" s="61">
        <v>276</v>
      </c>
      <c r="D1031" s="270">
        <f t="shared" si="267"/>
        <v>54028</v>
      </c>
      <c r="E1031" s="270">
        <f t="shared" si="267"/>
        <v>61438</v>
      </c>
      <c r="F1031" s="270">
        <f t="shared" si="267"/>
        <v>70200</v>
      </c>
      <c r="G1031" s="270">
        <f t="shared" si="267"/>
        <v>67624</v>
      </c>
      <c r="H1031" s="270">
        <f t="shared" si="267"/>
        <v>64316</v>
      </c>
      <c r="I1031" s="270">
        <f t="shared" si="267"/>
        <v>63372</v>
      </c>
      <c r="J1031" s="270">
        <f t="shared" si="267"/>
        <v>46632</v>
      </c>
      <c r="K1031" s="270">
        <f t="shared" si="267"/>
        <v>47090</v>
      </c>
      <c r="L1031" s="270">
        <f t="shared" si="267"/>
        <v>50122</v>
      </c>
      <c r="M1031" s="270">
        <f t="shared" si="267"/>
        <v>55176</v>
      </c>
      <c r="N1031" s="270">
        <f t="shared" si="267"/>
        <v>81619</v>
      </c>
      <c r="O1031" s="270">
        <f t="shared" si="267"/>
        <v>81619</v>
      </c>
      <c r="P1031" s="270">
        <f t="shared" si="267"/>
        <v>81619</v>
      </c>
      <c r="Q1031" s="270">
        <f t="shared" si="267"/>
        <v>81619</v>
      </c>
      <c r="R1031" s="270">
        <f t="shared" si="267"/>
        <v>81619</v>
      </c>
      <c r="S1031" s="270">
        <f t="shared" si="268"/>
        <v>81619</v>
      </c>
      <c r="T1031" s="270">
        <f t="shared" si="268"/>
        <v>81619</v>
      </c>
      <c r="U1031" s="270">
        <f t="shared" si="268"/>
        <v>81619</v>
      </c>
      <c r="V1031" s="270">
        <f t="shared" si="268"/>
        <v>81619</v>
      </c>
      <c r="W1031" s="270">
        <f t="shared" si="268"/>
        <v>81619</v>
      </c>
      <c r="X1031" s="270">
        <f t="shared" si="268"/>
        <v>81619</v>
      </c>
      <c r="Y1031" s="270">
        <f t="shared" si="268"/>
        <v>81619</v>
      </c>
      <c r="Z1031" s="270">
        <f t="shared" si="268"/>
        <v>81619</v>
      </c>
      <c r="AA1031" s="270">
        <f t="shared" si="268"/>
        <v>81619</v>
      </c>
      <c r="AB1031" s="270">
        <f t="shared" si="268"/>
        <v>81619</v>
      </c>
      <c r="AC1031" s="270">
        <f t="shared" si="268"/>
        <v>81619</v>
      </c>
      <c r="AD1031" s="270">
        <f t="shared" si="267"/>
        <v>81619</v>
      </c>
      <c r="AE1031" s="270">
        <f t="shared" si="263"/>
        <v>81619</v>
      </c>
      <c r="AF1031" s="270">
        <f t="shared" si="264"/>
        <v>81619</v>
      </c>
      <c r="AG1031" s="270">
        <f t="shared" si="264"/>
        <v>81619</v>
      </c>
      <c r="AH1031" s="270">
        <f t="shared" si="264"/>
        <v>81619</v>
      </c>
      <c r="AI1031" s="270">
        <f t="shared" si="264"/>
        <v>81619</v>
      </c>
      <c r="AJ1031" s="270">
        <f t="shared" si="264"/>
        <v>81619</v>
      </c>
      <c r="AK1031" s="270">
        <f t="shared" si="264"/>
        <v>81619</v>
      </c>
      <c r="AL1031" s="270">
        <f t="shared" si="264"/>
        <v>81619</v>
      </c>
      <c r="AM1031" s="270">
        <f t="shared" si="264"/>
        <v>81619</v>
      </c>
    </row>
    <row r="1032" spans="2:39" ht="15.75" thickBot="1" x14ac:dyDescent="0.35">
      <c r="B1032" s="56" t="str">
        <f>input_names!$E$3</f>
        <v>plug-in</v>
      </c>
      <c r="C1032" s="61">
        <v>277</v>
      </c>
      <c r="D1032" s="270">
        <f t="shared" si="267"/>
        <v>54462</v>
      </c>
      <c r="E1032" s="270">
        <f t="shared" si="267"/>
        <v>61914</v>
      </c>
      <c r="F1032" s="270">
        <f t="shared" si="267"/>
        <v>70500</v>
      </c>
      <c r="G1032" s="270">
        <f t="shared" si="267"/>
        <v>67913</v>
      </c>
      <c r="H1032" s="270">
        <f t="shared" si="267"/>
        <v>64587</v>
      </c>
      <c r="I1032" s="270">
        <f t="shared" si="267"/>
        <v>63639</v>
      </c>
      <c r="J1032" s="270">
        <f t="shared" si="267"/>
        <v>46834</v>
      </c>
      <c r="K1032" s="270">
        <f t="shared" si="267"/>
        <v>47294</v>
      </c>
      <c r="L1032" s="270">
        <f t="shared" si="267"/>
        <v>50339</v>
      </c>
      <c r="M1032" s="270">
        <f t="shared" si="267"/>
        <v>55415</v>
      </c>
      <c r="N1032" s="270">
        <f t="shared" si="267"/>
        <v>82187</v>
      </c>
      <c r="O1032" s="270">
        <f t="shared" si="267"/>
        <v>82187</v>
      </c>
      <c r="P1032" s="270">
        <f t="shared" si="267"/>
        <v>82187</v>
      </c>
      <c r="Q1032" s="270">
        <f t="shared" si="267"/>
        <v>82187</v>
      </c>
      <c r="R1032" s="270">
        <f t="shared" si="267"/>
        <v>82187</v>
      </c>
      <c r="S1032" s="270">
        <f t="shared" si="268"/>
        <v>82187</v>
      </c>
      <c r="T1032" s="270">
        <f t="shared" si="268"/>
        <v>82187</v>
      </c>
      <c r="U1032" s="270">
        <f t="shared" si="268"/>
        <v>82187</v>
      </c>
      <c r="V1032" s="270">
        <f t="shared" si="268"/>
        <v>82187</v>
      </c>
      <c r="W1032" s="270">
        <f t="shared" si="268"/>
        <v>82187</v>
      </c>
      <c r="X1032" s="270">
        <f t="shared" si="268"/>
        <v>82187</v>
      </c>
      <c r="Y1032" s="270">
        <f t="shared" si="268"/>
        <v>82187</v>
      </c>
      <c r="Z1032" s="270">
        <f t="shared" si="268"/>
        <v>82187</v>
      </c>
      <c r="AA1032" s="270">
        <f t="shared" si="268"/>
        <v>82187</v>
      </c>
      <c r="AB1032" s="270">
        <f t="shared" si="268"/>
        <v>82187</v>
      </c>
      <c r="AC1032" s="270">
        <f t="shared" si="268"/>
        <v>82187</v>
      </c>
      <c r="AD1032" s="270">
        <f t="shared" si="267"/>
        <v>82187</v>
      </c>
      <c r="AE1032" s="270">
        <f t="shared" si="263"/>
        <v>82187</v>
      </c>
      <c r="AF1032" s="270">
        <f t="shared" si="264"/>
        <v>82187</v>
      </c>
      <c r="AG1032" s="270">
        <f t="shared" si="264"/>
        <v>82187</v>
      </c>
      <c r="AH1032" s="270">
        <f t="shared" si="264"/>
        <v>82187</v>
      </c>
      <c r="AI1032" s="270">
        <f t="shared" si="264"/>
        <v>82187</v>
      </c>
      <c r="AJ1032" s="270">
        <f t="shared" si="264"/>
        <v>82187</v>
      </c>
      <c r="AK1032" s="270">
        <f t="shared" si="264"/>
        <v>82187</v>
      </c>
      <c r="AL1032" s="270">
        <f t="shared" si="264"/>
        <v>82187</v>
      </c>
      <c r="AM1032" s="270">
        <f t="shared" si="264"/>
        <v>82187</v>
      </c>
    </row>
    <row r="1033" spans="2:39" ht="15.75" thickBot="1" x14ac:dyDescent="0.35">
      <c r="B1033" s="56" t="str">
        <f>input_names!$E$3</f>
        <v>plug-in</v>
      </c>
      <c r="C1033" s="61">
        <v>278</v>
      </c>
      <c r="D1033" s="270">
        <f t="shared" si="267"/>
        <v>54896</v>
      </c>
      <c r="E1033" s="270">
        <f t="shared" si="267"/>
        <v>62390</v>
      </c>
      <c r="F1033" s="270">
        <f t="shared" si="267"/>
        <v>70800</v>
      </c>
      <c r="G1033" s="270">
        <f t="shared" si="267"/>
        <v>68202</v>
      </c>
      <c r="H1033" s="270">
        <f t="shared" si="267"/>
        <v>64858</v>
      </c>
      <c r="I1033" s="270">
        <f t="shared" si="267"/>
        <v>63906</v>
      </c>
      <c r="J1033" s="270">
        <f t="shared" si="267"/>
        <v>47036</v>
      </c>
      <c r="K1033" s="270">
        <f t="shared" si="267"/>
        <v>47498</v>
      </c>
      <c r="L1033" s="270">
        <f t="shared" si="267"/>
        <v>50556</v>
      </c>
      <c r="M1033" s="270">
        <f t="shared" si="267"/>
        <v>55654</v>
      </c>
      <c r="N1033" s="270">
        <f t="shared" si="267"/>
        <v>82755</v>
      </c>
      <c r="O1033" s="270">
        <f t="shared" si="267"/>
        <v>82755</v>
      </c>
      <c r="P1033" s="270">
        <f t="shared" si="267"/>
        <v>82755</v>
      </c>
      <c r="Q1033" s="270">
        <f t="shared" si="267"/>
        <v>82755</v>
      </c>
      <c r="R1033" s="270">
        <f t="shared" si="267"/>
        <v>82755</v>
      </c>
      <c r="S1033" s="270">
        <f t="shared" si="268"/>
        <v>82755</v>
      </c>
      <c r="T1033" s="270">
        <f t="shared" si="268"/>
        <v>82755</v>
      </c>
      <c r="U1033" s="270">
        <f t="shared" si="268"/>
        <v>82755</v>
      </c>
      <c r="V1033" s="270">
        <f t="shared" si="268"/>
        <v>82755</v>
      </c>
      <c r="W1033" s="270">
        <f t="shared" si="268"/>
        <v>82755</v>
      </c>
      <c r="X1033" s="270">
        <f t="shared" si="268"/>
        <v>82755</v>
      </c>
      <c r="Y1033" s="270">
        <f t="shared" si="268"/>
        <v>82755</v>
      </c>
      <c r="Z1033" s="270">
        <f t="shared" si="268"/>
        <v>82755</v>
      </c>
      <c r="AA1033" s="270">
        <f t="shared" si="268"/>
        <v>82755</v>
      </c>
      <c r="AB1033" s="270">
        <f t="shared" si="268"/>
        <v>82755</v>
      </c>
      <c r="AC1033" s="270">
        <f t="shared" si="268"/>
        <v>82755</v>
      </c>
      <c r="AD1033" s="270">
        <f t="shared" si="267"/>
        <v>82755</v>
      </c>
      <c r="AE1033" s="270">
        <f t="shared" si="263"/>
        <v>82755</v>
      </c>
      <c r="AF1033" s="270">
        <f t="shared" si="264"/>
        <v>82755</v>
      </c>
      <c r="AG1033" s="270">
        <f t="shared" si="264"/>
        <v>82755</v>
      </c>
      <c r="AH1033" s="270">
        <f t="shared" si="264"/>
        <v>82755</v>
      </c>
      <c r="AI1033" s="270">
        <f t="shared" si="264"/>
        <v>82755</v>
      </c>
      <c r="AJ1033" s="270">
        <f t="shared" si="264"/>
        <v>82755</v>
      </c>
      <c r="AK1033" s="270">
        <f t="shared" si="264"/>
        <v>82755</v>
      </c>
      <c r="AL1033" s="270">
        <f t="shared" si="264"/>
        <v>82755</v>
      </c>
      <c r="AM1033" s="270">
        <f t="shared" si="264"/>
        <v>82755</v>
      </c>
    </row>
    <row r="1034" spans="2:39" ht="15.75" thickBot="1" x14ac:dyDescent="0.35">
      <c r="B1034" s="56" t="str">
        <f>input_names!$E$3</f>
        <v>plug-in</v>
      </c>
      <c r="C1034" s="61">
        <v>279</v>
      </c>
      <c r="D1034" s="270">
        <f t="shared" si="267"/>
        <v>55330</v>
      </c>
      <c r="E1034" s="270">
        <f t="shared" si="267"/>
        <v>62866</v>
      </c>
      <c r="F1034" s="270">
        <f t="shared" si="267"/>
        <v>71100</v>
      </c>
      <c r="G1034" s="270">
        <f t="shared" si="267"/>
        <v>68491</v>
      </c>
      <c r="H1034" s="270">
        <f t="shared" si="267"/>
        <v>65129</v>
      </c>
      <c r="I1034" s="270">
        <f t="shared" si="267"/>
        <v>64173</v>
      </c>
      <c r="J1034" s="270">
        <f t="shared" si="267"/>
        <v>47238</v>
      </c>
      <c r="K1034" s="270">
        <f t="shared" si="267"/>
        <v>47702</v>
      </c>
      <c r="L1034" s="270">
        <f t="shared" si="267"/>
        <v>50773</v>
      </c>
      <c r="M1034" s="270">
        <f t="shared" si="267"/>
        <v>55893</v>
      </c>
      <c r="N1034" s="270">
        <f t="shared" si="267"/>
        <v>83323</v>
      </c>
      <c r="O1034" s="270">
        <f t="shared" si="267"/>
        <v>83323</v>
      </c>
      <c r="P1034" s="270">
        <f t="shared" si="267"/>
        <v>83323</v>
      </c>
      <c r="Q1034" s="270">
        <f t="shared" si="267"/>
        <v>83323</v>
      </c>
      <c r="R1034" s="270">
        <f t="shared" si="267"/>
        <v>83323</v>
      </c>
      <c r="S1034" s="270">
        <f t="shared" si="268"/>
        <v>83323</v>
      </c>
      <c r="T1034" s="270">
        <f t="shared" si="268"/>
        <v>83323</v>
      </c>
      <c r="U1034" s="270">
        <f t="shared" si="268"/>
        <v>83323</v>
      </c>
      <c r="V1034" s="270">
        <f t="shared" si="268"/>
        <v>83323</v>
      </c>
      <c r="W1034" s="270">
        <f t="shared" si="268"/>
        <v>83323</v>
      </c>
      <c r="X1034" s="270">
        <f t="shared" si="268"/>
        <v>83323</v>
      </c>
      <c r="Y1034" s="270">
        <f t="shared" si="268"/>
        <v>83323</v>
      </c>
      <c r="Z1034" s="270">
        <f t="shared" si="268"/>
        <v>83323</v>
      </c>
      <c r="AA1034" s="270">
        <f t="shared" si="268"/>
        <v>83323</v>
      </c>
      <c r="AB1034" s="270">
        <f t="shared" si="268"/>
        <v>83323</v>
      </c>
      <c r="AC1034" s="270">
        <f t="shared" si="268"/>
        <v>83323</v>
      </c>
      <c r="AD1034" s="270">
        <f t="shared" si="267"/>
        <v>83323</v>
      </c>
      <c r="AE1034" s="270">
        <f t="shared" si="263"/>
        <v>83323</v>
      </c>
      <c r="AF1034" s="270">
        <f t="shared" si="264"/>
        <v>83323</v>
      </c>
      <c r="AG1034" s="270">
        <f t="shared" si="264"/>
        <v>83323</v>
      </c>
      <c r="AH1034" s="270">
        <f t="shared" si="264"/>
        <v>83323</v>
      </c>
      <c r="AI1034" s="270">
        <f t="shared" si="264"/>
        <v>83323</v>
      </c>
      <c r="AJ1034" s="270">
        <f t="shared" si="264"/>
        <v>83323</v>
      </c>
      <c r="AK1034" s="270">
        <f t="shared" si="264"/>
        <v>83323</v>
      </c>
      <c r="AL1034" s="270">
        <f t="shared" si="264"/>
        <v>83323</v>
      </c>
      <c r="AM1034" s="270">
        <f t="shared" si="264"/>
        <v>83323</v>
      </c>
    </row>
    <row r="1035" spans="2:39" ht="15.75" thickBot="1" x14ac:dyDescent="0.35">
      <c r="B1035" s="56" t="str">
        <f>input_names!$E$3</f>
        <v>plug-in</v>
      </c>
      <c r="C1035" s="61">
        <v>280</v>
      </c>
      <c r="D1035" s="270">
        <f t="shared" si="267"/>
        <v>55764</v>
      </c>
      <c r="E1035" s="270">
        <f t="shared" si="267"/>
        <v>63342</v>
      </c>
      <c r="F1035" s="270">
        <f t="shared" si="267"/>
        <v>71400</v>
      </c>
      <c r="G1035" s="270">
        <f t="shared" si="267"/>
        <v>68780</v>
      </c>
      <c r="H1035" s="270">
        <f t="shared" si="267"/>
        <v>65400</v>
      </c>
      <c r="I1035" s="270">
        <f t="shared" si="267"/>
        <v>64440</v>
      </c>
      <c r="J1035" s="270">
        <f t="shared" si="267"/>
        <v>47440</v>
      </c>
      <c r="K1035" s="270">
        <f t="shared" si="267"/>
        <v>47906</v>
      </c>
      <c r="L1035" s="270">
        <f t="shared" si="267"/>
        <v>50990</v>
      </c>
      <c r="M1035" s="270">
        <f t="shared" si="267"/>
        <v>56132</v>
      </c>
      <c r="N1035" s="270">
        <f t="shared" si="267"/>
        <v>83891</v>
      </c>
      <c r="O1035" s="270">
        <f t="shared" si="267"/>
        <v>83891</v>
      </c>
      <c r="P1035" s="270">
        <f t="shared" si="267"/>
        <v>83891</v>
      </c>
      <c r="Q1035" s="270">
        <f t="shared" si="267"/>
        <v>83891</v>
      </c>
      <c r="R1035" s="270">
        <f t="shared" si="267"/>
        <v>83891</v>
      </c>
      <c r="S1035" s="270">
        <f t="shared" si="268"/>
        <v>83891</v>
      </c>
      <c r="T1035" s="270">
        <f t="shared" si="268"/>
        <v>83891</v>
      </c>
      <c r="U1035" s="270">
        <f t="shared" si="268"/>
        <v>83891</v>
      </c>
      <c r="V1035" s="270">
        <f t="shared" si="268"/>
        <v>83891</v>
      </c>
      <c r="W1035" s="270">
        <f t="shared" si="268"/>
        <v>83891</v>
      </c>
      <c r="X1035" s="270">
        <f t="shared" si="268"/>
        <v>83891</v>
      </c>
      <c r="Y1035" s="270">
        <f t="shared" si="268"/>
        <v>83891</v>
      </c>
      <c r="Z1035" s="270">
        <f t="shared" si="268"/>
        <v>83891</v>
      </c>
      <c r="AA1035" s="270">
        <f t="shared" si="268"/>
        <v>83891</v>
      </c>
      <c r="AB1035" s="270">
        <f t="shared" si="268"/>
        <v>83891</v>
      </c>
      <c r="AC1035" s="270">
        <f t="shared" si="268"/>
        <v>83891</v>
      </c>
      <c r="AD1035" s="270">
        <f t="shared" si="267"/>
        <v>83891</v>
      </c>
      <c r="AE1035" s="270">
        <f t="shared" si="263"/>
        <v>83891</v>
      </c>
      <c r="AF1035" s="270">
        <f t="shared" si="264"/>
        <v>83891</v>
      </c>
      <c r="AG1035" s="270">
        <f t="shared" si="264"/>
        <v>83891</v>
      </c>
      <c r="AH1035" s="270">
        <f t="shared" si="264"/>
        <v>83891</v>
      </c>
      <c r="AI1035" s="270">
        <f t="shared" si="264"/>
        <v>83891</v>
      </c>
      <c r="AJ1035" s="270">
        <f t="shared" si="264"/>
        <v>83891</v>
      </c>
      <c r="AK1035" s="270">
        <f t="shared" si="264"/>
        <v>83891</v>
      </c>
      <c r="AL1035" s="270">
        <f t="shared" si="264"/>
        <v>83891</v>
      </c>
      <c r="AM1035" s="270">
        <f t="shared" si="264"/>
        <v>83891</v>
      </c>
    </row>
    <row r="1036" spans="2:39" ht="15.75" thickBot="1" x14ac:dyDescent="0.35">
      <c r="B1036" s="56" t="str">
        <f>input_names!$E$3</f>
        <v>plug-in</v>
      </c>
      <c r="C1036" s="61">
        <v>281</v>
      </c>
      <c r="D1036" s="270">
        <f t="shared" si="267"/>
        <v>56198</v>
      </c>
      <c r="E1036" s="270">
        <f t="shared" si="267"/>
        <v>63818</v>
      </c>
      <c r="F1036" s="270">
        <f t="shared" si="267"/>
        <v>71700</v>
      </c>
      <c r="G1036" s="270">
        <f t="shared" si="267"/>
        <v>69069</v>
      </c>
      <c r="H1036" s="270">
        <f t="shared" si="267"/>
        <v>65671</v>
      </c>
      <c r="I1036" s="270">
        <f t="shared" si="267"/>
        <v>64707</v>
      </c>
      <c r="J1036" s="270">
        <f t="shared" si="267"/>
        <v>47642</v>
      </c>
      <c r="K1036" s="270">
        <f t="shared" si="267"/>
        <v>48110</v>
      </c>
      <c r="L1036" s="270">
        <f t="shared" si="267"/>
        <v>51207</v>
      </c>
      <c r="M1036" s="270">
        <f t="shared" si="267"/>
        <v>56371</v>
      </c>
      <c r="N1036" s="270">
        <f t="shared" si="267"/>
        <v>84459</v>
      </c>
      <c r="O1036" s="270">
        <f t="shared" si="267"/>
        <v>84459</v>
      </c>
      <c r="P1036" s="270">
        <f t="shared" si="267"/>
        <v>84459</v>
      </c>
      <c r="Q1036" s="270">
        <f t="shared" si="267"/>
        <v>84459</v>
      </c>
      <c r="R1036" s="270">
        <f t="shared" si="267"/>
        <v>84459</v>
      </c>
      <c r="S1036" s="270">
        <f t="shared" si="268"/>
        <v>84459</v>
      </c>
      <c r="T1036" s="270">
        <f t="shared" si="268"/>
        <v>84459</v>
      </c>
      <c r="U1036" s="270">
        <f t="shared" si="268"/>
        <v>84459</v>
      </c>
      <c r="V1036" s="270">
        <f t="shared" si="268"/>
        <v>84459</v>
      </c>
      <c r="W1036" s="270">
        <f t="shared" si="268"/>
        <v>84459</v>
      </c>
      <c r="X1036" s="270">
        <f t="shared" si="268"/>
        <v>84459</v>
      </c>
      <c r="Y1036" s="270">
        <f t="shared" si="268"/>
        <v>84459</v>
      </c>
      <c r="Z1036" s="270">
        <f t="shared" si="268"/>
        <v>84459</v>
      </c>
      <c r="AA1036" s="270">
        <f t="shared" si="268"/>
        <v>84459</v>
      </c>
      <c r="AB1036" s="270">
        <f t="shared" si="268"/>
        <v>84459</v>
      </c>
      <c r="AC1036" s="270">
        <f t="shared" si="268"/>
        <v>84459</v>
      </c>
      <c r="AD1036" s="270">
        <f t="shared" si="267"/>
        <v>84459</v>
      </c>
      <c r="AE1036" s="270">
        <f t="shared" si="263"/>
        <v>84459</v>
      </c>
      <c r="AF1036" s="270">
        <f t="shared" si="264"/>
        <v>84459</v>
      </c>
      <c r="AG1036" s="270">
        <f t="shared" si="264"/>
        <v>84459</v>
      </c>
      <c r="AH1036" s="270">
        <f t="shared" si="264"/>
        <v>84459</v>
      </c>
      <c r="AI1036" s="270">
        <f t="shared" si="264"/>
        <v>84459</v>
      </c>
      <c r="AJ1036" s="270">
        <f t="shared" si="264"/>
        <v>84459</v>
      </c>
      <c r="AK1036" s="270">
        <f t="shared" si="264"/>
        <v>84459</v>
      </c>
      <c r="AL1036" s="270">
        <f t="shared" si="264"/>
        <v>84459</v>
      </c>
      <c r="AM1036" s="270">
        <f t="shared" si="264"/>
        <v>84459</v>
      </c>
    </row>
    <row r="1037" spans="2:39" ht="15.75" thickBot="1" x14ac:dyDescent="0.35">
      <c r="B1037" s="56" t="str">
        <f>input_names!$E$3</f>
        <v>plug-in</v>
      </c>
      <c r="C1037" s="61">
        <v>282</v>
      </c>
      <c r="D1037" s="270">
        <f t="shared" si="267"/>
        <v>56632</v>
      </c>
      <c r="E1037" s="270">
        <f t="shared" si="267"/>
        <v>64294</v>
      </c>
      <c r="F1037" s="270">
        <f t="shared" si="267"/>
        <v>72000</v>
      </c>
      <c r="G1037" s="270">
        <f t="shared" si="267"/>
        <v>69358</v>
      </c>
      <c r="H1037" s="270">
        <f t="shared" si="267"/>
        <v>65942</v>
      </c>
      <c r="I1037" s="270">
        <f t="shared" si="267"/>
        <v>64974</v>
      </c>
      <c r="J1037" s="270">
        <f t="shared" si="267"/>
        <v>47844</v>
      </c>
      <c r="K1037" s="270">
        <f t="shared" si="267"/>
        <v>48314</v>
      </c>
      <c r="L1037" s="270">
        <f t="shared" si="267"/>
        <v>51424</v>
      </c>
      <c r="M1037" s="270">
        <f t="shared" si="267"/>
        <v>56610</v>
      </c>
      <c r="N1037" s="270">
        <f t="shared" si="267"/>
        <v>85027</v>
      </c>
      <c r="O1037" s="270">
        <f t="shared" si="267"/>
        <v>85027</v>
      </c>
      <c r="P1037" s="270">
        <f t="shared" si="267"/>
        <v>85027</v>
      </c>
      <c r="Q1037" s="270">
        <f t="shared" si="267"/>
        <v>85027</v>
      </c>
      <c r="R1037" s="270">
        <f t="shared" si="267"/>
        <v>85027</v>
      </c>
      <c r="S1037" s="270">
        <f t="shared" si="268"/>
        <v>85027</v>
      </c>
      <c r="T1037" s="270">
        <f t="shared" si="268"/>
        <v>85027</v>
      </c>
      <c r="U1037" s="270">
        <f t="shared" si="268"/>
        <v>85027</v>
      </c>
      <c r="V1037" s="270">
        <f t="shared" si="268"/>
        <v>85027</v>
      </c>
      <c r="W1037" s="270">
        <f t="shared" si="268"/>
        <v>85027</v>
      </c>
      <c r="X1037" s="270">
        <f t="shared" si="268"/>
        <v>85027</v>
      </c>
      <c r="Y1037" s="270">
        <f t="shared" si="268"/>
        <v>85027</v>
      </c>
      <c r="Z1037" s="270">
        <f t="shared" si="268"/>
        <v>85027</v>
      </c>
      <c r="AA1037" s="270">
        <f t="shared" si="268"/>
        <v>85027</v>
      </c>
      <c r="AB1037" s="270">
        <f t="shared" si="268"/>
        <v>85027</v>
      </c>
      <c r="AC1037" s="270">
        <f t="shared" si="268"/>
        <v>85027</v>
      </c>
      <c r="AD1037" s="270">
        <f t="shared" si="267"/>
        <v>85027</v>
      </c>
      <c r="AE1037" s="270">
        <f t="shared" si="263"/>
        <v>85027</v>
      </c>
      <c r="AF1037" s="270">
        <f t="shared" si="264"/>
        <v>85027</v>
      </c>
      <c r="AG1037" s="270">
        <f t="shared" si="264"/>
        <v>85027</v>
      </c>
      <c r="AH1037" s="270">
        <f t="shared" si="264"/>
        <v>85027</v>
      </c>
      <c r="AI1037" s="270">
        <f t="shared" si="264"/>
        <v>85027</v>
      </c>
      <c r="AJ1037" s="270">
        <f t="shared" si="264"/>
        <v>85027</v>
      </c>
      <c r="AK1037" s="270">
        <f t="shared" si="264"/>
        <v>85027</v>
      </c>
      <c r="AL1037" s="270">
        <f t="shared" si="264"/>
        <v>85027</v>
      </c>
      <c r="AM1037" s="270">
        <f t="shared" si="264"/>
        <v>85027</v>
      </c>
    </row>
    <row r="1038" spans="2:39" ht="15.75" thickBot="1" x14ac:dyDescent="0.35">
      <c r="B1038" s="56" t="str">
        <f>input_names!$E$3</f>
        <v>plug-in</v>
      </c>
      <c r="C1038" s="61">
        <v>283</v>
      </c>
      <c r="D1038" s="270">
        <f t="shared" si="267"/>
        <v>57066</v>
      </c>
      <c r="E1038" s="270">
        <f t="shared" si="267"/>
        <v>64770</v>
      </c>
      <c r="F1038" s="270">
        <f t="shared" si="267"/>
        <v>72300</v>
      </c>
      <c r="G1038" s="270">
        <f t="shared" si="267"/>
        <v>69647</v>
      </c>
      <c r="H1038" s="270">
        <f t="shared" si="267"/>
        <v>66213</v>
      </c>
      <c r="I1038" s="270">
        <f t="shared" si="267"/>
        <v>65241</v>
      </c>
      <c r="J1038" s="270">
        <f t="shared" si="267"/>
        <v>48046</v>
      </c>
      <c r="K1038" s="270">
        <f t="shared" si="267"/>
        <v>48518</v>
      </c>
      <c r="L1038" s="270">
        <f t="shared" si="267"/>
        <v>51641</v>
      </c>
      <c r="M1038" s="270">
        <f t="shared" si="267"/>
        <v>56849</v>
      </c>
      <c r="N1038" s="270">
        <f t="shared" si="267"/>
        <v>85595</v>
      </c>
      <c r="O1038" s="270">
        <f t="shared" si="267"/>
        <v>85595</v>
      </c>
      <c r="P1038" s="270">
        <f t="shared" si="267"/>
        <v>85595</v>
      </c>
      <c r="Q1038" s="270">
        <f t="shared" si="267"/>
        <v>85595</v>
      </c>
      <c r="R1038" s="270">
        <f t="shared" si="267"/>
        <v>85595</v>
      </c>
      <c r="S1038" s="270">
        <f t="shared" si="268"/>
        <v>85595</v>
      </c>
      <c r="T1038" s="270">
        <f t="shared" si="268"/>
        <v>85595</v>
      </c>
      <c r="U1038" s="270">
        <f t="shared" si="268"/>
        <v>85595</v>
      </c>
      <c r="V1038" s="270">
        <f t="shared" si="268"/>
        <v>85595</v>
      </c>
      <c r="W1038" s="270">
        <f t="shared" si="268"/>
        <v>85595</v>
      </c>
      <c r="X1038" s="270">
        <f t="shared" si="268"/>
        <v>85595</v>
      </c>
      <c r="Y1038" s="270">
        <f t="shared" si="268"/>
        <v>85595</v>
      </c>
      <c r="Z1038" s="270">
        <f t="shared" si="268"/>
        <v>85595</v>
      </c>
      <c r="AA1038" s="270">
        <f t="shared" si="268"/>
        <v>85595</v>
      </c>
      <c r="AB1038" s="270">
        <f t="shared" si="268"/>
        <v>85595</v>
      </c>
      <c r="AC1038" s="270">
        <f t="shared" si="268"/>
        <v>85595</v>
      </c>
      <c r="AD1038" s="270">
        <f t="shared" si="267"/>
        <v>85595</v>
      </c>
      <c r="AE1038" s="270">
        <f t="shared" si="263"/>
        <v>85595</v>
      </c>
      <c r="AF1038" s="270">
        <f t="shared" si="264"/>
        <v>85595</v>
      </c>
      <c r="AG1038" s="270">
        <f t="shared" ref="AF1038:AM1066" si="269">+MIN(MAX(0,$C1038-AG$28),AG$29-AG$28)*AG$34
+MIN(MAX(0,$C1038-AG$29),AG$30-AG$29)*AG$35
+MIN(MAX(0,$C1038-AG$30),AG$31-AG$30)*AG$36
+MIN(MAX(0,$C1038-AG$31),AG$32-AG$31)*AG$37
+MAX(0,$C1038-AG$32)*AG$38
+AG$39</f>
        <v>85595</v>
      </c>
      <c r="AH1038" s="270">
        <f t="shared" si="269"/>
        <v>85595</v>
      </c>
      <c r="AI1038" s="270">
        <f t="shared" si="269"/>
        <v>85595</v>
      </c>
      <c r="AJ1038" s="270">
        <f t="shared" si="269"/>
        <v>85595</v>
      </c>
      <c r="AK1038" s="270">
        <f t="shared" si="269"/>
        <v>85595</v>
      </c>
      <c r="AL1038" s="270">
        <f t="shared" si="269"/>
        <v>85595</v>
      </c>
      <c r="AM1038" s="270">
        <f t="shared" si="269"/>
        <v>85595</v>
      </c>
    </row>
    <row r="1039" spans="2:39" ht="15.75" thickBot="1" x14ac:dyDescent="0.35">
      <c r="B1039" s="56" t="str">
        <f>input_names!$E$3</f>
        <v>plug-in</v>
      </c>
      <c r="C1039" s="61">
        <v>284</v>
      </c>
      <c r="D1039" s="270">
        <f t="shared" si="267"/>
        <v>57500</v>
      </c>
      <c r="E1039" s="270">
        <f t="shared" si="267"/>
        <v>65246</v>
      </c>
      <c r="F1039" s="270">
        <f t="shared" si="267"/>
        <v>72600</v>
      </c>
      <c r="G1039" s="270">
        <f t="shared" si="267"/>
        <v>69936</v>
      </c>
      <c r="H1039" s="270">
        <f t="shared" si="267"/>
        <v>66484</v>
      </c>
      <c r="I1039" s="270">
        <f t="shared" si="267"/>
        <v>65508</v>
      </c>
      <c r="J1039" s="270">
        <f t="shared" si="267"/>
        <v>48248</v>
      </c>
      <c r="K1039" s="270">
        <f t="shared" si="267"/>
        <v>48722</v>
      </c>
      <c r="L1039" s="270">
        <f t="shared" si="267"/>
        <v>51858</v>
      </c>
      <c r="M1039" s="270">
        <f t="shared" si="267"/>
        <v>57088</v>
      </c>
      <c r="N1039" s="270">
        <f t="shared" si="267"/>
        <v>86163</v>
      </c>
      <c r="O1039" s="270">
        <f t="shared" si="267"/>
        <v>86163</v>
      </c>
      <c r="P1039" s="270">
        <f t="shared" si="267"/>
        <v>86163</v>
      </c>
      <c r="Q1039" s="270">
        <f t="shared" si="267"/>
        <v>86163</v>
      </c>
      <c r="R1039" s="270">
        <f t="shared" si="267"/>
        <v>86163</v>
      </c>
      <c r="S1039" s="270">
        <f t="shared" si="268"/>
        <v>86163</v>
      </c>
      <c r="T1039" s="270">
        <f t="shared" si="268"/>
        <v>86163</v>
      </c>
      <c r="U1039" s="270">
        <f t="shared" si="268"/>
        <v>86163</v>
      </c>
      <c r="V1039" s="270">
        <f t="shared" si="268"/>
        <v>86163</v>
      </c>
      <c r="W1039" s="270">
        <f t="shared" si="268"/>
        <v>86163</v>
      </c>
      <c r="X1039" s="270">
        <f t="shared" si="268"/>
        <v>86163</v>
      </c>
      <c r="Y1039" s="270">
        <f t="shared" si="268"/>
        <v>86163</v>
      </c>
      <c r="Z1039" s="270">
        <f t="shared" si="268"/>
        <v>86163</v>
      </c>
      <c r="AA1039" s="270">
        <f t="shared" si="268"/>
        <v>86163</v>
      </c>
      <c r="AB1039" s="270">
        <f t="shared" si="268"/>
        <v>86163</v>
      </c>
      <c r="AC1039" s="270">
        <f t="shared" si="268"/>
        <v>86163</v>
      </c>
      <c r="AD1039" s="270">
        <f t="shared" si="267"/>
        <v>86163</v>
      </c>
      <c r="AE1039" s="270">
        <f t="shared" si="263"/>
        <v>86163</v>
      </c>
      <c r="AF1039" s="270">
        <f t="shared" si="269"/>
        <v>86163</v>
      </c>
      <c r="AG1039" s="270">
        <f t="shared" si="269"/>
        <v>86163</v>
      </c>
      <c r="AH1039" s="270">
        <f t="shared" si="269"/>
        <v>86163</v>
      </c>
      <c r="AI1039" s="270">
        <f t="shared" si="269"/>
        <v>86163</v>
      </c>
      <c r="AJ1039" s="270">
        <f t="shared" si="269"/>
        <v>86163</v>
      </c>
      <c r="AK1039" s="270">
        <f t="shared" si="269"/>
        <v>86163</v>
      </c>
      <c r="AL1039" s="270">
        <f t="shared" si="269"/>
        <v>86163</v>
      </c>
      <c r="AM1039" s="270">
        <f t="shared" si="269"/>
        <v>86163</v>
      </c>
    </row>
    <row r="1040" spans="2:39" ht="15.75" thickBot="1" x14ac:dyDescent="0.35">
      <c r="B1040" s="56" t="str">
        <f>input_names!$E$3</f>
        <v>plug-in</v>
      </c>
      <c r="C1040" s="61">
        <v>285</v>
      </c>
      <c r="D1040" s="270">
        <f t="shared" si="267"/>
        <v>57934</v>
      </c>
      <c r="E1040" s="270">
        <f t="shared" si="267"/>
        <v>65722</v>
      </c>
      <c r="F1040" s="270">
        <f t="shared" si="267"/>
        <v>72900</v>
      </c>
      <c r="G1040" s="270">
        <f t="shared" si="267"/>
        <v>70225</v>
      </c>
      <c r="H1040" s="270">
        <f t="shared" si="267"/>
        <v>66755</v>
      </c>
      <c r="I1040" s="270">
        <f t="shared" si="267"/>
        <v>65775</v>
      </c>
      <c r="J1040" s="270">
        <f t="shared" si="267"/>
        <v>48450</v>
      </c>
      <c r="K1040" s="270">
        <f t="shared" si="267"/>
        <v>48926</v>
      </c>
      <c r="L1040" s="270">
        <f t="shared" si="267"/>
        <v>52075</v>
      </c>
      <c r="M1040" s="270">
        <f t="shared" si="267"/>
        <v>57327</v>
      </c>
      <c r="N1040" s="270">
        <f t="shared" si="267"/>
        <v>86731</v>
      </c>
      <c r="O1040" s="270">
        <f t="shared" si="267"/>
        <v>86731</v>
      </c>
      <c r="P1040" s="270">
        <f t="shared" si="267"/>
        <v>86731</v>
      </c>
      <c r="Q1040" s="270">
        <f t="shared" si="267"/>
        <v>86731</v>
      </c>
      <c r="R1040" s="270">
        <f t="shared" si="267"/>
        <v>86731</v>
      </c>
      <c r="S1040" s="270">
        <f t="shared" si="268"/>
        <v>86731</v>
      </c>
      <c r="T1040" s="270">
        <f t="shared" si="268"/>
        <v>86731</v>
      </c>
      <c r="U1040" s="270">
        <f t="shared" si="268"/>
        <v>86731</v>
      </c>
      <c r="V1040" s="270">
        <f t="shared" si="268"/>
        <v>86731</v>
      </c>
      <c r="W1040" s="270">
        <f t="shared" si="268"/>
        <v>86731</v>
      </c>
      <c r="X1040" s="270">
        <f t="shared" si="268"/>
        <v>86731</v>
      </c>
      <c r="Y1040" s="270">
        <f t="shared" si="268"/>
        <v>86731</v>
      </c>
      <c r="Z1040" s="270">
        <f t="shared" si="268"/>
        <v>86731</v>
      </c>
      <c r="AA1040" s="270">
        <f t="shared" si="268"/>
        <v>86731</v>
      </c>
      <c r="AB1040" s="270">
        <f t="shared" si="268"/>
        <v>86731</v>
      </c>
      <c r="AC1040" s="270">
        <f t="shared" si="268"/>
        <v>86731</v>
      </c>
      <c r="AD1040" s="270">
        <f t="shared" si="267"/>
        <v>86731</v>
      </c>
      <c r="AE1040" s="270">
        <f t="shared" si="263"/>
        <v>86731</v>
      </c>
      <c r="AF1040" s="270">
        <f t="shared" si="269"/>
        <v>86731</v>
      </c>
      <c r="AG1040" s="270">
        <f t="shared" si="269"/>
        <v>86731</v>
      </c>
      <c r="AH1040" s="270">
        <f t="shared" si="269"/>
        <v>86731</v>
      </c>
      <c r="AI1040" s="270">
        <f t="shared" si="269"/>
        <v>86731</v>
      </c>
      <c r="AJ1040" s="270">
        <f t="shared" si="269"/>
        <v>86731</v>
      </c>
      <c r="AK1040" s="270">
        <f t="shared" si="269"/>
        <v>86731</v>
      </c>
      <c r="AL1040" s="270">
        <f t="shared" si="269"/>
        <v>86731</v>
      </c>
      <c r="AM1040" s="270">
        <f t="shared" si="269"/>
        <v>86731</v>
      </c>
    </row>
    <row r="1041" spans="2:39" ht="15.75" thickBot="1" x14ac:dyDescent="0.35">
      <c r="B1041" s="56" t="str">
        <f>input_names!$E$3</f>
        <v>plug-in</v>
      </c>
      <c r="C1041" s="61">
        <v>286</v>
      </c>
      <c r="D1041" s="270">
        <f t="shared" si="267"/>
        <v>58368</v>
      </c>
      <c r="E1041" s="270">
        <f t="shared" si="267"/>
        <v>66198</v>
      </c>
      <c r="F1041" s="270">
        <f t="shared" si="267"/>
        <v>73200</v>
      </c>
      <c r="G1041" s="270">
        <f t="shared" si="267"/>
        <v>70514</v>
      </c>
      <c r="H1041" s="270">
        <f t="shared" si="267"/>
        <v>67026</v>
      </c>
      <c r="I1041" s="270">
        <f t="shared" si="267"/>
        <v>66042</v>
      </c>
      <c r="J1041" s="270">
        <f t="shared" si="267"/>
        <v>48652</v>
      </c>
      <c r="K1041" s="270">
        <f t="shared" si="267"/>
        <v>49130</v>
      </c>
      <c r="L1041" s="270">
        <f t="shared" si="267"/>
        <v>52292</v>
      </c>
      <c r="M1041" s="270">
        <f t="shared" si="267"/>
        <v>57566</v>
      </c>
      <c r="N1041" s="270">
        <f t="shared" si="267"/>
        <v>87299</v>
      </c>
      <c r="O1041" s="270">
        <f t="shared" si="267"/>
        <v>87299</v>
      </c>
      <c r="P1041" s="270">
        <f t="shared" si="267"/>
        <v>87299</v>
      </c>
      <c r="Q1041" s="270">
        <f t="shared" si="267"/>
        <v>87299</v>
      </c>
      <c r="R1041" s="270">
        <f t="shared" si="267"/>
        <v>87299</v>
      </c>
      <c r="S1041" s="270">
        <f>+MIN(MAX(0,$C1041-S$28),S$29-S$28)*S$34
+MIN(MAX(0,$C1041-S$29),S$30-S$29)*S$35
+MIN(MAX(0,$C1041-S$30),S$31-S$30)*S$36
+MIN(MAX(0,$C1041-S$31),S$32-S$31)*S$37
+MAX(0,$C1041-S$32)*S$38
+S$39</f>
        <v>87299</v>
      </c>
      <c r="T1041" s="270">
        <f t="shared" si="268"/>
        <v>87299</v>
      </c>
      <c r="U1041" s="270">
        <f t="shared" si="268"/>
        <v>87299</v>
      </c>
      <c r="V1041" s="270">
        <f t="shared" si="268"/>
        <v>87299</v>
      </c>
      <c r="W1041" s="270">
        <f t="shared" si="268"/>
        <v>87299</v>
      </c>
      <c r="X1041" s="270">
        <f t="shared" si="268"/>
        <v>87299</v>
      </c>
      <c r="Y1041" s="270">
        <f t="shared" si="268"/>
        <v>87299</v>
      </c>
      <c r="Z1041" s="270">
        <f t="shared" si="268"/>
        <v>87299</v>
      </c>
      <c r="AA1041" s="270">
        <f t="shared" si="268"/>
        <v>87299</v>
      </c>
      <c r="AB1041" s="270">
        <f t="shared" si="268"/>
        <v>87299</v>
      </c>
      <c r="AC1041" s="270">
        <f t="shared" si="268"/>
        <v>87299</v>
      </c>
      <c r="AD1041" s="270">
        <f>+MIN(MAX(0,$C1041-AD$28),AD$29-AD$28)*AD$34
+MIN(MAX(0,$C1041-AD$29),AD$30-AD$29)*AD$35
+MIN(MAX(0,$C1041-AD$30),AD$31-AD$30)*AD$36
+MIN(MAX(0,$C1041-AD$31),AD$32-AD$31)*AD$37
+MAX(0,$C1041-AD$32)*AD$38
+AD$39</f>
        <v>87299</v>
      </c>
      <c r="AE1041" s="270">
        <f t="shared" si="263"/>
        <v>87299</v>
      </c>
      <c r="AF1041" s="270">
        <f t="shared" si="269"/>
        <v>87299</v>
      </c>
      <c r="AG1041" s="270">
        <f t="shared" si="269"/>
        <v>87299</v>
      </c>
      <c r="AH1041" s="270">
        <f t="shared" si="269"/>
        <v>87299</v>
      </c>
      <c r="AI1041" s="270">
        <f t="shared" si="269"/>
        <v>87299</v>
      </c>
      <c r="AJ1041" s="270">
        <f t="shared" si="269"/>
        <v>87299</v>
      </c>
      <c r="AK1041" s="270">
        <f t="shared" si="269"/>
        <v>87299</v>
      </c>
      <c r="AL1041" s="270">
        <f t="shared" si="269"/>
        <v>87299</v>
      </c>
      <c r="AM1041" s="270">
        <f t="shared" si="269"/>
        <v>87299</v>
      </c>
    </row>
    <row r="1042" spans="2:39" ht="15.75" thickBot="1" x14ac:dyDescent="0.35">
      <c r="B1042" s="56" t="str">
        <f>input_names!$E$3</f>
        <v>plug-in</v>
      </c>
      <c r="C1042" s="61">
        <v>287</v>
      </c>
      <c r="D1042" s="270">
        <f t="shared" ref="D1042:AD1057" si="270">+MIN(MAX(0,$C1042-D$28),D$29-D$28)*D$34
+MIN(MAX(0,$C1042-D$29),D$30-D$29)*D$35
+MIN(MAX(0,$C1042-D$30),D$31-D$30)*D$36
+MIN(MAX(0,$C1042-D$31),D$32-D$31)*D$37
+MAX(0,$C1042-D$32)*D$38
+D$39</f>
        <v>58802</v>
      </c>
      <c r="E1042" s="270">
        <f t="shared" si="270"/>
        <v>66674</v>
      </c>
      <c r="F1042" s="270">
        <f t="shared" si="270"/>
        <v>73500</v>
      </c>
      <c r="G1042" s="270">
        <f t="shared" si="270"/>
        <v>70803</v>
      </c>
      <c r="H1042" s="270">
        <f t="shared" si="270"/>
        <v>67297</v>
      </c>
      <c r="I1042" s="270">
        <f t="shared" si="270"/>
        <v>66309</v>
      </c>
      <c r="J1042" s="270">
        <f t="shared" si="270"/>
        <v>48854</v>
      </c>
      <c r="K1042" s="270">
        <f t="shared" si="270"/>
        <v>49334</v>
      </c>
      <c r="L1042" s="270">
        <f t="shared" si="270"/>
        <v>52509</v>
      </c>
      <c r="M1042" s="270">
        <f t="shared" si="270"/>
        <v>57805</v>
      </c>
      <c r="N1042" s="270">
        <f t="shared" si="270"/>
        <v>87867</v>
      </c>
      <c r="O1042" s="270">
        <f t="shared" si="270"/>
        <v>87867</v>
      </c>
      <c r="P1042" s="270">
        <f t="shared" si="270"/>
        <v>87867</v>
      </c>
      <c r="Q1042" s="270">
        <f t="shared" si="270"/>
        <v>87867</v>
      </c>
      <c r="R1042" s="270">
        <f t="shared" si="270"/>
        <v>87867</v>
      </c>
      <c r="S1042" s="270">
        <f t="shared" ref="S1042:AC1057" si="271">+MIN(MAX(0,$C1042-S$28),S$29-S$28)*S$34
+MIN(MAX(0,$C1042-S$29),S$30-S$29)*S$35
+MIN(MAX(0,$C1042-S$30),S$31-S$30)*S$36
+MIN(MAX(0,$C1042-S$31),S$32-S$31)*S$37
+MAX(0,$C1042-S$32)*S$38
+S$39</f>
        <v>87867</v>
      </c>
      <c r="T1042" s="270">
        <f t="shared" si="271"/>
        <v>87867</v>
      </c>
      <c r="U1042" s="270">
        <f t="shared" si="271"/>
        <v>87867</v>
      </c>
      <c r="V1042" s="270">
        <f t="shared" si="271"/>
        <v>87867</v>
      </c>
      <c r="W1042" s="270">
        <f t="shared" si="271"/>
        <v>87867</v>
      </c>
      <c r="X1042" s="270">
        <f t="shared" si="271"/>
        <v>87867</v>
      </c>
      <c r="Y1042" s="270">
        <f t="shared" si="271"/>
        <v>87867</v>
      </c>
      <c r="Z1042" s="270">
        <f t="shared" si="271"/>
        <v>87867</v>
      </c>
      <c r="AA1042" s="270">
        <f t="shared" si="271"/>
        <v>87867</v>
      </c>
      <c r="AB1042" s="270">
        <f t="shared" si="271"/>
        <v>87867</v>
      </c>
      <c r="AC1042" s="270">
        <f t="shared" si="271"/>
        <v>87867</v>
      </c>
      <c r="AD1042" s="270">
        <f t="shared" si="270"/>
        <v>87867</v>
      </c>
      <c r="AE1042" s="270">
        <f t="shared" si="263"/>
        <v>87867</v>
      </c>
      <c r="AF1042" s="270">
        <f t="shared" si="269"/>
        <v>87867</v>
      </c>
      <c r="AG1042" s="270">
        <f t="shared" si="269"/>
        <v>87867</v>
      </c>
      <c r="AH1042" s="270">
        <f t="shared" si="269"/>
        <v>87867</v>
      </c>
      <c r="AI1042" s="270">
        <f t="shared" si="269"/>
        <v>87867</v>
      </c>
      <c r="AJ1042" s="270">
        <f t="shared" si="269"/>
        <v>87867</v>
      </c>
      <c r="AK1042" s="270">
        <f t="shared" si="269"/>
        <v>87867</v>
      </c>
      <c r="AL1042" s="270">
        <f t="shared" si="269"/>
        <v>87867</v>
      </c>
      <c r="AM1042" s="270">
        <f t="shared" si="269"/>
        <v>87867</v>
      </c>
    </row>
    <row r="1043" spans="2:39" ht="15.75" thickBot="1" x14ac:dyDescent="0.35">
      <c r="B1043" s="56" t="str">
        <f>input_names!$E$3</f>
        <v>plug-in</v>
      </c>
      <c r="C1043" s="61">
        <v>288</v>
      </c>
      <c r="D1043" s="270">
        <f t="shared" si="270"/>
        <v>59236</v>
      </c>
      <c r="E1043" s="270">
        <f t="shared" si="270"/>
        <v>67150</v>
      </c>
      <c r="F1043" s="270">
        <f t="shared" si="270"/>
        <v>73800</v>
      </c>
      <c r="G1043" s="270">
        <f t="shared" si="270"/>
        <v>71092</v>
      </c>
      <c r="H1043" s="270">
        <f t="shared" si="270"/>
        <v>67568</v>
      </c>
      <c r="I1043" s="270">
        <f t="shared" si="270"/>
        <v>66576</v>
      </c>
      <c r="J1043" s="270">
        <f t="shared" si="270"/>
        <v>49056</v>
      </c>
      <c r="K1043" s="270">
        <f t="shared" si="270"/>
        <v>49538</v>
      </c>
      <c r="L1043" s="270">
        <f t="shared" si="270"/>
        <v>52726</v>
      </c>
      <c r="M1043" s="270">
        <f t="shared" si="270"/>
        <v>58044</v>
      </c>
      <c r="N1043" s="270">
        <f t="shared" si="270"/>
        <v>88435</v>
      </c>
      <c r="O1043" s="270">
        <f t="shared" si="270"/>
        <v>88435</v>
      </c>
      <c r="P1043" s="270">
        <f t="shared" si="270"/>
        <v>88435</v>
      </c>
      <c r="Q1043" s="270">
        <f t="shared" si="270"/>
        <v>88435</v>
      </c>
      <c r="R1043" s="270">
        <f t="shared" si="270"/>
        <v>88435</v>
      </c>
      <c r="S1043" s="270">
        <f t="shared" si="271"/>
        <v>88435</v>
      </c>
      <c r="T1043" s="270">
        <f t="shared" si="271"/>
        <v>88435</v>
      </c>
      <c r="U1043" s="270">
        <f t="shared" si="271"/>
        <v>88435</v>
      </c>
      <c r="V1043" s="270">
        <f t="shared" si="271"/>
        <v>88435</v>
      </c>
      <c r="W1043" s="270">
        <f t="shared" si="271"/>
        <v>88435</v>
      </c>
      <c r="X1043" s="270">
        <f t="shared" si="271"/>
        <v>88435</v>
      </c>
      <c r="Y1043" s="270">
        <f t="shared" si="271"/>
        <v>88435</v>
      </c>
      <c r="Z1043" s="270">
        <f t="shared" si="271"/>
        <v>88435</v>
      </c>
      <c r="AA1043" s="270">
        <f t="shared" si="271"/>
        <v>88435</v>
      </c>
      <c r="AB1043" s="270">
        <f t="shared" si="271"/>
        <v>88435</v>
      </c>
      <c r="AC1043" s="270">
        <f t="shared" si="271"/>
        <v>88435</v>
      </c>
      <c r="AD1043" s="270">
        <f t="shared" si="270"/>
        <v>88435</v>
      </c>
      <c r="AE1043" s="270">
        <f t="shared" si="263"/>
        <v>88435</v>
      </c>
      <c r="AF1043" s="270">
        <f t="shared" si="269"/>
        <v>88435</v>
      </c>
      <c r="AG1043" s="270">
        <f t="shared" si="269"/>
        <v>88435</v>
      </c>
      <c r="AH1043" s="270">
        <f t="shared" si="269"/>
        <v>88435</v>
      </c>
      <c r="AI1043" s="270">
        <f t="shared" si="269"/>
        <v>88435</v>
      </c>
      <c r="AJ1043" s="270">
        <f t="shared" si="269"/>
        <v>88435</v>
      </c>
      <c r="AK1043" s="270">
        <f t="shared" si="269"/>
        <v>88435</v>
      </c>
      <c r="AL1043" s="270">
        <f t="shared" si="269"/>
        <v>88435</v>
      </c>
      <c r="AM1043" s="270">
        <f t="shared" si="269"/>
        <v>88435</v>
      </c>
    </row>
    <row r="1044" spans="2:39" ht="15.75" thickBot="1" x14ac:dyDescent="0.35">
      <c r="B1044" s="56" t="str">
        <f>input_names!$E$3</f>
        <v>plug-in</v>
      </c>
      <c r="C1044" s="61">
        <v>289</v>
      </c>
      <c r="D1044" s="270">
        <f t="shared" si="270"/>
        <v>59670</v>
      </c>
      <c r="E1044" s="270">
        <f t="shared" si="270"/>
        <v>67626</v>
      </c>
      <c r="F1044" s="270">
        <f t="shared" si="270"/>
        <v>74100</v>
      </c>
      <c r="G1044" s="270">
        <f t="shared" si="270"/>
        <v>71381</v>
      </c>
      <c r="H1044" s="270">
        <f t="shared" si="270"/>
        <v>67839</v>
      </c>
      <c r="I1044" s="270">
        <f t="shared" si="270"/>
        <v>66843</v>
      </c>
      <c r="J1044" s="270">
        <f t="shared" si="270"/>
        <v>49258</v>
      </c>
      <c r="K1044" s="270">
        <f t="shared" si="270"/>
        <v>49742</v>
      </c>
      <c r="L1044" s="270">
        <f t="shared" si="270"/>
        <v>52943</v>
      </c>
      <c r="M1044" s="270">
        <f t="shared" si="270"/>
        <v>58283</v>
      </c>
      <c r="N1044" s="270">
        <f t="shared" si="270"/>
        <v>89003</v>
      </c>
      <c r="O1044" s="270">
        <f t="shared" si="270"/>
        <v>89003</v>
      </c>
      <c r="P1044" s="270">
        <f t="shared" si="270"/>
        <v>89003</v>
      </c>
      <c r="Q1044" s="270">
        <f t="shared" si="270"/>
        <v>89003</v>
      </c>
      <c r="R1044" s="270">
        <f t="shared" si="270"/>
        <v>89003</v>
      </c>
      <c r="S1044" s="270">
        <f t="shared" si="271"/>
        <v>89003</v>
      </c>
      <c r="T1044" s="270">
        <f t="shared" si="271"/>
        <v>89003</v>
      </c>
      <c r="U1044" s="270">
        <f t="shared" si="271"/>
        <v>89003</v>
      </c>
      <c r="V1044" s="270">
        <f t="shared" si="271"/>
        <v>89003</v>
      </c>
      <c r="W1044" s="270">
        <f t="shared" si="271"/>
        <v>89003</v>
      </c>
      <c r="X1044" s="270">
        <f t="shared" si="271"/>
        <v>89003</v>
      </c>
      <c r="Y1044" s="270">
        <f t="shared" si="271"/>
        <v>89003</v>
      </c>
      <c r="Z1044" s="270">
        <f t="shared" si="271"/>
        <v>89003</v>
      </c>
      <c r="AA1044" s="270">
        <f t="shared" si="271"/>
        <v>89003</v>
      </c>
      <c r="AB1044" s="270">
        <f t="shared" si="271"/>
        <v>89003</v>
      </c>
      <c r="AC1044" s="270">
        <f t="shared" si="271"/>
        <v>89003</v>
      </c>
      <c r="AD1044" s="270">
        <f t="shared" si="270"/>
        <v>89003</v>
      </c>
      <c r="AE1044" s="270">
        <f t="shared" si="263"/>
        <v>89003</v>
      </c>
      <c r="AF1044" s="270">
        <f t="shared" si="269"/>
        <v>89003</v>
      </c>
      <c r="AG1044" s="270">
        <f t="shared" si="269"/>
        <v>89003</v>
      </c>
      <c r="AH1044" s="270">
        <f t="shared" si="269"/>
        <v>89003</v>
      </c>
      <c r="AI1044" s="270">
        <f t="shared" si="269"/>
        <v>89003</v>
      </c>
      <c r="AJ1044" s="270">
        <f t="shared" si="269"/>
        <v>89003</v>
      </c>
      <c r="AK1044" s="270">
        <f t="shared" si="269"/>
        <v>89003</v>
      </c>
      <c r="AL1044" s="270">
        <f t="shared" si="269"/>
        <v>89003</v>
      </c>
      <c r="AM1044" s="270">
        <f t="shared" si="269"/>
        <v>89003</v>
      </c>
    </row>
    <row r="1045" spans="2:39" ht="15.75" thickBot="1" x14ac:dyDescent="0.35">
      <c r="B1045" s="56" t="str">
        <f>input_names!$E$3</f>
        <v>plug-in</v>
      </c>
      <c r="C1045" s="61">
        <v>290</v>
      </c>
      <c r="D1045" s="270">
        <f t="shared" si="270"/>
        <v>60104</v>
      </c>
      <c r="E1045" s="270">
        <f t="shared" si="270"/>
        <v>68102</v>
      </c>
      <c r="F1045" s="270">
        <f t="shared" si="270"/>
        <v>74400</v>
      </c>
      <c r="G1045" s="270">
        <f t="shared" si="270"/>
        <v>71670</v>
      </c>
      <c r="H1045" s="270">
        <f t="shared" si="270"/>
        <v>68110</v>
      </c>
      <c r="I1045" s="270">
        <f t="shared" si="270"/>
        <v>67110</v>
      </c>
      <c r="J1045" s="270">
        <f t="shared" si="270"/>
        <v>49460</v>
      </c>
      <c r="K1045" s="270">
        <f t="shared" si="270"/>
        <v>49946</v>
      </c>
      <c r="L1045" s="270">
        <f t="shared" si="270"/>
        <v>53160</v>
      </c>
      <c r="M1045" s="270">
        <f t="shared" si="270"/>
        <v>58522</v>
      </c>
      <c r="N1045" s="270">
        <f t="shared" si="270"/>
        <v>89571</v>
      </c>
      <c r="O1045" s="270">
        <f t="shared" si="270"/>
        <v>89571</v>
      </c>
      <c r="P1045" s="270">
        <f t="shared" si="270"/>
        <v>89571</v>
      </c>
      <c r="Q1045" s="270">
        <f t="shared" si="270"/>
        <v>89571</v>
      </c>
      <c r="R1045" s="270">
        <f t="shared" si="270"/>
        <v>89571</v>
      </c>
      <c r="S1045" s="270">
        <f t="shared" si="271"/>
        <v>89571</v>
      </c>
      <c r="T1045" s="270">
        <f t="shared" si="271"/>
        <v>89571</v>
      </c>
      <c r="U1045" s="270">
        <f t="shared" si="271"/>
        <v>89571</v>
      </c>
      <c r="V1045" s="270">
        <f t="shared" si="271"/>
        <v>89571</v>
      </c>
      <c r="W1045" s="270">
        <f t="shared" si="271"/>
        <v>89571</v>
      </c>
      <c r="X1045" s="270">
        <f t="shared" si="271"/>
        <v>89571</v>
      </c>
      <c r="Y1045" s="270">
        <f t="shared" si="271"/>
        <v>89571</v>
      </c>
      <c r="Z1045" s="270">
        <f t="shared" si="271"/>
        <v>89571</v>
      </c>
      <c r="AA1045" s="270">
        <f t="shared" si="271"/>
        <v>89571</v>
      </c>
      <c r="AB1045" s="270">
        <f t="shared" si="271"/>
        <v>89571</v>
      </c>
      <c r="AC1045" s="270">
        <f t="shared" si="271"/>
        <v>89571</v>
      </c>
      <c r="AD1045" s="270">
        <f t="shared" si="270"/>
        <v>89571</v>
      </c>
      <c r="AE1045" s="270">
        <f t="shared" si="263"/>
        <v>89571</v>
      </c>
      <c r="AF1045" s="270">
        <f t="shared" si="269"/>
        <v>89571</v>
      </c>
      <c r="AG1045" s="270">
        <f t="shared" si="269"/>
        <v>89571</v>
      </c>
      <c r="AH1045" s="270">
        <f t="shared" si="269"/>
        <v>89571</v>
      </c>
      <c r="AI1045" s="270">
        <f t="shared" si="269"/>
        <v>89571</v>
      </c>
      <c r="AJ1045" s="270">
        <f t="shared" si="269"/>
        <v>89571</v>
      </c>
      <c r="AK1045" s="270">
        <f t="shared" si="269"/>
        <v>89571</v>
      </c>
      <c r="AL1045" s="270">
        <f t="shared" si="269"/>
        <v>89571</v>
      </c>
      <c r="AM1045" s="270">
        <f t="shared" si="269"/>
        <v>89571</v>
      </c>
    </row>
    <row r="1046" spans="2:39" ht="15.75" thickBot="1" x14ac:dyDescent="0.35">
      <c r="B1046" s="56" t="str">
        <f>input_names!$E$3</f>
        <v>plug-in</v>
      </c>
      <c r="C1046" s="61">
        <v>291</v>
      </c>
      <c r="D1046" s="270">
        <f t="shared" si="270"/>
        <v>60538</v>
      </c>
      <c r="E1046" s="270">
        <f t="shared" si="270"/>
        <v>68578</v>
      </c>
      <c r="F1046" s="270">
        <f t="shared" si="270"/>
        <v>74700</v>
      </c>
      <c r="G1046" s="270">
        <f t="shared" si="270"/>
        <v>71959</v>
      </c>
      <c r="H1046" s="270">
        <f t="shared" si="270"/>
        <v>68381</v>
      </c>
      <c r="I1046" s="270">
        <f t="shared" si="270"/>
        <v>67377</v>
      </c>
      <c r="J1046" s="270">
        <f t="shared" si="270"/>
        <v>49662</v>
      </c>
      <c r="K1046" s="270">
        <f t="shared" si="270"/>
        <v>50150</v>
      </c>
      <c r="L1046" s="270">
        <f t="shared" si="270"/>
        <v>53377</v>
      </c>
      <c r="M1046" s="270">
        <f t="shared" si="270"/>
        <v>58761</v>
      </c>
      <c r="N1046" s="270">
        <f t="shared" si="270"/>
        <v>90139</v>
      </c>
      <c r="O1046" s="270">
        <f t="shared" si="270"/>
        <v>90139</v>
      </c>
      <c r="P1046" s="270">
        <f t="shared" si="270"/>
        <v>90139</v>
      </c>
      <c r="Q1046" s="270">
        <f t="shared" si="270"/>
        <v>90139</v>
      </c>
      <c r="R1046" s="270">
        <f t="shared" si="270"/>
        <v>90139</v>
      </c>
      <c r="S1046" s="270">
        <f t="shared" si="271"/>
        <v>90139</v>
      </c>
      <c r="T1046" s="270">
        <f t="shared" si="271"/>
        <v>90139</v>
      </c>
      <c r="U1046" s="270">
        <f t="shared" si="271"/>
        <v>90139</v>
      </c>
      <c r="V1046" s="270">
        <f t="shared" si="271"/>
        <v>90139</v>
      </c>
      <c r="W1046" s="270">
        <f t="shared" si="271"/>
        <v>90139</v>
      </c>
      <c r="X1046" s="270">
        <f t="shared" si="271"/>
        <v>90139</v>
      </c>
      <c r="Y1046" s="270">
        <f t="shared" si="271"/>
        <v>90139</v>
      </c>
      <c r="Z1046" s="270">
        <f t="shared" si="271"/>
        <v>90139</v>
      </c>
      <c r="AA1046" s="270">
        <f t="shared" si="271"/>
        <v>90139</v>
      </c>
      <c r="AB1046" s="270">
        <f t="shared" si="271"/>
        <v>90139</v>
      </c>
      <c r="AC1046" s="270">
        <f t="shared" si="271"/>
        <v>90139</v>
      </c>
      <c r="AD1046" s="270">
        <f t="shared" si="270"/>
        <v>90139</v>
      </c>
      <c r="AE1046" s="270">
        <f t="shared" si="263"/>
        <v>90139</v>
      </c>
      <c r="AF1046" s="270">
        <f t="shared" si="269"/>
        <v>90139</v>
      </c>
      <c r="AG1046" s="270">
        <f t="shared" si="269"/>
        <v>90139</v>
      </c>
      <c r="AH1046" s="270">
        <f t="shared" si="269"/>
        <v>90139</v>
      </c>
      <c r="AI1046" s="270">
        <f t="shared" si="269"/>
        <v>90139</v>
      </c>
      <c r="AJ1046" s="270">
        <f t="shared" si="269"/>
        <v>90139</v>
      </c>
      <c r="AK1046" s="270">
        <f t="shared" si="269"/>
        <v>90139</v>
      </c>
      <c r="AL1046" s="270">
        <f t="shared" si="269"/>
        <v>90139</v>
      </c>
      <c r="AM1046" s="270">
        <f t="shared" si="269"/>
        <v>90139</v>
      </c>
    </row>
    <row r="1047" spans="2:39" ht="15.75" thickBot="1" x14ac:dyDescent="0.35">
      <c r="B1047" s="56" t="str">
        <f>input_names!$E$3</f>
        <v>plug-in</v>
      </c>
      <c r="C1047" s="61">
        <v>292</v>
      </c>
      <c r="D1047" s="270">
        <f t="shared" si="270"/>
        <v>60972</v>
      </c>
      <c r="E1047" s="270">
        <f t="shared" si="270"/>
        <v>69054</v>
      </c>
      <c r="F1047" s="270">
        <f t="shared" si="270"/>
        <v>75000</v>
      </c>
      <c r="G1047" s="270">
        <f t="shared" si="270"/>
        <v>72248</v>
      </c>
      <c r="H1047" s="270">
        <f t="shared" si="270"/>
        <v>68652</v>
      </c>
      <c r="I1047" s="270">
        <f t="shared" si="270"/>
        <v>67644</v>
      </c>
      <c r="J1047" s="270">
        <f t="shared" si="270"/>
        <v>49864</v>
      </c>
      <c r="K1047" s="270">
        <f t="shared" si="270"/>
        <v>50354</v>
      </c>
      <c r="L1047" s="270">
        <f t="shared" si="270"/>
        <v>53594</v>
      </c>
      <c r="M1047" s="270">
        <f t="shared" si="270"/>
        <v>59000</v>
      </c>
      <c r="N1047" s="270">
        <f t="shared" si="270"/>
        <v>90707</v>
      </c>
      <c r="O1047" s="270">
        <f t="shared" si="270"/>
        <v>90707</v>
      </c>
      <c r="P1047" s="270">
        <f t="shared" si="270"/>
        <v>90707</v>
      </c>
      <c r="Q1047" s="270">
        <f t="shared" si="270"/>
        <v>90707</v>
      </c>
      <c r="R1047" s="270">
        <f t="shared" si="270"/>
        <v>90707</v>
      </c>
      <c r="S1047" s="270">
        <f t="shared" si="271"/>
        <v>90707</v>
      </c>
      <c r="T1047" s="270">
        <f t="shared" si="271"/>
        <v>90707</v>
      </c>
      <c r="U1047" s="270">
        <f t="shared" si="271"/>
        <v>90707</v>
      </c>
      <c r="V1047" s="270">
        <f t="shared" si="271"/>
        <v>90707</v>
      </c>
      <c r="W1047" s="270">
        <f t="shared" si="271"/>
        <v>90707</v>
      </c>
      <c r="X1047" s="270">
        <f t="shared" si="271"/>
        <v>90707</v>
      </c>
      <c r="Y1047" s="270">
        <f t="shared" si="271"/>
        <v>90707</v>
      </c>
      <c r="Z1047" s="270">
        <f t="shared" si="271"/>
        <v>90707</v>
      </c>
      <c r="AA1047" s="270">
        <f t="shared" si="271"/>
        <v>90707</v>
      </c>
      <c r="AB1047" s="270">
        <f t="shared" si="271"/>
        <v>90707</v>
      </c>
      <c r="AC1047" s="270">
        <f t="shared" si="271"/>
        <v>90707</v>
      </c>
      <c r="AD1047" s="270">
        <f t="shared" si="270"/>
        <v>90707</v>
      </c>
      <c r="AE1047" s="270">
        <f t="shared" si="263"/>
        <v>90707</v>
      </c>
      <c r="AF1047" s="270">
        <f t="shared" si="269"/>
        <v>90707</v>
      </c>
      <c r="AG1047" s="270">
        <f t="shared" si="269"/>
        <v>90707</v>
      </c>
      <c r="AH1047" s="270">
        <f t="shared" si="269"/>
        <v>90707</v>
      </c>
      <c r="AI1047" s="270">
        <f t="shared" si="269"/>
        <v>90707</v>
      </c>
      <c r="AJ1047" s="270">
        <f t="shared" si="269"/>
        <v>90707</v>
      </c>
      <c r="AK1047" s="270">
        <f t="shared" si="269"/>
        <v>90707</v>
      </c>
      <c r="AL1047" s="270">
        <f t="shared" si="269"/>
        <v>90707</v>
      </c>
      <c r="AM1047" s="270">
        <f t="shared" si="269"/>
        <v>90707</v>
      </c>
    </row>
    <row r="1048" spans="2:39" ht="15.75" thickBot="1" x14ac:dyDescent="0.35">
      <c r="B1048" s="56" t="str">
        <f>input_names!$E$3</f>
        <v>plug-in</v>
      </c>
      <c r="C1048" s="61">
        <v>293</v>
      </c>
      <c r="D1048" s="270">
        <f t="shared" si="270"/>
        <v>61406</v>
      </c>
      <c r="E1048" s="270">
        <f t="shared" si="270"/>
        <v>69530</v>
      </c>
      <c r="F1048" s="270">
        <f t="shared" si="270"/>
        <v>75300</v>
      </c>
      <c r="G1048" s="270">
        <f t="shared" si="270"/>
        <v>72537</v>
      </c>
      <c r="H1048" s="270">
        <f t="shared" si="270"/>
        <v>68923</v>
      </c>
      <c r="I1048" s="270">
        <f t="shared" si="270"/>
        <v>67911</v>
      </c>
      <c r="J1048" s="270">
        <f t="shared" si="270"/>
        <v>50066</v>
      </c>
      <c r="K1048" s="270">
        <f t="shared" si="270"/>
        <v>50558</v>
      </c>
      <c r="L1048" s="270">
        <f t="shared" si="270"/>
        <v>53811</v>
      </c>
      <c r="M1048" s="270">
        <f t="shared" si="270"/>
        <v>59239</v>
      </c>
      <c r="N1048" s="270">
        <f t="shared" si="270"/>
        <v>91275</v>
      </c>
      <c r="O1048" s="270">
        <f t="shared" si="270"/>
        <v>91275</v>
      </c>
      <c r="P1048" s="270">
        <f t="shared" si="270"/>
        <v>91275</v>
      </c>
      <c r="Q1048" s="270">
        <f t="shared" si="270"/>
        <v>91275</v>
      </c>
      <c r="R1048" s="270">
        <f t="shared" si="270"/>
        <v>91275</v>
      </c>
      <c r="S1048" s="270">
        <f t="shared" si="271"/>
        <v>91275</v>
      </c>
      <c r="T1048" s="270">
        <f t="shared" si="271"/>
        <v>91275</v>
      </c>
      <c r="U1048" s="270">
        <f t="shared" si="271"/>
        <v>91275</v>
      </c>
      <c r="V1048" s="270">
        <f t="shared" si="271"/>
        <v>91275</v>
      </c>
      <c r="W1048" s="270">
        <f t="shared" si="271"/>
        <v>91275</v>
      </c>
      <c r="X1048" s="270">
        <f t="shared" si="271"/>
        <v>91275</v>
      </c>
      <c r="Y1048" s="270">
        <f t="shared" si="271"/>
        <v>91275</v>
      </c>
      <c r="Z1048" s="270">
        <f t="shared" si="271"/>
        <v>91275</v>
      </c>
      <c r="AA1048" s="270">
        <f t="shared" si="271"/>
        <v>91275</v>
      </c>
      <c r="AB1048" s="270">
        <f t="shared" si="271"/>
        <v>91275</v>
      </c>
      <c r="AC1048" s="270">
        <f t="shared" si="271"/>
        <v>91275</v>
      </c>
      <c r="AD1048" s="270">
        <f t="shared" si="270"/>
        <v>91275</v>
      </c>
      <c r="AE1048" s="270">
        <f t="shared" si="263"/>
        <v>91275</v>
      </c>
      <c r="AF1048" s="270">
        <f t="shared" si="269"/>
        <v>91275</v>
      </c>
      <c r="AG1048" s="270">
        <f t="shared" si="269"/>
        <v>91275</v>
      </c>
      <c r="AH1048" s="270">
        <f t="shared" si="269"/>
        <v>91275</v>
      </c>
      <c r="AI1048" s="270">
        <f t="shared" si="269"/>
        <v>91275</v>
      </c>
      <c r="AJ1048" s="270">
        <f t="shared" si="269"/>
        <v>91275</v>
      </c>
      <c r="AK1048" s="270">
        <f t="shared" si="269"/>
        <v>91275</v>
      </c>
      <c r="AL1048" s="270">
        <f t="shared" si="269"/>
        <v>91275</v>
      </c>
      <c r="AM1048" s="270">
        <f t="shared" si="269"/>
        <v>91275</v>
      </c>
    </row>
    <row r="1049" spans="2:39" ht="15.75" thickBot="1" x14ac:dyDescent="0.35">
      <c r="B1049" s="56" t="str">
        <f>input_names!$E$3</f>
        <v>plug-in</v>
      </c>
      <c r="C1049" s="61">
        <v>294</v>
      </c>
      <c r="D1049" s="270">
        <f t="shared" si="270"/>
        <v>61840</v>
      </c>
      <c r="E1049" s="270">
        <f t="shared" si="270"/>
        <v>70006</v>
      </c>
      <c r="F1049" s="270">
        <f t="shared" si="270"/>
        <v>75600</v>
      </c>
      <c r="G1049" s="270">
        <f t="shared" si="270"/>
        <v>72826</v>
      </c>
      <c r="H1049" s="270">
        <f t="shared" si="270"/>
        <v>69194</v>
      </c>
      <c r="I1049" s="270">
        <f t="shared" si="270"/>
        <v>68178</v>
      </c>
      <c r="J1049" s="270">
        <f t="shared" si="270"/>
        <v>50268</v>
      </c>
      <c r="K1049" s="270">
        <f t="shared" si="270"/>
        <v>50762</v>
      </c>
      <c r="L1049" s="270">
        <f t="shared" si="270"/>
        <v>54028</v>
      </c>
      <c r="M1049" s="270">
        <f t="shared" si="270"/>
        <v>59478</v>
      </c>
      <c r="N1049" s="270">
        <f t="shared" si="270"/>
        <v>91843</v>
      </c>
      <c r="O1049" s="270">
        <f t="shared" si="270"/>
        <v>91843</v>
      </c>
      <c r="P1049" s="270">
        <f t="shared" si="270"/>
        <v>91843</v>
      </c>
      <c r="Q1049" s="270">
        <f t="shared" si="270"/>
        <v>91843</v>
      </c>
      <c r="R1049" s="270">
        <f t="shared" si="270"/>
        <v>91843</v>
      </c>
      <c r="S1049" s="270">
        <f t="shared" si="271"/>
        <v>91843</v>
      </c>
      <c r="T1049" s="270">
        <f t="shared" si="271"/>
        <v>91843</v>
      </c>
      <c r="U1049" s="270">
        <f t="shared" si="271"/>
        <v>91843</v>
      </c>
      <c r="V1049" s="270">
        <f t="shared" si="271"/>
        <v>91843</v>
      </c>
      <c r="W1049" s="270">
        <f t="shared" si="271"/>
        <v>91843</v>
      </c>
      <c r="X1049" s="270">
        <f t="shared" si="271"/>
        <v>91843</v>
      </c>
      <c r="Y1049" s="270">
        <f t="shared" si="271"/>
        <v>91843</v>
      </c>
      <c r="Z1049" s="270">
        <f t="shared" si="271"/>
        <v>91843</v>
      </c>
      <c r="AA1049" s="270">
        <f t="shared" si="271"/>
        <v>91843</v>
      </c>
      <c r="AB1049" s="270">
        <f t="shared" si="271"/>
        <v>91843</v>
      </c>
      <c r="AC1049" s="270">
        <f t="shared" si="271"/>
        <v>91843</v>
      </c>
      <c r="AD1049" s="270">
        <f t="shared" si="270"/>
        <v>91843</v>
      </c>
      <c r="AE1049" s="270">
        <f t="shared" si="263"/>
        <v>91843</v>
      </c>
      <c r="AF1049" s="270">
        <f t="shared" si="269"/>
        <v>91843</v>
      </c>
      <c r="AG1049" s="270">
        <f t="shared" si="269"/>
        <v>91843</v>
      </c>
      <c r="AH1049" s="270">
        <f t="shared" si="269"/>
        <v>91843</v>
      </c>
      <c r="AI1049" s="270">
        <f t="shared" si="269"/>
        <v>91843</v>
      </c>
      <c r="AJ1049" s="270">
        <f t="shared" si="269"/>
        <v>91843</v>
      </c>
      <c r="AK1049" s="270">
        <f t="shared" si="269"/>
        <v>91843</v>
      </c>
      <c r="AL1049" s="270">
        <f t="shared" si="269"/>
        <v>91843</v>
      </c>
      <c r="AM1049" s="270">
        <f t="shared" si="269"/>
        <v>91843</v>
      </c>
    </row>
    <row r="1050" spans="2:39" ht="15.75" thickBot="1" x14ac:dyDescent="0.35">
      <c r="B1050" s="56" t="str">
        <f>input_names!$E$3</f>
        <v>plug-in</v>
      </c>
      <c r="C1050" s="61">
        <v>295</v>
      </c>
      <c r="D1050" s="270">
        <f t="shared" si="270"/>
        <v>62274</v>
      </c>
      <c r="E1050" s="270">
        <f t="shared" si="270"/>
        <v>70482</v>
      </c>
      <c r="F1050" s="270">
        <f t="shared" si="270"/>
        <v>75900</v>
      </c>
      <c r="G1050" s="270">
        <f t="shared" si="270"/>
        <v>73115</v>
      </c>
      <c r="H1050" s="270">
        <f t="shared" si="270"/>
        <v>69465</v>
      </c>
      <c r="I1050" s="270">
        <f t="shared" si="270"/>
        <v>68445</v>
      </c>
      <c r="J1050" s="270">
        <f t="shared" si="270"/>
        <v>50470</v>
      </c>
      <c r="K1050" s="270">
        <f t="shared" si="270"/>
        <v>50966</v>
      </c>
      <c r="L1050" s="270">
        <f t="shared" si="270"/>
        <v>54245</v>
      </c>
      <c r="M1050" s="270">
        <f t="shared" si="270"/>
        <v>59717</v>
      </c>
      <c r="N1050" s="270">
        <f t="shared" si="270"/>
        <v>92411</v>
      </c>
      <c r="O1050" s="270">
        <f t="shared" si="270"/>
        <v>92411</v>
      </c>
      <c r="P1050" s="270">
        <f t="shared" si="270"/>
        <v>92411</v>
      </c>
      <c r="Q1050" s="270">
        <f t="shared" si="270"/>
        <v>92411</v>
      </c>
      <c r="R1050" s="270">
        <f t="shared" si="270"/>
        <v>92411</v>
      </c>
      <c r="S1050" s="270">
        <f t="shared" si="271"/>
        <v>92411</v>
      </c>
      <c r="T1050" s="270">
        <f t="shared" si="271"/>
        <v>92411</v>
      </c>
      <c r="U1050" s="270">
        <f t="shared" si="271"/>
        <v>92411</v>
      </c>
      <c r="V1050" s="270">
        <f t="shared" si="271"/>
        <v>92411</v>
      </c>
      <c r="W1050" s="270">
        <f t="shared" si="271"/>
        <v>92411</v>
      </c>
      <c r="X1050" s="270">
        <f t="shared" si="271"/>
        <v>92411</v>
      </c>
      <c r="Y1050" s="270">
        <f t="shared" si="271"/>
        <v>92411</v>
      </c>
      <c r="Z1050" s="270">
        <f t="shared" si="271"/>
        <v>92411</v>
      </c>
      <c r="AA1050" s="270">
        <f t="shared" si="271"/>
        <v>92411</v>
      </c>
      <c r="AB1050" s="270">
        <f t="shared" si="271"/>
        <v>92411</v>
      </c>
      <c r="AC1050" s="270">
        <f t="shared" si="271"/>
        <v>92411</v>
      </c>
      <c r="AD1050" s="270">
        <f t="shared" si="270"/>
        <v>92411</v>
      </c>
      <c r="AE1050" s="270">
        <f t="shared" si="263"/>
        <v>92411</v>
      </c>
      <c r="AF1050" s="270">
        <f t="shared" si="269"/>
        <v>92411</v>
      </c>
      <c r="AG1050" s="270">
        <f t="shared" si="269"/>
        <v>92411</v>
      </c>
      <c r="AH1050" s="270">
        <f t="shared" si="269"/>
        <v>92411</v>
      </c>
      <c r="AI1050" s="270">
        <f t="shared" si="269"/>
        <v>92411</v>
      </c>
      <c r="AJ1050" s="270">
        <f t="shared" si="269"/>
        <v>92411</v>
      </c>
      <c r="AK1050" s="270">
        <f t="shared" si="269"/>
        <v>92411</v>
      </c>
      <c r="AL1050" s="270">
        <f t="shared" si="269"/>
        <v>92411</v>
      </c>
      <c r="AM1050" s="270">
        <f t="shared" si="269"/>
        <v>92411</v>
      </c>
    </row>
    <row r="1051" spans="2:39" ht="15.75" thickBot="1" x14ac:dyDescent="0.35">
      <c r="B1051" s="56" t="str">
        <f>input_names!$E$3</f>
        <v>plug-in</v>
      </c>
      <c r="C1051" s="61">
        <v>296</v>
      </c>
      <c r="D1051" s="270">
        <f t="shared" si="270"/>
        <v>62708</v>
      </c>
      <c r="E1051" s="270">
        <f t="shared" si="270"/>
        <v>70958</v>
      </c>
      <c r="F1051" s="270">
        <f t="shared" si="270"/>
        <v>76200</v>
      </c>
      <c r="G1051" s="270">
        <f t="shared" si="270"/>
        <v>73404</v>
      </c>
      <c r="H1051" s="270">
        <f t="shared" si="270"/>
        <v>69736</v>
      </c>
      <c r="I1051" s="270">
        <f t="shared" si="270"/>
        <v>68712</v>
      </c>
      <c r="J1051" s="270">
        <f t="shared" si="270"/>
        <v>50672</v>
      </c>
      <c r="K1051" s="270">
        <f t="shared" si="270"/>
        <v>51170</v>
      </c>
      <c r="L1051" s="270">
        <f t="shared" si="270"/>
        <v>54462</v>
      </c>
      <c r="M1051" s="270">
        <f t="shared" si="270"/>
        <v>59956</v>
      </c>
      <c r="N1051" s="270">
        <f t="shared" si="270"/>
        <v>92979</v>
      </c>
      <c r="O1051" s="270">
        <f t="shared" si="270"/>
        <v>92979</v>
      </c>
      <c r="P1051" s="270">
        <f t="shared" si="270"/>
        <v>92979</v>
      </c>
      <c r="Q1051" s="270">
        <f t="shared" si="270"/>
        <v>92979</v>
      </c>
      <c r="R1051" s="270">
        <f t="shared" si="270"/>
        <v>92979</v>
      </c>
      <c r="S1051" s="270">
        <f t="shared" si="271"/>
        <v>92979</v>
      </c>
      <c r="T1051" s="270">
        <f t="shared" si="271"/>
        <v>92979</v>
      </c>
      <c r="U1051" s="270">
        <f t="shared" si="271"/>
        <v>92979</v>
      </c>
      <c r="V1051" s="270">
        <f t="shared" si="271"/>
        <v>92979</v>
      </c>
      <c r="W1051" s="270">
        <f t="shared" si="271"/>
        <v>92979</v>
      </c>
      <c r="X1051" s="270">
        <f t="shared" si="271"/>
        <v>92979</v>
      </c>
      <c r="Y1051" s="270">
        <f t="shared" si="271"/>
        <v>92979</v>
      </c>
      <c r="Z1051" s="270">
        <f t="shared" si="271"/>
        <v>92979</v>
      </c>
      <c r="AA1051" s="270">
        <f t="shared" si="271"/>
        <v>92979</v>
      </c>
      <c r="AB1051" s="270">
        <f t="shared" si="271"/>
        <v>92979</v>
      </c>
      <c r="AC1051" s="270">
        <f t="shared" si="271"/>
        <v>92979</v>
      </c>
      <c r="AD1051" s="270">
        <f t="shared" si="270"/>
        <v>92979</v>
      </c>
      <c r="AE1051" s="270">
        <f t="shared" si="263"/>
        <v>92979</v>
      </c>
      <c r="AF1051" s="270">
        <f t="shared" si="269"/>
        <v>92979</v>
      </c>
      <c r="AG1051" s="270">
        <f t="shared" si="269"/>
        <v>92979</v>
      </c>
      <c r="AH1051" s="270">
        <f t="shared" si="269"/>
        <v>92979</v>
      </c>
      <c r="AI1051" s="270">
        <f t="shared" si="269"/>
        <v>92979</v>
      </c>
      <c r="AJ1051" s="270">
        <f t="shared" si="269"/>
        <v>92979</v>
      </c>
      <c r="AK1051" s="270">
        <f t="shared" si="269"/>
        <v>92979</v>
      </c>
      <c r="AL1051" s="270">
        <f t="shared" si="269"/>
        <v>92979</v>
      </c>
      <c r="AM1051" s="270">
        <f t="shared" si="269"/>
        <v>92979</v>
      </c>
    </row>
    <row r="1052" spans="2:39" ht="15.75" thickBot="1" x14ac:dyDescent="0.35">
      <c r="B1052" s="56" t="str">
        <f>input_names!$E$3</f>
        <v>plug-in</v>
      </c>
      <c r="C1052" s="61">
        <v>297</v>
      </c>
      <c r="D1052" s="270">
        <f t="shared" si="270"/>
        <v>63142</v>
      </c>
      <c r="E1052" s="270">
        <f t="shared" si="270"/>
        <v>71434</v>
      </c>
      <c r="F1052" s="270">
        <f t="shared" si="270"/>
        <v>76500</v>
      </c>
      <c r="G1052" s="270">
        <f t="shared" si="270"/>
        <v>73693</v>
      </c>
      <c r="H1052" s="270">
        <f t="shared" si="270"/>
        <v>70007</v>
      </c>
      <c r="I1052" s="270">
        <f t="shared" si="270"/>
        <v>68979</v>
      </c>
      <c r="J1052" s="270">
        <f t="shared" si="270"/>
        <v>50874</v>
      </c>
      <c r="K1052" s="270">
        <f t="shared" si="270"/>
        <v>51374</v>
      </c>
      <c r="L1052" s="270">
        <f t="shared" si="270"/>
        <v>54679</v>
      </c>
      <c r="M1052" s="270">
        <f t="shared" si="270"/>
        <v>60195</v>
      </c>
      <c r="N1052" s="270">
        <f t="shared" si="270"/>
        <v>93547</v>
      </c>
      <c r="O1052" s="270">
        <f t="shared" si="270"/>
        <v>93547</v>
      </c>
      <c r="P1052" s="270">
        <f t="shared" si="270"/>
        <v>93547</v>
      </c>
      <c r="Q1052" s="270">
        <f t="shared" si="270"/>
        <v>93547</v>
      </c>
      <c r="R1052" s="270">
        <f t="shared" si="270"/>
        <v>93547</v>
      </c>
      <c r="S1052" s="270">
        <f t="shared" si="271"/>
        <v>93547</v>
      </c>
      <c r="T1052" s="270">
        <f t="shared" si="271"/>
        <v>93547</v>
      </c>
      <c r="U1052" s="270">
        <f t="shared" si="271"/>
        <v>93547</v>
      </c>
      <c r="V1052" s="270">
        <f t="shared" si="271"/>
        <v>93547</v>
      </c>
      <c r="W1052" s="270">
        <f t="shared" si="271"/>
        <v>93547</v>
      </c>
      <c r="X1052" s="270">
        <f t="shared" si="271"/>
        <v>93547</v>
      </c>
      <c r="Y1052" s="270">
        <f t="shared" si="271"/>
        <v>93547</v>
      </c>
      <c r="Z1052" s="270">
        <f t="shared" si="271"/>
        <v>93547</v>
      </c>
      <c r="AA1052" s="270">
        <f t="shared" si="271"/>
        <v>93547</v>
      </c>
      <c r="AB1052" s="270">
        <f t="shared" si="271"/>
        <v>93547</v>
      </c>
      <c r="AC1052" s="270">
        <f t="shared" si="271"/>
        <v>93547</v>
      </c>
      <c r="AD1052" s="270">
        <f t="shared" si="270"/>
        <v>93547</v>
      </c>
      <c r="AE1052" s="270">
        <f t="shared" si="263"/>
        <v>93547</v>
      </c>
      <c r="AF1052" s="270">
        <f t="shared" si="269"/>
        <v>93547</v>
      </c>
      <c r="AG1052" s="270">
        <f t="shared" si="269"/>
        <v>93547</v>
      </c>
      <c r="AH1052" s="270">
        <f t="shared" si="269"/>
        <v>93547</v>
      </c>
      <c r="AI1052" s="270">
        <f t="shared" si="269"/>
        <v>93547</v>
      </c>
      <c r="AJ1052" s="270">
        <f t="shared" si="269"/>
        <v>93547</v>
      </c>
      <c r="AK1052" s="270">
        <f t="shared" si="269"/>
        <v>93547</v>
      </c>
      <c r="AL1052" s="270">
        <f t="shared" si="269"/>
        <v>93547</v>
      </c>
      <c r="AM1052" s="270">
        <f t="shared" si="269"/>
        <v>93547</v>
      </c>
    </row>
    <row r="1053" spans="2:39" ht="15.75" thickBot="1" x14ac:dyDescent="0.35">
      <c r="B1053" s="56" t="str">
        <f>input_names!$E$3</f>
        <v>plug-in</v>
      </c>
      <c r="C1053" s="61">
        <v>298</v>
      </c>
      <c r="D1053" s="270">
        <f t="shared" si="270"/>
        <v>63576</v>
      </c>
      <c r="E1053" s="270">
        <f t="shared" si="270"/>
        <v>71910</v>
      </c>
      <c r="F1053" s="270">
        <f t="shared" si="270"/>
        <v>76800</v>
      </c>
      <c r="G1053" s="270">
        <f t="shared" si="270"/>
        <v>73982</v>
      </c>
      <c r="H1053" s="270">
        <f t="shared" si="270"/>
        <v>70278</v>
      </c>
      <c r="I1053" s="270">
        <f t="shared" si="270"/>
        <v>69246</v>
      </c>
      <c r="J1053" s="270">
        <f t="shared" si="270"/>
        <v>51076</v>
      </c>
      <c r="K1053" s="270">
        <f t="shared" si="270"/>
        <v>51578</v>
      </c>
      <c r="L1053" s="270">
        <f t="shared" si="270"/>
        <v>54896</v>
      </c>
      <c r="M1053" s="270">
        <f t="shared" si="270"/>
        <v>60434</v>
      </c>
      <c r="N1053" s="270">
        <f t="shared" si="270"/>
        <v>94115</v>
      </c>
      <c r="O1053" s="270">
        <f t="shared" si="270"/>
        <v>94115</v>
      </c>
      <c r="P1053" s="270">
        <f t="shared" si="270"/>
        <v>94115</v>
      </c>
      <c r="Q1053" s="270">
        <f t="shared" si="270"/>
        <v>94115</v>
      </c>
      <c r="R1053" s="270">
        <f t="shared" si="270"/>
        <v>94115</v>
      </c>
      <c r="S1053" s="270">
        <f t="shared" si="271"/>
        <v>94115</v>
      </c>
      <c r="T1053" s="270">
        <f t="shared" si="271"/>
        <v>94115</v>
      </c>
      <c r="U1053" s="270">
        <f t="shared" si="271"/>
        <v>94115</v>
      </c>
      <c r="V1053" s="270">
        <f t="shared" si="271"/>
        <v>94115</v>
      </c>
      <c r="W1053" s="270">
        <f t="shared" si="271"/>
        <v>94115</v>
      </c>
      <c r="X1053" s="270">
        <f t="shared" si="271"/>
        <v>94115</v>
      </c>
      <c r="Y1053" s="270">
        <f t="shared" si="271"/>
        <v>94115</v>
      </c>
      <c r="Z1053" s="270">
        <f t="shared" si="271"/>
        <v>94115</v>
      </c>
      <c r="AA1053" s="270">
        <f t="shared" si="271"/>
        <v>94115</v>
      </c>
      <c r="AB1053" s="270">
        <f t="shared" si="271"/>
        <v>94115</v>
      </c>
      <c r="AC1053" s="270">
        <f t="shared" si="271"/>
        <v>94115</v>
      </c>
      <c r="AD1053" s="270">
        <f t="shared" si="270"/>
        <v>94115</v>
      </c>
      <c r="AE1053" s="270">
        <f t="shared" si="263"/>
        <v>94115</v>
      </c>
      <c r="AF1053" s="270">
        <f t="shared" si="269"/>
        <v>94115</v>
      </c>
      <c r="AG1053" s="270">
        <f t="shared" si="269"/>
        <v>94115</v>
      </c>
      <c r="AH1053" s="270">
        <f t="shared" si="269"/>
        <v>94115</v>
      </c>
      <c r="AI1053" s="270">
        <f t="shared" si="269"/>
        <v>94115</v>
      </c>
      <c r="AJ1053" s="270">
        <f t="shared" si="269"/>
        <v>94115</v>
      </c>
      <c r="AK1053" s="270">
        <f t="shared" si="269"/>
        <v>94115</v>
      </c>
      <c r="AL1053" s="270">
        <f t="shared" si="269"/>
        <v>94115</v>
      </c>
      <c r="AM1053" s="270">
        <f t="shared" si="269"/>
        <v>94115</v>
      </c>
    </row>
    <row r="1054" spans="2:39" ht="15.75" thickBot="1" x14ac:dyDescent="0.35">
      <c r="B1054" s="56" t="str">
        <f>input_names!$E$3</f>
        <v>plug-in</v>
      </c>
      <c r="C1054" s="61">
        <v>299</v>
      </c>
      <c r="D1054" s="270">
        <f t="shared" si="270"/>
        <v>64010</v>
      </c>
      <c r="E1054" s="270">
        <f t="shared" si="270"/>
        <v>72386</v>
      </c>
      <c r="F1054" s="270">
        <f t="shared" si="270"/>
        <v>77100</v>
      </c>
      <c r="G1054" s="270">
        <f t="shared" si="270"/>
        <v>74271</v>
      </c>
      <c r="H1054" s="270">
        <f t="shared" si="270"/>
        <v>70549</v>
      </c>
      <c r="I1054" s="270">
        <f t="shared" si="270"/>
        <v>69513</v>
      </c>
      <c r="J1054" s="270">
        <f t="shared" si="270"/>
        <v>51278</v>
      </c>
      <c r="K1054" s="270">
        <f t="shared" si="270"/>
        <v>51782</v>
      </c>
      <c r="L1054" s="270">
        <f t="shared" si="270"/>
        <v>55113</v>
      </c>
      <c r="M1054" s="270">
        <f t="shared" si="270"/>
        <v>60673</v>
      </c>
      <c r="N1054" s="270">
        <f t="shared" si="270"/>
        <v>94683</v>
      </c>
      <c r="O1054" s="270">
        <f t="shared" si="270"/>
        <v>94683</v>
      </c>
      <c r="P1054" s="270">
        <f t="shared" si="270"/>
        <v>94683</v>
      </c>
      <c r="Q1054" s="270">
        <f t="shared" si="270"/>
        <v>94683</v>
      </c>
      <c r="R1054" s="270">
        <f t="shared" si="270"/>
        <v>94683</v>
      </c>
      <c r="S1054" s="270">
        <f t="shared" si="271"/>
        <v>94683</v>
      </c>
      <c r="T1054" s="270">
        <f t="shared" si="271"/>
        <v>94683</v>
      </c>
      <c r="U1054" s="270">
        <f t="shared" si="271"/>
        <v>94683</v>
      </c>
      <c r="V1054" s="270">
        <f t="shared" si="271"/>
        <v>94683</v>
      </c>
      <c r="W1054" s="270">
        <f t="shared" si="271"/>
        <v>94683</v>
      </c>
      <c r="X1054" s="270">
        <f t="shared" si="271"/>
        <v>94683</v>
      </c>
      <c r="Y1054" s="270">
        <f t="shared" si="271"/>
        <v>94683</v>
      </c>
      <c r="Z1054" s="270">
        <f t="shared" si="271"/>
        <v>94683</v>
      </c>
      <c r="AA1054" s="270">
        <f t="shared" si="271"/>
        <v>94683</v>
      </c>
      <c r="AB1054" s="270">
        <f t="shared" si="271"/>
        <v>94683</v>
      </c>
      <c r="AC1054" s="270">
        <f t="shared" si="271"/>
        <v>94683</v>
      </c>
      <c r="AD1054" s="270">
        <f t="shared" si="270"/>
        <v>94683</v>
      </c>
      <c r="AE1054" s="270">
        <f t="shared" si="263"/>
        <v>94683</v>
      </c>
      <c r="AF1054" s="270">
        <f t="shared" si="269"/>
        <v>94683</v>
      </c>
      <c r="AG1054" s="270">
        <f t="shared" si="269"/>
        <v>94683</v>
      </c>
      <c r="AH1054" s="270">
        <f t="shared" si="269"/>
        <v>94683</v>
      </c>
      <c r="AI1054" s="270">
        <f t="shared" si="269"/>
        <v>94683</v>
      </c>
      <c r="AJ1054" s="270">
        <f t="shared" si="269"/>
        <v>94683</v>
      </c>
      <c r="AK1054" s="270">
        <f t="shared" si="269"/>
        <v>94683</v>
      </c>
      <c r="AL1054" s="270">
        <f t="shared" si="269"/>
        <v>94683</v>
      </c>
      <c r="AM1054" s="270">
        <f t="shared" si="269"/>
        <v>94683</v>
      </c>
    </row>
    <row r="1055" spans="2:39" ht="15.75" thickBot="1" x14ac:dyDescent="0.35">
      <c r="B1055" s="56" t="str">
        <f>input_names!$E$3</f>
        <v>plug-in</v>
      </c>
      <c r="C1055" s="61">
        <v>300</v>
      </c>
      <c r="D1055" s="270">
        <f t="shared" si="270"/>
        <v>64444</v>
      </c>
      <c r="E1055" s="270">
        <f t="shared" si="270"/>
        <v>72862</v>
      </c>
      <c r="F1055" s="270">
        <f t="shared" si="270"/>
        <v>77400</v>
      </c>
      <c r="G1055" s="270">
        <f t="shared" si="270"/>
        <v>74560</v>
      </c>
      <c r="H1055" s="270">
        <f t="shared" si="270"/>
        <v>70820</v>
      </c>
      <c r="I1055" s="270">
        <f t="shared" si="270"/>
        <v>69780</v>
      </c>
      <c r="J1055" s="270">
        <f t="shared" si="270"/>
        <v>51480</v>
      </c>
      <c r="K1055" s="270">
        <f t="shared" si="270"/>
        <v>51986</v>
      </c>
      <c r="L1055" s="270">
        <f t="shared" si="270"/>
        <v>55330</v>
      </c>
      <c r="M1055" s="270">
        <f t="shared" si="270"/>
        <v>60912</v>
      </c>
      <c r="N1055" s="270">
        <f t="shared" si="270"/>
        <v>95251</v>
      </c>
      <c r="O1055" s="270">
        <f t="shared" si="270"/>
        <v>95251</v>
      </c>
      <c r="P1055" s="270">
        <f t="shared" si="270"/>
        <v>95251</v>
      </c>
      <c r="Q1055" s="270">
        <f t="shared" si="270"/>
        <v>95251</v>
      </c>
      <c r="R1055" s="270">
        <f t="shared" si="270"/>
        <v>95251</v>
      </c>
      <c r="S1055" s="270">
        <f t="shared" si="271"/>
        <v>95251</v>
      </c>
      <c r="T1055" s="270">
        <f t="shared" si="271"/>
        <v>95251</v>
      </c>
      <c r="U1055" s="270">
        <f t="shared" si="271"/>
        <v>95251</v>
      </c>
      <c r="V1055" s="270">
        <f t="shared" si="271"/>
        <v>95251</v>
      </c>
      <c r="W1055" s="270">
        <f t="shared" si="271"/>
        <v>95251</v>
      </c>
      <c r="X1055" s="270">
        <f t="shared" si="271"/>
        <v>95251</v>
      </c>
      <c r="Y1055" s="270">
        <f t="shared" si="271"/>
        <v>95251</v>
      </c>
      <c r="Z1055" s="270">
        <f t="shared" si="271"/>
        <v>95251</v>
      </c>
      <c r="AA1055" s="270">
        <f t="shared" si="271"/>
        <v>95251</v>
      </c>
      <c r="AB1055" s="270">
        <f t="shared" si="271"/>
        <v>95251</v>
      </c>
      <c r="AC1055" s="270">
        <f t="shared" si="271"/>
        <v>95251</v>
      </c>
      <c r="AD1055" s="270">
        <f t="shared" si="270"/>
        <v>95251</v>
      </c>
      <c r="AE1055" s="270">
        <f t="shared" si="263"/>
        <v>95251</v>
      </c>
      <c r="AF1055" s="270">
        <f t="shared" si="269"/>
        <v>95251</v>
      </c>
      <c r="AG1055" s="270">
        <f t="shared" si="269"/>
        <v>95251</v>
      </c>
      <c r="AH1055" s="270">
        <f t="shared" si="269"/>
        <v>95251</v>
      </c>
      <c r="AI1055" s="270">
        <f t="shared" si="269"/>
        <v>95251</v>
      </c>
      <c r="AJ1055" s="270">
        <f t="shared" si="269"/>
        <v>95251</v>
      </c>
      <c r="AK1055" s="270">
        <f t="shared" si="269"/>
        <v>95251</v>
      </c>
      <c r="AL1055" s="270">
        <f t="shared" si="269"/>
        <v>95251</v>
      </c>
      <c r="AM1055" s="270">
        <f t="shared" si="269"/>
        <v>95251</v>
      </c>
    </row>
    <row r="1056" spans="2:39" ht="15.75" thickBot="1" x14ac:dyDescent="0.35">
      <c r="B1056" s="56" t="str">
        <f>input_names!$E$3</f>
        <v>plug-in</v>
      </c>
      <c r="C1056" s="61">
        <v>301</v>
      </c>
      <c r="D1056" s="270">
        <f t="shared" si="270"/>
        <v>64878</v>
      </c>
      <c r="E1056" s="270">
        <f t="shared" si="270"/>
        <v>73338</v>
      </c>
      <c r="F1056" s="270">
        <f t="shared" si="270"/>
        <v>77700</v>
      </c>
      <c r="G1056" s="270">
        <f t="shared" si="270"/>
        <v>74849</v>
      </c>
      <c r="H1056" s="270">
        <f t="shared" si="270"/>
        <v>71091</v>
      </c>
      <c r="I1056" s="270">
        <f t="shared" si="270"/>
        <v>70047</v>
      </c>
      <c r="J1056" s="270">
        <f t="shared" si="270"/>
        <v>51682</v>
      </c>
      <c r="K1056" s="270">
        <f t="shared" si="270"/>
        <v>52190</v>
      </c>
      <c r="L1056" s="270">
        <f t="shared" si="270"/>
        <v>55547</v>
      </c>
      <c r="M1056" s="270">
        <f t="shared" si="270"/>
        <v>61151</v>
      </c>
      <c r="N1056" s="270">
        <f t="shared" si="270"/>
        <v>95819</v>
      </c>
      <c r="O1056" s="270">
        <f t="shared" si="270"/>
        <v>95819</v>
      </c>
      <c r="P1056" s="270">
        <f t="shared" si="270"/>
        <v>95819</v>
      </c>
      <c r="Q1056" s="270">
        <f t="shared" si="270"/>
        <v>95819</v>
      </c>
      <c r="R1056" s="270">
        <f t="shared" si="270"/>
        <v>95819</v>
      </c>
      <c r="S1056" s="270">
        <f t="shared" si="271"/>
        <v>95819</v>
      </c>
      <c r="T1056" s="270">
        <f t="shared" si="271"/>
        <v>95819</v>
      </c>
      <c r="U1056" s="270">
        <f t="shared" si="271"/>
        <v>95819</v>
      </c>
      <c r="V1056" s="270">
        <f t="shared" si="271"/>
        <v>95819</v>
      </c>
      <c r="W1056" s="270">
        <f t="shared" si="271"/>
        <v>95819</v>
      </c>
      <c r="X1056" s="270">
        <f t="shared" si="271"/>
        <v>95819</v>
      </c>
      <c r="Y1056" s="270">
        <f t="shared" si="271"/>
        <v>95819</v>
      </c>
      <c r="Z1056" s="270">
        <f t="shared" si="271"/>
        <v>95819</v>
      </c>
      <c r="AA1056" s="270">
        <f t="shared" si="271"/>
        <v>95819</v>
      </c>
      <c r="AB1056" s="270">
        <f t="shared" si="271"/>
        <v>95819</v>
      </c>
      <c r="AC1056" s="270">
        <f t="shared" si="271"/>
        <v>95819</v>
      </c>
      <c r="AD1056" s="270">
        <f t="shared" si="270"/>
        <v>95819</v>
      </c>
      <c r="AE1056" s="270">
        <f t="shared" si="263"/>
        <v>95819</v>
      </c>
      <c r="AF1056" s="270">
        <f t="shared" si="269"/>
        <v>95819</v>
      </c>
      <c r="AG1056" s="270">
        <f t="shared" si="269"/>
        <v>95819</v>
      </c>
      <c r="AH1056" s="270">
        <f t="shared" si="269"/>
        <v>95819</v>
      </c>
      <c r="AI1056" s="270">
        <f t="shared" si="269"/>
        <v>95819</v>
      </c>
      <c r="AJ1056" s="270">
        <f t="shared" si="269"/>
        <v>95819</v>
      </c>
      <c r="AK1056" s="270">
        <f t="shared" si="269"/>
        <v>95819</v>
      </c>
      <c r="AL1056" s="270">
        <f t="shared" si="269"/>
        <v>95819</v>
      </c>
      <c r="AM1056" s="270">
        <f t="shared" si="269"/>
        <v>95819</v>
      </c>
    </row>
    <row r="1057" spans="2:39" ht="15.75" thickBot="1" x14ac:dyDescent="0.35">
      <c r="B1057" s="56" t="str">
        <f>input_names!$E$3</f>
        <v>plug-in</v>
      </c>
      <c r="C1057" s="61">
        <v>302</v>
      </c>
      <c r="D1057" s="270">
        <f t="shared" si="270"/>
        <v>65312</v>
      </c>
      <c r="E1057" s="270">
        <f t="shared" si="270"/>
        <v>73814</v>
      </c>
      <c r="F1057" s="270">
        <f t="shared" si="270"/>
        <v>78000</v>
      </c>
      <c r="G1057" s="270">
        <f t="shared" si="270"/>
        <v>75138</v>
      </c>
      <c r="H1057" s="270">
        <f t="shared" si="270"/>
        <v>71362</v>
      </c>
      <c r="I1057" s="270">
        <f t="shared" si="270"/>
        <v>70314</v>
      </c>
      <c r="J1057" s="270">
        <f t="shared" si="270"/>
        <v>51884</v>
      </c>
      <c r="K1057" s="270">
        <f t="shared" si="270"/>
        <v>52394</v>
      </c>
      <c r="L1057" s="270">
        <f t="shared" si="270"/>
        <v>55764</v>
      </c>
      <c r="M1057" s="270">
        <f t="shared" si="270"/>
        <v>61390</v>
      </c>
      <c r="N1057" s="270">
        <f t="shared" si="270"/>
        <v>96387</v>
      </c>
      <c r="O1057" s="270">
        <f t="shared" si="270"/>
        <v>96387</v>
      </c>
      <c r="P1057" s="270">
        <f t="shared" si="270"/>
        <v>96387</v>
      </c>
      <c r="Q1057" s="270">
        <f t="shared" si="270"/>
        <v>96387</v>
      </c>
      <c r="R1057" s="270">
        <f t="shared" si="270"/>
        <v>96387</v>
      </c>
      <c r="S1057" s="270">
        <f>+MIN(MAX(0,$C1057-S$28),S$29-S$28)*S$34
+MIN(MAX(0,$C1057-S$29),S$30-S$29)*S$35
+MIN(MAX(0,$C1057-S$30),S$31-S$30)*S$36
+MIN(MAX(0,$C1057-S$31),S$32-S$31)*S$37
+MAX(0,$C1057-S$32)*S$38
+S$39</f>
        <v>96387</v>
      </c>
      <c r="T1057" s="270">
        <f t="shared" si="271"/>
        <v>96387</v>
      </c>
      <c r="U1057" s="270">
        <f t="shared" si="271"/>
        <v>96387</v>
      </c>
      <c r="V1057" s="270">
        <f t="shared" si="271"/>
        <v>96387</v>
      </c>
      <c r="W1057" s="270">
        <f t="shared" si="271"/>
        <v>96387</v>
      </c>
      <c r="X1057" s="270">
        <f t="shared" si="271"/>
        <v>96387</v>
      </c>
      <c r="Y1057" s="270">
        <f t="shared" si="271"/>
        <v>96387</v>
      </c>
      <c r="Z1057" s="270">
        <f t="shared" si="271"/>
        <v>96387</v>
      </c>
      <c r="AA1057" s="270">
        <f t="shared" si="271"/>
        <v>96387</v>
      </c>
      <c r="AB1057" s="270">
        <f t="shared" si="271"/>
        <v>96387</v>
      </c>
      <c r="AC1057" s="270">
        <f t="shared" si="271"/>
        <v>96387</v>
      </c>
      <c r="AD1057" s="270">
        <f>+MIN(MAX(0,$C1057-AD$28),AD$29-AD$28)*AD$34
+MIN(MAX(0,$C1057-AD$29),AD$30-AD$29)*AD$35
+MIN(MAX(0,$C1057-AD$30),AD$31-AD$30)*AD$36
+MIN(MAX(0,$C1057-AD$31),AD$32-AD$31)*AD$37
+MAX(0,$C1057-AD$32)*AD$38
+AD$39</f>
        <v>96387</v>
      </c>
      <c r="AE1057" s="270">
        <f t="shared" si="263"/>
        <v>96387</v>
      </c>
      <c r="AF1057" s="270">
        <f t="shared" si="269"/>
        <v>96387</v>
      </c>
      <c r="AG1057" s="270">
        <f t="shared" si="269"/>
        <v>96387</v>
      </c>
      <c r="AH1057" s="270">
        <f t="shared" si="269"/>
        <v>96387</v>
      </c>
      <c r="AI1057" s="270">
        <f t="shared" si="269"/>
        <v>96387</v>
      </c>
      <c r="AJ1057" s="270">
        <f t="shared" si="269"/>
        <v>96387</v>
      </c>
      <c r="AK1057" s="270">
        <f t="shared" si="269"/>
        <v>96387</v>
      </c>
      <c r="AL1057" s="270">
        <f t="shared" si="269"/>
        <v>96387</v>
      </c>
      <c r="AM1057" s="270">
        <f t="shared" si="269"/>
        <v>96387</v>
      </c>
    </row>
    <row r="1058" spans="2:39" ht="15.75" thickBot="1" x14ac:dyDescent="0.35">
      <c r="B1058" s="56" t="str">
        <f>input_names!$E$3</f>
        <v>plug-in</v>
      </c>
      <c r="C1058" s="61">
        <v>303</v>
      </c>
      <c r="D1058" s="270">
        <f t="shared" ref="D1058:AD1073" si="272">+MIN(MAX(0,$C1058-D$28),D$29-D$28)*D$34
+MIN(MAX(0,$C1058-D$29),D$30-D$29)*D$35
+MIN(MAX(0,$C1058-D$30),D$31-D$30)*D$36
+MIN(MAX(0,$C1058-D$31),D$32-D$31)*D$37
+MAX(0,$C1058-D$32)*D$38
+D$39</f>
        <v>65746</v>
      </c>
      <c r="E1058" s="270">
        <f t="shared" si="272"/>
        <v>74290</v>
      </c>
      <c r="F1058" s="270">
        <f t="shared" si="272"/>
        <v>78300</v>
      </c>
      <c r="G1058" s="270">
        <f t="shared" si="272"/>
        <v>75427</v>
      </c>
      <c r="H1058" s="270">
        <f t="shared" si="272"/>
        <v>71633</v>
      </c>
      <c r="I1058" s="270">
        <f t="shared" si="272"/>
        <v>70581</v>
      </c>
      <c r="J1058" s="270">
        <f t="shared" si="272"/>
        <v>52086</v>
      </c>
      <c r="K1058" s="270">
        <f t="shared" si="272"/>
        <v>52598</v>
      </c>
      <c r="L1058" s="270">
        <f t="shared" si="272"/>
        <v>55981</v>
      </c>
      <c r="M1058" s="270">
        <f t="shared" si="272"/>
        <v>61629</v>
      </c>
      <c r="N1058" s="270">
        <f t="shared" si="272"/>
        <v>96955</v>
      </c>
      <c r="O1058" s="270">
        <f t="shared" si="272"/>
        <v>96955</v>
      </c>
      <c r="P1058" s="270">
        <f t="shared" si="272"/>
        <v>96955</v>
      </c>
      <c r="Q1058" s="270">
        <f t="shared" si="272"/>
        <v>96955</v>
      </c>
      <c r="R1058" s="270">
        <f t="shared" si="272"/>
        <v>96955</v>
      </c>
      <c r="S1058" s="270">
        <f t="shared" ref="S1058:AC1073" si="273">+MIN(MAX(0,$C1058-S$28),S$29-S$28)*S$34
+MIN(MAX(0,$C1058-S$29),S$30-S$29)*S$35
+MIN(MAX(0,$C1058-S$30),S$31-S$30)*S$36
+MIN(MAX(0,$C1058-S$31),S$32-S$31)*S$37
+MAX(0,$C1058-S$32)*S$38
+S$39</f>
        <v>96955</v>
      </c>
      <c r="T1058" s="270">
        <f t="shared" si="273"/>
        <v>96955</v>
      </c>
      <c r="U1058" s="270">
        <f t="shared" si="273"/>
        <v>96955</v>
      </c>
      <c r="V1058" s="270">
        <f t="shared" si="273"/>
        <v>96955</v>
      </c>
      <c r="W1058" s="270">
        <f t="shared" si="273"/>
        <v>96955</v>
      </c>
      <c r="X1058" s="270">
        <f t="shared" si="273"/>
        <v>96955</v>
      </c>
      <c r="Y1058" s="270">
        <f t="shared" si="273"/>
        <v>96955</v>
      </c>
      <c r="Z1058" s="270">
        <f t="shared" si="273"/>
        <v>96955</v>
      </c>
      <c r="AA1058" s="270">
        <f t="shared" si="273"/>
        <v>96955</v>
      </c>
      <c r="AB1058" s="270">
        <f t="shared" si="273"/>
        <v>96955</v>
      </c>
      <c r="AC1058" s="270">
        <f t="shared" si="273"/>
        <v>96955</v>
      </c>
      <c r="AD1058" s="270">
        <f t="shared" si="272"/>
        <v>96955</v>
      </c>
      <c r="AE1058" s="270">
        <f t="shared" si="263"/>
        <v>96955</v>
      </c>
      <c r="AF1058" s="270">
        <f t="shared" si="269"/>
        <v>96955</v>
      </c>
      <c r="AG1058" s="270">
        <f t="shared" si="269"/>
        <v>96955</v>
      </c>
      <c r="AH1058" s="270">
        <f t="shared" si="269"/>
        <v>96955</v>
      </c>
      <c r="AI1058" s="270">
        <f t="shared" si="269"/>
        <v>96955</v>
      </c>
      <c r="AJ1058" s="270">
        <f t="shared" si="269"/>
        <v>96955</v>
      </c>
      <c r="AK1058" s="270">
        <f t="shared" si="269"/>
        <v>96955</v>
      </c>
      <c r="AL1058" s="270">
        <f t="shared" si="269"/>
        <v>96955</v>
      </c>
      <c r="AM1058" s="270">
        <f t="shared" si="269"/>
        <v>96955</v>
      </c>
    </row>
    <row r="1059" spans="2:39" ht="15.75" thickBot="1" x14ac:dyDescent="0.35">
      <c r="B1059" s="56" t="str">
        <f>input_names!$E$3</f>
        <v>plug-in</v>
      </c>
      <c r="C1059" s="61">
        <v>304</v>
      </c>
      <c r="D1059" s="270">
        <f t="shared" si="272"/>
        <v>66180</v>
      </c>
      <c r="E1059" s="270">
        <f t="shared" si="272"/>
        <v>74766</v>
      </c>
      <c r="F1059" s="270">
        <f t="shared" si="272"/>
        <v>78600</v>
      </c>
      <c r="G1059" s="270">
        <f t="shared" si="272"/>
        <v>75716</v>
      </c>
      <c r="H1059" s="270">
        <f t="shared" si="272"/>
        <v>71904</v>
      </c>
      <c r="I1059" s="270">
        <f t="shared" si="272"/>
        <v>70848</v>
      </c>
      <c r="J1059" s="270">
        <f t="shared" si="272"/>
        <v>52288</v>
      </c>
      <c r="K1059" s="270">
        <f t="shared" si="272"/>
        <v>52802</v>
      </c>
      <c r="L1059" s="270">
        <f t="shared" si="272"/>
        <v>56198</v>
      </c>
      <c r="M1059" s="270">
        <f t="shared" si="272"/>
        <v>61868</v>
      </c>
      <c r="N1059" s="270">
        <f t="shared" si="272"/>
        <v>97523</v>
      </c>
      <c r="O1059" s="270">
        <f t="shared" si="272"/>
        <v>97523</v>
      </c>
      <c r="P1059" s="270">
        <f t="shared" si="272"/>
        <v>97523</v>
      </c>
      <c r="Q1059" s="270">
        <f t="shared" si="272"/>
        <v>97523</v>
      </c>
      <c r="R1059" s="270">
        <f t="shared" si="272"/>
        <v>97523</v>
      </c>
      <c r="S1059" s="270">
        <f t="shared" si="273"/>
        <v>97523</v>
      </c>
      <c r="T1059" s="270">
        <f t="shared" si="273"/>
        <v>97523</v>
      </c>
      <c r="U1059" s="270">
        <f t="shared" si="273"/>
        <v>97523</v>
      </c>
      <c r="V1059" s="270">
        <f t="shared" si="273"/>
        <v>97523</v>
      </c>
      <c r="W1059" s="270">
        <f t="shared" si="273"/>
        <v>97523</v>
      </c>
      <c r="X1059" s="270">
        <f t="shared" si="273"/>
        <v>97523</v>
      </c>
      <c r="Y1059" s="270">
        <f t="shared" si="273"/>
        <v>97523</v>
      </c>
      <c r="Z1059" s="270">
        <f t="shared" si="273"/>
        <v>97523</v>
      </c>
      <c r="AA1059" s="270">
        <f t="shared" si="273"/>
        <v>97523</v>
      </c>
      <c r="AB1059" s="270">
        <f t="shared" si="273"/>
        <v>97523</v>
      </c>
      <c r="AC1059" s="270">
        <f t="shared" si="273"/>
        <v>97523</v>
      </c>
      <c r="AD1059" s="270">
        <f t="shared" si="272"/>
        <v>97523</v>
      </c>
      <c r="AE1059" s="270">
        <f t="shared" si="263"/>
        <v>97523</v>
      </c>
      <c r="AF1059" s="270">
        <f t="shared" si="269"/>
        <v>97523</v>
      </c>
      <c r="AG1059" s="270">
        <f t="shared" si="269"/>
        <v>97523</v>
      </c>
      <c r="AH1059" s="270">
        <f t="shared" si="269"/>
        <v>97523</v>
      </c>
      <c r="AI1059" s="270">
        <f t="shared" si="269"/>
        <v>97523</v>
      </c>
      <c r="AJ1059" s="270">
        <f t="shared" si="269"/>
        <v>97523</v>
      </c>
      <c r="AK1059" s="270">
        <f t="shared" si="269"/>
        <v>97523</v>
      </c>
      <c r="AL1059" s="270">
        <f t="shared" si="269"/>
        <v>97523</v>
      </c>
      <c r="AM1059" s="270">
        <f t="shared" si="269"/>
        <v>97523</v>
      </c>
    </row>
    <row r="1060" spans="2:39" ht="15.75" thickBot="1" x14ac:dyDescent="0.35">
      <c r="B1060" s="56" t="str">
        <f>input_names!$E$3</f>
        <v>plug-in</v>
      </c>
      <c r="C1060" s="61">
        <v>305</v>
      </c>
      <c r="D1060" s="270">
        <f t="shared" si="272"/>
        <v>66614</v>
      </c>
      <c r="E1060" s="270">
        <f t="shared" si="272"/>
        <v>75242</v>
      </c>
      <c r="F1060" s="270">
        <f t="shared" si="272"/>
        <v>78900</v>
      </c>
      <c r="G1060" s="270">
        <f t="shared" si="272"/>
        <v>76005</v>
      </c>
      <c r="H1060" s="270">
        <f t="shared" si="272"/>
        <v>72175</v>
      </c>
      <c r="I1060" s="270">
        <f t="shared" si="272"/>
        <v>71115</v>
      </c>
      <c r="J1060" s="270">
        <f t="shared" si="272"/>
        <v>52490</v>
      </c>
      <c r="K1060" s="270">
        <f t="shared" si="272"/>
        <v>53006</v>
      </c>
      <c r="L1060" s="270">
        <f t="shared" si="272"/>
        <v>56415</v>
      </c>
      <c r="M1060" s="270">
        <f t="shared" si="272"/>
        <v>62107</v>
      </c>
      <c r="N1060" s="270">
        <f t="shared" si="272"/>
        <v>98091</v>
      </c>
      <c r="O1060" s="270">
        <f t="shared" si="272"/>
        <v>98091</v>
      </c>
      <c r="P1060" s="270">
        <f t="shared" si="272"/>
        <v>98091</v>
      </c>
      <c r="Q1060" s="270">
        <f t="shared" si="272"/>
        <v>98091</v>
      </c>
      <c r="R1060" s="270">
        <f t="shared" si="272"/>
        <v>98091</v>
      </c>
      <c r="S1060" s="270">
        <f t="shared" si="273"/>
        <v>98091</v>
      </c>
      <c r="T1060" s="270">
        <f t="shared" si="273"/>
        <v>98091</v>
      </c>
      <c r="U1060" s="270">
        <f t="shared" si="273"/>
        <v>98091</v>
      </c>
      <c r="V1060" s="270">
        <f t="shared" si="273"/>
        <v>98091</v>
      </c>
      <c r="W1060" s="270">
        <f t="shared" si="273"/>
        <v>98091</v>
      </c>
      <c r="X1060" s="270">
        <f t="shared" si="273"/>
        <v>98091</v>
      </c>
      <c r="Y1060" s="270">
        <f t="shared" si="273"/>
        <v>98091</v>
      </c>
      <c r="Z1060" s="270">
        <f t="shared" si="273"/>
        <v>98091</v>
      </c>
      <c r="AA1060" s="270">
        <f t="shared" si="273"/>
        <v>98091</v>
      </c>
      <c r="AB1060" s="270">
        <f t="shared" si="273"/>
        <v>98091</v>
      </c>
      <c r="AC1060" s="270">
        <f t="shared" si="273"/>
        <v>98091</v>
      </c>
      <c r="AD1060" s="270">
        <f t="shared" si="272"/>
        <v>98091</v>
      </c>
      <c r="AE1060" s="270">
        <f t="shared" si="263"/>
        <v>98091</v>
      </c>
      <c r="AF1060" s="270">
        <f t="shared" si="269"/>
        <v>98091</v>
      </c>
      <c r="AG1060" s="270">
        <f t="shared" si="269"/>
        <v>98091</v>
      </c>
      <c r="AH1060" s="270">
        <f t="shared" si="269"/>
        <v>98091</v>
      </c>
      <c r="AI1060" s="270">
        <f t="shared" si="269"/>
        <v>98091</v>
      </c>
      <c r="AJ1060" s="270">
        <f t="shared" si="269"/>
        <v>98091</v>
      </c>
      <c r="AK1060" s="270">
        <f t="shared" si="269"/>
        <v>98091</v>
      </c>
      <c r="AL1060" s="270">
        <f t="shared" si="269"/>
        <v>98091</v>
      </c>
      <c r="AM1060" s="270">
        <f t="shared" si="269"/>
        <v>98091</v>
      </c>
    </row>
    <row r="1061" spans="2:39" ht="15.75" thickBot="1" x14ac:dyDescent="0.35">
      <c r="B1061" s="56" t="str">
        <f>input_names!$E$3</f>
        <v>plug-in</v>
      </c>
      <c r="C1061" s="61">
        <v>306</v>
      </c>
      <c r="D1061" s="270">
        <f t="shared" si="272"/>
        <v>67048</v>
      </c>
      <c r="E1061" s="270">
        <f t="shared" si="272"/>
        <v>75718</v>
      </c>
      <c r="F1061" s="270">
        <f t="shared" si="272"/>
        <v>79200</v>
      </c>
      <c r="G1061" s="270">
        <f t="shared" si="272"/>
        <v>76294</v>
      </c>
      <c r="H1061" s="270">
        <f t="shared" si="272"/>
        <v>72446</v>
      </c>
      <c r="I1061" s="270">
        <f t="shared" si="272"/>
        <v>71382</v>
      </c>
      <c r="J1061" s="270">
        <f t="shared" si="272"/>
        <v>52692</v>
      </c>
      <c r="K1061" s="270">
        <f t="shared" si="272"/>
        <v>53210</v>
      </c>
      <c r="L1061" s="270">
        <f t="shared" si="272"/>
        <v>56632</v>
      </c>
      <c r="M1061" s="270">
        <f t="shared" si="272"/>
        <v>62346</v>
      </c>
      <c r="N1061" s="270">
        <f t="shared" si="272"/>
        <v>98659</v>
      </c>
      <c r="O1061" s="270">
        <f t="shared" si="272"/>
        <v>98659</v>
      </c>
      <c r="P1061" s="270">
        <f t="shared" si="272"/>
        <v>98659</v>
      </c>
      <c r="Q1061" s="270">
        <f t="shared" si="272"/>
        <v>98659</v>
      </c>
      <c r="R1061" s="270">
        <f t="shared" si="272"/>
        <v>98659</v>
      </c>
      <c r="S1061" s="270">
        <f t="shared" si="273"/>
        <v>98659</v>
      </c>
      <c r="T1061" s="270">
        <f t="shared" si="273"/>
        <v>98659</v>
      </c>
      <c r="U1061" s="270">
        <f t="shared" si="273"/>
        <v>98659</v>
      </c>
      <c r="V1061" s="270">
        <f t="shared" si="273"/>
        <v>98659</v>
      </c>
      <c r="W1061" s="270">
        <f t="shared" si="273"/>
        <v>98659</v>
      </c>
      <c r="X1061" s="270">
        <f t="shared" si="273"/>
        <v>98659</v>
      </c>
      <c r="Y1061" s="270">
        <f t="shared" si="273"/>
        <v>98659</v>
      </c>
      <c r="Z1061" s="270">
        <f t="shared" si="273"/>
        <v>98659</v>
      </c>
      <c r="AA1061" s="270">
        <f t="shared" si="273"/>
        <v>98659</v>
      </c>
      <c r="AB1061" s="270">
        <f t="shared" si="273"/>
        <v>98659</v>
      </c>
      <c r="AC1061" s="270">
        <f t="shared" si="273"/>
        <v>98659</v>
      </c>
      <c r="AD1061" s="270">
        <f t="shared" si="272"/>
        <v>98659</v>
      </c>
      <c r="AE1061" s="270">
        <f t="shared" si="263"/>
        <v>98659</v>
      </c>
      <c r="AF1061" s="270">
        <f t="shared" si="269"/>
        <v>98659</v>
      </c>
      <c r="AG1061" s="270">
        <f t="shared" si="269"/>
        <v>98659</v>
      </c>
      <c r="AH1061" s="270">
        <f t="shared" si="269"/>
        <v>98659</v>
      </c>
      <c r="AI1061" s="270">
        <f t="shared" si="269"/>
        <v>98659</v>
      </c>
      <c r="AJ1061" s="270">
        <f t="shared" si="269"/>
        <v>98659</v>
      </c>
      <c r="AK1061" s="270">
        <f t="shared" si="269"/>
        <v>98659</v>
      </c>
      <c r="AL1061" s="270">
        <f t="shared" si="269"/>
        <v>98659</v>
      </c>
      <c r="AM1061" s="270">
        <f t="shared" si="269"/>
        <v>98659</v>
      </c>
    </row>
    <row r="1062" spans="2:39" ht="15.75" thickBot="1" x14ac:dyDescent="0.35">
      <c r="B1062" s="56" t="str">
        <f>input_names!$E$3</f>
        <v>plug-in</v>
      </c>
      <c r="C1062" s="61">
        <v>307</v>
      </c>
      <c r="D1062" s="270">
        <f t="shared" si="272"/>
        <v>67482</v>
      </c>
      <c r="E1062" s="270">
        <f t="shared" si="272"/>
        <v>76194</v>
      </c>
      <c r="F1062" s="270">
        <f t="shared" si="272"/>
        <v>79500</v>
      </c>
      <c r="G1062" s="270">
        <f t="shared" si="272"/>
        <v>76583</v>
      </c>
      <c r="H1062" s="270">
        <f t="shared" si="272"/>
        <v>72717</v>
      </c>
      <c r="I1062" s="270">
        <f t="shared" si="272"/>
        <v>71649</v>
      </c>
      <c r="J1062" s="270">
        <f t="shared" si="272"/>
        <v>52894</v>
      </c>
      <c r="K1062" s="270">
        <f t="shared" si="272"/>
        <v>53414</v>
      </c>
      <c r="L1062" s="270">
        <f t="shared" si="272"/>
        <v>56849</v>
      </c>
      <c r="M1062" s="270">
        <f t="shared" si="272"/>
        <v>62585</v>
      </c>
      <c r="N1062" s="270">
        <f t="shared" si="272"/>
        <v>99227</v>
      </c>
      <c r="O1062" s="270">
        <f t="shared" si="272"/>
        <v>99227</v>
      </c>
      <c r="P1062" s="270">
        <f t="shared" si="272"/>
        <v>99227</v>
      </c>
      <c r="Q1062" s="270">
        <f t="shared" si="272"/>
        <v>99227</v>
      </c>
      <c r="R1062" s="270">
        <f t="shared" si="272"/>
        <v>99227</v>
      </c>
      <c r="S1062" s="270">
        <f t="shared" si="273"/>
        <v>99227</v>
      </c>
      <c r="T1062" s="270">
        <f t="shared" si="273"/>
        <v>99227</v>
      </c>
      <c r="U1062" s="270">
        <f t="shared" si="273"/>
        <v>99227</v>
      </c>
      <c r="V1062" s="270">
        <f t="shared" si="273"/>
        <v>99227</v>
      </c>
      <c r="W1062" s="270">
        <f t="shared" si="273"/>
        <v>99227</v>
      </c>
      <c r="X1062" s="270">
        <f t="shared" si="273"/>
        <v>99227</v>
      </c>
      <c r="Y1062" s="270">
        <f t="shared" si="273"/>
        <v>99227</v>
      </c>
      <c r="Z1062" s="270">
        <f t="shared" si="273"/>
        <v>99227</v>
      </c>
      <c r="AA1062" s="270">
        <f t="shared" si="273"/>
        <v>99227</v>
      </c>
      <c r="AB1062" s="270">
        <f t="shared" si="273"/>
        <v>99227</v>
      </c>
      <c r="AC1062" s="270">
        <f t="shared" si="273"/>
        <v>99227</v>
      </c>
      <c r="AD1062" s="270">
        <f t="shared" si="272"/>
        <v>99227</v>
      </c>
      <c r="AE1062" s="270">
        <f t="shared" si="263"/>
        <v>99227</v>
      </c>
      <c r="AF1062" s="270">
        <f t="shared" si="269"/>
        <v>99227</v>
      </c>
      <c r="AG1062" s="270">
        <f t="shared" si="269"/>
        <v>99227</v>
      </c>
      <c r="AH1062" s="270">
        <f t="shared" si="269"/>
        <v>99227</v>
      </c>
      <c r="AI1062" s="270">
        <f t="shared" si="269"/>
        <v>99227</v>
      </c>
      <c r="AJ1062" s="270">
        <f t="shared" si="269"/>
        <v>99227</v>
      </c>
      <c r="AK1062" s="270">
        <f t="shared" si="269"/>
        <v>99227</v>
      </c>
      <c r="AL1062" s="270">
        <f t="shared" si="269"/>
        <v>99227</v>
      </c>
      <c r="AM1062" s="270">
        <f t="shared" si="269"/>
        <v>99227</v>
      </c>
    </row>
    <row r="1063" spans="2:39" ht="15.75" thickBot="1" x14ac:dyDescent="0.35">
      <c r="B1063" s="56" t="str">
        <f>input_names!$E$3</f>
        <v>plug-in</v>
      </c>
      <c r="C1063" s="61">
        <v>308</v>
      </c>
      <c r="D1063" s="270">
        <f t="shared" si="272"/>
        <v>67916</v>
      </c>
      <c r="E1063" s="270">
        <f t="shared" si="272"/>
        <v>76670</v>
      </c>
      <c r="F1063" s="270">
        <f t="shared" si="272"/>
        <v>79800</v>
      </c>
      <c r="G1063" s="270">
        <f t="shared" si="272"/>
        <v>76872</v>
      </c>
      <c r="H1063" s="270">
        <f t="shared" si="272"/>
        <v>72988</v>
      </c>
      <c r="I1063" s="270">
        <f t="shared" si="272"/>
        <v>71916</v>
      </c>
      <c r="J1063" s="270">
        <f t="shared" si="272"/>
        <v>53096</v>
      </c>
      <c r="K1063" s="270">
        <f t="shared" si="272"/>
        <v>53618</v>
      </c>
      <c r="L1063" s="270">
        <f t="shared" si="272"/>
        <v>57066</v>
      </c>
      <c r="M1063" s="270">
        <f t="shared" si="272"/>
        <v>62824</v>
      </c>
      <c r="N1063" s="270">
        <f t="shared" si="272"/>
        <v>99795</v>
      </c>
      <c r="O1063" s="270">
        <f t="shared" si="272"/>
        <v>99795</v>
      </c>
      <c r="P1063" s="270">
        <f t="shared" si="272"/>
        <v>99795</v>
      </c>
      <c r="Q1063" s="270">
        <f t="shared" si="272"/>
        <v>99795</v>
      </c>
      <c r="R1063" s="270">
        <f t="shared" si="272"/>
        <v>99795</v>
      </c>
      <c r="S1063" s="270">
        <f t="shared" si="273"/>
        <v>99795</v>
      </c>
      <c r="T1063" s="270">
        <f t="shared" si="273"/>
        <v>99795</v>
      </c>
      <c r="U1063" s="270">
        <f t="shared" si="273"/>
        <v>99795</v>
      </c>
      <c r="V1063" s="270">
        <f t="shared" si="273"/>
        <v>99795</v>
      </c>
      <c r="W1063" s="270">
        <f t="shared" si="273"/>
        <v>99795</v>
      </c>
      <c r="X1063" s="270">
        <f t="shared" si="273"/>
        <v>99795</v>
      </c>
      <c r="Y1063" s="270">
        <f t="shared" si="273"/>
        <v>99795</v>
      </c>
      <c r="Z1063" s="270">
        <f t="shared" si="273"/>
        <v>99795</v>
      </c>
      <c r="AA1063" s="270">
        <f t="shared" si="273"/>
        <v>99795</v>
      </c>
      <c r="AB1063" s="270">
        <f t="shared" si="273"/>
        <v>99795</v>
      </c>
      <c r="AC1063" s="270">
        <f t="shared" si="273"/>
        <v>99795</v>
      </c>
      <c r="AD1063" s="270">
        <f t="shared" si="272"/>
        <v>99795</v>
      </c>
      <c r="AE1063" s="270">
        <f t="shared" si="263"/>
        <v>99795</v>
      </c>
      <c r="AF1063" s="270">
        <f t="shared" si="269"/>
        <v>99795</v>
      </c>
      <c r="AG1063" s="270">
        <f t="shared" si="269"/>
        <v>99795</v>
      </c>
      <c r="AH1063" s="270">
        <f t="shared" si="269"/>
        <v>99795</v>
      </c>
      <c r="AI1063" s="270">
        <f t="shared" si="269"/>
        <v>99795</v>
      </c>
      <c r="AJ1063" s="270">
        <f t="shared" si="269"/>
        <v>99795</v>
      </c>
      <c r="AK1063" s="270">
        <f t="shared" si="269"/>
        <v>99795</v>
      </c>
      <c r="AL1063" s="270">
        <f t="shared" si="269"/>
        <v>99795</v>
      </c>
      <c r="AM1063" s="270">
        <f t="shared" si="269"/>
        <v>99795</v>
      </c>
    </row>
    <row r="1064" spans="2:39" ht="15.75" thickBot="1" x14ac:dyDescent="0.35">
      <c r="B1064" s="56" t="str">
        <f>input_names!$E$3</f>
        <v>plug-in</v>
      </c>
      <c r="C1064" s="61">
        <v>309</v>
      </c>
      <c r="D1064" s="270">
        <f t="shared" si="272"/>
        <v>68350</v>
      </c>
      <c r="E1064" s="270">
        <f t="shared" si="272"/>
        <v>77146</v>
      </c>
      <c r="F1064" s="270">
        <f t="shared" si="272"/>
        <v>80100</v>
      </c>
      <c r="G1064" s="270">
        <f t="shared" si="272"/>
        <v>77161</v>
      </c>
      <c r="H1064" s="270">
        <f t="shared" si="272"/>
        <v>73259</v>
      </c>
      <c r="I1064" s="270">
        <f t="shared" si="272"/>
        <v>72183</v>
      </c>
      <c r="J1064" s="270">
        <f t="shared" si="272"/>
        <v>53298</v>
      </c>
      <c r="K1064" s="270">
        <f t="shared" si="272"/>
        <v>53822</v>
      </c>
      <c r="L1064" s="270">
        <f t="shared" si="272"/>
        <v>57283</v>
      </c>
      <c r="M1064" s="270">
        <f t="shared" si="272"/>
        <v>63063</v>
      </c>
      <c r="N1064" s="270">
        <f t="shared" si="272"/>
        <v>100363</v>
      </c>
      <c r="O1064" s="270">
        <f t="shared" si="272"/>
        <v>100363</v>
      </c>
      <c r="P1064" s="270">
        <f t="shared" si="272"/>
        <v>100363</v>
      </c>
      <c r="Q1064" s="270">
        <f t="shared" si="272"/>
        <v>100363</v>
      </c>
      <c r="R1064" s="270">
        <f t="shared" si="272"/>
        <v>100363</v>
      </c>
      <c r="S1064" s="270">
        <f t="shared" si="273"/>
        <v>100363</v>
      </c>
      <c r="T1064" s="270">
        <f t="shared" si="273"/>
        <v>100363</v>
      </c>
      <c r="U1064" s="270">
        <f t="shared" si="273"/>
        <v>100363</v>
      </c>
      <c r="V1064" s="270">
        <f t="shared" si="273"/>
        <v>100363</v>
      </c>
      <c r="W1064" s="270">
        <f t="shared" si="273"/>
        <v>100363</v>
      </c>
      <c r="X1064" s="270">
        <f t="shared" si="273"/>
        <v>100363</v>
      </c>
      <c r="Y1064" s="270">
        <f t="shared" si="273"/>
        <v>100363</v>
      </c>
      <c r="Z1064" s="270">
        <f t="shared" si="273"/>
        <v>100363</v>
      </c>
      <c r="AA1064" s="270">
        <f t="shared" si="273"/>
        <v>100363</v>
      </c>
      <c r="AB1064" s="270">
        <f t="shared" si="273"/>
        <v>100363</v>
      </c>
      <c r="AC1064" s="270">
        <f t="shared" si="273"/>
        <v>100363</v>
      </c>
      <c r="AD1064" s="270">
        <f t="shared" si="272"/>
        <v>100363</v>
      </c>
      <c r="AE1064" s="270">
        <f t="shared" si="263"/>
        <v>100363</v>
      </c>
      <c r="AF1064" s="270">
        <f t="shared" si="269"/>
        <v>100363</v>
      </c>
      <c r="AG1064" s="270">
        <f t="shared" si="269"/>
        <v>100363</v>
      </c>
      <c r="AH1064" s="270">
        <f t="shared" si="269"/>
        <v>100363</v>
      </c>
      <c r="AI1064" s="270">
        <f t="shared" si="269"/>
        <v>100363</v>
      </c>
      <c r="AJ1064" s="270">
        <f t="shared" si="269"/>
        <v>100363</v>
      </c>
      <c r="AK1064" s="270">
        <f t="shared" si="269"/>
        <v>100363</v>
      </c>
      <c r="AL1064" s="270">
        <f t="shared" si="269"/>
        <v>100363</v>
      </c>
      <c r="AM1064" s="270">
        <f t="shared" si="269"/>
        <v>100363</v>
      </c>
    </row>
    <row r="1065" spans="2:39" ht="15.75" thickBot="1" x14ac:dyDescent="0.35">
      <c r="B1065" s="56" t="str">
        <f>input_names!$E$3</f>
        <v>plug-in</v>
      </c>
      <c r="C1065" s="61">
        <v>310</v>
      </c>
      <c r="D1065" s="270">
        <f t="shared" si="272"/>
        <v>68784</v>
      </c>
      <c r="E1065" s="270">
        <f t="shared" si="272"/>
        <v>77622</v>
      </c>
      <c r="F1065" s="270">
        <f t="shared" si="272"/>
        <v>80400</v>
      </c>
      <c r="G1065" s="270">
        <f t="shared" si="272"/>
        <v>77450</v>
      </c>
      <c r="H1065" s="270">
        <f t="shared" si="272"/>
        <v>73530</v>
      </c>
      <c r="I1065" s="270">
        <f t="shared" si="272"/>
        <v>72450</v>
      </c>
      <c r="J1065" s="270">
        <f t="shared" si="272"/>
        <v>53500</v>
      </c>
      <c r="K1065" s="270">
        <f t="shared" si="272"/>
        <v>54026</v>
      </c>
      <c r="L1065" s="270">
        <f t="shared" si="272"/>
        <v>57500</v>
      </c>
      <c r="M1065" s="270">
        <f t="shared" si="272"/>
        <v>63302</v>
      </c>
      <c r="N1065" s="270">
        <f t="shared" si="272"/>
        <v>100931</v>
      </c>
      <c r="O1065" s="270">
        <f t="shared" si="272"/>
        <v>100931</v>
      </c>
      <c r="P1065" s="270">
        <f t="shared" si="272"/>
        <v>100931</v>
      </c>
      <c r="Q1065" s="270">
        <f t="shared" si="272"/>
        <v>100931</v>
      </c>
      <c r="R1065" s="270">
        <f t="shared" si="272"/>
        <v>100931</v>
      </c>
      <c r="S1065" s="270">
        <f t="shared" si="273"/>
        <v>100931</v>
      </c>
      <c r="T1065" s="270">
        <f t="shared" si="273"/>
        <v>100931</v>
      </c>
      <c r="U1065" s="270">
        <f t="shared" si="273"/>
        <v>100931</v>
      </c>
      <c r="V1065" s="270">
        <f t="shared" si="273"/>
        <v>100931</v>
      </c>
      <c r="W1065" s="270">
        <f t="shared" si="273"/>
        <v>100931</v>
      </c>
      <c r="X1065" s="270">
        <f t="shared" si="273"/>
        <v>100931</v>
      </c>
      <c r="Y1065" s="270">
        <f t="shared" si="273"/>
        <v>100931</v>
      </c>
      <c r="Z1065" s="270">
        <f t="shared" si="273"/>
        <v>100931</v>
      </c>
      <c r="AA1065" s="270">
        <f t="shared" si="273"/>
        <v>100931</v>
      </c>
      <c r="AB1065" s="270">
        <f t="shared" si="273"/>
        <v>100931</v>
      </c>
      <c r="AC1065" s="270">
        <f t="shared" si="273"/>
        <v>100931</v>
      </c>
      <c r="AD1065" s="270">
        <f t="shared" si="272"/>
        <v>100931</v>
      </c>
      <c r="AE1065" s="270">
        <f t="shared" si="263"/>
        <v>100931</v>
      </c>
      <c r="AF1065" s="270">
        <f t="shared" si="269"/>
        <v>100931</v>
      </c>
      <c r="AG1065" s="270">
        <f t="shared" si="269"/>
        <v>100931</v>
      </c>
      <c r="AH1065" s="270">
        <f t="shared" si="269"/>
        <v>100931</v>
      </c>
      <c r="AI1065" s="270">
        <f t="shared" si="269"/>
        <v>100931</v>
      </c>
      <c r="AJ1065" s="270">
        <f t="shared" si="269"/>
        <v>100931</v>
      </c>
      <c r="AK1065" s="270">
        <f t="shared" si="269"/>
        <v>100931</v>
      </c>
      <c r="AL1065" s="270">
        <f t="shared" si="269"/>
        <v>100931</v>
      </c>
      <c r="AM1065" s="270">
        <f t="shared" si="269"/>
        <v>100931</v>
      </c>
    </row>
    <row r="1066" spans="2:39" ht="15.75" thickBot="1" x14ac:dyDescent="0.35">
      <c r="B1066" s="56" t="str">
        <f>input_names!$E$3</f>
        <v>plug-in</v>
      </c>
      <c r="C1066" s="61">
        <v>311</v>
      </c>
      <c r="D1066" s="270">
        <f t="shared" si="272"/>
        <v>69218</v>
      </c>
      <c r="E1066" s="270">
        <f t="shared" si="272"/>
        <v>78098</v>
      </c>
      <c r="F1066" s="270">
        <f t="shared" si="272"/>
        <v>80700</v>
      </c>
      <c r="G1066" s="270">
        <f t="shared" si="272"/>
        <v>77739</v>
      </c>
      <c r="H1066" s="270">
        <f t="shared" si="272"/>
        <v>73801</v>
      </c>
      <c r="I1066" s="270">
        <f t="shared" si="272"/>
        <v>72717</v>
      </c>
      <c r="J1066" s="270">
        <f t="shared" si="272"/>
        <v>53702</v>
      </c>
      <c r="K1066" s="270">
        <f t="shared" si="272"/>
        <v>54230</v>
      </c>
      <c r="L1066" s="270">
        <f t="shared" si="272"/>
        <v>57717</v>
      </c>
      <c r="M1066" s="270">
        <f t="shared" si="272"/>
        <v>63541</v>
      </c>
      <c r="N1066" s="270">
        <f t="shared" si="272"/>
        <v>101499</v>
      </c>
      <c r="O1066" s="270">
        <f t="shared" si="272"/>
        <v>101499</v>
      </c>
      <c r="P1066" s="270">
        <f t="shared" si="272"/>
        <v>101499</v>
      </c>
      <c r="Q1066" s="270">
        <f t="shared" si="272"/>
        <v>101499</v>
      </c>
      <c r="R1066" s="270">
        <f t="shared" si="272"/>
        <v>101499</v>
      </c>
      <c r="S1066" s="270">
        <f t="shared" si="273"/>
        <v>101499</v>
      </c>
      <c r="T1066" s="270">
        <f t="shared" si="273"/>
        <v>101499</v>
      </c>
      <c r="U1066" s="270">
        <f t="shared" si="273"/>
        <v>101499</v>
      </c>
      <c r="V1066" s="270">
        <f t="shared" si="273"/>
        <v>101499</v>
      </c>
      <c r="W1066" s="270">
        <f t="shared" si="273"/>
        <v>101499</v>
      </c>
      <c r="X1066" s="270">
        <f t="shared" si="273"/>
        <v>101499</v>
      </c>
      <c r="Y1066" s="270">
        <f t="shared" si="273"/>
        <v>101499</v>
      </c>
      <c r="Z1066" s="270">
        <f t="shared" si="273"/>
        <v>101499</v>
      </c>
      <c r="AA1066" s="270">
        <f t="shared" si="273"/>
        <v>101499</v>
      </c>
      <c r="AB1066" s="270">
        <f t="shared" si="273"/>
        <v>101499</v>
      </c>
      <c r="AC1066" s="270">
        <f t="shared" si="273"/>
        <v>101499</v>
      </c>
      <c r="AD1066" s="270">
        <f t="shared" si="272"/>
        <v>101499</v>
      </c>
      <c r="AE1066" s="270">
        <f t="shared" si="263"/>
        <v>101499</v>
      </c>
      <c r="AF1066" s="270">
        <f t="shared" si="269"/>
        <v>101499</v>
      </c>
      <c r="AG1066" s="270">
        <f t="shared" si="269"/>
        <v>101499</v>
      </c>
      <c r="AH1066" s="270">
        <f t="shared" si="269"/>
        <v>101499</v>
      </c>
      <c r="AI1066" s="270">
        <f t="shared" si="269"/>
        <v>101499</v>
      </c>
      <c r="AJ1066" s="270">
        <f t="shared" ref="AF1066:AM1094" si="274">+MIN(MAX(0,$C1066-AJ$28),AJ$29-AJ$28)*AJ$34
+MIN(MAX(0,$C1066-AJ$29),AJ$30-AJ$29)*AJ$35
+MIN(MAX(0,$C1066-AJ$30),AJ$31-AJ$30)*AJ$36
+MIN(MAX(0,$C1066-AJ$31),AJ$32-AJ$31)*AJ$37
+MAX(0,$C1066-AJ$32)*AJ$38
+AJ$39</f>
        <v>101499</v>
      </c>
      <c r="AK1066" s="270">
        <f t="shared" si="274"/>
        <v>101499</v>
      </c>
      <c r="AL1066" s="270">
        <f t="shared" si="274"/>
        <v>101499</v>
      </c>
      <c r="AM1066" s="270">
        <f t="shared" si="274"/>
        <v>101499</v>
      </c>
    </row>
    <row r="1067" spans="2:39" ht="15.75" thickBot="1" x14ac:dyDescent="0.35">
      <c r="B1067" s="56" t="str">
        <f>input_names!$E$3</f>
        <v>plug-in</v>
      </c>
      <c r="C1067" s="61">
        <v>312</v>
      </c>
      <c r="D1067" s="270">
        <f t="shared" si="272"/>
        <v>69652</v>
      </c>
      <c r="E1067" s="270">
        <f t="shared" si="272"/>
        <v>78574</v>
      </c>
      <c r="F1067" s="270">
        <f t="shared" si="272"/>
        <v>81000</v>
      </c>
      <c r="G1067" s="270">
        <f t="shared" si="272"/>
        <v>78028</v>
      </c>
      <c r="H1067" s="270">
        <f t="shared" si="272"/>
        <v>74072</v>
      </c>
      <c r="I1067" s="270">
        <f t="shared" si="272"/>
        <v>72984</v>
      </c>
      <c r="J1067" s="270">
        <f t="shared" si="272"/>
        <v>53904</v>
      </c>
      <c r="K1067" s="270">
        <f t="shared" si="272"/>
        <v>54434</v>
      </c>
      <c r="L1067" s="270">
        <f t="shared" si="272"/>
        <v>57934</v>
      </c>
      <c r="M1067" s="270">
        <f t="shared" si="272"/>
        <v>63780</v>
      </c>
      <c r="N1067" s="270">
        <f t="shared" si="272"/>
        <v>102067</v>
      </c>
      <c r="O1067" s="270">
        <f t="shared" si="272"/>
        <v>102067</v>
      </c>
      <c r="P1067" s="270">
        <f t="shared" si="272"/>
        <v>102067</v>
      </c>
      <c r="Q1067" s="270">
        <f t="shared" si="272"/>
        <v>102067</v>
      </c>
      <c r="R1067" s="270">
        <f t="shared" si="272"/>
        <v>102067</v>
      </c>
      <c r="S1067" s="270">
        <f t="shared" si="273"/>
        <v>102067</v>
      </c>
      <c r="T1067" s="270">
        <f t="shared" si="273"/>
        <v>102067</v>
      </c>
      <c r="U1067" s="270">
        <f t="shared" si="273"/>
        <v>102067</v>
      </c>
      <c r="V1067" s="270">
        <f t="shared" si="273"/>
        <v>102067</v>
      </c>
      <c r="W1067" s="270">
        <f t="shared" si="273"/>
        <v>102067</v>
      </c>
      <c r="X1067" s="270">
        <f t="shared" si="273"/>
        <v>102067</v>
      </c>
      <c r="Y1067" s="270">
        <f t="shared" si="273"/>
        <v>102067</v>
      </c>
      <c r="Z1067" s="270">
        <f t="shared" si="273"/>
        <v>102067</v>
      </c>
      <c r="AA1067" s="270">
        <f t="shared" si="273"/>
        <v>102067</v>
      </c>
      <c r="AB1067" s="270">
        <f t="shared" si="273"/>
        <v>102067</v>
      </c>
      <c r="AC1067" s="270">
        <f t="shared" si="273"/>
        <v>102067</v>
      </c>
      <c r="AD1067" s="270">
        <f t="shared" si="272"/>
        <v>102067</v>
      </c>
      <c r="AE1067" s="270">
        <f t="shared" si="263"/>
        <v>102067</v>
      </c>
      <c r="AF1067" s="270">
        <f t="shared" si="274"/>
        <v>102067</v>
      </c>
      <c r="AG1067" s="270">
        <f t="shared" si="274"/>
        <v>102067</v>
      </c>
      <c r="AH1067" s="270">
        <f t="shared" si="274"/>
        <v>102067</v>
      </c>
      <c r="AI1067" s="270">
        <f t="shared" si="274"/>
        <v>102067</v>
      </c>
      <c r="AJ1067" s="270">
        <f t="shared" si="274"/>
        <v>102067</v>
      </c>
      <c r="AK1067" s="270">
        <f t="shared" si="274"/>
        <v>102067</v>
      </c>
      <c r="AL1067" s="270">
        <f t="shared" si="274"/>
        <v>102067</v>
      </c>
      <c r="AM1067" s="270">
        <f t="shared" si="274"/>
        <v>102067</v>
      </c>
    </row>
    <row r="1068" spans="2:39" ht="15.75" thickBot="1" x14ac:dyDescent="0.35">
      <c r="B1068" s="56" t="str">
        <f>input_names!$E$3</f>
        <v>plug-in</v>
      </c>
      <c r="C1068" s="61">
        <v>313</v>
      </c>
      <c r="D1068" s="270">
        <f t="shared" si="272"/>
        <v>70086</v>
      </c>
      <c r="E1068" s="270">
        <f t="shared" si="272"/>
        <v>79050</v>
      </c>
      <c r="F1068" s="270">
        <f t="shared" si="272"/>
        <v>81300</v>
      </c>
      <c r="G1068" s="270">
        <f t="shared" si="272"/>
        <v>78317</v>
      </c>
      <c r="H1068" s="270">
        <f t="shared" si="272"/>
        <v>74343</v>
      </c>
      <c r="I1068" s="270">
        <f t="shared" si="272"/>
        <v>73251</v>
      </c>
      <c r="J1068" s="270">
        <f t="shared" si="272"/>
        <v>54106</v>
      </c>
      <c r="K1068" s="270">
        <f t="shared" si="272"/>
        <v>54638</v>
      </c>
      <c r="L1068" s="270">
        <f t="shared" si="272"/>
        <v>58151</v>
      </c>
      <c r="M1068" s="270">
        <f t="shared" si="272"/>
        <v>64019</v>
      </c>
      <c r="N1068" s="270">
        <f t="shared" si="272"/>
        <v>102635</v>
      </c>
      <c r="O1068" s="270">
        <f t="shared" si="272"/>
        <v>102635</v>
      </c>
      <c r="P1068" s="270">
        <f t="shared" si="272"/>
        <v>102635</v>
      </c>
      <c r="Q1068" s="270">
        <f t="shared" si="272"/>
        <v>102635</v>
      </c>
      <c r="R1068" s="270">
        <f t="shared" si="272"/>
        <v>102635</v>
      </c>
      <c r="S1068" s="270">
        <f t="shared" si="273"/>
        <v>102635</v>
      </c>
      <c r="T1068" s="270">
        <f t="shared" si="273"/>
        <v>102635</v>
      </c>
      <c r="U1068" s="270">
        <f t="shared" si="273"/>
        <v>102635</v>
      </c>
      <c r="V1068" s="270">
        <f t="shared" si="273"/>
        <v>102635</v>
      </c>
      <c r="W1068" s="270">
        <f t="shared" si="273"/>
        <v>102635</v>
      </c>
      <c r="X1068" s="270">
        <f t="shared" si="273"/>
        <v>102635</v>
      </c>
      <c r="Y1068" s="270">
        <f t="shared" si="273"/>
        <v>102635</v>
      </c>
      <c r="Z1068" s="270">
        <f t="shared" si="273"/>
        <v>102635</v>
      </c>
      <c r="AA1068" s="270">
        <f t="shared" si="273"/>
        <v>102635</v>
      </c>
      <c r="AB1068" s="270">
        <f t="shared" si="273"/>
        <v>102635</v>
      </c>
      <c r="AC1068" s="270">
        <f t="shared" si="273"/>
        <v>102635</v>
      </c>
      <c r="AD1068" s="270">
        <f t="shared" si="272"/>
        <v>102635</v>
      </c>
      <c r="AE1068" s="270">
        <f t="shared" ref="AE1068:AE1105" si="275">+MIN(MAX(0,$C1068-AE$28),AE$29-AE$28)*AE$34
+MIN(MAX(0,$C1068-AE$29),AE$30-AE$29)*AE$35
+MIN(MAX(0,$C1068-AE$30),AE$31-AE$30)*AE$36
+MIN(MAX(0,$C1068-AE$31),AE$32-AE$31)*AE$37
+MAX(0,$C1068-AE$32)*AE$38
+AE$39</f>
        <v>102635</v>
      </c>
      <c r="AF1068" s="270">
        <f t="shared" si="274"/>
        <v>102635</v>
      </c>
      <c r="AG1068" s="270">
        <f t="shared" si="274"/>
        <v>102635</v>
      </c>
      <c r="AH1068" s="270">
        <f t="shared" si="274"/>
        <v>102635</v>
      </c>
      <c r="AI1068" s="270">
        <f t="shared" si="274"/>
        <v>102635</v>
      </c>
      <c r="AJ1068" s="270">
        <f t="shared" si="274"/>
        <v>102635</v>
      </c>
      <c r="AK1068" s="270">
        <f t="shared" si="274"/>
        <v>102635</v>
      </c>
      <c r="AL1068" s="270">
        <f t="shared" si="274"/>
        <v>102635</v>
      </c>
      <c r="AM1068" s="270">
        <f t="shared" si="274"/>
        <v>102635</v>
      </c>
    </row>
    <row r="1069" spans="2:39" ht="15.75" thickBot="1" x14ac:dyDescent="0.35">
      <c r="B1069" s="56" t="str">
        <f>input_names!$E$3</f>
        <v>plug-in</v>
      </c>
      <c r="C1069" s="61">
        <v>314</v>
      </c>
      <c r="D1069" s="270">
        <f t="shared" si="272"/>
        <v>70520</v>
      </c>
      <c r="E1069" s="270">
        <f t="shared" si="272"/>
        <v>79526</v>
      </c>
      <c r="F1069" s="270">
        <f t="shared" si="272"/>
        <v>81600</v>
      </c>
      <c r="G1069" s="270">
        <f t="shared" si="272"/>
        <v>78606</v>
      </c>
      <c r="H1069" s="270">
        <f t="shared" si="272"/>
        <v>74614</v>
      </c>
      <c r="I1069" s="270">
        <f t="shared" si="272"/>
        <v>73518</v>
      </c>
      <c r="J1069" s="270">
        <f t="shared" si="272"/>
        <v>54308</v>
      </c>
      <c r="K1069" s="270">
        <f t="shared" si="272"/>
        <v>54842</v>
      </c>
      <c r="L1069" s="270">
        <f t="shared" si="272"/>
        <v>58368</v>
      </c>
      <c r="M1069" s="270">
        <f t="shared" si="272"/>
        <v>64258</v>
      </c>
      <c r="N1069" s="270">
        <f t="shared" si="272"/>
        <v>103203</v>
      </c>
      <c r="O1069" s="270">
        <f t="shared" si="272"/>
        <v>103203</v>
      </c>
      <c r="P1069" s="270">
        <f t="shared" si="272"/>
        <v>103203</v>
      </c>
      <c r="Q1069" s="270">
        <f t="shared" si="272"/>
        <v>103203</v>
      </c>
      <c r="R1069" s="270">
        <f t="shared" si="272"/>
        <v>103203</v>
      </c>
      <c r="S1069" s="270">
        <f t="shared" si="273"/>
        <v>103203</v>
      </c>
      <c r="T1069" s="270">
        <f t="shared" si="273"/>
        <v>103203</v>
      </c>
      <c r="U1069" s="270">
        <f t="shared" si="273"/>
        <v>103203</v>
      </c>
      <c r="V1069" s="270">
        <f t="shared" si="273"/>
        <v>103203</v>
      </c>
      <c r="W1069" s="270">
        <f t="shared" si="273"/>
        <v>103203</v>
      </c>
      <c r="X1069" s="270">
        <f t="shared" si="273"/>
        <v>103203</v>
      </c>
      <c r="Y1069" s="270">
        <f t="shared" si="273"/>
        <v>103203</v>
      </c>
      <c r="Z1069" s="270">
        <f t="shared" si="273"/>
        <v>103203</v>
      </c>
      <c r="AA1069" s="270">
        <f t="shared" si="273"/>
        <v>103203</v>
      </c>
      <c r="AB1069" s="270">
        <f t="shared" si="273"/>
        <v>103203</v>
      </c>
      <c r="AC1069" s="270">
        <f t="shared" si="273"/>
        <v>103203</v>
      </c>
      <c r="AD1069" s="270">
        <f t="shared" si="272"/>
        <v>103203</v>
      </c>
      <c r="AE1069" s="270">
        <f t="shared" si="275"/>
        <v>103203</v>
      </c>
      <c r="AF1069" s="270">
        <f t="shared" si="274"/>
        <v>103203</v>
      </c>
      <c r="AG1069" s="270">
        <f t="shared" si="274"/>
        <v>103203</v>
      </c>
      <c r="AH1069" s="270">
        <f t="shared" si="274"/>
        <v>103203</v>
      </c>
      <c r="AI1069" s="270">
        <f t="shared" si="274"/>
        <v>103203</v>
      </c>
      <c r="AJ1069" s="270">
        <f t="shared" si="274"/>
        <v>103203</v>
      </c>
      <c r="AK1069" s="270">
        <f t="shared" si="274"/>
        <v>103203</v>
      </c>
      <c r="AL1069" s="270">
        <f t="shared" si="274"/>
        <v>103203</v>
      </c>
      <c r="AM1069" s="270">
        <f t="shared" si="274"/>
        <v>103203</v>
      </c>
    </row>
    <row r="1070" spans="2:39" ht="15.75" thickBot="1" x14ac:dyDescent="0.35">
      <c r="B1070" s="56" t="str">
        <f>input_names!$E$3</f>
        <v>plug-in</v>
      </c>
      <c r="C1070" s="61">
        <v>315</v>
      </c>
      <c r="D1070" s="270">
        <f t="shared" si="272"/>
        <v>70954</v>
      </c>
      <c r="E1070" s="270">
        <f t="shared" si="272"/>
        <v>80002</v>
      </c>
      <c r="F1070" s="270">
        <f t="shared" si="272"/>
        <v>81900</v>
      </c>
      <c r="G1070" s="270">
        <f t="shared" si="272"/>
        <v>78895</v>
      </c>
      <c r="H1070" s="270">
        <f t="shared" si="272"/>
        <v>74885</v>
      </c>
      <c r="I1070" s="270">
        <f t="shared" si="272"/>
        <v>73785</v>
      </c>
      <c r="J1070" s="270">
        <f t="shared" si="272"/>
        <v>54510</v>
      </c>
      <c r="K1070" s="270">
        <f t="shared" si="272"/>
        <v>55046</v>
      </c>
      <c r="L1070" s="270">
        <f t="shared" si="272"/>
        <v>58585</v>
      </c>
      <c r="M1070" s="270">
        <f t="shared" si="272"/>
        <v>64497</v>
      </c>
      <c r="N1070" s="270">
        <f t="shared" si="272"/>
        <v>103771</v>
      </c>
      <c r="O1070" s="270">
        <f t="shared" si="272"/>
        <v>103771</v>
      </c>
      <c r="P1070" s="270">
        <f t="shared" si="272"/>
        <v>103771</v>
      </c>
      <c r="Q1070" s="270">
        <f t="shared" si="272"/>
        <v>103771</v>
      </c>
      <c r="R1070" s="270">
        <f t="shared" si="272"/>
        <v>103771</v>
      </c>
      <c r="S1070" s="270">
        <f t="shared" si="273"/>
        <v>103771</v>
      </c>
      <c r="T1070" s="270">
        <f t="shared" si="273"/>
        <v>103771</v>
      </c>
      <c r="U1070" s="270">
        <f t="shared" si="273"/>
        <v>103771</v>
      </c>
      <c r="V1070" s="270">
        <f t="shared" si="273"/>
        <v>103771</v>
      </c>
      <c r="W1070" s="270">
        <f t="shared" si="273"/>
        <v>103771</v>
      </c>
      <c r="X1070" s="270">
        <f t="shared" si="273"/>
        <v>103771</v>
      </c>
      <c r="Y1070" s="270">
        <f t="shared" si="273"/>
        <v>103771</v>
      </c>
      <c r="Z1070" s="270">
        <f t="shared" si="273"/>
        <v>103771</v>
      </c>
      <c r="AA1070" s="270">
        <f t="shared" si="273"/>
        <v>103771</v>
      </c>
      <c r="AB1070" s="270">
        <f t="shared" si="273"/>
        <v>103771</v>
      </c>
      <c r="AC1070" s="270">
        <f t="shared" si="273"/>
        <v>103771</v>
      </c>
      <c r="AD1070" s="270">
        <f t="shared" si="272"/>
        <v>103771</v>
      </c>
      <c r="AE1070" s="270">
        <f t="shared" si="275"/>
        <v>103771</v>
      </c>
      <c r="AF1070" s="270">
        <f t="shared" si="274"/>
        <v>103771</v>
      </c>
      <c r="AG1070" s="270">
        <f t="shared" si="274"/>
        <v>103771</v>
      </c>
      <c r="AH1070" s="270">
        <f t="shared" si="274"/>
        <v>103771</v>
      </c>
      <c r="AI1070" s="270">
        <f t="shared" si="274"/>
        <v>103771</v>
      </c>
      <c r="AJ1070" s="270">
        <f t="shared" si="274"/>
        <v>103771</v>
      </c>
      <c r="AK1070" s="270">
        <f t="shared" si="274"/>
        <v>103771</v>
      </c>
      <c r="AL1070" s="270">
        <f t="shared" si="274"/>
        <v>103771</v>
      </c>
      <c r="AM1070" s="270">
        <f t="shared" si="274"/>
        <v>103771</v>
      </c>
    </row>
    <row r="1071" spans="2:39" ht="15.75" thickBot="1" x14ac:dyDescent="0.35">
      <c r="B1071" s="56" t="str">
        <f>input_names!$E$3</f>
        <v>plug-in</v>
      </c>
      <c r="C1071" s="61">
        <v>316</v>
      </c>
      <c r="D1071" s="270">
        <f t="shared" si="272"/>
        <v>71388</v>
      </c>
      <c r="E1071" s="270">
        <f t="shared" si="272"/>
        <v>80478</v>
      </c>
      <c r="F1071" s="270">
        <f t="shared" si="272"/>
        <v>82200</v>
      </c>
      <c r="G1071" s="270">
        <f t="shared" si="272"/>
        <v>79184</v>
      </c>
      <c r="H1071" s="270">
        <f t="shared" si="272"/>
        <v>75156</v>
      </c>
      <c r="I1071" s="270">
        <f t="shared" si="272"/>
        <v>74052</v>
      </c>
      <c r="J1071" s="270">
        <f t="shared" si="272"/>
        <v>54712</v>
      </c>
      <c r="K1071" s="270">
        <f t="shared" si="272"/>
        <v>55250</v>
      </c>
      <c r="L1071" s="270">
        <f t="shared" si="272"/>
        <v>58802</v>
      </c>
      <c r="M1071" s="270">
        <f t="shared" si="272"/>
        <v>64736</v>
      </c>
      <c r="N1071" s="270">
        <f t="shared" si="272"/>
        <v>104339</v>
      </c>
      <c r="O1071" s="270">
        <f t="shared" si="272"/>
        <v>104339</v>
      </c>
      <c r="P1071" s="270">
        <f t="shared" si="272"/>
        <v>104339</v>
      </c>
      <c r="Q1071" s="270">
        <f t="shared" si="272"/>
        <v>104339</v>
      </c>
      <c r="R1071" s="270">
        <f t="shared" si="272"/>
        <v>104339</v>
      </c>
      <c r="S1071" s="270">
        <f t="shared" si="273"/>
        <v>104339</v>
      </c>
      <c r="T1071" s="270">
        <f t="shared" si="273"/>
        <v>104339</v>
      </c>
      <c r="U1071" s="270">
        <f t="shared" si="273"/>
        <v>104339</v>
      </c>
      <c r="V1071" s="270">
        <f t="shared" si="273"/>
        <v>104339</v>
      </c>
      <c r="W1071" s="270">
        <f t="shared" si="273"/>
        <v>104339</v>
      </c>
      <c r="X1071" s="270">
        <f t="shared" si="273"/>
        <v>104339</v>
      </c>
      <c r="Y1071" s="270">
        <f t="shared" si="273"/>
        <v>104339</v>
      </c>
      <c r="Z1071" s="270">
        <f t="shared" si="273"/>
        <v>104339</v>
      </c>
      <c r="AA1071" s="270">
        <f t="shared" si="273"/>
        <v>104339</v>
      </c>
      <c r="AB1071" s="270">
        <f t="shared" si="273"/>
        <v>104339</v>
      </c>
      <c r="AC1071" s="270">
        <f t="shared" si="273"/>
        <v>104339</v>
      </c>
      <c r="AD1071" s="270">
        <f t="shared" si="272"/>
        <v>104339</v>
      </c>
      <c r="AE1071" s="270">
        <f t="shared" si="275"/>
        <v>104339</v>
      </c>
      <c r="AF1071" s="270">
        <f t="shared" si="274"/>
        <v>104339</v>
      </c>
      <c r="AG1071" s="270">
        <f t="shared" si="274"/>
        <v>104339</v>
      </c>
      <c r="AH1071" s="270">
        <f t="shared" si="274"/>
        <v>104339</v>
      </c>
      <c r="AI1071" s="270">
        <f t="shared" si="274"/>
        <v>104339</v>
      </c>
      <c r="AJ1071" s="270">
        <f t="shared" si="274"/>
        <v>104339</v>
      </c>
      <c r="AK1071" s="270">
        <f t="shared" si="274"/>
        <v>104339</v>
      </c>
      <c r="AL1071" s="270">
        <f t="shared" si="274"/>
        <v>104339</v>
      </c>
      <c r="AM1071" s="270">
        <f t="shared" si="274"/>
        <v>104339</v>
      </c>
    </row>
    <row r="1072" spans="2:39" ht="15.75" thickBot="1" x14ac:dyDescent="0.35">
      <c r="B1072" s="56" t="str">
        <f>input_names!$E$3</f>
        <v>plug-in</v>
      </c>
      <c r="C1072" s="61">
        <v>317</v>
      </c>
      <c r="D1072" s="270">
        <f t="shared" si="272"/>
        <v>71822</v>
      </c>
      <c r="E1072" s="270">
        <f t="shared" si="272"/>
        <v>80954</v>
      </c>
      <c r="F1072" s="270">
        <f t="shared" si="272"/>
        <v>82500</v>
      </c>
      <c r="G1072" s="270">
        <f t="shared" si="272"/>
        <v>79473</v>
      </c>
      <c r="H1072" s="270">
        <f t="shared" si="272"/>
        <v>75427</v>
      </c>
      <c r="I1072" s="270">
        <f t="shared" si="272"/>
        <v>74319</v>
      </c>
      <c r="J1072" s="270">
        <f t="shared" si="272"/>
        <v>54914</v>
      </c>
      <c r="K1072" s="270">
        <f t="shared" si="272"/>
        <v>55454</v>
      </c>
      <c r="L1072" s="270">
        <f t="shared" si="272"/>
        <v>59019</v>
      </c>
      <c r="M1072" s="270">
        <f t="shared" si="272"/>
        <v>64975</v>
      </c>
      <c r="N1072" s="270">
        <f t="shared" si="272"/>
        <v>104907</v>
      </c>
      <c r="O1072" s="270">
        <f t="shared" si="272"/>
        <v>104907</v>
      </c>
      <c r="P1072" s="270">
        <f t="shared" si="272"/>
        <v>104907</v>
      </c>
      <c r="Q1072" s="270">
        <f t="shared" si="272"/>
        <v>104907</v>
      </c>
      <c r="R1072" s="270">
        <f t="shared" si="272"/>
        <v>104907</v>
      </c>
      <c r="S1072" s="270">
        <f t="shared" si="273"/>
        <v>104907</v>
      </c>
      <c r="T1072" s="270">
        <f t="shared" si="273"/>
        <v>104907</v>
      </c>
      <c r="U1072" s="270">
        <f t="shared" si="273"/>
        <v>104907</v>
      </c>
      <c r="V1072" s="270">
        <f t="shared" si="273"/>
        <v>104907</v>
      </c>
      <c r="W1072" s="270">
        <f t="shared" si="273"/>
        <v>104907</v>
      </c>
      <c r="X1072" s="270">
        <f t="shared" si="273"/>
        <v>104907</v>
      </c>
      <c r="Y1072" s="270">
        <f t="shared" si="273"/>
        <v>104907</v>
      </c>
      <c r="Z1072" s="270">
        <f t="shared" si="273"/>
        <v>104907</v>
      </c>
      <c r="AA1072" s="270">
        <f t="shared" si="273"/>
        <v>104907</v>
      </c>
      <c r="AB1072" s="270">
        <f t="shared" si="273"/>
        <v>104907</v>
      </c>
      <c r="AC1072" s="270">
        <f t="shared" si="273"/>
        <v>104907</v>
      </c>
      <c r="AD1072" s="270">
        <f t="shared" si="272"/>
        <v>104907</v>
      </c>
      <c r="AE1072" s="270">
        <f t="shared" si="275"/>
        <v>104907</v>
      </c>
      <c r="AF1072" s="270">
        <f t="shared" si="274"/>
        <v>104907</v>
      </c>
      <c r="AG1072" s="270">
        <f t="shared" si="274"/>
        <v>104907</v>
      </c>
      <c r="AH1072" s="270">
        <f t="shared" si="274"/>
        <v>104907</v>
      </c>
      <c r="AI1072" s="270">
        <f t="shared" si="274"/>
        <v>104907</v>
      </c>
      <c r="AJ1072" s="270">
        <f t="shared" si="274"/>
        <v>104907</v>
      </c>
      <c r="AK1072" s="270">
        <f t="shared" si="274"/>
        <v>104907</v>
      </c>
      <c r="AL1072" s="270">
        <f t="shared" si="274"/>
        <v>104907</v>
      </c>
      <c r="AM1072" s="270">
        <f t="shared" si="274"/>
        <v>104907</v>
      </c>
    </row>
    <row r="1073" spans="2:39" ht="15.75" thickBot="1" x14ac:dyDescent="0.35">
      <c r="B1073" s="56" t="str">
        <f>input_names!$E$3</f>
        <v>plug-in</v>
      </c>
      <c r="C1073" s="61">
        <v>318</v>
      </c>
      <c r="D1073" s="270">
        <f t="shared" si="272"/>
        <v>72256</v>
      </c>
      <c r="E1073" s="270">
        <f t="shared" si="272"/>
        <v>81430</v>
      </c>
      <c r="F1073" s="270">
        <f t="shared" si="272"/>
        <v>82800</v>
      </c>
      <c r="G1073" s="270">
        <f t="shared" si="272"/>
        <v>79762</v>
      </c>
      <c r="H1073" s="270">
        <f t="shared" si="272"/>
        <v>75698</v>
      </c>
      <c r="I1073" s="270">
        <f t="shared" si="272"/>
        <v>74586</v>
      </c>
      <c r="J1073" s="270">
        <f t="shared" si="272"/>
        <v>55116</v>
      </c>
      <c r="K1073" s="270">
        <f t="shared" si="272"/>
        <v>55658</v>
      </c>
      <c r="L1073" s="270">
        <f t="shared" si="272"/>
        <v>59236</v>
      </c>
      <c r="M1073" s="270">
        <f t="shared" si="272"/>
        <v>65214</v>
      </c>
      <c r="N1073" s="270">
        <f t="shared" si="272"/>
        <v>105475</v>
      </c>
      <c r="O1073" s="270">
        <f t="shared" si="272"/>
        <v>105475</v>
      </c>
      <c r="P1073" s="270">
        <f t="shared" si="272"/>
        <v>105475</v>
      </c>
      <c r="Q1073" s="270">
        <f t="shared" si="272"/>
        <v>105475</v>
      </c>
      <c r="R1073" s="270">
        <f t="shared" si="272"/>
        <v>105475</v>
      </c>
      <c r="S1073" s="270">
        <f>+MIN(MAX(0,$C1073-S$28),S$29-S$28)*S$34
+MIN(MAX(0,$C1073-S$29),S$30-S$29)*S$35
+MIN(MAX(0,$C1073-S$30),S$31-S$30)*S$36
+MIN(MAX(0,$C1073-S$31),S$32-S$31)*S$37
+MAX(0,$C1073-S$32)*S$38
+S$39</f>
        <v>105475</v>
      </c>
      <c r="T1073" s="270">
        <f t="shared" si="273"/>
        <v>105475</v>
      </c>
      <c r="U1073" s="270">
        <f t="shared" si="273"/>
        <v>105475</v>
      </c>
      <c r="V1073" s="270">
        <f t="shared" si="273"/>
        <v>105475</v>
      </c>
      <c r="W1073" s="270">
        <f t="shared" si="273"/>
        <v>105475</v>
      </c>
      <c r="X1073" s="270">
        <f t="shared" si="273"/>
        <v>105475</v>
      </c>
      <c r="Y1073" s="270">
        <f t="shared" si="273"/>
        <v>105475</v>
      </c>
      <c r="Z1073" s="270">
        <f t="shared" si="273"/>
        <v>105475</v>
      </c>
      <c r="AA1073" s="270">
        <f t="shared" si="273"/>
        <v>105475</v>
      </c>
      <c r="AB1073" s="270">
        <f t="shared" si="273"/>
        <v>105475</v>
      </c>
      <c r="AC1073" s="270">
        <f t="shared" si="273"/>
        <v>105475</v>
      </c>
      <c r="AD1073" s="270">
        <f>+MIN(MAX(0,$C1073-AD$28),AD$29-AD$28)*AD$34
+MIN(MAX(0,$C1073-AD$29),AD$30-AD$29)*AD$35
+MIN(MAX(0,$C1073-AD$30),AD$31-AD$30)*AD$36
+MIN(MAX(0,$C1073-AD$31),AD$32-AD$31)*AD$37
+MAX(0,$C1073-AD$32)*AD$38
+AD$39</f>
        <v>105475</v>
      </c>
      <c r="AE1073" s="270">
        <f t="shared" si="275"/>
        <v>105475</v>
      </c>
      <c r="AF1073" s="270">
        <f t="shared" si="274"/>
        <v>105475</v>
      </c>
      <c r="AG1073" s="270">
        <f t="shared" si="274"/>
        <v>105475</v>
      </c>
      <c r="AH1073" s="270">
        <f t="shared" si="274"/>
        <v>105475</v>
      </c>
      <c r="AI1073" s="270">
        <f t="shared" si="274"/>
        <v>105475</v>
      </c>
      <c r="AJ1073" s="270">
        <f t="shared" si="274"/>
        <v>105475</v>
      </c>
      <c r="AK1073" s="270">
        <f t="shared" si="274"/>
        <v>105475</v>
      </c>
      <c r="AL1073" s="270">
        <f t="shared" si="274"/>
        <v>105475</v>
      </c>
      <c r="AM1073" s="270">
        <f t="shared" si="274"/>
        <v>105475</v>
      </c>
    </row>
    <row r="1074" spans="2:39" ht="15.75" thickBot="1" x14ac:dyDescent="0.35">
      <c r="B1074" s="56" t="str">
        <f>input_names!$E$3</f>
        <v>plug-in</v>
      </c>
      <c r="C1074" s="61">
        <v>319</v>
      </c>
      <c r="D1074" s="270">
        <f t="shared" ref="D1074:AD1089" si="276">+MIN(MAX(0,$C1074-D$28),D$29-D$28)*D$34
+MIN(MAX(0,$C1074-D$29),D$30-D$29)*D$35
+MIN(MAX(0,$C1074-D$30),D$31-D$30)*D$36
+MIN(MAX(0,$C1074-D$31),D$32-D$31)*D$37
+MAX(0,$C1074-D$32)*D$38
+D$39</f>
        <v>72690</v>
      </c>
      <c r="E1074" s="270">
        <f t="shared" si="276"/>
        <v>81906</v>
      </c>
      <c r="F1074" s="270">
        <f t="shared" si="276"/>
        <v>83100</v>
      </c>
      <c r="G1074" s="270">
        <f t="shared" si="276"/>
        <v>80051</v>
      </c>
      <c r="H1074" s="270">
        <f t="shared" si="276"/>
        <v>75969</v>
      </c>
      <c r="I1074" s="270">
        <f t="shared" si="276"/>
        <v>74853</v>
      </c>
      <c r="J1074" s="270">
        <f t="shared" si="276"/>
        <v>55318</v>
      </c>
      <c r="K1074" s="270">
        <f t="shared" si="276"/>
        <v>55862</v>
      </c>
      <c r="L1074" s="270">
        <f t="shared" si="276"/>
        <v>59453</v>
      </c>
      <c r="M1074" s="270">
        <f t="shared" si="276"/>
        <v>65453</v>
      </c>
      <c r="N1074" s="270">
        <f t="shared" si="276"/>
        <v>106043</v>
      </c>
      <c r="O1074" s="270">
        <f t="shared" si="276"/>
        <v>106043</v>
      </c>
      <c r="P1074" s="270">
        <f t="shared" si="276"/>
        <v>106043</v>
      </c>
      <c r="Q1074" s="270">
        <f t="shared" si="276"/>
        <v>106043</v>
      </c>
      <c r="R1074" s="270">
        <f t="shared" si="276"/>
        <v>106043</v>
      </c>
      <c r="S1074" s="270">
        <f t="shared" ref="S1074:AC1089" si="277">+MIN(MAX(0,$C1074-S$28),S$29-S$28)*S$34
+MIN(MAX(0,$C1074-S$29),S$30-S$29)*S$35
+MIN(MAX(0,$C1074-S$30),S$31-S$30)*S$36
+MIN(MAX(0,$C1074-S$31),S$32-S$31)*S$37
+MAX(0,$C1074-S$32)*S$38
+S$39</f>
        <v>106043</v>
      </c>
      <c r="T1074" s="270">
        <f t="shared" si="277"/>
        <v>106043</v>
      </c>
      <c r="U1074" s="270">
        <f t="shared" si="277"/>
        <v>106043</v>
      </c>
      <c r="V1074" s="270">
        <f t="shared" si="277"/>
        <v>106043</v>
      </c>
      <c r="W1074" s="270">
        <f t="shared" si="277"/>
        <v>106043</v>
      </c>
      <c r="X1074" s="270">
        <f t="shared" si="277"/>
        <v>106043</v>
      </c>
      <c r="Y1074" s="270">
        <f t="shared" si="277"/>
        <v>106043</v>
      </c>
      <c r="Z1074" s="270">
        <f t="shared" si="277"/>
        <v>106043</v>
      </c>
      <c r="AA1074" s="270">
        <f t="shared" si="277"/>
        <v>106043</v>
      </c>
      <c r="AB1074" s="270">
        <f t="shared" si="277"/>
        <v>106043</v>
      </c>
      <c r="AC1074" s="270">
        <f t="shared" si="277"/>
        <v>106043</v>
      </c>
      <c r="AD1074" s="270">
        <f t="shared" si="276"/>
        <v>106043</v>
      </c>
      <c r="AE1074" s="270">
        <f t="shared" si="275"/>
        <v>106043</v>
      </c>
      <c r="AF1074" s="270">
        <f t="shared" si="274"/>
        <v>106043</v>
      </c>
      <c r="AG1074" s="270">
        <f t="shared" si="274"/>
        <v>106043</v>
      </c>
      <c r="AH1074" s="270">
        <f t="shared" si="274"/>
        <v>106043</v>
      </c>
      <c r="AI1074" s="270">
        <f t="shared" si="274"/>
        <v>106043</v>
      </c>
      <c r="AJ1074" s="270">
        <f t="shared" si="274"/>
        <v>106043</v>
      </c>
      <c r="AK1074" s="270">
        <f t="shared" si="274"/>
        <v>106043</v>
      </c>
      <c r="AL1074" s="270">
        <f t="shared" si="274"/>
        <v>106043</v>
      </c>
      <c r="AM1074" s="270">
        <f t="shared" si="274"/>
        <v>106043</v>
      </c>
    </row>
    <row r="1075" spans="2:39" ht="15.75" thickBot="1" x14ac:dyDescent="0.35">
      <c r="B1075" s="56" t="str">
        <f>input_names!$E$3</f>
        <v>plug-in</v>
      </c>
      <c r="C1075" s="61">
        <v>320</v>
      </c>
      <c r="D1075" s="270">
        <f t="shared" si="276"/>
        <v>73124</v>
      </c>
      <c r="E1075" s="270">
        <f t="shared" si="276"/>
        <v>82382</v>
      </c>
      <c r="F1075" s="270">
        <f t="shared" si="276"/>
        <v>83400</v>
      </c>
      <c r="G1075" s="270">
        <f t="shared" si="276"/>
        <v>80340</v>
      </c>
      <c r="H1075" s="270">
        <f t="shared" si="276"/>
        <v>76240</v>
      </c>
      <c r="I1075" s="270">
        <f t="shared" si="276"/>
        <v>75120</v>
      </c>
      <c r="J1075" s="270">
        <f t="shared" si="276"/>
        <v>55520</v>
      </c>
      <c r="K1075" s="270">
        <f t="shared" si="276"/>
        <v>56066</v>
      </c>
      <c r="L1075" s="270">
        <f t="shared" si="276"/>
        <v>59670</v>
      </c>
      <c r="M1075" s="270">
        <f t="shared" si="276"/>
        <v>65692</v>
      </c>
      <c r="N1075" s="270">
        <f t="shared" si="276"/>
        <v>106611</v>
      </c>
      <c r="O1075" s="270">
        <f t="shared" si="276"/>
        <v>106611</v>
      </c>
      <c r="P1075" s="270">
        <f t="shared" si="276"/>
        <v>106611</v>
      </c>
      <c r="Q1075" s="270">
        <f t="shared" si="276"/>
        <v>106611</v>
      </c>
      <c r="R1075" s="270">
        <f t="shared" si="276"/>
        <v>106611</v>
      </c>
      <c r="S1075" s="270">
        <f t="shared" si="277"/>
        <v>106611</v>
      </c>
      <c r="T1075" s="270">
        <f t="shared" si="277"/>
        <v>106611</v>
      </c>
      <c r="U1075" s="270">
        <f t="shared" si="277"/>
        <v>106611</v>
      </c>
      <c r="V1075" s="270">
        <f t="shared" si="277"/>
        <v>106611</v>
      </c>
      <c r="W1075" s="270">
        <f t="shared" si="277"/>
        <v>106611</v>
      </c>
      <c r="X1075" s="270">
        <f t="shared" si="277"/>
        <v>106611</v>
      </c>
      <c r="Y1075" s="270">
        <f t="shared" si="277"/>
        <v>106611</v>
      </c>
      <c r="Z1075" s="270">
        <f t="shared" si="277"/>
        <v>106611</v>
      </c>
      <c r="AA1075" s="270">
        <f t="shared" si="277"/>
        <v>106611</v>
      </c>
      <c r="AB1075" s="270">
        <f t="shared" si="277"/>
        <v>106611</v>
      </c>
      <c r="AC1075" s="270">
        <f t="shared" si="277"/>
        <v>106611</v>
      </c>
      <c r="AD1075" s="270">
        <f t="shared" si="276"/>
        <v>106611</v>
      </c>
      <c r="AE1075" s="270">
        <f t="shared" si="275"/>
        <v>106611</v>
      </c>
      <c r="AF1075" s="270">
        <f t="shared" si="274"/>
        <v>106611</v>
      </c>
      <c r="AG1075" s="270">
        <f t="shared" si="274"/>
        <v>106611</v>
      </c>
      <c r="AH1075" s="270">
        <f t="shared" si="274"/>
        <v>106611</v>
      </c>
      <c r="AI1075" s="270">
        <f t="shared" si="274"/>
        <v>106611</v>
      </c>
      <c r="AJ1075" s="270">
        <f t="shared" si="274"/>
        <v>106611</v>
      </c>
      <c r="AK1075" s="270">
        <f t="shared" si="274"/>
        <v>106611</v>
      </c>
      <c r="AL1075" s="270">
        <f t="shared" si="274"/>
        <v>106611</v>
      </c>
      <c r="AM1075" s="270">
        <f t="shared" si="274"/>
        <v>106611</v>
      </c>
    </row>
    <row r="1076" spans="2:39" ht="15.75" thickBot="1" x14ac:dyDescent="0.35">
      <c r="B1076" s="56" t="str">
        <f>input_names!$E$3</f>
        <v>plug-in</v>
      </c>
      <c r="C1076" s="61">
        <v>321</v>
      </c>
      <c r="D1076" s="270">
        <f t="shared" si="276"/>
        <v>73558</v>
      </c>
      <c r="E1076" s="270">
        <f t="shared" si="276"/>
        <v>82858</v>
      </c>
      <c r="F1076" s="270">
        <f t="shared" si="276"/>
        <v>83700</v>
      </c>
      <c r="G1076" s="270">
        <f t="shared" si="276"/>
        <v>80629</v>
      </c>
      <c r="H1076" s="270">
        <f t="shared" si="276"/>
        <v>76511</v>
      </c>
      <c r="I1076" s="270">
        <f t="shared" si="276"/>
        <v>75387</v>
      </c>
      <c r="J1076" s="270">
        <f t="shared" si="276"/>
        <v>55722</v>
      </c>
      <c r="K1076" s="270">
        <f t="shared" si="276"/>
        <v>56270</v>
      </c>
      <c r="L1076" s="270">
        <f t="shared" si="276"/>
        <v>59887</v>
      </c>
      <c r="M1076" s="270">
        <f t="shared" si="276"/>
        <v>65931</v>
      </c>
      <c r="N1076" s="270">
        <f t="shared" si="276"/>
        <v>107179</v>
      </c>
      <c r="O1076" s="270">
        <f t="shared" si="276"/>
        <v>107179</v>
      </c>
      <c r="P1076" s="270">
        <f t="shared" si="276"/>
        <v>107179</v>
      </c>
      <c r="Q1076" s="270">
        <f t="shared" si="276"/>
        <v>107179</v>
      </c>
      <c r="R1076" s="270">
        <f t="shared" si="276"/>
        <v>107179</v>
      </c>
      <c r="S1076" s="270">
        <f t="shared" si="277"/>
        <v>107179</v>
      </c>
      <c r="T1076" s="270">
        <f t="shared" si="277"/>
        <v>107179</v>
      </c>
      <c r="U1076" s="270">
        <f t="shared" si="277"/>
        <v>107179</v>
      </c>
      <c r="V1076" s="270">
        <f t="shared" si="277"/>
        <v>107179</v>
      </c>
      <c r="W1076" s="270">
        <f t="shared" si="277"/>
        <v>107179</v>
      </c>
      <c r="X1076" s="270">
        <f t="shared" si="277"/>
        <v>107179</v>
      </c>
      <c r="Y1076" s="270">
        <f t="shared" si="277"/>
        <v>107179</v>
      </c>
      <c r="Z1076" s="270">
        <f t="shared" si="277"/>
        <v>107179</v>
      </c>
      <c r="AA1076" s="270">
        <f t="shared" si="277"/>
        <v>107179</v>
      </c>
      <c r="AB1076" s="270">
        <f t="shared" si="277"/>
        <v>107179</v>
      </c>
      <c r="AC1076" s="270">
        <f t="shared" si="277"/>
        <v>107179</v>
      </c>
      <c r="AD1076" s="270">
        <f t="shared" si="276"/>
        <v>107179</v>
      </c>
      <c r="AE1076" s="270">
        <f t="shared" si="275"/>
        <v>107179</v>
      </c>
      <c r="AF1076" s="270">
        <f t="shared" si="274"/>
        <v>107179</v>
      </c>
      <c r="AG1076" s="270">
        <f t="shared" si="274"/>
        <v>107179</v>
      </c>
      <c r="AH1076" s="270">
        <f t="shared" si="274"/>
        <v>107179</v>
      </c>
      <c r="AI1076" s="270">
        <f t="shared" si="274"/>
        <v>107179</v>
      </c>
      <c r="AJ1076" s="270">
        <f t="shared" si="274"/>
        <v>107179</v>
      </c>
      <c r="AK1076" s="270">
        <f t="shared" si="274"/>
        <v>107179</v>
      </c>
      <c r="AL1076" s="270">
        <f t="shared" si="274"/>
        <v>107179</v>
      </c>
      <c r="AM1076" s="270">
        <f t="shared" si="274"/>
        <v>107179</v>
      </c>
    </row>
    <row r="1077" spans="2:39" ht="15.75" thickBot="1" x14ac:dyDescent="0.35">
      <c r="B1077" s="56" t="str">
        <f>input_names!$E$3</f>
        <v>plug-in</v>
      </c>
      <c r="C1077" s="61">
        <v>322</v>
      </c>
      <c r="D1077" s="270">
        <f t="shared" si="276"/>
        <v>73992</v>
      </c>
      <c r="E1077" s="270">
        <f t="shared" si="276"/>
        <v>83334</v>
      </c>
      <c r="F1077" s="270">
        <f t="shared" si="276"/>
        <v>84000</v>
      </c>
      <c r="G1077" s="270">
        <f t="shared" si="276"/>
        <v>80918</v>
      </c>
      <c r="H1077" s="270">
        <f t="shared" si="276"/>
        <v>76782</v>
      </c>
      <c r="I1077" s="270">
        <f t="shared" si="276"/>
        <v>75654</v>
      </c>
      <c r="J1077" s="270">
        <f t="shared" si="276"/>
        <v>55924</v>
      </c>
      <c r="K1077" s="270">
        <f t="shared" si="276"/>
        <v>56474</v>
      </c>
      <c r="L1077" s="270">
        <f t="shared" si="276"/>
        <v>60104</v>
      </c>
      <c r="M1077" s="270">
        <f t="shared" si="276"/>
        <v>66170</v>
      </c>
      <c r="N1077" s="270">
        <f t="shared" si="276"/>
        <v>107747</v>
      </c>
      <c r="O1077" s="270">
        <f t="shared" si="276"/>
        <v>107747</v>
      </c>
      <c r="P1077" s="270">
        <f t="shared" si="276"/>
        <v>107747</v>
      </c>
      <c r="Q1077" s="270">
        <f t="shared" si="276"/>
        <v>107747</v>
      </c>
      <c r="R1077" s="270">
        <f t="shared" si="276"/>
        <v>107747</v>
      </c>
      <c r="S1077" s="270">
        <f t="shared" si="277"/>
        <v>107747</v>
      </c>
      <c r="T1077" s="270">
        <f t="shared" si="277"/>
        <v>107747</v>
      </c>
      <c r="U1077" s="270">
        <f t="shared" si="277"/>
        <v>107747</v>
      </c>
      <c r="V1077" s="270">
        <f t="shared" si="277"/>
        <v>107747</v>
      </c>
      <c r="W1077" s="270">
        <f t="shared" si="277"/>
        <v>107747</v>
      </c>
      <c r="X1077" s="270">
        <f t="shared" si="277"/>
        <v>107747</v>
      </c>
      <c r="Y1077" s="270">
        <f t="shared" si="277"/>
        <v>107747</v>
      </c>
      <c r="Z1077" s="270">
        <f t="shared" si="277"/>
        <v>107747</v>
      </c>
      <c r="AA1077" s="270">
        <f t="shared" si="277"/>
        <v>107747</v>
      </c>
      <c r="AB1077" s="270">
        <f t="shared" si="277"/>
        <v>107747</v>
      </c>
      <c r="AC1077" s="270">
        <f t="shared" si="277"/>
        <v>107747</v>
      </c>
      <c r="AD1077" s="270">
        <f t="shared" si="276"/>
        <v>107747</v>
      </c>
      <c r="AE1077" s="270">
        <f t="shared" si="275"/>
        <v>107747</v>
      </c>
      <c r="AF1077" s="270">
        <f t="shared" si="274"/>
        <v>107747</v>
      </c>
      <c r="AG1077" s="270">
        <f t="shared" si="274"/>
        <v>107747</v>
      </c>
      <c r="AH1077" s="270">
        <f t="shared" si="274"/>
        <v>107747</v>
      </c>
      <c r="AI1077" s="270">
        <f t="shared" si="274"/>
        <v>107747</v>
      </c>
      <c r="AJ1077" s="270">
        <f t="shared" si="274"/>
        <v>107747</v>
      </c>
      <c r="AK1077" s="270">
        <f t="shared" si="274"/>
        <v>107747</v>
      </c>
      <c r="AL1077" s="270">
        <f t="shared" si="274"/>
        <v>107747</v>
      </c>
      <c r="AM1077" s="270">
        <f t="shared" si="274"/>
        <v>107747</v>
      </c>
    </row>
    <row r="1078" spans="2:39" ht="15.75" thickBot="1" x14ac:dyDescent="0.35">
      <c r="B1078" s="56" t="str">
        <f>input_names!$E$3</f>
        <v>plug-in</v>
      </c>
      <c r="C1078" s="61">
        <v>323</v>
      </c>
      <c r="D1078" s="270">
        <f t="shared" si="276"/>
        <v>74426</v>
      </c>
      <c r="E1078" s="270">
        <f t="shared" si="276"/>
        <v>83810</v>
      </c>
      <c r="F1078" s="270">
        <f t="shared" si="276"/>
        <v>84300</v>
      </c>
      <c r="G1078" s="270">
        <f t="shared" si="276"/>
        <v>81207</v>
      </c>
      <c r="H1078" s="270">
        <f t="shared" si="276"/>
        <v>77053</v>
      </c>
      <c r="I1078" s="270">
        <f t="shared" si="276"/>
        <v>75921</v>
      </c>
      <c r="J1078" s="270">
        <f t="shared" si="276"/>
        <v>56126</v>
      </c>
      <c r="K1078" s="270">
        <f t="shared" si="276"/>
        <v>56678</v>
      </c>
      <c r="L1078" s="270">
        <f t="shared" si="276"/>
        <v>60321</v>
      </c>
      <c r="M1078" s="270">
        <f t="shared" si="276"/>
        <v>66409</v>
      </c>
      <c r="N1078" s="270">
        <f t="shared" si="276"/>
        <v>108315</v>
      </c>
      <c r="O1078" s="270">
        <f t="shared" si="276"/>
        <v>108315</v>
      </c>
      <c r="P1078" s="270">
        <f t="shared" si="276"/>
        <v>108315</v>
      </c>
      <c r="Q1078" s="270">
        <f t="shared" si="276"/>
        <v>108315</v>
      </c>
      <c r="R1078" s="270">
        <f t="shared" si="276"/>
        <v>108315</v>
      </c>
      <c r="S1078" s="270">
        <f t="shared" si="277"/>
        <v>108315</v>
      </c>
      <c r="T1078" s="270">
        <f t="shared" si="277"/>
        <v>108315</v>
      </c>
      <c r="U1078" s="270">
        <f t="shared" si="277"/>
        <v>108315</v>
      </c>
      <c r="V1078" s="270">
        <f t="shared" si="277"/>
        <v>108315</v>
      </c>
      <c r="W1078" s="270">
        <f t="shared" si="277"/>
        <v>108315</v>
      </c>
      <c r="X1078" s="270">
        <f t="shared" si="277"/>
        <v>108315</v>
      </c>
      <c r="Y1078" s="270">
        <f t="shared" si="277"/>
        <v>108315</v>
      </c>
      <c r="Z1078" s="270">
        <f t="shared" si="277"/>
        <v>108315</v>
      </c>
      <c r="AA1078" s="270">
        <f t="shared" si="277"/>
        <v>108315</v>
      </c>
      <c r="AB1078" s="270">
        <f t="shared" si="277"/>
        <v>108315</v>
      </c>
      <c r="AC1078" s="270">
        <f t="shared" si="277"/>
        <v>108315</v>
      </c>
      <c r="AD1078" s="270">
        <f t="shared" si="276"/>
        <v>108315</v>
      </c>
      <c r="AE1078" s="270">
        <f t="shared" si="275"/>
        <v>108315</v>
      </c>
      <c r="AF1078" s="270">
        <f t="shared" si="274"/>
        <v>108315</v>
      </c>
      <c r="AG1078" s="270">
        <f t="shared" si="274"/>
        <v>108315</v>
      </c>
      <c r="AH1078" s="270">
        <f t="shared" si="274"/>
        <v>108315</v>
      </c>
      <c r="AI1078" s="270">
        <f t="shared" si="274"/>
        <v>108315</v>
      </c>
      <c r="AJ1078" s="270">
        <f t="shared" si="274"/>
        <v>108315</v>
      </c>
      <c r="AK1078" s="270">
        <f t="shared" si="274"/>
        <v>108315</v>
      </c>
      <c r="AL1078" s="270">
        <f t="shared" si="274"/>
        <v>108315</v>
      </c>
      <c r="AM1078" s="270">
        <f t="shared" si="274"/>
        <v>108315</v>
      </c>
    </row>
    <row r="1079" spans="2:39" ht="15.75" thickBot="1" x14ac:dyDescent="0.35">
      <c r="B1079" s="56" t="str">
        <f>input_names!$E$3</f>
        <v>plug-in</v>
      </c>
      <c r="C1079" s="61">
        <v>324</v>
      </c>
      <c r="D1079" s="270">
        <f t="shared" si="276"/>
        <v>74860</v>
      </c>
      <c r="E1079" s="270">
        <f t="shared" si="276"/>
        <v>84286</v>
      </c>
      <c r="F1079" s="270">
        <f t="shared" si="276"/>
        <v>84600</v>
      </c>
      <c r="G1079" s="270">
        <f t="shared" si="276"/>
        <v>81496</v>
      </c>
      <c r="H1079" s="270">
        <f t="shared" si="276"/>
        <v>77324</v>
      </c>
      <c r="I1079" s="270">
        <f t="shared" si="276"/>
        <v>76188</v>
      </c>
      <c r="J1079" s="270">
        <f t="shared" si="276"/>
        <v>56328</v>
      </c>
      <c r="K1079" s="270">
        <f t="shared" si="276"/>
        <v>56882</v>
      </c>
      <c r="L1079" s="270">
        <f t="shared" si="276"/>
        <v>60538</v>
      </c>
      <c r="M1079" s="270">
        <f t="shared" si="276"/>
        <v>66648</v>
      </c>
      <c r="N1079" s="270">
        <f t="shared" si="276"/>
        <v>108883</v>
      </c>
      <c r="O1079" s="270">
        <f t="shared" si="276"/>
        <v>108883</v>
      </c>
      <c r="P1079" s="270">
        <f t="shared" si="276"/>
        <v>108883</v>
      </c>
      <c r="Q1079" s="270">
        <f t="shared" si="276"/>
        <v>108883</v>
      </c>
      <c r="R1079" s="270">
        <f t="shared" si="276"/>
        <v>108883</v>
      </c>
      <c r="S1079" s="270">
        <f t="shared" si="277"/>
        <v>108883</v>
      </c>
      <c r="T1079" s="270">
        <f t="shared" si="277"/>
        <v>108883</v>
      </c>
      <c r="U1079" s="270">
        <f t="shared" si="277"/>
        <v>108883</v>
      </c>
      <c r="V1079" s="270">
        <f t="shared" si="277"/>
        <v>108883</v>
      </c>
      <c r="W1079" s="270">
        <f t="shared" si="277"/>
        <v>108883</v>
      </c>
      <c r="X1079" s="270">
        <f t="shared" si="277"/>
        <v>108883</v>
      </c>
      <c r="Y1079" s="270">
        <f t="shared" si="277"/>
        <v>108883</v>
      </c>
      <c r="Z1079" s="270">
        <f t="shared" si="277"/>
        <v>108883</v>
      </c>
      <c r="AA1079" s="270">
        <f t="shared" si="277"/>
        <v>108883</v>
      </c>
      <c r="AB1079" s="270">
        <f t="shared" si="277"/>
        <v>108883</v>
      </c>
      <c r="AC1079" s="270">
        <f t="shared" si="277"/>
        <v>108883</v>
      </c>
      <c r="AD1079" s="270">
        <f t="shared" si="276"/>
        <v>108883</v>
      </c>
      <c r="AE1079" s="270">
        <f t="shared" si="275"/>
        <v>108883</v>
      </c>
      <c r="AF1079" s="270">
        <f t="shared" si="274"/>
        <v>108883</v>
      </c>
      <c r="AG1079" s="270">
        <f t="shared" si="274"/>
        <v>108883</v>
      </c>
      <c r="AH1079" s="270">
        <f t="shared" si="274"/>
        <v>108883</v>
      </c>
      <c r="AI1079" s="270">
        <f t="shared" si="274"/>
        <v>108883</v>
      </c>
      <c r="AJ1079" s="270">
        <f t="shared" si="274"/>
        <v>108883</v>
      </c>
      <c r="AK1079" s="270">
        <f t="shared" si="274"/>
        <v>108883</v>
      </c>
      <c r="AL1079" s="270">
        <f t="shared" si="274"/>
        <v>108883</v>
      </c>
      <c r="AM1079" s="270">
        <f t="shared" si="274"/>
        <v>108883</v>
      </c>
    </row>
    <row r="1080" spans="2:39" ht="15.75" thickBot="1" x14ac:dyDescent="0.35">
      <c r="B1080" s="56" t="str">
        <f>input_names!$E$3</f>
        <v>plug-in</v>
      </c>
      <c r="C1080" s="61">
        <v>325</v>
      </c>
      <c r="D1080" s="270">
        <f t="shared" si="276"/>
        <v>75294</v>
      </c>
      <c r="E1080" s="270">
        <f t="shared" si="276"/>
        <v>84762</v>
      </c>
      <c r="F1080" s="270">
        <f t="shared" si="276"/>
        <v>84900</v>
      </c>
      <c r="G1080" s="270">
        <f t="shared" si="276"/>
        <v>81785</v>
      </c>
      <c r="H1080" s="270">
        <f t="shared" si="276"/>
        <v>77595</v>
      </c>
      <c r="I1080" s="270">
        <f t="shared" si="276"/>
        <v>76455</v>
      </c>
      <c r="J1080" s="270">
        <f t="shared" si="276"/>
        <v>56530</v>
      </c>
      <c r="K1080" s="270">
        <f t="shared" si="276"/>
        <v>57086</v>
      </c>
      <c r="L1080" s="270">
        <f t="shared" si="276"/>
        <v>60755</v>
      </c>
      <c r="M1080" s="270">
        <f t="shared" si="276"/>
        <v>66887</v>
      </c>
      <c r="N1080" s="270">
        <f t="shared" si="276"/>
        <v>109451</v>
      </c>
      <c r="O1080" s="270">
        <f t="shared" si="276"/>
        <v>109451</v>
      </c>
      <c r="P1080" s="270">
        <f t="shared" si="276"/>
        <v>109451</v>
      </c>
      <c r="Q1080" s="270">
        <f t="shared" si="276"/>
        <v>109451</v>
      </c>
      <c r="R1080" s="270">
        <f t="shared" si="276"/>
        <v>109451</v>
      </c>
      <c r="S1080" s="270">
        <f t="shared" si="277"/>
        <v>109451</v>
      </c>
      <c r="T1080" s="270">
        <f t="shared" si="277"/>
        <v>109451</v>
      </c>
      <c r="U1080" s="270">
        <f t="shared" si="277"/>
        <v>109451</v>
      </c>
      <c r="V1080" s="270">
        <f t="shared" si="277"/>
        <v>109451</v>
      </c>
      <c r="W1080" s="270">
        <f t="shared" si="277"/>
        <v>109451</v>
      </c>
      <c r="X1080" s="270">
        <f t="shared" si="277"/>
        <v>109451</v>
      </c>
      <c r="Y1080" s="270">
        <f t="shared" si="277"/>
        <v>109451</v>
      </c>
      <c r="Z1080" s="270">
        <f t="shared" si="277"/>
        <v>109451</v>
      </c>
      <c r="AA1080" s="270">
        <f t="shared" si="277"/>
        <v>109451</v>
      </c>
      <c r="AB1080" s="270">
        <f t="shared" si="277"/>
        <v>109451</v>
      </c>
      <c r="AC1080" s="270">
        <f t="shared" si="277"/>
        <v>109451</v>
      </c>
      <c r="AD1080" s="270">
        <f t="shared" si="276"/>
        <v>109451</v>
      </c>
      <c r="AE1080" s="270">
        <f t="shared" si="275"/>
        <v>109451</v>
      </c>
      <c r="AF1080" s="270">
        <f t="shared" si="274"/>
        <v>109451</v>
      </c>
      <c r="AG1080" s="270">
        <f t="shared" si="274"/>
        <v>109451</v>
      </c>
      <c r="AH1080" s="270">
        <f t="shared" si="274"/>
        <v>109451</v>
      </c>
      <c r="AI1080" s="270">
        <f t="shared" si="274"/>
        <v>109451</v>
      </c>
      <c r="AJ1080" s="270">
        <f t="shared" si="274"/>
        <v>109451</v>
      </c>
      <c r="AK1080" s="270">
        <f t="shared" si="274"/>
        <v>109451</v>
      </c>
      <c r="AL1080" s="270">
        <f t="shared" si="274"/>
        <v>109451</v>
      </c>
      <c r="AM1080" s="270">
        <f t="shared" si="274"/>
        <v>109451</v>
      </c>
    </row>
    <row r="1081" spans="2:39" ht="15.75" thickBot="1" x14ac:dyDescent="0.35">
      <c r="B1081" s="56" t="str">
        <f>input_names!$E$3</f>
        <v>plug-in</v>
      </c>
      <c r="C1081" s="61">
        <v>326</v>
      </c>
      <c r="D1081" s="270">
        <f t="shared" si="276"/>
        <v>75728</v>
      </c>
      <c r="E1081" s="270">
        <f t="shared" si="276"/>
        <v>85238</v>
      </c>
      <c r="F1081" s="270">
        <f t="shared" si="276"/>
        <v>85200</v>
      </c>
      <c r="G1081" s="270">
        <f t="shared" si="276"/>
        <v>82074</v>
      </c>
      <c r="H1081" s="270">
        <f t="shared" si="276"/>
        <v>77866</v>
      </c>
      <c r="I1081" s="270">
        <f t="shared" si="276"/>
        <v>76722</v>
      </c>
      <c r="J1081" s="270">
        <f t="shared" si="276"/>
        <v>56732</v>
      </c>
      <c r="K1081" s="270">
        <f t="shared" si="276"/>
        <v>57290</v>
      </c>
      <c r="L1081" s="270">
        <f t="shared" si="276"/>
        <v>60972</v>
      </c>
      <c r="M1081" s="270">
        <f t="shared" si="276"/>
        <v>67126</v>
      </c>
      <c r="N1081" s="270">
        <f t="shared" si="276"/>
        <v>110019</v>
      </c>
      <c r="O1081" s="270">
        <f t="shared" si="276"/>
        <v>110019</v>
      </c>
      <c r="P1081" s="270">
        <f t="shared" si="276"/>
        <v>110019</v>
      </c>
      <c r="Q1081" s="270">
        <f t="shared" si="276"/>
        <v>110019</v>
      </c>
      <c r="R1081" s="270">
        <f t="shared" si="276"/>
        <v>110019</v>
      </c>
      <c r="S1081" s="270">
        <f t="shared" si="277"/>
        <v>110019</v>
      </c>
      <c r="T1081" s="270">
        <f t="shared" si="277"/>
        <v>110019</v>
      </c>
      <c r="U1081" s="270">
        <f t="shared" si="277"/>
        <v>110019</v>
      </c>
      <c r="V1081" s="270">
        <f t="shared" si="277"/>
        <v>110019</v>
      </c>
      <c r="W1081" s="270">
        <f t="shared" si="277"/>
        <v>110019</v>
      </c>
      <c r="X1081" s="270">
        <f t="shared" si="277"/>
        <v>110019</v>
      </c>
      <c r="Y1081" s="270">
        <f t="shared" si="277"/>
        <v>110019</v>
      </c>
      <c r="Z1081" s="270">
        <f t="shared" si="277"/>
        <v>110019</v>
      </c>
      <c r="AA1081" s="270">
        <f t="shared" si="277"/>
        <v>110019</v>
      </c>
      <c r="AB1081" s="270">
        <f t="shared" si="277"/>
        <v>110019</v>
      </c>
      <c r="AC1081" s="270">
        <f t="shared" si="277"/>
        <v>110019</v>
      </c>
      <c r="AD1081" s="270">
        <f t="shared" si="276"/>
        <v>110019</v>
      </c>
      <c r="AE1081" s="270">
        <f t="shared" si="275"/>
        <v>110019</v>
      </c>
      <c r="AF1081" s="270">
        <f t="shared" si="274"/>
        <v>110019</v>
      </c>
      <c r="AG1081" s="270">
        <f t="shared" si="274"/>
        <v>110019</v>
      </c>
      <c r="AH1081" s="270">
        <f t="shared" si="274"/>
        <v>110019</v>
      </c>
      <c r="AI1081" s="270">
        <f t="shared" si="274"/>
        <v>110019</v>
      </c>
      <c r="AJ1081" s="270">
        <f t="shared" si="274"/>
        <v>110019</v>
      </c>
      <c r="AK1081" s="270">
        <f t="shared" si="274"/>
        <v>110019</v>
      </c>
      <c r="AL1081" s="270">
        <f t="shared" si="274"/>
        <v>110019</v>
      </c>
      <c r="AM1081" s="270">
        <f t="shared" si="274"/>
        <v>110019</v>
      </c>
    </row>
    <row r="1082" spans="2:39" ht="15.75" thickBot="1" x14ac:dyDescent="0.35">
      <c r="B1082" s="56" t="str">
        <f>input_names!$E$3</f>
        <v>plug-in</v>
      </c>
      <c r="C1082" s="61">
        <v>327</v>
      </c>
      <c r="D1082" s="270">
        <f t="shared" si="276"/>
        <v>76162</v>
      </c>
      <c r="E1082" s="270">
        <f t="shared" si="276"/>
        <v>85714</v>
      </c>
      <c r="F1082" s="270">
        <f t="shared" si="276"/>
        <v>85500</v>
      </c>
      <c r="G1082" s="270">
        <f t="shared" si="276"/>
        <v>82363</v>
      </c>
      <c r="H1082" s="270">
        <f t="shared" si="276"/>
        <v>78137</v>
      </c>
      <c r="I1082" s="270">
        <f t="shared" si="276"/>
        <v>76989</v>
      </c>
      <c r="J1082" s="270">
        <f t="shared" si="276"/>
        <v>56934</v>
      </c>
      <c r="K1082" s="270">
        <f t="shared" si="276"/>
        <v>57494</v>
      </c>
      <c r="L1082" s="270">
        <f t="shared" si="276"/>
        <v>61189</v>
      </c>
      <c r="M1082" s="270">
        <f t="shared" si="276"/>
        <v>67365</v>
      </c>
      <c r="N1082" s="270">
        <f t="shared" si="276"/>
        <v>110587</v>
      </c>
      <c r="O1082" s="270">
        <f t="shared" si="276"/>
        <v>110587</v>
      </c>
      <c r="P1082" s="270">
        <f t="shared" si="276"/>
        <v>110587</v>
      </c>
      <c r="Q1082" s="270">
        <f t="shared" si="276"/>
        <v>110587</v>
      </c>
      <c r="R1082" s="270">
        <f t="shared" si="276"/>
        <v>110587</v>
      </c>
      <c r="S1082" s="270">
        <f t="shared" si="277"/>
        <v>110587</v>
      </c>
      <c r="T1082" s="270">
        <f t="shared" si="277"/>
        <v>110587</v>
      </c>
      <c r="U1082" s="270">
        <f t="shared" si="277"/>
        <v>110587</v>
      </c>
      <c r="V1082" s="270">
        <f t="shared" si="277"/>
        <v>110587</v>
      </c>
      <c r="W1082" s="270">
        <f t="shared" si="277"/>
        <v>110587</v>
      </c>
      <c r="X1082" s="270">
        <f t="shared" si="277"/>
        <v>110587</v>
      </c>
      <c r="Y1082" s="270">
        <f t="shared" si="277"/>
        <v>110587</v>
      </c>
      <c r="Z1082" s="270">
        <f t="shared" si="277"/>
        <v>110587</v>
      </c>
      <c r="AA1082" s="270">
        <f t="shared" si="277"/>
        <v>110587</v>
      </c>
      <c r="AB1082" s="270">
        <f t="shared" si="277"/>
        <v>110587</v>
      </c>
      <c r="AC1082" s="270">
        <f t="shared" si="277"/>
        <v>110587</v>
      </c>
      <c r="AD1082" s="270">
        <f t="shared" si="276"/>
        <v>110587</v>
      </c>
      <c r="AE1082" s="270">
        <f t="shared" si="275"/>
        <v>110587</v>
      </c>
      <c r="AF1082" s="270">
        <f t="shared" si="274"/>
        <v>110587</v>
      </c>
      <c r="AG1082" s="270">
        <f t="shared" si="274"/>
        <v>110587</v>
      </c>
      <c r="AH1082" s="270">
        <f t="shared" si="274"/>
        <v>110587</v>
      </c>
      <c r="AI1082" s="270">
        <f t="shared" si="274"/>
        <v>110587</v>
      </c>
      <c r="AJ1082" s="270">
        <f t="shared" si="274"/>
        <v>110587</v>
      </c>
      <c r="AK1082" s="270">
        <f t="shared" si="274"/>
        <v>110587</v>
      </c>
      <c r="AL1082" s="270">
        <f t="shared" si="274"/>
        <v>110587</v>
      </c>
      <c r="AM1082" s="270">
        <f t="shared" si="274"/>
        <v>110587</v>
      </c>
    </row>
    <row r="1083" spans="2:39" ht="15.75" thickBot="1" x14ac:dyDescent="0.35">
      <c r="B1083" s="56" t="str">
        <f>input_names!$E$3</f>
        <v>plug-in</v>
      </c>
      <c r="C1083" s="61">
        <v>328</v>
      </c>
      <c r="D1083" s="270">
        <f t="shared" si="276"/>
        <v>76596</v>
      </c>
      <c r="E1083" s="270">
        <f t="shared" si="276"/>
        <v>86190</v>
      </c>
      <c r="F1083" s="270">
        <f t="shared" si="276"/>
        <v>85800</v>
      </c>
      <c r="G1083" s="270">
        <f t="shared" si="276"/>
        <v>82652</v>
      </c>
      <c r="H1083" s="270">
        <f t="shared" si="276"/>
        <v>78408</v>
      </c>
      <c r="I1083" s="270">
        <f t="shared" si="276"/>
        <v>77256</v>
      </c>
      <c r="J1083" s="270">
        <f t="shared" si="276"/>
        <v>57136</v>
      </c>
      <c r="K1083" s="270">
        <f t="shared" si="276"/>
        <v>57698</v>
      </c>
      <c r="L1083" s="270">
        <f t="shared" si="276"/>
        <v>61406</v>
      </c>
      <c r="M1083" s="270">
        <f t="shared" si="276"/>
        <v>67604</v>
      </c>
      <c r="N1083" s="270">
        <f t="shared" si="276"/>
        <v>111155</v>
      </c>
      <c r="O1083" s="270">
        <f t="shared" si="276"/>
        <v>111155</v>
      </c>
      <c r="P1083" s="270">
        <f t="shared" si="276"/>
        <v>111155</v>
      </c>
      <c r="Q1083" s="270">
        <f t="shared" si="276"/>
        <v>111155</v>
      </c>
      <c r="R1083" s="270">
        <f t="shared" si="276"/>
        <v>111155</v>
      </c>
      <c r="S1083" s="270">
        <f t="shared" si="277"/>
        <v>111155</v>
      </c>
      <c r="T1083" s="270">
        <f t="shared" si="277"/>
        <v>111155</v>
      </c>
      <c r="U1083" s="270">
        <f t="shared" si="277"/>
        <v>111155</v>
      </c>
      <c r="V1083" s="270">
        <f t="shared" si="277"/>
        <v>111155</v>
      </c>
      <c r="W1083" s="270">
        <f t="shared" si="277"/>
        <v>111155</v>
      </c>
      <c r="X1083" s="270">
        <f t="shared" si="277"/>
        <v>111155</v>
      </c>
      <c r="Y1083" s="270">
        <f t="shared" si="277"/>
        <v>111155</v>
      </c>
      <c r="Z1083" s="270">
        <f t="shared" si="277"/>
        <v>111155</v>
      </c>
      <c r="AA1083" s="270">
        <f t="shared" si="277"/>
        <v>111155</v>
      </c>
      <c r="AB1083" s="270">
        <f t="shared" si="277"/>
        <v>111155</v>
      </c>
      <c r="AC1083" s="270">
        <f t="shared" si="277"/>
        <v>111155</v>
      </c>
      <c r="AD1083" s="270">
        <f t="shared" si="276"/>
        <v>111155</v>
      </c>
      <c r="AE1083" s="270">
        <f t="shared" si="275"/>
        <v>111155</v>
      </c>
      <c r="AF1083" s="270">
        <f t="shared" si="274"/>
        <v>111155</v>
      </c>
      <c r="AG1083" s="270">
        <f t="shared" si="274"/>
        <v>111155</v>
      </c>
      <c r="AH1083" s="270">
        <f t="shared" si="274"/>
        <v>111155</v>
      </c>
      <c r="AI1083" s="270">
        <f t="shared" si="274"/>
        <v>111155</v>
      </c>
      <c r="AJ1083" s="270">
        <f t="shared" si="274"/>
        <v>111155</v>
      </c>
      <c r="AK1083" s="270">
        <f t="shared" si="274"/>
        <v>111155</v>
      </c>
      <c r="AL1083" s="270">
        <f t="shared" si="274"/>
        <v>111155</v>
      </c>
      <c r="AM1083" s="270">
        <f t="shared" si="274"/>
        <v>111155</v>
      </c>
    </row>
    <row r="1084" spans="2:39" ht="15.75" thickBot="1" x14ac:dyDescent="0.35">
      <c r="B1084" s="56" t="str">
        <f>input_names!$E$3</f>
        <v>plug-in</v>
      </c>
      <c r="C1084" s="61">
        <v>329</v>
      </c>
      <c r="D1084" s="270">
        <f t="shared" si="276"/>
        <v>77030</v>
      </c>
      <c r="E1084" s="270">
        <f t="shared" si="276"/>
        <v>86666</v>
      </c>
      <c r="F1084" s="270">
        <f t="shared" si="276"/>
        <v>86100</v>
      </c>
      <c r="G1084" s="270">
        <f t="shared" si="276"/>
        <v>82941</v>
      </c>
      <c r="H1084" s="270">
        <f t="shared" si="276"/>
        <v>78679</v>
      </c>
      <c r="I1084" s="270">
        <f t="shared" si="276"/>
        <v>77523</v>
      </c>
      <c r="J1084" s="270">
        <f t="shared" si="276"/>
        <v>57338</v>
      </c>
      <c r="K1084" s="270">
        <f t="shared" si="276"/>
        <v>57902</v>
      </c>
      <c r="L1084" s="270">
        <f t="shared" si="276"/>
        <v>61623</v>
      </c>
      <c r="M1084" s="270">
        <f t="shared" si="276"/>
        <v>67843</v>
      </c>
      <c r="N1084" s="270">
        <f t="shared" si="276"/>
        <v>111723</v>
      </c>
      <c r="O1084" s="270">
        <f t="shared" si="276"/>
        <v>111723</v>
      </c>
      <c r="P1084" s="270">
        <f t="shared" si="276"/>
        <v>111723</v>
      </c>
      <c r="Q1084" s="270">
        <f t="shared" si="276"/>
        <v>111723</v>
      </c>
      <c r="R1084" s="270">
        <f t="shared" si="276"/>
        <v>111723</v>
      </c>
      <c r="S1084" s="270">
        <f t="shared" si="277"/>
        <v>111723</v>
      </c>
      <c r="T1084" s="270">
        <f t="shared" si="277"/>
        <v>111723</v>
      </c>
      <c r="U1084" s="270">
        <f t="shared" si="277"/>
        <v>111723</v>
      </c>
      <c r="V1084" s="270">
        <f t="shared" si="277"/>
        <v>111723</v>
      </c>
      <c r="W1084" s="270">
        <f t="shared" si="277"/>
        <v>111723</v>
      </c>
      <c r="X1084" s="270">
        <f t="shared" si="277"/>
        <v>111723</v>
      </c>
      <c r="Y1084" s="270">
        <f t="shared" si="277"/>
        <v>111723</v>
      </c>
      <c r="Z1084" s="270">
        <f t="shared" si="277"/>
        <v>111723</v>
      </c>
      <c r="AA1084" s="270">
        <f t="shared" si="277"/>
        <v>111723</v>
      </c>
      <c r="AB1084" s="270">
        <f t="shared" si="277"/>
        <v>111723</v>
      </c>
      <c r="AC1084" s="270">
        <f t="shared" si="277"/>
        <v>111723</v>
      </c>
      <c r="AD1084" s="270">
        <f t="shared" si="276"/>
        <v>111723</v>
      </c>
      <c r="AE1084" s="270">
        <f t="shared" si="275"/>
        <v>111723</v>
      </c>
      <c r="AF1084" s="270">
        <f t="shared" si="274"/>
        <v>111723</v>
      </c>
      <c r="AG1084" s="270">
        <f t="shared" si="274"/>
        <v>111723</v>
      </c>
      <c r="AH1084" s="270">
        <f t="shared" si="274"/>
        <v>111723</v>
      </c>
      <c r="AI1084" s="270">
        <f t="shared" si="274"/>
        <v>111723</v>
      </c>
      <c r="AJ1084" s="270">
        <f t="shared" si="274"/>
        <v>111723</v>
      </c>
      <c r="AK1084" s="270">
        <f t="shared" si="274"/>
        <v>111723</v>
      </c>
      <c r="AL1084" s="270">
        <f t="shared" si="274"/>
        <v>111723</v>
      </c>
      <c r="AM1084" s="270">
        <f t="shared" si="274"/>
        <v>111723</v>
      </c>
    </row>
    <row r="1085" spans="2:39" ht="15.75" thickBot="1" x14ac:dyDescent="0.35">
      <c r="B1085" s="56" t="str">
        <f>input_names!$E$3</f>
        <v>plug-in</v>
      </c>
      <c r="C1085" s="61">
        <v>330</v>
      </c>
      <c r="D1085" s="270">
        <f t="shared" si="276"/>
        <v>77464</v>
      </c>
      <c r="E1085" s="270">
        <f t="shared" si="276"/>
        <v>87142</v>
      </c>
      <c r="F1085" s="270">
        <f t="shared" si="276"/>
        <v>86400</v>
      </c>
      <c r="G1085" s="270">
        <f t="shared" si="276"/>
        <v>83230</v>
      </c>
      <c r="H1085" s="270">
        <f t="shared" si="276"/>
        <v>78950</v>
      </c>
      <c r="I1085" s="270">
        <f t="shared" si="276"/>
        <v>77790</v>
      </c>
      <c r="J1085" s="270">
        <f t="shared" si="276"/>
        <v>57540</v>
      </c>
      <c r="K1085" s="270">
        <f t="shared" si="276"/>
        <v>58106</v>
      </c>
      <c r="L1085" s="270">
        <f t="shared" si="276"/>
        <v>61840</v>
      </c>
      <c r="M1085" s="270">
        <f t="shared" si="276"/>
        <v>68082</v>
      </c>
      <c r="N1085" s="270">
        <f t="shared" si="276"/>
        <v>112291</v>
      </c>
      <c r="O1085" s="270">
        <f t="shared" si="276"/>
        <v>112291</v>
      </c>
      <c r="P1085" s="270">
        <f t="shared" si="276"/>
        <v>112291</v>
      </c>
      <c r="Q1085" s="270">
        <f t="shared" si="276"/>
        <v>112291</v>
      </c>
      <c r="R1085" s="270">
        <f t="shared" si="276"/>
        <v>112291</v>
      </c>
      <c r="S1085" s="270">
        <f t="shared" si="277"/>
        <v>112291</v>
      </c>
      <c r="T1085" s="270">
        <f t="shared" si="277"/>
        <v>112291</v>
      </c>
      <c r="U1085" s="270">
        <f t="shared" si="277"/>
        <v>112291</v>
      </c>
      <c r="V1085" s="270">
        <f t="shared" si="277"/>
        <v>112291</v>
      </c>
      <c r="W1085" s="270">
        <f t="shared" si="277"/>
        <v>112291</v>
      </c>
      <c r="X1085" s="270">
        <f t="shared" si="277"/>
        <v>112291</v>
      </c>
      <c r="Y1085" s="270">
        <f t="shared" si="277"/>
        <v>112291</v>
      </c>
      <c r="Z1085" s="270">
        <f t="shared" si="277"/>
        <v>112291</v>
      </c>
      <c r="AA1085" s="270">
        <f t="shared" si="277"/>
        <v>112291</v>
      </c>
      <c r="AB1085" s="270">
        <f t="shared" si="277"/>
        <v>112291</v>
      </c>
      <c r="AC1085" s="270">
        <f t="shared" si="277"/>
        <v>112291</v>
      </c>
      <c r="AD1085" s="270">
        <f t="shared" si="276"/>
        <v>112291</v>
      </c>
      <c r="AE1085" s="270">
        <f t="shared" si="275"/>
        <v>112291</v>
      </c>
      <c r="AF1085" s="270">
        <f t="shared" si="274"/>
        <v>112291</v>
      </c>
      <c r="AG1085" s="270">
        <f t="shared" si="274"/>
        <v>112291</v>
      </c>
      <c r="AH1085" s="270">
        <f t="shared" si="274"/>
        <v>112291</v>
      </c>
      <c r="AI1085" s="270">
        <f t="shared" si="274"/>
        <v>112291</v>
      </c>
      <c r="AJ1085" s="270">
        <f t="shared" si="274"/>
        <v>112291</v>
      </c>
      <c r="AK1085" s="270">
        <f t="shared" si="274"/>
        <v>112291</v>
      </c>
      <c r="AL1085" s="270">
        <f t="shared" si="274"/>
        <v>112291</v>
      </c>
      <c r="AM1085" s="270">
        <f t="shared" si="274"/>
        <v>112291</v>
      </c>
    </row>
    <row r="1086" spans="2:39" ht="15.75" thickBot="1" x14ac:dyDescent="0.35">
      <c r="B1086" s="56" t="str">
        <f>input_names!$E$3</f>
        <v>plug-in</v>
      </c>
      <c r="C1086" s="61">
        <v>331</v>
      </c>
      <c r="D1086" s="270">
        <f t="shared" si="276"/>
        <v>77898</v>
      </c>
      <c r="E1086" s="270">
        <f t="shared" si="276"/>
        <v>87618</v>
      </c>
      <c r="F1086" s="270">
        <f t="shared" si="276"/>
        <v>86700</v>
      </c>
      <c r="G1086" s="270">
        <f t="shared" si="276"/>
        <v>83519</v>
      </c>
      <c r="H1086" s="270">
        <f t="shared" si="276"/>
        <v>79221</v>
      </c>
      <c r="I1086" s="270">
        <f t="shared" si="276"/>
        <v>78057</v>
      </c>
      <c r="J1086" s="270">
        <f t="shared" si="276"/>
        <v>57742</v>
      </c>
      <c r="K1086" s="270">
        <f t="shared" si="276"/>
        <v>58310</v>
      </c>
      <c r="L1086" s="270">
        <f t="shared" si="276"/>
        <v>62057</v>
      </c>
      <c r="M1086" s="270">
        <f t="shared" si="276"/>
        <v>68321</v>
      </c>
      <c r="N1086" s="270">
        <f t="shared" si="276"/>
        <v>112859</v>
      </c>
      <c r="O1086" s="270">
        <f t="shared" si="276"/>
        <v>112859</v>
      </c>
      <c r="P1086" s="270">
        <f t="shared" si="276"/>
        <v>112859</v>
      </c>
      <c r="Q1086" s="270">
        <f t="shared" si="276"/>
        <v>112859</v>
      </c>
      <c r="R1086" s="270">
        <f t="shared" si="276"/>
        <v>112859</v>
      </c>
      <c r="S1086" s="270">
        <f t="shared" si="277"/>
        <v>112859</v>
      </c>
      <c r="T1086" s="270">
        <f t="shared" si="277"/>
        <v>112859</v>
      </c>
      <c r="U1086" s="270">
        <f t="shared" si="277"/>
        <v>112859</v>
      </c>
      <c r="V1086" s="270">
        <f t="shared" si="277"/>
        <v>112859</v>
      </c>
      <c r="W1086" s="270">
        <f t="shared" si="277"/>
        <v>112859</v>
      </c>
      <c r="X1086" s="270">
        <f t="shared" si="277"/>
        <v>112859</v>
      </c>
      <c r="Y1086" s="270">
        <f t="shared" si="277"/>
        <v>112859</v>
      </c>
      <c r="Z1086" s="270">
        <f t="shared" si="277"/>
        <v>112859</v>
      </c>
      <c r="AA1086" s="270">
        <f t="shared" si="277"/>
        <v>112859</v>
      </c>
      <c r="AB1086" s="270">
        <f t="shared" si="277"/>
        <v>112859</v>
      </c>
      <c r="AC1086" s="270">
        <f t="shared" si="277"/>
        <v>112859</v>
      </c>
      <c r="AD1086" s="270">
        <f t="shared" si="276"/>
        <v>112859</v>
      </c>
      <c r="AE1086" s="270">
        <f t="shared" si="275"/>
        <v>112859</v>
      </c>
      <c r="AF1086" s="270">
        <f t="shared" si="274"/>
        <v>112859</v>
      </c>
      <c r="AG1086" s="270">
        <f t="shared" si="274"/>
        <v>112859</v>
      </c>
      <c r="AH1086" s="270">
        <f t="shared" si="274"/>
        <v>112859</v>
      </c>
      <c r="AI1086" s="270">
        <f t="shared" si="274"/>
        <v>112859</v>
      </c>
      <c r="AJ1086" s="270">
        <f t="shared" si="274"/>
        <v>112859</v>
      </c>
      <c r="AK1086" s="270">
        <f t="shared" si="274"/>
        <v>112859</v>
      </c>
      <c r="AL1086" s="270">
        <f t="shared" si="274"/>
        <v>112859</v>
      </c>
      <c r="AM1086" s="270">
        <f t="shared" si="274"/>
        <v>112859</v>
      </c>
    </row>
    <row r="1087" spans="2:39" ht="15.75" thickBot="1" x14ac:dyDescent="0.35">
      <c r="B1087" s="56" t="str">
        <f>input_names!$E$3</f>
        <v>plug-in</v>
      </c>
      <c r="C1087" s="61">
        <v>332</v>
      </c>
      <c r="D1087" s="270">
        <f t="shared" si="276"/>
        <v>78332</v>
      </c>
      <c r="E1087" s="270">
        <f t="shared" si="276"/>
        <v>88094</v>
      </c>
      <c r="F1087" s="270">
        <f t="shared" si="276"/>
        <v>87000</v>
      </c>
      <c r="G1087" s="270">
        <f t="shared" si="276"/>
        <v>83808</v>
      </c>
      <c r="H1087" s="270">
        <f t="shared" si="276"/>
        <v>79492</v>
      </c>
      <c r="I1087" s="270">
        <f t="shared" si="276"/>
        <v>78324</v>
      </c>
      <c r="J1087" s="270">
        <f t="shared" si="276"/>
        <v>57944</v>
      </c>
      <c r="K1087" s="270">
        <f t="shared" si="276"/>
        <v>58514</v>
      </c>
      <c r="L1087" s="270">
        <f t="shared" si="276"/>
        <v>62274</v>
      </c>
      <c r="M1087" s="270">
        <f t="shared" si="276"/>
        <v>68560</v>
      </c>
      <c r="N1087" s="270">
        <f t="shared" si="276"/>
        <v>113427</v>
      </c>
      <c r="O1087" s="270">
        <f t="shared" si="276"/>
        <v>113427</v>
      </c>
      <c r="P1087" s="270">
        <f t="shared" si="276"/>
        <v>113427</v>
      </c>
      <c r="Q1087" s="270">
        <f t="shared" si="276"/>
        <v>113427</v>
      </c>
      <c r="R1087" s="270">
        <f t="shared" si="276"/>
        <v>113427</v>
      </c>
      <c r="S1087" s="270">
        <f t="shared" si="277"/>
        <v>113427</v>
      </c>
      <c r="T1087" s="270">
        <f t="shared" si="277"/>
        <v>113427</v>
      </c>
      <c r="U1087" s="270">
        <f t="shared" si="277"/>
        <v>113427</v>
      </c>
      <c r="V1087" s="270">
        <f t="shared" si="277"/>
        <v>113427</v>
      </c>
      <c r="W1087" s="270">
        <f t="shared" si="277"/>
        <v>113427</v>
      </c>
      <c r="X1087" s="270">
        <f t="shared" si="277"/>
        <v>113427</v>
      </c>
      <c r="Y1087" s="270">
        <f t="shared" si="277"/>
        <v>113427</v>
      </c>
      <c r="Z1087" s="270">
        <f t="shared" si="277"/>
        <v>113427</v>
      </c>
      <c r="AA1087" s="270">
        <f t="shared" si="277"/>
        <v>113427</v>
      </c>
      <c r="AB1087" s="270">
        <f t="shared" si="277"/>
        <v>113427</v>
      </c>
      <c r="AC1087" s="270">
        <f t="shared" si="277"/>
        <v>113427</v>
      </c>
      <c r="AD1087" s="270">
        <f t="shared" si="276"/>
        <v>113427</v>
      </c>
      <c r="AE1087" s="270">
        <f t="shared" si="275"/>
        <v>113427</v>
      </c>
      <c r="AF1087" s="270">
        <f t="shared" si="274"/>
        <v>113427</v>
      </c>
      <c r="AG1087" s="270">
        <f t="shared" si="274"/>
        <v>113427</v>
      </c>
      <c r="AH1087" s="270">
        <f t="shared" si="274"/>
        <v>113427</v>
      </c>
      <c r="AI1087" s="270">
        <f t="shared" si="274"/>
        <v>113427</v>
      </c>
      <c r="AJ1087" s="270">
        <f t="shared" si="274"/>
        <v>113427</v>
      </c>
      <c r="AK1087" s="270">
        <f t="shared" si="274"/>
        <v>113427</v>
      </c>
      <c r="AL1087" s="270">
        <f t="shared" si="274"/>
        <v>113427</v>
      </c>
      <c r="AM1087" s="270">
        <f t="shared" si="274"/>
        <v>113427</v>
      </c>
    </row>
    <row r="1088" spans="2:39" ht="15.75" thickBot="1" x14ac:dyDescent="0.35">
      <c r="B1088" s="56" t="str">
        <f>input_names!$E$3</f>
        <v>plug-in</v>
      </c>
      <c r="C1088" s="61">
        <v>333</v>
      </c>
      <c r="D1088" s="270">
        <f t="shared" si="276"/>
        <v>78766</v>
      </c>
      <c r="E1088" s="270">
        <f t="shared" si="276"/>
        <v>88570</v>
      </c>
      <c r="F1088" s="270">
        <f t="shared" si="276"/>
        <v>87300</v>
      </c>
      <c r="G1088" s="270">
        <f t="shared" si="276"/>
        <v>84097</v>
      </c>
      <c r="H1088" s="270">
        <f t="shared" si="276"/>
        <v>79763</v>
      </c>
      <c r="I1088" s="270">
        <f t="shared" si="276"/>
        <v>78591</v>
      </c>
      <c r="J1088" s="270">
        <f t="shared" si="276"/>
        <v>58146</v>
      </c>
      <c r="K1088" s="270">
        <f t="shared" si="276"/>
        <v>58718</v>
      </c>
      <c r="L1088" s="270">
        <f t="shared" si="276"/>
        <v>62491</v>
      </c>
      <c r="M1088" s="270">
        <f t="shared" si="276"/>
        <v>68799</v>
      </c>
      <c r="N1088" s="270">
        <f t="shared" si="276"/>
        <v>113995</v>
      </c>
      <c r="O1088" s="270">
        <f t="shared" si="276"/>
        <v>113995</v>
      </c>
      <c r="P1088" s="270">
        <f t="shared" si="276"/>
        <v>113995</v>
      </c>
      <c r="Q1088" s="270">
        <f t="shared" si="276"/>
        <v>113995</v>
      </c>
      <c r="R1088" s="270">
        <f t="shared" si="276"/>
        <v>113995</v>
      </c>
      <c r="S1088" s="270">
        <f t="shared" si="277"/>
        <v>113995</v>
      </c>
      <c r="T1088" s="270">
        <f t="shared" si="277"/>
        <v>113995</v>
      </c>
      <c r="U1088" s="270">
        <f t="shared" si="277"/>
        <v>113995</v>
      </c>
      <c r="V1088" s="270">
        <f t="shared" si="277"/>
        <v>113995</v>
      </c>
      <c r="W1088" s="270">
        <f t="shared" si="277"/>
        <v>113995</v>
      </c>
      <c r="X1088" s="270">
        <f t="shared" si="277"/>
        <v>113995</v>
      </c>
      <c r="Y1088" s="270">
        <f t="shared" si="277"/>
        <v>113995</v>
      </c>
      <c r="Z1088" s="270">
        <f t="shared" si="277"/>
        <v>113995</v>
      </c>
      <c r="AA1088" s="270">
        <f t="shared" si="277"/>
        <v>113995</v>
      </c>
      <c r="AB1088" s="270">
        <f t="shared" si="277"/>
        <v>113995</v>
      </c>
      <c r="AC1088" s="270">
        <f t="shared" si="277"/>
        <v>113995</v>
      </c>
      <c r="AD1088" s="270">
        <f t="shared" si="276"/>
        <v>113995</v>
      </c>
      <c r="AE1088" s="270">
        <f t="shared" si="275"/>
        <v>113995</v>
      </c>
      <c r="AF1088" s="270">
        <f t="shared" si="274"/>
        <v>113995</v>
      </c>
      <c r="AG1088" s="270">
        <f t="shared" si="274"/>
        <v>113995</v>
      </c>
      <c r="AH1088" s="270">
        <f t="shared" si="274"/>
        <v>113995</v>
      </c>
      <c r="AI1088" s="270">
        <f t="shared" si="274"/>
        <v>113995</v>
      </c>
      <c r="AJ1088" s="270">
        <f t="shared" si="274"/>
        <v>113995</v>
      </c>
      <c r="AK1088" s="270">
        <f t="shared" si="274"/>
        <v>113995</v>
      </c>
      <c r="AL1088" s="270">
        <f t="shared" si="274"/>
        <v>113995</v>
      </c>
      <c r="AM1088" s="270">
        <f t="shared" si="274"/>
        <v>113995</v>
      </c>
    </row>
    <row r="1089" spans="2:39" ht="15.75" thickBot="1" x14ac:dyDescent="0.35">
      <c r="B1089" s="56" t="str">
        <f>input_names!$E$3</f>
        <v>plug-in</v>
      </c>
      <c r="C1089" s="61">
        <v>334</v>
      </c>
      <c r="D1089" s="270">
        <f t="shared" si="276"/>
        <v>79200</v>
      </c>
      <c r="E1089" s="270">
        <f t="shared" si="276"/>
        <v>89046</v>
      </c>
      <c r="F1089" s="270">
        <f t="shared" si="276"/>
        <v>87600</v>
      </c>
      <c r="G1089" s="270">
        <f t="shared" si="276"/>
        <v>84386</v>
      </c>
      <c r="H1089" s="270">
        <f t="shared" si="276"/>
        <v>80034</v>
      </c>
      <c r="I1089" s="270">
        <f t="shared" si="276"/>
        <v>78858</v>
      </c>
      <c r="J1089" s="270">
        <f t="shared" si="276"/>
        <v>58348</v>
      </c>
      <c r="K1089" s="270">
        <f t="shared" si="276"/>
        <v>58922</v>
      </c>
      <c r="L1089" s="270">
        <f t="shared" si="276"/>
        <v>62708</v>
      </c>
      <c r="M1089" s="270">
        <f t="shared" si="276"/>
        <v>69038</v>
      </c>
      <c r="N1089" s="270">
        <f t="shared" si="276"/>
        <v>114563</v>
      </c>
      <c r="O1089" s="270">
        <f t="shared" si="276"/>
        <v>114563</v>
      </c>
      <c r="P1089" s="270">
        <f t="shared" si="276"/>
        <v>114563</v>
      </c>
      <c r="Q1089" s="270">
        <f t="shared" si="276"/>
        <v>114563</v>
      </c>
      <c r="R1089" s="270">
        <f t="shared" si="276"/>
        <v>114563</v>
      </c>
      <c r="S1089" s="270">
        <f>+MIN(MAX(0,$C1089-S$28),S$29-S$28)*S$34
+MIN(MAX(0,$C1089-S$29),S$30-S$29)*S$35
+MIN(MAX(0,$C1089-S$30),S$31-S$30)*S$36
+MIN(MAX(0,$C1089-S$31),S$32-S$31)*S$37
+MAX(0,$C1089-S$32)*S$38
+S$39</f>
        <v>114563</v>
      </c>
      <c r="T1089" s="270">
        <f t="shared" si="277"/>
        <v>114563</v>
      </c>
      <c r="U1089" s="270">
        <f t="shared" si="277"/>
        <v>114563</v>
      </c>
      <c r="V1089" s="270">
        <f t="shared" si="277"/>
        <v>114563</v>
      </c>
      <c r="W1089" s="270">
        <f t="shared" si="277"/>
        <v>114563</v>
      </c>
      <c r="X1089" s="270">
        <f t="shared" si="277"/>
        <v>114563</v>
      </c>
      <c r="Y1089" s="270">
        <f t="shared" si="277"/>
        <v>114563</v>
      </c>
      <c r="Z1089" s="270">
        <f t="shared" si="277"/>
        <v>114563</v>
      </c>
      <c r="AA1089" s="270">
        <f t="shared" si="277"/>
        <v>114563</v>
      </c>
      <c r="AB1089" s="270">
        <f t="shared" si="277"/>
        <v>114563</v>
      </c>
      <c r="AC1089" s="270">
        <f t="shared" si="277"/>
        <v>114563</v>
      </c>
      <c r="AD1089" s="270">
        <f>+MIN(MAX(0,$C1089-AD$28),AD$29-AD$28)*AD$34
+MIN(MAX(0,$C1089-AD$29),AD$30-AD$29)*AD$35
+MIN(MAX(0,$C1089-AD$30),AD$31-AD$30)*AD$36
+MIN(MAX(0,$C1089-AD$31),AD$32-AD$31)*AD$37
+MAX(0,$C1089-AD$32)*AD$38
+AD$39</f>
        <v>114563</v>
      </c>
      <c r="AE1089" s="270">
        <f t="shared" si="275"/>
        <v>114563</v>
      </c>
      <c r="AF1089" s="270">
        <f t="shared" si="274"/>
        <v>114563</v>
      </c>
      <c r="AG1089" s="270">
        <f t="shared" si="274"/>
        <v>114563</v>
      </c>
      <c r="AH1089" s="270">
        <f t="shared" si="274"/>
        <v>114563</v>
      </c>
      <c r="AI1089" s="270">
        <f t="shared" si="274"/>
        <v>114563</v>
      </c>
      <c r="AJ1089" s="270">
        <f t="shared" si="274"/>
        <v>114563</v>
      </c>
      <c r="AK1089" s="270">
        <f t="shared" si="274"/>
        <v>114563</v>
      </c>
      <c r="AL1089" s="270">
        <f t="shared" si="274"/>
        <v>114563</v>
      </c>
      <c r="AM1089" s="270">
        <f t="shared" si="274"/>
        <v>114563</v>
      </c>
    </row>
    <row r="1090" spans="2:39" ht="15.75" thickBot="1" x14ac:dyDescent="0.35">
      <c r="B1090" s="56" t="str">
        <f>input_names!$E$3</f>
        <v>plug-in</v>
      </c>
      <c r="C1090" s="61">
        <v>335</v>
      </c>
      <c r="D1090" s="270">
        <f t="shared" ref="D1090:AD1105" si="278">+MIN(MAX(0,$C1090-D$28),D$29-D$28)*D$34
+MIN(MAX(0,$C1090-D$29),D$30-D$29)*D$35
+MIN(MAX(0,$C1090-D$30),D$31-D$30)*D$36
+MIN(MAX(0,$C1090-D$31),D$32-D$31)*D$37
+MAX(0,$C1090-D$32)*D$38
+D$39</f>
        <v>79634</v>
      </c>
      <c r="E1090" s="270">
        <f t="shared" si="278"/>
        <v>89522</v>
      </c>
      <c r="F1090" s="270">
        <f t="shared" si="278"/>
        <v>87900</v>
      </c>
      <c r="G1090" s="270">
        <f t="shared" si="278"/>
        <v>84675</v>
      </c>
      <c r="H1090" s="270">
        <f t="shared" si="278"/>
        <v>80305</v>
      </c>
      <c r="I1090" s="270">
        <f t="shared" si="278"/>
        <v>79125</v>
      </c>
      <c r="J1090" s="270">
        <f t="shared" si="278"/>
        <v>58550</v>
      </c>
      <c r="K1090" s="270">
        <f t="shared" si="278"/>
        <v>59126</v>
      </c>
      <c r="L1090" s="270">
        <f t="shared" si="278"/>
        <v>62925</v>
      </c>
      <c r="M1090" s="270">
        <f t="shared" si="278"/>
        <v>69277</v>
      </c>
      <c r="N1090" s="270">
        <f t="shared" si="278"/>
        <v>115131</v>
      </c>
      <c r="O1090" s="270">
        <f t="shared" si="278"/>
        <v>115131</v>
      </c>
      <c r="P1090" s="270">
        <f t="shared" si="278"/>
        <v>115131</v>
      </c>
      <c r="Q1090" s="270">
        <f t="shared" si="278"/>
        <v>115131</v>
      </c>
      <c r="R1090" s="270">
        <f t="shared" si="278"/>
        <v>115131</v>
      </c>
      <c r="S1090" s="270">
        <f t="shared" ref="S1090:AC1105" si="279">+MIN(MAX(0,$C1090-S$28),S$29-S$28)*S$34
+MIN(MAX(0,$C1090-S$29),S$30-S$29)*S$35
+MIN(MAX(0,$C1090-S$30),S$31-S$30)*S$36
+MIN(MAX(0,$C1090-S$31),S$32-S$31)*S$37
+MAX(0,$C1090-S$32)*S$38
+S$39</f>
        <v>115131</v>
      </c>
      <c r="T1090" s="270">
        <f t="shared" si="279"/>
        <v>115131</v>
      </c>
      <c r="U1090" s="270">
        <f t="shared" si="279"/>
        <v>115131</v>
      </c>
      <c r="V1090" s="270">
        <f t="shared" si="279"/>
        <v>115131</v>
      </c>
      <c r="W1090" s="270">
        <f t="shared" si="279"/>
        <v>115131</v>
      </c>
      <c r="X1090" s="270">
        <f t="shared" si="279"/>
        <v>115131</v>
      </c>
      <c r="Y1090" s="270">
        <f t="shared" si="279"/>
        <v>115131</v>
      </c>
      <c r="Z1090" s="270">
        <f t="shared" si="279"/>
        <v>115131</v>
      </c>
      <c r="AA1090" s="270">
        <f t="shared" si="279"/>
        <v>115131</v>
      </c>
      <c r="AB1090" s="270">
        <f t="shared" si="279"/>
        <v>115131</v>
      </c>
      <c r="AC1090" s="270">
        <f t="shared" si="279"/>
        <v>115131</v>
      </c>
      <c r="AD1090" s="270">
        <f t="shared" si="278"/>
        <v>115131</v>
      </c>
      <c r="AE1090" s="270">
        <f t="shared" si="275"/>
        <v>115131</v>
      </c>
      <c r="AF1090" s="270">
        <f t="shared" si="274"/>
        <v>115131</v>
      </c>
      <c r="AG1090" s="270">
        <f t="shared" si="274"/>
        <v>115131</v>
      </c>
      <c r="AH1090" s="270">
        <f t="shared" si="274"/>
        <v>115131</v>
      </c>
      <c r="AI1090" s="270">
        <f t="shared" si="274"/>
        <v>115131</v>
      </c>
      <c r="AJ1090" s="270">
        <f t="shared" si="274"/>
        <v>115131</v>
      </c>
      <c r="AK1090" s="270">
        <f t="shared" si="274"/>
        <v>115131</v>
      </c>
      <c r="AL1090" s="270">
        <f t="shared" si="274"/>
        <v>115131</v>
      </c>
      <c r="AM1090" s="270">
        <f t="shared" si="274"/>
        <v>115131</v>
      </c>
    </row>
    <row r="1091" spans="2:39" ht="15.75" thickBot="1" x14ac:dyDescent="0.35">
      <c r="B1091" s="56" t="str">
        <f>input_names!$E$3</f>
        <v>plug-in</v>
      </c>
      <c r="C1091" s="61">
        <v>336</v>
      </c>
      <c r="D1091" s="270">
        <f t="shared" si="278"/>
        <v>80068</v>
      </c>
      <c r="E1091" s="270">
        <f t="shared" si="278"/>
        <v>89998</v>
      </c>
      <c r="F1091" s="270">
        <f t="shared" si="278"/>
        <v>88200</v>
      </c>
      <c r="G1091" s="270">
        <f t="shared" si="278"/>
        <v>84964</v>
      </c>
      <c r="H1091" s="270">
        <f t="shared" si="278"/>
        <v>80576</v>
      </c>
      <c r="I1091" s="270">
        <f t="shared" si="278"/>
        <v>79392</v>
      </c>
      <c r="J1091" s="270">
        <f t="shared" si="278"/>
        <v>58752</v>
      </c>
      <c r="K1091" s="270">
        <f t="shared" si="278"/>
        <v>59330</v>
      </c>
      <c r="L1091" s="270">
        <f t="shared" si="278"/>
        <v>63142</v>
      </c>
      <c r="M1091" s="270">
        <f t="shared" si="278"/>
        <v>69516</v>
      </c>
      <c r="N1091" s="270">
        <f t="shared" si="278"/>
        <v>115699</v>
      </c>
      <c r="O1091" s="270">
        <f t="shared" si="278"/>
        <v>115699</v>
      </c>
      <c r="P1091" s="270">
        <f t="shared" si="278"/>
        <v>115699</v>
      </c>
      <c r="Q1091" s="270">
        <f t="shared" si="278"/>
        <v>115699</v>
      </c>
      <c r="R1091" s="270">
        <f t="shared" si="278"/>
        <v>115699</v>
      </c>
      <c r="S1091" s="270">
        <f t="shared" si="279"/>
        <v>115699</v>
      </c>
      <c r="T1091" s="270">
        <f t="shared" si="279"/>
        <v>115699</v>
      </c>
      <c r="U1091" s="270">
        <f t="shared" si="279"/>
        <v>115699</v>
      </c>
      <c r="V1091" s="270">
        <f t="shared" si="279"/>
        <v>115699</v>
      </c>
      <c r="W1091" s="270">
        <f t="shared" si="279"/>
        <v>115699</v>
      </c>
      <c r="X1091" s="270">
        <f t="shared" si="279"/>
        <v>115699</v>
      </c>
      <c r="Y1091" s="270">
        <f t="shared" si="279"/>
        <v>115699</v>
      </c>
      <c r="Z1091" s="270">
        <f t="shared" si="279"/>
        <v>115699</v>
      </c>
      <c r="AA1091" s="270">
        <f t="shared" si="279"/>
        <v>115699</v>
      </c>
      <c r="AB1091" s="270">
        <f t="shared" si="279"/>
        <v>115699</v>
      </c>
      <c r="AC1091" s="270">
        <f t="shared" si="279"/>
        <v>115699</v>
      </c>
      <c r="AD1091" s="270">
        <f t="shared" si="278"/>
        <v>115699</v>
      </c>
      <c r="AE1091" s="270">
        <f t="shared" si="275"/>
        <v>115699</v>
      </c>
      <c r="AF1091" s="270">
        <f t="shared" si="274"/>
        <v>115699</v>
      </c>
      <c r="AG1091" s="270">
        <f t="shared" si="274"/>
        <v>115699</v>
      </c>
      <c r="AH1091" s="270">
        <f t="shared" si="274"/>
        <v>115699</v>
      </c>
      <c r="AI1091" s="270">
        <f t="shared" si="274"/>
        <v>115699</v>
      </c>
      <c r="AJ1091" s="270">
        <f t="shared" si="274"/>
        <v>115699</v>
      </c>
      <c r="AK1091" s="270">
        <f t="shared" si="274"/>
        <v>115699</v>
      </c>
      <c r="AL1091" s="270">
        <f t="shared" si="274"/>
        <v>115699</v>
      </c>
      <c r="AM1091" s="270">
        <f t="shared" si="274"/>
        <v>115699</v>
      </c>
    </row>
    <row r="1092" spans="2:39" ht="15.75" thickBot="1" x14ac:dyDescent="0.35">
      <c r="B1092" s="56" t="str">
        <f>input_names!$E$3</f>
        <v>plug-in</v>
      </c>
      <c r="C1092" s="61">
        <v>337</v>
      </c>
      <c r="D1092" s="270">
        <f t="shared" si="278"/>
        <v>80502</v>
      </c>
      <c r="E1092" s="270">
        <f t="shared" si="278"/>
        <v>90474</v>
      </c>
      <c r="F1092" s="270">
        <f t="shared" si="278"/>
        <v>88500</v>
      </c>
      <c r="G1092" s="270">
        <f t="shared" si="278"/>
        <v>85253</v>
      </c>
      <c r="H1092" s="270">
        <f t="shared" si="278"/>
        <v>80847</v>
      </c>
      <c r="I1092" s="270">
        <f t="shared" si="278"/>
        <v>79659</v>
      </c>
      <c r="J1092" s="270">
        <f t="shared" si="278"/>
        <v>58954</v>
      </c>
      <c r="K1092" s="270">
        <f t="shared" si="278"/>
        <v>59534</v>
      </c>
      <c r="L1092" s="270">
        <f t="shared" si="278"/>
        <v>63359</v>
      </c>
      <c r="M1092" s="270">
        <f t="shared" si="278"/>
        <v>69755</v>
      </c>
      <c r="N1092" s="270">
        <f t="shared" si="278"/>
        <v>116267</v>
      </c>
      <c r="O1092" s="270">
        <f t="shared" si="278"/>
        <v>116267</v>
      </c>
      <c r="P1092" s="270">
        <f t="shared" si="278"/>
        <v>116267</v>
      </c>
      <c r="Q1092" s="270">
        <f t="shared" si="278"/>
        <v>116267</v>
      </c>
      <c r="R1092" s="270">
        <f t="shared" si="278"/>
        <v>116267</v>
      </c>
      <c r="S1092" s="270">
        <f t="shared" si="279"/>
        <v>116267</v>
      </c>
      <c r="T1092" s="270">
        <f t="shared" si="279"/>
        <v>116267</v>
      </c>
      <c r="U1092" s="270">
        <f t="shared" si="279"/>
        <v>116267</v>
      </c>
      <c r="V1092" s="270">
        <f t="shared" si="279"/>
        <v>116267</v>
      </c>
      <c r="W1092" s="270">
        <f t="shared" si="279"/>
        <v>116267</v>
      </c>
      <c r="X1092" s="270">
        <f t="shared" si="279"/>
        <v>116267</v>
      </c>
      <c r="Y1092" s="270">
        <f t="shared" si="279"/>
        <v>116267</v>
      </c>
      <c r="Z1092" s="270">
        <f t="shared" si="279"/>
        <v>116267</v>
      </c>
      <c r="AA1092" s="270">
        <f t="shared" si="279"/>
        <v>116267</v>
      </c>
      <c r="AB1092" s="270">
        <f t="shared" si="279"/>
        <v>116267</v>
      </c>
      <c r="AC1092" s="270">
        <f t="shared" si="279"/>
        <v>116267</v>
      </c>
      <c r="AD1092" s="270">
        <f t="shared" si="278"/>
        <v>116267</v>
      </c>
      <c r="AE1092" s="270">
        <f t="shared" si="275"/>
        <v>116267</v>
      </c>
      <c r="AF1092" s="270">
        <f t="shared" si="274"/>
        <v>116267</v>
      </c>
      <c r="AG1092" s="270">
        <f t="shared" si="274"/>
        <v>116267</v>
      </c>
      <c r="AH1092" s="270">
        <f t="shared" si="274"/>
        <v>116267</v>
      </c>
      <c r="AI1092" s="270">
        <f t="shared" si="274"/>
        <v>116267</v>
      </c>
      <c r="AJ1092" s="270">
        <f t="shared" si="274"/>
        <v>116267</v>
      </c>
      <c r="AK1092" s="270">
        <f t="shared" si="274"/>
        <v>116267</v>
      </c>
      <c r="AL1092" s="270">
        <f t="shared" si="274"/>
        <v>116267</v>
      </c>
      <c r="AM1092" s="270">
        <f t="shared" si="274"/>
        <v>116267</v>
      </c>
    </row>
    <row r="1093" spans="2:39" ht="15.75" thickBot="1" x14ac:dyDescent="0.35">
      <c r="B1093" s="56" t="str">
        <f>input_names!$E$3</f>
        <v>plug-in</v>
      </c>
      <c r="C1093" s="61">
        <v>338</v>
      </c>
      <c r="D1093" s="270">
        <f t="shared" si="278"/>
        <v>80936</v>
      </c>
      <c r="E1093" s="270">
        <f t="shared" si="278"/>
        <v>90950</v>
      </c>
      <c r="F1093" s="270">
        <f t="shared" si="278"/>
        <v>88800</v>
      </c>
      <c r="G1093" s="270">
        <f t="shared" si="278"/>
        <v>85542</v>
      </c>
      <c r="H1093" s="270">
        <f t="shared" si="278"/>
        <v>81118</v>
      </c>
      <c r="I1093" s="270">
        <f t="shared" si="278"/>
        <v>79926</v>
      </c>
      <c r="J1093" s="270">
        <f t="shared" si="278"/>
        <v>59156</v>
      </c>
      <c r="K1093" s="270">
        <f t="shared" si="278"/>
        <v>59738</v>
      </c>
      <c r="L1093" s="270">
        <f t="shared" si="278"/>
        <v>63576</v>
      </c>
      <c r="M1093" s="270">
        <f t="shared" si="278"/>
        <v>69994</v>
      </c>
      <c r="N1093" s="270">
        <f t="shared" si="278"/>
        <v>116835</v>
      </c>
      <c r="O1093" s="270">
        <f t="shared" si="278"/>
        <v>116835</v>
      </c>
      <c r="P1093" s="270">
        <f t="shared" si="278"/>
        <v>116835</v>
      </c>
      <c r="Q1093" s="270">
        <f t="shared" si="278"/>
        <v>116835</v>
      </c>
      <c r="R1093" s="270">
        <f t="shared" si="278"/>
        <v>116835</v>
      </c>
      <c r="S1093" s="270">
        <f t="shared" si="279"/>
        <v>116835</v>
      </c>
      <c r="T1093" s="270">
        <f t="shared" si="279"/>
        <v>116835</v>
      </c>
      <c r="U1093" s="270">
        <f t="shared" si="279"/>
        <v>116835</v>
      </c>
      <c r="V1093" s="270">
        <f t="shared" si="279"/>
        <v>116835</v>
      </c>
      <c r="W1093" s="270">
        <f t="shared" si="279"/>
        <v>116835</v>
      </c>
      <c r="X1093" s="270">
        <f t="shared" si="279"/>
        <v>116835</v>
      </c>
      <c r="Y1093" s="270">
        <f t="shared" si="279"/>
        <v>116835</v>
      </c>
      <c r="Z1093" s="270">
        <f t="shared" si="279"/>
        <v>116835</v>
      </c>
      <c r="AA1093" s="270">
        <f t="shared" si="279"/>
        <v>116835</v>
      </c>
      <c r="AB1093" s="270">
        <f t="shared" si="279"/>
        <v>116835</v>
      </c>
      <c r="AC1093" s="270">
        <f t="shared" si="279"/>
        <v>116835</v>
      </c>
      <c r="AD1093" s="270">
        <f t="shared" si="278"/>
        <v>116835</v>
      </c>
      <c r="AE1093" s="270">
        <f t="shared" si="275"/>
        <v>116835</v>
      </c>
      <c r="AF1093" s="270">
        <f t="shared" si="274"/>
        <v>116835</v>
      </c>
      <c r="AG1093" s="270">
        <f t="shared" si="274"/>
        <v>116835</v>
      </c>
      <c r="AH1093" s="270">
        <f t="shared" si="274"/>
        <v>116835</v>
      </c>
      <c r="AI1093" s="270">
        <f t="shared" si="274"/>
        <v>116835</v>
      </c>
      <c r="AJ1093" s="270">
        <f t="shared" si="274"/>
        <v>116835</v>
      </c>
      <c r="AK1093" s="270">
        <f t="shared" si="274"/>
        <v>116835</v>
      </c>
      <c r="AL1093" s="270">
        <f t="shared" si="274"/>
        <v>116835</v>
      </c>
      <c r="AM1093" s="270">
        <f t="shared" si="274"/>
        <v>116835</v>
      </c>
    </row>
    <row r="1094" spans="2:39" ht="15.75" thickBot="1" x14ac:dyDescent="0.35">
      <c r="B1094" s="56" t="str">
        <f>input_names!$E$3</f>
        <v>plug-in</v>
      </c>
      <c r="C1094" s="61">
        <v>339</v>
      </c>
      <c r="D1094" s="270">
        <f t="shared" si="278"/>
        <v>81370</v>
      </c>
      <c r="E1094" s="270">
        <f t="shared" si="278"/>
        <v>91426</v>
      </c>
      <c r="F1094" s="270">
        <f t="shared" si="278"/>
        <v>89100</v>
      </c>
      <c r="G1094" s="270">
        <f t="shared" si="278"/>
        <v>85831</v>
      </c>
      <c r="H1094" s="270">
        <f t="shared" si="278"/>
        <v>81389</v>
      </c>
      <c r="I1094" s="270">
        <f t="shared" si="278"/>
        <v>80193</v>
      </c>
      <c r="J1094" s="270">
        <f t="shared" si="278"/>
        <v>59358</v>
      </c>
      <c r="K1094" s="270">
        <f t="shared" si="278"/>
        <v>59942</v>
      </c>
      <c r="L1094" s="270">
        <f t="shared" si="278"/>
        <v>63793</v>
      </c>
      <c r="M1094" s="270">
        <f t="shared" si="278"/>
        <v>70233</v>
      </c>
      <c r="N1094" s="270">
        <f t="shared" si="278"/>
        <v>117403</v>
      </c>
      <c r="O1094" s="270">
        <f t="shared" si="278"/>
        <v>117403</v>
      </c>
      <c r="P1094" s="270">
        <f t="shared" si="278"/>
        <v>117403</v>
      </c>
      <c r="Q1094" s="270">
        <f t="shared" si="278"/>
        <v>117403</v>
      </c>
      <c r="R1094" s="270">
        <f t="shared" si="278"/>
        <v>117403</v>
      </c>
      <c r="S1094" s="270">
        <f t="shared" si="279"/>
        <v>117403</v>
      </c>
      <c r="T1094" s="270">
        <f t="shared" si="279"/>
        <v>117403</v>
      </c>
      <c r="U1094" s="270">
        <f t="shared" si="279"/>
        <v>117403</v>
      </c>
      <c r="V1094" s="270">
        <f t="shared" si="279"/>
        <v>117403</v>
      </c>
      <c r="W1094" s="270">
        <f t="shared" si="279"/>
        <v>117403</v>
      </c>
      <c r="X1094" s="270">
        <f t="shared" si="279"/>
        <v>117403</v>
      </c>
      <c r="Y1094" s="270">
        <f t="shared" si="279"/>
        <v>117403</v>
      </c>
      <c r="Z1094" s="270">
        <f t="shared" si="279"/>
        <v>117403</v>
      </c>
      <c r="AA1094" s="270">
        <f t="shared" si="279"/>
        <v>117403</v>
      </c>
      <c r="AB1094" s="270">
        <f t="shared" si="279"/>
        <v>117403</v>
      </c>
      <c r="AC1094" s="270">
        <f t="shared" si="279"/>
        <v>117403</v>
      </c>
      <c r="AD1094" s="270">
        <f t="shared" si="278"/>
        <v>117403</v>
      </c>
      <c r="AE1094" s="270">
        <f t="shared" si="275"/>
        <v>117403</v>
      </c>
      <c r="AF1094" s="270">
        <f t="shared" si="274"/>
        <v>117403</v>
      </c>
      <c r="AG1094" s="270">
        <f t="shared" si="274"/>
        <v>117403</v>
      </c>
      <c r="AH1094" s="270">
        <f t="shared" si="274"/>
        <v>117403</v>
      </c>
      <c r="AI1094" s="270">
        <f t="shared" si="274"/>
        <v>117403</v>
      </c>
      <c r="AJ1094" s="270">
        <f t="shared" si="274"/>
        <v>117403</v>
      </c>
      <c r="AK1094" s="270">
        <f t="shared" si="274"/>
        <v>117403</v>
      </c>
      <c r="AL1094" s="270">
        <f t="shared" si="274"/>
        <v>117403</v>
      </c>
      <c r="AM1094" s="270">
        <f t="shared" ref="AF1094:AM1105" si="280">+MIN(MAX(0,$C1094-AM$28),AM$29-AM$28)*AM$34
+MIN(MAX(0,$C1094-AM$29),AM$30-AM$29)*AM$35
+MIN(MAX(0,$C1094-AM$30),AM$31-AM$30)*AM$36
+MIN(MAX(0,$C1094-AM$31),AM$32-AM$31)*AM$37
+MAX(0,$C1094-AM$32)*AM$38
+AM$39</f>
        <v>117403</v>
      </c>
    </row>
    <row r="1095" spans="2:39" ht="15.75" thickBot="1" x14ac:dyDescent="0.35">
      <c r="B1095" s="56" t="str">
        <f>input_names!$E$3</f>
        <v>plug-in</v>
      </c>
      <c r="C1095" s="61">
        <v>340</v>
      </c>
      <c r="D1095" s="270">
        <f t="shared" si="278"/>
        <v>81804</v>
      </c>
      <c r="E1095" s="270">
        <f t="shared" si="278"/>
        <v>91902</v>
      </c>
      <c r="F1095" s="270">
        <f t="shared" si="278"/>
        <v>89400</v>
      </c>
      <c r="G1095" s="270">
        <f t="shared" si="278"/>
        <v>86120</v>
      </c>
      <c r="H1095" s="270">
        <f t="shared" si="278"/>
        <v>81660</v>
      </c>
      <c r="I1095" s="270">
        <f t="shared" si="278"/>
        <v>80460</v>
      </c>
      <c r="J1095" s="270">
        <f t="shared" si="278"/>
        <v>59560</v>
      </c>
      <c r="K1095" s="270">
        <f t="shared" si="278"/>
        <v>60146</v>
      </c>
      <c r="L1095" s="270">
        <f t="shared" si="278"/>
        <v>64010</v>
      </c>
      <c r="M1095" s="270">
        <f t="shared" si="278"/>
        <v>70472</v>
      </c>
      <c r="N1095" s="270">
        <f t="shared" si="278"/>
        <v>117971</v>
      </c>
      <c r="O1095" s="270">
        <f t="shared" si="278"/>
        <v>117971</v>
      </c>
      <c r="P1095" s="270">
        <f t="shared" si="278"/>
        <v>117971</v>
      </c>
      <c r="Q1095" s="270">
        <f t="shared" si="278"/>
        <v>117971</v>
      </c>
      <c r="R1095" s="270">
        <f t="shared" si="278"/>
        <v>117971</v>
      </c>
      <c r="S1095" s="270">
        <f t="shared" si="279"/>
        <v>117971</v>
      </c>
      <c r="T1095" s="270">
        <f t="shared" si="279"/>
        <v>117971</v>
      </c>
      <c r="U1095" s="270">
        <f t="shared" si="279"/>
        <v>117971</v>
      </c>
      <c r="V1095" s="270">
        <f t="shared" si="279"/>
        <v>117971</v>
      </c>
      <c r="W1095" s="270">
        <f t="shared" si="279"/>
        <v>117971</v>
      </c>
      <c r="X1095" s="270">
        <f t="shared" si="279"/>
        <v>117971</v>
      </c>
      <c r="Y1095" s="270">
        <f t="shared" si="279"/>
        <v>117971</v>
      </c>
      <c r="Z1095" s="270">
        <f t="shared" si="279"/>
        <v>117971</v>
      </c>
      <c r="AA1095" s="270">
        <f t="shared" si="279"/>
        <v>117971</v>
      </c>
      <c r="AB1095" s="270">
        <f t="shared" si="279"/>
        <v>117971</v>
      </c>
      <c r="AC1095" s="270">
        <f t="shared" si="279"/>
        <v>117971</v>
      </c>
      <c r="AD1095" s="270">
        <f t="shared" si="278"/>
        <v>117971</v>
      </c>
      <c r="AE1095" s="270">
        <f t="shared" si="275"/>
        <v>117971</v>
      </c>
      <c r="AF1095" s="270">
        <f t="shared" si="280"/>
        <v>117971</v>
      </c>
      <c r="AG1095" s="270">
        <f t="shared" si="280"/>
        <v>117971</v>
      </c>
      <c r="AH1095" s="270">
        <f t="shared" si="280"/>
        <v>117971</v>
      </c>
      <c r="AI1095" s="270">
        <f t="shared" si="280"/>
        <v>117971</v>
      </c>
      <c r="AJ1095" s="270">
        <f t="shared" si="280"/>
        <v>117971</v>
      </c>
      <c r="AK1095" s="270">
        <f t="shared" si="280"/>
        <v>117971</v>
      </c>
      <c r="AL1095" s="270">
        <f t="shared" si="280"/>
        <v>117971</v>
      </c>
      <c r="AM1095" s="270">
        <f t="shared" si="280"/>
        <v>117971</v>
      </c>
    </row>
    <row r="1096" spans="2:39" ht="15.75" thickBot="1" x14ac:dyDescent="0.35">
      <c r="B1096" s="56" t="str">
        <f>input_names!$E$3</f>
        <v>plug-in</v>
      </c>
      <c r="C1096" s="61">
        <v>341</v>
      </c>
      <c r="D1096" s="270">
        <f t="shared" si="278"/>
        <v>82238</v>
      </c>
      <c r="E1096" s="270">
        <f t="shared" si="278"/>
        <v>92378</v>
      </c>
      <c r="F1096" s="270">
        <f t="shared" si="278"/>
        <v>89700</v>
      </c>
      <c r="G1096" s="270">
        <f t="shared" si="278"/>
        <v>86409</v>
      </c>
      <c r="H1096" s="270">
        <f t="shared" si="278"/>
        <v>81931</v>
      </c>
      <c r="I1096" s="270">
        <f t="shared" si="278"/>
        <v>80727</v>
      </c>
      <c r="J1096" s="270">
        <f t="shared" si="278"/>
        <v>59762</v>
      </c>
      <c r="K1096" s="270">
        <f t="shared" si="278"/>
        <v>60350</v>
      </c>
      <c r="L1096" s="270">
        <f t="shared" si="278"/>
        <v>64227</v>
      </c>
      <c r="M1096" s="270">
        <f t="shared" si="278"/>
        <v>70711</v>
      </c>
      <c r="N1096" s="270">
        <f t="shared" si="278"/>
        <v>118539</v>
      </c>
      <c r="O1096" s="270">
        <f t="shared" si="278"/>
        <v>118539</v>
      </c>
      <c r="P1096" s="270">
        <f t="shared" si="278"/>
        <v>118539</v>
      </c>
      <c r="Q1096" s="270">
        <f t="shared" si="278"/>
        <v>118539</v>
      </c>
      <c r="R1096" s="270">
        <f t="shared" si="278"/>
        <v>118539</v>
      </c>
      <c r="S1096" s="270">
        <f t="shared" si="279"/>
        <v>118539</v>
      </c>
      <c r="T1096" s="270">
        <f t="shared" si="279"/>
        <v>118539</v>
      </c>
      <c r="U1096" s="270">
        <f t="shared" si="279"/>
        <v>118539</v>
      </c>
      <c r="V1096" s="270">
        <f t="shared" si="279"/>
        <v>118539</v>
      </c>
      <c r="W1096" s="270">
        <f t="shared" si="279"/>
        <v>118539</v>
      </c>
      <c r="X1096" s="270">
        <f t="shared" si="279"/>
        <v>118539</v>
      </c>
      <c r="Y1096" s="270">
        <f t="shared" si="279"/>
        <v>118539</v>
      </c>
      <c r="Z1096" s="270">
        <f t="shared" si="279"/>
        <v>118539</v>
      </c>
      <c r="AA1096" s="270">
        <f t="shared" si="279"/>
        <v>118539</v>
      </c>
      <c r="AB1096" s="270">
        <f t="shared" si="279"/>
        <v>118539</v>
      </c>
      <c r="AC1096" s="270">
        <f t="shared" si="279"/>
        <v>118539</v>
      </c>
      <c r="AD1096" s="270">
        <f t="shared" si="278"/>
        <v>118539</v>
      </c>
      <c r="AE1096" s="270">
        <f t="shared" si="275"/>
        <v>118539</v>
      </c>
      <c r="AF1096" s="270">
        <f t="shared" si="280"/>
        <v>118539</v>
      </c>
      <c r="AG1096" s="270">
        <f t="shared" si="280"/>
        <v>118539</v>
      </c>
      <c r="AH1096" s="270">
        <f t="shared" si="280"/>
        <v>118539</v>
      </c>
      <c r="AI1096" s="270">
        <f t="shared" si="280"/>
        <v>118539</v>
      </c>
      <c r="AJ1096" s="270">
        <f t="shared" si="280"/>
        <v>118539</v>
      </c>
      <c r="AK1096" s="270">
        <f t="shared" si="280"/>
        <v>118539</v>
      </c>
      <c r="AL1096" s="270">
        <f t="shared" si="280"/>
        <v>118539</v>
      </c>
      <c r="AM1096" s="270">
        <f t="shared" si="280"/>
        <v>118539</v>
      </c>
    </row>
    <row r="1097" spans="2:39" ht="15.75" thickBot="1" x14ac:dyDescent="0.35">
      <c r="B1097" s="56" t="str">
        <f>input_names!$E$3</f>
        <v>plug-in</v>
      </c>
      <c r="C1097" s="61">
        <v>342</v>
      </c>
      <c r="D1097" s="270">
        <f t="shared" si="278"/>
        <v>82672</v>
      </c>
      <c r="E1097" s="270">
        <f t="shared" si="278"/>
        <v>92854</v>
      </c>
      <c r="F1097" s="270">
        <f t="shared" si="278"/>
        <v>90000</v>
      </c>
      <c r="G1097" s="270">
        <f t="shared" si="278"/>
        <v>86698</v>
      </c>
      <c r="H1097" s="270">
        <f t="shared" si="278"/>
        <v>82202</v>
      </c>
      <c r="I1097" s="270">
        <f t="shared" si="278"/>
        <v>80994</v>
      </c>
      <c r="J1097" s="270">
        <f t="shared" si="278"/>
        <v>59964</v>
      </c>
      <c r="K1097" s="270">
        <f t="shared" si="278"/>
        <v>60554</v>
      </c>
      <c r="L1097" s="270">
        <f t="shared" si="278"/>
        <v>64444</v>
      </c>
      <c r="M1097" s="270">
        <f t="shared" si="278"/>
        <v>70950</v>
      </c>
      <c r="N1097" s="270">
        <f t="shared" si="278"/>
        <v>119107</v>
      </c>
      <c r="O1097" s="270">
        <f t="shared" si="278"/>
        <v>119107</v>
      </c>
      <c r="P1097" s="270">
        <f t="shared" si="278"/>
        <v>119107</v>
      </c>
      <c r="Q1097" s="270">
        <f t="shared" si="278"/>
        <v>119107</v>
      </c>
      <c r="R1097" s="270">
        <f t="shared" si="278"/>
        <v>119107</v>
      </c>
      <c r="S1097" s="270">
        <f t="shared" si="279"/>
        <v>119107</v>
      </c>
      <c r="T1097" s="270">
        <f t="shared" si="279"/>
        <v>119107</v>
      </c>
      <c r="U1097" s="270">
        <f t="shared" si="279"/>
        <v>119107</v>
      </c>
      <c r="V1097" s="270">
        <f t="shared" si="279"/>
        <v>119107</v>
      </c>
      <c r="W1097" s="270">
        <f t="shared" si="279"/>
        <v>119107</v>
      </c>
      <c r="X1097" s="270">
        <f t="shared" si="279"/>
        <v>119107</v>
      </c>
      <c r="Y1097" s="270">
        <f t="shared" si="279"/>
        <v>119107</v>
      </c>
      <c r="Z1097" s="270">
        <f t="shared" si="279"/>
        <v>119107</v>
      </c>
      <c r="AA1097" s="270">
        <f t="shared" si="279"/>
        <v>119107</v>
      </c>
      <c r="AB1097" s="270">
        <f t="shared" si="279"/>
        <v>119107</v>
      </c>
      <c r="AC1097" s="270">
        <f t="shared" si="279"/>
        <v>119107</v>
      </c>
      <c r="AD1097" s="270">
        <f t="shared" si="278"/>
        <v>119107</v>
      </c>
      <c r="AE1097" s="270">
        <f t="shared" si="275"/>
        <v>119107</v>
      </c>
      <c r="AF1097" s="270">
        <f t="shared" si="280"/>
        <v>119107</v>
      </c>
      <c r="AG1097" s="270">
        <f t="shared" si="280"/>
        <v>119107</v>
      </c>
      <c r="AH1097" s="270">
        <f t="shared" si="280"/>
        <v>119107</v>
      </c>
      <c r="AI1097" s="270">
        <f t="shared" si="280"/>
        <v>119107</v>
      </c>
      <c r="AJ1097" s="270">
        <f t="shared" si="280"/>
        <v>119107</v>
      </c>
      <c r="AK1097" s="270">
        <f t="shared" si="280"/>
        <v>119107</v>
      </c>
      <c r="AL1097" s="270">
        <f t="shared" si="280"/>
        <v>119107</v>
      </c>
      <c r="AM1097" s="270">
        <f t="shared" si="280"/>
        <v>119107</v>
      </c>
    </row>
    <row r="1098" spans="2:39" ht="15.75" thickBot="1" x14ac:dyDescent="0.35">
      <c r="B1098" s="56" t="str">
        <f>input_names!$E$3</f>
        <v>plug-in</v>
      </c>
      <c r="C1098" s="61">
        <v>343</v>
      </c>
      <c r="D1098" s="270">
        <f t="shared" si="278"/>
        <v>83106</v>
      </c>
      <c r="E1098" s="270">
        <f t="shared" si="278"/>
        <v>93330</v>
      </c>
      <c r="F1098" s="270">
        <f t="shared" si="278"/>
        <v>90300</v>
      </c>
      <c r="G1098" s="270">
        <f t="shared" si="278"/>
        <v>86987</v>
      </c>
      <c r="H1098" s="270">
        <f t="shared" si="278"/>
        <v>82473</v>
      </c>
      <c r="I1098" s="270">
        <f t="shared" si="278"/>
        <v>81261</v>
      </c>
      <c r="J1098" s="270">
        <f t="shared" si="278"/>
        <v>60166</v>
      </c>
      <c r="K1098" s="270">
        <f t="shared" si="278"/>
        <v>60758</v>
      </c>
      <c r="L1098" s="270">
        <f t="shared" si="278"/>
        <v>64661</v>
      </c>
      <c r="M1098" s="270">
        <f t="shared" si="278"/>
        <v>71189</v>
      </c>
      <c r="N1098" s="270">
        <f t="shared" si="278"/>
        <v>119675</v>
      </c>
      <c r="O1098" s="270">
        <f t="shared" si="278"/>
        <v>119675</v>
      </c>
      <c r="P1098" s="270">
        <f t="shared" si="278"/>
        <v>119675</v>
      </c>
      <c r="Q1098" s="270">
        <f t="shared" si="278"/>
        <v>119675</v>
      </c>
      <c r="R1098" s="270">
        <f t="shared" si="278"/>
        <v>119675</v>
      </c>
      <c r="S1098" s="270">
        <f t="shared" si="279"/>
        <v>119675</v>
      </c>
      <c r="T1098" s="270">
        <f t="shared" si="279"/>
        <v>119675</v>
      </c>
      <c r="U1098" s="270">
        <f t="shared" si="279"/>
        <v>119675</v>
      </c>
      <c r="V1098" s="270">
        <f t="shared" si="279"/>
        <v>119675</v>
      </c>
      <c r="W1098" s="270">
        <f t="shared" si="279"/>
        <v>119675</v>
      </c>
      <c r="X1098" s="270">
        <f t="shared" si="279"/>
        <v>119675</v>
      </c>
      <c r="Y1098" s="270">
        <f t="shared" si="279"/>
        <v>119675</v>
      </c>
      <c r="Z1098" s="270">
        <f t="shared" si="279"/>
        <v>119675</v>
      </c>
      <c r="AA1098" s="270">
        <f t="shared" si="279"/>
        <v>119675</v>
      </c>
      <c r="AB1098" s="270">
        <f t="shared" si="279"/>
        <v>119675</v>
      </c>
      <c r="AC1098" s="270">
        <f t="shared" si="279"/>
        <v>119675</v>
      </c>
      <c r="AD1098" s="270">
        <f t="shared" si="278"/>
        <v>119675</v>
      </c>
      <c r="AE1098" s="270">
        <f t="shared" si="275"/>
        <v>119675</v>
      </c>
      <c r="AF1098" s="270">
        <f t="shared" si="280"/>
        <v>119675</v>
      </c>
      <c r="AG1098" s="270">
        <f t="shared" si="280"/>
        <v>119675</v>
      </c>
      <c r="AH1098" s="270">
        <f t="shared" si="280"/>
        <v>119675</v>
      </c>
      <c r="AI1098" s="270">
        <f t="shared" si="280"/>
        <v>119675</v>
      </c>
      <c r="AJ1098" s="270">
        <f t="shared" si="280"/>
        <v>119675</v>
      </c>
      <c r="AK1098" s="270">
        <f t="shared" si="280"/>
        <v>119675</v>
      </c>
      <c r="AL1098" s="270">
        <f t="shared" si="280"/>
        <v>119675</v>
      </c>
      <c r="AM1098" s="270">
        <f t="shared" si="280"/>
        <v>119675</v>
      </c>
    </row>
    <row r="1099" spans="2:39" ht="15.75" thickBot="1" x14ac:dyDescent="0.35">
      <c r="B1099" s="56" t="str">
        <f>input_names!$E$3</f>
        <v>plug-in</v>
      </c>
      <c r="C1099" s="61">
        <v>344</v>
      </c>
      <c r="D1099" s="270">
        <f t="shared" si="278"/>
        <v>83540</v>
      </c>
      <c r="E1099" s="270">
        <f t="shared" si="278"/>
        <v>93806</v>
      </c>
      <c r="F1099" s="270">
        <f t="shared" si="278"/>
        <v>90600</v>
      </c>
      <c r="G1099" s="270">
        <f t="shared" si="278"/>
        <v>87276</v>
      </c>
      <c r="H1099" s="270">
        <f t="shared" si="278"/>
        <v>82744</v>
      </c>
      <c r="I1099" s="270">
        <f t="shared" si="278"/>
        <v>81528</v>
      </c>
      <c r="J1099" s="270">
        <f t="shared" si="278"/>
        <v>60368</v>
      </c>
      <c r="K1099" s="270">
        <f t="shared" si="278"/>
        <v>60962</v>
      </c>
      <c r="L1099" s="270">
        <f t="shared" si="278"/>
        <v>64878</v>
      </c>
      <c r="M1099" s="270">
        <f t="shared" si="278"/>
        <v>71428</v>
      </c>
      <c r="N1099" s="270">
        <f t="shared" si="278"/>
        <v>120243</v>
      </c>
      <c r="O1099" s="270">
        <f t="shared" si="278"/>
        <v>120243</v>
      </c>
      <c r="P1099" s="270">
        <f t="shared" si="278"/>
        <v>120243</v>
      </c>
      <c r="Q1099" s="270">
        <f t="shared" si="278"/>
        <v>120243</v>
      </c>
      <c r="R1099" s="270">
        <f t="shared" si="278"/>
        <v>120243</v>
      </c>
      <c r="S1099" s="270">
        <f t="shared" si="279"/>
        <v>120243</v>
      </c>
      <c r="T1099" s="270">
        <f t="shared" si="279"/>
        <v>120243</v>
      </c>
      <c r="U1099" s="270">
        <f t="shared" si="279"/>
        <v>120243</v>
      </c>
      <c r="V1099" s="270">
        <f t="shared" si="279"/>
        <v>120243</v>
      </c>
      <c r="W1099" s="270">
        <f t="shared" si="279"/>
        <v>120243</v>
      </c>
      <c r="X1099" s="270">
        <f t="shared" si="279"/>
        <v>120243</v>
      </c>
      <c r="Y1099" s="270">
        <f t="shared" si="279"/>
        <v>120243</v>
      </c>
      <c r="Z1099" s="270">
        <f t="shared" si="279"/>
        <v>120243</v>
      </c>
      <c r="AA1099" s="270">
        <f t="shared" si="279"/>
        <v>120243</v>
      </c>
      <c r="AB1099" s="270">
        <f t="shared" si="279"/>
        <v>120243</v>
      </c>
      <c r="AC1099" s="270">
        <f t="shared" si="279"/>
        <v>120243</v>
      </c>
      <c r="AD1099" s="270">
        <f t="shared" si="278"/>
        <v>120243</v>
      </c>
      <c r="AE1099" s="270">
        <f t="shared" si="275"/>
        <v>120243</v>
      </c>
      <c r="AF1099" s="270">
        <f t="shared" si="280"/>
        <v>120243</v>
      </c>
      <c r="AG1099" s="270">
        <f t="shared" si="280"/>
        <v>120243</v>
      </c>
      <c r="AH1099" s="270">
        <f t="shared" si="280"/>
        <v>120243</v>
      </c>
      <c r="AI1099" s="270">
        <f t="shared" si="280"/>
        <v>120243</v>
      </c>
      <c r="AJ1099" s="270">
        <f t="shared" si="280"/>
        <v>120243</v>
      </c>
      <c r="AK1099" s="270">
        <f t="shared" si="280"/>
        <v>120243</v>
      </c>
      <c r="AL1099" s="270">
        <f t="shared" si="280"/>
        <v>120243</v>
      </c>
      <c r="AM1099" s="270">
        <f t="shared" si="280"/>
        <v>120243</v>
      </c>
    </row>
    <row r="1100" spans="2:39" ht="15.75" thickBot="1" x14ac:dyDescent="0.35">
      <c r="B1100" s="56" t="str">
        <f>input_names!$E$3</f>
        <v>plug-in</v>
      </c>
      <c r="C1100" s="61">
        <v>345</v>
      </c>
      <c r="D1100" s="270">
        <f t="shared" si="278"/>
        <v>83974</v>
      </c>
      <c r="E1100" s="270">
        <f t="shared" si="278"/>
        <v>94282</v>
      </c>
      <c r="F1100" s="270">
        <f t="shared" si="278"/>
        <v>90900</v>
      </c>
      <c r="G1100" s="270">
        <f t="shared" si="278"/>
        <v>87565</v>
      </c>
      <c r="H1100" s="270">
        <f t="shared" si="278"/>
        <v>83015</v>
      </c>
      <c r="I1100" s="270">
        <f t="shared" si="278"/>
        <v>81795</v>
      </c>
      <c r="J1100" s="270">
        <f t="shared" si="278"/>
        <v>60570</v>
      </c>
      <c r="K1100" s="270">
        <f t="shared" si="278"/>
        <v>61166</v>
      </c>
      <c r="L1100" s="270">
        <f t="shared" si="278"/>
        <v>65095</v>
      </c>
      <c r="M1100" s="270">
        <f t="shared" si="278"/>
        <v>71667</v>
      </c>
      <c r="N1100" s="270">
        <f t="shared" si="278"/>
        <v>120811</v>
      </c>
      <c r="O1100" s="270">
        <f t="shared" si="278"/>
        <v>120811</v>
      </c>
      <c r="P1100" s="270">
        <f t="shared" si="278"/>
        <v>120811</v>
      </c>
      <c r="Q1100" s="270">
        <f t="shared" si="278"/>
        <v>120811</v>
      </c>
      <c r="R1100" s="270">
        <f t="shared" si="278"/>
        <v>120811</v>
      </c>
      <c r="S1100" s="270">
        <f t="shared" si="279"/>
        <v>120811</v>
      </c>
      <c r="T1100" s="270">
        <f t="shared" si="279"/>
        <v>120811</v>
      </c>
      <c r="U1100" s="270">
        <f t="shared" si="279"/>
        <v>120811</v>
      </c>
      <c r="V1100" s="270">
        <f t="shared" si="279"/>
        <v>120811</v>
      </c>
      <c r="W1100" s="270">
        <f t="shared" si="279"/>
        <v>120811</v>
      </c>
      <c r="X1100" s="270">
        <f t="shared" si="279"/>
        <v>120811</v>
      </c>
      <c r="Y1100" s="270">
        <f t="shared" si="279"/>
        <v>120811</v>
      </c>
      <c r="Z1100" s="270">
        <f t="shared" si="279"/>
        <v>120811</v>
      </c>
      <c r="AA1100" s="270">
        <f t="shared" si="279"/>
        <v>120811</v>
      </c>
      <c r="AB1100" s="270">
        <f t="shared" si="279"/>
        <v>120811</v>
      </c>
      <c r="AC1100" s="270">
        <f t="shared" si="279"/>
        <v>120811</v>
      </c>
      <c r="AD1100" s="270">
        <f t="shared" si="278"/>
        <v>120811</v>
      </c>
      <c r="AE1100" s="270">
        <f t="shared" si="275"/>
        <v>120811</v>
      </c>
      <c r="AF1100" s="270">
        <f t="shared" si="280"/>
        <v>120811</v>
      </c>
      <c r="AG1100" s="270">
        <f t="shared" si="280"/>
        <v>120811</v>
      </c>
      <c r="AH1100" s="270">
        <f t="shared" si="280"/>
        <v>120811</v>
      </c>
      <c r="AI1100" s="270">
        <f t="shared" si="280"/>
        <v>120811</v>
      </c>
      <c r="AJ1100" s="270">
        <f t="shared" si="280"/>
        <v>120811</v>
      </c>
      <c r="AK1100" s="270">
        <f t="shared" si="280"/>
        <v>120811</v>
      </c>
      <c r="AL1100" s="270">
        <f t="shared" si="280"/>
        <v>120811</v>
      </c>
      <c r="AM1100" s="270">
        <f t="shared" si="280"/>
        <v>120811</v>
      </c>
    </row>
    <row r="1101" spans="2:39" ht="15.75" thickBot="1" x14ac:dyDescent="0.35">
      <c r="B1101" s="56" t="str">
        <f>input_names!$E$3</f>
        <v>plug-in</v>
      </c>
      <c r="C1101" s="61">
        <v>346</v>
      </c>
      <c r="D1101" s="270">
        <f t="shared" si="278"/>
        <v>84408</v>
      </c>
      <c r="E1101" s="270">
        <f t="shared" si="278"/>
        <v>94758</v>
      </c>
      <c r="F1101" s="270">
        <f t="shared" si="278"/>
        <v>91200</v>
      </c>
      <c r="G1101" s="270">
        <f t="shared" si="278"/>
        <v>87854</v>
      </c>
      <c r="H1101" s="270">
        <f t="shared" si="278"/>
        <v>83286</v>
      </c>
      <c r="I1101" s="270">
        <f t="shared" si="278"/>
        <v>82062</v>
      </c>
      <c r="J1101" s="270">
        <f t="shared" si="278"/>
        <v>60772</v>
      </c>
      <c r="K1101" s="270">
        <f t="shared" si="278"/>
        <v>61370</v>
      </c>
      <c r="L1101" s="270">
        <f t="shared" si="278"/>
        <v>65312</v>
      </c>
      <c r="M1101" s="270">
        <f t="shared" si="278"/>
        <v>71906</v>
      </c>
      <c r="N1101" s="270">
        <f t="shared" si="278"/>
        <v>121379</v>
      </c>
      <c r="O1101" s="270">
        <f t="shared" si="278"/>
        <v>121379</v>
      </c>
      <c r="P1101" s="270">
        <f t="shared" si="278"/>
        <v>121379</v>
      </c>
      <c r="Q1101" s="270">
        <f t="shared" si="278"/>
        <v>121379</v>
      </c>
      <c r="R1101" s="270">
        <f t="shared" si="278"/>
        <v>121379</v>
      </c>
      <c r="S1101" s="270">
        <f t="shared" si="279"/>
        <v>121379</v>
      </c>
      <c r="T1101" s="270">
        <f t="shared" si="279"/>
        <v>121379</v>
      </c>
      <c r="U1101" s="270">
        <f t="shared" si="279"/>
        <v>121379</v>
      </c>
      <c r="V1101" s="270">
        <f t="shared" si="279"/>
        <v>121379</v>
      </c>
      <c r="W1101" s="270">
        <f t="shared" si="279"/>
        <v>121379</v>
      </c>
      <c r="X1101" s="270">
        <f t="shared" si="279"/>
        <v>121379</v>
      </c>
      <c r="Y1101" s="270">
        <f t="shared" si="279"/>
        <v>121379</v>
      </c>
      <c r="Z1101" s="270">
        <f t="shared" si="279"/>
        <v>121379</v>
      </c>
      <c r="AA1101" s="270">
        <f t="shared" si="279"/>
        <v>121379</v>
      </c>
      <c r="AB1101" s="270">
        <f t="shared" si="279"/>
        <v>121379</v>
      </c>
      <c r="AC1101" s="270">
        <f t="shared" si="279"/>
        <v>121379</v>
      </c>
      <c r="AD1101" s="270">
        <f t="shared" si="278"/>
        <v>121379</v>
      </c>
      <c r="AE1101" s="270">
        <f t="shared" si="275"/>
        <v>121379</v>
      </c>
      <c r="AF1101" s="270">
        <f t="shared" si="280"/>
        <v>121379</v>
      </c>
      <c r="AG1101" s="270">
        <f t="shared" si="280"/>
        <v>121379</v>
      </c>
      <c r="AH1101" s="270">
        <f t="shared" si="280"/>
        <v>121379</v>
      </c>
      <c r="AI1101" s="270">
        <f t="shared" si="280"/>
        <v>121379</v>
      </c>
      <c r="AJ1101" s="270">
        <f t="shared" si="280"/>
        <v>121379</v>
      </c>
      <c r="AK1101" s="270">
        <f t="shared" si="280"/>
        <v>121379</v>
      </c>
      <c r="AL1101" s="270">
        <f t="shared" si="280"/>
        <v>121379</v>
      </c>
      <c r="AM1101" s="270">
        <f t="shared" si="280"/>
        <v>121379</v>
      </c>
    </row>
    <row r="1102" spans="2:39" ht="15.75" thickBot="1" x14ac:dyDescent="0.35">
      <c r="B1102" s="56" t="str">
        <f>input_names!$E$3</f>
        <v>plug-in</v>
      </c>
      <c r="C1102" s="61">
        <v>347</v>
      </c>
      <c r="D1102" s="270">
        <f t="shared" si="278"/>
        <v>84842</v>
      </c>
      <c r="E1102" s="270">
        <f t="shared" si="278"/>
        <v>95234</v>
      </c>
      <c r="F1102" s="270">
        <f t="shared" si="278"/>
        <v>91500</v>
      </c>
      <c r="G1102" s="270">
        <f t="shared" si="278"/>
        <v>88143</v>
      </c>
      <c r="H1102" s="270">
        <f t="shared" si="278"/>
        <v>83557</v>
      </c>
      <c r="I1102" s="270">
        <f t="shared" si="278"/>
        <v>82329</v>
      </c>
      <c r="J1102" s="270">
        <f t="shared" si="278"/>
        <v>60974</v>
      </c>
      <c r="K1102" s="270">
        <f t="shared" si="278"/>
        <v>61574</v>
      </c>
      <c r="L1102" s="270">
        <f t="shared" si="278"/>
        <v>65529</v>
      </c>
      <c r="M1102" s="270">
        <f t="shared" si="278"/>
        <v>72145</v>
      </c>
      <c r="N1102" s="270">
        <f t="shared" si="278"/>
        <v>121947</v>
      </c>
      <c r="O1102" s="270">
        <f t="shared" si="278"/>
        <v>121947</v>
      </c>
      <c r="P1102" s="270">
        <f t="shared" si="278"/>
        <v>121947</v>
      </c>
      <c r="Q1102" s="270">
        <f t="shared" si="278"/>
        <v>121947</v>
      </c>
      <c r="R1102" s="270">
        <f t="shared" si="278"/>
        <v>121947</v>
      </c>
      <c r="S1102" s="270">
        <f t="shared" si="279"/>
        <v>121947</v>
      </c>
      <c r="T1102" s="270">
        <f t="shared" si="279"/>
        <v>121947</v>
      </c>
      <c r="U1102" s="270">
        <f t="shared" si="279"/>
        <v>121947</v>
      </c>
      <c r="V1102" s="270">
        <f t="shared" si="279"/>
        <v>121947</v>
      </c>
      <c r="W1102" s="270">
        <f t="shared" si="279"/>
        <v>121947</v>
      </c>
      <c r="X1102" s="270">
        <f t="shared" si="279"/>
        <v>121947</v>
      </c>
      <c r="Y1102" s="270">
        <f t="shared" si="279"/>
        <v>121947</v>
      </c>
      <c r="Z1102" s="270">
        <f t="shared" si="279"/>
        <v>121947</v>
      </c>
      <c r="AA1102" s="270">
        <f t="shared" si="279"/>
        <v>121947</v>
      </c>
      <c r="AB1102" s="270">
        <f t="shared" si="279"/>
        <v>121947</v>
      </c>
      <c r="AC1102" s="270">
        <f t="shared" si="279"/>
        <v>121947</v>
      </c>
      <c r="AD1102" s="270">
        <f t="shared" si="278"/>
        <v>121947</v>
      </c>
      <c r="AE1102" s="270">
        <f t="shared" si="275"/>
        <v>121947</v>
      </c>
      <c r="AF1102" s="270">
        <f t="shared" si="280"/>
        <v>121947</v>
      </c>
      <c r="AG1102" s="270">
        <f t="shared" si="280"/>
        <v>121947</v>
      </c>
      <c r="AH1102" s="270">
        <f t="shared" si="280"/>
        <v>121947</v>
      </c>
      <c r="AI1102" s="270">
        <f t="shared" si="280"/>
        <v>121947</v>
      </c>
      <c r="AJ1102" s="270">
        <f t="shared" si="280"/>
        <v>121947</v>
      </c>
      <c r="AK1102" s="270">
        <f t="shared" si="280"/>
        <v>121947</v>
      </c>
      <c r="AL1102" s="270">
        <f t="shared" si="280"/>
        <v>121947</v>
      </c>
      <c r="AM1102" s="270">
        <f t="shared" si="280"/>
        <v>121947</v>
      </c>
    </row>
    <row r="1103" spans="2:39" ht="15.75" thickBot="1" x14ac:dyDescent="0.35">
      <c r="B1103" s="56" t="str">
        <f>input_names!$E$3</f>
        <v>plug-in</v>
      </c>
      <c r="C1103" s="61">
        <v>348</v>
      </c>
      <c r="D1103" s="270">
        <f t="shared" si="278"/>
        <v>85276</v>
      </c>
      <c r="E1103" s="270">
        <f t="shared" si="278"/>
        <v>95710</v>
      </c>
      <c r="F1103" s="270">
        <f t="shared" si="278"/>
        <v>91800</v>
      </c>
      <c r="G1103" s="270">
        <f t="shared" si="278"/>
        <v>88432</v>
      </c>
      <c r="H1103" s="270">
        <f t="shared" si="278"/>
        <v>83828</v>
      </c>
      <c r="I1103" s="270">
        <f t="shared" si="278"/>
        <v>82596</v>
      </c>
      <c r="J1103" s="270">
        <f t="shared" si="278"/>
        <v>61176</v>
      </c>
      <c r="K1103" s="270">
        <f t="shared" si="278"/>
        <v>61778</v>
      </c>
      <c r="L1103" s="270">
        <f t="shared" si="278"/>
        <v>65746</v>
      </c>
      <c r="M1103" s="270">
        <f t="shared" si="278"/>
        <v>72384</v>
      </c>
      <c r="N1103" s="270">
        <f t="shared" si="278"/>
        <v>122515</v>
      </c>
      <c r="O1103" s="270">
        <f t="shared" si="278"/>
        <v>122515</v>
      </c>
      <c r="P1103" s="270">
        <f t="shared" si="278"/>
        <v>122515</v>
      </c>
      <c r="Q1103" s="270">
        <f t="shared" si="278"/>
        <v>122515</v>
      </c>
      <c r="R1103" s="270">
        <f t="shared" si="278"/>
        <v>122515</v>
      </c>
      <c r="S1103" s="270">
        <f t="shared" si="279"/>
        <v>122515</v>
      </c>
      <c r="T1103" s="270">
        <f t="shared" si="279"/>
        <v>122515</v>
      </c>
      <c r="U1103" s="270">
        <f t="shared" si="279"/>
        <v>122515</v>
      </c>
      <c r="V1103" s="270">
        <f t="shared" si="279"/>
        <v>122515</v>
      </c>
      <c r="W1103" s="270">
        <f t="shared" si="279"/>
        <v>122515</v>
      </c>
      <c r="X1103" s="270">
        <f t="shared" si="279"/>
        <v>122515</v>
      </c>
      <c r="Y1103" s="270">
        <f t="shared" si="279"/>
        <v>122515</v>
      </c>
      <c r="Z1103" s="270">
        <f t="shared" si="279"/>
        <v>122515</v>
      </c>
      <c r="AA1103" s="270">
        <f t="shared" si="279"/>
        <v>122515</v>
      </c>
      <c r="AB1103" s="270">
        <f t="shared" si="279"/>
        <v>122515</v>
      </c>
      <c r="AC1103" s="270">
        <f t="shared" si="279"/>
        <v>122515</v>
      </c>
      <c r="AD1103" s="270">
        <f t="shared" si="278"/>
        <v>122515</v>
      </c>
      <c r="AE1103" s="270">
        <f t="shared" si="275"/>
        <v>122515</v>
      </c>
      <c r="AF1103" s="270">
        <f t="shared" si="280"/>
        <v>122515</v>
      </c>
      <c r="AG1103" s="270">
        <f t="shared" si="280"/>
        <v>122515</v>
      </c>
      <c r="AH1103" s="270">
        <f t="shared" si="280"/>
        <v>122515</v>
      </c>
      <c r="AI1103" s="270">
        <f t="shared" si="280"/>
        <v>122515</v>
      </c>
      <c r="AJ1103" s="270">
        <f t="shared" si="280"/>
        <v>122515</v>
      </c>
      <c r="AK1103" s="270">
        <f t="shared" si="280"/>
        <v>122515</v>
      </c>
      <c r="AL1103" s="270">
        <f t="shared" si="280"/>
        <v>122515</v>
      </c>
      <c r="AM1103" s="270">
        <f t="shared" si="280"/>
        <v>122515</v>
      </c>
    </row>
    <row r="1104" spans="2:39" ht="15.75" thickBot="1" x14ac:dyDescent="0.35">
      <c r="B1104" s="56" t="str">
        <f>input_names!$E$3</f>
        <v>plug-in</v>
      </c>
      <c r="C1104" s="61">
        <v>349</v>
      </c>
      <c r="D1104" s="270">
        <f t="shared" si="278"/>
        <v>85710</v>
      </c>
      <c r="E1104" s="270">
        <f t="shared" si="278"/>
        <v>96186</v>
      </c>
      <c r="F1104" s="270">
        <f t="shared" si="278"/>
        <v>92100</v>
      </c>
      <c r="G1104" s="270">
        <f t="shared" si="278"/>
        <v>88721</v>
      </c>
      <c r="H1104" s="270">
        <f t="shared" si="278"/>
        <v>84099</v>
      </c>
      <c r="I1104" s="270">
        <f t="shared" si="278"/>
        <v>82863</v>
      </c>
      <c r="J1104" s="270">
        <f t="shared" si="278"/>
        <v>61378</v>
      </c>
      <c r="K1104" s="270">
        <f t="shared" si="278"/>
        <v>61982</v>
      </c>
      <c r="L1104" s="270">
        <f t="shared" si="278"/>
        <v>65963</v>
      </c>
      <c r="M1104" s="270">
        <f t="shared" si="278"/>
        <v>72623</v>
      </c>
      <c r="N1104" s="270">
        <f t="shared" si="278"/>
        <v>123083</v>
      </c>
      <c r="O1104" s="270">
        <f t="shared" si="278"/>
        <v>123083</v>
      </c>
      <c r="P1104" s="270">
        <f t="shared" si="278"/>
        <v>123083</v>
      </c>
      <c r="Q1104" s="270">
        <f t="shared" si="278"/>
        <v>123083</v>
      </c>
      <c r="R1104" s="270">
        <f t="shared" si="278"/>
        <v>123083</v>
      </c>
      <c r="S1104" s="270">
        <f t="shared" si="279"/>
        <v>123083</v>
      </c>
      <c r="T1104" s="270">
        <f t="shared" si="279"/>
        <v>123083</v>
      </c>
      <c r="U1104" s="270">
        <f t="shared" si="279"/>
        <v>123083</v>
      </c>
      <c r="V1104" s="270">
        <f t="shared" si="279"/>
        <v>123083</v>
      </c>
      <c r="W1104" s="270">
        <f t="shared" si="279"/>
        <v>123083</v>
      </c>
      <c r="X1104" s="270">
        <f t="shared" si="279"/>
        <v>123083</v>
      </c>
      <c r="Y1104" s="270">
        <f t="shared" si="279"/>
        <v>123083</v>
      </c>
      <c r="Z1104" s="270">
        <f t="shared" si="279"/>
        <v>123083</v>
      </c>
      <c r="AA1104" s="270">
        <f t="shared" si="279"/>
        <v>123083</v>
      </c>
      <c r="AB1104" s="270">
        <f t="shared" si="279"/>
        <v>123083</v>
      </c>
      <c r="AC1104" s="270">
        <f t="shared" si="279"/>
        <v>123083</v>
      </c>
      <c r="AD1104" s="270">
        <f t="shared" si="278"/>
        <v>123083</v>
      </c>
      <c r="AE1104" s="270">
        <f t="shared" si="275"/>
        <v>123083</v>
      </c>
      <c r="AF1104" s="270">
        <f t="shared" si="280"/>
        <v>123083</v>
      </c>
      <c r="AG1104" s="270">
        <f t="shared" si="280"/>
        <v>123083</v>
      </c>
      <c r="AH1104" s="270">
        <f t="shared" si="280"/>
        <v>123083</v>
      </c>
      <c r="AI1104" s="270">
        <f t="shared" si="280"/>
        <v>123083</v>
      </c>
      <c r="AJ1104" s="270">
        <f t="shared" si="280"/>
        <v>123083</v>
      </c>
      <c r="AK1104" s="270">
        <f t="shared" si="280"/>
        <v>123083</v>
      </c>
      <c r="AL1104" s="270">
        <f t="shared" si="280"/>
        <v>123083</v>
      </c>
      <c r="AM1104" s="270">
        <f t="shared" si="280"/>
        <v>123083</v>
      </c>
    </row>
    <row r="1105" spans="2:39" ht="15.75" thickBot="1" x14ac:dyDescent="0.35">
      <c r="B1105" s="56" t="str">
        <f>input_names!$E$3</f>
        <v>plug-in</v>
      </c>
      <c r="C1105" s="61">
        <v>350</v>
      </c>
      <c r="D1105" s="270">
        <f t="shared" si="278"/>
        <v>86144</v>
      </c>
      <c r="E1105" s="270">
        <f t="shared" si="278"/>
        <v>96662</v>
      </c>
      <c r="F1105" s="270">
        <f t="shared" si="278"/>
        <v>92400</v>
      </c>
      <c r="G1105" s="270">
        <f t="shared" si="278"/>
        <v>89010</v>
      </c>
      <c r="H1105" s="270">
        <f t="shared" si="278"/>
        <v>84370</v>
      </c>
      <c r="I1105" s="270">
        <f t="shared" si="278"/>
        <v>83130</v>
      </c>
      <c r="J1105" s="270">
        <f t="shared" si="278"/>
        <v>61580</v>
      </c>
      <c r="K1105" s="270">
        <f t="shared" si="278"/>
        <v>62186</v>
      </c>
      <c r="L1105" s="270">
        <f t="shared" si="278"/>
        <v>66180</v>
      </c>
      <c r="M1105" s="270">
        <f t="shared" si="278"/>
        <v>72862</v>
      </c>
      <c r="N1105" s="270">
        <f t="shared" si="278"/>
        <v>123651</v>
      </c>
      <c r="O1105" s="270">
        <f t="shared" si="278"/>
        <v>123651</v>
      </c>
      <c r="P1105" s="270">
        <f t="shared" si="278"/>
        <v>123651</v>
      </c>
      <c r="Q1105" s="270">
        <f t="shared" si="278"/>
        <v>123651</v>
      </c>
      <c r="R1105" s="270">
        <f t="shared" si="278"/>
        <v>123651</v>
      </c>
      <c r="S1105" s="270">
        <f>+MIN(MAX(0,$C1105-S$28),S$29-S$28)*S$34
+MIN(MAX(0,$C1105-S$29),S$30-S$29)*S$35
+MIN(MAX(0,$C1105-S$30),S$31-S$30)*S$36
+MIN(MAX(0,$C1105-S$31),S$32-S$31)*S$37
+MAX(0,$C1105-S$32)*S$38
+S$39</f>
        <v>123651</v>
      </c>
      <c r="T1105" s="270">
        <f t="shared" si="279"/>
        <v>123651</v>
      </c>
      <c r="U1105" s="270">
        <f t="shared" si="279"/>
        <v>123651</v>
      </c>
      <c r="V1105" s="270">
        <f t="shared" si="279"/>
        <v>123651</v>
      </c>
      <c r="W1105" s="270">
        <f t="shared" si="279"/>
        <v>123651</v>
      </c>
      <c r="X1105" s="270">
        <f t="shared" si="279"/>
        <v>123651</v>
      </c>
      <c r="Y1105" s="270">
        <f t="shared" si="279"/>
        <v>123651</v>
      </c>
      <c r="Z1105" s="270">
        <f t="shared" si="279"/>
        <v>123651</v>
      </c>
      <c r="AA1105" s="270">
        <f t="shared" si="279"/>
        <v>123651</v>
      </c>
      <c r="AB1105" s="270">
        <f t="shared" si="279"/>
        <v>123651</v>
      </c>
      <c r="AC1105" s="270">
        <f t="shared" si="279"/>
        <v>123651</v>
      </c>
      <c r="AD1105" s="270">
        <f>+MIN(MAX(0,$C1105-AD$28),AD$29-AD$28)*AD$34
+MIN(MAX(0,$C1105-AD$29),AD$30-AD$29)*AD$35
+MIN(MAX(0,$C1105-AD$30),AD$31-AD$30)*AD$36
+MIN(MAX(0,$C1105-AD$31),AD$32-AD$31)*AD$37
+MAX(0,$C1105-AD$32)*AD$38
+AD$39</f>
        <v>123651</v>
      </c>
      <c r="AE1105" s="270">
        <f t="shared" si="275"/>
        <v>123651</v>
      </c>
      <c r="AF1105" s="270">
        <f t="shared" si="280"/>
        <v>123651</v>
      </c>
      <c r="AG1105" s="270">
        <f t="shared" si="280"/>
        <v>123651</v>
      </c>
      <c r="AH1105" s="270">
        <f t="shared" si="280"/>
        <v>123651</v>
      </c>
      <c r="AI1105" s="270">
        <f t="shared" si="280"/>
        <v>123651</v>
      </c>
      <c r="AJ1105" s="270">
        <f t="shared" si="280"/>
        <v>123651</v>
      </c>
      <c r="AK1105" s="270">
        <f t="shared" si="280"/>
        <v>123651</v>
      </c>
      <c r="AL1105" s="270">
        <f t="shared" si="280"/>
        <v>123651</v>
      </c>
      <c r="AM1105" s="270">
        <f t="shared" si="280"/>
        <v>123651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0">
    <tabColor rgb="FFFF0000"/>
  </sheetPr>
  <dimension ref="A1:BC203"/>
  <sheetViews>
    <sheetView zoomScale="70" zoomScaleNormal="70" workbookViewId="0">
      <selection activeCell="D34" sqref="D34:BB36"/>
    </sheetView>
  </sheetViews>
  <sheetFormatPr defaultRowHeight="15" x14ac:dyDescent="0.3"/>
  <cols>
    <col min="2" max="2" width="21.140625" bestFit="1" customWidth="1"/>
    <col min="7" max="7" width="10" bestFit="1" customWidth="1"/>
    <col min="9" max="9" width="14.28515625" customWidth="1"/>
  </cols>
  <sheetData>
    <row r="1" spans="1:55" x14ac:dyDescent="0.3">
      <c r="H1" t="s">
        <v>1506</v>
      </c>
      <c r="I1" s="67" t="s">
        <v>1508</v>
      </c>
      <c r="J1">
        <v>0</v>
      </c>
      <c r="K1">
        <v>0</v>
      </c>
      <c r="L1">
        <v>0</v>
      </c>
      <c r="M1">
        <v>0</v>
      </c>
      <c r="N1">
        <v>0</v>
      </c>
      <c r="O1">
        <v>0</v>
      </c>
      <c r="P1">
        <v>0</v>
      </c>
      <c r="Q1">
        <v>0</v>
      </c>
      <c r="R1">
        <v>0</v>
      </c>
      <c r="S1">
        <v>0.25</v>
      </c>
      <c r="T1">
        <v>0.75</v>
      </c>
      <c r="U1">
        <v>0.75</v>
      </c>
      <c r="V1">
        <v>0.75</v>
      </c>
      <c r="W1">
        <v>0.75</v>
      </c>
      <c r="X1">
        <v>0.75</v>
      </c>
      <c r="Y1">
        <v>1</v>
      </c>
      <c r="Z1">
        <v>1</v>
      </c>
      <c r="AA1">
        <v>1</v>
      </c>
      <c r="AB1">
        <v>1</v>
      </c>
      <c r="AC1">
        <v>1</v>
      </c>
      <c r="AD1">
        <v>1</v>
      </c>
      <c r="AE1">
        <v>1</v>
      </c>
      <c r="AF1">
        <v>1</v>
      </c>
      <c r="AG1">
        <v>1</v>
      </c>
      <c r="AH1">
        <v>1</v>
      </c>
      <c r="AI1">
        <v>1</v>
      </c>
      <c r="AJ1">
        <v>1</v>
      </c>
      <c r="AK1">
        <v>1</v>
      </c>
      <c r="AL1">
        <v>1</v>
      </c>
      <c r="AM1">
        <v>1</v>
      </c>
      <c r="AN1">
        <v>1</v>
      </c>
      <c r="AO1">
        <v>1</v>
      </c>
      <c r="AP1">
        <v>1</v>
      </c>
      <c r="AQ1">
        <v>1</v>
      </c>
      <c r="AR1">
        <v>1</v>
      </c>
      <c r="AS1">
        <v>1</v>
      </c>
      <c r="AT1">
        <v>1</v>
      </c>
      <c r="AU1">
        <v>1</v>
      </c>
      <c r="AV1">
        <v>1</v>
      </c>
      <c r="AW1">
        <v>1</v>
      </c>
      <c r="AX1">
        <v>1</v>
      </c>
      <c r="AY1">
        <v>1</v>
      </c>
      <c r="AZ1">
        <v>1</v>
      </c>
      <c r="BA1">
        <v>1</v>
      </c>
      <c r="BB1">
        <v>1</v>
      </c>
      <c r="BC1">
        <v>1</v>
      </c>
    </row>
    <row r="2" spans="1:55" x14ac:dyDescent="0.3">
      <c r="H2" t="s">
        <v>1507</v>
      </c>
      <c r="I2" s="67" t="s">
        <v>1508</v>
      </c>
      <c r="J2">
        <v>0.5</v>
      </c>
      <c r="K2">
        <v>0.5</v>
      </c>
      <c r="L2">
        <v>0.5</v>
      </c>
      <c r="M2">
        <v>0.5</v>
      </c>
      <c r="N2">
        <v>0.5</v>
      </c>
      <c r="O2">
        <v>0.5</v>
      </c>
      <c r="P2">
        <v>0.5</v>
      </c>
      <c r="Q2">
        <v>0.5</v>
      </c>
      <c r="R2">
        <v>0.5</v>
      </c>
      <c r="S2">
        <v>0.5</v>
      </c>
      <c r="T2">
        <v>0.75</v>
      </c>
      <c r="U2">
        <v>1</v>
      </c>
      <c r="V2">
        <v>1</v>
      </c>
      <c r="W2">
        <v>1</v>
      </c>
      <c r="X2">
        <v>1</v>
      </c>
      <c r="Y2">
        <v>1</v>
      </c>
      <c r="Z2">
        <v>1</v>
      </c>
      <c r="AA2">
        <v>1</v>
      </c>
      <c r="AB2">
        <v>1</v>
      </c>
      <c r="AC2">
        <v>1</v>
      </c>
      <c r="AD2">
        <v>1</v>
      </c>
      <c r="AE2">
        <v>1</v>
      </c>
      <c r="AF2">
        <v>1</v>
      </c>
      <c r="AG2">
        <v>1</v>
      </c>
      <c r="AH2">
        <v>1</v>
      </c>
      <c r="AI2">
        <v>1</v>
      </c>
      <c r="AJ2">
        <v>1</v>
      </c>
      <c r="AK2">
        <v>1</v>
      </c>
      <c r="AL2">
        <v>1</v>
      </c>
      <c r="AM2">
        <v>1</v>
      </c>
      <c r="AN2">
        <v>1</v>
      </c>
      <c r="AO2">
        <v>1</v>
      </c>
      <c r="AP2">
        <v>1</v>
      </c>
      <c r="AQ2">
        <v>1</v>
      </c>
      <c r="AR2">
        <v>1</v>
      </c>
      <c r="AS2">
        <v>1</v>
      </c>
      <c r="AT2">
        <v>1</v>
      </c>
      <c r="AU2">
        <v>1</v>
      </c>
      <c r="AV2">
        <v>1</v>
      </c>
      <c r="AW2">
        <v>1</v>
      </c>
      <c r="AX2">
        <v>1</v>
      </c>
      <c r="AY2">
        <v>1</v>
      </c>
      <c r="AZ2">
        <v>1</v>
      </c>
      <c r="BA2">
        <v>1</v>
      </c>
      <c r="BB2">
        <v>1</v>
      </c>
      <c r="BC2">
        <v>1</v>
      </c>
    </row>
    <row r="3" spans="1:55" ht="17.25" thickBot="1" x14ac:dyDescent="0.35">
      <c r="B3" s="209" t="s">
        <v>1412</v>
      </c>
      <c r="C3" s="38" t="s">
        <v>542</v>
      </c>
      <c r="D3" s="38" t="s">
        <v>542</v>
      </c>
      <c r="E3" s="38" t="s">
        <v>542</v>
      </c>
    </row>
    <row r="4" spans="1:55" x14ac:dyDescent="0.3">
      <c r="A4" t="s">
        <v>163</v>
      </c>
      <c r="B4" s="38" t="s">
        <v>524</v>
      </c>
      <c r="C4" s="38" t="s">
        <v>2</v>
      </c>
      <c r="D4" s="38" t="s">
        <v>15</v>
      </c>
      <c r="E4" s="38" t="s">
        <v>1413</v>
      </c>
      <c r="H4" s="51" t="s">
        <v>39</v>
      </c>
      <c r="I4" s="54" t="s">
        <v>1140</v>
      </c>
      <c r="J4" s="51">
        <v>2015</v>
      </c>
      <c r="K4" s="51">
        <v>2016</v>
      </c>
      <c r="L4" s="51">
        <v>2017</v>
      </c>
      <c r="M4" s="51">
        <v>2018</v>
      </c>
      <c r="N4" s="65">
        <v>2019</v>
      </c>
      <c r="O4" s="51">
        <v>2020</v>
      </c>
      <c r="P4" s="51">
        <v>2021</v>
      </c>
      <c r="Q4" s="65">
        <v>2022</v>
      </c>
      <c r="R4" s="51">
        <v>2023</v>
      </c>
      <c r="S4" s="51">
        <v>2024</v>
      </c>
      <c r="T4" s="65">
        <v>2025</v>
      </c>
      <c r="U4" s="51">
        <v>2026</v>
      </c>
      <c r="V4" s="51">
        <v>2027</v>
      </c>
      <c r="W4" s="65">
        <v>2028</v>
      </c>
      <c r="X4" s="51">
        <v>2029</v>
      </c>
      <c r="Y4" s="65">
        <v>2030</v>
      </c>
      <c r="Z4" s="51">
        <v>2031</v>
      </c>
      <c r="AA4" s="65">
        <v>2032</v>
      </c>
      <c r="AB4" s="51">
        <v>2033</v>
      </c>
      <c r="AC4" s="51">
        <v>2034</v>
      </c>
      <c r="AD4" s="65">
        <v>2035</v>
      </c>
      <c r="AE4" s="51">
        <v>2036</v>
      </c>
      <c r="AF4" s="65">
        <v>2037</v>
      </c>
      <c r="AG4" s="51">
        <v>2038</v>
      </c>
      <c r="AH4" s="65">
        <v>2039</v>
      </c>
      <c r="AI4" s="51">
        <v>2040</v>
      </c>
      <c r="AJ4" s="51">
        <v>2041</v>
      </c>
      <c r="AK4" s="65">
        <v>2042</v>
      </c>
      <c r="AL4" s="51">
        <v>2043</v>
      </c>
      <c r="AM4" s="65">
        <v>2044</v>
      </c>
      <c r="AN4" s="51">
        <v>2045</v>
      </c>
      <c r="AO4" s="65">
        <v>2046</v>
      </c>
      <c r="AP4" s="51">
        <v>2047</v>
      </c>
      <c r="AQ4" s="51">
        <v>2048</v>
      </c>
      <c r="AR4" s="65">
        <v>2049</v>
      </c>
      <c r="AS4" s="65">
        <v>2050</v>
      </c>
      <c r="AT4" s="51">
        <v>2051</v>
      </c>
      <c r="AU4" s="51">
        <v>2052</v>
      </c>
      <c r="AV4" s="65">
        <v>2053</v>
      </c>
      <c r="AW4" s="51">
        <v>2054</v>
      </c>
      <c r="AX4" s="65">
        <v>2055</v>
      </c>
      <c r="AY4" s="51">
        <v>2056</v>
      </c>
      <c r="AZ4" s="65">
        <v>2057</v>
      </c>
      <c r="BA4" s="51">
        <v>2058</v>
      </c>
      <c r="BB4" s="51">
        <v>2059</v>
      </c>
      <c r="BC4" s="65">
        <v>2060</v>
      </c>
    </row>
    <row r="5" spans="1:55" x14ac:dyDescent="0.3">
      <c r="A5">
        <v>0</v>
      </c>
      <c r="B5" s="38" t="s">
        <v>525</v>
      </c>
      <c r="C5" s="364">
        <v>34</v>
      </c>
      <c r="D5" s="364">
        <v>115</v>
      </c>
      <c r="E5" s="364">
        <v>0</v>
      </c>
      <c r="H5" s="542" t="str">
        <f>input_names!$B$3</f>
        <v>benzine</v>
      </c>
      <c r="I5" s="542" t="s">
        <v>525</v>
      </c>
      <c r="J5" s="543">
        <f t="shared" ref="J5:BC5" si="0">IF(J$4&gt;input_basisjaar,I5*(1+$B$40),$C5)</f>
        <v>34</v>
      </c>
      <c r="K5" s="543">
        <f t="shared" si="0"/>
        <v>34</v>
      </c>
      <c r="L5" s="543">
        <f t="shared" si="0"/>
        <v>34</v>
      </c>
      <c r="M5" s="543">
        <f t="shared" si="0"/>
        <v>34</v>
      </c>
      <c r="N5" s="543">
        <f t="shared" si="0"/>
        <v>34</v>
      </c>
      <c r="O5" s="543">
        <f t="shared" si="0"/>
        <v>34</v>
      </c>
      <c r="P5" s="543">
        <f t="shared" si="0"/>
        <v>34</v>
      </c>
      <c r="Q5" s="543">
        <f t="shared" si="0"/>
        <v>34</v>
      </c>
      <c r="R5" s="543">
        <f t="shared" si="0"/>
        <v>34</v>
      </c>
      <c r="S5" s="543">
        <f t="shared" si="0"/>
        <v>34</v>
      </c>
      <c r="T5" s="543">
        <f t="shared" si="0"/>
        <v>34</v>
      </c>
      <c r="U5" s="543">
        <f t="shared" si="0"/>
        <v>34.161474690932629</v>
      </c>
      <c r="V5" s="543">
        <f t="shared" si="0"/>
        <v>34.32371626644796</v>
      </c>
      <c r="W5" s="543">
        <f t="shared" si="0"/>
        <v>34.4867283686769</v>
      </c>
      <c r="X5" s="543">
        <f t="shared" si="0"/>
        <v>34.650514657047772</v>
      </c>
      <c r="Y5" s="543">
        <f t="shared" si="0"/>
        <v>34.815078808368462</v>
      </c>
      <c r="Z5" s="543">
        <f t="shared" si="0"/>
        <v>34.980424516908947</v>
      </c>
      <c r="AA5" s="543">
        <f t="shared" si="0"/>
        <v>35.146555494484247</v>
      </c>
      <c r="AB5" s="543">
        <f t="shared" si="0"/>
        <v>35.313475470537732</v>
      </c>
      <c r="AC5" s="543">
        <f t="shared" si="0"/>
        <v>35.481188192224856</v>
      </c>
      <c r="AD5" s="543">
        <f t="shared" si="0"/>
        <v>35.649697424497269</v>
      </c>
      <c r="AE5" s="543">
        <f t="shared" si="0"/>
        <v>35.819006950187344</v>
      </c>
      <c r="AF5" s="543">
        <f t="shared" si="0"/>
        <v>35.989120570093085</v>
      </c>
      <c r="AG5" s="543">
        <f t="shared" si="0"/>
        <v>36.160042103063468</v>
      </c>
      <c r="AH5" s="543">
        <f t="shared" si="0"/>
        <v>36.331775386084146</v>
      </c>
      <c r="AI5" s="543">
        <f t="shared" si="0"/>
        <v>36.504324274363611</v>
      </c>
      <c r="AJ5" s="543">
        <f t="shared" si="0"/>
        <v>36.677692641419711</v>
      </c>
      <c r="AK5" s="543">
        <f t="shared" si="0"/>
        <v>36.851884379166634</v>
      </c>
      <c r="AL5" s="543">
        <f t="shared" si="0"/>
        <v>37.026903398002254</v>
      </c>
      <c r="AM5" s="543">
        <f t="shared" si="0"/>
        <v>37.202753626895927</v>
      </c>
      <c r="AN5" s="543">
        <f t="shared" si="0"/>
        <v>37.379439013476684</v>
      </c>
      <c r="AO5" s="543">
        <f t="shared" si="0"/>
        <v>37.556963524121869</v>
      </c>
      <c r="AP5" s="543">
        <f t="shared" si="0"/>
        <v>37.735331144046157</v>
      </c>
      <c r="AQ5" s="543">
        <f t="shared" si="0"/>
        <v>37.914545877391021</v>
      </c>
      <c r="AR5" s="543">
        <f t="shared" si="0"/>
        <v>38.09461174731463</v>
      </c>
      <c r="AS5" s="543">
        <f t="shared" si="0"/>
        <v>38.275532796082167</v>
      </c>
      <c r="AT5" s="543">
        <f t="shared" si="0"/>
        <v>38.457313085156557</v>
      </c>
      <c r="AU5" s="543">
        <f t="shared" si="0"/>
        <v>38.639956695289648</v>
      </c>
      <c r="AV5" s="543">
        <f t="shared" si="0"/>
        <v>38.823467726613828</v>
      </c>
      <c r="AW5" s="543">
        <f t="shared" si="0"/>
        <v>39.007850298734063</v>
      </c>
      <c r="AX5" s="543">
        <f t="shared" si="0"/>
        <v>39.193108550820369</v>
      </c>
      <c r="AY5" s="543">
        <f t="shared" si="0"/>
        <v>39.379246641700746</v>
      </c>
      <c r="AZ5" s="543">
        <f t="shared" si="0"/>
        <v>39.566268749954524</v>
      </c>
      <c r="BA5" s="543">
        <f t="shared" si="0"/>
        <v>39.754179074006181</v>
      </c>
      <c r="BB5" s="543">
        <f t="shared" si="0"/>
        <v>39.94298183221958</v>
      </c>
      <c r="BC5" s="543">
        <f t="shared" si="0"/>
        <v>40.132681262992676</v>
      </c>
    </row>
    <row r="6" spans="1:55" x14ac:dyDescent="0.3">
      <c r="A6">
        <v>551</v>
      </c>
      <c r="B6" s="38" t="s">
        <v>526</v>
      </c>
      <c r="C6" s="364">
        <v>45</v>
      </c>
      <c r="D6" s="364">
        <v>140</v>
      </c>
      <c r="E6" s="364">
        <v>0</v>
      </c>
      <c r="H6" s="542" t="str">
        <f>input_names!$B$3</f>
        <v>benzine</v>
      </c>
      <c r="I6" s="542" t="s">
        <v>526</v>
      </c>
      <c r="J6" s="543">
        <f t="shared" ref="J6:BC6" si="1">IF(J$4&gt;input_basisjaar,I6*(1+$B$40),$C6)</f>
        <v>45</v>
      </c>
      <c r="K6" s="543">
        <f t="shared" si="1"/>
        <v>45</v>
      </c>
      <c r="L6" s="543">
        <f t="shared" si="1"/>
        <v>45</v>
      </c>
      <c r="M6" s="543">
        <f t="shared" si="1"/>
        <v>45</v>
      </c>
      <c r="N6" s="543">
        <f t="shared" si="1"/>
        <v>45</v>
      </c>
      <c r="O6" s="543">
        <f t="shared" si="1"/>
        <v>45</v>
      </c>
      <c r="P6" s="543">
        <f t="shared" si="1"/>
        <v>45</v>
      </c>
      <c r="Q6" s="543">
        <f t="shared" si="1"/>
        <v>45</v>
      </c>
      <c r="R6" s="543">
        <f t="shared" si="1"/>
        <v>45</v>
      </c>
      <c r="S6" s="543">
        <f t="shared" si="1"/>
        <v>45</v>
      </c>
      <c r="T6" s="543">
        <f t="shared" si="1"/>
        <v>45</v>
      </c>
      <c r="U6" s="543">
        <f t="shared" si="1"/>
        <v>45.213716502704955</v>
      </c>
      <c r="V6" s="543">
        <f t="shared" si="1"/>
        <v>45.428447999710542</v>
      </c>
      <c r="W6" s="543">
        <f t="shared" si="1"/>
        <v>45.644199311484144</v>
      </c>
      <c r="X6" s="543">
        <f t="shared" si="1"/>
        <v>45.860975281386771</v>
      </c>
      <c r="Y6" s="543">
        <f t="shared" si="1"/>
        <v>46.078780775781802</v>
      </c>
      <c r="Z6" s="543">
        <f t="shared" si="1"/>
        <v>46.297620684144206</v>
      </c>
      <c r="AA6" s="543">
        <f t="shared" si="1"/>
        <v>46.517499919170334</v>
      </c>
      <c r="AB6" s="543">
        <f t="shared" si="1"/>
        <v>46.738423416888182</v>
      </c>
      <c r="AC6" s="543">
        <f t="shared" si="1"/>
        <v>46.960396136768196</v>
      </c>
      <c r="AD6" s="543">
        <f t="shared" si="1"/>
        <v>47.183423061834624</v>
      </c>
      <c r="AE6" s="543">
        <f t="shared" si="1"/>
        <v>47.407509198777369</v>
      </c>
      <c r="AF6" s="543">
        <f t="shared" si="1"/>
        <v>47.632659578064384</v>
      </c>
      <c r="AG6" s="543">
        <f t="shared" si="1"/>
        <v>47.8588792540546</v>
      </c>
      <c r="AH6" s="543">
        <f t="shared" si="1"/>
        <v>48.08617330511138</v>
      </c>
      <c r="AI6" s="543">
        <f t="shared" si="1"/>
        <v>48.314546833716548</v>
      </c>
      <c r="AJ6" s="543">
        <f t="shared" si="1"/>
        <v>48.544004966584914</v>
      </c>
      <c r="AK6" s="543">
        <f t="shared" si="1"/>
        <v>48.774552854779365</v>
      </c>
      <c r="AL6" s="543">
        <f t="shared" si="1"/>
        <v>49.006195673826504</v>
      </c>
      <c r="AM6" s="543">
        <f t="shared" si="1"/>
        <v>49.23893862383283</v>
      </c>
      <c r="AN6" s="543">
        <f t="shared" si="1"/>
        <v>49.472786929601483</v>
      </c>
      <c r="AO6" s="543">
        <f t="shared" si="1"/>
        <v>49.707745840749524</v>
      </c>
      <c r="AP6" s="543">
        <f t="shared" si="1"/>
        <v>49.943820631825787</v>
      </c>
      <c r="AQ6" s="543">
        <f t="shared" si="1"/>
        <v>50.181016602429281</v>
      </c>
      <c r="AR6" s="543">
        <f t="shared" si="1"/>
        <v>50.419339077328182</v>
      </c>
      <c r="AS6" s="543">
        <f t="shared" si="1"/>
        <v>50.658793406579335</v>
      </c>
      <c r="AT6" s="543">
        <f t="shared" si="1"/>
        <v>50.89938496564838</v>
      </c>
      <c r="AU6" s="543">
        <f t="shared" si="1"/>
        <v>51.141119155530411</v>
      </c>
      <c r="AV6" s="543">
        <f t="shared" si="1"/>
        <v>51.384001402871242</v>
      </c>
      <c r="AW6" s="543">
        <f t="shared" si="1"/>
        <v>51.6280371600892</v>
      </c>
      <c r="AX6" s="543">
        <f t="shared" si="1"/>
        <v>51.873231905497548</v>
      </c>
      <c r="AY6" s="543">
        <f t="shared" si="1"/>
        <v>52.119591143427456</v>
      </c>
      <c r="AZ6" s="543">
        <f t="shared" si="1"/>
        <v>52.367120404351574</v>
      </c>
      <c r="BA6" s="543">
        <f t="shared" si="1"/>
        <v>52.615825245008182</v>
      </c>
      <c r="BB6" s="543">
        <f t="shared" si="1"/>
        <v>52.865711248525919</v>
      </c>
      <c r="BC6" s="543">
        <f t="shared" si="1"/>
        <v>53.11678402454914</v>
      </c>
    </row>
    <row r="7" spans="1:55" x14ac:dyDescent="0.3">
      <c r="A7">
        <v>651</v>
      </c>
      <c r="B7" s="38" t="s">
        <v>527</v>
      </c>
      <c r="C7" s="364">
        <v>55</v>
      </c>
      <c r="D7" s="364">
        <v>166</v>
      </c>
      <c r="E7" s="364">
        <v>0</v>
      </c>
      <c r="H7" s="542" t="str">
        <f>input_names!$B$3</f>
        <v>benzine</v>
      </c>
      <c r="I7" s="542" t="s">
        <v>527</v>
      </c>
      <c r="J7" s="543">
        <f t="shared" ref="J7:BC7" si="2">IF(J$4&gt;input_basisjaar,I7*(1+$B$40),$C7)</f>
        <v>55</v>
      </c>
      <c r="K7" s="543">
        <f t="shared" si="2"/>
        <v>55</v>
      </c>
      <c r="L7" s="543">
        <f t="shared" si="2"/>
        <v>55</v>
      </c>
      <c r="M7" s="543">
        <f t="shared" si="2"/>
        <v>55</v>
      </c>
      <c r="N7" s="543">
        <f t="shared" si="2"/>
        <v>55</v>
      </c>
      <c r="O7" s="543">
        <f t="shared" si="2"/>
        <v>55</v>
      </c>
      <c r="P7" s="543">
        <f t="shared" si="2"/>
        <v>55</v>
      </c>
      <c r="Q7" s="543">
        <f t="shared" si="2"/>
        <v>55</v>
      </c>
      <c r="R7" s="543">
        <f t="shared" si="2"/>
        <v>55</v>
      </c>
      <c r="S7" s="543">
        <f t="shared" si="2"/>
        <v>55</v>
      </c>
      <c r="T7" s="543">
        <f t="shared" si="2"/>
        <v>55</v>
      </c>
      <c r="U7" s="543">
        <f t="shared" si="2"/>
        <v>55.26120905886161</v>
      </c>
      <c r="V7" s="543">
        <f t="shared" si="2"/>
        <v>55.523658666312883</v>
      </c>
      <c r="W7" s="543">
        <f t="shared" si="2"/>
        <v>55.787354714036169</v>
      </c>
      <c r="X7" s="543">
        <f t="shared" si="2"/>
        <v>56.052303121694933</v>
      </c>
      <c r="Y7" s="543">
        <f t="shared" si="2"/>
        <v>56.318509837066635</v>
      </c>
      <c r="Z7" s="543">
        <f t="shared" si="2"/>
        <v>56.585980836176248</v>
      </c>
      <c r="AA7" s="543">
        <f t="shared" si="2"/>
        <v>56.854722123430406</v>
      </c>
      <c r="AB7" s="543">
        <f t="shared" si="2"/>
        <v>57.124739731752214</v>
      </c>
      <c r="AC7" s="543">
        <f t="shared" si="2"/>
        <v>57.396039722716679</v>
      </c>
      <c r="AD7" s="543">
        <f t="shared" si="2"/>
        <v>57.66862818668676</v>
      </c>
      <c r="AE7" s="543">
        <f t="shared" si="2"/>
        <v>57.942511242950118</v>
      </c>
      <c r="AF7" s="543">
        <f t="shared" si="2"/>
        <v>58.217695039856466</v>
      </c>
      <c r="AG7" s="543">
        <f t="shared" si="2"/>
        <v>58.494185754955616</v>
      </c>
      <c r="AH7" s="543">
        <f t="shared" si="2"/>
        <v>58.771989595136127</v>
      </c>
      <c r="AI7" s="543">
        <f t="shared" si="2"/>
        <v>59.05111279676467</v>
      </c>
      <c r="AJ7" s="543">
        <f t="shared" si="2"/>
        <v>59.331561625826012</v>
      </c>
      <c r="AK7" s="543">
        <f t="shared" si="2"/>
        <v>59.613342378063678</v>
      </c>
      <c r="AL7" s="543">
        <f t="shared" si="2"/>
        <v>59.896461379121298</v>
      </c>
      <c r="AM7" s="543">
        <f t="shared" si="2"/>
        <v>60.180924984684587</v>
      </c>
      <c r="AN7" s="543">
        <f t="shared" si="2"/>
        <v>60.466739580624051</v>
      </c>
      <c r="AO7" s="543">
        <f t="shared" si="2"/>
        <v>60.753911583138319</v>
      </c>
      <c r="AP7" s="543">
        <f t="shared" si="2"/>
        <v>61.042447438898193</v>
      </c>
      <c r="AQ7" s="543">
        <f t="shared" si="2"/>
        <v>61.332353625191352</v>
      </c>
      <c r="AR7" s="543">
        <f t="shared" si="2"/>
        <v>61.62363665006778</v>
      </c>
      <c r="AS7" s="543">
        <f t="shared" si="2"/>
        <v>61.916303052485851</v>
      </c>
      <c r="AT7" s="543">
        <f t="shared" si="2"/>
        <v>62.210359402459126</v>
      </c>
      <c r="AU7" s="543">
        <f t="shared" si="2"/>
        <v>62.505812301203832</v>
      </c>
      <c r="AV7" s="543">
        <f t="shared" si="2"/>
        <v>62.80266838128707</v>
      </c>
      <c r="AW7" s="543">
        <f t="shared" si="2"/>
        <v>63.100934306775684</v>
      </c>
      <c r="AX7" s="543">
        <f t="shared" si="2"/>
        <v>63.400616773385885</v>
      </c>
      <c r="AY7" s="543">
        <f t="shared" si="2"/>
        <v>63.701722508633551</v>
      </c>
      <c r="AZ7" s="543">
        <f t="shared" si="2"/>
        <v>64.00425827198525</v>
      </c>
      <c r="BA7" s="543">
        <f t="shared" si="2"/>
        <v>64.308230855009995</v>
      </c>
      <c r="BB7" s="543">
        <f t="shared" si="2"/>
        <v>64.613647081531667</v>
      </c>
      <c r="BC7" s="543">
        <f t="shared" si="2"/>
        <v>64.920513807782271</v>
      </c>
    </row>
    <row r="8" spans="1:55" x14ac:dyDescent="0.3">
      <c r="A8">
        <f>+A7+100</f>
        <v>751</v>
      </c>
      <c r="B8" s="38" t="s">
        <v>528</v>
      </c>
      <c r="C8" s="364">
        <v>73</v>
      </c>
      <c r="D8" s="364">
        <v>198</v>
      </c>
      <c r="E8" s="364">
        <v>0</v>
      </c>
      <c r="H8" s="542" t="str">
        <f>input_names!$B$3</f>
        <v>benzine</v>
      </c>
      <c r="I8" s="542" t="s">
        <v>528</v>
      </c>
      <c r="J8" s="543">
        <f t="shared" ref="J8:BC8" si="3">IF(J$4&gt;input_basisjaar,I8*(1+$B$40),$C8)</f>
        <v>73</v>
      </c>
      <c r="K8" s="543">
        <f t="shared" si="3"/>
        <v>73</v>
      </c>
      <c r="L8" s="543">
        <f t="shared" si="3"/>
        <v>73</v>
      </c>
      <c r="M8" s="543">
        <f t="shared" si="3"/>
        <v>73</v>
      </c>
      <c r="N8" s="543">
        <f t="shared" si="3"/>
        <v>73</v>
      </c>
      <c r="O8" s="543">
        <f t="shared" si="3"/>
        <v>73</v>
      </c>
      <c r="P8" s="543">
        <f t="shared" si="3"/>
        <v>73</v>
      </c>
      <c r="Q8" s="543">
        <f t="shared" si="3"/>
        <v>73</v>
      </c>
      <c r="R8" s="543">
        <f t="shared" si="3"/>
        <v>73</v>
      </c>
      <c r="S8" s="543">
        <f t="shared" si="3"/>
        <v>73</v>
      </c>
      <c r="T8" s="543">
        <f t="shared" si="3"/>
        <v>73</v>
      </c>
      <c r="U8" s="543">
        <f t="shared" si="3"/>
        <v>73.346695659943592</v>
      </c>
      <c r="V8" s="543">
        <f t="shared" si="3"/>
        <v>73.695037866197097</v>
      </c>
      <c r="W8" s="543">
        <f t="shared" si="3"/>
        <v>74.045034438629827</v>
      </c>
      <c r="X8" s="543">
        <f t="shared" si="3"/>
        <v>74.396693234249639</v>
      </c>
      <c r="Y8" s="543">
        <f t="shared" si="3"/>
        <v>74.750022147379354</v>
      </c>
      <c r="Z8" s="543">
        <f t="shared" si="3"/>
        <v>75.105029109833922</v>
      </c>
      <c r="AA8" s="543">
        <f t="shared" si="3"/>
        <v>75.461722091098537</v>
      </c>
      <c r="AB8" s="543">
        <f t="shared" si="3"/>
        <v>75.820109098507487</v>
      </c>
      <c r="AC8" s="543">
        <f t="shared" si="3"/>
        <v>76.180198177423961</v>
      </c>
      <c r="AD8" s="543">
        <f t="shared" si="3"/>
        <v>76.54199741142061</v>
      </c>
      <c r="AE8" s="543">
        <f t="shared" si="3"/>
        <v>76.905514922461066</v>
      </c>
      <c r="AF8" s="543">
        <f t="shared" si="3"/>
        <v>77.270758871082222</v>
      </c>
      <c r="AG8" s="543">
        <f t="shared" si="3"/>
        <v>77.637737456577455</v>
      </c>
      <c r="AH8" s="543">
        <f t="shared" si="3"/>
        <v>78.00645891718068</v>
      </c>
      <c r="AI8" s="543">
        <f t="shared" si="3"/>
        <v>78.376931530251298</v>
      </c>
      <c r="AJ8" s="543">
        <f t="shared" si="3"/>
        <v>78.749163612459981</v>
      </c>
      <c r="AK8" s="543">
        <f t="shared" si="3"/>
        <v>79.123163519975435</v>
      </c>
      <c r="AL8" s="543">
        <f t="shared" si="3"/>
        <v>79.498939648651913</v>
      </c>
      <c r="AM8" s="543">
        <f t="shared" si="3"/>
        <v>79.876500434217732</v>
      </c>
      <c r="AN8" s="543">
        <f t="shared" si="3"/>
        <v>80.255854352464652</v>
      </c>
      <c r="AO8" s="543">
        <f t="shared" si="3"/>
        <v>80.637009919438142</v>
      </c>
      <c r="AP8" s="543">
        <f t="shared" si="3"/>
        <v>81.019975691628517</v>
      </c>
      <c r="AQ8" s="543">
        <f t="shared" si="3"/>
        <v>81.40476026616308</v>
      </c>
      <c r="AR8" s="543">
        <f t="shared" si="3"/>
        <v>81.79137228099907</v>
      </c>
      <c r="AS8" s="543">
        <f t="shared" si="3"/>
        <v>82.179820415117604</v>
      </c>
      <c r="AT8" s="543">
        <f t="shared" si="3"/>
        <v>82.570113388718497</v>
      </c>
      <c r="AU8" s="543">
        <f t="shared" si="3"/>
        <v>82.962259963416017</v>
      </c>
      <c r="AV8" s="543">
        <f t="shared" si="3"/>
        <v>83.356268942435577</v>
      </c>
      <c r="AW8" s="543">
        <f t="shared" si="3"/>
        <v>83.752149170811379</v>
      </c>
      <c r="AX8" s="543">
        <f t="shared" si="3"/>
        <v>84.149909535584925</v>
      </c>
      <c r="AY8" s="543">
        <f t="shared" si="3"/>
        <v>84.549558966004554</v>
      </c>
      <c r="AZ8" s="543">
        <f t="shared" si="3"/>
        <v>84.951106433725897</v>
      </c>
      <c r="BA8" s="543">
        <f t="shared" si="3"/>
        <v>85.354560953013277</v>
      </c>
      <c r="BB8" s="543">
        <f t="shared" si="3"/>
        <v>85.759931580942052</v>
      </c>
      <c r="BC8" s="543">
        <f t="shared" si="3"/>
        <v>86.167227417601936</v>
      </c>
    </row>
    <row r="9" spans="1:55" x14ac:dyDescent="0.3">
      <c r="A9">
        <f t="shared" ref="A9:A21" si="4">+A8+100</f>
        <v>851</v>
      </c>
      <c r="B9" s="38" t="s">
        <v>529</v>
      </c>
      <c r="C9" s="364">
        <v>95</v>
      </c>
      <c r="D9" s="364">
        <v>242</v>
      </c>
      <c r="E9" s="364">
        <v>0</v>
      </c>
      <c r="H9" s="542" t="str">
        <f>input_names!$B$3</f>
        <v>benzine</v>
      </c>
      <c r="I9" s="542" t="s">
        <v>529</v>
      </c>
      <c r="J9" s="543">
        <f t="shared" ref="J9:BC9" si="5">IF(J$4&gt;input_basisjaar,I9*(1+$B$40),$C9)</f>
        <v>95</v>
      </c>
      <c r="K9" s="543">
        <f t="shared" si="5"/>
        <v>95</v>
      </c>
      <c r="L9" s="543">
        <f t="shared" si="5"/>
        <v>95</v>
      </c>
      <c r="M9" s="543">
        <f t="shared" si="5"/>
        <v>95</v>
      </c>
      <c r="N9" s="543">
        <f t="shared" si="5"/>
        <v>95</v>
      </c>
      <c r="O9" s="543">
        <f t="shared" si="5"/>
        <v>95</v>
      </c>
      <c r="P9" s="543">
        <f t="shared" si="5"/>
        <v>95</v>
      </c>
      <c r="Q9" s="543">
        <f t="shared" si="5"/>
        <v>95</v>
      </c>
      <c r="R9" s="543">
        <f t="shared" si="5"/>
        <v>95</v>
      </c>
      <c r="S9" s="543">
        <f t="shared" si="5"/>
        <v>95</v>
      </c>
      <c r="T9" s="543">
        <f t="shared" si="5"/>
        <v>95</v>
      </c>
      <c r="U9" s="543">
        <f t="shared" si="5"/>
        <v>95.45117928348823</v>
      </c>
      <c r="V9" s="543">
        <f t="shared" si="5"/>
        <v>95.904501332722248</v>
      </c>
      <c r="W9" s="543">
        <f t="shared" si="5"/>
        <v>96.359976324244286</v>
      </c>
      <c r="X9" s="543">
        <f t="shared" si="5"/>
        <v>96.81761448292761</v>
      </c>
      <c r="Y9" s="543">
        <f t="shared" si="5"/>
        <v>97.277426082206006</v>
      </c>
      <c r="Z9" s="543">
        <f t="shared" si="5"/>
        <v>97.739421444304426</v>
      </c>
      <c r="AA9" s="543">
        <f t="shared" si="5"/>
        <v>98.203610940470696</v>
      </c>
      <c r="AB9" s="543">
        <f t="shared" si="5"/>
        <v>98.670004991208373</v>
      </c>
      <c r="AC9" s="543">
        <f t="shared" si="5"/>
        <v>99.138614066510627</v>
      </c>
      <c r="AD9" s="543">
        <f t="shared" si="5"/>
        <v>99.609448686095305</v>
      </c>
      <c r="AE9" s="543">
        <f t="shared" si="5"/>
        <v>100.0825194196411</v>
      </c>
      <c r="AF9" s="543">
        <f t="shared" si="5"/>
        <v>100.55783688702479</v>
      </c>
      <c r="AG9" s="543">
        <f t="shared" si="5"/>
        <v>101.03541175855969</v>
      </c>
      <c r="AH9" s="543">
        <f t="shared" si="5"/>
        <v>101.51525475523512</v>
      </c>
      <c r="AI9" s="543">
        <f t="shared" si="5"/>
        <v>101.99737664895714</v>
      </c>
      <c r="AJ9" s="543">
        <f t="shared" si="5"/>
        <v>102.48178826279036</v>
      </c>
      <c r="AK9" s="543">
        <f t="shared" si="5"/>
        <v>102.96850047120087</v>
      </c>
      <c r="AL9" s="543">
        <f t="shared" si="5"/>
        <v>103.45752420030038</v>
      </c>
      <c r="AM9" s="543">
        <f t="shared" si="5"/>
        <v>103.94887042809152</v>
      </c>
      <c r="AN9" s="543">
        <f t="shared" si="5"/>
        <v>104.44255018471424</v>
      </c>
      <c r="AO9" s="543">
        <f t="shared" si="5"/>
        <v>104.93857455269342</v>
      </c>
      <c r="AP9" s="543">
        <f t="shared" si="5"/>
        <v>105.43695466718775</v>
      </c>
      <c r="AQ9" s="543">
        <f t="shared" si="5"/>
        <v>105.93770171623957</v>
      </c>
      <c r="AR9" s="543">
        <f t="shared" si="5"/>
        <v>106.44082694102613</v>
      </c>
      <c r="AS9" s="543">
        <f t="shared" si="5"/>
        <v>106.9463416361119</v>
      </c>
      <c r="AT9" s="543">
        <f t="shared" si="5"/>
        <v>107.4542571497021</v>
      </c>
      <c r="AU9" s="543">
        <f t="shared" si="5"/>
        <v>107.9645848838975</v>
      </c>
      <c r="AV9" s="543">
        <f t="shared" si="5"/>
        <v>108.47733629495036</v>
      </c>
      <c r="AW9" s="543">
        <f t="shared" si="5"/>
        <v>108.99252289352161</v>
      </c>
      <c r="AX9" s="543">
        <f t="shared" si="5"/>
        <v>109.51015624493924</v>
      </c>
      <c r="AY9" s="543">
        <f t="shared" si="5"/>
        <v>110.03024796945793</v>
      </c>
      <c r="AZ9" s="543">
        <f t="shared" si="5"/>
        <v>110.55280974251997</v>
      </c>
      <c r="BA9" s="543">
        <f t="shared" si="5"/>
        <v>111.07785329501725</v>
      </c>
      <c r="BB9" s="543">
        <f t="shared" si="5"/>
        <v>111.60539041355469</v>
      </c>
      <c r="BC9" s="543">
        <f t="shared" si="5"/>
        <v>112.13543294071482</v>
      </c>
    </row>
    <row r="10" spans="1:55" x14ac:dyDescent="0.3">
      <c r="A10">
        <f t="shared" si="4"/>
        <v>951</v>
      </c>
      <c r="B10" s="38" t="s">
        <v>530</v>
      </c>
      <c r="C10" s="364">
        <v>123</v>
      </c>
      <c r="D10" s="364">
        <v>286</v>
      </c>
      <c r="E10" s="364">
        <v>0</v>
      </c>
      <c r="H10" s="542" t="str">
        <f>input_names!$B$3</f>
        <v>benzine</v>
      </c>
      <c r="I10" s="542" t="s">
        <v>530</v>
      </c>
      <c r="J10" s="543">
        <f t="shared" ref="J10:BC10" si="6">IF(J$4&gt;input_basisjaar,I10*(1+$B$40),$C10)</f>
        <v>123</v>
      </c>
      <c r="K10" s="543">
        <f t="shared" si="6"/>
        <v>123</v>
      </c>
      <c r="L10" s="543">
        <f t="shared" si="6"/>
        <v>123</v>
      </c>
      <c r="M10" s="543">
        <f t="shared" si="6"/>
        <v>123</v>
      </c>
      <c r="N10" s="543">
        <f t="shared" si="6"/>
        <v>123</v>
      </c>
      <c r="O10" s="543">
        <f t="shared" si="6"/>
        <v>123</v>
      </c>
      <c r="P10" s="543">
        <f t="shared" si="6"/>
        <v>123</v>
      </c>
      <c r="Q10" s="543">
        <f t="shared" si="6"/>
        <v>123</v>
      </c>
      <c r="R10" s="543">
        <f t="shared" si="6"/>
        <v>123</v>
      </c>
      <c r="S10" s="543">
        <f t="shared" si="6"/>
        <v>123</v>
      </c>
      <c r="T10" s="543">
        <f t="shared" si="6"/>
        <v>123</v>
      </c>
      <c r="U10" s="543">
        <f t="shared" si="6"/>
        <v>123.58415844072687</v>
      </c>
      <c r="V10" s="543">
        <f t="shared" si="6"/>
        <v>124.1710911992088</v>
      </c>
      <c r="W10" s="543">
        <f t="shared" si="6"/>
        <v>124.76081145138997</v>
      </c>
      <c r="X10" s="543">
        <f t="shared" si="6"/>
        <v>125.35333243579049</v>
      </c>
      <c r="Y10" s="543">
        <f t="shared" si="6"/>
        <v>125.94866745380357</v>
      </c>
      <c r="Z10" s="543">
        <f t="shared" si="6"/>
        <v>126.54682986999414</v>
      </c>
      <c r="AA10" s="543">
        <f t="shared" si="6"/>
        <v>127.1478331123989</v>
      </c>
      <c r="AB10" s="543">
        <f t="shared" si="6"/>
        <v>127.75169067282768</v>
      </c>
      <c r="AC10" s="543">
        <f t="shared" si="6"/>
        <v>128.35841610716639</v>
      </c>
      <c r="AD10" s="543">
        <f t="shared" si="6"/>
        <v>128.96802303568128</v>
      </c>
      <c r="AE10" s="543">
        <f t="shared" si="6"/>
        <v>129.58052514332479</v>
      </c>
      <c r="AF10" s="543">
        <f t="shared" si="6"/>
        <v>130.19593618004262</v>
      </c>
      <c r="AG10" s="543">
        <f t="shared" si="6"/>
        <v>130.81426996108254</v>
      </c>
      <c r="AH10" s="543">
        <f t="shared" si="6"/>
        <v>131.43554036730441</v>
      </c>
      <c r="AI10" s="543">
        <f t="shared" si="6"/>
        <v>132.05976134549189</v>
      </c>
      <c r="AJ10" s="543">
        <f t="shared" si="6"/>
        <v>132.68694690866545</v>
      </c>
      <c r="AK10" s="543">
        <f t="shared" si="6"/>
        <v>133.31711113639696</v>
      </c>
      <c r="AL10" s="543">
        <f t="shared" si="6"/>
        <v>133.95026817512581</v>
      </c>
      <c r="AM10" s="543">
        <f t="shared" si="6"/>
        <v>134.58643223847645</v>
      </c>
      <c r="AN10" s="543">
        <f t="shared" si="6"/>
        <v>135.22561760757745</v>
      </c>
      <c r="AO10" s="543">
        <f t="shared" si="6"/>
        <v>135.86783863138209</v>
      </c>
      <c r="AP10" s="543">
        <f t="shared" si="6"/>
        <v>136.51310972699054</v>
      </c>
      <c r="AQ10" s="543">
        <f t="shared" si="6"/>
        <v>137.16144537997343</v>
      </c>
      <c r="AR10" s="543">
        <f t="shared" si="6"/>
        <v>137.81286014469708</v>
      </c>
      <c r="AS10" s="543">
        <f t="shared" si="6"/>
        <v>138.46736864465024</v>
      </c>
      <c r="AT10" s="543">
        <f t="shared" si="6"/>
        <v>139.12498557277229</v>
      </c>
      <c r="AU10" s="543">
        <f t="shared" si="6"/>
        <v>139.78572569178317</v>
      </c>
      <c r="AV10" s="543">
        <f t="shared" si="6"/>
        <v>140.44960383451476</v>
      </c>
      <c r="AW10" s="543">
        <f t="shared" si="6"/>
        <v>141.11663490424385</v>
      </c>
      <c r="AX10" s="543">
        <f t="shared" si="6"/>
        <v>141.78683387502667</v>
      </c>
      <c r="AY10" s="543">
        <f t="shared" si="6"/>
        <v>142.46021579203509</v>
      </c>
      <c r="AZ10" s="543">
        <f t="shared" si="6"/>
        <v>143.13679577189436</v>
      </c>
      <c r="BA10" s="543">
        <f t="shared" si="6"/>
        <v>143.81658900302241</v>
      </c>
      <c r="BB10" s="543">
        <f t="shared" si="6"/>
        <v>144.4996107459709</v>
      </c>
      <c r="BC10" s="543">
        <f t="shared" si="6"/>
        <v>145.18587633376771</v>
      </c>
    </row>
    <row r="11" spans="1:55" x14ac:dyDescent="0.3">
      <c r="A11">
        <f t="shared" si="4"/>
        <v>1051</v>
      </c>
      <c r="B11" s="38" t="s">
        <v>531</v>
      </c>
      <c r="C11" s="364">
        <v>151</v>
      </c>
      <c r="D11" s="364">
        <v>330</v>
      </c>
      <c r="E11" s="364">
        <v>0</v>
      </c>
      <c r="H11" s="542" t="str">
        <f>input_names!$B$3</f>
        <v>benzine</v>
      </c>
      <c r="I11" s="542" t="s">
        <v>531</v>
      </c>
      <c r="J11" s="543">
        <f t="shared" ref="J11:BC11" si="7">IF(J$4&gt;input_basisjaar,I11*(1+$B$40),$C11)</f>
        <v>151</v>
      </c>
      <c r="K11" s="543">
        <f t="shared" si="7"/>
        <v>151</v>
      </c>
      <c r="L11" s="543">
        <f t="shared" si="7"/>
        <v>151</v>
      </c>
      <c r="M11" s="543">
        <f t="shared" si="7"/>
        <v>151</v>
      </c>
      <c r="N11" s="543">
        <f t="shared" si="7"/>
        <v>151</v>
      </c>
      <c r="O11" s="543">
        <f t="shared" si="7"/>
        <v>151</v>
      </c>
      <c r="P11" s="543">
        <f t="shared" si="7"/>
        <v>151</v>
      </c>
      <c r="Q11" s="543">
        <f t="shared" si="7"/>
        <v>151</v>
      </c>
      <c r="R11" s="543">
        <f t="shared" si="7"/>
        <v>151</v>
      </c>
      <c r="S11" s="543">
        <f t="shared" si="7"/>
        <v>151</v>
      </c>
      <c r="T11" s="543">
        <f t="shared" si="7"/>
        <v>151</v>
      </c>
      <c r="U11" s="543">
        <f t="shared" si="7"/>
        <v>151.71713759796552</v>
      </c>
      <c r="V11" s="543">
        <f t="shared" si="7"/>
        <v>152.43768106569536</v>
      </c>
      <c r="W11" s="543">
        <f t="shared" si="7"/>
        <v>153.16164657853565</v>
      </c>
      <c r="X11" s="543">
        <f t="shared" si="7"/>
        <v>153.88905038865335</v>
      </c>
      <c r="Y11" s="543">
        <f t="shared" si="7"/>
        <v>154.6199088254011</v>
      </c>
      <c r="Z11" s="543">
        <f t="shared" si="7"/>
        <v>155.35423829568384</v>
      </c>
      <c r="AA11" s="543">
        <f t="shared" si="7"/>
        <v>156.09205528432707</v>
      </c>
      <c r="AB11" s="543">
        <f t="shared" si="7"/>
        <v>156.83337635444695</v>
      </c>
      <c r="AC11" s="543">
        <f t="shared" si="7"/>
        <v>157.57821814782213</v>
      </c>
      <c r="AD11" s="543">
        <f t="shared" si="7"/>
        <v>158.32659738526726</v>
      </c>
      <c r="AE11" s="543">
        <f t="shared" si="7"/>
        <v>159.07853086700848</v>
      </c>
      <c r="AF11" s="543">
        <f t="shared" si="7"/>
        <v>159.83403547306045</v>
      </c>
      <c r="AG11" s="543">
        <f t="shared" si="7"/>
        <v>160.5931281636054</v>
      </c>
      <c r="AH11" s="543">
        <f t="shared" si="7"/>
        <v>161.35582597937372</v>
      </c>
      <c r="AI11" s="543">
        <f t="shared" si="7"/>
        <v>162.12214604202663</v>
      </c>
      <c r="AJ11" s="543">
        <f t="shared" si="7"/>
        <v>162.89210555454048</v>
      </c>
      <c r="AK11" s="543">
        <f t="shared" si="7"/>
        <v>163.66572180159298</v>
      </c>
      <c r="AL11" s="543">
        <f t="shared" si="7"/>
        <v>164.44301214995116</v>
      </c>
      <c r="AM11" s="543">
        <f t="shared" si="7"/>
        <v>165.2239940488613</v>
      </c>
      <c r="AN11" s="543">
        <f t="shared" si="7"/>
        <v>166.00868503044057</v>
      </c>
      <c r="AO11" s="543">
        <f t="shared" si="7"/>
        <v>166.79710271007067</v>
      </c>
      <c r="AP11" s="543">
        <f t="shared" si="7"/>
        <v>167.58926478679322</v>
      </c>
      <c r="AQ11" s="543">
        <f t="shared" si="7"/>
        <v>168.38518904370719</v>
      </c>
      <c r="AR11" s="543">
        <f t="shared" si="7"/>
        <v>169.18489334836792</v>
      </c>
      <c r="AS11" s="543">
        <f t="shared" si="7"/>
        <v>169.98839565318846</v>
      </c>
      <c r="AT11" s="543">
        <f t="shared" si="7"/>
        <v>170.79571399584236</v>
      </c>
      <c r="AU11" s="543">
        <f t="shared" si="7"/>
        <v>171.60686649966874</v>
      </c>
      <c r="AV11" s="543">
        <f t="shared" si="7"/>
        <v>172.42187137407907</v>
      </c>
      <c r="AW11" s="543">
        <f t="shared" si="7"/>
        <v>173.240746914966</v>
      </c>
      <c r="AX11" s="543">
        <f t="shared" si="7"/>
        <v>174.06351150511401</v>
      </c>
      <c r="AY11" s="543">
        <f t="shared" si="7"/>
        <v>174.89018361461214</v>
      </c>
      <c r="AZ11" s="543">
        <f t="shared" si="7"/>
        <v>175.72078180126863</v>
      </c>
      <c r="BA11" s="543">
        <f t="shared" si="7"/>
        <v>176.55532471102745</v>
      </c>
      <c r="BB11" s="543">
        <f t="shared" si="7"/>
        <v>177.39383107838697</v>
      </c>
      <c r="BC11" s="543">
        <f t="shared" si="7"/>
        <v>178.23631972682043</v>
      </c>
    </row>
    <row r="12" spans="1:55" x14ac:dyDescent="0.3">
      <c r="A12">
        <f t="shared" si="4"/>
        <v>1151</v>
      </c>
      <c r="B12" s="38" t="s">
        <v>532</v>
      </c>
      <c r="C12" s="364">
        <v>169</v>
      </c>
      <c r="D12" s="364">
        <v>374</v>
      </c>
      <c r="E12" s="364">
        <v>0</v>
      </c>
      <c r="H12" s="542" t="str">
        <f>input_names!$B$3</f>
        <v>benzine</v>
      </c>
      <c r="I12" s="542" t="s">
        <v>532</v>
      </c>
      <c r="J12" s="543">
        <f t="shared" ref="J12:BC12" si="8">IF(J$4&gt;input_basisjaar,I12*(1+$B$40),$C12)</f>
        <v>169</v>
      </c>
      <c r="K12" s="543">
        <f t="shared" si="8"/>
        <v>169</v>
      </c>
      <c r="L12" s="543">
        <f t="shared" si="8"/>
        <v>169</v>
      </c>
      <c r="M12" s="543">
        <f t="shared" si="8"/>
        <v>169</v>
      </c>
      <c r="N12" s="543">
        <f t="shared" si="8"/>
        <v>169</v>
      </c>
      <c r="O12" s="543">
        <f t="shared" si="8"/>
        <v>169</v>
      </c>
      <c r="P12" s="543">
        <f t="shared" si="8"/>
        <v>169</v>
      </c>
      <c r="Q12" s="543">
        <f t="shared" si="8"/>
        <v>169</v>
      </c>
      <c r="R12" s="543">
        <f t="shared" si="8"/>
        <v>169</v>
      </c>
      <c r="S12" s="543">
        <f t="shared" si="8"/>
        <v>169</v>
      </c>
      <c r="T12" s="543">
        <f t="shared" si="8"/>
        <v>169</v>
      </c>
      <c r="U12" s="543">
        <f t="shared" si="8"/>
        <v>169.8026241990475</v>
      </c>
      <c r="V12" s="543">
        <f t="shared" si="8"/>
        <v>170.60906026557959</v>
      </c>
      <c r="W12" s="543">
        <f t="shared" si="8"/>
        <v>171.41932630312934</v>
      </c>
      <c r="X12" s="543">
        <f t="shared" si="8"/>
        <v>172.23344050120809</v>
      </c>
      <c r="Y12" s="543">
        <f t="shared" si="8"/>
        <v>173.05142113571387</v>
      </c>
      <c r="Z12" s="543">
        <f t="shared" si="8"/>
        <v>173.87328656934159</v>
      </c>
      <c r="AA12" s="543">
        <f t="shared" si="8"/>
        <v>174.69905525199528</v>
      </c>
      <c r="AB12" s="543">
        <f t="shared" si="8"/>
        <v>175.52874572120228</v>
      </c>
      <c r="AC12" s="543">
        <f t="shared" si="8"/>
        <v>176.36237660252945</v>
      </c>
      <c r="AD12" s="543">
        <f t="shared" si="8"/>
        <v>177.19996661000116</v>
      </c>
      <c r="AE12" s="543">
        <f t="shared" si="8"/>
        <v>178.04153454651947</v>
      </c>
      <c r="AF12" s="543">
        <f t="shared" si="8"/>
        <v>178.88709930428627</v>
      </c>
      <c r="AG12" s="543">
        <f t="shared" si="8"/>
        <v>179.73667986522727</v>
      </c>
      <c r="AH12" s="543">
        <f t="shared" si="8"/>
        <v>180.59029530141831</v>
      </c>
      <c r="AI12" s="543">
        <f t="shared" si="8"/>
        <v>181.4479647755133</v>
      </c>
      <c r="AJ12" s="543">
        <f t="shared" si="8"/>
        <v>182.3097075411745</v>
      </c>
      <c r="AK12" s="543">
        <f t="shared" si="8"/>
        <v>183.17554294350478</v>
      </c>
      <c r="AL12" s="543">
        <f t="shared" si="8"/>
        <v>184.04549041948181</v>
      </c>
      <c r="AM12" s="543">
        <f t="shared" si="8"/>
        <v>184.91956949839448</v>
      </c>
      <c r="AN12" s="543">
        <f t="shared" si="8"/>
        <v>185.79779980228119</v>
      </c>
      <c r="AO12" s="543">
        <f t="shared" si="8"/>
        <v>186.68020104637048</v>
      </c>
      <c r="AP12" s="543">
        <f t="shared" si="8"/>
        <v>187.56679303952356</v>
      </c>
      <c r="AQ12" s="543">
        <f t="shared" si="8"/>
        <v>188.45759568467892</v>
      </c>
      <c r="AR12" s="543">
        <f t="shared" si="8"/>
        <v>189.35262897929923</v>
      </c>
      <c r="AS12" s="543">
        <f t="shared" si="8"/>
        <v>190.25191301582021</v>
      </c>
      <c r="AT12" s="543">
        <f t="shared" si="8"/>
        <v>191.15546798210173</v>
      </c>
      <c r="AU12" s="543">
        <f t="shared" si="8"/>
        <v>192.06331416188092</v>
      </c>
      <c r="AV12" s="543">
        <f t="shared" si="8"/>
        <v>192.9754719352276</v>
      </c>
      <c r="AW12" s="543">
        <f t="shared" si="8"/>
        <v>193.89196177900172</v>
      </c>
      <c r="AX12" s="543">
        <f t="shared" si="8"/>
        <v>194.81280426731308</v>
      </c>
      <c r="AY12" s="543">
        <f t="shared" si="8"/>
        <v>195.73802007198319</v>
      </c>
      <c r="AZ12" s="543">
        <f t="shared" si="8"/>
        <v>196.66762996300932</v>
      </c>
      <c r="BA12" s="543">
        <f t="shared" si="8"/>
        <v>197.6016548090308</v>
      </c>
      <c r="BB12" s="543">
        <f t="shared" si="8"/>
        <v>198.54011557779742</v>
      </c>
      <c r="BC12" s="543">
        <f t="shared" si="8"/>
        <v>199.48303333664018</v>
      </c>
    </row>
    <row r="13" spans="1:55" x14ac:dyDescent="0.3">
      <c r="A13">
        <f t="shared" si="4"/>
        <v>1251</v>
      </c>
      <c r="B13" s="38" t="s">
        <v>533</v>
      </c>
      <c r="C13" s="364">
        <v>207</v>
      </c>
      <c r="D13" s="364">
        <v>418</v>
      </c>
      <c r="E13" s="364">
        <v>0</v>
      </c>
      <c r="H13" s="542" t="str">
        <f>input_names!$B$3</f>
        <v>benzine</v>
      </c>
      <c r="I13" s="542" t="s">
        <v>533</v>
      </c>
      <c r="J13" s="543">
        <f t="shared" ref="J13:BC13" si="9">IF(J$4&gt;input_basisjaar,I13*(1+$B$40),$C13)</f>
        <v>207</v>
      </c>
      <c r="K13" s="543">
        <f t="shared" si="9"/>
        <v>207</v>
      </c>
      <c r="L13" s="543">
        <f t="shared" si="9"/>
        <v>207</v>
      </c>
      <c r="M13" s="543">
        <f t="shared" si="9"/>
        <v>207</v>
      </c>
      <c r="N13" s="543">
        <f t="shared" si="9"/>
        <v>207</v>
      </c>
      <c r="O13" s="543">
        <f t="shared" si="9"/>
        <v>207</v>
      </c>
      <c r="P13" s="543">
        <f t="shared" si="9"/>
        <v>207</v>
      </c>
      <c r="Q13" s="543">
        <f t="shared" si="9"/>
        <v>207</v>
      </c>
      <c r="R13" s="543">
        <f t="shared" si="9"/>
        <v>207</v>
      </c>
      <c r="S13" s="543">
        <f t="shared" si="9"/>
        <v>207</v>
      </c>
      <c r="T13" s="543">
        <f t="shared" si="9"/>
        <v>207</v>
      </c>
      <c r="U13" s="543">
        <f t="shared" si="9"/>
        <v>207.98309591244279</v>
      </c>
      <c r="V13" s="543">
        <f t="shared" si="9"/>
        <v>208.9708607986685</v>
      </c>
      <c r="W13" s="543">
        <f t="shared" si="9"/>
        <v>209.96331683282705</v>
      </c>
      <c r="X13" s="543">
        <f t="shared" si="9"/>
        <v>210.96048629437914</v>
      </c>
      <c r="Y13" s="543">
        <f t="shared" si="9"/>
        <v>211.96239156859627</v>
      </c>
      <c r="Z13" s="543">
        <f t="shared" si="9"/>
        <v>212.96905514706336</v>
      </c>
      <c r="AA13" s="543">
        <f t="shared" si="9"/>
        <v>213.98049962818357</v>
      </c>
      <c r="AB13" s="543">
        <f t="shared" si="9"/>
        <v>214.99674771768565</v>
      </c>
      <c r="AC13" s="543">
        <f t="shared" si="9"/>
        <v>216.01782222913371</v>
      </c>
      <c r="AD13" s="543">
        <f t="shared" si="9"/>
        <v>217.04374608443928</v>
      </c>
      <c r="AE13" s="543">
        <f t="shared" si="9"/>
        <v>218.07454231437592</v>
      </c>
      <c r="AF13" s="543">
        <f t="shared" si="9"/>
        <v>219.11023405909617</v>
      </c>
      <c r="AG13" s="543">
        <f t="shared" si="9"/>
        <v>220.15084456865114</v>
      </c>
      <c r="AH13" s="543">
        <f t="shared" si="9"/>
        <v>221.19639720351233</v>
      </c>
      <c r="AI13" s="543">
        <f t="shared" si="9"/>
        <v>222.24691543509613</v>
      </c>
      <c r="AJ13" s="543">
        <f t="shared" si="9"/>
        <v>223.30242284629063</v>
      </c>
      <c r="AK13" s="543">
        <f t="shared" si="9"/>
        <v>224.36294313198511</v>
      </c>
      <c r="AL13" s="543">
        <f t="shared" si="9"/>
        <v>225.42850009960196</v>
      </c>
      <c r="AM13" s="543">
        <f t="shared" si="9"/>
        <v>226.49911766963109</v>
      </c>
      <c r="AN13" s="543">
        <f t="shared" si="9"/>
        <v>227.57481987616688</v>
      </c>
      <c r="AO13" s="543">
        <f t="shared" si="9"/>
        <v>228.65563086744785</v>
      </c>
      <c r="AP13" s="543">
        <f t="shared" si="9"/>
        <v>229.74157490639865</v>
      </c>
      <c r="AQ13" s="543">
        <f t="shared" si="9"/>
        <v>230.83267637117473</v>
      </c>
      <c r="AR13" s="543">
        <f t="shared" si="9"/>
        <v>231.92895975570966</v>
      </c>
      <c r="AS13" s="543">
        <f t="shared" si="9"/>
        <v>233.03044967026494</v>
      </c>
      <c r="AT13" s="543">
        <f t="shared" si="9"/>
        <v>234.13717084198254</v>
      </c>
      <c r="AU13" s="543">
        <f t="shared" si="9"/>
        <v>235.24914811543988</v>
      </c>
      <c r="AV13" s="543">
        <f t="shared" si="9"/>
        <v>236.3664064532077</v>
      </c>
      <c r="AW13" s="543">
        <f t="shared" si="9"/>
        <v>237.48897093641031</v>
      </c>
      <c r="AX13" s="543">
        <f t="shared" si="9"/>
        <v>238.61686676528871</v>
      </c>
      <c r="AY13" s="543">
        <f t="shared" si="9"/>
        <v>239.75011925976628</v>
      </c>
      <c r="AZ13" s="543">
        <f t="shared" si="9"/>
        <v>240.88875386001723</v>
      </c>
      <c r="BA13" s="543">
        <f t="shared" si="9"/>
        <v>242.03279612703761</v>
      </c>
      <c r="BB13" s="543">
        <f t="shared" si="9"/>
        <v>243.18227174321919</v>
      </c>
      <c r="BC13" s="543">
        <f t="shared" si="9"/>
        <v>244.337206512926</v>
      </c>
    </row>
    <row r="14" spans="1:55" x14ac:dyDescent="0.3">
      <c r="A14">
        <f t="shared" si="4"/>
        <v>1351</v>
      </c>
      <c r="B14" s="38" t="s">
        <v>534</v>
      </c>
      <c r="C14" s="364">
        <v>235</v>
      </c>
      <c r="D14" s="364">
        <v>462</v>
      </c>
      <c r="E14" s="364">
        <v>0</v>
      </c>
      <c r="H14" s="542" t="str">
        <f>input_names!$B$3</f>
        <v>benzine</v>
      </c>
      <c r="I14" s="542" t="s">
        <v>534</v>
      </c>
      <c r="J14" s="543">
        <f t="shared" ref="J14:BC14" si="10">IF(J$4&gt;input_basisjaar,I14*(1+$B$40),$C14)</f>
        <v>235</v>
      </c>
      <c r="K14" s="543">
        <f t="shared" si="10"/>
        <v>235</v>
      </c>
      <c r="L14" s="543">
        <f t="shared" si="10"/>
        <v>235</v>
      </c>
      <c r="M14" s="543">
        <f t="shared" si="10"/>
        <v>235</v>
      </c>
      <c r="N14" s="543">
        <f t="shared" si="10"/>
        <v>235</v>
      </c>
      <c r="O14" s="543">
        <f t="shared" si="10"/>
        <v>235</v>
      </c>
      <c r="P14" s="543">
        <f t="shared" si="10"/>
        <v>235</v>
      </c>
      <c r="Q14" s="543">
        <f t="shared" si="10"/>
        <v>235</v>
      </c>
      <c r="R14" s="543">
        <f t="shared" si="10"/>
        <v>235</v>
      </c>
      <c r="S14" s="543">
        <f t="shared" si="10"/>
        <v>235</v>
      </c>
      <c r="T14" s="543">
        <f t="shared" si="10"/>
        <v>235</v>
      </c>
      <c r="U14" s="543">
        <f t="shared" si="10"/>
        <v>236.11607506968141</v>
      </c>
      <c r="V14" s="543">
        <f t="shared" si="10"/>
        <v>237.23745066515502</v>
      </c>
      <c r="W14" s="543">
        <f t="shared" si="10"/>
        <v>238.3641519599727</v>
      </c>
      <c r="X14" s="543">
        <f t="shared" si="10"/>
        <v>239.49620424724199</v>
      </c>
      <c r="Y14" s="543">
        <f t="shared" si="10"/>
        <v>240.63363294019382</v>
      </c>
      <c r="Z14" s="543">
        <f t="shared" si="10"/>
        <v>241.77646357275307</v>
      </c>
      <c r="AA14" s="543">
        <f t="shared" si="10"/>
        <v>242.92472180011174</v>
      </c>
      <c r="AB14" s="543">
        <f t="shared" si="10"/>
        <v>244.07843339930494</v>
      </c>
      <c r="AC14" s="543">
        <f t="shared" si="10"/>
        <v>245.23762426978945</v>
      </c>
      <c r="AD14" s="543">
        <f t="shared" si="10"/>
        <v>246.40232043402526</v>
      </c>
      <c r="AE14" s="543">
        <f t="shared" si="10"/>
        <v>247.57254803805961</v>
      </c>
      <c r="AF14" s="543">
        <f t="shared" si="10"/>
        <v>248.748333352114</v>
      </c>
      <c r="AG14" s="543">
        <f t="shared" si="10"/>
        <v>249.92970277117399</v>
      </c>
      <c r="AH14" s="543">
        <f t="shared" si="10"/>
        <v>251.11668281558164</v>
      </c>
      <c r="AI14" s="543">
        <f t="shared" si="10"/>
        <v>252.30930013163086</v>
      </c>
      <c r="AJ14" s="543">
        <f t="shared" si="10"/>
        <v>253.50758149216568</v>
      </c>
      <c r="AK14" s="543">
        <f t="shared" si="10"/>
        <v>254.71155379718115</v>
      </c>
      <c r="AL14" s="543">
        <f t="shared" si="10"/>
        <v>255.92124407442734</v>
      </c>
      <c r="AM14" s="543">
        <f t="shared" si="10"/>
        <v>257.13667948001597</v>
      </c>
      <c r="AN14" s="543">
        <f t="shared" si="10"/>
        <v>258.35788729903004</v>
      </c>
      <c r="AO14" s="543">
        <f t="shared" si="10"/>
        <v>259.58489494613644</v>
      </c>
      <c r="AP14" s="543">
        <f t="shared" si="10"/>
        <v>260.81772996620134</v>
      </c>
      <c r="AQ14" s="543">
        <f t="shared" si="10"/>
        <v>262.05642003490851</v>
      </c>
      <c r="AR14" s="543">
        <f t="shared" si="10"/>
        <v>263.30099295938055</v>
      </c>
      <c r="AS14" s="543">
        <f t="shared" si="10"/>
        <v>264.55147667880323</v>
      </c>
      <c r="AT14" s="543">
        <f t="shared" si="10"/>
        <v>265.8078992650527</v>
      </c>
      <c r="AU14" s="543">
        <f t="shared" si="10"/>
        <v>267.07028892332551</v>
      </c>
      <c r="AV14" s="543">
        <f t="shared" si="10"/>
        <v>268.33867399277204</v>
      </c>
      <c r="AW14" s="543">
        <f t="shared" si="10"/>
        <v>269.61308294713251</v>
      </c>
      <c r="AX14" s="543">
        <f t="shared" si="10"/>
        <v>270.89354439537613</v>
      </c>
      <c r="AY14" s="543">
        <f t="shared" si="10"/>
        <v>272.18008708234345</v>
      </c>
      <c r="AZ14" s="543">
        <f t="shared" si="10"/>
        <v>273.47273988939162</v>
      </c>
      <c r="BA14" s="543">
        <f t="shared" si="10"/>
        <v>274.77153183504277</v>
      </c>
      <c r="BB14" s="543">
        <f t="shared" si="10"/>
        <v>276.07649207563537</v>
      </c>
      <c r="BC14" s="543">
        <f t="shared" si="10"/>
        <v>277.38764990597883</v>
      </c>
    </row>
    <row r="15" spans="1:55" x14ac:dyDescent="0.3">
      <c r="A15">
        <f t="shared" si="4"/>
        <v>1451</v>
      </c>
      <c r="B15" s="38" t="s">
        <v>535</v>
      </c>
      <c r="C15" s="364">
        <v>264</v>
      </c>
      <c r="D15" s="364">
        <v>506</v>
      </c>
      <c r="E15" s="364">
        <v>0</v>
      </c>
      <c r="H15" s="542" t="str">
        <f>input_names!$B$3</f>
        <v>benzine</v>
      </c>
      <c r="I15" s="542" t="s">
        <v>535</v>
      </c>
      <c r="J15" s="543">
        <f t="shared" ref="J15:BC15" si="11">IF(J$4&gt;input_basisjaar,I15*(1+$B$40),$C15)</f>
        <v>264</v>
      </c>
      <c r="K15" s="543">
        <f t="shared" si="11"/>
        <v>264</v>
      </c>
      <c r="L15" s="543">
        <f t="shared" si="11"/>
        <v>264</v>
      </c>
      <c r="M15" s="543">
        <f t="shared" si="11"/>
        <v>264</v>
      </c>
      <c r="N15" s="543">
        <f t="shared" si="11"/>
        <v>264</v>
      </c>
      <c r="O15" s="543">
        <f t="shared" si="11"/>
        <v>264</v>
      </c>
      <c r="P15" s="543">
        <f t="shared" si="11"/>
        <v>264</v>
      </c>
      <c r="Q15" s="543">
        <f t="shared" si="11"/>
        <v>264</v>
      </c>
      <c r="R15" s="543">
        <f t="shared" si="11"/>
        <v>264</v>
      </c>
      <c r="S15" s="543">
        <f t="shared" si="11"/>
        <v>264</v>
      </c>
      <c r="T15" s="543">
        <f t="shared" si="11"/>
        <v>264</v>
      </c>
      <c r="U15" s="543">
        <f t="shared" si="11"/>
        <v>265.25380348253572</v>
      </c>
      <c r="V15" s="543">
        <f t="shared" si="11"/>
        <v>266.51356159830181</v>
      </c>
      <c r="W15" s="543">
        <f t="shared" si="11"/>
        <v>267.77930262737357</v>
      </c>
      <c r="X15" s="543">
        <f t="shared" si="11"/>
        <v>269.05105498413565</v>
      </c>
      <c r="Y15" s="543">
        <f t="shared" si="11"/>
        <v>270.32884721791982</v>
      </c>
      <c r="Z15" s="543">
        <f t="shared" si="11"/>
        <v>271.61270801364594</v>
      </c>
      <c r="AA15" s="543">
        <f t="shared" si="11"/>
        <v>272.90266619246592</v>
      </c>
      <c r="AB15" s="543">
        <f t="shared" si="11"/>
        <v>274.19875071241063</v>
      </c>
      <c r="AC15" s="543">
        <f t="shared" si="11"/>
        <v>275.50099066904005</v>
      </c>
      <c r="AD15" s="543">
        <f t="shared" si="11"/>
        <v>276.80941529609646</v>
      </c>
      <c r="AE15" s="543">
        <f t="shared" si="11"/>
        <v>278.12405396616055</v>
      </c>
      <c r="AF15" s="543">
        <f t="shared" si="11"/>
        <v>279.444936191311</v>
      </c>
      <c r="AG15" s="543">
        <f t="shared" si="11"/>
        <v>280.77209162378693</v>
      </c>
      <c r="AH15" s="543">
        <f t="shared" si="11"/>
        <v>282.10555005665339</v>
      </c>
      <c r="AI15" s="543">
        <f t="shared" si="11"/>
        <v>283.44534142447037</v>
      </c>
      <c r="AJ15" s="543">
        <f t="shared" si="11"/>
        <v>284.79149580396478</v>
      </c>
      <c r="AK15" s="543">
        <f t="shared" si="11"/>
        <v>286.14404341470555</v>
      </c>
      <c r="AL15" s="543">
        <f t="shared" si="11"/>
        <v>287.50301461978211</v>
      </c>
      <c r="AM15" s="543">
        <f t="shared" si="11"/>
        <v>288.86843992648591</v>
      </c>
      <c r="AN15" s="543">
        <f t="shared" si="11"/>
        <v>290.24034998699534</v>
      </c>
      <c r="AO15" s="543">
        <f t="shared" si="11"/>
        <v>291.61877559906384</v>
      </c>
      <c r="AP15" s="543">
        <f t="shared" si="11"/>
        <v>293.00374770671124</v>
      </c>
      <c r="AQ15" s="543">
        <f t="shared" si="11"/>
        <v>294.39529740091842</v>
      </c>
      <c r="AR15" s="543">
        <f t="shared" si="11"/>
        <v>295.7934559203253</v>
      </c>
      <c r="AS15" s="543">
        <f t="shared" si="11"/>
        <v>297.19825465193207</v>
      </c>
      <c r="AT15" s="543">
        <f t="shared" si="11"/>
        <v>298.60972513180377</v>
      </c>
      <c r="AU15" s="543">
        <f t="shared" si="11"/>
        <v>300.02789904577838</v>
      </c>
      <c r="AV15" s="543">
        <f t="shared" si="11"/>
        <v>301.45280823017794</v>
      </c>
      <c r="AW15" s="543">
        <f t="shared" si="11"/>
        <v>302.88448467252329</v>
      </c>
      <c r="AX15" s="543">
        <f t="shared" si="11"/>
        <v>304.32296051225228</v>
      </c>
      <c r="AY15" s="543">
        <f t="shared" si="11"/>
        <v>305.7682680414411</v>
      </c>
      <c r="AZ15" s="543">
        <f t="shared" si="11"/>
        <v>307.22043970552926</v>
      </c>
      <c r="BA15" s="543">
        <f t="shared" si="11"/>
        <v>308.67950810404801</v>
      </c>
      <c r="BB15" s="543">
        <f t="shared" si="11"/>
        <v>310.14550599135208</v>
      </c>
      <c r="BC15" s="543">
        <f t="shared" si="11"/>
        <v>311.61846627735497</v>
      </c>
    </row>
    <row r="16" spans="1:55" x14ac:dyDescent="0.3">
      <c r="A16">
        <f t="shared" si="4"/>
        <v>1551</v>
      </c>
      <c r="B16" s="38" t="s">
        <v>536</v>
      </c>
      <c r="C16" s="364">
        <v>292</v>
      </c>
      <c r="D16" s="364">
        <v>550</v>
      </c>
      <c r="E16" s="364">
        <v>0</v>
      </c>
      <c r="H16" s="542" t="str">
        <f>input_names!$B$3</f>
        <v>benzine</v>
      </c>
      <c r="I16" s="542" t="s">
        <v>536</v>
      </c>
      <c r="J16" s="543">
        <f t="shared" ref="J16:BC16" si="12">IF(J$4&gt;input_basisjaar,I16*(1+$B$40),$C16)</f>
        <v>292</v>
      </c>
      <c r="K16" s="543">
        <f t="shared" si="12"/>
        <v>292</v>
      </c>
      <c r="L16" s="543">
        <f t="shared" si="12"/>
        <v>292</v>
      </c>
      <c r="M16" s="543">
        <f t="shared" si="12"/>
        <v>292</v>
      </c>
      <c r="N16" s="543">
        <f t="shared" si="12"/>
        <v>292</v>
      </c>
      <c r="O16" s="543">
        <f t="shared" si="12"/>
        <v>292</v>
      </c>
      <c r="P16" s="543">
        <f t="shared" si="12"/>
        <v>292</v>
      </c>
      <c r="Q16" s="543">
        <f t="shared" si="12"/>
        <v>292</v>
      </c>
      <c r="R16" s="543">
        <f t="shared" si="12"/>
        <v>292</v>
      </c>
      <c r="S16" s="543">
        <f t="shared" si="12"/>
        <v>292</v>
      </c>
      <c r="T16" s="543">
        <f t="shared" si="12"/>
        <v>292</v>
      </c>
      <c r="U16" s="543">
        <f t="shared" si="12"/>
        <v>293.38678263977437</v>
      </c>
      <c r="V16" s="543">
        <f t="shared" si="12"/>
        <v>294.78015146478839</v>
      </c>
      <c r="W16" s="543">
        <f t="shared" si="12"/>
        <v>296.18013775451931</v>
      </c>
      <c r="X16" s="543">
        <f t="shared" si="12"/>
        <v>297.58677293699856</v>
      </c>
      <c r="Y16" s="543">
        <f t="shared" si="12"/>
        <v>299.00008858951742</v>
      </c>
      <c r="Z16" s="543">
        <f t="shared" si="12"/>
        <v>300.42011643933569</v>
      </c>
      <c r="AA16" s="543">
        <f t="shared" si="12"/>
        <v>301.84688836439415</v>
      </c>
      <c r="AB16" s="543">
        <f t="shared" si="12"/>
        <v>303.28043639402995</v>
      </c>
      <c r="AC16" s="543">
        <f t="shared" si="12"/>
        <v>304.72079270969584</v>
      </c>
      <c r="AD16" s="543">
        <f t="shared" si="12"/>
        <v>306.16798964568244</v>
      </c>
      <c r="AE16" s="543">
        <f t="shared" si="12"/>
        <v>307.62205968984426</v>
      </c>
      <c r="AF16" s="543">
        <f t="shared" si="12"/>
        <v>309.08303548432889</v>
      </c>
      <c r="AG16" s="543">
        <f t="shared" si="12"/>
        <v>310.55094982630982</v>
      </c>
      <c r="AH16" s="543">
        <f t="shared" si="12"/>
        <v>312.02583566872272</v>
      </c>
      <c r="AI16" s="543">
        <f t="shared" si="12"/>
        <v>313.50772612100519</v>
      </c>
      <c r="AJ16" s="543">
        <f t="shared" si="12"/>
        <v>314.99665444983992</v>
      </c>
      <c r="AK16" s="543">
        <f t="shared" si="12"/>
        <v>316.49265407990174</v>
      </c>
      <c r="AL16" s="543">
        <f t="shared" si="12"/>
        <v>317.99575859460765</v>
      </c>
      <c r="AM16" s="543">
        <f t="shared" si="12"/>
        <v>319.50600173687093</v>
      </c>
      <c r="AN16" s="543">
        <f t="shared" si="12"/>
        <v>321.02341740985861</v>
      </c>
      <c r="AO16" s="543">
        <f t="shared" si="12"/>
        <v>322.54803967775257</v>
      </c>
      <c r="AP16" s="543">
        <f t="shared" si="12"/>
        <v>324.07990276651407</v>
      </c>
      <c r="AQ16" s="543">
        <f t="shared" si="12"/>
        <v>325.61904106465232</v>
      </c>
      <c r="AR16" s="543">
        <f t="shared" si="12"/>
        <v>327.16548912399628</v>
      </c>
      <c r="AS16" s="543">
        <f t="shared" si="12"/>
        <v>328.71928166047041</v>
      </c>
      <c r="AT16" s="543">
        <f t="shared" si="12"/>
        <v>330.28045355487399</v>
      </c>
      <c r="AU16" s="543">
        <f t="shared" si="12"/>
        <v>331.84903985366407</v>
      </c>
      <c r="AV16" s="543">
        <f t="shared" si="12"/>
        <v>333.42507576974231</v>
      </c>
      <c r="AW16" s="543">
        <f t="shared" si="12"/>
        <v>335.00859668324551</v>
      </c>
      <c r="AX16" s="543">
        <f t="shared" si="12"/>
        <v>336.5996381423397</v>
      </c>
      <c r="AY16" s="543">
        <f t="shared" si="12"/>
        <v>338.19823586401822</v>
      </c>
      <c r="AZ16" s="543">
        <f t="shared" si="12"/>
        <v>339.80442573490359</v>
      </c>
      <c r="BA16" s="543">
        <f t="shared" si="12"/>
        <v>341.41824381205311</v>
      </c>
      <c r="BB16" s="543">
        <f t="shared" si="12"/>
        <v>343.03972632376821</v>
      </c>
      <c r="BC16" s="543">
        <f t="shared" si="12"/>
        <v>344.66890967040774</v>
      </c>
    </row>
    <row r="17" spans="1:55" x14ac:dyDescent="0.3">
      <c r="A17">
        <f t="shared" si="4"/>
        <v>1651</v>
      </c>
      <c r="B17" s="38" t="s">
        <v>537</v>
      </c>
      <c r="C17" s="364">
        <v>320</v>
      </c>
      <c r="D17" s="364">
        <v>594</v>
      </c>
      <c r="E17" s="364">
        <v>0</v>
      </c>
      <c r="H17" s="542" t="str">
        <f>input_names!$B$3</f>
        <v>benzine</v>
      </c>
      <c r="I17" s="542" t="s">
        <v>537</v>
      </c>
      <c r="J17" s="543">
        <f t="shared" ref="J17:BC17" si="13">IF(J$4&gt;input_basisjaar,I17*(1+$B$40),$C17)</f>
        <v>320</v>
      </c>
      <c r="K17" s="543">
        <f t="shared" si="13"/>
        <v>320</v>
      </c>
      <c r="L17" s="543">
        <f t="shared" si="13"/>
        <v>320</v>
      </c>
      <c r="M17" s="543">
        <f t="shared" si="13"/>
        <v>320</v>
      </c>
      <c r="N17" s="543">
        <f t="shared" si="13"/>
        <v>320</v>
      </c>
      <c r="O17" s="543">
        <f t="shared" si="13"/>
        <v>320</v>
      </c>
      <c r="P17" s="543">
        <f t="shared" si="13"/>
        <v>320</v>
      </c>
      <c r="Q17" s="543">
        <f t="shared" si="13"/>
        <v>320</v>
      </c>
      <c r="R17" s="543">
        <f t="shared" si="13"/>
        <v>320</v>
      </c>
      <c r="S17" s="543">
        <f t="shared" si="13"/>
        <v>320</v>
      </c>
      <c r="T17" s="543">
        <f t="shared" si="13"/>
        <v>320</v>
      </c>
      <c r="U17" s="543">
        <f t="shared" si="13"/>
        <v>321.51976179701302</v>
      </c>
      <c r="V17" s="543">
        <f t="shared" si="13"/>
        <v>323.04674133127497</v>
      </c>
      <c r="W17" s="543">
        <f t="shared" si="13"/>
        <v>324.58097288166499</v>
      </c>
      <c r="X17" s="543">
        <f t="shared" si="13"/>
        <v>326.12249088986147</v>
      </c>
      <c r="Y17" s="543">
        <f t="shared" si="13"/>
        <v>327.67132996111502</v>
      </c>
      <c r="Z17" s="543">
        <f t="shared" si="13"/>
        <v>329.22752486502549</v>
      </c>
      <c r="AA17" s="543">
        <f t="shared" si="13"/>
        <v>330.79111053632244</v>
      </c>
      <c r="AB17" s="543">
        <f t="shared" si="13"/>
        <v>332.36212207564932</v>
      </c>
      <c r="AC17" s="543">
        <f t="shared" si="13"/>
        <v>333.94059475035164</v>
      </c>
      <c r="AD17" s="543">
        <f t="shared" si="13"/>
        <v>335.52656399526848</v>
      </c>
      <c r="AE17" s="543">
        <f t="shared" si="13"/>
        <v>337.12006541352798</v>
      </c>
      <c r="AF17" s="543">
        <f t="shared" si="13"/>
        <v>338.72113477734672</v>
      </c>
      <c r="AG17" s="543">
        <f t="shared" si="13"/>
        <v>340.32980802883264</v>
      </c>
      <c r="AH17" s="543">
        <f t="shared" si="13"/>
        <v>341.946121280792</v>
      </c>
      <c r="AI17" s="543">
        <f t="shared" si="13"/>
        <v>343.5701108175399</v>
      </c>
      <c r="AJ17" s="543">
        <f t="shared" si="13"/>
        <v>345.20181309571495</v>
      </c>
      <c r="AK17" s="543">
        <f t="shared" si="13"/>
        <v>346.84126474509776</v>
      </c>
      <c r="AL17" s="543">
        <f t="shared" si="13"/>
        <v>348.48850256943297</v>
      </c>
      <c r="AM17" s="543">
        <f t="shared" si="13"/>
        <v>350.14356354725578</v>
      </c>
      <c r="AN17" s="543">
        <f t="shared" si="13"/>
        <v>351.80648483272176</v>
      </c>
      <c r="AO17" s="543">
        <f t="shared" si="13"/>
        <v>353.47730375644113</v>
      </c>
      <c r="AP17" s="543">
        <f t="shared" si="13"/>
        <v>355.15605782631678</v>
      </c>
      <c r="AQ17" s="543">
        <f t="shared" si="13"/>
        <v>356.84278472838611</v>
      </c>
      <c r="AR17" s="543">
        <f t="shared" si="13"/>
        <v>358.53752232766715</v>
      </c>
      <c r="AS17" s="543">
        <f t="shared" si="13"/>
        <v>360.24030866900864</v>
      </c>
      <c r="AT17" s="543">
        <f t="shared" si="13"/>
        <v>361.95118197794403</v>
      </c>
      <c r="AU17" s="543">
        <f t="shared" si="13"/>
        <v>363.67018066154958</v>
      </c>
      <c r="AV17" s="543">
        <f t="shared" si="13"/>
        <v>365.39734330930656</v>
      </c>
      <c r="AW17" s="543">
        <f t="shared" si="13"/>
        <v>367.13270869396757</v>
      </c>
      <c r="AX17" s="543">
        <f t="shared" si="13"/>
        <v>368.87631577242695</v>
      </c>
      <c r="AY17" s="543">
        <f t="shared" si="13"/>
        <v>370.62820368659521</v>
      </c>
      <c r="AZ17" s="543">
        <f t="shared" si="13"/>
        <v>372.38841176427786</v>
      </c>
      <c r="BA17" s="543">
        <f t="shared" si="13"/>
        <v>374.15697952005814</v>
      </c>
      <c r="BB17" s="543">
        <f t="shared" si="13"/>
        <v>375.93394665618428</v>
      </c>
      <c r="BC17" s="543">
        <f t="shared" si="13"/>
        <v>377.71935306346052</v>
      </c>
    </row>
    <row r="18" spans="1:55" x14ac:dyDescent="0.3">
      <c r="A18">
        <f t="shared" si="4"/>
        <v>1751</v>
      </c>
      <c r="B18" s="38" t="s">
        <v>538</v>
      </c>
      <c r="C18" s="364">
        <v>348</v>
      </c>
      <c r="D18" s="364">
        <v>638</v>
      </c>
      <c r="E18" s="364">
        <v>0</v>
      </c>
      <c r="H18" s="542" t="str">
        <f>input_names!$B$3</f>
        <v>benzine</v>
      </c>
      <c r="I18" s="542" t="s">
        <v>538</v>
      </c>
      <c r="J18" s="543">
        <f t="shared" ref="J18:BC18" si="14">IF(J$4&gt;input_basisjaar,I18*(1+$B$40),$C18)</f>
        <v>348</v>
      </c>
      <c r="K18" s="543">
        <f t="shared" si="14"/>
        <v>348</v>
      </c>
      <c r="L18" s="543">
        <f t="shared" si="14"/>
        <v>348</v>
      </c>
      <c r="M18" s="543">
        <f t="shared" si="14"/>
        <v>348</v>
      </c>
      <c r="N18" s="543">
        <f t="shared" si="14"/>
        <v>348</v>
      </c>
      <c r="O18" s="543">
        <f t="shared" si="14"/>
        <v>348</v>
      </c>
      <c r="P18" s="543">
        <f t="shared" si="14"/>
        <v>348</v>
      </c>
      <c r="Q18" s="543">
        <f t="shared" si="14"/>
        <v>348</v>
      </c>
      <c r="R18" s="543">
        <f t="shared" si="14"/>
        <v>348</v>
      </c>
      <c r="S18" s="543">
        <f t="shared" si="14"/>
        <v>348</v>
      </c>
      <c r="T18" s="543">
        <f t="shared" si="14"/>
        <v>348</v>
      </c>
      <c r="U18" s="543">
        <f t="shared" si="14"/>
        <v>349.65274095425167</v>
      </c>
      <c r="V18" s="543">
        <f t="shared" si="14"/>
        <v>351.31333119776156</v>
      </c>
      <c r="W18" s="543">
        <f t="shared" si="14"/>
        <v>352.98180800881073</v>
      </c>
      <c r="X18" s="543">
        <f t="shared" si="14"/>
        <v>354.65820884272438</v>
      </c>
      <c r="Y18" s="543">
        <f t="shared" si="14"/>
        <v>356.34257133271262</v>
      </c>
      <c r="Z18" s="543">
        <f t="shared" si="14"/>
        <v>358.03493329071523</v>
      </c>
      <c r="AA18" s="543">
        <f t="shared" si="14"/>
        <v>359.73533270825061</v>
      </c>
      <c r="AB18" s="543">
        <f t="shared" si="14"/>
        <v>361.44380775726864</v>
      </c>
      <c r="AC18" s="543">
        <f t="shared" si="14"/>
        <v>363.16039679100743</v>
      </c>
      <c r="AD18" s="543">
        <f t="shared" si="14"/>
        <v>364.88513834485445</v>
      </c>
      <c r="AE18" s="543">
        <f t="shared" si="14"/>
        <v>366.6180711372117</v>
      </c>
      <c r="AF18" s="543">
        <f t="shared" si="14"/>
        <v>368.35923407036461</v>
      </c>
      <c r="AG18" s="543">
        <f t="shared" si="14"/>
        <v>370.10866623135558</v>
      </c>
      <c r="AH18" s="543">
        <f t="shared" si="14"/>
        <v>371.86640689286139</v>
      </c>
      <c r="AI18" s="543">
        <f t="shared" si="14"/>
        <v>373.63249551407472</v>
      </c>
      <c r="AJ18" s="543">
        <f t="shared" si="14"/>
        <v>375.4069717415901</v>
      </c>
      <c r="AK18" s="543">
        <f t="shared" si="14"/>
        <v>377.18987541029389</v>
      </c>
      <c r="AL18" s="543">
        <f t="shared" si="14"/>
        <v>378.98124654425845</v>
      </c>
      <c r="AM18" s="543">
        <f t="shared" si="14"/>
        <v>380.78112535764075</v>
      </c>
      <c r="AN18" s="543">
        <f t="shared" si="14"/>
        <v>382.58955225558498</v>
      </c>
      <c r="AO18" s="543">
        <f t="shared" si="14"/>
        <v>384.40656783512981</v>
      </c>
      <c r="AP18" s="543">
        <f t="shared" si="14"/>
        <v>386.23221288611956</v>
      </c>
      <c r="AQ18" s="543">
        <f t="shared" si="14"/>
        <v>388.06652839211995</v>
      </c>
      <c r="AR18" s="543">
        <f t="shared" si="14"/>
        <v>389.90955553133807</v>
      </c>
      <c r="AS18" s="543">
        <f t="shared" si="14"/>
        <v>391.76133567754698</v>
      </c>
      <c r="AT18" s="543">
        <f t="shared" si="14"/>
        <v>393.62191040101425</v>
      </c>
      <c r="AU18" s="543">
        <f t="shared" si="14"/>
        <v>395.49132146943532</v>
      </c>
      <c r="AV18" s="543">
        <f t="shared" si="14"/>
        <v>397.36961084887105</v>
      </c>
      <c r="AW18" s="543">
        <f t="shared" si="14"/>
        <v>399.25682070468991</v>
      </c>
      <c r="AX18" s="543">
        <f t="shared" si="14"/>
        <v>401.15299340251448</v>
      </c>
      <c r="AY18" s="543">
        <f t="shared" si="14"/>
        <v>403.05817150917244</v>
      </c>
      <c r="AZ18" s="543">
        <f t="shared" si="14"/>
        <v>404.97239779365231</v>
      </c>
      <c r="BA18" s="543">
        <f t="shared" si="14"/>
        <v>406.89571522806341</v>
      </c>
      <c r="BB18" s="543">
        <f t="shared" si="14"/>
        <v>408.82816698860057</v>
      </c>
      <c r="BC18" s="543">
        <f t="shared" si="14"/>
        <v>410.76979645651346</v>
      </c>
    </row>
    <row r="19" spans="1:55" x14ac:dyDescent="0.3">
      <c r="A19">
        <f t="shared" si="4"/>
        <v>1851</v>
      </c>
      <c r="B19" s="38" t="s">
        <v>539</v>
      </c>
      <c r="C19" s="364">
        <v>376</v>
      </c>
      <c r="D19" s="364">
        <v>682</v>
      </c>
      <c r="E19" s="364">
        <v>0</v>
      </c>
      <c r="H19" s="542" t="str">
        <f>input_names!$B$3</f>
        <v>benzine</v>
      </c>
      <c r="I19" s="542" t="s">
        <v>539</v>
      </c>
      <c r="J19" s="543">
        <f t="shared" ref="J19:BC19" si="15">IF(J$4&gt;input_basisjaar,I19*(1+$B$40),$C19)</f>
        <v>376</v>
      </c>
      <c r="K19" s="543">
        <f t="shared" si="15"/>
        <v>376</v>
      </c>
      <c r="L19" s="543">
        <f t="shared" si="15"/>
        <v>376</v>
      </c>
      <c r="M19" s="543">
        <f t="shared" si="15"/>
        <v>376</v>
      </c>
      <c r="N19" s="543">
        <f t="shared" si="15"/>
        <v>376</v>
      </c>
      <c r="O19" s="543">
        <f t="shared" si="15"/>
        <v>376</v>
      </c>
      <c r="P19" s="543">
        <f t="shared" si="15"/>
        <v>376</v>
      </c>
      <c r="Q19" s="543">
        <f t="shared" si="15"/>
        <v>376</v>
      </c>
      <c r="R19" s="543">
        <f t="shared" si="15"/>
        <v>376</v>
      </c>
      <c r="S19" s="543">
        <f t="shared" si="15"/>
        <v>376</v>
      </c>
      <c r="T19" s="543">
        <f t="shared" si="15"/>
        <v>376</v>
      </c>
      <c r="U19" s="543">
        <f t="shared" si="15"/>
        <v>377.78572011149026</v>
      </c>
      <c r="V19" s="543">
        <f t="shared" si="15"/>
        <v>379.57992106424803</v>
      </c>
      <c r="W19" s="543">
        <f t="shared" si="15"/>
        <v>381.3826431359563</v>
      </c>
      <c r="X19" s="543">
        <f t="shared" si="15"/>
        <v>383.19392679558712</v>
      </c>
      <c r="Y19" s="543">
        <f t="shared" si="15"/>
        <v>385.01381270431</v>
      </c>
      <c r="Z19" s="543">
        <f t="shared" si="15"/>
        <v>386.8423417164048</v>
      </c>
      <c r="AA19" s="543">
        <f t="shared" si="15"/>
        <v>388.67955488017867</v>
      </c>
      <c r="AB19" s="543">
        <f t="shared" si="15"/>
        <v>390.52549343888779</v>
      </c>
      <c r="AC19" s="543">
        <f t="shared" si="15"/>
        <v>392.38019883166305</v>
      </c>
      <c r="AD19" s="543">
        <f t="shared" si="15"/>
        <v>394.24371269444032</v>
      </c>
      <c r="AE19" s="543">
        <f t="shared" si="15"/>
        <v>396.11607686089525</v>
      </c>
      <c r="AF19" s="543">
        <f t="shared" si="15"/>
        <v>397.99733336338227</v>
      </c>
      <c r="AG19" s="543">
        <f t="shared" si="15"/>
        <v>399.88752443387824</v>
      </c>
      <c r="AH19" s="543">
        <f t="shared" si="15"/>
        <v>401.78669250493044</v>
      </c>
      <c r="AI19" s="543">
        <f t="shared" si="15"/>
        <v>403.6948802106092</v>
      </c>
      <c r="AJ19" s="543">
        <f t="shared" si="15"/>
        <v>405.6121303874649</v>
      </c>
      <c r="AK19" s="543">
        <f t="shared" si="15"/>
        <v>407.53848607548969</v>
      </c>
      <c r="AL19" s="543">
        <f t="shared" si="15"/>
        <v>409.4739905190836</v>
      </c>
      <c r="AM19" s="543">
        <f t="shared" si="15"/>
        <v>411.41868716802537</v>
      </c>
      <c r="AN19" s="543">
        <f t="shared" si="15"/>
        <v>413.3726196784479</v>
      </c>
      <c r="AO19" s="543">
        <f t="shared" si="15"/>
        <v>415.3358319138182</v>
      </c>
      <c r="AP19" s="543">
        <f t="shared" si="15"/>
        <v>417.30836794592204</v>
      </c>
      <c r="AQ19" s="543">
        <f t="shared" si="15"/>
        <v>419.29027205585345</v>
      </c>
      <c r="AR19" s="543">
        <f t="shared" si="15"/>
        <v>421.28158873500871</v>
      </c>
      <c r="AS19" s="543">
        <f t="shared" si="15"/>
        <v>423.28236268608498</v>
      </c>
      <c r="AT19" s="543">
        <f t="shared" si="15"/>
        <v>425.29263882408407</v>
      </c>
      <c r="AU19" s="543">
        <f t="shared" si="15"/>
        <v>427.31246227732061</v>
      </c>
      <c r="AV19" s="543">
        <f t="shared" si="15"/>
        <v>429.34187838843508</v>
      </c>
      <c r="AW19" s="543">
        <f t="shared" si="15"/>
        <v>431.3809327154118</v>
      </c>
      <c r="AX19" s="543">
        <f t="shared" si="15"/>
        <v>433.42967103260156</v>
      </c>
      <c r="AY19" s="543">
        <f t="shared" si="15"/>
        <v>435.48813933174927</v>
      </c>
      <c r="AZ19" s="543">
        <f t="shared" si="15"/>
        <v>437.55638382302635</v>
      </c>
      <c r="BA19" s="543">
        <f t="shared" si="15"/>
        <v>439.63445093606822</v>
      </c>
      <c r="BB19" s="543">
        <f t="shared" si="15"/>
        <v>441.72238732101641</v>
      </c>
      <c r="BC19" s="543">
        <f t="shared" si="15"/>
        <v>443.82023984956601</v>
      </c>
    </row>
    <row r="20" spans="1:55" x14ac:dyDescent="0.3">
      <c r="A20">
        <f t="shared" si="4"/>
        <v>1951</v>
      </c>
      <c r="B20" s="38" t="s">
        <v>540</v>
      </c>
      <c r="C20" s="364">
        <v>404</v>
      </c>
      <c r="D20" s="364">
        <v>726</v>
      </c>
      <c r="E20" s="364">
        <v>0</v>
      </c>
      <c r="H20" s="542" t="str">
        <f>input_names!$B$3</f>
        <v>benzine</v>
      </c>
      <c r="I20" s="542" t="s">
        <v>540</v>
      </c>
      <c r="J20" s="543">
        <f t="shared" ref="J20:BC20" si="16">IF(J$4&gt;input_basisjaar,I20*(1+$B$40),$C20)</f>
        <v>404</v>
      </c>
      <c r="K20" s="543">
        <f t="shared" si="16"/>
        <v>404</v>
      </c>
      <c r="L20" s="543">
        <f t="shared" si="16"/>
        <v>404</v>
      </c>
      <c r="M20" s="543">
        <f t="shared" si="16"/>
        <v>404</v>
      </c>
      <c r="N20" s="543">
        <f t="shared" si="16"/>
        <v>404</v>
      </c>
      <c r="O20" s="543">
        <f t="shared" si="16"/>
        <v>404</v>
      </c>
      <c r="P20" s="543">
        <f t="shared" si="16"/>
        <v>404</v>
      </c>
      <c r="Q20" s="543">
        <f t="shared" si="16"/>
        <v>404</v>
      </c>
      <c r="R20" s="543">
        <f t="shared" si="16"/>
        <v>404</v>
      </c>
      <c r="S20" s="543">
        <f t="shared" si="16"/>
        <v>404</v>
      </c>
      <c r="T20" s="543">
        <f t="shared" si="16"/>
        <v>404</v>
      </c>
      <c r="U20" s="543">
        <f t="shared" si="16"/>
        <v>405.91869926872891</v>
      </c>
      <c r="V20" s="543">
        <f t="shared" si="16"/>
        <v>407.84651093073461</v>
      </c>
      <c r="W20" s="543">
        <f t="shared" si="16"/>
        <v>409.78347826310204</v>
      </c>
      <c r="X20" s="543">
        <f t="shared" si="16"/>
        <v>411.72964474845008</v>
      </c>
      <c r="Y20" s="543">
        <f t="shared" si="16"/>
        <v>413.68505407590766</v>
      </c>
      <c r="Z20" s="543">
        <f t="shared" si="16"/>
        <v>415.6497501420946</v>
      </c>
      <c r="AA20" s="543">
        <f t="shared" si="16"/>
        <v>417.62377705210696</v>
      </c>
      <c r="AB20" s="543">
        <f t="shared" si="16"/>
        <v>419.60717912050717</v>
      </c>
      <c r="AC20" s="543">
        <f t="shared" si="16"/>
        <v>421.60000087231884</v>
      </c>
      <c r="AD20" s="543">
        <f t="shared" si="16"/>
        <v>423.60228704402635</v>
      </c>
      <c r="AE20" s="543">
        <f t="shared" si="16"/>
        <v>425.61408258457902</v>
      </c>
      <c r="AF20" s="543">
        <f t="shared" si="16"/>
        <v>427.63543265640021</v>
      </c>
      <c r="AG20" s="543">
        <f t="shared" si="16"/>
        <v>429.66638263640124</v>
      </c>
      <c r="AH20" s="543">
        <f t="shared" si="16"/>
        <v>431.70697811699989</v>
      </c>
      <c r="AI20" s="543">
        <f t="shared" si="16"/>
        <v>433.75726490714408</v>
      </c>
      <c r="AJ20" s="543">
        <f t="shared" si="16"/>
        <v>435.8172890333401</v>
      </c>
      <c r="AK20" s="543">
        <f t="shared" si="16"/>
        <v>437.88709674068588</v>
      </c>
      <c r="AL20" s="543">
        <f t="shared" si="16"/>
        <v>439.96673449390909</v>
      </c>
      <c r="AM20" s="543">
        <f t="shared" si="16"/>
        <v>442.05624897841034</v>
      </c>
      <c r="AN20" s="543">
        <f t="shared" si="16"/>
        <v>444.15568710131112</v>
      </c>
      <c r="AO20" s="543">
        <f t="shared" si="16"/>
        <v>446.26509599250687</v>
      </c>
      <c r="AP20" s="543">
        <f t="shared" si="16"/>
        <v>448.38452300572487</v>
      </c>
      <c r="AQ20" s="543">
        <f t="shared" si="16"/>
        <v>450.51401571958735</v>
      </c>
      <c r="AR20" s="543">
        <f t="shared" si="16"/>
        <v>452.65362193867969</v>
      </c>
      <c r="AS20" s="543">
        <f t="shared" si="16"/>
        <v>454.80338969462338</v>
      </c>
      <c r="AT20" s="543">
        <f t="shared" si="16"/>
        <v>456.96336724715434</v>
      </c>
      <c r="AU20" s="543">
        <f t="shared" si="16"/>
        <v>459.13360308520635</v>
      </c>
      <c r="AV20" s="543">
        <f t="shared" si="16"/>
        <v>461.31414592799956</v>
      </c>
      <c r="AW20" s="543">
        <f t="shared" si="16"/>
        <v>463.50504472613409</v>
      </c>
      <c r="AX20" s="543">
        <f t="shared" si="16"/>
        <v>465.70634866268904</v>
      </c>
      <c r="AY20" s="543">
        <f t="shared" si="16"/>
        <v>467.91810715432644</v>
      </c>
      <c r="AZ20" s="543">
        <f t="shared" si="16"/>
        <v>470.14036985240074</v>
      </c>
      <c r="BA20" s="543">
        <f t="shared" si="16"/>
        <v>472.37318664407337</v>
      </c>
      <c r="BB20" s="543">
        <f t="shared" si="16"/>
        <v>474.6166076534326</v>
      </c>
      <c r="BC20" s="543">
        <f t="shared" si="16"/>
        <v>476.87068324261884</v>
      </c>
    </row>
    <row r="21" spans="1:55" x14ac:dyDescent="0.3">
      <c r="A21">
        <f t="shared" si="4"/>
        <v>2051</v>
      </c>
      <c r="B21" s="38" t="s">
        <v>541</v>
      </c>
      <c r="C21" s="364">
        <v>432</v>
      </c>
      <c r="D21" s="364">
        <v>770</v>
      </c>
      <c r="E21" s="364">
        <v>0</v>
      </c>
      <c r="H21" s="542" t="str">
        <f>input_names!$B$3</f>
        <v>benzine</v>
      </c>
      <c r="I21" s="542" t="s">
        <v>541</v>
      </c>
      <c r="J21" s="543">
        <f t="shared" ref="J21:BC21" si="17">IF(J$4&gt;input_basisjaar,I21*(1+$B$40),$C21)</f>
        <v>432</v>
      </c>
      <c r="K21" s="543">
        <f t="shared" si="17"/>
        <v>432</v>
      </c>
      <c r="L21" s="543">
        <f t="shared" si="17"/>
        <v>432</v>
      </c>
      <c r="M21" s="543">
        <f t="shared" si="17"/>
        <v>432</v>
      </c>
      <c r="N21" s="543">
        <f t="shared" si="17"/>
        <v>432</v>
      </c>
      <c r="O21" s="543">
        <f t="shared" si="17"/>
        <v>432</v>
      </c>
      <c r="P21" s="543">
        <f t="shared" si="17"/>
        <v>432</v>
      </c>
      <c r="Q21" s="543">
        <f t="shared" si="17"/>
        <v>432</v>
      </c>
      <c r="R21" s="543">
        <f t="shared" si="17"/>
        <v>432</v>
      </c>
      <c r="S21" s="543">
        <f t="shared" si="17"/>
        <v>432</v>
      </c>
      <c r="T21" s="543">
        <f t="shared" si="17"/>
        <v>432</v>
      </c>
      <c r="U21" s="543">
        <f t="shared" si="17"/>
        <v>434.05167842596757</v>
      </c>
      <c r="V21" s="543">
        <f t="shared" si="17"/>
        <v>436.11310079722119</v>
      </c>
      <c r="W21" s="543">
        <f t="shared" si="17"/>
        <v>438.18431339024772</v>
      </c>
      <c r="X21" s="543">
        <f t="shared" si="17"/>
        <v>440.26536270131294</v>
      </c>
      <c r="Y21" s="543">
        <f t="shared" si="17"/>
        <v>442.3562954475052</v>
      </c>
      <c r="Z21" s="543">
        <f t="shared" si="17"/>
        <v>444.45715856778429</v>
      </c>
      <c r="AA21" s="543">
        <f t="shared" si="17"/>
        <v>446.56799922403513</v>
      </c>
      <c r="AB21" s="543">
        <f t="shared" si="17"/>
        <v>448.68886480212643</v>
      </c>
      <c r="AC21" s="543">
        <f t="shared" si="17"/>
        <v>450.81980291297458</v>
      </c>
      <c r="AD21" s="543">
        <f t="shared" si="17"/>
        <v>452.96086139361228</v>
      </c>
      <c r="AE21" s="543">
        <f t="shared" si="17"/>
        <v>455.11208830826263</v>
      </c>
      <c r="AF21" s="543">
        <f t="shared" si="17"/>
        <v>457.27353194941799</v>
      </c>
      <c r="AG21" s="543">
        <f t="shared" si="17"/>
        <v>459.44524083892401</v>
      </c>
      <c r="AH21" s="543">
        <f t="shared" si="17"/>
        <v>461.62726372906911</v>
      </c>
      <c r="AI21" s="543">
        <f t="shared" si="17"/>
        <v>463.81964960367878</v>
      </c>
      <c r="AJ21" s="543">
        <f t="shared" si="17"/>
        <v>466.02244767921513</v>
      </c>
      <c r="AK21" s="543">
        <f t="shared" si="17"/>
        <v>468.2357074058819</v>
      </c>
      <c r="AL21" s="543">
        <f t="shared" si="17"/>
        <v>470.45947846873446</v>
      </c>
      <c r="AM21" s="543">
        <f t="shared" si="17"/>
        <v>472.69381078879525</v>
      </c>
      <c r="AN21" s="543">
        <f t="shared" si="17"/>
        <v>474.93875452417433</v>
      </c>
      <c r="AO21" s="543">
        <f t="shared" si="17"/>
        <v>477.19436007119549</v>
      </c>
      <c r="AP21" s="543">
        <f t="shared" si="17"/>
        <v>479.46067806552759</v>
      </c>
      <c r="AQ21" s="543">
        <f t="shared" si="17"/>
        <v>481.73775938332113</v>
      </c>
      <c r="AR21" s="543">
        <f t="shared" si="17"/>
        <v>484.02565514235056</v>
      </c>
      <c r="AS21" s="543">
        <f t="shared" si="17"/>
        <v>486.3244167031616</v>
      </c>
      <c r="AT21" s="543">
        <f t="shared" si="17"/>
        <v>488.63409567022438</v>
      </c>
      <c r="AU21" s="543">
        <f t="shared" si="17"/>
        <v>490.95474389309192</v>
      </c>
      <c r="AV21" s="543">
        <f t="shared" si="17"/>
        <v>493.28641346756388</v>
      </c>
      <c r="AW21" s="543">
        <f t="shared" si="17"/>
        <v>495.62915673685626</v>
      </c>
      <c r="AX21" s="543">
        <f t="shared" si="17"/>
        <v>497.9830262927764</v>
      </c>
      <c r="AY21" s="543">
        <f t="shared" si="17"/>
        <v>500.34807497690355</v>
      </c>
      <c r="AZ21" s="543">
        <f t="shared" si="17"/>
        <v>502.72435588177512</v>
      </c>
      <c r="BA21" s="543">
        <f t="shared" si="17"/>
        <v>505.11192235207852</v>
      </c>
      <c r="BB21" s="543">
        <f t="shared" si="17"/>
        <v>507.51082798584878</v>
      </c>
      <c r="BC21" s="543">
        <f t="shared" si="17"/>
        <v>509.92112663567167</v>
      </c>
    </row>
    <row r="22" spans="1:55" x14ac:dyDescent="0.3">
      <c r="A22">
        <f t="shared" ref="A22:A34" si="18">+A21+100</f>
        <v>2151</v>
      </c>
      <c r="B22" s="38" t="s">
        <v>1199</v>
      </c>
      <c r="C22" s="364">
        <v>460</v>
      </c>
      <c r="D22" s="364">
        <v>814</v>
      </c>
      <c r="E22" s="364">
        <v>0</v>
      </c>
      <c r="H22" s="542" t="str">
        <f>input_names!$B$3</f>
        <v>benzine</v>
      </c>
      <c r="I22" s="542" t="s">
        <v>1199</v>
      </c>
      <c r="J22" s="543">
        <f t="shared" ref="J22:BC22" si="19">IF(J$4&gt;input_basisjaar,I22*(1+$B$40),$C22)</f>
        <v>460</v>
      </c>
      <c r="K22" s="543">
        <f t="shared" si="19"/>
        <v>460</v>
      </c>
      <c r="L22" s="543">
        <f t="shared" si="19"/>
        <v>460</v>
      </c>
      <c r="M22" s="543">
        <f t="shared" si="19"/>
        <v>460</v>
      </c>
      <c r="N22" s="543">
        <f t="shared" si="19"/>
        <v>460</v>
      </c>
      <c r="O22" s="543">
        <f t="shared" si="19"/>
        <v>460</v>
      </c>
      <c r="P22" s="543">
        <f t="shared" si="19"/>
        <v>460</v>
      </c>
      <c r="Q22" s="543">
        <f t="shared" si="19"/>
        <v>460</v>
      </c>
      <c r="R22" s="543">
        <f t="shared" si="19"/>
        <v>460</v>
      </c>
      <c r="S22" s="543">
        <f t="shared" si="19"/>
        <v>460</v>
      </c>
      <c r="T22" s="543">
        <f t="shared" si="19"/>
        <v>460</v>
      </c>
      <c r="U22" s="543">
        <f t="shared" si="19"/>
        <v>462.18465758320622</v>
      </c>
      <c r="V22" s="543">
        <f t="shared" si="19"/>
        <v>464.37969066370778</v>
      </c>
      <c r="W22" s="543">
        <f t="shared" si="19"/>
        <v>466.58514851739346</v>
      </c>
      <c r="X22" s="543">
        <f t="shared" si="19"/>
        <v>468.80108065417591</v>
      </c>
      <c r="Y22" s="543">
        <f t="shared" si="19"/>
        <v>471.02753681910286</v>
      </c>
      <c r="Z22" s="543">
        <f t="shared" si="19"/>
        <v>473.26456699347415</v>
      </c>
      <c r="AA22" s="543">
        <f t="shared" si="19"/>
        <v>475.51222139596348</v>
      </c>
      <c r="AB22" s="543">
        <f t="shared" si="19"/>
        <v>477.77055048374592</v>
      </c>
      <c r="AC22" s="543">
        <f t="shared" si="19"/>
        <v>480.03960495363049</v>
      </c>
      <c r="AD22" s="543">
        <f t="shared" si="19"/>
        <v>482.31943574319843</v>
      </c>
      <c r="AE22" s="543">
        <f t="shared" si="19"/>
        <v>484.61009403194652</v>
      </c>
      <c r="AF22" s="543">
        <f t="shared" si="19"/>
        <v>486.91163124243599</v>
      </c>
      <c r="AG22" s="543">
        <f t="shared" si="19"/>
        <v>489.22409904144706</v>
      </c>
      <c r="AH22" s="543">
        <f t="shared" si="19"/>
        <v>491.54754934113862</v>
      </c>
      <c r="AI22" s="543">
        <f t="shared" si="19"/>
        <v>493.88203430021372</v>
      </c>
      <c r="AJ22" s="543">
        <f t="shared" si="19"/>
        <v>496.22760632509039</v>
      </c>
      <c r="AK22" s="543">
        <f t="shared" si="19"/>
        <v>498.58431807107814</v>
      </c>
      <c r="AL22" s="543">
        <f t="shared" si="19"/>
        <v>500.95222244356006</v>
      </c>
      <c r="AM22" s="543">
        <f t="shared" si="19"/>
        <v>503.33137259918033</v>
      </c>
      <c r="AN22" s="543">
        <f t="shared" si="19"/>
        <v>505.72182194703765</v>
      </c>
      <c r="AO22" s="543">
        <f t="shared" si="19"/>
        <v>508.12362414988428</v>
      </c>
      <c r="AP22" s="543">
        <f t="shared" si="19"/>
        <v>510.53683312533047</v>
      </c>
      <c r="AQ22" s="543">
        <f t="shared" si="19"/>
        <v>512.96150304705509</v>
      </c>
      <c r="AR22" s="543">
        <f t="shared" si="19"/>
        <v>515.3976883460216</v>
      </c>
      <c r="AS22" s="543">
        <f t="shared" si="19"/>
        <v>517.8454437117</v>
      </c>
      <c r="AT22" s="543">
        <f t="shared" si="19"/>
        <v>520.30482409329466</v>
      </c>
      <c r="AU22" s="543">
        <f t="shared" si="19"/>
        <v>522.77588470097771</v>
      </c>
      <c r="AV22" s="543">
        <f t="shared" si="19"/>
        <v>525.25868100712842</v>
      </c>
      <c r="AW22" s="543">
        <f t="shared" si="19"/>
        <v>527.75326874757866</v>
      </c>
      <c r="AX22" s="543">
        <f t="shared" si="19"/>
        <v>530.25970392286399</v>
      </c>
      <c r="AY22" s="543">
        <f t="shared" si="19"/>
        <v>532.77804279948089</v>
      </c>
      <c r="AZ22" s="543">
        <f t="shared" si="19"/>
        <v>535.30834191114968</v>
      </c>
      <c r="BA22" s="543">
        <f t="shared" si="19"/>
        <v>537.8506580600839</v>
      </c>
      <c r="BB22" s="543">
        <f t="shared" si="19"/>
        <v>540.40504831826524</v>
      </c>
      <c r="BC22" s="543">
        <f t="shared" si="19"/>
        <v>542.97157002872484</v>
      </c>
    </row>
    <row r="23" spans="1:55" x14ac:dyDescent="0.3">
      <c r="A23">
        <f t="shared" si="18"/>
        <v>2251</v>
      </c>
      <c r="B23" s="38" t="s">
        <v>1200</v>
      </c>
      <c r="C23" s="364">
        <v>488</v>
      </c>
      <c r="D23" s="364">
        <v>858</v>
      </c>
      <c r="E23" s="364">
        <v>0</v>
      </c>
      <c r="H23" s="542" t="str">
        <f>input_names!$B$3</f>
        <v>benzine</v>
      </c>
      <c r="I23" s="542" t="s">
        <v>1200</v>
      </c>
      <c r="J23" s="543">
        <f t="shared" ref="J23:BC23" si="20">IF(J$4&gt;input_basisjaar,I23*(1+$B$40),$C23)</f>
        <v>488</v>
      </c>
      <c r="K23" s="543">
        <f t="shared" si="20"/>
        <v>488</v>
      </c>
      <c r="L23" s="543">
        <f t="shared" si="20"/>
        <v>488</v>
      </c>
      <c r="M23" s="543">
        <f t="shared" si="20"/>
        <v>488</v>
      </c>
      <c r="N23" s="543">
        <f t="shared" si="20"/>
        <v>488</v>
      </c>
      <c r="O23" s="543">
        <f t="shared" si="20"/>
        <v>488</v>
      </c>
      <c r="P23" s="543">
        <f t="shared" si="20"/>
        <v>488</v>
      </c>
      <c r="Q23" s="543">
        <f t="shared" si="20"/>
        <v>488</v>
      </c>
      <c r="R23" s="543">
        <f t="shared" si="20"/>
        <v>488</v>
      </c>
      <c r="S23" s="543">
        <f t="shared" si="20"/>
        <v>488</v>
      </c>
      <c r="T23" s="543">
        <f t="shared" si="20"/>
        <v>488</v>
      </c>
      <c r="U23" s="543">
        <f t="shared" si="20"/>
        <v>490.31763674044481</v>
      </c>
      <c r="V23" s="543">
        <f t="shared" si="20"/>
        <v>492.64628053019425</v>
      </c>
      <c r="W23" s="543">
        <f t="shared" si="20"/>
        <v>494.98598364453903</v>
      </c>
      <c r="X23" s="543">
        <f t="shared" si="20"/>
        <v>497.33679860703865</v>
      </c>
      <c r="Y23" s="543">
        <f t="shared" si="20"/>
        <v>499.6987781907003</v>
      </c>
      <c r="Z23" s="543">
        <f t="shared" si="20"/>
        <v>502.07197541916372</v>
      </c>
      <c r="AA23" s="543">
        <f t="shared" si="20"/>
        <v>504.45644356789154</v>
      </c>
      <c r="AB23" s="543">
        <f t="shared" si="20"/>
        <v>506.85223616536507</v>
      </c>
      <c r="AC23" s="543">
        <f t="shared" si="20"/>
        <v>509.25940699428611</v>
      </c>
      <c r="AD23" s="543">
        <f t="shared" si="20"/>
        <v>511.67801009278429</v>
      </c>
      <c r="AE23" s="543">
        <f t="shared" si="20"/>
        <v>514.10809975563006</v>
      </c>
      <c r="AF23" s="543">
        <f t="shared" si="20"/>
        <v>516.5497305354537</v>
      </c>
      <c r="AG23" s="543">
        <f t="shared" si="20"/>
        <v>519.00295724396983</v>
      </c>
      <c r="AH23" s="543">
        <f t="shared" si="20"/>
        <v>521.46783495320778</v>
      </c>
      <c r="AI23" s="543">
        <f t="shared" si="20"/>
        <v>523.94441899674825</v>
      </c>
      <c r="AJ23" s="543">
        <f t="shared" si="20"/>
        <v>526.4327649709652</v>
      </c>
      <c r="AK23" s="543">
        <f t="shared" si="20"/>
        <v>528.93292873627399</v>
      </c>
      <c r="AL23" s="543">
        <f t="shared" si="20"/>
        <v>531.44496641838521</v>
      </c>
      <c r="AM23" s="543">
        <f t="shared" si="20"/>
        <v>533.96893440956501</v>
      </c>
      <c r="AN23" s="543">
        <f t="shared" si="20"/>
        <v>536.50488936990064</v>
      </c>
      <c r="AO23" s="543">
        <f t="shared" si="20"/>
        <v>539.05288822857267</v>
      </c>
      <c r="AP23" s="543">
        <f t="shared" si="20"/>
        <v>541.61298818513296</v>
      </c>
      <c r="AQ23" s="543">
        <f t="shared" si="20"/>
        <v>544.18524671078865</v>
      </c>
      <c r="AR23" s="543">
        <f t="shared" si="20"/>
        <v>546.76972154969224</v>
      </c>
      <c r="AS23" s="543">
        <f t="shared" si="20"/>
        <v>549.366470720238</v>
      </c>
      <c r="AT23" s="543">
        <f t="shared" si="20"/>
        <v>551.97555251636447</v>
      </c>
      <c r="AU23" s="543">
        <f t="shared" si="20"/>
        <v>554.597025508863</v>
      </c>
      <c r="AV23" s="543">
        <f t="shared" si="20"/>
        <v>557.23094854669239</v>
      </c>
      <c r="AW23" s="543">
        <f t="shared" si="20"/>
        <v>559.87738075830043</v>
      </c>
      <c r="AX23" s="543">
        <f t="shared" si="20"/>
        <v>562.53638155295096</v>
      </c>
      <c r="AY23" s="543">
        <f t="shared" si="20"/>
        <v>565.20801062205749</v>
      </c>
      <c r="AZ23" s="543">
        <f t="shared" si="20"/>
        <v>567.8923279405235</v>
      </c>
      <c r="BA23" s="543">
        <f t="shared" si="20"/>
        <v>570.58939376808848</v>
      </c>
      <c r="BB23" s="543">
        <f t="shared" si="20"/>
        <v>573.2992686506808</v>
      </c>
      <c r="BC23" s="543">
        <f t="shared" si="20"/>
        <v>576.02201342177705</v>
      </c>
    </row>
    <row r="24" spans="1:55" x14ac:dyDescent="0.3">
      <c r="A24">
        <f t="shared" si="18"/>
        <v>2351</v>
      </c>
      <c r="B24" s="38" t="s">
        <v>1495</v>
      </c>
      <c r="C24" s="364">
        <v>517</v>
      </c>
      <c r="D24" s="364">
        <v>902</v>
      </c>
      <c r="E24" s="364">
        <v>0</v>
      </c>
      <c r="H24" s="542" t="str">
        <f>input_names!$B$3</f>
        <v>benzine</v>
      </c>
      <c r="I24" s="542" t="s">
        <v>1495</v>
      </c>
      <c r="J24" s="543">
        <f t="shared" ref="J24:BC24" si="21">IF(J$4&gt;input_basisjaar,I24*(1+$B$40),$C24)</f>
        <v>517</v>
      </c>
      <c r="K24" s="543">
        <f t="shared" si="21"/>
        <v>517</v>
      </c>
      <c r="L24" s="543">
        <f t="shared" si="21"/>
        <v>517</v>
      </c>
      <c r="M24" s="543">
        <f t="shared" si="21"/>
        <v>517</v>
      </c>
      <c r="N24" s="543">
        <f t="shared" si="21"/>
        <v>517</v>
      </c>
      <c r="O24" s="543">
        <f t="shared" si="21"/>
        <v>517</v>
      </c>
      <c r="P24" s="543">
        <f t="shared" si="21"/>
        <v>517</v>
      </c>
      <c r="Q24" s="543">
        <f t="shared" si="21"/>
        <v>517</v>
      </c>
      <c r="R24" s="543">
        <f t="shared" si="21"/>
        <v>517</v>
      </c>
      <c r="S24" s="543">
        <f t="shared" si="21"/>
        <v>517</v>
      </c>
      <c r="T24" s="543">
        <f t="shared" si="21"/>
        <v>517</v>
      </c>
      <c r="U24" s="543">
        <f t="shared" si="21"/>
        <v>519.45536515329911</v>
      </c>
      <c r="V24" s="543">
        <f t="shared" si="21"/>
        <v>521.92239146334111</v>
      </c>
      <c r="W24" s="543">
        <f t="shared" si="21"/>
        <v>524.40113431194004</v>
      </c>
      <c r="X24" s="543">
        <f t="shared" si="21"/>
        <v>526.8916493439325</v>
      </c>
      <c r="Y24" s="543">
        <f t="shared" si="21"/>
        <v>529.39399246842652</v>
      </c>
      <c r="Z24" s="543">
        <f t="shared" si="21"/>
        <v>531.90821986005687</v>
      </c>
      <c r="AA24" s="543">
        <f t="shared" si="21"/>
        <v>534.434387960246</v>
      </c>
      <c r="AB24" s="543">
        <f t="shared" si="21"/>
        <v>536.97255347847101</v>
      </c>
      <c r="AC24" s="543">
        <f t="shared" si="21"/>
        <v>539.52277339353691</v>
      </c>
      <c r="AD24" s="543">
        <f t="shared" si="21"/>
        <v>542.08510495485564</v>
      </c>
      <c r="AE24" s="543">
        <f t="shared" si="21"/>
        <v>544.65960568373123</v>
      </c>
      <c r="AF24" s="543">
        <f t="shared" si="21"/>
        <v>547.24633337465093</v>
      </c>
      <c r="AG24" s="543">
        <f t="shared" si="21"/>
        <v>549.84534609658294</v>
      </c>
      <c r="AH24" s="543">
        <f t="shared" si="21"/>
        <v>552.45670219427973</v>
      </c>
      <c r="AI24" s="543">
        <f t="shared" si="21"/>
        <v>555.08046028958802</v>
      </c>
      <c r="AJ24" s="543">
        <f t="shared" si="21"/>
        <v>557.71667928276463</v>
      </c>
      <c r="AK24" s="543">
        <f t="shared" si="21"/>
        <v>560.36541835379865</v>
      </c>
      <c r="AL24" s="543">
        <f t="shared" si="21"/>
        <v>563.02673696374029</v>
      </c>
      <c r="AM24" s="543">
        <f t="shared" si="21"/>
        <v>565.70069485603528</v>
      </c>
      <c r="AN24" s="543">
        <f t="shared" si="21"/>
        <v>568.38735205786622</v>
      </c>
      <c r="AO24" s="543">
        <f t="shared" si="21"/>
        <v>571.08676888150035</v>
      </c>
      <c r="AP24" s="543">
        <f t="shared" si="21"/>
        <v>573.7990059256432</v>
      </c>
      <c r="AQ24" s="543">
        <f t="shared" si="21"/>
        <v>576.5241240767989</v>
      </c>
      <c r="AR24" s="543">
        <f t="shared" si="21"/>
        <v>579.26218451063733</v>
      </c>
      <c r="AS24" s="543">
        <f t="shared" si="21"/>
        <v>582.01324869336725</v>
      </c>
      <c r="AT24" s="543">
        <f t="shared" si="21"/>
        <v>584.777378383116</v>
      </c>
      <c r="AU24" s="543">
        <f t="shared" si="21"/>
        <v>587.55463563131627</v>
      </c>
      <c r="AV24" s="543">
        <f t="shared" si="21"/>
        <v>590.34508278409874</v>
      </c>
      <c r="AW24" s="543">
        <f t="shared" si="21"/>
        <v>593.14878248369166</v>
      </c>
      <c r="AX24" s="543">
        <f t="shared" si="21"/>
        <v>595.96579766982757</v>
      </c>
      <c r="AY24" s="543">
        <f t="shared" si="21"/>
        <v>598.79619158115565</v>
      </c>
      <c r="AZ24" s="543">
        <f t="shared" si="21"/>
        <v>601.64002775666165</v>
      </c>
      <c r="BA24" s="543">
        <f t="shared" si="21"/>
        <v>604.49737003709424</v>
      </c>
      <c r="BB24" s="543">
        <f t="shared" si="21"/>
        <v>607.36828256639797</v>
      </c>
      <c r="BC24" s="543">
        <f t="shared" si="21"/>
        <v>610.25282979315364</v>
      </c>
    </row>
    <row r="25" spans="1:55" x14ac:dyDescent="0.3">
      <c r="A25">
        <f t="shared" si="18"/>
        <v>2451</v>
      </c>
      <c r="B25" s="38" t="s">
        <v>1496</v>
      </c>
      <c r="C25" s="364">
        <v>545</v>
      </c>
      <c r="D25" s="364">
        <v>946</v>
      </c>
      <c r="E25" s="364">
        <v>0</v>
      </c>
      <c r="H25" s="542" t="str">
        <f>input_names!$B$3</f>
        <v>benzine</v>
      </c>
      <c r="I25" s="542" t="s">
        <v>1496</v>
      </c>
      <c r="J25" s="543">
        <f t="shared" ref="J25:BC25" si="22">IF(J$4&gt;input_basisjaar,I25*(1+$B$40),$C25)</f>
        <v>545</v>
      </c>
      <c r="K25" s="543">
        <f t="shared" si="22"/>
        <v>545</v>
      </c>
      <c r="L25" s="543">
        <f t="shared" si="22"/>
        <v>545</v>
      </c>
      <c r="M25" s="543">
        <f t="shared" si="22"/>
        <v>545</v>
      </c>
      <c r="N25" s="543">
        <f t="shared" si="22"/>
        <v>545</v>
      </c>
      <c r="O25" s="543">
        <f t="shared" si="22"/>
        <v>545</v>
      </c>
      <c r="P25" s="543">
        <f t="shared" si="22"/>
        <v>545</v>
      </c>
      <c r="Q25" s="543">
        <f t="shared" si="22"/>
        <v>545</v>
      </c>
      <c r="R25" s="543">
        <f t="shared" si="22"/>
        <v>545</v>
      </c>
      <c r="S25" s="543">
        <f t="shared" si="22"/>
        <v>545</v>
      </c>
      <c r="T25" s="543">
        <f t="shared" si="22"/>
        <v>545</v>
      </c>
      <c r="U25" s="543">
        <f t="shared" si="22"/>
        <v>547.58834431053776</v>
      </c>
      <c r="V25" s="543">
        <f t="shared" si="22"/>
        <v>550.18898132982758</v>
      </c>
      <c r="W25" s="543">
        <f t="shared" si="22"/>
        <v>552.80196943908561</v>
      </c>
      <c r="X25" s="543">
        <f t="shared" si="22"/>
        <v>555.42736729679518</v>
      </c>
      <c r="Y25" s="543">
        <f t="shared" si="22"/>
        <v>558.06523384002389</v>
      </c>
      <c r="Z25" s="543">
        <f t="shared" si="22"/>
        <v>560.71562828574633</v>
      </c>
      <c r="AA25" s="543">
        <f t="shared" si="22"/>
        <v>563.37861013217389</v>
      </c>
      <c r="AB25" s="543">
        <f t="shared" si="22"/>
        <v>566.05423916008999</v>
      </c>
      <c r="AC25" s="543">
        <f t="shared" si="22"/>
        <v>568.74257543419242</v>
      </c>
      <c r="AD25" s="543">
        <f t="shared" si="22"/>
        <v>571.44367930444139</v>
      </c>
      <c r="AE25" s="543">
        <f t="shared" si="22"/>
        <v>574.15761140741461</v>
      </c>
      <c r="AF25" s="543">
        <f t="shared" si="22"/>
        <v>576.88443266766842</v>
      </c>
      <c r="AG25" s="543">
        <f t="shared" si="22"/>
        <v>579.62420429910549</v>
      </c>
      <c r="AH25" s="543">
        <f t="shared" si="22"/>
        <v>582.37698780634878</v>
      </c>
      <c r="AI25" s="543">
        <f t="shared" si="22"/>
        <v>585.14284498612255</v>
      </c>
      <c r="AJ25" s="543">
        <f t="shared" si="22"/>
        <v>587.92183792863943</v>
      </c>
      <c r="AK25" s="543">
        <f t="shared" si="22"/>
        <v>590.71402901899444</v>
      </c>
      <c r="AL25" s="543">
        <f t="shared" si="22"/>
        <v>593.51948093856538</v>
      </c>
      <c r="AM25" s="543">
        <f t="shared" si="22"/>
        <v>596.33825666641985</v>
      </c>
      <c r="AN25" s="543">
        <f t="shared" si="22"/>
        <v>599.17041948072915</v>
      </c>
      <c r="AO25" s="543">
        <f t="shared" si="22"/>
        <v>602.0160329601888</v>
      </c>
      <c r="AP25" s="543">
        <f t="shared" si="22"/>
        <v>604.87516098544575</v>
      </c>
      <c r="AQ25" s="543">
        <f t="shared" si="22"/>
        <v>607.74786774053257</v>
      </c>
      <c r="AR25" s="543">
        <f t="shared" si="22"/>
        <v>610.63421771430808</v>
      </c>
      <c r="AS25" s="543">
        <f t="shared" si="22"/>
        <v>613.53427570190536</v>
      </c>
      <c r="AT25" s="543">
        <f t="shared" si="22"/>
        <v>616.44810680618593</v>
      </c>
      <c r="AU25" s="543">
        <f t="shared" si="22"/>
        <v>619.37577643920167</v>
      </c>
      <c r="AV25" s="543">
        <f t="shared" si="22"/>
        <v>622.31735032366282</v>
      </c>
      <c r="AW25" s="543">
        <f t="shared" si="22"/>
        <v>625.27289449441366</v>
      </c>
      <c r="AX25" s="543">
        <f t="shared" si="22"/>
        <v>628.24247529991476</v>
      </c>
      <c r="AY25" s="543">
        <f t="shared" si="22"/>
        <v>631.22615940373259</v>
      </c>
      <c r="AZ25" s="543">
        <f t="shared" si="22"/>
        <v>634.22401378603581</v>
      </c>
      <c r="BA25" s="543">
        <f t="shared" si="22"/>
        <v>637.23610574509917</v>
      </c>
      <c r="BB25" s="543">
        <f t="shared" si="22"/>
        <v>640.26250289881398</v>
      </c>
      <c r="BC25" s="543">
        <f t="shared" si="22"/>
        <v>643.3032731862063</v>
      </c>
    </row>
    <row r="26" spans="1:55" x14ac:dyDescent="0.3">
      <c r="A26">
        <f t="shared" si="18"/>
        <v>2551</v>
      </c>
      <c r="B26" s="38" t="s">
        <v>1497</v>
      </c>
      <c r="C26" s="364">
        <v>573</v>
      </c>
      <c r="D26" s="364">
        <v>990</v>
      </c>
      <c r="E26" s="364">
        <v>0</v>
      </c>
      <c r="H26" s="542" t="str">
        <f>input_names!$B$3</f>
        <v>benzine</v>
      </c>
      <c r="I26" s="542" t="s">
        <v>1497</v>
      </c>
      <c r="J26" s="543">
        <f t="shared" ref="J26:BC26" si="23">IF(J$4&gt;input_basisjaar,I26*(1+$B$40),$C26)</f>
        <v>573</v>
      </c>
      <c r="K26" s="543">
        <f t="shared" si="23"/>
        <v>573</v>
      </c>
      <c r="L26" s="543">
        <f t="shared" si="23"/>
        <v>573</v>
      </c>
      <c r="M26" s="543">
        <f t="shared" si="23"/>
        <v>573</v>
      </c>
      <c r="N26" s="543">
        <f t="shared" si="23"/>
        <v>573</v>
      </c>
      <c r="O26" s="543">
        <f t="shared" si="23"/>
        <v>573</v>
      </c>
      <c r="P26" s="543">
        <f t="shared" si="23"/>
        <v>573</v>
      </c>
      <c r="Q26" s="543">
        <f t="shared" si="23"/>
        <v>573</v>
      </c>
      <c r="R26" s="543">
        <f t="shared" si="23"/>
        <v>573</v>
      </c>
      <c r="S26" s="543">
        <f t="shared" si="23"/>
        <v>573</v>
      </c>
      <c r="T26" s="543">
        <f t="shared" si="23"/>
        <v>573</v>
      </c>
      <c r="U26" s="543">
        <f t="shared" si="23"/>
        <v>575.72132346777641</v>
      </c>
      <c r="V26" s="543">
        <f t="shared" si="23"/>
        <v>578.45557119631417</v>
      </c>
      <c r="W26" s="543">
        <f t="shared" si="23"/>
        <v>581.20280456623129</v>
      </c>
      <c r="X26" s="543">
        <f t="shared" si="23"/>
        <v>583.96308524965809</v>
      </c>
      <c r="Y26" s="543">
        <f t="shared" si="23"/>
        <v>586.7364752116215</v>
      </c>
      <c r="Z26" s="543">
        <f t="shared" si="23"/>
        <v>589.52303671143613</v>
      </c>
      <c r="AA26" s="543">
        <f t="shared" si="23"/>
        <v>592.32283230410223</v>
      </c>
      <c r="AB26" s="543">
        <f t="shared" si="23"/>
        <v>595.13592484170942</v>
      </c>
      <c r="AC26" s="543">
        <f t="shared" si="23"/>
        <v>597.96237747484827</v>
      </c>
      <c r="AD26" s="543">
        <f t="shared" si="23"/>
        <v>600.80225365402748</v>
      </c>
      <c r="AE26" s="543">
        <f t="shared" si="23"/>
        <v>603.65561713109844</v>
      </c>
      <c r="AF26" s="543">
        <f t="shared" si="23"/>
        <v>606.52253196068636</v>
      </c>
      <c r="AG26" s="543">
        <f t="shared" si="23"/>
        <v>609.40306250162837</v>
      </c>
      <c r="AH26" s="543">
        <f t="shared" si="23"/>
        <v>612.29727341841806</v>
      </c>
      <c r="AI26" s="543">
        <f t="shared" si="23"/>
        <v>615.2052296826572</v>
      </c>
      <c r="AJ26" s="543">
        <f t="shared" si="23"/>
        <v>618.12699657451446</v>
      </c>
      <c r="AK26" s="543">
        <f t="shared" si="23"/>
        <v>621.06263968419046</v>
      </c>
      <c r="AL26" s="543">
        <f t="shared" si="23"/>
        <v>624.0122249133907</v>
      </c>
      <c r="AM26" s="543">
        <f t="shared" si="23"/>
        <v>626.97581847680465</v>
      </c>
      <c r="AN26" s="543">
        <f t="shared" si="23"/>
        <v>629.95348690359219</v>
      </c>
      <c r="AO26" s="543">
        <f t="shared" si="23"/>
        <v>632.94529703887724</v>
      </c>
      <c r="AP26" s="543">
        <f t="shared" si="23"/>
        <v>635.95131604524829</v>
      </c>
      <c r="AQ26" s="543">
        <f t="shared" si="23"/>
        <v>638.97161140426613</v>
      </c>
      <c r="AR26" s="543">
        <f t="shared" si="23"/>
        <v>642.00625091797872</v>
      </c>
      <c r="AS26" s="543">
        <f t="shared" si="23"/>
        <v>645.05530271044336</v>
      </c>
      <c r="AT26" s="543">
        <f t="shared" si="23"/>
        <v>648.11883522925586</v>
      </c>
      <c r="AU26" s="543">
        <f t="shared" si="23"/>
        <v>651.19691724708707</v>
      </c>
      <c r="AV26" s="543">
        <f t="shared" si="23"/>
        <v>654.28961786322691</v>
      </c>
      <c r="AW26" s="543">
        <f t="shared" si="23"/>
        <v>657.39700650513555</v>
      </c>
      <c r="AX26" s="543">
        <f t="shared" si="23"/>
        <v>660.51915293000184</v>
      </c>
      <c r="AY26" s="543">
        <f t="shared" si="23"/>
        <v>663.65612722630931</v>
      </c>
      <c r="AZ26" s="543">
        <f t="shared" si="23"/>
        <v>666.80799981540974</v>
      </c>
      <c r="BA26" s="543">
        <f t="shared" si="23"/>
        <v>669.97484145310386</v>
      </c>
      <c r="BB26" s="543">
        <f t="shared" si="23"/>
        <v>673.15672323122976</v>
      </c>
      <c r="BC26" s="543">
        <f t="shared" si="23"/>
        <v>676.35371657925873</v>
      </c>
    </row>
    <row r="27" spans="1:55" x14ac:dyDescent="0.3">
      <c r="A27">
        <f t="shared" si="18"/>
        <v>2651</v>
      </c>
      <c r="B27" s="38" t="s">
        <v>1498</v>
      </c>
      <c r="C27" s="364">
        <v>601</v>
      </c>
      <c r="D27" s="364">
        <v>1034</v>
      </c>
      <c r="E27" s="364">
        <v>0</v>
      </c>
      <c r="H27" s="542" t="str">
        <f>input_names!$B$3</f>
        <v>benzine</v>
      </c>
      <c r="I27" s="542" t="s">
        <v>1498</v>
      </c>
      <c r="J27" s="543">
        <f t="shared" ref="J27:BC27" si="24">IF(J$4&gt;input_basisjaar,I27*(1+$B$40),$C27)</f>
        <v>601</v>
      </c>
      <c r="K27" s="543">
        <f t="shared" si="24"/>
        <v>601</v>
      </c>
      <c r="L27" s="543">
        <f t="shared" si="24"/>
        <v>601</v>
      </c>
      <c r="M27" s="543">
        <f t="shared" si="24"/>
        <v>601</v>
      </c>
      <c r="N27" s="543">
        <f t="shared" si="24"/>
        <v>601</v>
      </c>
      <c r="O27" s="543">
        <f t="shared" si="24"/>
        <v>601</v>
      </c>
      <c r="P27" s="543">
        <f t="shared" si="24"/>
        <v>601</v>
      </c>
      <c r="Q27" s="543">
        <f t="shared" si="24"/>
        <v>601</v>
      </c>
      <c r="R27" s="543">
        <f t="shared" si="24"/>
        <v>601</v>
      </c>
      <c r="S27" s="543">
        <f t="shared" si="24"/>
        <v>601</v>
      </c>
      <c r="T27" s="543">
        <f t="shared" si="24"/>
        <v>601</v>
      </c>
      <c r="U27" s="543">
        <f t="shared" si="24"/>
        <v>603.85430262501507</v>
      </c>
      <c r="V27" s="543">
        <f t="shared" si="24"/>
        <v>606.72216106280075</v>
      </c>
      <c r="W27" s="543">
        <f t="shared" si="24"/>
        <v>609.60363969337709</v>
      </c>
      <c r="X27" s="543">
        <f t="shared" si="24"/>
        <v>612.49880320252112</v>
      </c>
      <c r="Y27" s="543">
        <f t="shared" si="24"/>
        <v>615.40771658321921</v>
      </c>
      <c r="Z27" s="543">
        <f t="shared" si="24"/>
        <v>618.33044513712605</v>
      </c>
      <c r="AA27" s="543">
        <f t="shared" si="24"/>
        <v>621.26705447603058</v>
      </c>
      <c r="AB27" s="543">
        <f t="shared" si="24"/>
        <v>624.21761052332897</v>
      </c>
      <c r="AC27" s="543">
        <f t="shared" si="24"/>
        <v>627.18217951550423</v>
      </c>
      <c r="AD27" s="543">
        <f t="shared" si="24"/>
        <v>630.16082800361369</v>
      </c>
      <c r="AE27" s="543">
        <f t="shared" si="24"/>
        <v>633.15362285478238</v>
      </c>
      <c r="AF27" s="543">
        <f t="shared" si="24"/>
        <v>636.16063125370454</v>
      </c>
      <c r="AG27" s="543">
        <f t="shared" si="24"/>
        <v>639.18192070415159</v>
      </c>
      <c r="AH27" s="543">
        <f t="shared" si="24"/>
        <v>642.21755903048768</v>
      </c>
      <c r="AI27" s="543">
        <f t="shared" si="24"/>
        <v>645.26761437919231</v>
      </c>
      <c r="AJ27" s="543">
        <f t="shared" si="24"/>
        <v>648.33215522038984</v>
      </c>
      <c r="AK27" s="543">
        <f t="shared" si="24"/>
        <v>651.41125034938693</v>
      </c>
      <c r="AL27" s="543">
        <f t="shared" si="24"/>
        <v>654.50496888821658</v>
      </c>
      <c r="AM27" s="543">
        <f t="shared" si="24"/>
        <v>657.61338028719001</v>
      </c>
      <c r="AN27" s="543">
        <f t="shared" si="24"/>
        <v>660.7365543264558</v>
      </c>
      <c r="AO27" s="543">
        <f t="shared" si="24"/>
        <v>663.87456111756626</v>
      </c>
      <c r="AP27" s="543">
        <f t="shared" si="24"/>
        <v>667.0274711050514</v>
      </c>
      <c r="AQ27" s="543">
        <f t="shared" si="24"/>
        <v>670.19535506800037</v>
      </c>
      <c r="AR27" s="543">
        <f t="shared" si="24"/>
        <v>673.37828412165004</v>
      </c>
      <c r="AS27" s="543">
        <f t="shared" si="24"/>
        <v>676.57632971898204</v>
      </c>
      <c r="AT27" s="543">
        <f t="shared" si="24"/>
        <v>679.78956365232636</v>
      </c>
      <c r="AU27" s="543">
        <f t="shared" si="24"/>
        <v>683.01805805497304</v>
      </c>
      <c r="AV27" s="543">
        <f t="shared" si="24"/>
        <v>686.26188540279168</v>
      </c>
      <c r="AW27" s="543">
        <f t="shared" si="24"/>
        <v>689.52111851585812</v>
      </c>
      <c r="AX27" s="543">
        <f t="shared" si="24"/>
        <v>692.7958305600896</v>
      </c>
      <c r="AY27" s="543">
        <f t="shared" si="24"/>
        <v>696.08609504888682</v>
      </c>
      <c r="AZ27" s="543">
        <f t="shared" si="24"/>
        <v>699.39198584478447</v>
      </c>
      <c r="BA27" s="543">
        <f t="shared" si="24"/>
        <v>702.71357716110936</v>
      </c>
      <c r="BB27" s="543">
        <f t="shared" si="24"/>
        <v>706.05094356364623</v>
      </c>
      <c r="BC27" s="543">
        <f t="shared" si="24"/>
        <v>709.40415997231185</v>
      </c>
    </row>
    <row r="28" spans="1:55" x14ac:dyDescent="0.3">
      <c r="A28">
        <f t="shared" si="18"/>
        <v>2751</v>
      </c>
      <c r="B28" s="38" t="s">
        <v>1499</v>
      </c>
      <c r="C28" s="364">
        <v>629</v>
      </c>
      <c r="D28" s="364">
        <v>1078</v>
      </c>
      <c r="E28" s="364">
        <v>0</v>
      </c>
      <c r="H28" s="542" t="str">
        <f>input_names!$B$3</f>
        <v>benzine</v>
      </c>
      <c r="I28" s="542" t="s">
        <v>1499</v>
      </c>
      <c r="J28" s="543">
        <f t="shared" ref="J28:BC28" si="25">IF(J$4&gt;input_basisjaar,I28*(1+$B$40),$C28)</f>
        <v>629</v>
      </c>
      <c r="K28" s="543">
        <f t="shared" si="25"/>
        <v>629</v>
      </c>
      <c r="L28" s="543">
        <f t="shared" si="25"/>
        <v>629</v>
      </c>
      <c r="M28" s="543">
        <f t="shared" si="25"/>
        <v>629</v>
      </c>
      <c r="N28" s="543">
        <f t="shared" si="25"/>
        <v>629</v>
      </c>
      <c r="O28" s="543">
        <f t="shared" si="25"/>
        <v>629</v>
      </c>
      <c r="P28" s="543">
        <f t="shared" si="25"/>
        <v>629</v>
      </c>
      <c r="Q28" s="543">
        <f t="shared" si="25"/>
        <v>629</v>
      </c>
      <c r="R28" s="543">
        <f t="shared" si="25"/>
        <v>629</v>
      </c>
      <c r="S28" s="543">
        <f t="shared" si="25"/>
        <v>629</v>
      </c>
      <c r="T28" s="543">
        <f t="shared" si="25"/>
        <v>629</v>
      </c>
      <c r="U28" s="543">
        <f t="shared" si="25"/>
        <v>631.98728178225372</v>
      </c>
      <c r="V28" s="543">
        <f t="shared" si="25"/>
        <v>634.98875092928733</v>
      </c>
      <c r="W28" s="543">
        <f t="shared" si="25"/>
        <v>638.00447482052277</v>
      </c>
      <c r="X28" s="543">
        <f t="shared" si="25"/>
        <v>641.03452115538391</v>
      </c>
      <c r="Y28" s="543">
        <f t="shared" si="25"/>
        <v>644.0789579548167</v>
      </c>
      <c r="Z28" s="543">
        <f t="shared" si="25"/>
        <v>647.13785356281574</v>
      </c>
      <c r="AA28" s="543">
        <f t="shared" si="25"/>
        <v>650.2112766479587</v>
      </c>
      <c r="AB28" s="543">
        <f t="shared" si="25"/>
        <v>653.29929620494818</v>
      </c>
      <c r="AC28" s="543">
        <f t="shared" si="25"/>
        <v>656.40198155615997</v>
      </c>
      <c r="AD28" s="543">
        <f t="shared" si="25"/>
        <v>659.51940235319967</v>
      </c>
      <c r="AE28" s="543">
        <f t="shared" si="25"/>
        <v>662.65162857846599</v>
      </c>
      <c r="AF28" s="543">
        <f t="shared" si="25"/>
        <v>665.79873054672225</v>
      </c>
      <c r="AG28" s="543">
        <f t="shared" si="25"/>
        <v>668.96077890667436</v>
      </c>
      <c r="AH28" s="543">
        <f t="shared" si="25"/>
        <v>672.13784464255696</v>
      </c>
      <c r="AI28" s="543">
        <f t="shared" si="25"/>
        <v>675.32999907572707</v>
      </c>
      <c r="AJ28" s="543">
        <f t="shared" si="25"/>
        <v>678.53731386626498</v>
      </c>
      <c r="AK28" s="543">
        <f t="shared" si="25"/>
        <v>681.75986101458307</v>
      </c>
      <c r="AL28" s="543">
        <f t="shared" si="25"/>
        <v>684.99771286304201</v>
      </c>
      <c r="AM28" s="543">
        <f t="shared" si="25"/>
        <v>688.25094209757492</v>
      </c>
      <c r="AN28" s="543">
        <f t="shared" si="25"/>
        <v>691.51962174931896</v>
      </c>
      <c r="AO28" s="543">
        <f t="shared" si="25"/>
        <v>694.80382519625493</v>
      </c>
      <c r="AP28" s="543">
        <f t="shared" si="25"/>
        <v>698.10362616485418</v>
      </c>
      <c r="AQ28" s="543">
        <f t="shared" si="25"/>
        <v>701.41909873173415</v>
      </c>
      <c r="AR28" s="543">
        <f t="shared" si="25"/>
        <v>704.75031732532102</v>
      </c>
      <c r="AS28" s="543">
        <f t="shared" si="25"/>
        <v>708.09735672752049</v>
      </c>
      <c r="AT28" s="543">
        <f t="shared" si="25"/>
        <v>711.46029207539664</v>
      </c>
      <c r="AU28" s="543">
        <f t="shared" si="25"/>
        <v>714.83919886285878</v>
      </c>
      <c r="AV28" s="543">
        <f t="shared" si="25"/>
        <v>718.2341529423561</v>
      </c>
      <c r="AW28" s="543">
        <f t="shared" si="25"/>
        <v>721.64523052658046</v>
      </c>
      <c r="AX28" s="543">
        <f t="shared" si="25"/>
        <v>725.07250819017713</v>
      </c>
      <c r="AY28" s="543">
        <f t="shared" si="25"/>
        <v>728.5160628714641</v>
      </c>
      <c r="AZ28" s="543">
        <f t="shared" si="25"/>
        <v>731.97597187415897</v>
      </c>
      <c r="BA28" s="543">
        <f t="shared" si="25"/>
        <v>735.45231286911462</v>
      </c>
      <c r="BB28" s="543">
        <f t="shared" si="25"/>
        <v>738.94516389606258</v>
      </c>
      <c r="BC28" s="543">
        <f t="shared" si="25"/>
        <v>742.45460336536496</v>
      </c>
    </row>
    <row r="29" spans="1:55" x14ac:dyDescent="0.3">
      <c r="A29">
        <f t="shared" si="18"/>
        <v>2851</v>
      </c>
      <c r="B29" s="38" t="s">
        <v>1500</v>
      </c>
      <c r="C29" s="364">
        <v>657</v>
      </c>
      <c r="D29" s="364">
        <v>1122</v>
      </c>
      <c r="E29" s="364">
        <v>0</v>
      </c>
      <c r="H29" s="542" t="str">
        <f>input_names!$B$3</f>
        <v>benzine</v>
      </c>
      <c r="I29" s="542" t="s">
        <v>1500</v>
      </c>
      <c r="J29" s="543">
        <f t="shared" ref="J29:BC29" si="26">IF(J$4&gt;input_basisjaar,I29*(1+$B$40),$C29)</f>
        <v>657</v>
      </c>
      <c r="K29" s="543">
        <f t="shared" si="26"/>
        <v>657</v>
      </c>
      <c r="L29" s="543">
        <f t="shared" si="26"/>
        <v>657</v>
      </c>
      <c r="M29" s="543">
        <f t="shared" si="26"/>
        <v>657</v>
      </c>
      <c r="N29" s="543">
        <f t="shared" si="26"/>
        <v>657</v>
      </c>
      <c r="O29" s="543">
        <f t="shared" si="26"/>
        <v>657</v>
      </c>
      <c r="P29" s="543">
        <f t="shared" si="26"/>
        <v>657</v>
      </c>
      <c r="Q29" s="543">
        <f t="shared" si="26"/>
        <v>657</v>
      </c>
      <c r="R29" s="543">
        <f t="shared" si="26"/>
        <v>657</v>
      </c>
      <c r="S29" s="543">
        <f t="shared" si="26"/>
        <v>657</v>
      </c>
      <c r="T29" s="543">
        <f t="shared" si="26"/>
        <v>657</v>
      </c>
      <c r="U29" s="543">
        <f t="shared" si="26"/>
        <v>660.12026093949237</v>
      </c>
      <c r="V29" s="543">
        <f t="shared" si="26"/>
        <v>663.25534079577392</v>
      </c>
      <c r="W29" s="543">
        <f t="shared" si="26"/>
        <v>666.40530994766846</v>
      </c>
      <c r="X29" s="543">
        <f t="shared" si="26"/>
        <v>669.57023910824682</v>
      </c>
      <c r="Y29" s="543">
        <f t="shared" si="26"/>
        <v>672.7501993264143</v>
      </c>
      <c r="Z29" s="543">
        <f t="shared" si="26"/>
        <v>675.94526198850542</v>
      </c>
      <c r="AA29" s="543">
        <f t="shared" si="26"/>
        <v>679.15549881988693</v>
      </c>
      <c r="AB29" s="543">
        <f t="shared" si="26"/>
        <v>682.3809818865675</v>
      </c>
      <c r="AC29" s="543">
        <f t="shared" si="26"/>
        <v>685.6217835968157</v>
      </c>
      <c r="AD29" s="543">
        <f t="shared" si="26"/>
        <v>688.87797670278553</v>
      </c>
      <c r="AE29" s="543">
        <f t="shared" si="26"/>
        <v>692.14963430214959</v>
      </c>
      <c r="AF29" s="543">
        <f t="shared" si="26"/>
        <v>695.43682983973997</v>
      </c>
      <c r="AG29" s="543">
        <f t="shared" si="26"/>
        <v>698.73963710919702</v>
      </c>
      <c r="AH29" s="543">
        <f t="shared" si="26"/>
        <v>702.05813025462601</v>
      </c>
      <c r="AI29" s="543">
        <f t="shared" si="26"/>
        <v>705.3923837722615</v>
      </c>
      <c r="AJ29" s="543">
        <f t="shared" si="26"/>
        <v>708.74247251213967</v>
      </c>
      <c r="AK29" s="543">
        <f t="shared" si="26"/>
        <v>712.10847167977875</v>
      </c>
      <c r="AL29" s="543">
        <f t="shared" si="26"/>
        <v>715.49045683786699</v>
      </c>
      <c r="AM29" s="543">
        <f t="shared" si="26"/>
        <v>718.88850390795938</v>
      </c>
      <c r="AN29" s="543">
        <f t="shared" si="26"/>
        <v>722.30268917218177</v>
      </c>
      <c r="AO29" s="543">
        <f t="shared" si="26"/>
        <v>725.73308927494315</v>
      </c>
      <c r="AP29" s="543">
        <f t="shared" si="26"/>
        <v>729.17978122465649</v>
      </c>
      <c r="AQ29" s="543">
        <f t="shared" si="26"/>
        <v>732.64284239546748</v>
      </c>
      <c r="AR29" s="543">
        <f t="shared" si="26"/>
        <v>736.12235052899143</v>
      </c>
      <c r="AS29" s="543">
        <f t="shared" si="26"/>
        <v>739.61838373605826</v>
      </c>
      <c r="AT29" s="543">
        <f t="shared" si="26"/>
        <v>743.13102049846623</v>
      </c>
      <c r="AU29" s="543">
        <f t="shared" si="26"/>
        <v>746.66033967074395</v>
      </c>
      <c r="AV29" s="543">
        <f t="shared" si="26"/>
        <v>750.20642048192008</v>
      </c>
      <c r="AW29" s="543">
        <f t="shared" si="26"/>
        <v>753.76934253730224</v>
      </c>
      <c r="AX29" s="543">
        <f t="shared" si="26"/>
        <v>757.3491858202641</v>
      </c>
      <c r="AY29" s="543">
        <f t="shared" si="26"/>
        <v>760.94603069404081</v>
      </c>
      <c r="AZ29" s="543">
        <f t="shared" si="26"/>
        <v>764.55995790353302</v>
      </c>
      <c r="BA29" s="543">
        <f t="shared" si="26"/>
        <v>768.19104857711943</v>
      </c>
      <c r="BB29" s="543">
        <f t="shared" si="26"/>
        <v>771.83938422847837</v>
      </c>
      <c r="BC29" s="543">
        <f t="shared" si="26"/>
        <v>775.50504675841739</v>
      </c>
    </row>
    <row r="30" spans="1:55" x14ac:dyDescent="0.3">
      <c r="A30">
        <f t="shared" si="18"/>
        <v>2951</v>
      </c>
      <c r="B30" s="38" t="s">
        <v>1501</v>
      </c>
      <c r="C30" s="364">
        <v>685</v>
      </c>
      <c r="D30" s="364">
        <v>1166</v>
      </c>
      <c r="E30" s="364">
        <v>0</v>
      </c>
      <c r="H30" s="542" t="str">
        <f>input_names!$B$3</f>
        <v>benzine</v>
      </c>
      <c r="I30" s="542" t="s">
        <v>1501</v>
      </c>
      <c r="J30" s="543">
        <f t="shared" ref="J30:BC30" si="27">IF(J$4&gt;input_basisjaar,I30*(1+$B$40),$C30)</f>
        <v>685</v>
      </c>
      <c r="K30" s="543">
        <f t="shared" si="27"/>
        <v>685</v>
      </c>
      <c r="L30" s="543">
        <f t="shared" si="27"/>
        <v>685</v>
      </c>
      <c r="M30" s="543">
        <f t="shared" si="27"/>
        <v>685</v>
      </c>
      <c r="N30" s="543">
        <f t="shared" si="27"/>
        <v>685</v>
      </c>
      <c r="O30" s="543">
        <f t="shared" si="27"/>
        <v>685</v>
      </c>
      <c r="P30" s="543">
        <f t="shared" si="27"/>
        <v>685</v>
      </c>
      <c r="Q30" s="543">
        <f t="shared" si="27"/>
        <v>685</v>
      </c>
      <c r="R30" s="543">
        <f t="shared" si="27"/>
        <v>685</v>
      </c>
      <c r="S30" s="543">
        <f t="shared" si="27"/>
        <v>685</v>
      </c>
      <c r="T30" s="543">
        <f t="shared" si="27"/>
        <v>685</v>
      </c>
      <c r="U30" s="543">
        <f t="shared" si="27"/>
        <v>688.25324009673091</v>
      </c>
      <c r="V30" s="543">
        <f t="shared" si="27"/>
        <v>691.52193066226039</v>
      </c>
      <c r="W30" s="543">
        <f t="shared" si="27"/>
        <v>694.80614507481403</v>
      </c>
      <c r="X30" s="543">
        <f t="shared" si="27"/>
        <v>698.10595706110962</v>
      </c>
      <c r="Y30" s="543">
        <f t="shared" si="27"/>
        <v>701.42144069801168</v>
      </c>
      <c r="Z30" s="543">
        <f t="shared" si="27"/>
        <v>704.75267041419499</v>
      </c>
      <c r="AA30" s="543">
        <f t="shared" si="27"/>
        <v>708.09972099181493</v>
      </c>
      <c r="AB30" s="543">
        <f t="shared" si="27"/>
        <v>711.46266756818659</v>
      </c>
      <c r="AC30" s="543">
        <f t="shared" si="27"/>
        <v>714.84158563747121</v>
      </c>
      <c r="AD30" s="543">
        <f t="shared" si="27"/>
        <v>718.23655105237128</v>
      </c>
      <c r="AE30" s="543">
        <f t="shared" si="27"/>
        <v>721.64764002583308</v>
      </c>
      <c r="AF30" s="543">
        <f t="shared" si="27"/>
        <v>725.07492913275757</v>
      </c>
      <c r="AG30" s="543">
        <f t="shared" si="27"/>
        <v>728.51849531171968</v>
      </c>
      <c r="AH30" s="543">
        <f t="shared" si="27"/>
        <v>731.97841586669517</v>
      </c>
      <c r="AI30" s="543">
        <f t="shared" si="27"/>
        <v>735.45476846879615</v>
      </c>
      <c r="AJ30" s="543">
        <f t="shared" si="27"/>
        <v>738.9476311580147</v>
      </c>
      <c r="AK30" s="543">
        <f t="shared" si="27"/>
        <v>742.45708234497476</v>
      </c>
      <c r="AL30" s="543">
        <f t="shared" si="27"/>
        <v>745.98320081269242</v>
      </c>
      <c r="AM30" s="543">
        <f t="shared" si="27"/>
        <v>749.52606571834428</v>
      </c>
      <c r="AN30" s="543">
        <f t="shared" si="27"/>
        <v>753.08575659504493</v>
      </c>
      <c r="AO30" s="543">
        <f t="shared" si="27"/>
        <v>756.66235335363172</v>
      </c>
      <c r="AP30" s="543">
        <f t="shared" si="27"/>
        <v>760.25593628445927</v>
      </c>
      <c r="AQ30" s="543">
        <f t="shared" si="27"/>
        <v>763.86658605920138</v>
      </c>
      <c r="AR30" s="543">
        <f t="shared" si="27"/>
        <v>767.49438373266241</v>
      </c>
      <c r="AS30" s="543">
        <f t="shared" si="27"/>
        <v>771.1394107445966</v>
      </c>
      <c r="AT30" s="543">
        <f t="shared" si="27"/>
        <v>774.8017489215365</v>
      </c>
      <c r="AU30" s="543">
        <f t="shared" si="27"/>
        <v>778.48148047862969</v>
      </c>
      <c r="AV30" s="543">
        <f t="shared" si="27"/>
        <v>782.1786880214845</v>
      </c>
      <c r="AW30" s="543">
        <f t="shared" si="27"/>
        <v>785.89345454802447</v>
      </c>
      <c r="AX30" s="543">
        <f t="shared" si="27"/>
        <v>789.62586345035152</v>
      </c>
      <c r="AY30" s="543">
        <f t="shared" si="27"/>
        <v>793.37599851661798</v>
      </c>
      <c r="AZ30" s="543">
        <f t="shared" si="27"/>
        <v>797.1439439329074</v>
      </c>
      <c r="BA30" s="543">
        <f t="shared" si="27"/>
        <v>800.92978428512458</v>
      </c>
      <c r="BB30" s="543">
        <f t="shared" si="27"/>
        <v>804.73360456089461</v>
      </c>
      <c r="BC30" s="543">
        <f t="shared" si="27"/>
        <v>808.55549015147028</v>
      </c>
    </row>
    <row r="31" spans="1:55" x14ac:dyDescent="0.3">
      <c r="A31">
        <f t="shared" si="18"/>
        <v>3051</v>
      </c>
      <c r="B31" s="38" t="s">
        <v>1502</v>
      </c>
      <c r="C31" s="364">
        <v>713</v>
      </c>
      <c r="D31" s="364">
        <v>1210</v>
      </c>
      <c r="E31" s="364">
        <v>0</v>
      </c>
      <c r="H31" s="542" t="str">
        <f>input_names!$B$3</f>
        <v>benzine</v>
      </c>
      <c r="I31" s="542" t="s">
        <v>1502</v>
      </c>
      <c r="J31" s="543">
        <f t="shared" ref="J31:BC31" si="28">IF(J$4&gt;input_basisjaar,I31*(1+$B$40),$C31)</f>
        <v>713</v>
      </c>
      <c r="K31" s="543">
        <f t="shared" si="28"/>
        <v>713</v>
      </c>
      <c r="L31" s="543">
        <f t="shared" si="28"/>
        <v>713</v>
      </c>
      <c r="M31" s="543">
        <f t="shared" si="28"/>
        <v>713</v>
      </c>
      <c r="N31" s="543">
        <f t="shared" si="28"/>
        <v>713</v>
      </c>
      <c r="O31" s="543">
        <f t="shared" si="28"/>
        <v>713</v>
      </c>
      <c r="P31" s="543">
        <f t="shared" si="28"/>
        <v>713</v>
      </c>
      <c r="Q31" s="543">
        <f t="shared" si="28"/>
        <v>713</v>
      </c>
      <c r="R31" s="543">
        <f t="shared" si="28"/>
        <v>713</v>
      </c>
      <c r="S31" s="543">
        <f t="shared" si="28"/>
        <v>713</v>
      </c>
      <c r="T31" s="543">
        <f t="shared" si="28"/>
        <v>713</v>
      </c>
      <c r="U31" s="543">
        <f t="shared" si="28"/>
        <v>716.38621925396956</v>
      </c>
      <c r="V31" s="543">
        <f t="shared" si="28"/>
        <v>719.78852052874697</v>
      </c>
      <c r="W31" s="543">
        <f t="shared" si="28"/>
        <v>723.20698020195982</v>
      </c>
      <c r="X31" s="543">
        <f t="shared" si="28"/>
        <v>726.64167501397253</v>
      </c>
      <c r="Y31" s="543">
        <f t="shared" si="28"/>
        <v>730.09268206960928</v>
      </c>
      <c r="Z31" s="543">
        <f t="shared" si="28"/>
        <v>733.5600788398848</v>
      </c>
      <c r="AA31" s="543">
        <f t="shared" si="28"/>
        <v>737.04394316374328</v>
      </c>
      <c r="AB31" s="543">
        <f t="shared" si="28"/>
        <v>740.54435324980602</v>
      </c>
      <c r="AC31" s="543">
        <f t="shared" si="28"/>
        <v>744.06138767812718</v>
      </c>
      <c r="AD31" s="543">
        <f t="shared" si="28"/>
        <v>747.59512540195749</v>
      </c>
      <c r="AE31" s="543">
        <f t="shared" si="28"/>
        <v>751.14564574951703</v>
      </c>
      <c r="AF31" s="543">
        <f t="shared" si="28"/>
        <v>754.71302842577575</v>
      </c>
      <c r="AG31" s="543">
        <f t="shared" si="28"/>
        <v>758.2973535142429</v>
      </c>
      <c r="AH31" s="543">
        <f t="shared" si="28"/>
        <v>761.89870147876479</v>
      </c>
      <c r="AI31" s="543">
        <f t="shared" si="28"/>
        <v>765.51715316533114</v>
      </c>
      <c r="AJ31" s="543">
        <f t="shared" si="28"/>
        <v>769.15278980388996</v>
      </c>
      <c r="AK31" s="543">
        <f t="shared" si="28"/>
        <v>772.80569301017101</v>
      </c>
      <c r="AL31" s="543">
        <f t="shared" si="28"/>
        <v>776.47594478751796</v>
      </c>
      <c r="AM31" s="543">
        <f t="shared" si="28"/>
        <v>780.16362752872931</v>
      </c>
      <c r="AN31" s="543">
        <f t="shared" si="28"/>
        <v>783.8688240179082</v>
      </c>
      <c r="AO31" s="543">
        <f t="shared" si="28"/>
        <v>787.5916174323205</v>
      </c>
      <c r="AP31" s="543">
        <f t="shared" si="28"/>
        <v>791.33209134426215</v>
      </c>
      <c r="AQ31" s="543">
        <f t="shared" si="28"/>
        <v>795.09032972293528</v>
      </c>
      <c r="AR31" s="543">
        <f t="shared" si="28"/>
        <v>798.86641693633339</v>
      </c>
      <c r="AS31" s="543">
        <f t="shared" si="28"/>
        <v>802.66043775313494</v>
      </c>
      <c r="AT31" s="543">
        <f t="shared" si="28"/>
        <v>806.47247734460666</v>
      </c>
      <c r="AU31" s="543">
        <f t="shared" si="28"/>
        <v>810.30262128651532</v>
      </c>
      <c r="AV31" s="543">
        <f t="shared" si="28"/>
        <v>814.15095556104893</v>
      </c>
      <c r="AW31" s="543">
        <f t="shared" si="28"/>
        <v>818.01756655874681</v>
      </c>
      <c r="AX31" s="543">
        <f t="shared" si="28"/>
        <v>821.90254108043905</v>
      </c>
      <c r="AY31" s="543">
        <f t="shared" si="28"/>
        <v>825.80596633919515</v>
      </c>
      <c r="AZ31" s="543">
        <f t="shared" si="28"/>
        <v>829.72792996228179</v>
      </c>
      <c r="BA31" s="543">
        <f t="shared" si="28"/>
        <v>833.66851999312973</v>
      </c>
      <c r="BB31" s="543">
        <f t="shared" si="28"/>
        <v>837.62782489331073</v>
      </c>
      <c r="BC31" s="543">
        <f t="shared" si="28"/>
        <v>841.60593354452305</v>
      </c>
    </row>
    <row r="32" spans="1:55" x14ac:dyDescent="0.3">
      <c r="A32">
        <f t="shared" si="18"/>
        <v>3151</v>
      </c>
      <c r="B32" s="38" t="s">
        <v>1503</v>
      </c>
      <c r="C32" s="364">
        <v>741</v>
      </c>
      <c r="D32" s="364">
        <v>1254</v>
      </c>
      <c r="E32" s="364">
        <v>0</v>
      </c>
      <c r="H32" s="542" t="str">
        <f>input_names!$B$3</f>
        <v>benzine</v>
      </c>
      <c r="I32" s="542" t="s">
        <v>1503</v>
      </c>
      <c r="J32" s="543">
        <f t="shared" ref="J32:BC32" si="29">IF(J$4&gt;input_basisjaar,I32*(1+$B$40),$C32)</f>
        <v>741</v>
      </c>
      <c r="K32" s="543">
        <f t="shared" si="29"/>
        <v>741</v>
      </c>
      <c r="L32" s="543">
        <f t="shared" si="29"/>
        <v>741</v>
      </c>
      <c r="M32" s="543">
        <f t="shared" si="29"/>
        <v>741</v>
      </c>
      <c r="N32" s="543">
        <f t="shared" si="29"/>
        <v>741</v>
      </c>
      <c r="O32" s="543">
        <f t="shared" si="29"/>
        <v>741</v>
      </c>
      <c r="P32" s="543">
        <f t="shared" si="29"/>
        <v>741</v>
      </c>
      <c r="Q32" s="543">
        <f t="shared" si="29"/>
        <v>741</v>
      </c>
      <c r="R32" s="543">
        <f t="shared" si="29"/>
        <v>741</v>
      </c>
      <c r="S32" s="543">
        <f t="shared" si="29"/>
        <v>741</v>
      </c>
      <c r="T32" s="543">
        <f t="shared" si="29"/>
        <v>741</v>
      </c>
      <c r="U32" s="543">
        <f t="shared" si="29"/>
        <v>744.51919841120821</v>
      </c>
      <c r="V32" s="543">
        <f t="shared" si="29"/>
        <v>748.05511039523356</v>
      </c>
      <c r="W32" s="543">
        <f t="shared" si="29"/>
        <v>751.60781532910551</v>
      </c>
      <c r="X32" s="543">
        <f t="shared" si="29"/>
        <v>755.17739296683544</v>
      </c>
      <c r="Y32" s="543">
        <f t="shared" si="29"/>
        <v>758.76392344120688</v>
      </c>
      <c r="Z32" s="543">
        <f t="shared" si="29"/>
        <v>762.36748726557448</v>
      </c>
      <c r="AA32" s="543">
        <f t="shared" si="29"/>
        <v>765.9881653356714</v>
      </c>
      <c r="AB32" s="543">
        <f t="shared" si="29"/>
        <v>769.62603893142523</v>
      </c>
      <c r="AC32" s="543">
        <f t="shared" si="29"/>
        <v>773.2811897187828</v>
      </c>
      <c r="AD32" s="543">
        <f t="shared" si="29"/>
        <v>776.95369975154335</v>
      </c>
      <c r="AE32" s="543">
        <f t="shared" si="29"/>
        <v>780.64365147320052</v>
      </c>
      <c r="AF32" s="543">
        <f t="shared" si="29"/>
        <v>784.35112771879335</v>
      </c>
      <c r="AG32" s="543">
        <f t="shared" si="29"/>
        <v>788.07621171676556</v>
      </c>
      <c r="AH32" s="543">
        <f t="shared" si="29"/>
        <v>791.81898709083396</v>
      </c>
      <c r="AI32" s="543">
        <f t="shared" si="29"/>
        <v>795.57953786186579</v>
      </c>
      <c r="AJ32" s="543">
        <f t="shared" si="29"/>
        <v>799.35794844976488</v>
      </c>
      <c r="AK32" s="543">
        <f t="shared" si="29"/>
        <v>803.15430367536692</v>
      </c>
      <c r="AL32" s="543">
        <f t="shared" si="29"/>
        <v>806.96868876234316</v>
      </c>
      <c r="AM32" s="543">
        <f t="shared" si="29"/>
        <v>810.8011893391141</v>
      </c>
      <c r="AN32" s="543">
        <f t="shared" si="29"/>
        <v>814.65189144077124</v>
      </c>
      <c r="AO32" s="543">
        <f t="shared" si="29"/>
        <v>818.52088151100895</v>
      </c>
      <c r="AP32" s="543">
        <f t="shared" si="29"/>
        <v>822.4082464040647</v>
      </c>
      <c r="AQ32" s="543">
        <f t="shared" si="29"/>
        <v>826.31407338666895</v>
      </c>
      <c r="AR32" s="543">
        <f t="shared" si="29"/>
        <v>830.23845014000415</v>
      </c>
      <c r="AS32" s="543">
        <f t="shared" si="29"/>
        <v>834.18146476167306</v>
      </c>
      <c r="AT32" s="543">
        <f t="shared" si="29"/>
        <v>838.14320576767659</v>
      </c>
      <c r="AU32" s="543">
        <f t="shared" si="29"/>
        <v>842.12376209440072</v>
      </c>
      <c r="AV32" s="543">
        <f t="shared" si="29"/>
        <v>846.12322310061302</v>
      </c>
      <c r="AW32" s="543">
        <f t="shared" si="29"/>
        <v>850.1416785694687</v>
      </c>
      <c r="AX32" s="543">
        <f t="shared" si="29"/>
        <v>854.17921871052613</v>
      </c>
      <c r="AY32" s="543">
        <f t="shared" si="29"/>
        <v>858.23593416177198</v>
      </c>
      <c r="AZ32" s="543">
        <f t="shared" si="29"/>
        <v>862.31191599165584</v>
      </c>
      <c r="BA32" s="543">
        <f t="shared" si="29"/>
        <v>866.40725570113466</v>
      </c>
      <c r="BB32" s="543">
        <f t="shared" si="29"/>
        <v>870.52204522572674</v>
      </c>
      <c r="BC32" s="543">
        <f t="shared" si="29"/>
        <v>874.65637693757571</v>
      </c>
    </row>
    <row r="33" spans="1:55" x14ac:dyDescent="0.3">
      <c r="A33">
        <f t="shared" si="18"/>
        <v>3251</v>
      </c>
      <c r="B33" s="38" t="s">
        <v>1504</v>
      </c>
      <c r="C33" s="364">
        <v>765</v>
      </c>
      <c r="D33" s="364">
        <v>1294</v>
      </c>
      <c r="E33" s="364">
        <v>0</v>
      </c>
      <c r="H33" s="542" t="str">
        <f>input_names!$B$3</f>
        <v>benzine</v>
      </c>
      <c r="I33" s="542" t="s">
        <v>1504</v>
      </c>
      <c r="J33" s="543">
        <f t="shared" ref="J33:BC33" si="30">IF(J$4&gt;input_basisjaar,I33*(1+$B$40),$C33)</f>
        <v>765</v>
      </c>
      <c r="K33" s="543">
        <f t="shared" si="30"/>
        <v>765</v>
      </c>
      <c r="L33" s="543">
        <f t="shared" si="30"/>
        <v>765</v>
      </c>
      <c r="M33" s="543">
        <f t="shared" si="30"/>
        <v>765</v>
      </c>
      <c r="N33" s="543">
        <f t="shared" si="30"/>
        <v>765</v>
      </c>
      <c r="O33" s="543">
        <f t="shared" si="30"/>
        <v>765</v>
      </c>
      <c r="P33" s="543">
        <f t="shared" si="30"/>
        <v>765</v>
      </c>
      <c r="Q33" s="543">
        <f t="shared" si="30"/>
        <v>765</v>
      </c>
      <c r="R33" s="543">
        <f t="shared" si="30"/>
        <v>765</v>
      </c>
      <c r="S33" s="543">
        <f t="shared" si="30"/>
        <v>765</v>
      </c>
      <c r="T33" s="543">
        <f t="shared" si="30"/>
        <v>765</v>
      </c>
      <c r="U33" s="543">
        <f t="shared" si="30"/>
        <v>768.63318054598426</v>
      </c>
      <c r="V33" s="543">
        <f t="shared" si="30"/>
        <v>772.28361599507923</v>
      </c>
      <c r="W33" s="543">
        <f t="shared" si="30"/>
        <v>775.95138829523046</v>
      </c>
      <c r="X33" s="543">
        <f t="shared" si="30"/>
        <v>779.63657978357514</v>
      </c>
      <c r="Y33" s="543">
        <f t="shared" si="30"/>
        <v>783.33927318829069</v>
      </c>
      <c r="Z33" s="543">
        <f t="shared" si="30"/>
        <v>787.05955163045167</v>
      </c>
      <c r="AA33" s="543">
        <f t="shared" si="30"/>
        <v>790.79749862589586</v>
      </c>
      <c r="AB33" s="543">
        <f t="shared" si="30"/>
        <v>794.55319808709919</v>
      </c>
      <c r="AC33" s="543">
        <f t="shared" si="30"/>
        <v>798.32673432505942</v>
      </c>
      <c r="AD33" s="543">
        <f t="shared" si="30"/>
        <v>802.11819205118877</v>
      </c>
      <c r="AE33" s="543">
        <f t="shared" si="30"/>
        <v>805.92765637921548</v>
      </c>
      <c r="AF33" s="543">
        <f t="shared" si="30"/>
        <v>809.75521282709474</v>
      </c>
      <c r="AG33" s="543">
        <f t="shared" si="30"/>
        <v>813.60094731892832</v>
      </c>
      <c r="AH33" s="543">
        <f t="shared" si="30"/>
        <v>817.4649461868936</v>
      </c>
      <c r="AI33" s="543">
        <f t="shared" si="30"/>
        <v>821.34729617318146</v>
      </c>
      <c r="AJ33" s="543">
        <f t="shared" si="30"/>
        <v>825.24808443194377</v>
      </c>
      <c r="AK33" s="543">
        <f t="shared" si="30"/>
        <v>829.16739853124943</v>
      </c>
      <c r="AL33" s="543">
        <f t="shared" si="30"/>
        <v>833.10532645505089</v>
      </c>
      <c r="AM33" s="543">
        <f t="shared" si="30"/>
        <v>837.06195660515846</v>
      </c>
      <c r="AN33" s="543">
        <f t="shared" si="30"/>
        <v>841.03737780322558</v>
      </c>
      <c r="AO33" s="543">
        <f t="shared" si="30"/>
        <v>845.0316792927423</v>
      </c>
      <c r="AP33" s="543">
        <f t="shared" si="30"/>
        <v>849.04495074103875</v>
      </c>
      <c r="AQ33" s="543">
        <f t="shared" si="30"/>
        <v>853.07728224129824</v>
      </c>
      <c r="AR33" s="543">
        <f t="shared" si="30"/>
        <v>857.12876431457948</v>
      </c>
      <c r="AS33" s="543">
        <f t="shared" si="30"/>
        <v>861.19948791184902</v>
      </c>
      <c r="AT33" s="543">
        <f t="shared" si="30"/>
        <v>865.28954441602275</v>
      </c>
      <c r="AU33" s="543">
        <f t="shared" si="30"/>
        <v>869.39902564401734</v>
      </c>
      <c r="AV33" s="543">
        <f t="shared" si="30"/>
        <v>873.52802384881147</v>
      </c>
      <c r="AW33" s="543">
        <f t="shared" si="30"/>
        <v>877.67663172151674</v>
      </c>
      <c r="AX33" s="543">
        <f t="shared" si="30"/>
        <v>881.84494239345861</v>
      </c>
      <c r="AY33" s="543">
        <f t="shared" si="30"/>
        <v>886.03304943826708</v>
      </c>
      <c r="AZ33" s="543">
        <f t="shared" si="30"/>
        <v>890.2410468739771</v>
      </c>
      <c r="BA33" s="543">
        <f t="shared" si="30"/>
        <v>894.46902916513943</v>
      </c>
      <c r="BB33" s="543">
        <f t="shared" si="30"/>
        <v>898.71709122494099</v>
      </c>
      <c r="BC33" s="543">
        <f t="shared" si="30"/>
        <v>902.98532841733572</v>
      </c>
    </row>
    <row r="34" spans="1:55" x14ac:dyDescent="0.3">
      <c r="A34">
        <f t="shared" si="18"/>
        <v>3351</v>
      </c>
      <c r="B34" s="38" t="s">
        <v>1505</v>
      </c>
      <c r="C34" s="364">
        <v>788</v>
      </c>
      <c r="D34" s="364">
        <v>1333</v>
      </c>
      <c r="E34" s="364">
        <v>0</v>
      </c>
      <c r="H34" s="542" t="str">
        <f>input_names!$B$3</f>
        <v>benzine</v>
      </c>
      <c r="I34" s="542" t="s">
        <v>1505</v>
      </c>
      <c r="J34" s="543">
        <f t="shared" ref="J34:BC34" si="31">IF(J$4&gt;input_basisjaar,I34*(1+$B$40),$C34)</f>
        <v>788</v>
      </c>
      <c r="K34" s="543">
        <f t="shared" si="31"/>
        <v>788</v>
      </c>
      <c r="L34" s="543">
        <f t="shared" si="31"/>
        <v>788</v>
      </c>
      <c r="M34" s="543">
        <f t="shared" si="31"/>
        <v>788</v>
      </c>
      <c r="N34" s="543">
        <f t="shared" si="31"/>
        <v>788</v>
      </c>
      <c r="O34" s="543">
        <f t="shared" si="31"/>
        <v>788</v>
      </c>
      <c r="P34" s="543">
        <f t="shared" si="31"/>
        <v>788</v>
      </c>
      <c r="Q34" s="543">
        <f t="shared" si="31"/>
        <v>788</v>
      </c>
      <c r="R34" s="543">
        <f t="shared" si="31"/>
        <v>788</v>
      </c>
      <c r="S34" s="543">
        <f t="shared" si="31"/>
        <v>788</v>
      </c>
      <c r="T34" s="543">
        <f t="shared" si="31"/>
        <v>788</v>
      </c>
      <c r="U34" s="543">
        <f t="shared" si="31"/>
        <v>791.74241342514449</v>
      </c>
      <c r="V34" s="543">
        <f t="shared" si="31"/>
        <v>795.50260052826457</v>
      </c>
      <c r="W34" s="543">
        <f t="shared" si="31"/>
        <v>799.28064572110009</v>
      </c>
      <c r="X34" s="543">
        <f t="shared" si="31"/>
        <v>803.0766338162839</v>
      </c>
      <c r="Y34" s="543">
        <f t="shared" si="31"/>
        <v>806.89065002924576</v>
      </c>
      <c r="Z34" s="543">
        <f t="shared" si="31"/>
        <v>810.72277998012521</v>
      </c>
      <c r="AA34" s="543">
        <f t="shared" si="31"/>
        <v>814.57310969569392</v>
      </c>
      <c r="AB34" s="543">
        <f t="shared" si="31"/>
        <v>818.44172561128642</v>
      </c>
      <c r="AC34" s="543">
        <f t="shared" si="31"/>
        <v>822.32871457274086</v>
      </c>
      <c r="AD34" s="543">
        <f t="shared" si="31"/>
        <v>826.23416383834854</v>
      </c>
      <c r="AE34" s="543">
        <f t="shared" si="31"/>
        <v>830.15816108081265</v>
      </c>
      <c r="AF34" s="543">
        <f t="shared" si="31"/>
        <v>834.10079438921639</v>
      </c>
      <c r="AG34" s="543">
        <f t="shared" si="31"/>
        <v>838.06215227100051</v>
      </c>
      <c r="AH34" s="543">
        <f t="shared" si="31"/>
        <v>842.04232365395035</v>
      </c>
      <c r="AI34" s="543">
        <f t="shared" si="31"/>
        <v>846.04139788819202</v>
      </c>
      <c r="AJ34" s="543">
        <f t="shared" si="31"/>
        <v>850.05946474819814</v>
      </c>
      <c r="AK34" s="543">
        <f t="shared" si="31"/>
        <v>854.0966144348032</v>
      </c>
      <c r="AL34" s="543">
        <f t="shared" si="31"/>
        <v>858.15293757722873</v>
      </c>
      <c r="AM34" s="543">
        <f t="shared" si="31"/>
        <v>862.22852523511733</v>
      </c>
      <c r="AN34" s="543">
        <f t="shared" si="31"/>
        <v>866.32346890057727</v>
      </c>
      <c r="AO34" s="543">
        <f t="shared" si="31"/>
        <v>870.4378605002363</v>
      </c>
      <c r="AP34" s="543">
        <f t="shared" si="31"/>
        <v>874.57179239730499</v>
      </c>
      <c r="AQ34" s="543">
        <f t="shared" si="31"/>
        <v>878.7253573936506</v>
      </c>
      <c r="AR34" s="543">
        <f t="shared" si="31"/>
        <v>882.89864873188014</v>
      </c>
      <c r="AS34" s="543">
        <f t="shared" si="31"/>
        <v>887.09176009743362</v>
      </c>
      <c r="AT34" s="543">
        <f t="shared" si="31"/>
        <v>891.30478562068708</v>
      </c>
      <c r="AU34" s="543">
        <f t="shared" si="31"/>
        <v>895.53781987906575</v>
      </c>
      <c r="AV34" s="543">
        <f t="shared" si="31"/>
        <v>899.79095789916732</v>
      </c>
      <c r="AW34" s="543">
        <f t="shared" si="31"/>
        <v>904.06429515889511</v>
      </c>
      <c r="AX34" s="543">
        <f t="shared" si="31"/>
        <v>908.35792758960133</v>
      </c>
      <c r="AY34" s="543">
        <f t="shared" si="31"/>
        <v>912.67195157824062</v>
      </c>
      <c r="AZ34" s="543">
        <f t="shared" si="31"/>
        <v>917.00646396953414</v>
      </c>
      <c r="BA34" s="543">
        <f t="shared" si="31"/>
        <v>921.36156206814314</v>
      </c>
      <c r="BB34" s="543">
        <f t="shared" si="31"/>
        <v>925.73734364085374</v>
      </c>
      <c r="BC34" s="543">
        <f t="shared" si="31"/>
        <v>930.13390691877146</v>
      </c>
    </row>
    <row r="35" spans="1:55" x14ac:dyDescent="0.3">
      <c r="H35" s="542" t="str">
        <f>input_names!$C$3</f>
        <v>diesel</v>
      </c>
      <c r="I35" s="542" t="s">
        <v>525</v>
      </c>
      <c r="J35" s="543">
        <f t="shared" ref="J35:BC35" si="32">IF(J$4&gt;input_basisjaar,I35*(1+$B$42),$D5)</f>
        <v>115</v>
      </c>
      <c r="K35" s="543">
        <f t="shared" si="32"/>
        <v>115</v>
      </c>
      <c r="L35" s="543">
        <f t="shared" si="32"/>
        <v>115</v>
      </c>
      <c r="M35" s="543">
        <f t="shared" si="32"/>
        <v>115</v>
      </c>
      <c r="N35" s="543">
        <f t="shared" si="32"/>
        <v>115</v>
      </c>
      <c r="O35" s="543">
        <f t="shared" si="32"/>
        <v>115</v>
      </c>
      <c r="P35" s="543">
        <f t="shared" si="32"/>
        <v>115</v>
      </c>
      <c r="Q35" s="543">
        <f t="shared" si="32"/>
        <v>115</v>
      </c>
      <c r="R35" s="543">
        <f t="shared" si="32"/>
        <v>115</v>
      </c>
      <c r="S35" s="543">
        <f t="shared" si="32"/>
        <v>115</v>
      </c>
      <c r="T35" s="543">
        <f t="shared" si="32"/>
        <v>115</v>
      </c>
      <c r="U35" s="543">
        <f t="shared" si="32"/>
        <v>114.95807674720045</v>
      </c>
      <c r="V35" s="543">
        <f t="shared" si="32"/>
        <v>114.91616877752374</v>
      </c>
      <c r="W35" s="543">
        <f t="shared" si="32"/>
        <v>114.87427608539838</v>
      </c>
      <c r="X35" s="543">
        <f t="shared" si="32"/>
        <v>114.83239866525496</v>
      </c>
      <c r="Y35" s="543">
        <f t="shared" si="32"/>
        <v>114.79053651152607</v>
      </c>
      <c r="Z35" s="543">
        <f t="shared" si="32"/>
        <v>114.74868961864635</v>
      </c>
      <c r="AA35" s="543">
        <f t="shared" si="32"/>
        <v>114.70685798105245</v>
      </c>
      <c r="AB35" s="543">
        <f t="shared" si="32"/>
        <v>114.66504159318305</v>
      </c>
      <c r="AC35" s="543">
        <f t="shared" si="32"/>
        <v>114.62324044947886</v>
      </c>
      <c r="AD35" s="543">
        <f t="shared" si="32"/>
        <v>114.58145454438262</v>
      </c>
      <c r="AE35" s="543">
        <f t="shared" si="32"/>
        <v>114.53968387233911</v>
      </c>
      <c r="AF35" s="543">
        <f t="shared" si="32"/>
        <v>114.49792842779512</v>
      </c>
      <c r="AG35" s="543">
        <f t="shared" si="32"/>
        <v>114.45618820519944</v>
      </c>
      <c r="AH35" s="543">
        <f t="shared" si="32"/>
        <v>114.41446319900292</v>
      </c>
      <c r="AI35" s="543">
        <f t="shared" si="32"/>
        <v>114.37275340365844</v>
      </c>
      <c r="AJ35" s="543">
        <f t="shared" si="32"/>
        <v>114.33105881362086</v>
      </c>
      <c r="AK35" s="543">
        <f t="shared" si="32"/>
        <v>114.28937942334709</v>
      </c>
      <c r="AL35" s="543">
        <f t="shared" si="32"/>
        <v>114.24771522729606</v>
      </c>
      <c r="AM35" s="543">
        <f t="shared" si="32"/>
        <v>114.20606621992872</v>
      </c>
      <c r="AN35" s="543">
        <f t="shared" si="32"/>
        <v>114.16443239570802</v>
      </c>
      <c r="AO35" s="543">
        <f t="shared" si="32"/>
        <v>114.12281374909895</v>
      </c>
      <c r="AP35" s="543">
        <f t="shared" si="32"/>
        <v>114.08121027456852</v>
      </c>
      <c r="AQ35" s="543">
        <f t="shared" si="32"/>
        <v>114.03962196658574</v>
      </c>
      <c r="AR35" s="543">
        <f t="shared" si="32"/>
        <v>113.99804881962166</v>
      </c>
      <c r="AS35" s="543">
        <f t="shared" si="32"/>
        <v>113.95649082814931</v>
      </c>
      <c r="AT35" s="543">
        <f t="shared" si="32"/>
        <v>113.91494798664377</v>
      </c>
      <c r="AU35" s="543">
        <f t="shared" si="32"/>
        <v>113.8734202895821</v>
      </c>
      <c r="AV35" s="543">
        <f t="shared" si="32"/>
        <v>113.83190773144341</v>
      </c>
      <c r="AW35" s="543">
        <f t="shared" si="32"/>
        <v>113.79041030670881</v>
      </c>
      <c r="AX35" s="543">
        <f t="shared" si="32"/>
        <v>113.7489280098614</v>
      </c>
      <c r="AY35" s="543">
        <f t="shared" si="32"/>
        <v>113.70746083538631</v>
      </c>
      <c r="AZ35" s="543">
        <f t="shared" si="32"/>
        <v>113.6660087777707</v>
      </c>
      <c r="BA35" s="543">
        <f t="shared" si="32"/>
        <v>113.62457183150369</v>
      </c>
      <c r="BB35" s="543">
        <f t="shared" si="32"/>
        <v>113.58314999107645</v>
      </c>
      <c r="BC35" s="543">
        <f t="shared" si="32"/>
        <v>113.54174325098215</v>
      </c>
    </row>
    <row r="36" spans="1:55" x14ac:dyDescent="0.3">
      <c r="B36" t="s">
        <v>1201</v>
      </c>
      <c r="H36" s="542" t="str">
        <f>input_names!$C$3</f>
        <v>diesel</v>
      </c>
      <c r="I36" s="542" t="s">
        <v>526</v>
      </c>
      <c r="J36" s="543">
        <f t="shared" ref="J36:BC36" si="33">IF(J$4&gt;input_basisjaar,I36*(1+$B$42),$D6)</f>
        <v>140</v>
      </c>
      <c r="K36" s="543">
        <f t="shared" si="33"/>
        <v>140</v>
      </c>
      <c r="L36" s="543">
        <f t="shared" si="33"/>
        <v>140</v>
      </c>
      <c r="M36" s="543">
        <f t="shared" si="33"/>
        <v>140</v>
      </c>
      <c r="N36" s="543">
        <f t="shared" si="33"/>
        <v>140</v>
      </c>
      <c r="O36" s="543">
        <f t="shared" si="33"/>
        <v>140</v>
      </c>
      <c r="P36" s="543">
        <f t="shared" si="33"/>
        <v>140</v>
      </c>
      <c r="Q36" s="543">
        <f t="shared" si="33"/>
        <v>140</v>
      </c>
      <c r="R36" s="543">
        <f t="shared" si="33"/>
        <v>140</v>
      </c>
      <c r="S36" s="543">
        <f t="shared" si="33"/>
        <v>140</v>
      </c>
      <c r="T36" s="543">
        <f t="shared" si="33"/>
        <v>140</v>
      </c>
      <c r="U36" s="543">
        <f t="shared" si="33"/>
        <v>139.94896299659186</v>
      </c>
      <c r="V36" s="543">
        <f t="shared" si="33"/>
        <v>139.89794459872456</v>
      </c>
      <c r="W36" s="543">
        <f t="shared" si="33"/>
        <v>139.84694479961544</v>
      </c>
      <c r="X36" s="543">
        <f t="shared" si="33"/>
        <v>139.79596359248433</v>
      </c>
      <c r="Y36" s="543">
        <f t="shared" si="33"/>
        <v>139.74500097055352</v>
      </c>
      <c r="Z36" s="543">
        <f t="shared" si="33"/>
        <v>139.69405692704777</v>
      </c>
      <c r="AA36" s="543">
        <f t="shared" si="33"/>
        <v>139.64313145519432</v>
      </c>
      <c r="AB36" s="543">
        <f t="shared" si="33"/>
        <v>139.59222454822287</v>
      </c>
      <c r="AC36" s="543">
        <f t="shared" si="33"/>
        <v>139.54133619936559</v>
      </c>
      <c r="AD36" s="543">
        <f t="shared" si="33"/>
        <v>139.49046640185713</v>
      </c>
      <c r="AE36" s="543">
        <f t="shared" si="33"/>
        <v>139.43961514893459</v>
      </c>
      <c r="AF36" s="543">
        <f t="shared" si="33"/>
        <v>139.38878243383755</v>
      </c>
      <c r="AG36" s="543">
        <f t="shared" si="33"/>
        <v>139.33796824980803</v>
      </c>
      <c r="AH36" s="543">
        <f t="shared" si="33"/>
        <v>139.28717259009053</v>
      </c>
      <c r="AI36" s="543">
        <f t="shared" si="33"/>
        <v>139.23639544793204</v>
      </c>
      <c r="AJ36" s="543">
        <f t="shared" si="33"/>
        <v>139.18563681658193</v>
      </c>
      <c r="AK36" s="543">
        <f t="shared" si="33"/>
        <v>139.13489668929213</v>
      </c>
      <c r="AL36" s="543">
        <f t="shared" si="33"/>
        <v>139.08417505931698</v>
      </c>
      <c r="AM36" s="543">
        <f t="shared" si="33"/>
        <v>139.03347191991327</v>
      </c>
      <c r="AN36" s="543">
        <f t="shared" si="33"/>
        <v>138.98278726434026</v>
      </c>
      <c r="AO36" s="543">
        <f t="shared" si="33"/>
        <v>138.93212108585968</v>
      </c>
      <c r="AP36" s="543">
        <f t="shared" si="33"/>
        <v>138.88147337773569</v>
      </c>
      <c r="AQ36" s="543">
        <f t="shared" si="33"/>
        <v>138.83084413323493</v>
      </c>
      <c r="AR36" s="543">
        <f t="shared" si="33"/>
        <v>138.78023334562647</v>
      </c>
      <c r="AS36" s="543">
        <f t="shared" si="33"/>
        <v>138.72964100818189</v>
      </c>
      <c r="AT36" s="543">
        <f t="shared" si="33"/>
        <v>138.67906711417513</v>
      </c>
      <c r="AU36" s="543">
        <f t="shared" si="33"/>
        <v>138.62851165688267</v>
      </c>
      <c r="AV36" s="543">
        <f t="shared" si="33"/>
        <v>138.57797462958339</v>
      </c>
      <c r="AW36" s="543">
        <f t="shared" si="33"/>
        <v>138.52745602555865</v>
      </c>
      <c r="AX36" s="543">
        <f t="shared" si="33"/>
        <v>138.47695583809224</v>
      </c>
      <c r="AY36" s="543">
        <f t="shared" si="33"/>
        <v>138.42647406047038</v>
      </c>
      <c r="AZ36" s="543">
        <f t="shared" si="33"/>
        <v>138.37601068598181</v>
      </c>
      <c r="BA36" s="543">
        <f t="shared" si="33"/>
        <v>138.32556570791763</v>
      </c>
      <c r="BB36" s="543">
        <f t="shared" si="33"/>
        <v>138.27513911957143</v>
      </c>
      <c r="BC36" s="543">
        <f t="shared" si="33"/>
        <v>138.22473091423925</v>
      </c>
    </row>
    <row r="37" spans="1:55" x14ac:dyDescent="0.3">
      <c r="B37" s="67" t="s">
        <v>1348</v>
      </c>
      <c r="H37" s="542" t="str">
        <f>input_names!$C$3</f>
        <v>diesel</v>
      </c>
      <c r="I37" s="542" t="s">
        <v>527</v>
      </c>
      <c r="J37" s="543">
        <f t="shared" ref="J37:BC37" si="34">IF(J$4&gt;input_basisjaar,I37*(1+$B$42),$D7)</f>
        <v>166</v>
      </c>
      <c r="K37" s="543">
        <f t="shared" si="34"/>
        <v>166</v>
      </c>
      <c r="L37" s="543">
        <f t="shared" si="34"/>
        <v>166</v>
      </c>
      <c r="M37" s="543">
        <f t="shared" si="34"/>
        <v>166</v>
      </c>
      <c r="N37" s="543">
        <f t="shared" si="34"/>
        <v>166</v>
      </c>
      <c r="O37" s="543">
        <f t="shared" si="34"/>
        <v>166</v>
      </c>
      <c r="P37" s="543">
        <f t="shared" si="34"/>
        <v>166</v>
      </c>
      <c r="Q37" s="543">
        <f t="shared" si="34"/>
        <v>166</v>
      </c>
      <c r="R37" s="543">
        <f t="shared" si="34"/>
        <v>166</v>
      </c>
      <c r="S37" s="543">
        <f t="shared" si="34"/>
        <v>166</v>
      </c>
      <c r="T37" s="543">
        <f t="shared" si="34"/>
        <v>166</v>
      </c>
      <c r="U37" s="543">
        <f t="shared" si="34"/>
        <v>165.93948469595892</v>
      </c>
      <c r="V37" s="543">
        <f t="shared" si="34"/>
        <v>165.87899145277339</v>
      </c>
      <c r="W37" s="543">
        <f t="shared" si="34"/>
        <v>165.81852026240114</v>
      </c>
      <c r="X37" s="543">
        <f t="shared" si="34"/>
        <v>165.75807111680282</v>
      </c>
      <c r="Y37" s="543">
        <f t="shared" si="34"/>
        <v>165.69764400794199</v>
      </c>
      <c r="Z37" s="543">
        <f t="shared" si="34"/>
        <v>165.63723892778518</v>
      </c>
      <c r="AA37" s="543">
        <f t="shared" si="34"/>
        <v>165.57685586830181</v>
      </c>
      <c r="AB37" s="543">
        <f t="shared" si="34"/>
        <v>165.51649482146422</v>
      </c>
      <c r="AC37" s="543">
        <f t="shared" si="34"/>
        <v>165.45615577924775</v>
      </c>
      <c r="AD37" s="543">
        <f t="shared" si="34"/>
        <v>165.39583873363057</v>
      </c>
      <c r="AE37" s="543">
        <f t="shared" si="34"/>
        <v>165.33554367659386</v>
      </c>
      <c r="AF37" s="543">
        <f t="shared" si="34"/>
        <v>165.27527060012164</v>
      </c>
      <c r="AG37" s="543">
        <f t="shared" si="34"/>
        <v>165.21501949620094</v>
      </c>
      <c r="AH37" s="543">
        <f t="shared" si="34"/>
        <v>165.15479035682162</v>
      </c>
      <c r="AI37" s="543">
        <f t="shared" si="34"/>
        <v>165.09458317397653</v>
      </c>
      <c r="AJ37" s="543">
        <f t="shared" si="34"/>
        <v>165.0343979396614</v>
      </c>
      <c r="AK37" s="543">
        <f t="shared" si="34"/>
        <v>164.97423464587493</v>
      </c>
      <c r="AL37" s="543">
        <f t="shared" si="34"/>
        <v>164.91409328461867</v>
      </c>
      <c r="AM37" s="543">
        <f t="shared" si="34"/>
        <v>164.85397384789712</v>
      </c>
      <c r="AN37" s="543">
        <f t="shared" si="34"/>
        <v>164.7938763277177</v>
      </c>
      <c r="AO37" s="543">
        <f t="shared" si="34"/>
        <v>164.73380071609071</v>
      </c>
      <c r="AP37" s="543">
        <f t="shared" si="34"/>
        <v>164.67374700502941</v>
      </c>
      <c r="AQ37" s="543">
        <f t="shared" si="34"/>
        <v>164.61371518654994</v>
      </c>
      <c r="AR37" s="543">
        <f t="shared" si="34"/>
        <v>164.55370525267134</v>
      </c>
      <c r="AS37" s="543">
        <f t="shared" si="34"/>
        <v>164.4937171954156</v>
      </c>
      <c r="AT37" s="543">
        <f t="shared" si="34"/>
        <v>164.4337510068076</v>
      </c>
      <c r="AU37" s="543">
        <f t="shared" si="34"/>
        <v>164.3738066788751</v>
      </c>
      <c r="AV37" s="543">
        <f t="shared" si="34"/>
        <v>164.31388420364883</v>
      </c>
      <c r="AW37" s="543">
        <f t="shared" si="34"/>
        <v>164.25398357316234</v>
      </c>
      <c r="AX37" s="543">
        <f t="shared" si="34"/>
        <v>164.19410477945218</v>
      </c>
      <c r="AY37" s="543">
        <f t="shared" si="34"/>
        <v>164.13424781455771</v>
      </c>
      <c r="AZ37" s="543">
        <f t="shared" si="34"/>
        <v>164.07441267052124</v>
      </c>
      <c r="BA37" s="543">
        <f t="shared" si="34"/>
        <v>164.01459933938798</v>
      </c>
      <c r="BB37" s="543">
        <f t="shared" si="34"/>
        <v>163.95480781320606</v>
      </c>
      <c r="BC37" s="543">
        <f t="shared" si="34"/>
        <v>163.89503808402645</v>
      </c>
    </row>
    <row r="38" spans="1:55" x14ac:dyDescent="0.3">
      <c r="H38" s="542" t="str">
        <f>input_names!$C$3</f>
        <v>diesel</v>
      </c>
      <c r="I38" s="542" t="s">
        <v>528</v>
      </c>
      <c r="J38" s="543">
        <f t="shared" ref="J38:BC38" si="35">IF(J$4&gt;input_basisjaar,I38*(1+$B$42),$D8)</f>
        <v>198</v>
      </c>
      <c r="K38" s="543">
        <f t="shared" si="35"/>
        <v>198</v>
      </c>
      <c r="L38" s="543">
        <f t="shared" si="35"/>
        <v>198</v>
      </c>
      <c r="M38" s="543">
        <f t="shared" si="35"/>
        <v>198</v>
      </c>
      <c r="N38" s="543">
        <f t="shared" si="35"/>
        <v>198</v>
      </c>
      <c r="O38" s="543">
        <f t="shared" si="35"/>
        <v>198</v>
      </c>
      <c r="P38" s="543">
        <f t="shared" si="35"/>
        <v>198</v>
      </c>
      <c r="Q38" s="543">
        <f t="shared" si="35"/>
        <v>198</v>
      </c>
      <c r="R38" s="543">
        <f t="shared" si="35"/>
        <v>198</v>
      </c>
      <c r="S38" s="543">
        <f t="shared" si="35"/>
        <v>198</v>
      </c>
      <c r="T38" s="543">
        <f t="shared" si="35"/>
        <v>198</v>
      </c>
      <c r="U38" s="543">
        <f t="shared" si="35"/>
        <v>197.9278190951799</v>
      </c>
      <c r="V38" s="543">
        <f t="shared" si="35"/>
        <v>197.85566450391042</v>
      </c>
      <c r="W38" s="543">
        <f t="shared" si="35"/>
        <v>197.78353621659895</v>
      </c>
      <c r="X38" s="543">
        <f t="shared" si="35"/>
        <v>197.71143422365637</v>
      </c>
      <c r="Y38" s="543">
        <f t="shared" si="35"/>
        <v>197.63935851549707</v>
      </c>
      <c r="Z38" s="543">
        <f t="shared" si="35"/>
        <v>197.56730908253894</v>
      </c>
      <c r="AA38" s="543">
        <f t="shared" si="35"/>
        <v>197.49528591520334</v>
      </c>
      <c r="AB38" s="543">
        <f t="shared" si="35"/>
        <v>197.42328900391516</v>
      </c>
      <c r="AC38" s="543">
        <f t="shared" si="35"/>
        <v>197.35131833910273</v>
      </c>
      <c r="AD38" s="543">
        <f t="shared" si="35"/>
        <v>197.27937391119792</v>
      </c>
      <c r="AE38" s="543">
        <f t="shared" si="35"/>
        <v>197.20745571063605</v>
      </c>
      <c r="AF38" s="543">
        <f t="shared" si="35"/>
        <v>197.13556372785595</v>
      </c>
      <c r="AG38" s="543">
        <f t="shared" si="35"/>
        <v>197.06369795329991</v>
      </c>
      <c r="AH38" s="543">
        <f t="shared" si="35"/>
        <v>196.99185837741373</v>
      </c>
      <c r="AI38" s="543">
        <f t="shared" si="35"/>
        <v>196.92004499064672</v>
      </c>
      <c r="AJ38" s="543">
        <f t="shared" si="35"/>
        <v>196.84825778345157</v>
      </c>
      <c r="AK38" s="543">
        <f t="shared" si="35"/>
        <v>196.77649674628458</v>
      </c>
      <c r="AL38" s="543">
        <f t="shared" si="35"/>
        <v>196.70476186960542</v>
      </c>
      <c r="AM38" s="543">
        <f t="shared" si="35"/>
        <v>196.63305314387731</v>
      </c>
      <c r="AN38" s="543">
        <f t="shared" si="35"/>
        <v>196.56137055956688</v>
      </c>
      <c r="AO38" s="543">
        <f t="shared" si="35"/>
        <v>196.48971410714432</v>
      </c>
      <c r="AP38" s="543">
        <f t="shared" si="35"/>
        <v>196.41808377708324</v>
      </c>
      <c r="AQ38" s="543">
        <f t="shared" si="35"/>
        <v>196.34647955986074</v>
      </c>
      <c r="AR38" s="543">
        <f t="shared" si="35"/>
        <v>196.27490144595737</v>
      </c>
      <c r="AS38" s="543">
        <f t="shared" si="35"/>
        <v>196.20334942585714</v>
      </c>
      <c r="AT38" s="543">
        <f t="shared" si="35"/>
        <v>196.13182349004759</v>
      </c>
      <c r="AU38" s="543">
        <f t="shared" si="35"/>
        <v>196.06032362901968</v>
      </c>
      <c r="AV38" s="543">
        <f t="shared" si="35"/>
        <v>195.98884983326786</v>
      </c>
      <c r="AW38" s="543">
        <f t="shared" si="35"/>
        <v>195.91740209329001</v>
      </c>
      <c r="AX38" s="543">
        <f t="shared" si="35"/>
        <v>195.84598039958752</v>
      </c>
      <c r="AY38" s="543">
        <f t="shared" si="35"/>
        <v>195.77458474266518</v>
      </c>
      <c r="AZ38" s="543">
        <f t="shared" si="35"/>
        <v>195.70321511303132</v>
      </c>
      <c r="BA38" s="543">
        <f t="shared" si="35"/>
        <v>195.63187150119768</v>
      </c>
      <c r="BB38" s="543">
        <f t="shared" si="35"/>
        <v>195.56055389767948</v>
      </c>
      <c r="BC38" s="543">
        <f t="shared" si="35"/>
        <v>195.48926229299539</v>
      </c>
    </row>
    <row r="39" spans="1:55" x14ac:dyDescent="0.3">
      <c r="B39" t="s">
        <v>1247</v>
      </c>
      <c r="H39" s="542" t="str">
        <f>input_names!$C$3</f>
        <v>diesel</v>
      </c>
      <c r="I39" s="542" t="s">
        <v>529</v>
      </c>
      <c r="J39" s="543">
        <f t="shared" ref="J39:BC39" si="36">IF(J$4&gt;input_basisjaar,I39*(1+$B$42),$D9)</f>
        <v>242</v>
      </c>
      <c r="K39" s="543">
        <f t="shared" si="36"/>
        <v>242</v>
      </c>
      <c r="L39" s="543">
        <f t="shared" si="36"/>
        <v>242</v>
      </c>
      <c r="M39" s="543">
        <f t="shared" si="36"/>
        <v>242</v>
      </c>
      <c r="N39" s="543">
        <f t="shared" si="36"/>
        <v>242</v>
      </c>
      <c r="O39" s="543">
        <f t="shared" si="36"/>
        <v>242</v>
      </c>
      <c r="P39" s="543">
        <f t="shared" si="36"/>
        <v>242</v>
      </c>
      <c r="Q39" s="543">
        <f t="shared" si="36"/>
        <v>242</v>
      </c>
      <c r="R39" s="543">
        <f t="shared" si="36"/>
        <v>242</v>
      </c>
      <c r="S39" s="543">
        <f t="shared" si="36"/>
        <v>242</v>
      </c>
      <c r="T39" s="543">
        <f t="shared" si="36"/>
        <v>242</v>
      </c>
      <c r="U39" s="543">
        <f t="shared" si="36"/>
        <v>241.91177889410878</v>
      </c>
      <c r="V39" s="543">
        <f t="shared" si="36"/>
        <v>241.82358994922387</v>
      </c>
      <c r="W39" s="543">
        <f t="shared" si="36"/>
        <v>241.73543315362096</v>
      </c>
      <c r="X39" s="543">
        <f t="shared" si="36"/>
        <v>241.64730849558003</v>
      </c>
      <c r="Y39" s="543">
        <f t="shared" si="36"/>
        <v>241.55921596338533</v>
      </c>
      <c r="Z39" s="543">
        <f t="shared" si="36"/>
        <v>241.47115554532539</v>
      </c>
      <c r="AA39" s="543">
        <f t="shared" si="36"/>
        <v>241.383127229693</v>
      </c>
      <c r="AB39" s="543">
        <f t="shared" si="36"/>
        <v>241.29513100478522</v>
      </c>
      <c r="AC39" s="543">
        <f t="shared" si="36"/>
        <v>241.20716685890338</v>
      </c>
      <c r="AD39" s="543">
        <f t="shared" si="36"/>
        <v>241.11923478035305</v>
      </c>
      <c r="AE39" s="543">
        <f t="shared" si="36"/>
        <v>241.03133475744409</v>
      </c>
      <c r="AF39" s="543">
        <f t="shared" si="36"/>
        <v>240.94346677849063</v>
      </c>
      <c r="AG39" s="543">
        <f t="shared" si="36"/>
        <v>240.85563083181103</v>
      </c>
      <c r="AH39" s="543">
        <f t="shared" si="36"/>
        <v>240.76782690572793</v>
      </c>
      <c r="AI39" s="543">
        <f t="shared" si="36"/>
        <v>240.68005498856823</v>
      </c>
      <c r="AJ39" s="543">
        <f t="shared" si="36"/>
        <v>240.59231506866305</v>
      </c>
      <c r="AK39" s="543">
        <f t="shared" si="36"/>
        <v>240.50460713434782</v>
      </c>
      <c r="AL39" s="543">
        <f t="shared" si="36"/>
        <v>240.41693117396218</v>
      </c>
      <c r="AM39" s="543">
        <f t="shared" si="36"/>
        <v>240.32928717585003</v>
      </c>
      <c r="AN39" s="543">
        <f t="shared" si="36"/>
        <v>240.24167512835953</v>
      </c>
      <c r="AO39" s="543">
        <f t="shared" si="36"/>
        <v>240.15409501984308</v>
      </c>
      <c r="AP39" s="543">
        <f t="shared" si="36"/>
        <v>240.06654683865733</v>
      </c>
      <c r="AQ39" s="543">
        <f t="shared" si="36"/>
        <v>239.97903057316316</v>
      </c>
      <c r="AR39" s="543">
        <f t="shared" si="36"/>
        <v>239.89154621172568</v>
      </c>
      <c r="AS39" s="543">
        <f t="shared" si="36"/>
        <v>239.80409374271431</v>
      </c>
      <c r="AT39" s="543">
        <f t="shared" si="36"/>
        <v>239.71667315450264</v>
      </c>
      <c r="AU39" s="543">
        <f t="shared" si="36"/>
        <v>239.62928443546855</v>
      </c>
      <c r="AV39" s="543">
        <f t="shared" si="36"/>
        <v>239.54192757399409</v>
      </c>
      <c r="AW39" s="543">
        <f t="shared" si="36"/>
        <v>239.45460255846561</v>
      </c>
      <c r="AX39" s="543">
        <f t="shared" si="36"/>
        <v>239.36730937727367</v>
      </c>
      <c r="AY39" s="543">
        <f t="shared" si="36"/>
        <v>239.28004801881306</v>
      </c>
      <c r="AZ39" s="543">
        <f t="shared" si="36"/>
        <v>239.19281847148281</v>
      </c>
      <c r="BA39" s="543">
        <f t="shared" si="36"/>
        <v>239.10562072368614</v>
      </c>
      <c r="BB39" s="543">
        <f t="shared" si="36"/>
        <v>239.01845476383056</v>
      </c>
      <c r="BC39" s="543">
        <f t="shared" si="36"/>
        <v>238.93132058032776</v>
      </c>
    </row>
    <row r="40" spans="1:55" x14ac:dyDescent="0.3">
      <c r="B40" s="404">
        <v>4.7492556156657284E-3</v>
      </c>
      <c r="H40" s="542" t="str">
        <f>input_names!$C$3</f>
        <v>diesel</v>
      </c>
      <c r="I40" s="542" t="s">
        <v>530</v>
      </c>
      <c r="J40" s="543">
        <f t="shared" ref="J40:BC40" si="37">IF(J$4&gt;input_basisjaar,I40*(1+$B$42),$D10)</f>
        <v>286</v>
      </c>
      <c r="K40" s="543">
        <f t="shared" si="37"/>
        <v>286</v>
      </c>
      <c r="L40" s="543">
        <f t="shared" si="37"/>
        <v>286</v>
      </c>
      <c r="M40" s="543">
        <f t="shared" si="37"/>
        <v>286</v>
      </c>
      <c r="N40" s="543">
        <f t="shared" si="37"/>
        <v>286</v>
      </c>
      <c r="O40" s="543">
        <f t="shared" si="37"/>
        <v>286</v>
      </c>
      <c r="P40" s="543">
        <f t="shared" si="37"/>
        <v>286</v>
      </c>
      <c r="Q40" s="543">
        <f t="shared" si="37"/>
        <v>286</v>
      </c>
      <c r="R40" s="543">
        <f t="shared" si="37"/>
        <v>286</v>
      </c>
      <c r="S40" s="543">
        <f t="shared" si="37"/>
        <v>286</v>
      </c>
      <c r="T40" s="543">
        <f t="shared" si="37"/>
        <v>286</v>
      </c>
      <c r="U40" s="543">
        <f t="shared" si="37"/>
        <v>285.89573869303763</v>
      </c>
      <c r="V40" s="543">
        <f t="shared" si="37"/>
        <v>285.79151539453727</v>
      </c>
      <c r="W40" s="543">
        <f t="shared" si="37"/>
        <v>285.68733009064294</v>
      </c>
      <c r="X40" s="543">
        <f t="shared" si="37"/>
        <v>285.58318276750367</v>
      </c>
      <c r="Y40" s="543">
        <f t="shared" si="37"/>
        <v>285.47907341127359</v>
      </c>
      <c r="Z40" s="543">
        <f t="shared" si="37"/>
        <v>285.37500200811184</v>
      </c>
      <c r="AA40" s="543">
        <f t="shared" si="37"/>
        <v>285.27096854418267</v>
      </c>
      <c r="AB40" s="543">
        <f t="shared" si="37"/>
        <v>285.16697300565528</v>
      </c>
      <c r="AC40" s="543">
        <f t="shared" si="37"/>
        <v>285.06301537870399</v>
      </c>
      <c r="AD40" s="543">
        <f t="shared" si="37"/>
        <v>284.95909564950813</v>
      </c>
      <c r="AE40" s="543">
        <f t="shared" si="37"/>
        <v>284.85521380425212</v>
      </c>
      <c r="AF40" s="543">
        <f t="shared" si="37"/>
        <v>284.75136982912528</v>
      </c>
      <c r="AG40" s="543">
        <f t="shared" si="37"/>
        <v>284.64756371032212</v>
      </c>
      <c r="AH40" s="543">
        <f t="shared" si="37"/>
        <v>284.54379543404207</v>
      </c>
      <c r="AI40" s="543">
        <f t="shared" si="37"/>
        <v>284.44006498648969</v>
      </c>
      <c r="AJ40" s="543">
        <f t="shared" si="37"/>
        <v>284.33637235387448</v>
      </c>
      <c r="AK40" s="543">
        <f t="shared" si="37"/>
        <v>284.23271752241101</v>
      </c>
      <c r="AL40" s="543">
        <f t="shared" si="37"/>
        <v>284.12910047831889</v>
      </c>
      <c r="AM40" s="543">
        <f t="shared" si="37"/>
        <v>284.02552120782269</v>
      </c>
      <c r="AN40" s="543">
        <f t="shared" si="37"/>
        <v>283.9219796971521</v>
      </c>
      <c r="AO40" s="543">
        <f t="shared" si="37"/>
        <v>283.81847593254173</v>
      </c>
      <c r="AP40" s="543">
        <f t="shared" si="37"/>
        <v>283.71500990023128</v>
      </c>
      <c r="AQ40" s="543">
        <f t="shared" si="37"/>
        <v>283.61158158646543</v>
      </c>
      <c r="AR40" s="543">
        <f t="shared" si="37"/>
        <v>283.50819097749388</v>
      </c>
      <c r="AS40" s="543">
        <f t="shared" si="37"/>
        <v>283.40483805957138</v>
      </c>
      <c r="AT40" s="543">
        <f t="shared" si="37"/>
        <v>283.30152281895761</v>
      </c>
      <c r="AU40" s="543">
        <f t="shared" si="37"/>
        <v>283.19824524191728</v>
      </c>
      <c r="AV40" s="543">
        <f t="shared" si="37"/>
        <v>283.0950053147202</v>
      </c>
      <c r="AW40" s="543">
        <f t="shared" si="37"/>
        <v>282.99180302364107</v>
      </c>
      <c r="AX40" s="543">
        <f t="shared" si="37"/>
        <v>282.88863835495971</v>
      </c>
      <c r="AY40" s="543">
        <f t="shared" si="37"/>
        <v>282.78551129496083</v>
      </c>
      <c r="AZ40" s="543">
        <f t="shared" si="37"/>
        <v>282.68242182993413</v>
      </c>
      <c r="BA40" s="543">
        <f t="shared" si="37"/>
        <v>282.57936994617444</v>
      </c>
      <c r="BB40" s="543">
        <f t="shared" si="37"/>
        <v>282.47635562998147</v>
      </c>
      <c r="BC40" s="543">
        <f t="shared" si="37"/>
        <v>282.37337886765999</v>
      </c>
    </row>
    <row r="41" spans="1:55" x14ac:dyDescent="0.3">
      <c r="B41" t="s">
        <v>1249</v>
      </c>
      <c r="H41" s="542" t="str">
        <f>input_names!$C$3</f>
        <v>diesel</v>
      </c>
      <c r="I41" s="542" t="s">
        <v>531</v>
      </c>
      <c r="J41" s="543">
        <f t="shared" ref="J41:BC41" si="38">IF(J$4&gt;input_basisjaar,I41*(1+$B$42),$D11)</f>
        <v>330</v>
      </c>
      <c r="K41" s="543">
        <f t="shared" si="38"/>
        <v>330</v>
      </c>
      <c r="L41" s="543">
        <f t="shared" si="38"/>
        <v>330</v>
      </c>
      <c r="M41" s="543">
        <f t="shared" si="38"/>
        <v>330</v>
      </c>
      <c r="N41" s="543">
        <f t="shared" si="38"/>
        <v>330</v>
      </c>
      <c r="O41" s="543">
        <f t="shared" si="38"/>
        <v>330</v>
      </c>
      <c r="P41" s="543">
        <f t="shared" si="38"/>
        <v>330</v>
      </c>
      <c r="Q41" s="543">
        <f t="shared" si="38"/>
        <v>330</v>
      </c>
      <c r="R41" s="543">
        <f t="shared" si="38"/>
        <v>330</v>
      </c>
      <c r="S41" s="543">
        <f t="shared" si="38"/>
        <v>330</v>
      </c>
      <c r="T41" s="543">
        <f t="shared" si="38"/>
        <v>330</v>
      </c>
      <c r="U41" s="543">
        <f t="shared" si="38"/>
        <v>329.87969849196651</v>
      </c>
      <c r="V41" s="543">
        <f t="shared" si="38"/>
        <v>329.7594408398507</v>
      </c>
      <c r="W41" s="543">
        <f t="shared" si="38"/>
        <v>329.6392270276649</v>
      </c>
      <c r="X41" s="543">
        <f t="shared" si="38"/>
        <v>329.51905703942725</v>
      </c>
      <c r="Y41" s="543">
        <f t="shared" si="38"/>
        <v>329.39893085916174</v>
      </c>
      <c r="Z41" s="543">
        <f t="shared" si="38"/>
        <v>329.2788484708982</v>
      </c>
      <c r="AA41" s="543">
        <f t="shared" si="38"/>
        <v>329.15880985867221</v>
      </c>
      <c r="AB41" s="543">
        <f t="shared" si="38"/>
        <v>329.03881500652523</v>
      </c>
      <c r="AC41" s="543">
        <f t="shared" si="38"/>
        <v>328.91886389850453</v>
      </c>
      <c r="AD41" s="543">
        <f t="shared" si="38"/>
        <v>328.79895651866315</v>
      </c>
      <c r="AE41" s="543">
        <f t="shared" si="38"/>
        <v>328.67909285106003</v>
      </c>
      <c r="AF41" s="543">
        <f t="shared" si="38"/>
        <v>328.55927287975987</v>
      </c>
      <c r="AG41" s="543">
        <f t="shared" si="38"/>
        <v>328.43949658883315</v>
      </c>
      <c r="AH41" s="543">
        <f t="shared" si="38"/>
        <v>328.31976396235621</v>
      </c>
      <c r="AI41" s="543">
        <f t="shared" si="38"/>
        <v>328.20007498441117</v>
      </c>
      <c r="AJ41" s="543">
        <f t="shared" si="38"/>
        <v>328.08042963908593</v>
      </c>
      <c r="AK41" s="543">
        <f t="shared" si="38"/>
        <v>327.96082791047428</v>
      </c>
      <c r="AL41" s="543">
        <f t="shared" si="38"/>
        <v>327.84126978267568</v>
      </c>
      <c r="AM41" s="543">
        <f t="shared" si="38"/>
        <v>327.72175523979547</v>
      </c>
      <c r="AN41" s="543">
        <f t="shared" si="38"/>
        <v>327.60228426594477</v>
      </c>
      <c r="AO41" s="543">
        <f t="shared" si="38"/>
        <v>327.48285684524052</v>
      </c>
      <c r="AP41" s="543">
        <f t="shared" si="38"/>
        <v>327.36347296180537</v>
      </c>
      <c r="AQ41" s="543">
        <f t="shared" si="38"/>
        <v>327.24413259976785</v>
      </c>
      <c r="AR41" s="543">
        <f t="shared" si="38"/>
        <v>327.12483574326222</v>
      </c>
      <c r="AS41" s="543">
        <f t="shared" si="38"/>
        <v>327.00558237642855</v>
      </c>
      <c r="AT41" s="543">
        <f t="shared" si="38"/>
        <v>326.88637248341263</v>
      </c>
      <c r="AU41" s="543">
        <f t="shared" si="38"/>
        <v>326.76720604836612</v>
      </c>
      <c r="AV41" s="543">
        <f t="shared" si="38"/>
        <v>326.64808305544642</v>
      </c>
      <c r="AW41" s="543">
        <f t="shared" si="38"/>
        <v>326.52900348881667</v>
      </c>
      <c r="AX41" s="543">
        <f t="shared" si="38"/>
        <v>326.40996733264586</v>
      </c>
      <c r="AY41" s="543">
        <f t="shared" si="38"/>
        <v>326.29097457110868</v>
      </c>
      <c r="AZ41" s="543">
        <f t="shared" si="38"/>
        <v>326.17202518838559</v>
      </c>
      <c r="BA41" s="543">
        <f t="shared" si="38"/>
        <v>326.05311916866287</v>
      </c>
      <c r="BB41" s="543">
        <f t="shared" si="38"/>
        <v>325.93425649613255</v>
      </c>
      <c r="BC41" s="543">
        <f t="shared" si="38"/>
        <v>325.81543715499237</v>
      </c>
    </row>
    <row r="42" spans="1:55" x14ac:dyDescent="0.3">
      <c r="B42" s="404">
        <v>-3.6455002434391192E-4</v>
      </c>
      <c r="H42" s="542" t="str">
        <f>input_names!$C$3</f>
        <v>diesel</v>
      </c>
      <c r="I42" s="542" t="s">
        <v>532</v>
      </c>
      <c r="J42" s="543">
        <f t="shared" ref="J42:BC42" si="39">IF(J$4&gt;input_basisjaar,I42*(1+$B$42),$D12)</f>
        <v>374</v>
      </c>
      <c r="K42" s="543">
        <f t="shared" si="39"/>
        <v>374</v>
      </c>
      <c r="L42" s="543">
        <f t="shared" si="39"/>
        <v>374</v>
      </c>
      <c r="M42" s="543">
        <f t="shared" si="39"/>
        <v>374</v>
      </c>
      <c r="N42" s="543">
        <f t="shared" si="39"/>
        <v>374</v>
      </c>
      <c r="O42" s="543">
        <f t="shared" si="39"/>
        <v>374</v>
      </c>
      <c r="P42" s="543">
        <f t="shared" si="39"/>
        <v>374</v>
      </c>
      <c r="Q42" s="543">
        <f t="shared" si="39"/>
        <v>374</v>
      </c>
      <c r="R42" s="543">
        <f t="shared" si="39"/>
        <v>374</v>
      </c>
      <c r="S42" s="543">
        <f t="shared" si="39"/>
        <v>374</v>
      </c>
      <c r="T42" s="543">
        <f t="shared" si="39"/>
        <v>374</v>
      </c>
      <c r="U42" s="543">
        <f t="shared" si="39"/>
        <v>373.86365829089539</v>
      </c>
      <c r="V42" s="543">
        <f t="shared" si="39"/>
        <v>373.72736628516412</v>
      </c>
      <c r="W42" s="543">
        <f t="shared" si="39"/>
        <v>373.59112396468691</v>
      </c>
      <c r="X42" s="543">
        <f t="shared" si="39"/>
        <v>373.45493131135095</v>
      </c>
      <c r="Y42" s="543">
        <f t="shared" si="39"/>
        <v>373.31878830705006</v>
      </c>
      <c r="Z42" s="543">
        <f t="shared" si="39"/>
        <v>373.18269493368467</v>
      </c>
      <c r="AA42" s="543">
        <f t="shared" si="39"/>
        <v>373.04665117316188</v>
      </c>
      <c r="AB42" s="543">
        <f t="shared" si="39"/>
        <v>372.91065700739529</v>
      </c>
      <c r="AC42" s="543">
        <f t="shared" si="39"/>
        <v>372.77471241830517</v>
      </c>
      <c r="AD42" s="543">
        <f t="shared" si="39"/>
        <v>372.63881738781828</v>
      </c>
      <c r="AE42" s="543">
        <f t="shared" si="39"/>
        <v>372.50297189786806</v>
      </c>
      <c r="AF42" s="543">
        <f t="shared" si="39"/>
        <v>372.36717593039452</v>
      </c>
      <c r="AG42" s="543">
        <f t="shared" si="39"/>
        <v>372.23142946734424</v>
      </c>
      <c r="AH42" s="543">
        <f t="shared" si="39"/>
        <v>372.09573249067034</v>
      </c>
      <c r="AI42" s="543">
        <f t="shared" si="39"/>
        <v>371.9600849823326</v>
      </c>
      <c r="AJ42" s="543">
        <f t="shared" si="39"/>
        <v>371.82448692429733</v>
      </c>
      <c r="AK42" s="543">
        <f t="shared" si="39"/>
        <v>371.68893829853744</v>
      </c>
      <c r="AL42" s="543">
        <f t="shared" si="39"/>
        <v>371.55343908703236</v>
      </c>
      <c r="AM42" s="543">
        <f t="shared" si="39"/>
        <v>371.41798927176814</v>
      </c>
      <c r="AN42" s="543">
        <f t="shared" si="39"/>
        <v>371.28258883473734</v>
      </c>
      <c r="AO42" s="543">
        <f t="shared" si="39"/>
        <v>371.14723775793919</v>
      </c>
      <c r="AP42" s="543">
        <f t="shared" si="39"/>
        <v>371.01193602337935</v>
      </c>
      <c r="AQ42" s="543">
        <f t="shared" si="39"/>
        <v>370.87668361307016</v>
      </c>
      <c r="AR42" s="543">
        <f t="shared" si="39"/>
        <v>370.74148050903045</v>
      </c>
      <c r="AS42" s="543">
        <f t="shared" si="39"/>
        <v>370.60632669328561</v>
      </c>
      <c r="AT42" s="543">
        <f t="shared" si="39"/>
        <v>370.47122214786759</v>
      </c>
      <c r="AU42" s="543">
        <f t="shared" si="39"/>
        <v>370.33616685481491</v>
      </c>
      <c r="AV42" s="543">
        <f t="shared" si="39"/>
        <v>370.20116079617259</v>
      </c>
      <c r="AW42" s="543">
        <f t="shared" si="39"/>
        <v>370.06620395399221</v>
      </c>
      <c r="AX42" s="543">
        <f t="shared" si="39"/>
        <v>369.93129631033196</v>
      </c>
      <c r="AY42" s="543">
        <f t="shared" si="39"/>
        <v>369.79643784725647</v>
      </c>
      <c r="AZ42" s="543">
        <f t="shared" si="39"/>
        <v>369.66162854683699</v>
      </c>
      <c r="BA42" s="543">
        <f t="shared" si="39"/>
        <v>369.52686839115125</v>
      </c>
      <c r="BB42" s="543">
        <f t="shared" si="39"/>
        <v>369.39215736228357</v>
      </c>
      <c r="BC42" s="543">
        <f t="shared" si="39"/>
        <v>369.25749544232474</v>
      </c>
    </row>
    <row r="43" spans="1:55" x14ac:dyDescent="0.3">
      <c r="B43" t="s">
        <v>1201</v>
      </c>
      <c r="H43" s="542" t="str">
        <f>input_names!$C$3</f>
        <v>diesel</v>
      </c>
      <c r="I43" s="542" t="s">
        <v>533</v>
      </c>
      <c r="J43" s="543">
        <f t="shared" ref="J43:BC43" si="40">IF(J$4&gt;input_basisjaar,I43*(1+$B$42),$D13)</f>
        <v>418</v>
      </c>
      <c r="K43" s="543">
        <f t="shared" si="40"/>
        <v>418</v>
      </c>
      <c r="L43" s="543">
        <f t="shared" si="40"/>
        <v>418</v>
      </c>
      <c r="M43" s="543">
        <f t="shared" si="40"/>
        <v>418</v>
      </c>
      <c r="N43" s="543">
        <f t="shared" si="40"/>
        <v>418</v>
      </c>
      <c r="O43" s="543">
        <f t="shared" si="40"/>
        <v>418</v>
      </c>
      <c r="P43" s="543">
        <f t="shared" si="40"/>
        <v>418</v>
      </c>
      <c r="Q43" s="543">
        <f t="shared" si="40"/>
        <v>418</v>
      </c>
      <c r="R43" s="543">
        <f t="shared" si="40"/>
        <v>418</v>
      </c>
      <c r="S43" s="543">
        <f t="shared" si="40"/>
        <v>418</v>
      </c>
      <c r="T43" s="543">
        <f t="shared" si="40"/>
        <v>418</v>
      </c>
      <c r="U43" s="543">
        <f t="shared" si="40"/>
        <v>417.84761808982427</v>
      </c>
      <c r="V43" s="543">
        <f t="shared" si="40"/>
        <v>417.69529173047761</v>
      </c>
      <c r="W43" s="543">
        <f t="shared" si="40"/>
        <v>417.54302090170893</v>
      </c>
      <c r="X43" s="543">
        <f t="shared" si="40"/>
        <v>417.39080558327458</v>
      </c>
      <c r="Y43" s="543">
        <f t="shared" si="40"/>
        <v>417.23864575493832</v>
      </c>
      <c r="Z43" s="543">
        <f t="shared" si="40"/>
        <v>417.08654139647115</v>
      </c>
      <c r="AA43" s="543">
        <f t="shared" si="40"/>
        <v>416.93449248765154</v>
      </c>
      <c r="AB43" s="543">
        <f t="shared" si="40"/>
        <v>416.78249900826535</v>
      </c>
      <c r="AC43" s="543">
        <f t="shared" si="40"/>
        <v>416.63056093810576</v>
      </c>
      <c r="AD43" s="543">
        <f t="shared" si="40"/>
        <v>416.47867825697335</v>
      </c>
      <c r="AE43" s="543">
        <f t="shared" si="40"/>
        <v>416.32685094467604</v>
      </c>
      <c r="AF43" s="543">
        <f t="shared" si="40"/>
        <v>416.17507898102917</v>
      </c>
      <c r="AG43" s="543">
        <f t="shared" si="40"/>
        <v>416.02336234585533</v>
      </c>
      <c r="AH43" s="543">
        <f t="shared" si="40"/>
        <v>415.87170101898454</v>
      </c>
      <c r="AI43" s="543">
        <f t="shared" si="40"/>
        <v>415.72009498025415</v>
      </c>
      <c r="AJ43" s="543">
        <f t="shared" si="40"/>
        <v>415.56854420950884</v>
      </c>
      <c r="AK43" s="543">
        <f t="shared" si="40"/>
        <v>415.41704868660071</v>
      </c>
      <c r="AL43" s="543">
        <f t="shared" si="40"/>
        <v>415.26560839138915</v>
      </c>
      <c r="AM43" s="543">
        <f t="shared" si="40"/>
        <v>415.11422330374091</v>
      </c>
      <c r="AN43" s="543">
        <f t="shared" si="40"/>
        <v>414.96289340353002</v>
      </c>
      <c r="AO43" s="543">
        <f t="shared" si="40"/>
        <v>414.81161867063793</v>
      </c>
      <c r="AP43" s="543">
        <f t="shared" si="40"/>
        <v>414.66039908495344</v>
      </c>
      <c r="AQ43" s="543">
        <f t="shared" si="40"/>
        <v>414.50923462637257</v>
      </c>
      <c r="AR43" s="543">
        <f t="shared" si="40"/>
        <v>414.35812527479879</v>
      </c>
      <c r="AS43" s="543">
        <f t="shared" si="40"/>
        <v>414.20707101014278</v>
      </c>
      <c r="AT43" s="543">
        <f t="shared" si="40"/>
        <v>414.05607181232261</v>
      </c>
      <c r="AU43" s="543">
        <f t="shared" si="40"/>
        <v>413.90512766126369</v>
      </c>
      <c r="AV43" s="543">
        <f t="shared" si="40"/>
        <v>413.7542385368987</v>
      </c>
      <c r="AW43" s="543">
        <f t="shared" si="40"/>
        <v>413.6034044191677</v>
      </c>
      <c r="AX43" s="543">
        <f t="shared" si="40"/>
        <v>413.452625288018</v>
      </c>
      <c r="AY43" s="543">
        <f t="shared" si="40"/>
        <v>413.30190112340421</v>
      </c>
      <c r="AZ43" s="543">
        <f t="shared" si="40"/>
        <v>413.15123190528828</v>
      </c>
      <c r="BA43" s="543">
        <f t="shared" si="40"/>
        <v>413.00061761363952</v>
      </c>
      <c r="BB43" s="543">
        <f t="shared" si="40"/>
        <v>412.85005822843442</v>
      </c>
      <c r="BC43" s="543">
        <f t="shared" si="40"/>
        <v>412.69955372965688</v>
      </c>
    </row>
    <row r="44" spans="1:55" x14ac:dyDescent="0.3">
      <c r="B44" s="67" t="s">
        <v>1248</v>
      </c>
      <c r="H44" s="542" t="str">
        <f>input_names!$C$3</f>
        <v>diesel</v>
      </c>
      <c r="I44" s="542" t="s">
        <v>534</v>
      </c>
      <c r="J44" s="543">
        <f t="shared" ref="J44:BC44" si="41">IF(J$4&gt;input_basisjaar,I44*(1+$B$42),$D14)</f>
        <v>462</v>
      </c>
      <c r="K44" s="543">
        <f t="shared" si="41"/>
        <v>462</v>
      </c>
      <c r="L44" s="543">
        <f t="shared" si="41"/>
        <v>462</v>
      </c>
      <c r="M44" s="543">
        <f t="shared" si="41"/>
        <v>462</v>
      </c>
      <c r="N44" s="543">
        <f t="shared" si="41"/>
        <v>462</v>
      </c>
      <c r="O44" s="543">
        <f t="shared" si="41"/>
        <v>462</v>
      </c>
      <c r="P44" s="543">
        <f t="shared" si="41"/>
        <v>462</v>
      </c>
      <c r="Q44" s="543">
        <f t="shared" si="41"/>
        <v>462</v>
      </c>
      <c r="R44" s="543">
        <f t="shared" si="41"/>
        <v>462</v>
      </c>
      <c r="S44" s="543">
        <f t="shared" si="41"/>
        <v>462</v>
      </c>
      <c r="T44" s="543">
        <f t="shared" si="41"/>
        <v>462</v>
      </c>
      <c r="U44" s="543">
        <f t="shared" si="41"/>
        <v>461.83157788875315</v>
      </c>
      <c r="V44" s="543">
        <f t="shared" si="41"/>
        <v>461.66321717579103</v>
      </c>
      <c r="W44" s="543">
        <f t="shared" si="41"/>
        <v>461.49491783873094</v>
      </c>
      <c r="X44" s="543">
        <f t="shared" si="41"/>
        <v>461.32667985519828</v>
      </c>
      <c r="Y44" s="543">
        <f t="shared" si="41"/>
        <v>461.15850320282658</v>
      </c>
      <c r="Z44" s="543">
        <f t="shared" si="41"/>
        <v>460.99038785925762</v>
      </c>
      <c r="AA44" s="543">
        <f t="shared" si="41"/>
        <v>460.82233380214126</v>
      </c>
      <c r="AB44" s="543">
        <f t="shared" si="41"/>
        <v>460.65434100913546</v>
      </c>
      <c r="AC44" s="543">
        <f t="shared" si="41"/>
        <v>460.48640945790646</v>
      </c>
      <c r="AD44" s="543">
        <f t="shared" si="41"/>
        <v>460.31853912612854</v>
      </c>
      <c r="AE44" s="543">
        <f t="shared" si="41"/>
        <v>460.15072999148418</v>
      </c>
      <c r="AF44" s="543">
        <f t="shared" si="41"/>
        <v>459.98298203166394</v>
      </c>
      <c r="AG44" s="543">
        <f t="shared" si="41"/>
        <v>459.81529522436654</v>
      </c>
      <c r="AH44" s="543">
        <f t="shared" si="41"/>
        <v>459.64766954729879</v>
      </c>
      <c r="AI44" s="543">
        <f t="shared" si="41"/>
        <v>459.48010497817569</v>
      </c>
      <c r="AJ44" s="543">
        <f t="shared" si="41"/>
        <v>459.31260149472035</v>
      </c>
      <c r="AK44" s="543">
        <f t="shared" si="41"/>
        <v>459.14515907466398</v>
      </c>
      <c r="AL44" s="543">
        <f t="shared" si="41"/>
        <v>458.97777769574594</v>
      </c>
      <c r="AM44" s="543">
        <f t="shared" si="41"/>
        <v>458.81045733571364</v>
      </c>
      <c r="AN44" s="543">
        <f t="shared" si="41"/>
        <v>458.6431979723227</v>
      </c>
      <c r="AO44" s="543">
        <f t="shared" si="41"/>
        <v>458.47599958333672</v>
      </c>
      <c r="AP44" s="543">
        <f t="shared" si="41"/>
        <v>458.30886214652753</v>
      </c>
      <c r="AQ44" s="543">
        <f t="shared" si="41"/>
        <v>458.14178563967499</v>
      </c>
      <c r="AR44" s="543">
        <f t="shared" si="41"/>
        <v>457.97477004056708</v>
      </c>
      <c r="AS44" s="543">
        <f t="shared" si="41"/>
        <v>457.8078153269999</v>
      </c>
      <c r="AT44" s="543">
        <f t="shared" si="41"/>
        <v>457.64092147677763</v>
      </c>
      <c r="AU44" s="543">
        <f t="shared" si="41"/>
        <v>457.47408846771253</v>
      </c>
      <c r="AV44" s="543">
        <f t="shared" si="41"/>
        <v>457.30731627762492</v>
      </c>
      <c r="AW44" s="543">
        <f t="shared" si="41"/>
        <v>457.1406048843433</v>
      </c>
      <c r="AX44" s="543">
        <f t="shared" si="41"/>
        <v>456.97395426570415</v>
      </c>
      <c r="AY44" s="543">
        <f t="shared" si="41"/>
        <v>456.80736439955206</v>
      </c>
      <c r="AZ44" s="543">
        <f t="shared" si="41"/>
        <v>456.64083526373975</v>
      </c>
      <c r="BA44" s="543">
        <f t="shared" si="41"/>
        <v>456.47436683612796</v>
      </c>
      <c r="BB44" s="543">
        <f t="shared" si="41"/>
        <v>456.3079590945855</v>
      </c>
      <c r="BC44" s="543">
        <f t="shared" si="41"/>
        <v>456.14161201698926</v>
      </c>
    </row>
    <row r="45" spans="1:55" x14ac:dyDescent="0.3">
      <c r="H45" s="542" t="str">
        <f>input_names!$C$3</f>
        <v>diesel</v>
      </c>
      <c r="I45" s="542" t="s">
        <v>535</v>
      </c>
      <c r="J45" s="543">
        <f t="shared" ref="J45:BC45" si="42">IF(J$4&gt;input_basisjaar,I45*(1+$B$42),$D15)</f>
        <v>506</v>
      </c>
      <c r="K45" s="543">
        <f t="shared" si="42"/>
        <v>506</v>
      </c>
      <c r="L45" s="543">
        <f t="shared" si="42"/>
        <v>506</v>
      </c>
      <c r="M45" s="543">
        <f t="shared" si="42"/>
        <v>506</v>
      </c>
      <c r="N45" s="543">
        <f t="shared" si="42"/>
        <v>506</v>
      </c>
      <c r="O45" s="543">
        <f t="shared" si="42"/>
        <v>506</v>
      </c>
      <c r="P45" s="543">
        <f t="shared" si="42"/>
        <v>506</v>
      </c>
      <c r="Q45" s="543">
        <f t="shared" si="42"/>
        <v>506</v>
      </c>
      <c r="R45" s="543">
        <f t="shared" si="42"/>
        <v>506</v>
      </c>
      <c r="S45" s="543">
        <f t="shared" si="42"/>
        <v>506</v>
      </c>
      <c r="T45" s="543">
        <f t="shared" si="42"/>
        <v>506</v>
      </c>
      <c r="U45" s="543">
        <f t="shared" si="42"/>
        <v>505.81553768768202</v>
      </c>
      <c r="V45" s="543">
        <f t="shared" si="42"/>
        <v>505.63114262110446</v>
      </c>
      <c r="W45" s="543">
        <f t="shared" si="42"/>
        <v>505.4468147757529</v>
      </c>
      <c r="X45" s="543">
        <f t="shared" si="42"/>
        <v>505.26255412712186</v>
      </c>
      <c r="Y45" s="543">
        <f t="shared" si="42"/>
        <v>505.07836065071479</v>
      </c>
      <c r="Z45" s="543">
        <f t="shared" si="42"/>
        <v>504.89423432204399</v>
      </c>
      <c r="AA45" s="543">
        <f t="shared" si="42"/>
        <v>504.71017511663081</v>
      </c>
      <c r="AB45" s="543">
        <f t="shared" si="42"/>
        <v>504.52618301000541</v>
      </c>
      <c r="AC45" s="543">
        <f t="shared" si="42"/>
        <v>504.34225797770699</v>
      </c>
      <c r="AD45" s="543">
        <f t="shared" si="42"/>
        <v>504.15839999528356</v>
      </c>
      <c r="AE45" s="543">
        <f t="shared" si="42"/>
        <v>503.9746090382921</v>
      </c>
      <c r="AF45" s="543">
        <f t="shared" si="42"/>
        <v>503.79088508229847</v>
      </c>
      <c r="AG45" s="543">
        <f t="shared" si="42"/>
        <v>503.60722810287751</v>
      </c>
      <c r="AH45" s="543">
        <f t="shared" si="42"/>
        <v>503.42363807561287</v>
      </c>
      <c r="AI45" s="543">
        <f t="shared" si="42"/>
        <v>503.24011497609712</v>
      </c>
      <c r="AJ45" s="543">
        <f t="shared" si="42"/>
        <v>503.05665877993175</v>
      </c>
      <c r="AK45" s="543">
        <f t="shared" si="42"/>
        <v>502.87326946272719</v>
      </c>
      <c r="AL45" s="543">
        <f t="shared" si="42"/>
        <v>502.68994700010268</v>
      </c>
      <c r="AM45" s="543">
        <f t="shared" si="42"/>
        <v>502.50669136768636</v>
      </c>
      <c r="AN45" s="543">
        <f t="shared" si="42"/>
        <v>502.32350254111532</v>
      </c>
      <c r="AO45" s="543">
        <f t="shared" si="42"/>
        <v>502.14038049603545</v>
      </c>
      <c r="AP45" s="543">
        <f t="shared" si="42"/>
        <v>501.95732520810157</v>
      </c>
      <c r="AQ45" s="543">
        <f t="shared" si="42"/>
        <v>501.77433665297735</v>
      </c>
      <c r="AR45" s="543">
        <f t="shared" si="42"/>
        <v>501.59141480633537</v>
      </c>
      <c r="AS45" s="543">
        <f t="shared" si="42"/>
        <v>501.40855964385702</v>
      </c>
      <c r="AT45" s="543">
        <f t="shared" si="42"/>
        <v>501.2257711412326</v>
      </c>
      <c r="AU45" s="543">
        <f t="shared" si="42"/>
        <v>501.04304927416126</v>
      </c>
      <c r="AV45" s="543">
        <f t="shared" si="42"/>
        <v>500.86039401835103</v>
      </c>
      <c r="AW45" s="543">
        <f t="shared" si="42"/>
        <v>500.67780534951874</v>
      </c>
      <c r="AX45" s="543">
        <f t="shared" si="42"/>
        <v>500.49528324339013</v>
      </c>
      <c r="AY45" s="543">
        <f t="shared" si="42"/>
        <v>500.31282767569974</v>
      </c>
      <c r="AZ45" s="543">
        <f t="shared" si="42"/>
        <v>500.13043862219098</v>
      </c>
      <c r="BA45" s="543">
        <f t="shared" si="42"/>
        <v>499.94811605861616</v>
      </c>
      <c r="BB45" s="543">
        <f t="shared" si="42"/>
        <v>499.76585996073629</v>
      </c>
      <c r="BC45" s="543">
        <f t="shared" si="42"/>
        <v>499.58367030432134</v>
      </c>
    </row>
    <row r="46" spans="1:55" x14ac:dyDescent="0.3">
      <c r="H46" s="542" t="str">
        <f>input_names!$C$3</f>
        <v>diesel</v>
      </c>
      <c r="I46" s="542" t="s">
        <v>536</v>
      </c>
      <c r="J46" s="543">
        <f t="shared" ref="J46:BC46" si="43">IF(J$4&gt;input_basisjaar,I46*(1+$B$42),$D16)</f>
        <v>550</v>
      </c>
      <c r="K46" s="543">
        <f t="shared" si="43"/>
        <v>550</v>
      </c>
      <c r="L46" s="543">
        <f t="shared" si="43"/>
        <v>550</v>
      </c>
      <c r="M46" s="543">
        <f t="shared" si="43"/>
        <v>550</v>
      </c>
      <c r="N46" s="543">
        <f t="shared" si="43"/>
        <v>550</v>
      </c>
      <c r="O46" s="543">
        <f t="shared" si="43"/>
        <v>550</v>
      </c>
      <c r="P46" s="543">
        <f t="shared" si="43"/>
        <v>550</v>
      </c>
      <c r="Q46" s="543">
        <f t="shared" si="43"/>
        <v>550</v>
      </c>
      <c r="R46" s="543">
        <f t="shared" si="43"/>
        <v>550</v>
      </c>
      <c r="S46" s="543">
        <f t="shared" si="43"/>
        <v>550</v>
      </c>
      <c r="T46" s="543">
        <f t="shared" si="43"/>
        <v>550</v>
      </c>
      <c r="U46" s="543">
        <f t="shared" si="43"/>
        <v>549.7994974866109</v>
      </c>
      <c r="V46" s="543">
        <f t="shared" si="43"/>
        <v>549.59906806641789</v>
      </c>
      <c r="W46" s="543">
        <f t="shared" si="43"/>
        <v>549.39871171277491</v>
      </c>
      <c r="X46" s="543">
        <f t="shared" si="43"/>
        <v>549.1984283990455</v>
      </c>
      <c r="Y46" s="543">
        <f t="shared" si="43"/>
        <v>548.99821809860305</v>
      </c>
      <c r="Z46" s="543">
        <f t="shared" si="43"/>
        <v>548.7980807848304</v>
      </c>
      <c r="AA46" s="543">
        <f t="shared" si="43"/>
        <v>548.59801643112041</v>
      </c>
      <c r="AB46" s="543">
        <f t="shared" si="43"/>
        <v>548.39802501087547</v>
      </c>
      <c r="AC46" s="543">
        <f t="shared" si="43"/>
        <v>548.19810649750764</v>
      </c>
      <c r="AD46" s="543">
        <f t="shared" si="43"/>
        <v>547.99826086443875</v>
      </c>
      <c r="AE46" s="543">
        <f t="shared" si="43"/>
        <v>547.79848808510019</v>
      </c>
      <c r="AF46" s="543">
        <f t="shared" si="43"/>
        <v>547.59878813293324</v>
      </c>
      <c r="AG46" s="543">
        <f t="shared" si="43"/>
        <v>547.39916098138872</v>
      </c>
      <c r="AH46" s="543">
        <f t="shared" si="43"/>
        <v>547.19960660392712</v>
      </c>
      <c r="AI46" s="543">
        <f t="shared" si="43"/>
        <v>547.00012497401872</v>
      </c>
      <c r="AJ46" s="543">
        <f t="shared" si="43"/>
        <v>546.80071606514332</v>
      </c>
      <c r="AK46" s="543">
        <f t="shared" si="43"/>
        <v>546.60137985079052</v>
      </c>
      <c r="AL46" s="543">
        <f t="shared" si="43"/>
        <v>546.40211630445947</v>
      </c>
      <c r="AM46" s="543">
        <f t="shared" si="43"/>
        <v>546.20292539965908</v>
      </c>
      <c r="AN46" s="543">
        <f t="shared" si="43"/>
        <v>546.00380710990794</v>
      </c>
      <c r="AO46" s="543">
        <f t="shared" si="43"/>
        <v>545.80476140873418</v>
      </c>
      <c r="AP46" s="543">
        <f t="shared" si="43"/>
        <v>545.6057882696756</v>
      </c>
      <c r="AQ46" s="543">
        <f t="shared" si="43"/>
        <v>545.40688766627977</v>
      </c>
      <c r="AR46" s="543">
        <f t="shared" si="43"/>
        <v>545.20805957210371</v>
      </c>
      <c r="AS46" s="543">
        <f t="shared" si="43"/>
        <v>545.00930396071419</v>
      </c>
      <c r="AT46" s="543">
        <f t="shared" si="43"/>
        <v>544.81062080568768</v>
      </c>
      <c r="AU46" s="543">
        <f t="shared" si="43"/>
        <v>544.61201008061016</v>
      </c>
      <c r="AV46" s="543">
        <f t="shared" si="43"/>
        <v>544.41347175907731</v>
      </c>
      <c r="AW46" s="543">
        <f t="shared" si="43"/>
        <v>544.21500581469445</v>
      </c>
      <c r="AX46" s="543">
        <f t="shared" si="43"/>
        <v>544.01661222107634</v>
      </c>
      <c r="AY46" s="543">
        <f t="shared" si="43"/>
        <v>543.81829095184764</v>
      </c>
      <c r="AZ46" s="543">
        <f t="shared" si="43"/>
        <v>543.62004198064255</v>
      </c>
      <c r="BA46" s="543">
        <f t="shared" si="43"/>
        <v>543.42186528110471</v>
      </c>
      <c r="BB46" s="543">
        <f t="shared" si="43"/>
        <v>543.22376082688754</v>
      </c>
      <c r="BC46" s="543">
        <f t="shared" si="43"/>
        <v>543.02572859165389</v>
      </c>
    </row>
    <row r="47" spans="1:55" x14ac:dyDescent="0.3">
      <c r="H47" s="542" t="str">
        <f>input_names!$C$3</f>
        <v>diesel</v>
      </c>
      <c r="I47" s="542" t="s">
        <v>537</v>
      </c>
      <c r="J47" s="543">
        <f t="shared" ref="J47:BC47" si="44">IF(J$4&gt;input_basisjaar,I47*(1+$B$42),$D17)</f>
        <v>594</v>
      </c>
      <c r="K47" s="543">
        <f t="shared" si="44"/>
        <v>594</v>
      </c>
      <c r="L47" s="543">
        <f t="shared" si="44"/>
        <v>594</v>
      </c>
      <c r="M47" s="543">
        <f t="shared" si="44"/>
        <v>594</v>
      </c>
      <c r="N47" s="543">
        <f t="shared" si="44"/>
        <v>594</v>
      </c>
      <c r="O47" s="543">
        <f t="shared" si="44"/>
        <v>594</v>
      </c>
      <c r="P47" s="543">
        <f t="shared" si="44"/>
        <v>594</v>
      </c>
      <c r="Q47" s="543">
        <f t="shared" si="44"/>
        <v>594</v>
      </c>
      <c r="R47" s="543">
        <f t="shared" si="44"/>
        <v>594</v>
      </c>
      <c r="S47" s="543">
        <f t="shared" si="44"/>
        <v>594</v>
      </c>
      <c r="T47" s="543">
        <f t="shared" si="44"/>
        <v>594</v>
      </c>
      <c r="U47" s="543">
        <f t="shared" si="44"/>
        <v>593.78345728553973</v>
      </c>
      <c r="V47" s="543">
        <f t="shared" si="44"/>
        <v>593.56699351173131</v>
      </c>
      <c r="W47" s="543">
        <f t="shared" si="44"/>
        <v>593.35060864979687</v>
      </c>
      <c r="X47" s="543">
        <f t="shared" si="44"/>
        <v>593.13430267096908</v>
      </c>
      <c r="Y47" s="543">
        <f t="shared" si="44"/>
        <v>592.9180755464912</v>
      </c>
      <c r="Z47" s="543">
        <f t="shared" si="44"/>
        <v>592.70192724761682</v>
      </c>
      <c r="AA47" s="543">
        <f t="shared" si="44"/>
        <v>592.48585774561002</v>
      </c>
      <c r="AB47" s="543">
        <f t="shared" si="44"/>
        <v>592.26986701174542</v>
      </c>
      <c r="AC47" s="543">
        <f t="shared" si="44"/>
        <v>592.05395501730811</v>
      </c>
      <c r="AD47" s="543">
        <f t="shared" si="44"/>
        <v>591.83812173359365</v>
      </c>
      <c r="AE47" s="543">
        <f t="shared" si="44"/>
        <v>591.62236713190805</v>
      </c>
      <c r="AF47" s="543">
        <f t="shared" si="44"/>
        <v>591.40669118356777</v>
      </c>
      <c r="AG47" s="543">
        <f t="shared" si="44"/>
        <v>591.19109385989964</v>
      </c>
      <c r="AH47" s="543">
        <f t="shared" si="44"/>
        <v>590.97557513224115</v>
      </c>
      <c r="AI47" s="543">
        <f t="shared" si="44"/>
        <v>590.76013497194003</v>
      </c>
      <c r="AJ47" s="543">
        <f t="shared" si="44"/>
        <v>590.5447733503546</v>
      </c>
      <c r="AK47" s="543">
        <f t="shared" si="44"/>
        <v>590.32949023885362</v>
      </c>
      <c r="AL47" s="543">
        <f t="shared" si="44"/>
        <v>590.11428560881609</v>
      </c>
      <c r="AM47" s="543">
        <f t="shared" si="44"/>
        <v>589.89915943163169</v>
      </c>
      <c r="AN47" s="543">
        <f t="shared" si="44"/>
        <v>589.68411167870045</v>
      </c>
      <c r="AO47" s="543">
        <f t="shared" si="44"/>
        <v>589.46914232143274</v>
      </c>
      <c r="AP47" s="543">
        <f t="shared" si="44"/>
        <v>589.25425133124952</v>
      </c>
      <c r="AQ47" s="543">
        <f t="shared" si="44"/>
        <v>589.03943867958196</v>
      </c>
      <c r="AR47" s="543">
        <f t="shared" si="44"/>
        <v>588.82470433787182</v>
      </c>
      <c r="AS47" s="543">
        <f t="shared" si="44"/>
        <v>588.6100482775712</v>
      </c>
      <c r="AT47" s="543">
        <f t="shared" si="44"/>
        <v>588.39547047014253</v>
      </c>
      <c r="AU47" s="543">
        <f t="shared" si="44"/>
        <v>588.18097088705883</v>
      </c>
      <c r="AV47" s="543">
        <f t="shared" si="44"/>
        <v>587.96654949980336</v>
      </c>
      <c r="AW47" s="543">
        <f t="shared" si="44"/>
        <v>587.75220627986982</v>
      </c>
      <c r="AX47" s="543">
        <f t="shared" si="44"/>
        <v>587.53794119876238</v>
      </c>
      <c r="AY47" s="543">
        <f t="shared" si="44"/>
        <v>587.32375422799544</v>
      </c>
      <c r="AZ47" s="543">
        <f t="shared" si="44"/>
        <v>587.10964533909384</v>
      </c>
      <c r="BA47" s="543">
        <f t="shared" si="44"/>
        <v>586.89561450359292</v>
      </c>
      <c r="BB47" s="543">
        <f t="shared" si="44"/>
        <v>586.68166169303834</v>
      </c>
      <c r="BC47" s="543">
        <f t="shared" si="44"/>
        <v>586.46778687898598</v>
      </c>
    </row>
    <row r="48" spans="1:55" x14ac:dyDescent="0.3">
      <c r="H48" s="542" t="str">
        <f>input_names!$C$3</f>
        <v>diesel</v>
      </c>
      <c r="I48" s="542" t="s">
        <v>538</v>
      </c>
      <c r="J48" s="543">
        <f t="shared" ref="J48:BC48" si="45">IF(J$4&gt;input_basisjaar,I48*(1+$B$42),$D18)</f>
        <v>638</v>
      </c>
      <c r="K48" s="543">
        <f t="shared" si="45"/>
        <v>638</v>
      </c>
      <c r="L48" s="543">
        <f t="shared" si="45"/>
        <v>638</v>
      </c>
      <c r="M48" s="543">
        <f t="shared" si="45"/>
        <v>638</v>
      </c>
      <c r="N48" s="543">
        <f t="shared" si="45"/>
        <v>638</v>
      </c>
      <c r="O48" s="543">
        <f t="shared" si="45"/>
        <v>638</v>
      </c>
      <c r="P48" s="543">
        <f t="shared" si="45"/>
        <v>638</v>
      </c>
      <c r="Q48" s="543">
        <f t="shared" si="45"/>
        <v>638</v>
      </c>
      <c r="R48" s="543">
        <f t="shared" si="45"/>
        <v>638</v>
      </c>
      <c r="S48" s="543">
        <f t="shared" si="45"/>
        <v>638</v>
      </c>
      <c r="T48" s="543">
        <f t="shared" si="45"/>
        <v>638</v>
      </c>
      <c r="U48" s="543">
        <f t="shared" si="45"/>
        <v>637.76741708446866</v>
      </c>
      <c r="V48" s="543">
        <f t="shared" si="45"/>
        <v>637.53491895704474</v>
      </c>
      <c r="W48" s="543">
        <f t="shared" si="45"/>
        <v>637.30250558681882</v>
      </c>
      <c r="X48" s="543">
        <f t="shared" si="45"/>
        <v>637.07017694289277</v>
      </c>
      <c r="Y48" s="543">
        <f t="shared" si="45"/>
        <v>636.83793299437946</v>
      </c>
      <c r="Z48" s="543">
        <f t="shared" si="45"/>
        <v>636.60577371040324</v>
      </c>
      <c r="AA48" s="543">
        <f t="shared" si="45"/>
        <v>636.37369906009963</v>
      </c>
      <c r="AB48" s="543">
        <f t="shared" si="45"/>
        <v>636.14170901261548</v>
      </c>
      <c r="AC48" s="543">
        <f t="shared" si="45"/>
        <v>635.90980353710881</v>
      </c>
      <c r="AD48" s="543">
        <f t="shared" si="45"/>
        <v>635.6779826027489</v>
      </c>
      <c r="AE48" s="543">
        <f t="shared" si="45"/>
        <v>635.44624617871625</v>
      </c>
      <c r="AF48" s="543">
        <f t="shared" si="45"/>
        <v>635.21459423420254</v>
      </c>
      <c r="AG48" s="543">
        <f t="shared" si="45"/>
        <v>634.9830267384109</v>
      </c>
      <c r="AH48" s="543">
        <f t="shared" si="45"/>
        <v>634.75154366055551</v>
      </c>
      <c r="AI48" s="543">
        <f t="shared" si="45"/>
        <v>634.52014496986169</v>
      </c>
      <c r="AJ48" s="543">
        <f t="shared" si="45"/>
        <v>634.28883063556623</v>
      </c>
      <c r="AK48" s="543">
        <f t="shared" si="45"/>
        <v>634.05760062691695</v>
      </c>
      <c r="AL48" s="543">
        <f t="shared" si="45"/>
        <v>633.82645491317294</v>
      </c>
      <c r="AM48" s="543">
        <f t="shared" si="45"/>
        <v>633.59539346360452</v>
      </c>
      <c r="AN48" s="543">
        <f t="shared" si="45"/>
        <v>633.36441624749318</v>
      </c>
      <c r="AO48" s="543">
        <f t="shared" si="45"/>
        <v>633.13352323413164</v>
      </c>
      <c r="AP48" s="543">
        <f t="shared" si="45"/>
        <v>632.90271439282367</v>
      </c>
      <c r="AQ48" s="543">
        <f t="shared" si="45"/>
        <v>632.67198969288449</v>
      </c>
      <c r="AR48" s="543">
        <f t="shared" si="45"/>
        <v>632.44134910364028</v>
      </c>
      <c r="AS48" s="543">
        <f t="shared" si="45"/>
        <v>632.21079259442843</v>
      </c>
      <c r="AT48" s="543">
        <f t="shared" si="45"/>
        <v>631.98032013459772</v>
      </c>
      <c r="AU48" s="543">
        <f t="shared" si="45"/>
        <v>631.74993169350785</v>
      </c>
      <c r="AV48" s="543">
        <f t="shared" si="45"/>
        <v>631.51962724052976</v>
      </c>
      <c r="AW48" s="543">
        <f t="shared" si="45"/>
        <v>631.28940674504554</v>
      </c>
      <c r="AX48" s="543">
        <f t="shared" si="45"/>
        <v>631.05927017644865</v>
      </c>
      <c r="AY48" s="543">
        <f t="shared" si="45"/>
        <v>630.82921750414334</v>
      </c>
      <c r="AZ48" s="543">
        <f t="shared" si="45"/>
        <v>630.59924869754536</v>
      </c>
      <c r="BA48" s="543">
        <f t="shared" si="45"/>
        <v>630.36936372608147</v>
      </c>
      <c r="BB48" s="543">
        <f t="shared" si="45"/>
        <v>630.13956255918947</v>
      </c>
      <c r="BC48" s="543">
        <f t="shared" si="45"/>
        <v>629.90984516631852</v>
      </c>
    </row>
    <row r="49" spans="8:55" x14ac:dyDescent="0.3">
      <c r="H49" s="542" t="str">
        <f>input_names!$C$3</f>
        <v>diesel</v>
      </c>
      <c r="I49" s="542" t="s">
        <v>539</v>
      </c>
      <c r="J49" s="543">
        <f t="shared" ref="J49:BC49" si="46">IF(J$4&gt;input_basisjaar,I49*(1+$B$42),$D19)</f>
        <v>682</v>
      </c>
      <c r="K49" s="543">
        <f t="shared" si="46"/>
        <v>682</v>
      </c>
      <c r="L49" s="543">
        <f t="shared" si="46"/>
        <v>682</v>
      </c>
      <c r="M49" s="543">
        <f t="shared" si="46"/>
        <v>682</v>
      </c>
      <c r="N49" s="543">
        <f t="shared" si="46"/>
        <v>682</v>
      </c>
      <c r="O49" s="543">
        <f t="shared" si="46"/>
        <v>682</v>
      </c>
      <c r="P49" s="543">
        <f t="shared" si="46"/>
        <v>682</v>
      </c>
      <c r="Q49" s="543">
        <f t="shared" si="46"/>
        <v>682</v>
      </c>
      <c r="R49" s="543">
        <f t="shared" si="46"/>
        <v>682</v>
      </c>
      <c r="S49" s="543">
        <f t="shared" si="46"/>
        <v>682</v>
      </c>
      <c r="T49" s="543">
        <f t="shared" si="46"/>
        <v>682</v>
      </c>
      <c r="U49" s="543">
        <f t="shared" si="46"/>
        <v>681.75137688339748</v>
      </c>
      <c r="V49" s="543">
        <f t="shared" si="46"/>
        <v>681.50284440235816</v>
      </c>
      <c r="W49" s="543">
        <f t="shared" si="46"/>
        <v>681.25440252384089</v>
      </c>
      <c r="X49" s="543">
        <f t="shared" si="46"/>
        <v>681.00605121481647</v>
      </c>
      <c r="Y49" s="543">
        <f t="shared" si="46"/>
        <v>680.75779044226772</v>
      </c>
      <c r="Z49" s="543">
        <f t="shared" si="46"/>
        <v>680.50962017318966</v>
      </c>
      <c r="AA49" s="543">
        <f t="shared" si="46"/>
        <v>680.26154037458923</v>
      </c>
      <c r="AB49" s="543">
        <f t="shared" si="46"/>
        <v>680.01355101348543</v>
      </c>
      <c r="AC49" s="543">
        <f t="shared" si="46"/>
        <v>679.76565205690929</v>
      </c>
      <c r="AD49" s="543">
        <f t="shared" si="46"/>
        <v>679.5178434719038</v>
      </c>
      <c r="AE49" s="543">
        <f t="shared" si="46"/>
        <v>679.270125225524</v>
      </c>
      <c r="AF49" s="543">
        <f t="shared" si="46"/>
        <v>679.02249728483696</v>
      </c>
      <c r="AG49" s="543">
        <f t="shared" si="46"/>
        <v>678.77495961692171</v>
      </c>
      <c r="AH49" s="543">
        <f t="shared" si="46"/>
        <v>678.52751218886931</v>
      </c>
      <c r="AI49" s="543">
        <f t="shared" si="46"/>
        <v>678.28015496778289</v>
      </c>
      <c r="AJ49" s="543">
        <f t="shared" si="46"/>
        <v>678.0328879207774</v>
      </c>
      <c r="AK49" s="543">
        <f t="shared" si="46"/>
        <v>677.78571101497994</v>
      </c>
      <c r="AL49" s="543">
        <f t="shared" si="46"/>
        <v>677.53862421752945</v>
      </c>
      <c r="AM49" s="543">
        <f t="shared" si="46"/>
        <v>677.29162749557702</v>
      </c>
      <c r="AN49" s="543">
        <f t="shared" si="46"/>
        <v>677.04472081628558</v>
      </c>
      <c r="AO49" s="543">
        <f t="shared" si="46"/>
        <v>676.79790414683009</v>
      </c>
      <c r="AP49" s="543">
        <f t="shared" si="46"/>
        <v>676.55117745439748</v>
      </c>
      <c r="AQ49" s="543">
        <f t="shared" si="46"/>
        <v>676.30454070618657</v>
      </c>
      <c r="AR49" s="543">
        <f t="shared" si="46"/>
        <v>676.05799386940828</v>
      </c>
      <c r="AS49" s="543">
        <f t="shared" si="46"/>
        <v>675.81153691128532</v>
      </c>
      <c r="AT49" s="543">
        <f t="shared" si="46"/>
        <v>675.56516979905246</v>
      </c>
      <c r="AU49" s="543">
        <f t="shared" si="46"/>
        <v>675.31889249995629</v>
      </c>
      <c r="AV49" s="543">
        <f t="shared" si="46"/>
        <v>675.07270498125558</v>
      </c>
      <c r="AW49" s="543">
        <f t="shared" si="46"/>
        <v>674.8266072102208</v>
      </c>
      <c r="AX49" s="543">
        <f t="shared" si="46"/>
        <v>674.58059915413446</v>
      </c>
      <c r="AY49" s="543">
        <f t="shared" si="46"/>
        <v>674.33468078029091</v>
      </c>
      <c r="AZ49" s="543">
        <f t="shared" si="46"/>
        <v>674.08885205599654</v>
      </c>
      <c r="BA49" s="543">
        <f t="shared" si="46"/>
        <v>673.84311294856957</v>
      </c>
      <c r="BB49" s="543">
        <f t="shared" si="46"/>
        <v>673.59746342534027</v>
      </c>
      <c r="BC49" s="543">
        <f t="shared" si="46"/>
        <v>673.35190345365061</v>
      </c>
    </row>
    <row r="50" spans="8:55" x14ac:dyDescent="0.3">
      <c r="H50" s="542" t="str">
        <f>input_names!$C$3</f>
        <v>diesel</v>
      </c>
      <c r="I50" s="542" t="s">
        <v>540</v>
      </c>
      <c r="J50" s="543">
        <f t="shared" ref="J50:BC50" si="47">IF(J$4&gt;input_basisjaar,I50*(1+$B$42),$D20)</f>
        <v>726</v>
      </c>
      <c r="K50" s="543">
        <f t="shared" si="47"/>
        <v>726</v>
      </c>
      <c r="L50" s="543">
        <f t="shared" si="47"/>
        <v>726</v>
      </c>
      <c r="M50" s="543">
        <f t="shared" si="47"/>
        <v>726</v>
      </c>
      <c r="N50" s="543">
        <f t="shared" si="47"/>
        <v>726</v>
      </c>
      <c r="O50" s="543">
        <f t="shared" si="47"/>
        <v>726</v>
      </c>
      <c r="P50" s="543">
        <f t="shared" si="47"/>
        <v>726</v>
      </c>
      <c r="Q50" s="543">
        <f t="shared" si="47"/>
        <v>726</v>
      </c>
      <c r="R50" s="543">
        <f t="shared" si="47"/>
        <v>726</v>
      </c>
      <c r="S50" s="543">
        <f t="shared" si="47"/>
        <v>726</v>
      </c>
      <c r="T50" s="543">
        <f t="shared" si="47"/>
        <v>726</v>
      </c>
      <c r="U50" s="543">
        <f t="shared" si="47"/>
        <v>725.73533668232631</v>
      </c>
      <c r="V50" s="543">
        <f t="shared" si="47"/>
        <v>725.47076984767159</v>
      </c>
      <c r="W50" s="543">
        <f t="shared" si="47"/>
        <v>725.20629946086285</v>
      </c>
      <c r="X50" s="543">
        <f t="shared" si="47"/>
        <v>724.94192548674005</v>
      </c>
      <c r="Y50" s="543">
        <f t="shared" si="47"/>
        <v>724.67764789015598</v>
      </c>
      <c r="Z50" s="543">
        <f t="shared" si="47"/>
        <v>724.41346663597619</v>
      </c>
      <c r="AA50" s="543">
        <f t="shared" si="47"/>
        <v>724.14938168907906</v>
      </c>
      <c r="AB50" s="543">
        <f t="shared" si="47"/>
        <v>723.88539301435571</v>
      </c>
      <c r="AC50" s="543">
        <f t="shared" si="47"/>
        <v>723.6215005767101</v>
      </c>
      <c r="AD50" s="543">
        <f t="shared" si="47"/>
        <v>723.35770434105916</v>
      </c>
      <c r="AE50" s="543">
        <f t="shared" si="47"/>
        <v>723.09400427233231</v>
      </c>
      <c r="AF50" s="543">
        <f t="shared" si="47"/>
        <v>722.83040033547195</v>
      </c>
      <c r="AG50" s="543">
        <f t="shared" si="47"/>
        <v>722.56689249543319</v>
      </c>
      <c r="AH50" s="543">
        <f t="shared" si="47"/>
        <v>722.3034807171839</v>
      </c>
      <c r="AI50" s="543">
        <f t="shared" si="47"/>
        <v>722.04016496570478</v>
      </c>
      <c r="AJ50" s="543">
        <f t="shared" si="47"/>
        <v>721.77694520598925</v>
      </c>
      <c r="AK50" s="543">
        <f t="shared" si="47"/>
        <v>721.51382140304361</v>
      </c>
      <c r="AL50" s="543">
        <f t="shared" si="47"/>
        <v>721.25079352188664</v>
      </c>
      <c r="AM50" s="543">
        <f t="shared" si="47"/>
        <v>720.98786152755019</v>
      </c>
      <c r="AN50" s="543">
        <f t="shared" si="47"/>
        <v>720.72502538507865</v>
      </c>
      <c r="AO50" s="543">
        <f t="shared" si="47"/>
        <v>720.46228505952922</v>
      </c>
      <c r="AP50" s="543">
        <f t="shared" si="47"/>
        <v>720.19964051597196</v>
      </c>
      <c r="AQ50" s="543">
        <f t="shared" si="47"/>
        <v>719.93709171948944</v>
      </c>
      <c r="AR50" s="543">
        <f t="shared" si="47"/>
        <v>719.67463863517708</v>
      </c>
      <c r="AS50" s="543">
        <f t="shared" si="47"/>
        <v>719.412281228143</v>
      </c>
      <c r="AT50" s="543">
        <f t="shared" si="47"/>
        <v>719.15001946350799</v>
      </c>
      <c r="AU50" s="543">
        <f t="shared" si="47"/>
        <v>718.88785330640565</v>
      </c>
      <c r="AV50" s="543">
        <f t="shared" si="47"/>
        <v>718.62578272198232</v>
      </c>
      <c r="AW50" s="543">
        <f t="shared" si="47"/>
        <v>718.36380767539686</v>
      </c>
      <c r="AX50" s="543">
        <f t="shared" si="47"/>
        <v>718.10192813182107</v>
      </c>
      <c r="AY50" s="543">
        <f t="shared" si="47"/>
        <v>717.84014405643927</v>
      </c>
      <c r="AZ50" s="543">
        <f t="shared" si="47"/>
        <v>717.57845541444851</v>
      </c>
      <c r="BA50" s="543">
        <f t="shared" si="47"/>
        <v>717.31686217105857</v>
      </c>
      <c r="BB50" s="543">
        <f t="shared" si="47"/>
        <v>717.05536429149186</v>
      </c>
      <c r="BC50" s="543">
        <f t="shared" si="47"/>
        <v>716.79396174098349</v>
      </c>
    </row>
    <row r="51" spans="8:55" x14ac:dyDescent="0.3">
      <c r="H51" s="542" t="str">
        <f>input_names!$C$3</f>
        <v>diesel</v>
      </c>
      <c r="I51" s="542" t="s">
        <v>541</v>
      </c>
      <c r="J51" s="543">
        <f t="shared" ref="J51:BC51" si="48">IF(J$4&gt;input_basisjaar,I51*(1+$B$42),$D21)</f>
        <v>770</v>
      </c>
      <c r="K51" s="543">
        <f t="shared" si="48"/>
        <v>770</v>
      </c>
      <c r="L51" s="543">
        <f t="shared" si="48"/>
        <v>770</v>
      </c>
      <c r="M51" s="543">
        <f t="shared" si="48"/>
        <v>770</v>
      </c>
      <c r="N51" s="543">
        <f t="shared" si="48"/>
        <v>770</v>
      </c>
      <c r="O51" s="543">
        <f t="shared" si="48"/>
        <v>770</v>
      </c>
      <c r="P51" s="543">
        <f t="shared" si="48"/>
        <v>770</v>
      </c>
      <c r="Q51" s="543">
        <f t="shared" si="48"/>
        <v>770</v>
      </c>
      <c r="R51" s="543">
        <f t="shared" si="48"/>
        <v>770</v>
      </c>
      <c r="S51" s="543">
        <f t="shared" si="48"/>
        <v>770</v>
      </c>
      <c r="T51" s="543">
        <f t="shared" si="48"/>
        <v>770</v>
      </c>
      <c r="U51" s="543">
        <f t="shared" si="48"/>
        <v>769.71929648125524</v>
      </c>
      <c r="V51" s="543">
        <f t="shared" si="48"/>
        <v>769.43869529298502</v>
      </c>
      <c r="W51" s="543">
        <f t="shared" si="48"/>
        <v>769.15819639788481</v>
      </c>
      <c r="X51" s="543">
        <f t="shared" si="48"/>
        <v>768.87779975866363</v>
      </c>
      <c r="Y51" s="543">
        <f t="shared" si="48"/>
        <v>768.59750533804413</v>
      </c>
      <c r="Z51" s="543">
        <f t="shared" si="48"/>
        <v>768.3173130987625</v>
      </c>
      <c r="AA51" s="543">
        <f t="shared" si="48"/>
        <v>768.03722300356856</v>
      </c>
      <c r="AB51" s="543">
        <f t="shared" si="48"/>
        <v>767.75723501522555</v>
      </c>
      <c r="AC51" s="543">
        <f t="shared" si="48"/>
        <v>767.47734909651058</v>
      </c>
      <c r="AD51" s="543">
        <f t="shared" si="48"/>
        <v>767.19756521021407</v>
      </c>
      <c r="AE51" s="543">
        <f t="shared" si="48"/>
        <v>766.91788331914017</v>
      </c>
      <c r="AF51" s="543">
        <f t="shared" si="48"/>
        <v>766.63830338610637</v>
      </c>
      <c r="AG51" s="543">
        <f t="shared" si="48"/>
        <v>766.358825373944</v>
      </c>
      <c r="AH51" s="543">
        <f t="shared" si="48"/>
        <v>766.07944924549781</v>
      </c>
      <c r="AI51" s="543">
        <f t="shared" si="48"/>
        <v>765.80017496362598</v>
      </c>
      <c r="AJ51" s="543">
        <f t="shared" si="48"/>
        <v>765.52100249120042</v>
      </c>
      <c r="AK51" s="543">
        <f t="shared" si="48"/>
        <v>765.24193179110648</v>
      </c>
      <c r="AL51" s="543">
        <f t="shared" si="48"/>
        <v>764.96296282624303</v>
      </c>
      <c r="AM51" s="543">
        <f t="shared" si="48"/>
        <v>764.68409555952258</v>
      </c>
      <c r="AN51" s="543">
        <f t="shared" si="48"/>
        <v>764.40532995387093</v>
      </c>
      <c r="AO51" s="543">
        <f t="shared" si="48"/>
        <v>764.12666597222767</v>
      </c>
      <c r="AP51" s="543">
        <f t="shared" si="48"/>
        <v>763.84810357754566</v>
      </c>
      <c r="AQ51" s="543">
        <f t="shared" si="48"/>
        <v>763.56964273279141</v>
      </c>
      <c r="AR51" s="543">
        <f t="shared" si="48"/>
        <v>763.29128340094496</v>
      </c>
      <c r="AS51" s="543">
        <f t="shared" si="48"/>
        <v>763.01302554499966</v>
      </c>
      <c r="AT51" s="543">
        <f t="shared" si="48"/>
        <v>762.7348691279625</v>
      </c>
      <c r="AU51" s="543">
        <f t="shared" si="48"/>
        <v>762.45681411285398</v>
      </c>
      <c r="AV51" s="543">
        <f t="shared" si="48"/>
        <v>762.17886046270803</v>
      </c>
      <c r="AW51" s="543">
        <f t="shared" si="48"/>
        <v>761.901008140572</v>
      </c>
      <c r="AX51" s="543">
        <f t="shared" si="48"/>
        <v>761.62325710950677</v>
      </c>
      <c r="AY51" s="543">
        <f t="shared" si="48"/>
        <v>761.34560733258661</v>
      </c>
      <c r="AZ51" s="543">
        <f t="shared" si="48"/>
        <v>761.06805877289946</v>
      </c>
      <c r="BA51" s="543">
        <f t="shared" si="48"/>
        <v>760.79061139354644</v>
      </c>
      <c r="BB51" s="543">
        <f t="shared" si="48"/>
        <v>760.51326515764231</v>
      </c>
      <c r="BC51" s="543">
        <f t="shared" si="48"/>
        <v>760.23602002831524</v>
      </c>
    </row>
    <row r="52" spans="8:55" x14ac:dyDescent="0.3">
      <c r="H52" s="542" t="str">
        <f>input_names!$C$3</f>
        <v>diesel</v>
      </c>
      <c r="I52" s="542" t="s">
        <v>1199</v>
      </c>
      <c r="J52" s="543">
        <f t="shared" ref="J52:BC52" si="49">IF(J$4&gt;input_basisjaar,I52*(1+$B$42),$D22)</f>
        <v>814</v>
      </c>
      <c r="K52" s="543">
        <f t="shared" si="49"/>
        <v>814</v>
      </c>
      <c r="L52" s="543">
        <f t="shared" si="49"/>
        <v>814</v>
      </c>
      <c r="M52" s="543">
        <f t="shared" si="49"/>
        <v>814</v>
      </c>
      <c r="N52" s="543">
        <f t="shared" si="49"/>
        <v>814</v>
      </c>
      <c r="O52" s="543">
        <f t="shared" si="49"/>
        <v>814</v>
      </c>
      <c r="P52" s="543">
        <f t="shared" si="49"/>
        <v>814</v>
      </c>
      <c r="Q52" s="543">
        <f t="shared" si="49"/>
        <v>814</v>
      </c>
      <c r="R52" s="543">
        <f t="shared" si="49"/>
        <v>814</v>
      </c>
      <c r="S52" s="543">
        <f t="shared" si="49"/>
        <v>814</v>
      </c>
      <c r="T52" s="543">
        <f t="shared" si="49"/>
        <v>814</v>
      </c>
      <c r="U52" s="543">
        <f t="shared" si="49"/>
        <v>813.70325628018406</v>
      </c>
      <c r="V52" s="543">
        <f t="shared" si="49"/>
        <v>813.40662073829844</v>
      </c>
      <c r="W52" s="543">
        <f t="shared" si="49"/>
        <v>813.11009333490688</v>
      </c>
      <c r="X52" s="543">
        <f t="shared" si="49"/>
        <v>812.81367403058744</v>
      </c>
      <c r="Y52" s="543">
        <f t="shared" si="49"/>
        <v>812.51736278593251</v>
      </c>
      <c r="Z52" s="543">
        <f t="shared" si="49"/>
        <v>812.22115956154903</v>
      </c>
      <c r="AA52" s="543">
        <f t="shared" si="49"/>
        <v>811.92506431805828</v>
      </c>
      <c r="AB52" s="543">
        <f t="shared" si="49"/>
        <v>811.62907701609572</v>
      </c>
      <c r="AC52" s="543">
        <f t="shared" si="49"/>
        <v>811.33319761631128</v>
      </c>
      <c r="AD52" s="543">
        <f t="shared" si="49"/>
        <v>811.03742607936931</v>
      </c>
      <c r="AE52" s="543">
        <f t="shared" si="49"/>
        <v>810.74176236594826</v>
      </c>
      <c r="AF52" s="543">
        <f t="shared" si="49"/>
        <v>810.44620643674114</v>
      </c>
      <c r="AG52" s="543">
        <f t="shared" si="49"/>
        <v>810.15075825245526</v>
      </c>
      <c r="AH52" s="543">
        <f t="shared" si="49"/>
        <v>809.85541777381206</v>
      </c>
      <c r="AI52" s="543">
        <f t="shared" si="49"/>
        <v>809.56018496154763</v>
      </c>
      <c r="AJ52" s="543">
        <f t="shared" si="49"/>
        <v>809.26505977641204</v>
      </c>
      <c r="AK52" s="543">
        <f t="shared" si="49"/>
        <v>808.97004217916992</v>
      </c>
      <c r="AL52" s="543">
        <f t="shared" si="49"/>
        <v>808.67513213059999</v>
      </c>
      <c r="AM52" s="543">
        <f t="shared" si="49"/>
        <v>808.38032959149552</v>
      </c>
      <c r="AN52" s="543">
        <f t="shared" si="49"/>
        <v>808.08563452266378</v>
      </c>
      <c r="AO52" s="543">
        <f t="shared" si="49"/>
        <v>807.79104688492657</v>
      </c>
      <c r="AP52" s="543">
        <f t="shared" si="49"/>
        <v>807.49656663911992</v>
      </c>
      <c r="AQ52" s="543">
        <f t="shared" si="49"/>
        <v>807.20219374609405</v>
      </c>
      <c r="AR52" s="543">
        <f t="shared" si="49"/>
        <v>806.90792816671353</v>
      </c>
      <c r="AS52" s="543">
        <f t="shared" si="49"/>
        <v>806.61376986185712</v>
      </c>
      <c r="AT52" s="543">
        <f t="shared" si="49"/>
        <v>806.31971879241792</v>
      </c>
      <c r="AU52" s="543">
        <f t="shared" si="49"/>
        <v>806.02577491930322</v>
      </c>
      <c r="AV52" s="543">
        <f t="shared" si="49"/>
        <v>805.73193820343454</v>
      </c>
      <c r="AW52" s="543">
        <f t="shared" si="49"/>
        <v>805.43820860574783</v>
      </c>
      <c r="AX52" s="543">
        <f t="shared" si="49"/>
        <v>805.14458608719315</v>
      </c>
      <c r="AY52" s="543">
        <f t="shared" si="49"/>
        <v>804.85107060873474</v>
      </c>
      <c r="AZ52" s="543">
        <f t="shared" si="49"/>
        <v>804.55766213135109</v>
      </c>
      <c r="BA52" s="543">
        <f t="shared" si="49"/>
        <v>804.26436061603511</v>
      </c>
      <c r="BB52" s="543">
        <f t="shared" si="49"/>
        <v>803.97116602379367</v>
      </c>
      <c r="BC52" s="543">
        <f t="shared" si="49"/>
        <v>803.67807831564789</v>
      </c>
    </row>
    <row r="53" spans="8:55" x14ac:dyDescent="0.3">
      <c r="H53" s="542" t="str">
        <f>input_names!$C$3</f>
        <v>diesel</v>
      </c>
      <c r="I53" s="542" t="s">
        <v>1200</v>
      </c>
      <c r="J53" s="543">
        <f t="shared" ref="J53:BC53" si="50">IF(J$4&gt;input_basisjaar,I53*(1+$B$42),$D23)</f>
        <v>858</v>
      </c>
      <c r="K53" s="543">
        <f t="shared" si="50"/>
        <v>858</v>
      </c>
      <c r="L53" s="543">
        <f t="shared" si="50"/>
        <v>858</v>
      </c>
      <c r="M53" s="543">
        <f t="shared" si="50"/>
        <v>858</v>
      </c>
      <c r="N53" s="543">
        <f t="shared" si="50"/>
        <v>858</v>
      </c>
      <c r="O53" s="543">
        <f t="shared" si="50"/>
        <v>858</v>
      </c>
      <c r="P53" s="543">
        <f t="shared" si="50"/>
        <v>858</v>
      </c>
      <c r="Q53" s="543">
        <f t="shared" si="50"/>
        <v>858</v>
      </c>
      <c r="R53" s="543">
        <f t="shared" si="50"/>
        <v>858</v>
      </c>
      <c r="S53" s="543">
        <f t="shared" si="50"/>
        <v>858</v>
      </c>
      <c r="T53" s="543">
        <f t="shared" si="50"/>
        <v>858</v>
      </c>
      <c r="U53" s="543">
        <f t="shared" si="50"/>
        <v>857.687216079113</v>
      </c>
      <c r="V53" s="543">
        <f t="shared" si="50"/>
        <v>857.37454618361187</v>
      </c>
      <c r="W53" s="543">
        <f t="shared" si="50"/>
        <v>857.06199027192883</v>
      </c>
      <c r="X53" s="543">
        <f t="shared" si="50"/>
        <v>856.74954830251102</v>
      </c>
      <c r="Y53" s="543">
        <f t="shared" si="50"/>
        <v>856.43722023382077</v>
      </c>
      <c r="Z53" s="543">
        <f t="shared" si="50"/>
        <v>856.12500602433556</v>
      </c>
      <c r="AA53" s="543">
        <f t="shared" si="50"/>
        <v>855.812905632548</v>
      </c>
      <c r="AB53" s="543">
        <f t="shared" si="50"/>
        <v>855.5009190169659</v>
      </c>
      <c r="AC53" s="543">
        <f t="shared" si="50"/>
        <v>855.1890461361121</v>
      </c>
      <c r="AD53" s="543">
        <f t="shared" si="50"/>
        <v>854.87728694852456</v>
      </c>
      <c r="AE53" s="543">
        <f t="shared" si="50"/>
        <v>854.56564141275646</v>
      </c>
      <c r="AF53" s="543">
        <f t="shared" si="50"/>
        <v>854.25410948737601</v>
      </c>
      <c r="AG53" s="543">
        <f t="shared" si="50"/>
        <v>853.94269113096652</v>
      </c>
      <c r="AH53" s="543">
        <f t="shared" si="50"/>
        <v>853.63138630212643</v>
      </c>
      <c r="AI53" s="543">
        <f t="shared" si="50"/>
        <v>853.32019495946929</v>
      </c>
      <c r="AJ53" s="543">
        <f t="shared" si="50"/>
        <v>853.00911706162367</v>
      </c>
      <c r="AK53" s="543">
        <f t="shared" si="50"/>
        <v>852.69815256723325</v>
      </c>
      <c r="AL53" s="543">
        <f t="shared" si="50"/>
        <v>852.38730143495684</v>
      </c>
      <c r="AM53" s="543">
        <f t="shared" si="50"/>
        <v>852.07656362346836</v>
      </c>
      <c r="AN53" s="543">
        <f t="shared" si="50"/>
        <v>851.76593909145663</v>
      </c>
      <c r="AO53" s="543">
        <f t="shared" si="50"/>
        <v>851.45542779762559</v>
      </c>
      <c r="AP53" s="543">
        <f t="shared" si="50"/>
        <v>851.14502970069418</v>
      </c>
      <c r="AQ53" s="543">
        <f t="shared" si="50"/>
        <v>850.83474475939659</v>
      </c>
      <c r="AR53" s="543">
        <f t="shared" si="50"/>
        <v>850.52457293248187</v>
      </c>
      <c r="AS53" s="543">
        <f t="shared" si="50"/>
        <v>850.21451417871424</v>
      </c>
      <c r="AT53" s="543">
        <f t="shared" si="50"/>
        <v>849.90456845687288</v>
      </c>
      <c r="AU53" s="543">
        <f t="shared" si="50"/>
        <v>849.594735725752</v>
      </c>
      <c r="AV53" s="543">
        <f t="shared" si="50"/>
        <v>849.2850159441607</v>
      </c>
      <c r="AW53" s="543">
        <f t="shared" si="50"/>
        <v>848.97540907092332</v>
      </c>
      <c r="AX53" s="543">
        <f t="shared" si="50"/>
        <v>848.66591506487919</v>
      </c>
      <c r="AY53" s="543">
        <f t="shared" si="50"/>
        <v>848.35653388488242</v>
      </c>
      <c r="AZ53" s="543">
        <f t="shared" si="50"/>
        <v>848.04726548980238</v>
      </c>
      <c r="BA53" s="543">
        <f t="shared" si="50"/>
        <v>847.73810983852331</v>
      </c>
      <c r="BB53" s="543">
        <f t="shared" si="50"/>
        <v>847.42906688994447</v>
      </c>
      <c r="BC53" s="543">
        <f t="shared" si="50"/>
        <v>847.12013660297998</v>
      </c>
    </row>
    <row r="54" spans="8:55" x14ac:dyDescent="0.3">
      <c r="H54" s="542" t="str">
        <f>input_names!$C$3</f>
        <v>diesel</v>
      </c>
      <c r="I54" s="542" t="s">
        <v>1495</v>
      </c>
      <c r="J54" s="543">
        <f t="shared" ref="J54:BC54" si="51">IF(J$4&gt;input_basisjaar,I54*(1+$B$42),$D24)</f>
        <v>902</v>
      </c>
      <c r="K54" s="543">
        <f t="shared" si="51"/>
        <v>902</v>
      </c>
      <c r="L54" s="543">
        <f t="shared" si="51"/>
        <v>902</v>
      </c>
      <c r="M54" s="543">
        <f t="shared" si="51"/>
        <v>902</v>
      </c>
      <c r="N54" s="543">
        <f t="shared" si="51"/>
        <v>902</v>
      </c>
      <c r="O54" s="543">
        <f t="shared" si="51"/>
        <v>902</v>
      </c>
      <c r="P54" s="543">
        <f t="shared" si="51"/>
        <v>902</v>
      </c>
      <c r="Q54" s="543">
        <f t="shared" si="51"/>
        <v>902</v>
      </c>
      <c r="R54" s="543">
        <f t="shared" si="51"/>
        <v>902</v>
      </c>
      <c r="S54" s="543">
        <f t="shared" si="51"/>
        <v>902</v>
      </c>
      <c r="T54" s="543">
        <f t="shared" si="51"/>
        <v>902</v>
      </c>
      <c r="U54" s="543">
        <f t="shared" si="51"/>
        <v>901.67117587804182</v>
      </c>
      <c r="V54" s="543">
        <f t="shared" si="51"/>
        <v>901.3424716289253</v>
      </c>
      <c r="W54" s="543">
        <f t="shared" si="51"/>
        <v>901.01388720895079</v>
      </c>
      <c r="X54" s="543">
        <f t="shared" si="51"/>
        <v>900.6854225744346</v>
      </c>
      <c r="Y54" s="543">
        <f t="shared" si="51"/>
        <v>900.35707768170892</v>
      </c>
      <c r="Z54" s="543">
        <f t="shared" si="51"/>
        <v>900.02885248712187</v>
      </c>
      <c r="AA54" s="543">
        <f t="shared" si="51"/>
        <v>899.70074694703749</v>
      </c>
      <c r="AB54" s="543">
        <f t="shared" si="51"/>
        <v>899.37276101783573</v>
      </c>
      <c r="AC54" s="543">
        <f t="shared" si="51"/>
        <v>899.04489465591246</v>
      </c>
      <c r="AD54" s="543">
        <f t="shared" si="51"/>
        <v>898.71714781767946</v>
      </c>
      <c r="AE54" s="543">
        <f t="shared" si="51"/>
        <v>898.38952045956421</v>
      </c>
      <c r="AF54" s="543">
        <f t="shared" si="51"/>
        <v>898.06201253801044</v>
      </c>
      <c r="AG54" s="543">
        <f t="shared" si="51"/>
        <v>897.73462400947744</v>
      </c>
      <c r="AH54" s="543">
        <f t="shared" si="51"/>
        <v>897.40735483044045</v>
      </c>
      <c r="AI54" s="543">
        <f t="shared" si="51"/>
        <v>897.08020495739061</v>
      </c>
      <c r="AJ54" s="543">
        <f t="shared" si="51"/>
        <v>896.75317434683495</v>
      </c>
      <c r="AK54" s="543">
        <f t="shared" si="51"/>
        <v>896.42626295529635</v>
      </c>
      <c r="AL54" s="543">
        <f t="shared" si="51"/>
        <v>896.09947073931346</v>
      </c>
      <c r="AM54" s="543">
        <f t="shared" si="51"/>
        <v>895.77279765544085</v>
      </c>
      <c r="AN54" s="543">
        <f t="shared" si="51"/>
        <v>895.44624366024902</v>
      </c>
      <c r="AO54" s="543">
        <f t="shared" si="51"/>
        <v>895.11980871032404</v>
      </c>
      <c r="AP54" s="543">
        <f t="shared" si="51"/>
        <v>894.79349276226799</v>
      </c>
      <c r="AQ54" s="543">
        <f t="shared" si="51"/>
        <v>894.46729577269878</v>
      </c>
      <c r="AR54" s="543">
        <f t="shared" si="51"/>
        <v>894.14121769824999</v>
      </c>
      <c r="AS54" s="543">
        <f t="shared" si="51"/>
        <v>893.81525849557124</v>
      </c>
      <c r="AT54" s="543">
        <f t="shared" si="51"/>
        <v>893.48941812132773</v>
      </c>
      <c r="AU54" s="543">
        <f t="shared" si="51"/>
        <v>893.16369653220056</v>
      </c>
      <c r="AV54" s="543">
        <f t="shared" si="51"/>
        <v>892.83809368488664</v>
      </c>
      <c r="AW54" s="543">
        <f t="shared" si="51"/>
        <v>892.51260953609869</v>
      </c>
      <c r="AX54" s="543">
        <f t="shared" si="51"/>
        <v>892.18724404256511</v>
      </c>
      <c r="AY54" s="543">
        <f t="shared" si="51"/>
        <v>891.8619971610301</v>
      </c>
      <c r="AZ54" s="543">
        <f t="shared" si="51"/>
        <v>891.53686884825368</v>
      </c>
      <c r="BA54" s="543">
        <f t="shared" si="51"/>
        <v>891.21185906101152</v>
      </c>
      <c r="BB54" s="543">
        <f t="shared" si="51"/>
        <v>890.88696775609526</v>
      </c>
      <c r="BC54" s="543">
        <f t="shared" si="51"/>
        <v>890.56219489031218</v>
      </c>
    </row>
    <row r="55" spans="8:55" x14ac:dyDescent="0.3">
      <c r="H55" s="542" t="str">
        <f>input_names!$C$3</f>
        <v>diesel</v>
      </c>
      <c r="I55" s="542" t="s">
        <v>1496</v>
      </c>
      <c r="J55" s="543">
        <f t="shared" ref="J55:BC55" si="52">IF(J$4&gt;input_basisjaar,I55*(1+$B$42),$D25)</f>
        <v>946</v>
      </c>
      <c r="K55" s="543">
        <f t="shared" si="52"/>
        <v>946</v>
      </c>
      <c r="L55" s="543">
        <f t="shared" si="52"/>
        <v>946</v>
      </c>
      <c r="M55" s="543">
        <f t="shared" si="52"/>
        <v>946</v>
      </c>
      <c r="N55" s="543">
        <f t="shared" si="52"/>
        <v>946</v>
      </c>
      <c r="O55" s="543">
        <f t="shared" si="52"/>
        <v>946</v>
      </c>
      <c r="P55" s="543">
        <f t="shared" si="52"/>
        <v>946</v>
      </c>
      <c r="Q55" s="543">
        <f t="shared" si="52"/>
        <v>946</v>
      </c>
      <c r="R55" s="543">
        <f t="shared" si="52"/>
        <v>946</v>
      </c>
      <c r="S55" s="543">
        <f t="shared" si="52"/>
        <v>946</v>
      </c>
      <c r="T55" s="543">
        <f t="shared" si="52"/>
        <v>946</v>
      </c>
      <c r="U55" s="543">
        <f t="shared" si="52"/>
        <v>945.65513567697064</v>
      </c>
      <c r="V55" s="543">
        <f t="shared" si="52"/>
        <v>945.31039707423872</v>
      </c>
      <c r="W55" s="543">
        <f t="shared" si="52"/>
        <v>944.96578414597275</v>
      </c>
      <c r="X55" s="543">
        <f t="shared" si="52"/>
        <v>944.62129684635818</v>
      </c>
      <c r="Y55" s="543">
        <f t="shared" si="52"/>
        <v>944.27693512959706</v>
      </c>
      <c r="Z55" s="543">
        <f t="shared" si="52"/>
        <v>943.93269894990817</v>
      </c>
      <c r="AA55" s="543">
        <f t="shared" si="52"/>
        <v>943.58858826152698</v>
      </c>
      <c r="AB55" s="543">
        <f t="shared" si="52"/>
        <v>943.24460301870567</v>
      </c>
      <c r="AC55" s="543">
        <f t="shared" si="52"/>
        <v>942.90074317571293</v>
      </c>
      <c r="AD55" s="543">
        <f t="shared" si="52"/>
        <v>942.55700868683437</v>
      </c>
      <c r="AE55" s="543">
        <f t="shared" si="52"/>
        <v>942.21339950637207</v>
      </c>
      <c r="AF55" s="543">
        <f t="shared" si="52"/>
        <v>941.86991558864486</v>
      </c>
      <c r="AG55" s="543">
        <f t="shared" si="52"/>
        <v>941.52655688798825</v>
      </c>
      <c r="AH55" s="543">
        <f t="shared" si="52"/>
        <v>941.18332335875436</v>
      </c>
      <c r="AI55" s="543">
        <f t="shared" si="52"/>
        <v>940.84021495531192</v>
      </c>
      <c r="AJ55" s="543">
        <f t="shared" si="52"/>
        <v>940.49723163204624</v>
      </c>
      <c r="AK55" s="543">
        <f t="shared" si="52"/>
        <v>940.15437334335945</v>
      </c>
      <c r="AL55" s="543">
        <f t="shared" si="52"/>
        <v>939.81164004367008</v>
      </c>
      <c r="AM55" s="543">
        <f t="shared" si="52"/>
        <v>939.46903168741346</v>
      </c>
      <c r="AN55" s="543">
        <f t="shared" si="52"/>
        <v>939.12654822904153</v>
      </c>
      <c r="AO55" s="543">
        <f t="shared" si="52"/>
        <v>938.7841896230226</v>
      </c>
      <c r="AP55" s="543">
        <f t="shared" si="52"/>
        <v>938.44195582384191</v>
      </c>
      <c r="AQ55" s="543">
        <f t="shared" si="52"/>
        <v>938.09984678600097</v>
      </c>
      <c r="AR55" s="543">
        <f t="shared" si="52"/>
        <v>937.7578624640181</v>
      </c>
      <c r="AS55" s="543">
        <f t="shared" si="52"/>
        <v>937.41600281242813</v>
      </c>
      <c r="AT55" s="543">
        <f t="shared" si="52"/>
        <v>937.07426778578247</v>
      </c>
      <c r="AU55" s="543">
        <f t="shared" si="52"/>
        <v>936.73265733864912</v>
      </c>
      <c r="AV55" s="543">
        <f t="shared" si="52"/>
        <v>936.39117142561258</v>
      </c>
      <c r="AW55" s="543">
        <f t="shared" si="52"/>
        <v>936.04981000127395</v>
      </c>
      <c r="AX55" s="543">
        <f t="shared" si="52"/>
        <v>935.70857302025092</v>
      </c>
      <c r="AY55" s="543">
        <f t="shared" si="52"/>
        <v>935.36746043717767</v>
      </c>
      <c r="AZ55" s="543">
        <f t="shared" si="52"/>
        <v>935.02647220670485</v>
      </c>
      <c r="BA55" s="543">
        <f t="shared" si="52"/>
        <v>934.68560828349973</v>
      </c>
      <c r="BB55" s="543">
        <f t="shared" si="52"/>
        <v>934.34486862224605</v>
      </c>
      <c r="BC55" s="543">
        <f t="shared" si="52"/>
        <v>934.00425317764427</v>
      </c>
    </row>
    <row r="56" spans="8:55" x14ac:dyDescent="0.3">
      <c r="H56" s="542" t="str">
        <f>input_names!$C$3</f>
        <v>diesel</v>
      </c>
      <c r="I56" s="542" t="s">
        <v>1497</v>
      </c>
      <c r="J56" s="543">
        <f t="shared" ref="J56:BC56" si="53">IF(J$4&gt;input_basisjaar,I56*(1+$B$42),$D26)</f>
        <v>990</v>
      </c>
      <c r="K56" s="543">
        <f t="shared" si="53"/>
        <v>990</v>
      </c>
      <c r="L56" s="543">
        <f t="shared" si="53"/>
        <v>990</v>
      </c>
      <c r="M56" s="543">
        <f t="shared" si="53"/>
        <v>990</v>
      </c>
      <c r="N56" s="543">
        <f t="shared" si="53"/>
        <v>990</v>
      </c>
      <c r="O56" s="543">
        <f t="shared" si="53"/>
        <v>990</v>
      </c>
      <c r="P56" s="543">
        <f t="shared" si="53"/>
        <v>990</v>
      </c>
      <c r="Q56" s="543">
        <f t="shared" si="53"/>
        <v>990</v>
      </c>
      <c r="R56" s="543">
        <f t="shared" si="53"/>
        <v>990</v>
      </c>
      <c r="S56" s="543">
        <f t="shared" si="53"/>
        <v>990</v>
      </c>
      <c r="T56" s="543">
        <f t="shared" si="53"/>
        <v>990</v>
      </c>
      <c r="U56" s="543">
        <f t="shared" si="53"/>
        <v>989.63909547589958</v>
      </c>
      <c r="V56" s="543">
        <f t="shared" si="53"/>
        <v>989.27832251955215</v>
      </c>
      <c r="W56" s="543">
        <f t="shared" si="53"/>
        <v>988.91768108299482</v>
      </c>
      <c r="X56" s="543">
        <f t="shared" si="53"/>
        <v>988.55717111828187</v>
      </c>
      <c r="Y56" s="543">
        <f t="shared" si="53"/>
        <v>988.19679257748544</v>
      </c>
      <c r="Z56" s="543">
        <f t="shared" si="53"/>
        <v>987.83654541269482</v>
      </c>
      <c r="AA56" s="543">
        <f t="shared" si="53"/>
        <v>987.47642957601681</v>
      </c>
      <c r="AB56" s="543">
        <f t="shared" si="53"/>
        <v>987.11644501957585</v>
      </c>
      <c r="AC56" s="543">
        <f t="shared" si="53"/>
        <v>986.75659169551375</v>
      </c>
      <c r="AD56" s="543">
        <f t="shared" si="53"/>
        <v>986.39686955598961</v>
      </c>
      <c r="AE56" s="543">
        <f t="shared" si="53"/>
        <v>986.03727855318027</v>
      </c>
      <c r="AF56" s="543">
        <f t="shared" si="53"/>
        <v>985.67781863927974</v>
      </c>
      <c r="AG56" s="543">
        <f t="shared" si="53"/>
        <v>985.31848976649951</v>
      </c>
      <c r="AH56" s="543">
        <f t="shared" si="53"/>
        <v>984.95929188706862</v>
      </c>
      <c r="AI56" s="543">
        <f t="shared" si="53"/>
        <v>984.60022495323346</v>
      </c>
      <c r="AJ56" s="543">
        <f t="shared" si="53"/>
        <v>984.24128891725775</v>
      </c>
      <c r="AK56" s="543">
        <f t="shared" si="53"/>
        <v>983.88248373142267</v>
      </c>
      <c r="AL56" s="543">
        <f t="shared" si="53"/>
        <v>983.52380934802682</v>
      </c>
      <c r="AM56" s="543">
        <f t="shared" si="53"/>
        <v>983.16526571938618</v>
      </c>
      <c r="AN56" s="543">
        <f t="shared" si="53"/>
        <v>982.80685279783415</v>
      </c>
      <c r="AO56" s="543">
        <f t="shared" si="53"/>
        <v>982.44857053572139</v>
      </c>
      <c r="AP56" s="543">
        <f t="shared" si="53"/>
        <v>982.09041888541594</v>
      </c>
      <c r="AQ56" s="543">
        <f t="shared" si="53"/>
        <v>981.73239779930338</v>
      </c>
      <c r="AR56" s="543">
        <f t="shared" si="53"/>
        <v>981.37450722978645</v>
      </c>
      <c r="AS56" s="543">
        <f t="shared" si="53"/>
        <v>981.01674712928536</v>
      </c>
      <c r="AT56" s="543">
        <f t="shared" si="53"/>
        <v>980.65911745023766</v>
      </c>
      <c r="AU56" s="543">
        <f t="shared" si="53"/>
        <v>980.30161814509813</v>
      </c>
      <c r="AV56" s="543">
        <f t="shared" si="53"/>
        <v>979.94424916633898</v>
      </c>
      <c r="AW56" s="543">
        <f t="shared" si="53"/>
        <v>979.58701046644978</v>
      </c>
      <c r="AX56" s="543">
        <f t="shared" si="53"/>
        <v>979.2299019979373</v>
      </c>
      <c r="AY56" s="543">
        <f t="shared" si="53"/>
        <v>978.87292371332569</v>
      </c>
      <c r="AZ56" s="543">
        <f t="shared" si="53"/>
        <v>978.51607556515648</v>
      </c>
      <c r="BA56" s="543">
        <f t="shared" si="53"/>
        <v>978.15935750598828</v>
      </c>
      <c r="BB56" s="543">
        <f t="shared" si="53"/>
        <v>977.8027694883973</v>
      </c>
      <c r="BC56" s="543">
        <f t="shared" si="53"/>
        <v>977.44631146497682</v>
      </c>
    </row>
    <row r="57" spans="8:55" x14ac:dyDescent="0.3">
      <c r="H57" s="542" t="str">
        <f>input_names!$C$3</f>
        <v>diesel</v>
      </c>
      <c r="I57" s="542" t="s">
        <v>1498</v>
      </c>
      <c r="J57" s="543">
        <f t="shared" ref="J57:BC57" si="54">IF(J$4&gt;input_basisjaar,I57*(1+$B$42),$D27)</f>
        <v>1034</v>
      </c>
      <c r="K57" s="543">
        <f t="shared" si="54"/>
        <v>1034</v>
      </c>
      <c r="L57" s="543">
        <f t="shared" si="54"/>
        <v>1034</v>
      </c>
      <c r="M57" s="543">
        <f t="shared" si="54"/>
        <v>1034</v>
      </c>
      <c r="N57" s="543">
        <f t="shared" si="54"/>
        <v>1034</v>
      </c>
      <c r="O57" s="543">
        <f t="shared" si="54"/>
        <v>1034</v>
      </c>
      <c r="P57" s="543">
        <f t="shared" si="54"/>
        <v>1034</v>
      </c>
      <c r="Q57" s="543">
        <f t="shared" si="54"/>
        <v>1034</v>
      </c>
      <c r="R57" s="543">
        <f t="shared" si="54"/>
        <v>1034</v>
      </c>
      <c r="S57" s="543">
        <f t="shared" si="54"/>
        <v>1034</v>
      </c>
      <c r="T57" s="543">
        <f t="shared" si="54"/>
        <v>1034</v>
      </c>
      <c r="U57" s="543">
        <f t="shared" si="54"/>
        <v>1033.6230552748284</v>
      </c>
      <c r="V57" s="543">
        <f t="shared" si="54"/>
        <v>1033.2462479648655</v>
      </c>
      <c r="W57" s="543">
        <f t="shared" si="54"/>
        <v>1032.8695780200167</v>
      </c>
      <c r="X57" s="543">
        <f t="shared" si="54"/>
        <v>1032.4930453902055</v>
      </c>
      <c r="Y57" s="543">
        <f t="shared" si="54"/>
        <v>1032.1166500253735</v>
      </c>
      <c r="Z57" s="543">
        <f t="shared" si="54"/>
        <v>1031.740391875481</v>
      </c>
      <c r="AA57" s="543">
        <f t="shared" si="54"/>
        <v>1031.3642708905063</v>
      </c>
      <c r="AB57" s="543">
        <f t="shared" si="54"/>
        <v>1030.9882870204458</v>
      </c>
      <c r="AC57" s="543">
        <f t="shared" si="54"/>
        <v>1030.6124402153143</v>
      </c>
      <c r="AD57" s="543">
        <f t="shared" si="54"/>
        <v>1030.2367304251447</v>
      </c>
      <c r="AE57" s="543">
        <f t="shared" si="54"/>
        <v>1029.8611575999882</v>
      </c>
      <c r="AF57" s="543">
        <f t="shared" si="54"/>
        <v>1029.4857216899143</v>
      </c>
      <c r="AG57" s="543">
        <f t="shared" si="54"/>
        <v>1029.1104226450104</v>
      </c>
      <c r="AH57" s="543">
        <f t="shared" si="54"/>
        <v>1028.7352604153828</v>
      </c>
      <c r="AI57" s="543">
        <f t="shared" si="54"/>
        <v>1028.360234951155</v>
      </c>
      <c r="AJ57" s="543">
        <f t="shared" si="54"/>
        <v>1027.9853462024694</v>
      </c>
      <c r="AK57" s="543">
        <f t="shared" si="54"/>
        <v>1027.6105941194862</v>
      </c>
      <c r="AL57" s="543">
        <f t="shared" si="54"/>
        <v>1027.2359786523839</v>
      </c>
      <c r="AM57" s="543">
        <f t="shared" si="54"/>
        <v>1026.8614997513594</v>
      </c>
      <c r="AN57" s="543">
        <f t="shared" si="54"/>
        <v>1026.4871573666271</v>
      </c>
      <c r="AO57" s="543">
        <f t="shared" si="54"/>
        <v>1026.1129514484205</v>
      </c>
      <c r="AP57" s="543">
        <f t="shared" si="54"/>
        <v>1025.7388819469904</v>
      </c>
      <c r="AQ57" s="543">
        <f t="shared" si="54"/>
        <v>1025.3649488126061</v>
      </c>
      <c r="AR57" s="543">
        <f t="shared" si="54"/>
        <v>1024.9911519955551</v>
      </c>
      <c r="AS57" s="543">
        <f t="shared" si="54"/>
        <v>1024.6174914461428</v>
      </c>
      <c r="AT57" s="543">
        <f t="shared" si="54"/>
        <v>1024.2439671146931</v>
      </c>
      <c r="AU57" s="543">
        <f t="shared" si="54"/>
        <v>1023.8705789515474</v>
      </c>
      <c r="AV57" s="543">
        <f t="shared" si="54"/>
        <v>1023.4973269070656</v>
      </c>
      <c r="AW57" s="543">
        <f t="shared" si="54"/>
        <v>1023.1242109316257</v>
      </c>
      <c r="AX57" s="543">
        <f t="shared" si="54"/>
        <v>1022.7512309756238</v>
      </c>
      <c r="AY57" s="543">
        <f t="shared" si="54"/>
        <v>1022.3783869894739</v>
      </c>
      <c r="AZ57" s="543">
        <f t="shared" si="54"/>
        <v>1022.0056789236082</v>
      </c>
      <c r="BA57" s="543">
        <f t="shared" si="54"/>
        <v>1021.6331067284771</v>
      </c>
      <c r="BB57" s="543">
        <f t="shared" si="54"/>
        <v>1021.2606703545487</v>
      </c>
      <c r="BC57" s="543">
        <f t="shared" si="54"/>
        <v>1020.8883697523095</v>
      </c>
    </row>
    <row r="58" spans="8:55" x14ac:dyDescent="0.3">
      <c r="H58" s="542" t="str">
        <f>input_names!$C$3</f>
        <v>diesel</v>
      </c>
      <c r="I58" s="542" t="s">
        <v>1499</v>
      </c>
      <c r="J58" s="543">
        <f t="shared" ref="J58:BC58" si="55">IF(J$4&gt;input_basisjaar,I58*(1+$B$42),$D28)</f>
        <v>1078</v>
      </c>
      <c r="K58" s="543">
        <f t="shared" si="55"/>
        <v>1078</v>
      </c>
      <c r="L58" s="543">
        <f t="shared" si="55"/>
        <v>1078</v>
      </c>
      <c r="M58" s="543">
        <f t="shared" si="55"/>
        <v>1078</v>
      </c>
      <c r="N58" s="543">
        <f t="shared" si="55"/>
        <v>1078</v>
      </c>
      <c r="O58" s="543">
        <f t="shared" si="55"/>
        <v>1078</v>
      </c>
      <c r="P58" s="543">
        <f t="shared" si="55"/>
        <v>1078</v>
      </c>
      <c r="Q58" s="543">
        <f t="shared" si="55"/>
        <v>1078</v>
      </c>
      <c r="R58" s="543">
        <f t="shared" si="55"/>
        <v>1078</v>
      </c>
      <c r="S58" s="543">
        <f t="shared" si="55"/>
        <v>1078</v>
      </c>
      <c r="T58" s="543">
        <f t="shared" si="55"/>
        <v>1078</v>
      </c>
      <c r="U58" s="543">
        <f t="shared" si="55"/>
        <v>1077.6070150737573</v>
      </c>
      <c r="V58" s="543">
        <f t="shared" si="55"/>
        <v>1077.214173410179</v>
      </c>
      <c r="W58" s="543">
        <f t="shared" si="55"/>
        <v>1076.8214749570388</v>
      </c>
      <c r="X58" s="543">
        <f t="shared" si="55"/>
        <v>1076.4289196621291</v>
      </c>
      <c r="Y58" s="543">
        <f t="shared" si="55"/>
        <v>1076.036507473262</v>
      </c>
      <c r="Z58" s="543">
        <f t="shared" si="55"/>
        <v>1075.6442383382678</v>
      </c>
      <c r="AA58" s="543">
        <f t="shared" si="55"/>
        <v>1075.2521122049961</v>
      </c>
      <c r="AB58" s="543">
        <f t="shared" si="55"/>
        <v>1074.860129021316</v>
      </c>
      <c r="AC58" s="543">
        <f t="shared" si="55"/>
        <v>1074.468288735115</v>
      </c>
      <c r="AD58" s="543">
        <f t="shared" si="55"/>
        <v>1074.0765912943</v>
      </c>
      <c r="AE58" s="543">
        <f t="shared" si="55"/>
        <v>1073.6850366467966</v>
      </c>
      <c r="AF58" s="543">
        <f t="shared" si="55"/>
        <v>1073.2936247405494</v>
      </c>
      <c r="AG58" s="543">
        <f t="shared" si="55"/>
        <v>1072.9023555235221</v>
      </c>
      <c r="AH58" s="543">
        <f t="shared" si="55"/>
        <v>1072.5112289436975</v>
      </c>
      <c r="AI58" s="543">
        <f t="shared" si="55"/>
        <v>1072.120244949077</v>
      </c>
      <c r="AJ58" s="543">
        <f t="shared" si="55"/>
        <v>1071.7294034876813</v>
      </c>
      <c r="AK58" s="543">
        <f t="shared" si="55"/>
        <v>1071.3387045075499</v>
      </c>
      <c r="AL58" s="543">
        <f t="shared" si="55"/>
        <v>1070.9481479567412</v>
      </c>
      <c r="AM58" s="543">
        <f t="shared" si="55"/>
        <v>1070.5577337833324</v>
      </c>
      <c r="AN58" s="543">
        <f t="shared" si="55"/>
        <v>1070.1674619354201</v>
      </c>
      <c r="AO58" s="543">
        <f t="shared" si="55"/>
        <v>1069.7773323611195</v>
      </c>
      <c r="AP58" s="543">
        <f t="shared" si="55"/>
        <v>1069.3873450085648</v>
      </c>
      <c r="AQ58" s="543">
        <f t="shared" si="55"/>
        <v>1068.9974998259088</v>
      </c>
      <c r="AR58" s="543">
        <f t="shared" si="55"/>
        <v>1068.6077967613237</v>
      </c>
      <c r="AS58" s="543">
        <f t="shared" si="55"/>
        <v>1068.2182357630004</v>
      </c>
      <c r="AT58" s="543">
        <f t="shared" si="55"/>
        <v>1067.8288167791484</v>
      </c>
      <c r="AU58" s="543">
        <f t="shared" si="55"/>
        <v>1067.4395397579965</v>
      </c>
      <c r="AV58" s="543">
        <f t="shared" si="55"/>
        <v>1067.050404647792</v>
      </c>
      <c r="AW58" s="543">
        <f t="shared" si="55"/>
        <v>1066.6614113968014</v>
      </c>
      <c r="AX58" s="543">
        <f t="shared" si="55"/>
        <v>1066.2725599533101</v>
      </c>
      <c r="AY58" s="543">
        <f t="shared" si="55"/>
        <v>1065.883850265622</v>
      </c>
      <c r="AZ58" s="543">
        <f t="shared" si="55"/>
        <v>1065.4952822820599</v>
      </c>
      <c r="BA58" s="543">
        <f t="shared" si="55"/>
        <v>1065.1068559509656</v>
      </c>
      <c r="BB58" s="543">
        <f t="shared" si="55"/>
        <v>1064.7185712206999</v>
      </c>
      <c r="BC58" s="543">
        <f t="shared" si="55"/>
        <v>1064.3304280396421</v>
      </c>
    </row>
    <row r="59" spans="8:55" x14ac:dyDescent="0.3">
      <c r="H59" s="542" t="str">
        <f>input_names!$C$3</f>
        <v>diesel</v>
      </c>
      <c r="I59" s="542" t="s">
        <v>1500</v>
      </c>
      <c r="J59" s="543">
        <f t="shared" ref="J59:BC59" si="56">IF(J$4&gt;input_basisjaar,I59*(1+$B$42),$D29)</f>
        <v>1122</v>
      </c>
      <c r="K59" s="543">
        <f t="shared" si="56"/>
        <v>1122</v>
      </c>
      <c r="L59" s="543">
        <f t="shared" si="56"/>
        <v>1122</v>
      </c>
      <c r="M59" s="543">
        <f t="shared" si="56"/>
        <v>1122</v>
      </c>
      <c r="N59" s="543">
        <f t="shared" si="56"/>
        <v>1122</v>
      </c>
      <c r="O59" s="543">
        <f t="shared" si="56"/>
        <v>1122</v>
      </c>
      <c r="P59" s="543">
        <f t="shared" si="56"/>
        <v>1122</v>
      </c>
      <c r="Q59" s="543">
        <f t="shared" si="56"/>
        <v>1122</v>
      </c>
      <c r="R59" s="543">
        <f t="shared" si="56"/>
        <v>1122</v>
      </c>
      <c r="S59" s="543">
        <f t="shared" si="56"/>
        <v>1122</v>
      </c>
      <c r="T59" s="543">
        <f t="shared" si="56"/>
        <v>1122</v>
      </c>
      <c r="U59" s="543">
        <f t="shared" si="56"/>
        <v>1121.5909748726863</v>
      </c>
      <c r="V59" s="543">
        <f t="shared" si="56"/>
        <v>1121.1820988554925</v>
      </c>
      <c r="W59" s="543">
        <f t="shared" si="56"/>
        <v>1120.7733718940608</v>
      </c>
      <c r="X59" s="543">
        <f t="shared" si="56"/>
        <v>1120.3647939340528</v>
      </c>
      <c r="Y59" s="543">
        <f t="shared" si="56"/>
        <v>1119.9563649211502</v>
      </c>
      <c r="Z59" s="543">
        <f t="shared" si="56"/>
        <v>1119.5480848010541</v>
      </c>
      <c r="AA59" s="543">
        <f t="shared" si="56"/>
        <v>1119.1399535194857</v>
      </c>
      <c r="AB59" s="543">
        <f t="shared" si="56"/>
        <v>1118.7319710221859</v>
      </c>
      <c r="AC59" s="543">
        <f t="shared" si="56"/>
        <v>1118.3241372549155</v>
      </c>
      <c r="AD59" s="543">
        <f t="shared" si="56"/>
        <v>1117.9164521634548</v>
      </c>
      <c r="AE59" s="543">
        <f t="shared" si="56"/>
        <v>1117.5089156936042</v>
      </c>
      <c r="AF59" s="543">
        <f t="shared" si="56"/>
        <v>1117.1015277911836</v>
      </c>
      <c r="AG59" s="543">
        <f t="shared" si="56"/>
        <v>1116.6942884020327</v>
      </c>
      <c r="AH59" s="543">
        <f t="shared" si="56"/>
        <v>1116.287197472011</v>
      </c>
      <c r="AI59" s="543">
        <f t="shared" si="56"/>
        <v>1115.8802549469979</v>
      </c>
      <c r="AJ59" s="543">
        <f t="shared" si="56"/>
        <v>1115.4734607728922</v>
      </c>
      <c r="AK59" s="543">
        <f t="shared" si="56"/>
        <v>1115.0668148956124</v>
      </c>
      <c r="AL59" s="543">
        <f t="shared" si="56"/>
        <v>1114.6603172610971</v>
      </c>
      <c r="AM59" s="543">
        <f t="shared" si="56"/>
        <v>1114.2539678153043</v>
      </c>
      <c r="AN59" s="543">
        <f t="shared" si="56"/>
        <v>1113.8477665042119</v>
      </c>
      <c r="AO59" s="543">
        <f t="shared" si="56"/>
        <v>1113.4417132738174</v>
      </c>
      <c r="AP59" s="543">
        <f t="shared" si="56"/>
        <v>1113.035808070138</v>
      </c>
      <c r="AQ59" s="543">
        <f t="shared" si="56"/>
        <v>1112.6300508392105</v>
      </c>
      <c r="AR59" s="543">
        <f t="shared" si="56"/>
        <v>1112.2244415270914</v>
      </c>
      <c r="AS59" s="543">
        <f t="shared" si="56"/>
        <v>1111.8189800798568</v>
      </c>
      <c r="AT59" s="543">
        <f t="shared" si="56"/>
        <v>1111.4136664436028</v>
      </c>
      <c r="AU59" s="543">
        <f t="shared" si="56"/>
        <v>1111.0085005644446</v>
      </c>
      <c r="AV59" s="543">
        <f t="shared" si="56"/>
        <v>1110.6034823885175</v>
      </c>
      <c r="AW59" s="543">
        <f t="shared" si="56"/>
        <v>1110.1986118619764</v>
      </c>
      <c r="AX59" s="543">
        <f t="shared" si="56"/>
        <v>1109.7938889309955</v>
      </c>
      <c r="AY59" s="543">
        <f t="shared" si="56"/>
        <v>1109.3893135417691</v>
      </c>
      <c r="AZ59" s="543">
        <f t="shared" si="56"/>
        <v>1108.9848856405106</v>
      </c>
      <c r="BA59" s="543">
        <f t="shared" si="56"/>
        <v>1108.5806051734533</v>
      </c>
      <c r="BB59" s="543">
        <f t="shared" si="56"/>
        <v>1108.17647208685</v>
      </c>
      <c r="BC59" s="543">
        <f t="shared" si="56"/>
        <v>1107.7724863269734</v>
      </c>
    </row>
    <row r="60" spans="8:55" x14ac:dyDescent="0.3">
      <c r="H60" s="542" t="str">
        <f>input_names!$C$3</f>
        <v>diesel</v>
      </c>
      <c r="I60" s="542" t="s">
        <v>1501</v>
      </c>
      <c r="J60" s="543">
        <f t="shared" ref="J60:BC60" si="57">IF(J$4&gt;input_basisjaar,I60*(1+$B$42),$D30)</f>
        <v>1166</v>
      </c>
      <c r="K60" s="543">
        <f t="shared" si="57"/>
        <v>1166</v>
      </c>
      <c r="L60" s="543">
        <f t="shared" si="57"/>
        <v>1166</v>
      </c>
      <c r="M60" s="543">
        <f t="shared" si="57"/>
        <v>1166</v>
      </c>
      <c r="N60" s="543">
        <f t="shared" si="57"/>
        <v>1166</v>
      </c>
      <c r="O60" s="543">
        <f t="shared" si="57"/>
        <v>1166</v>
      </c>
      <c r="P60" s="543">
        <f t="shared" si="57"/>
        <v>1166</v>
      </c>
      <c r="Q60" s="543">
        <f t="shared" si="57"/>
        <v>1166</v>
      </c>
      <c r="R60" s="543">
        <f t="shared" si="57"/>
        <v>1166</v>
      </c>
      <c r="S60" s="543">
        <f t="shared" si="57"/>
        <v>1166</v>
      </c>
      <c r="T60" s="543">
        <f t="shared" si="57"/>
        <v>1166</v>
      </c>
      <c r="U60" s="543">
        <f t="shared" si="57"/>
        <v>1165.574934671615</v>
      </c>
      <c r="V60" s="543">
        <f t="shared" si="57"/>
        <v>1165.1500243008059</v>
      </c>
      <c r="W60" s="543">
        <f t="shared" si="57"/>
        <v>1164.7252688310828</v>
      </c>
      <c r="X60" s="543">
        <f t="shared" si="57"/>
        <v>1164.3006682059765</v>
      </c>
      <c r="Y60" s="543">
        <f t="shared" si="57"/>
        <v>1163.8762223690385</v>
      </c>
      <c r="Z60" s="543">
        <f t="shared" si="57"/>
        <v>1163.4519312638406</v>
      </c>
      <c r="AA60" s="543">
        <f t="shared" si="57"/>
        <v>1163.0277948339753</v>
      </c>
      <c r="AB60" s="543">
        <f t="shared" si="57"/>
        <v>1162.6038130230561</v>
      </c>
      <c r="AC60" s="543">
        <f t="shared" si="57"/>
        <v>1162.1799857747162</v>
      </c>
      <c r="AD60" s="543">
        <f t="shared" si="57"/>
        <v>1161.75631303261</v>
      </c>
      <c r="AE60" s="543">
        <f t="shared" si="57"/>
        <v>1161.3327947404123</v>
      </c>
      <c r="AF60" s="543">
        <f t="shared" si="57"/>
        <v>1160.9094308418182</v>
      </c>
      <c r="AG60" s="543">
        <f t="shared" si="57"/>
        <v>1160.4862212805438</v>
      </c>
      <c r="AH60" s="543">
        <f t="shared" si="57"/>
        <v>1160.0631660003253</v>
      </c>
      <c r="AI60" s="543">
        <f t="shared" si="57"/>
        <v>1159.6402649449194</v>
      </c>
      <c r="AJ60" s="543">
        <f t="shared" si="57"/>
        <v>1159.2175180581037</v>
      </c>
      <c r="AK60" s="543">
        <f t="shared" si="57"/>
        <v>1158.7949252836756</v>
      </c>
      <c r="AL60" s="543">
        <f t="shared" si="57"/>
        <v>1158.372486565454</v>
      </c>
      <c r="AM60" s="543">
        <f t="shared" si="57"/>
        <v>1157.9502018472772</v>
      </c>
      <c r="AN60" s="543">
        <f t="shared" si="57"/>
        <v>1157.5280710730049</v>
      </c>
      <c r="AO60" s="543">
        <f t="shared" si="57"/>
        <v>1157.1060941865164</v>
      </c>
      <c r="AP60" s="543">
        <f t="shared" si="57"/>
        <v>1156.6842711317122</v>
      </c>
      <c r="AQ60" s="543">
        <f t="shared" si="57"/>
        <v>1156.2626018525129</v>
      </c>
      <c r="AR60" s="543">
        <f t="shared" si="57"/>
        <v>1155.8410862928597</v>
      </c>
      <c r="AS60" s="543">
        <f t="shared" si="57"/>
        <v>1155.4197243967139</v>
      </c>
      <c r="AT60" s="543">
        <f t="shared" si="57"/>
        <v>1154.9985161080576</v>
      </c>
      <c r="AU60" s="543">
        <f t="shared" si="57"/>
        <v>1154.5774613708934</v>
      </c>
      <c r="AV60" s="543">
        <f t="shared" si="57"/>
        <v>1154.1565601292436</v>
      </c>
      <c r="AW60" s="543">
        <f t="shared" si="57"/>
        <v>1153.735812327152</v>
      </c>
      <c r="AX60" s="543">
        <f t="shared" si="57"/>
        <v>1153.3152179086817</v>
      </c>
      <c r="AY60" s="543">
        <f t="shared" si="57"/>
        <v>1152.8947768179169</v>
      </c>
      <c r="AZ60" s="543">
        <f t="shared" si="57"/>
        <v>1152.474488998962</v>
      </c>
      <c r="BA60" s="543">
        <f t="shared" si="57"/>
        <v>1152.0543543959418</v>
      </c>
      <c r="BB60" s="543">
        <f t="shared" si="57"/>
        <v>1151.6343729530013</v>
      </c>
      <c r="BC60" s="543">
        <f t="shared" si="57"/>
        <v>1151.2145446143061</v>
      </c>
    </row>
    <row r="61" spans="8:55" x14ac:dyDescent="0.3">
      <c r="H61" s="542" t="str">
        <f>input_names!$C$3</f>
        <v>diesel</v>
      </c>
      <c r="I61" s="542" t="s">
        <v>1502</v>
      </c>
      <c r="J61" s="543">
        <f t="shared" ref="J61:BC61" si="58">IF(J$4&gt;input_basisjaar,I61*(1+$B$42),$D31)</f>
        <v>1210</v>
      </c>
      <c r="K61" s="543">
        <f t="shared" si="58"/>
        <v>1210</v>
      </c>
      <c r="L61" s="543">
        <f t="shared" si="58"/>
        <v>1210</v>
      </c>
      <c r="M61" s="543">
        <f t="shared" si="58"/>
        <v>1210</v>
      </c>
      <c r="N61" s="543">
        <f t="shared" si="58"/>
        <v>1210</v>
      </c>
      <c r="O61" s="543">
        <f t="shared" si="58"/>
        <v>1210</v>
      </c>
      <c r="P61" s="543">
        <f t="shared" si="58"/>
        <v>1210</v>
      </c>
      <c r="Q61" s="543">
        <f t="shared" si="58"/>
        <v>1210</v>
      </c>
      <c r="R61" s="543">
        <f t="shared" si="58"/>
        <v>1210</v>
      </c>
      <c r="S61" s="543">
        <f t="shared" si="58"/>
        <v>1210</v>
      </c>
      <c r="T61" s="543">
        <f t="shared" si="58"/>
        <v>1210</v>
      </c>
      <c r="U61" s="543">
        <f t="shared" si="58"/>
        <v>1209.5588944705439</v>
      </c>
      <c r="V61" s="543">
        <f t="shared" si="58"/>
        <v>1209.1179497461194</v>
      </c>
      <c r="W61" s="543">
        <f t="shared" si="58"/>
        <v>1208.6771657681047</v>
      </c>
      <c r="X61" s="543">
        <f t="shared" si="58"/>
        <v>1208.2365424779</v>
      </c>
      <c r="Y61" s="543">
        <f t="shared" si="58"/>
        <v>1207.7960798169265</v>
      </c>
      <c r="Z61" s="543">
        <f t="shared" si="58"/>
        <v>1207.3557777266269</v>
      </c>
      <c r="AA61" s="543">
        <f t="shared" si="58"/>
        <v>1206.915636148465</v>
      </c>
      <c r="AB61" s="543">
        <f t="shared" si="58"/>
        <v>1206.475655023926</v>
      </c>
      <c r="AC61" s="543">
        <f t="shared" si="58"/>
        <v>1206.0358342945167</v>
      </c>
      <c r="AD61" s="543">
        <f t="shared" si="58"/>
        <v>1205.596173901765</v>
      </c>
      <c r="AE61" s="543">
        <f t="shared" si="58"/>
        <v>1205.1566737872204</v>
      </c>
      <c r="AF61" s="543">
        <f t="shared" si="58"/>
        <v>1204.7173338924531</v>
      </c>
      <c r="AG61" s="543">
        <f t="shared" si="58"/>
        <v>1204.278154159055</v>
      </c>
      <c r="AH61" s="543">
        <f t="shared" si="58"/>
        <v>1203.8391345286395</v>
      </c>
      <c r="AI61" s="543">
        <f t="shared" si="58"/>
        <v>1203.400274942841</v>
      </c>
      <c r="AJ61" s="543">
        <f t="shared" si="58"/>
        <v>1202.9615753433152</v>
      </c>
      <c r="AK61" s="543">
        <f t="shared" si="58"/>
        <v>1202.5230356717391</v>
      </c>
      <c r="AL61" s="543">
        <f t="shared" si="58"/>
        <v>1202.0846558698108</v>
      </c>
      <c r="AM61" s="543">
        <f t="shared" si="58"/>
        <v>1201.64643587925</v>
      </c>
      <c r="AN61" s="543">
        <f t="shared" si="58"/>
        <v>1201.2083756417976</v>
      </c>
      <c r="AO61" s="543">
        <f t="shared" si="58"/>
        <v>1200.7704750992152</v>
      </c>
      <c r="AP61" s="543">
        <f t="shared" si="58"/>
        <v>1200.3327341932863</v>
      </c>
      <c r="AQ61" s="543">
        <f t="shared" si="58"/>
        <v>1199.8951528658154</v>
      </c>
      <c r="AR61" s="543">
        <f t="shared" si="58"/>
        <v>1199.457731058628</v>
      </c>
      <c r="AS61" s="543">
        <f t="shared" si="58"/>
        <v>1199.0204687135711</v>
      </c>
      <c r="AT61" s="543">
        <f t="shared" si="58"/>
        <v>1198.5833657725127</v>
      </c>
      <c r="AU61" s="543">
        <f t="shared" si="58"/>
        <v>1198.1464221773422</v>
      </c>
      <c r="AV61" s="543">
        <f t="shared" si="58"/>
        <v>1197.7096378699698</v>
      </c>
      <c r="AW61" s="543">
        <f t="shared" si="58"/>
        <v>1197.2730127923273</v>
      </c>
      <c r="AX61" s="543">
        <f t="shared" si="58"/>
        <v>1196.8365468863676</v>
      </c>
      <c r="AY61" s="543">
        <f t="shared" si="58"/>
        <v>1196.4002400940647</v>
      </c>
      <c r="AZ61" s="543">
        <f t="shared" si="58"/>
        <v>1195.9640923574134</v>
      </c>
      <c r="BA61" s="543">
        <f t="shared" si="58"/>
        <v>1195.5281036184301</v>
      </c>
      <c r="BB61" s="543">
        <f t="shared" si="58"/>
        <v>1195.0922738191523</v>
      </c>
      <c r="BC61" s="543">
        <f t="shared" si="58"/>
        <v>1194.6566029016383</v>
      </c>
    </row>
    <row r="62" spans="8:55" x14ac:dyDescent="0.3">
      <c r="H62" s="542" t="str">
        <f>input_names!$C$3</f>
        <v>diesel</v>
      </c>
      <c r="I62" s="542" t="s">
        <v>1503</v>
      </c>
      <c r="J62" s="543">
        <f t="shared" ref="J62:BC62" si="59">IF(J$4&gt;input_basisjaar,I62*(1+$B$42),$D32)</f>
        <v>1254</v>
      </c>
      <c r="K62" s="543">
        <f t="shared" si="59"/>
        <v>1254</v>
      </c>
      <c r="L62" s="543">
        <f t="shared" si="59"/>
        <v>1254</v>
      </c>
      <c r="M62" s="543">
        <f t="shared" si="59"/>
        <v>1254</v>
      </c>
      <c r="N62" s="543">
        <f t="shared" si="59"/>
        <v>1254</v>
      </c>
      <c r="O62" s="543">
        <f t="shared" si="59"/>
        <v>1254</v>
      </c>
      <c r="P62" s="543">
        <f t="shared" si="59"/>
        <v>1254</v>
      </c>
      <c r="Q62" s="543">
        <f t="shared" si="59"/>
        <v>1254</v>
      </c>
      <c r="R62" s="543">
        <f t="shared" si="59"/>
        <v>1254</v>
      </c>
      <c r="S62" s="543">
        <f t="shared" si="59"/>
        <v>1254</v>
      </c>
      <c r="T62" s="543">
        <f t="shared" si="59"/>
        <v>1254</v>
      </c>
      <c r="U62" s="543">
        <f t="shared" si="59"/>
        <v>1253.5428542694729</v>
      </c>
      <c r="V62" s="543">
        <f t="shared" si="59"/>
        <v>1253.0858751914329</v>
      </c>
      <c r="W62" s="543">
        <f t="shared" si="59"/>
        <v>1252.6290627051269</v>
      </c>
      <c r="X62" s="543">
        <f t="shared" si="59"/>
        <v>1252.1724167498239</v>
      </c>
      <c r="Y62" s="543">
        <f t="shared" si="59"/>
        <v>1251.715937264815</v>
      </c>
      <c r="Z62" s="543">
        <f t="shared" si="59"/>
        <v>1251.2596241894134</v>
      </c>
      <c r="AA62" s="543">
        <f t="shared" si="59"/>
        <v>1250.8034774629548</v>
      </c>
      <c r="AB62" s="543">
        <f t="shared" si="59"/>
        <v>1250.3474970247962</v>
      </c>
      <c r="AC62" s="543">
        <f t="shared" si="59"/>
        <v>1249.8916828143176</v>
      </c>
      <c r="AD62" s="543">
        <f t="shared" si="59"/>
        <v>1249.4360347709205</v>
      </c>
      <c r="AE62" s="543">
        <f t="shared" si="59"/>
        <v>1248.9805528340287</v>
      </c>
      <c r="AF62" s="543">
        <f t="shared" si="59"/>
        <v>1248.525236943088</v>
      </c>
      <c r="AG62" s="543">
        <f t="shared" si="59"/>
        <v>1248.0700870375665</v>
      </c>
      <c r="AH62" s="543">
        <f t="shared" si="59"/>
        <v>1247.615103056954</v>
      </c>
      <c r="AI62" s="543">
        <f t="shared" si="59"/>
        <v>1247.1602849407627</v>
      </c>
      <c r="AJ62" s="543">
        <f t="shared" si="59"/>
        <v>1246.7056326285269</v>
      </c>
      <c r="AK62" s="543">
        <f t="shared" si="59"/>
        <v>1246.2511460598025</v>
      </c>
      <c r="AL62" s="543">
        <f t="shared" si="59"/>
        <v>1245.7968251741679</v>
      </c>
      <c r="AM62" s="543">
        <f t="shared" si="59"/>
        <v>1245.3426699112231</v>
      </c>
      <c r="AN62" s="543">
        <f t="shared" si="59"/>
        <v>1244.8886802105906</v>
      </c>
      <c r="AO62" s="543">
        <f t="shared" si="59"/>
        <v>1244.4348560119145</v>
      </c>
      <c r="AP62" s="543">
        <f t="shared" si="59"/>
        <v>1243.9811972548609</v>
      </c>
      <c r="AQ62" s="543">
        <f t="shared" si="59"/>
        <v>1243.5277038791185</v>
      </c>
      <c r="AR62" s="543">
        <f t="shared" si="59"/>
        <v>1243.0743758243971</v>
      </c>
      <c r="AS62" s="543">
        <f t="shared" si="59"/>
        <v>1242.6212130304291</v>
      </c>
      <c r="AT62" s="543">
        <f t="shared" si="59"/>
        <v>1242.1682154369687</v>
      </c>
      <c r="AU62" s="543">
        <f t="shared" si="59"/>
        <v>1241.7153829837919</v>
      </c>
      <c r="AV62" s="543">
        <f t="shared" si="59"/>
        <v>1241.2627156106969</v>
      </c>
      <c r="AW62" s="543">
        <f t="shared" si="59"/>
        <v>1240.8102132575038</v>
      </c>
      <c r="AX62" s="543">
        <f t="shared" si="59"/>
        <v>1240.3578758640547</v>
      </c>
      <c r="AY62" s="543">
        <f t="shared" si="59"/>
        <v>1239.9057033702134</v>
      </c>
      <c r="AZ62" s="543">
        <f t="shared" si="59"/>
        <v>1239.4536957158657</v>
      </c>
      <c r="BA62" s="543">
        <f t="shared" si="59"/>
        <v>1239.0018528409194</v>
      </c>
      <c r="BB62" s="543">
        <f t="shared" si="59"/>
        <v>1238.550174685304</v>
      </c>
      <c r="BC62" s="543">
        <f t="shared" si="59"/>
        <v>1238.0986611889714</v>
      </c>
    </row>
    <row r="63" spans="8:55" x14ac:dyDescent="0.3">
      <c r="H63" s="542" t="str">
        <f>input_names!$C$3</f>
        <v>diesel</v>
      </c>
      <c r="I63" s="542" t="s">
        <v>1504</v>
      </c>
      <c r="J63" s="543">
        <f t="shared" ref="J63:BC63" si="60">IF(J$4&gt;input_basisjaar,I63*(1+$B$42),$D33)</f>
        <v>1294</v>
      </c>
      <c r="K63" s="543">
        <f t="shared" si="60"/>
        <v>1294</v>
      </c>
      <c r="L63" s="543">
        <f t="shared" si="60"/>
        <v>1294</v>
      </c>
      <c r="M63" s="543">
        <f t="shared" si="60"/>
        <v>1294</v>
      </c>
      <c r="N63" s="543">
        <f t="shared" si="60"/>
        <v>1294</v>
      </c>
      <c r="O63" s="543">
        <f t="shared" si="60"/>
        <v>1294</v>
      </c>
      <c r="P63" s="543">
        <f t="shared" si="60"/>
        <v>1294</v>
      </c>
      <c r="Q63" s="543">
        <f t="shared" si="60"/>
        <v>1294</v>
      </c>
      <c r="R63" s="543">
        <f t="shared" si="60"/>
        <v>1294</v>
      </c>
      <c r="S63" s="543">
        <f t="shared" si="60"/>
        <v>1294</v>
      </c>
      <c r="T63" s="543">
        <f t="shared" si="60"/>
        <v>1294</v>
      </c>
      <c r="U63" s="543">
        <f t="shared" si="60"/>
        <v>1293.528272268499</v>
      </c>
      <c r="V63" s="543">
        <f t="shared" si="60"/>
        <v>1293.056716505354</v>
      </c>
      <c r="W63" s="543">
        <f t="shared" si="60"/>
        <v>1292.5853326478739</v>
      </c>
      <c r="X63" s="543">
        <f t="shared" si="60"/>
        <v>1292.1141206333905</v>
      </c>
      <c r="Y63" s="543">
        <f t="shared" si="60"/>
        <v>1291.6430803992585</v>
      </c>
      <c r="Z63" s="543">
        <f t="shared" si="60"/>
        <v>1291.1722118828552</v>
      </c>
      <c r="AA63" s="543">
        <f t="shared" si="60"/>
        <v>1290.7015150215811</v>
      </c>
      <c r="AB63" s="543">
        <f t="shared" si="60"/>
        <v>1290.2309897528594</v>
      </c>
      <c r="AC63" s="543">
        <f t="shared" si="60"/>
        <v>1289.7606360141358</v>
      </c>
      <c r="AD63" s="543">
        <f t="shared" si="60"/>
        <v>1289.290453742879</v>
      </c>
      <c r="AE63" s="543">
        <f t="shared" si="60"/>
        <v>1288.8204428765807</v>
      </c>
      <c r="AF63" s="543">
        <f t="shared" si="60"/>
        <v>1288.3506033527551</v>
      </c>
      <c r="AG63" s="543">
        <f t="shared" si="60"/>
        <v>1287.8809351089394</v>
      </c>
      <c r="AH63" s="543">
        <f t="shared" si="60"/>
        <v>1287.4114380826934</v>
      </c>
      <c r="AI63" s="543">
        <f t="shared" si="60"/>
        <v>1286.9421122115998</v>
      </c>
      <c r="AJ63" s="543">
        <f t="shared" si="60"/>
        <v>1286.4729574332639</v>
      </c>
      <c r="AK63" s="543">
        <f t="shared" si="60"/>
        <v>1286.0039736853139</v>
      </c>
      <c r="AL63" s="543">
        <f t="shared" si="60"/>
        <v>1285.5351609054005</v>
      </c>
      <c r="AM63" s="543">
        <f t="shared" si="60"/>
        <v>1285.0665190311975</v>
      </c>
      <c r="AN63" s="543">
        <f t="shared" si="60"/>
        <v>1284.5980480004011</v>
      </c>
      <c r="AO63" s="543">
        <f t="shared" si="60"/>
        <v>1284.1297477507305</v>
      </c>
      <c r="AP63" s="543">
        <f t="shared" si="60"/>
        <v>1283.6616182199273</v>
      </c>
      <c r="AQ63" s="543">
        <f t="shared" si="60"/>
        <v>1283.1936593457558</v>
      </c>
      <c r="AR63" s="543">
        <f t="shared" si="60"/>
        <v>1282.7258710660035</v>
      </c>
      <c r="AS63" s="543">
        <f t="shared" si="60"/>
        <v>1282.2582533184798</v>
      </c>
      <c r="AT63" s="543">
        <f t="shared" si="60"/>
        <v>1281.7908060410173</v>
      </c>
      <c r="AU63" s="543">
        <f t="shared" si="60"/>
        <v>1281.3235291714714</v>
      </c>
      <c r="AV63" s="543">
        <f t="shared" si="60"/>
        <v>1280.8564226477195</v>
      </c>
      <c r="AW63" s="543">
        <f t="shared" si="60"/>
        <v>1280.3894864076622</v>
      </c>
      <c r="AX63" s="543">
        <f t="shared" si="60"/>
        <v>1279.9227203892226</v>
      </c>
      <c r="AY63" s="543">
        <f t="shared" si="60"/>
        <v>1279.4561245303464</v>
      </c>
      <c r="AZ63" s="543">
        <f t="shared" si="60"/>
        <v>1278.989698769002</v>
      </c>
      <c r="BA63" s="543">
        <f t="shared" si="60"/>
        <v>1278.5234430431801</v>
      </c>
      <c r="BB63" s="543">
        <f t="shared" si="60"/>
        <v>1278.0573572908945</v>
      </c>
      <c r="BC63" s="543">
        <f t="shared" si="60"/>
        <v>1277.5914414501813</v>
      </c>
    </row>
    <row r="64" spans="8:55" x14ac:dyDescent="0.3">
      <c r="H64" s="542" t="str">
        <f>input_names!$C$3</f>
        <v>diesel</v>
      </c>
      <c r="I64" s="542" t="s">
        <v>1505</v>
      </c>
      <c r="J64" s="543">
        <f t="shared" ref="J64:BC64" si="61">IF(J$4&gt;input_basisjaar,I64*(1+$B$42),$D34)</f>
        <v>1333</v>
      </c>
      <c r="K64" s="543">
        <f t="shared" si="61"/>
        <v>1333</v>
      </c>
      <c r="L64" s="543">
        <f t="shared" si="61"/>
        <v>1333</v>
      </c>
      <c r="M64" s="543">
        <f t="shared" si="61"/>
        <v>1333</v>
      </c>
      <c r="N64" s="543">
        <f t="shared" si="61"/>
        <v>1333</v>
      </c>
      <c r="O64" s="543">
        <f t="shared" si="61"/>
        <v>1333</v>
      </c>
      <c r="P64" s="543">
        <f t="shared" si="61"/>
        <v>1333</v>
      </c>
      <c r="Q64" s="543">
        <f t="shared" si="61"/>
        <v>1333</v>
      </c>
      <c r="R64" s="543">
        <f t="shared" si="61"/>
        <v>1333</v>
      </c>
      <c r="S64" s="543">
        <f t="shared" si="61"/>
        <v>1333</v>
      </c>
      <c r="T64" s="543">
        <f t="shared" si="61"/>
        <v>1333</v>
      </c>
      <c r="U64" s="543">
        <f t="shared" si="61"/>
        <v>1332.5140548175495</v>
      </c>
      <c r="V64" s="543">
        <f t="shared" si="61"/>
        <v>1332.0282867864273</v>
      </c>
      <c r="W64" s="543">
        <f t="shared" si="61"/>
        <v>1331.5426958420526</v>
      </c>
      <c r="X64" s="543">
        <f t="shared" si="61"/>
        <v>1331.0572819198685</v>
      </c>
      <c r="Y64" s="543">
        <f t="shared" si="61"/>
        <v>1330.5720449553414</v>
      </c>
      <c r="Z64" s="543">
        <f t="shared" si="61"/>
        <v>1330.0869848839616</v>
      </c>
      <c r="AA64" s="543">
        <f t="shared" si="61"/>
        <v>1329.6021016412426</v>
      </c>
      <c r="AB64" s="543">
        <f t="shared" si="61"/>
        <v>1329.1173951627216</v>
      </c>
      <c r="AC64" s="543">
        <f t="shared" si="61"/>
        <v>1328.6328653839591</v>
      </c>
      <c r="AD64" s="543">
        <f t="shared" si="61"/>
        <v>1328.1485122405393</v>
      </c>
      <c r="AE64" s="543">
        <f t="shared" si="61"/>
        <v>1327.6643356680697</v>
      </c>
      <c r="AF64" s="543">
        <f t="shared" si="61"/>
        <v>1327.1803356021815</v>
      </c>
      <c r="AG64" s="543">
        <f t="shared" si="61"/>
        <v>1326.6965119785289</v>
      </c>
      <c r="AH64" s="543">
        <f t="shared" si="61"/>
        <v>1326.2128647327902</v>
      </c>
      <c r="AI64" s="543">
        <f t="shared" si="61"/>
        <v>1325.7293938006667</v>
      </c>
      <c r="AJ64" s="543">
        <f t="shared" si="61"/>
        <v>1325.2460991178832</v>
      </c>
      <c r="AK64" s="543">
        <f t="shared" si="61"/>
        <v>1324.762980620188</v>
      </c>
      <c r="AL64" s="543">
        <f t="shared" si="61"/>
        <v>1324.2800382433531</v>
      </c>
      <c r="AM64" s="543">
        <f t="shared" si="61"/>
        <v>1323.7972719231734</v>
      </c>
      <c r="AN64" s="543">
        <f t="shared" si="61"/>
        <v>1323.3146815954674</v>
      </c>
      <c r="AO64" s="543">
        <f t="shared" si="61"/>
        <v>1322.8322671960771</v>
      </c>
      <c r="AP64" s="543">
        <f t="shared" si="61"/>
        <v>1322.3500286608678</v>
      </c>
      <c r="AQ64" s="543">
        <f t="shared" si="61"/>
        <v>1321.8679659257284</v>
      </c>
      <c r="AR64" s="543">
        <f t="shared" si="61"/>
        <v>1321.3860789265707</v>
      </c>
      <c r="AS64" s="543">
        <f t="shared" si="61"/>
        <v>1320.9043675993303</v>
      </c>
      <c r="AT64" s="543">
        <f t="shared" si="61"/>
        <v>1320.422831879966</v>
      </c>
      <c r="AU64" s="543">
        <f t="shared" si="61"/>
        <v>1319.9414717044599</v>
      </c>
      <c r="AV64" s="543">
        <f t="shared" si="61"/>
        <v>1319.4602870088174</v>
      </c>
      <c r="AW64" s="543">
        <f t="shared" si="61"/>
        <v>1318.9792777290677</v>
      </c>
      <c r="AX64" s="543">
        <f t="shared" si="61"/>
        <v>1318.4984438012625</v>
      </c>
      <c r="AY64" s="543">
        <f t="shared" si="61"/>
        <v>1318.0177851614774</v>
      </c>
      <c r="AZ64" s="543">
        <f t="shared" si="61"/>
        <v>1317.5373017458112</v>
      </c>
      <c r="BA64" s="543">
        <f t="shared" si="61"/>
        <v>1317.0569934903858</v>
      </c>
      <c r="BB64" s="543">
        <f t="shared" si="61"/>
        <v>1316.5768603313466</v>
      </c>
      <c r="BC64" s="543">
        <f t="shared" si="61"/>
        <v>1316.0969022048621</v>
      </c>
    </row>
    <row r="65" spans="7:55" x14ac:dyDescent="0.3">
      <c r="G65">
        <f>SUMPRODUCT((input_MRB_EV=input_data!$C$55:$C$57)*1,input_data!$F$55:$F$57)</f>
        <v>1</v>
      </c>
      <c r="H65" s="542" t="str">
        <f>input_names!$D$3</f>
        <v>Elektrisch</v>
      </c>
      <c r="I65" s="542" t="s">
        <v>525</v>
      </c>
      <c r="J65" s="543" cm="1">
        <f t="array" ref="J65">J$1*J5*SUMPRODUCT(1*(input_MRB_EV=input_data!$C$55:$C$57),input_data!$F$55:$F$57)</f>
        <v>0</v>
      </c>
      <c r="K65" s="543" cm="1">
        <f t="array" ref="K65">K$1*K5*SUMPRODUCT(1*(input_MRB_EV=input_data!$C$55:$C$57),input_data!$F$55:$F$57)</f>
        <v>0</v>
      </c>
      <c r="L65" s="543" cm="1">
        <f t="array" ref="L65">L$1*L5*SUMPRODUCT(1*(input_MRB_EV=input_data!$C$55:$C$57),input_data!$F$55:$F$57)</f>
        <v>0</v>
      </c>
      <c r="M65" s="543" cm="1">
        <f t="array" ref="M65">M$1*M5*SUMPRODUCT(1*(input_MRB_EV=input_data!$C$55:$C$57),input_data!$F$55:$F$57)</f>
        <v>0</v>
      </c>
      <c r="N65" s="543" cm="1">
        <f t="array" ref="N65">N$1*N5*SUMPRODUCT(1*(input_MRB_EV=input_data!$C$55:$C$57),input_data!$F$55:$F$57)</f>
        <v>0</v>
      </c>
      <c r="O65" s="543" cm="1">
        <f t="array" ref="O65">O$1*O5*SUMPRODUCT(1*(input_MRB_EV=input_data!$C$55:$C$57),input_data!$F$55:$F$57)</f>
        <v>0</v>
      </c>
      <c r="P65" s="543" cm="1">
        <f t="array" ref="P65">P$1*P5*SUMPRODUCT(1*(input_MRB_EV=input_data!$C$55:$C$57),input_data!$F$55:$F$57)</f>
        <v>0</v>
      </c>
      <c r="Q65" s="543" cm="1">
        <f t="array" ref="Q65">Q$1*Q5*SUMPRODUCT(1*(input_MRB_EV=input_data!$C$55:$C$57),input_data!$F$55:$F$57)</f>
        <v>0</v>
      </c>
      <c r="R65" s="543" cm="1">
        <f t="array" ref="R65">R$1*R5*SUMPRODUCT(1*(input_MRB_EV=input_data!$C$55:$C$57),input_data!$F$55:$F$57)</f>
        <v>0</v>
      </c>
      <c r="S65" s="543" cm="1">
        <f t="array" ref="S65">S$1*S5*SUMPRODUCT(1*(input_MRB_EV=input_data!$C$55:$C$57),input_data!$F$55:$F$57)</f>
        <v>8.5</v>
      </c>
      <c r="T65" s="543" cm="1">
        <f t="array" ref="T65">T$1*T5*SUMPRODUCT(1*(input_MRB_EV=input_data!$C$55:$C$57),input_data!$F$55:$F$57)</f>
        <v>25.5</v>
      </c>
      <c r="U65" s="543" cm="1">
        <f t="array" ref="U65">U$1*U5*SUMPRODUCT(1*(input_MRB_EV=input_data!$C$55:$C$57),input_data!$F$55:$F$57)</f>
        <v>25.62110601819947</v>
      </c>
      <c r="V65" s="543" cm="1">
        <f t="array" ref="V65">V$1*V5*SUMPRODUCT(1*(input_MRB_EV=input_data!$C$55:$C$57),input_data!$F$55:$F$57)</f>
        <v>25.74278719983597</v>
      </c>
      <c r="W65" s="543" cm="1">
        <f t="array" ref="W65">W$1*W5*SUMPRODUCT(1*(input_MRB_EV=input_data!$C$55:$C$57),input_data!$F$55:$F$57)</f>
        <v>25.865046276507677</v>
      </c>
      <c r="X65" s="543" cm="1">
        <f t="array" ref="X65">X$1*X5*SUMPRODUCT(1*(input_MRB_EV=input_data!$C$55:$C$57),input_data!$F$55:$F$57)</f>
        <v>25.987885992785827</v>
      </c>
      <c r="Y65" s="543" cm="1">
        <f t="array" ref="Y65">Y$1*Y5*SUMPRODUCT(1*(input_MRB_EV=input_data!$C$55:$C$57),input_data!$F$55:$F$57)</f>
        <v>34.815078808368462</v>
      </c>
      <c r="Z65" s="543" cm="1">
        <f t="array" ref="Z65">Z$1*Z5*SUMPRODUCT(1*(input_MRB_EV=input_data!$C$55:$C$57),input_data!$F$55:$F$57)</f>
        <v>34.980424516908947</v>
      </c>
      <c r="AA65" s="543" cm="1">
        <f t="array" ref="AA65">AA$1*AA5*SUMPRODUCT(1*(input_MRB_EV=input_data!$C$55:$C$57),input_data!$F$55:$F$57)</f>
        <v>35.146555494484247</v>
      </c>
      <c r="AB65" s="543" cm="1">
        <f t="array" ref="AB65">AB$1*AB5*SUMPRODUCT(1*(input_MRB_EV=input_data!$C$55:$C$57),input_data!$F$55:$F$57)</f>
        <v>35.313475470537732</v>
      </c>
      <c r="AC65" s="543" cm="1">
        <f t="array" ref="AC65">AC$1*AC5*SUMPRODUCT(1*(input_MRB_EV=input_data!$C$55:$C$57),input_data!$F$55:$F$57)</f>
        <v>35.481188192224856</v>
      </c>
      <c r="AD65" s="543" cm="1">
        <f t="array" ref="AD65">AD$1*AD5*SUMPRODUCT(1*(input_MRB_EV=input_data!$C$55:$C$57),input_data!$F$55:$F$57)</f>
        <v>35.649697424497269</v>
      </c>
      <c r="AE65" s="543" cm="1">
        <f t="array" ref="AE65">AE$1*AE5*SUMPRODUCT(1*(input_MRB_EV=input_data!$C$55:$C$57),input_data!$F$55:$F$57)</f>
        <v>35.819006950187344</v>
      </c>
      <c r="AF65" s="543" cm="1">
        <f t="array" ref="AF65">AF$1*AF5*SUMPRODUCT(1*(input_MRB_EV=input_data!$C$55:$C$57),input_data!$F$55:$F$57)</f>
        <v>35.989120570093085</v>
      </c>
      <c r="AG65" s="543" cm="1">
        <f t="array" ref="AG65">AG$1*AG5*SUMPRODUCT(1*(input_MRB_EV=input_data!$C$55:$C$57),input_data!$F$55:$F$57)</f>
        <v>36.160042103063468</v>
      </c>
      <c r="AH65" s="543" cm="1">
        <f t="array" ref="AH65">AH$1*AH5*SUMPRODUCT(1*(input_MRB_EV=input_data!$C$55:$C$57),input_data!$F$55:$F$57)</f>
        <v>36.331775386084146</v>
      </c>
      <c r="AI65" s="543" cm="1">
        <f t="array" ref="AI65">AI$1*AI5*SUMPRODUCT(1*(input_MRB_EV=input_data!$C$55:$C$57),input_data!$F$55:$F$57)</f>
        <v>36.504324274363611</v>
      </c>
      <c r="AJ65" s="543" cm="1">
        <f t="array" ref="AJ65">AJ$1*AJ5*SUMPRODUCT(1*(input_MRB_EV=input_data!$C$55:$C$57),input_data!$F$55:$F$57)</f>
        <v>36.677692641419711</v>
      </c>
      <c r="AK65" s="543" cm="1">
        <f t="array" ref="AK65">AK$1*AK5*SUMPRODUCT(1*(input_MRB_EV=input_data!$C$55:$C$57),input_data!$F$55:$F$57)</f>
        <v>36.851884379166634</v>
      </c>
      <c r="AL65" s="543" cm="1">
        <f t="array" ref="AL65">AL$1*AL5*SUMPRODUCT(1*(input_MRB_EV=input_data!$C$55:$C$57),input_data!$F$55:$F$57)</f>
        <v>37.026903398002254</v>
      </c>
      <c r="AM65" s="543" cm="1">
        <f t="array" ref="AM65">AM$1*AM5*SUMPRODUCT(1*(input_MRB_EV=input_data!$C$55:$C$57),input_data!$F$55:$F$57)</f>
        <v>37.202753626895927</v>
      </c>
      <c r="AN65" s="543" cm="1">
        <f t="array" ref="AN65">AN$1*AN5*SUMPRODUCT(1*(input_MRB_EV=input_data!$C$55:$C$57),input_data!$F$55:$F$57)</f>
        <v>37.379439013476684</v>
      </c>
      <c r="AO65" s="543" cm="1">
        <f t="array" ref="AO65">AO$1*AO5*SUMPRODUCT(1*(input_MRB_EV=input_data!$C$55:$C$57),input_data!$F$55:$F$57)</f>
        <v>37.556963524121869</v>
      </c>
      <c r="AP65" s="543" cm="1">
        <f t="array" ref="AP65">AP$1*AP5*SUMPRODUCT(1*(input_MRB_EV=input_data!$C$55:$C$57),input_data!$F$55:$F$57)</f>
        <v>37.735331144046157</v>
      </c>
      <c r="AQ65" s="543" cm="1">
        <f t="array" ref="AQ65">AQ$1*AQ5*SUMPRODUCT(1*(input_MRB_EV=input_data!$C$55:$C$57),input_data!$F$55:$F$57)</f>
        <v>37.914545877391021</v>
      </c>
      <c r="AR65" s="543" cm="1">
        <f t="array" ref="AR65">AR$1*AR5*SUMPRODUCT(1*(input_MRB_EV=input_data!$C$55:$C$57),input_data!$F$55:$F$57)</f>
        <v>38.09461174731463</v>
      </c>
      <c r="AS65" s="543" cm="1">
        <f t="array" ref="AS65">AS$1*AS5*SUMPRODUCT(1*(input_MRB_EV=input_data!$C$55:$C$57),input_data!$F$55:$F$57)</f>
        <v>38.275532796082167</v>
      </c>
      <c r="AT65" s="543" cm="1">
        <f t="array" ref="AT65">AT$1*AT5*SUMPRODUCT(1*(input_MRB_EV=input_data!$C$55:$C$57),input_data!$F$55:$F$57)</f>
        <v>38.457313085156557</v>
      </c>
      <c r="AU65" s="543" cm="1">
        <f t="array" ref="AU65">AU$1*AU5*SUMPRODUCT(1*(input_MRB_EV=input_data!$C$55:$C$57),input_data!$F$55:$F$57)</f>
        <v>38.639956695289648</v>
      </c>
      <c r="AV65" s="543" cm="1">
        <f t="array" ref="AV65">AV$1*AV5*SUMPRODUCT(1*(input_MRB_EV=input_data!$C$55:$C$57),input_data!$F$55:$F$57)</f>
        <v>38.823467726613828</v>
      </c>
      <c r="AW65" s="543" cm="1">
        <f t="array" ref="AW65">AW$1*AW5*SUMPRODUCT(1*(input_MRB_EV=input_data!$C$55:$C$57),input_data!$F$55:$F$57)</f>
        <v>39.007850298734063</v>
      </c>
      <c r="AX65" s="543" cm="1">
        <f t="array" ref="AX65">AX$1*AX5*SUMPRODUCT(1*(input_MRB_EV=input_data!$C$55:$C$57),input_data!$F$55:$F$57)</f>
        <v>39.193108550820369</v>
      </c>
      <c r="AY65" s="543" cm="1">
        <f t="array" ref="AY65">AY$1*AY5*SUMPRODUCT(1*(input_MRB_EV=input_data!$C$55:$C$57),input_data!$F$55:$F$57)</f>
        <v>39.379246641700746</v>
      </c>
      <c r="AZ65" s="543" cm="1">
        <f t="array" ref="AZ65">AZ$1*AZ5*SUMPRODUCT(1*(input_MRB_EV=input_data!$C$55:$C$57),input_data!$F$55:$F$57)</f>
        <v>39.566268749954524</v>
      </c>
      <c r="BA65" s="543" cm="1">
        <f t="array" ref="BA65">BA$1*BA5*SUMPRODUCT(1*(input_MRB_EV=input_data!$C$55:$C$57),input_data!$F$55:$F$57)</f>
        <v>39.754179074006181</v>
      </c>
      <c r="BB65" s="543" cm="1">
        <f t="array" ref="BB65">BB$1*BB5*SUMPRODUCT(1*(input_MRB_EV=input_data!$C$55:$C$57),input_data!$F$55:$F$57)</f>
        <v>39.94298183221958</v>
      </c>
      <c r="BC65" s="543" cm="1">
        <f t="array" ref="BC65">BC$1*BC5*SUMPRODUCT(1*(input_MRB_EV=input_data!$C$55:$C$57),input_data!$F$55:$F$57)</f>
        <v>40.132681262992676</v>
      </c>
    </row>
    <row r="66" spans="7:55" x14ac:dyDescent="0.3">
      <c r="H66" s="542" t="str">
        <f>input_names!$D$3</f>
        <v>Elektrisch</v>
      </c>
      <c r="I66" s="542" t="s">
        <v>526</v>
      </c>
      <c r="J66" s="543" cm="1">
        <f t="array" ref="J66">J$1*J6*SUMPRODUCT(1*(input_MRB_EV=input_data!$C$55:$C$57),input_data!$F$55:$F$57)</f>
        <v>0</v>
      </c>
      <c r="K66" s="543" cm="1">
        <f t="array" ref="K66">K$1*K6*SUMPRODUCT(1*(input_MRB_EV=input_data!$C$55:$C$57),input_data!$F$55:$F$57)</f>
        <v>0</v>
      </c>
      <c r="L66" s="543" cm="1">
        <f t="array" ref="L66">L$1*L6*SUMPRODUCT(1*(input_MRB_EV=input_data!$C$55:$C$57),input_data!$F$55:$F$57)</f>
        <v>0</v>
      </c>
      <c r="M66" s="543" cm="1">
        <f t="array" ref="M66">M$1*M6*SUMPRODUCT(1*(input_MRB_EV=input_data!$C$55:$C$57),input_data!$F$55:$F$57)</f>
        <v>0</v>
      </c>
      <c r="N66" s="543" cm="1">
        <f t="array" ref="N66">N$1*N6*SUMPRODUCT(1*(input_MRB_EV=input_data!$C$55:$C$57),input_data!$F$55:$F$57)</f>
        <v>0</v>
      </c>
      <c r="O66" s="543" cm="1">
        <f t="array" ref="O66">O$1*O6*SUMPRODUCT(1*(input_MRB_EV=input_data!$C$55:$C$57),input_data!$F$55:$F$57)</f>
        <v>0</v>
      </c>
      <c r="P66" s="543" cm="1">
        <f t="array" ref="P66">P$1*P6*SUMPRODUCT(1*(input_MRB_EV=input_data!$C$55:$C$57),input_data!$F$55:$F$57)</f>
        <v>0</v>
      </c>
      <c r="Q66" s="543" cm="1">
        <f t="array" ref="Q66">Q$1*Q6*SUMPRODUCT(1*(input_MRB_EV=input_data!$C$55:$C$57),input_data!$F$55:$F$57)</f>
        <v>0</v>
      </c>
      <c r="R66" s="543" cm="1">
        <f t="array" ref="R66">R$1*R6*SUMPRODUCT(1*(input_MRB_EV=input_data!$C$55:$C$57),input_data!$F$55:$F$57)</f>
        <v>0</v>
      </c>
      <c r="S66" s="543" cm="1">
        <f t="array" ref="S66">S$1*S6*SUMPRODUCT(1*(input_MRB_EV=input_data!$C$55:$C$57),input_data!$F$55:$F$57)</f>
        <v>11.25</v>
      </c>
      <c r="T66" s="543" cm="1">
        <f t="array" ref="T66">T$1*T6*SUMPRODUCT(1*(input_MRB_EV=input_data!$C$55:$C$57),input_data!$F$55:$F$57)</f>
        <v>33.75</v>
      </c>
      <c r="U66" s="543" cm="1">
        <f t="array" ref="U66">U$1*U6*SUMPRODUCT(1*(input_MRB_EV=input_data!$C$55:$C$57),input_data!$F$55:$F$57)</f>
        <v>33.910287377028716</v>
      </c>
      <c r="V66" s="543" cm="1">
        <f t="array" ref="V66">V$1*V6*SUMPRODUCT(1*(input_MRB_EV=input_data!$C$55:$C$57),input_data!$F$55:$F$57)</f>
        <v>34.071335999782903</v>
      </c>
      <c r="W66" s="543" cm="1">
        <f t="array" ref="W66">W$1*W6*SUMPRODUCT(1*(input_MRB_EV=input_data!$C$55:$C$57),input_data!$F$55:$F$57)</f>
        <v>34.233149483613104</v>
      </c>
      <c r="X66" s="543" cm="1">
        <f t="array" ref="X66">X$1*X6*SUMPRODUCT(1*(input_MRB_EV=input_data!$C$55:$C$57),input_data!$F$55:$F$57)</f>
        <v>34.395731461040079</v>
      </c>
      <c r="Y66" s="543" cm="1">
        <f t="array" ref="Y66">Y$1*Y6*SUMPRODUCT(1*(input_MRB_EV=input_data!$C$55:$C$57),input_data!$F$55:$F$57)</f>
        <v>46.078780775781802</v>
      </c>
      <c r="Z66" s="543" cm="1">
        <f t="array" ref="Z66">Z$1*Z6*SUMPRODUCT(1*(input_MRB_EV=input_data!$C$55:$C$57),input_data!$F$55:$F$57)</f>
        <v>46.297620684144206</v>
      </c>
      <c r="AA66" s="543" cm="1">
        <f t="array" ref="AA66">AA$1*AA6*SUMPRODUCT(1*(input_MRB_EV=input_data!$C$55:$C$57),input_data!$F$55:$F$57)</f>
        <v>46.517499919170334</v>
      </c>
      <c r="AB66" s="543" cm="1">
        <f t="array" ref="AB66">AB$1*AB6*SUMPRODUCT(1*(input_MRB_EV=input_data!$C$55:$C$57),input_data!$F$55:$F$57)</f>
        <v>46.738423416888182</v>
      </c>
      <c r="AC66" s="543" cm="1">
        <f t="array" ref="AC66">AC$1*AC6*SUMPRODUCT(1*(input_MRB_EV=input_data!$C$55:$C$57),input_data!$F$55:$F$57)</f>
        <v>46.960396136768196</v>
      </c>
      <c r="AD66" s="543" cm="1">
        <f t="array" ref="AD66">AD$1*AD6*SUMPRODUCT(1*(input_MRB_EV=input_data!$C$55:$C$57),input_data!$F$55:$F$57)</f>
        <v>47.183423061834624</v>
      </c>
      <c r="AE66" s="543" cm="1">
        <f t="array" ref="AE66">AE$1*AE6*SUMPRODUCT(1*(input_MRB_EV=input_data!$C$55:$C$57),input_data!$F$55:$F$57)</f>
        <v>47.407509198777369</v>
      </c>
      <c r="AF66" s="543" cm="1">
        <f t="array" ref="AF66">AF$1*AF6*SUMPRODUCT(1*(input_MRB_EV=input_data!$C$55:$C$57),input_data!$F$55:$F$57)</f>
        <v>47.632659578064384</v>
      </c>
      <c r="AG66" s="543" cm="1">
        <f t="array" ref="AG66">AG$1*AG6*SUMPRODUCT(1*(input_MRB_EV=input_data!$C$55:$C$57),input_data!$F$55:$F$57)</f>
        <v>47.8588792540546</v>
      </c>
      <c r="AH66" s="543" cm="1">
        <f t="array" ref="AH66">AH$1*AH6*SUMPRODUCT(1*(input_MRB_EV=input_data!$C$55:$C$57),input_data!$F$55:$F$57)</f>
        <v>48.08617330511138</v>
      </c>
      <c r="AI66" s="543" cm="1">
        <f t="array" ref="AI66">AI$1*AI6*SUMPRODUCT(1*(input_MRB_EV=input_data!$C$55:$C$57),input_data!$F$55:$F$57)</f>
        <v>48.314546833716548</v>
      </c>
      <c r="AJ66" s="543" cm="1">
        <f t="array" ref="AJ66">AJ$1*AJ6*SUMPRODUCT(1*(input_MRB_EV=input_data!$C$55:$C$57),input_data!$F$55:$F$57)</f>
        <v>48.544004966584914</v>
      </c>
      <c r="AK66" s="543" cm="1">
        <f t="array" ref="AK66">AK$1*AK6*SUMPRODUCT(1*(input_MRB_EV=input_data!$C$55:$C$57),input_data!$F$55:$F$57)</f>
        <v>48.774552854779365</v>
      </c>
      <c r="AL66" s="543" cm="1">
        <f t="array" ref="AL66">AL$1*AL6*SUMPRODUCT(1*(input_MRB_EV=input_data!$C$55:$C$57),input_data!$F$55:$F$57)</f>
        <v>49.006195673826504</v>
      </c>
      <c r="AM66" s="543" cm="1">
        <f t="array" ref="AM66">AM$1*AM6*SUMPRODUCT(1*(input_MRB_EV=input_data!$C$55:$C$57),input_data!$F$55:$F$57)</f>
        <v>49.23893862383283</v>
      </c>
      <c r="AN66" s="543" cm="1">
        <f t="array" ref="AN66">AN$1*AN6*SUMPRODUCT(1*(input_MRB_EV=input_data!$C$55:$C$57),input_data!$F$55:$F$57)</f>
        <v>49.472786929601483</v>
      </c>
      <c r="AO66" s="543" cm="1">
        <f t="array" ref="AO66">AO$1*AO6*SUMPRODUCT(1*(input_MRB_EV=input_data!$C$55:$C$57),input_data!$F$55:$F$57)</f>
        <v>49.707745840749524</v>
      </c>
      <c r="AP66" s="543" cm="1">
        <f t="array" ref="AP66">AP$1*AP6*SUMPRODUCT(1*(input_MRB_EV=input_data!$C$55:$C$57),input_data!$F$55:$F$57)</f>
        <v>49.943820631825787</v>
      </c>
      <c r="AQ66" s="543" cm="1">
        <f t="array" ref="AQ66">AQ$1*AQ6*SUMPRODUCT(1*(input_MRB_EV=input_data!$C$55:$C$57),input_data!$F$55:$F$57)</f>
        <v>50.181016602429281</v>
      </c>
      <c r="AR66" s="543" cm="1">
        <f t="array" ref="AR66">AR$1*AR6*SUMPRODUCT(1*(input_MRB_EV=input_data!$C$55:$C$57),input_data!$F$55:$F$57)</f>
        <v>50.419339077328182</v>
      </c>
      <c r="AS66" s="543" cm="1">
        <f t="array" ref="AS66">AS$1*AS6*SUMPRODUCT(1*(input_MRB_EV=input_data!$C$55:$C$57),input_data!$F$55:$F$57)</f>
        <v>50.658793406579335</v>
      </c>
      <c r="AT66" s="543" cm="1">
        <f t="array" ref="AT66">AT$1*AT6*SUMPRODUCT(1*(input_MRB_EV=input_data!$C$55:$C$57),input_data!$F$55:$F$57)</f>
        <v>50.89938496564838</v>
      </c>
      <c r="AU66" s="543" cm="1">
        <f t="array" ref="AU66">AU$1*AU6*SUMPRODUCT(1*(input_MRB_EV=input_data!$C$55:$C$57),input_data!$F$55:$F$57)</f>
        <v>51.141119155530411</v>
      </c>
      <c r="AV66" s="543" cm="1">
        <f t="array" ref="AV66">AV$1*AV6*SUMPRODUCT(1*(input_MRB_EV=input_data!$C$55:$C$57),input_data!$F$55:$F$57)</f>
        <v>51.384001402871242</v>
      </c>
      <c r="AW66" s="543" cm="1">
        <f t="array" ref="AW66">AW$1*AW6*SUMPRODUCT(1*(input_MRB_EV=input_data!$C$55:$C$57),input_data!$F$55:$F$57)</f>
        <v>51.6280371600892</v>
      </c>
      <c r="AX66" s="543" cm="1">
        <f t="array" ref="AX66">AX$1*AX6*SUMPRODUCT(1*(input_MRB_EV=input_data!$C$55:$C$57),input_data!$F$55:$F$57)</f>
        <v>51.873231905497548</v>
      </c>
      <c r="AY66" s="543" cm="1">
        <f t="array" ref="AY66">AY$1*AY6*SUMPRODUCT(1*(input_MRB_EV=input_data!$C$55:$C$57),input_data!$F$55:$F$57)</f>
        <v>52.119591143427456</v>
      </c>
      <c r="AZ66" s="543" cm="1">
        <f t="array" ref="AZ66">AZ$1*AZ6*SUMPRODUCT(1*(input_MRB_EV=input_data!$C$55:$C$57),input_data!$F$55:$F$57)</f>
        <v>52.367120404351574</v>
      </c>
      <c r="BA66" s="543" cm="1">
        <f t="array" ref="BA66">BA$1*BA6*SUMPRODUCT(1*(input_MRB_EV=input_data!$C$55:$C$57),input_data!$F$55:$F$57)</f>
        <v>52.615825245008182</v>
      </c>
      <c r="BB66" s="543" cm="1">
        <f t="array" ref="BB66">BB$1*BB6*SUMPRODUCT(1*(input_MRB_EV=input_data!$C$55:$C$57),input_data!$F$55:$F$57)</f>
        <v>52.865711248525919</v>
      </c>
      <c r="BC66" s="543" cm="1">
        <f t="array" ref="BC66">BC$1*BC6*SUMPRODUCT(1*(input_MRB_EV=input_data!$C$55:$C$57),input_data!$F$55:$F$57)</f>
        <v>53.11678402454914</v>
      </c>
    </row>
    <row r="67" spans="7:55" x14ac:dyDescent="0.3">
      <c r="H67" s="542" t="str">
        <f>input_names!$D$3</f>
        <v>Elektrisch</v>
      </c>
      <c r="I67" s="542" t="s">
        <v>527</v>
      </c>
      <c r="J67" s="543" cm="1">
        <f t="array" ref="J67">J$1*J7*SUMPRODUCT(1*(input_MRB_EV=input_data!$C$55:$C$57),input_data!$F$55:$F$57)</f>
        <v>0</v>
      </c>
      <c r="K67" s="543" cm="1">
        <f t="array" ref="K67">K$1*K7*SUMPRODUCT(1*(input_MRB_EV=input_data!$C$55:$C$57),input_data!$F$55:$F$57)</f>
        <v>0</v>
      </c>
      <c r="L67" s="543" cm="1">
        <f t="array" ref="L67">L$1*L7*SUMPRODUCT(1*(input_MRB_EV=input_data!$C$55:$C$57),input_data!$F$55:$F$57)</f>
        <v>0</v>
      </c>
      <c r="M67" s="543" cm="1">
        <f t="array" ref="M67">M$1*M7*SUMPRODUCT(1*(input_MRB_EV=input_data!$C$55:$C$57),input_data!$F$55:$F$57)</f>
        <v>0</v>
      </c>
      <c r="N67" s="543" cm="1">
        <f t="array" ref="N67">N$1*N7*SUMPRODUCT(1*(input_MRB_EV=input_data!$C$55:$C$57),input_data!$F$55:$F$57)</f>
        <v>0</v>
      </c>
      <c r="O67" s="543" cm="1">
        <f t="array" ref="O67">O$1*O7*SUMPRODUCT(1*(input_MRB_EV=input_data!$C$55:$C$57),input_data!$F$55:$F$57)</f>
        <v>0</v>
      </c>
      <c r="P67" s="543" cm="1">
        <f t="array" ref="P67">P$1*P7*SUMPRODUCT(1*(input_MRB_EV=input_data!$C$55:$C$57),input_data!$F$55:$F$57)</f>
        <v>0</v>
      </c>
      <c r="Q67" s="543" cm="1">
        <f t="array" ref="Q67">Q$1*Q7*SUMPRODUCT(1*(input_MRB_EV=input_data!$C$55:$C$57),input_data!$F$55:$F$57)</f>
        <v>0</v>
      </c>
      <c r="R67" s="543" cm="1">
        <f t="array" ref="R67">R$1*R7*SUMPRODUCT(1*(input_MRB_EV=input_data!$C$55:$C$57),input_data!$F$55:$F$57)</f>
        <v>0</v>
      </c>
      <c r="S67" s="543" cm="1">
        <f t="array" ref="S67">S$1*S7*SUMPRODUCT(1*(input_MRB_EV=input_data!$C$55:$C$57),input_data!$F$55:$F$57)</f>
        <v>13.75</v>
      </c>
      <c r="T67" s="543" cm="1">
        <f t="array" ref="T67">T$1*T7*SUMPRODUCT(1*(input_MRB_EV=input_data!$C$55:$C$57),input_data!$F$55:$F$57)</f>
        <v>41.25</v>
      </c>
      <c r="U67" s="543" cm="1">
        <f t="array" ref="U67">U$1*U7*SUMPRODUCT(1*(input_MRB_EV=input_data!$C$55:$C$57),input_data!$F$55:$F$57)</f>
        <v>41.445906794146211</v>
      </c>
      <c r="V67" s="543" cm="1">
        <f t="array" ref="V67">V$1*V7*SUMPRODUCT(1*(input_MRB_EV=input_data!$C$55:$C$57),input_data!$F$55:$F$57)</f>
        <v>41.642743999734662</v>
      </c>
      <c r="W67" s="543" cm="1">
        <f t="array" ref="W67">W$1*W7*SUMPRODUCT(1*(input_MRB_EV=input_data!$C$55:$C$57),input_data!$F$55:$F$57)</f>
        <v>41.840516035527131</v>
      </c>
      <c r="X67" s="543" cm="1">
        <f t="array" ref="X67">X$1*X7*SUMPRODUCT(1*(input_MRB_EV=input_data!$C$55:$C$57),input_data!$F$55:$F$57)</f>
        <v>42.0392273412712</v>
      </c>
      <c r="Y67" s="543" cm="1">
        <f t="array" ref="Y67">Y$1*Y7*SUMPRODUCT(1*(input_MRB_EV=input_data!$C$55:$C$57),input_data!$F$55:$F$57)</f>
        <v>56.318509837066635</v>
      </c>
      <c r="Z67" s="543" cm="1">
        <f t="array" ref="Z67">Z$1*Z7*SUMPRODUCT(1*(input_MRB_EV=input_data!$C$55:$C$57),input_data!$F$55:$F$57)</f>
        <v>56.585980836176248</v>
      </c>
      <c r="AA67" s="543" cm="1">
        <f t="array" ref="AA67">AA$1*AA7*SUMPRODUCT(1*(input_MRB_EV=input_data!$C$55:$C$57),input_data!$F$55:$F$57)</f>
        <v>56.854722123430406</v>
      </c>
      <c r="AB67" s="543" cm="1">
        <f t="array" ref="AB67">AB$1*AB7*SUMPRODUCT(1*(input_MRB_EV=input_data!$C$55:$C$57),input_data!$F$55:$F$57)</f>
        <v>57.124739731752214</v>
      </c>
      <c r="AC67" s="543" cm="1">
        <f t="array" ref="AC67">AC$1*AC7*SUMPRODUCT(1*(input_MRB_EV=input_data!$C$55:$C$57),input_data!$F$55:$F$57)</f>
        <v>57.396039722716679</v>
      </c>
      <c r="AD67" s="543" cm="1">
        <f t="array" ref="AD67">AD$1*AD7*SUMPRODUCT(1*(input_MRB_EV=input_data!$C$55:$C$57),input_data!$F$55:$F$57)</f>
        <v>57.66862818668676</v>
      </c>
      <c r="AE67" s="543" cm="1">
        <f t="array" ref="AE67">AE$1*AE7*SUMPRODUCT(1*(input_MRB_EV=input_data!$C$55:$C$57),input_data!$F$55:$F$57)</f>
        <v>57.942511242950118</v>
      </c>
      <c r="AF67" s="543" cm="1">
        <f t="array" ref="AF67">AF$1*AF7*SUMPRODUCT(1*(input_MRB_EV=input_data!$C$55:$C$57),input_data!$F$55:$F$57)</f>
        <v>58.217695039856466</v>
      </c>
      <c r="AG67" s="543" cm="1">
        <f t="array" ref="AG67">AG$1*AG7*SUMPRODUCT(1*(input_MRB_EV=input_data!$C$55:$C$57),input_data!$F$55:$F$57)</f>
        <v>58.494185754955616</v>
      </c>
      <c r="AH67" s="543" cm="1">
        <f t="array" ref="AH67">AH$1*AH7*SUMPRODUCT(1*(input_MRB_EV=input_data!$C$55:$C$57),input_data!$F$55:$F$57)</f>
        <v>58.771989595136127</v>
      </c>
      <c r="AI67" s="543" cm="1">
        <f t="array" ref="AI67">AI$1*AI7*SUMPRODUCT(1*(input_MRB_EV=input_data!$C$55:$C$57),input_data!$F$55:$F$57)</f>
        <v>59.05111279676467</v>
      </c>
      <c r="AJ67" s="543" cm="1">
        <f t="array" ref="AJ67">AJ$1*AJ7*SUMPRODUCT(1*(input_MRB_EV=input_data!$C$55:$C$57),input_data!$F$55:$F$57)</f>
        <v>59.331561625826012</v>
      </c>
      <c r="AK67" s="543" cm="1">
        <f t="array" ref="AK67">AK$1*AK7*SUMPRODUCT(1*(input_MRB_EV=input_data!$C$55:$C$57),input_data!$F$55:$F$57)</f>
        <v>59.613342378063678</v>
      </c>
      <c r="AL67" s="543" cm="1">
        <f t="array" ref="AL67">AL$1*AL7*SUMPRODUCT(1*(input_MRB_EV=input_data!$C$55:$C$57),input_data!$F$55:$F$57)</f>
        <v>59.896461379121298</v>
      </c>
      <c r="AM67" s="543" cm="1">
        <f t="array" ref="AM67">AM$1*AM7*SUMPRODUCT(1*(input_MRB_EV=input_data!$C$55:$C$57),input_data!$F$55:$F$57)</f>
        <v>60.180924984684587</v>
      </c>
      <c r="AN67" s="543" cm="1">
        <f t="array" ref="AN67">AN$1*AN7*SUMPRODUCT(1*(input_MRB_EV=input_data!$C$55:$C$57),input_data!$F$55:$F$57)</f>
        <v>60.466739580624051</v>
      </c>
      <c r="AO67" s="543" cm="1">
        <f t="array" ref="AO67">AO$1*AO7*SUMPRODUCT(1*(input_MRB_EV=input_data!$C$55:$C$57),input_data!$F$55:$F$57)</f>
        <v>60.753911583138319</v>
      </c>
      <c r="AP67" s="543" cm="1">
        <f t="array" ref="AP67">AP$1*AP7*SUMPRODUCT(1*(input_MRB_EV=input_data!$C$55:$C$57),input_data!$F$55:$F$57)</f>
        <v>61.042447438898193</v>
      </c>
      <c r="AQ67" s="543" cm="1">
        <f t="array" ref="AQ67">AQ$1*AQ7*SUMPRODUCT(1*(input_MRB_EV=input_data!$C$55:$C$57),input_data!$F$55:$F$57)</f>
        <v>61.332353625191352</v>
      </c>
      <c r="AR67" s="543" cm="1">
        <f t="array" ref="AR67">AR$1*AR7*SUMPRODUCT(1*(input_MRB_EV=input_data!$C$55:$C$57),input_data!$F$55:$F$57)</f>
        <v>61.62363665006778</v>
      </c>
      <c r="AS67" s="543" cm="1">
        <f t="array" ref="AS67">AS$1*AS7*SUMPRODUCT(1*(input_MRB_EV=input_data!$C$55:$C$57),input_data!$F$55:$F$57)</f>
        <v>61.916303052485851</v>
      </c>
      <c r="AT67" s="543" cm="1">
        <f t="array" ref="AT67">AT$1*AT7*SUMPRODUCT(1*(input_MRB_EV=input_data!$C$55:$C$57),input_data!$F$55:$F$57)</f>
        <v>62.210359402459126</v>
      </c>
      <c r="AU67" s="543" cm="1">
        <f t="array" ref="AU67">AU$1*AU7*SUMPRODUCT(1*(input_MRB_EV=input_data!$C$55:$C$57),input_data!$F$55:$F$57)</f>
        <v>62.505812301203832</v>
      </c>
      <c r="AV67" s="543" cm="1">
        <f t="array" ref="AV67">AV$1*AV7*SUMPRODUCT(1*(input_MRB_EV=input_data!$C$55:$C$57),input_data!$F$55:$F$57)</f>
        <v>62.80266838128707</v>
      </c>
      <c r="AW67" s="543" cm="1">
        <f t="array" ref="AW67">AW$1*AW7*SUMPRODUCT(1*(input_MRB_EV=input_data!$C$55:$C$57),input_data!$F$55:$F$57)</f>
        <v>63.100934306775684</v>
      </c>
      <c r="AX67" s="543" cm="1">
        <f t="array" ref="AX67">AX$1*AX7*SUMPRODUCT(1*(input_MRB_EV=input_data!$C$55:$C$57),input_data!$F$55:$F$57)</f>
        <v>63.400616773385885</v>
      </c>
      <c r="AY67" s="543" cm="1">
        <f t="array" ref="AY67">AY$1*AY7*SUMPRODUCT(1*(input_MRB_EV=input_data!$C$55:$C$57),input_data!$F$55:$F$57)</f>
        <v>63.701722508633551</v>
      </c>
      <c r="AZ67" s="543" cm="1">
        <f t="array" ref="AZ67">AZ$1*AZ7*SUMPRODUCT(1*(input_MRB_EV=input_data!$C$55:$C$57),input_data!$F$55:$F$57)</f>
        <v>64.00425827198525</v>
      </c>
      <c r="BA67" s="543" cm="1">
        <f t="array" ref="BA67">BA$1*BA7*SUMPRODUCT(1*(input_MRB_EV=input_data!$C$55:$C$57),input_data!$F$55:$F$57)</f>
        <v>64.308230855009995</v>
      </c>
      <c r="BB67" s="543" cm="1">
        <f t="array" ref="BB67">BB$1*BB7*SUMPRODUCT(1*(input_MRB_EV=input_data!$C$55:$C$57),input_data!$F$55:$F$57)</f>
        <v>64.613647081531667</v>
      </c>
      <c r="BC67" s="543" cm="1">
        <f t="array" ref="BC67">BC$1*BC7*SUMPRODUCT(1*(input_MRB_EV=input_data!$C$55:$C$57),input_data!$F$55:$F$57)</f>
        <v>64.920513807782271</v>
      </c>
    </row>
    <row r="68" spans="7:55" x14ac:dyDescent="0.3">
      <c r="H68" s="542" t="str">
        <f>input_names!$D$3</f>
        <v>Elektrisch</v>
      </c>
      <c r="I68" s="542" t="s">
        <v>528</v>
      </c>
      <c r="J68" s="543" cm="1">
        <f t="array" ref="J68">J$1*J8*SUMPRODUCT(1*(input_MRB_EV=input_data!$C$55:$C$57),input_data!$F$55:$F$57)</f>
        <v>0</v>
      </c>
      <c r="K68" s="543" cm="1">
        <f t="array" ref="K68">K$1*K8*SUMPRODUCT(1*(input_MRB_EV=input_data!$C$55:$C$57),input_data!$F$55:$F$57)</f>
        <v>0</v>
      </c>
      <c r="L68" s="543" cm="1">
        <f t="array" ref="L68">L$1*L8*SUMPRODUCT(1*(input_MRB_EV=input_data!$C$55:$C$57),input_data!$F$55:$F$57)</f>
        <v>0</v>
      </c>
      <c r="M68" s="543" cm="1">
        <f t="array" ref="M68">M$1*M8*SUMPRODUCT(1*(input_MRB_EV=input_data!$C$55:$C$57),input_data!$F$55:$F$57)</f>
        <v>0</v>
      </c>
      <c r="N68" s="543" cm="1">
        <f t="array" ref="N68">N$1*N8*SUMPRODUCT(1*(input_MRB_EV=input_data!$C$55:$C$57),input_data!$F$55:$F$57)</f>
        <v>0</v>
      </c>
      <c r="O68" s="543" cm="1">
        <f t="array" ref="O68">O$1*O8*SUMPRODUCT(1*(input_MRB_EV=input_data!$C$55:$C$57),input_data!$F$55:$F$57)</f>
        <v>0</v>
      </c>
      <c r="P68" s="543" cm="1">
        <f t="array" ref="P68">P$1*P8*SUMPRODUCT(1*(input_MRB_EV=input_data!$C$55:$C$57),input_data!$F$55:$F$57)</f>
        <v>0</v>
      </c>
      <c r="Q68" s="543" cm="1">
        <f t="array" ref="Q68">Q$1*Q8*SUMPRODUCT(1*(input_MRB_EV=input_data!$C$55:$C$57),input_data!$F$55:$F$57)</f>
        <v>0</v>
      </c>
      <c r="R68" s="543" cm="1">
        <f t="array" ref="R68">R$1*R8*SUMPRODUCT(1*(input_MRB_EV=input_data!$C$55:$C$57),input_data!$F$55:$F$57)</f>
        <v>0</v>
      </c>
      <c r="S68" s="543" cm="1">
        <f t="array" ref="S68">S$1*S8*SUMPRODUCT(1*(input_MRB_EV=input_data!$C$55:$C$57),input_data!$F$55:$F$57)</f>
        <v>18.25</v>
      </c>
      <c r="T68" s="543" cm="1">
        <f t="array" ref="T68">T$1*T8*SUMPRODUCT(1*(input_MRB_EV=input_data!$C$55:$C$57),input_data!$F$55:$F$57)</f>
        <v>54.75</v>
      </c>
      <c r="U68" s="543" cm="1">
        <f t="array" ref="U68">U$1*U8*SUMPRODUCT(1*(input_MRB_EV=input_data!$C$55:$C$57),input_data!$F$55:$F$57)</f>
        <v>55.010021744957697</v>
      </c>
      <c r="V68" s="543" cm="1">
        <f t="array" ref="V68">V$1*V8*SUMPRODUCT(1*(input_MRB_EV=input_data!$C$55:$C$57),input_data!$F$55:$F$57)</f>
        <v>55.271278399647827</v>
      </c>
      <c r="W68" s="543" cm="1">
        <f t="array" ref="W68">W$1*W8*SUMPRODUCT(1*(input_MRB_EV=input_data!$C$55:$C$57),input_data!$F$55:$F$57)</f>
        <v>55.533775828972367</v>
      </c>
      <c r="X68" s="543" cm="1">
        <f t="array" ref="X68">X$1*X8*SUMPRODUCT(1*(input_MRB_EV=input_data!$C$55:$C$57),input_data!$F$55:$F$57)</f>
        <v>55.797519925687226</v>
      </c>
      <c r="Y68" s="543" cm="1">
        <f t="array" ref="Y68">Y$1*Y8*SUMPRODUCT(1*(input_MRB_EV=input_data!$C$55:$C$57),input_data!$F$55:$F$57)</f>
        <v>74.750022147379354</v>
      </c>
      <c r="Z68" s="543" cm="1">
        <f t="array" ref="Z68">Z$1*Z8*SUMPRODUCT(1*(input_MRB_EV=input_data!$C$55:$C$57),input_data!$F$55:$F$57)</f>
        <v>75.105029109833922</v>
      </c>
      <c r="AA68" s="543" cm="1">
        <f t="array" ref="AA68">AA$1*AA8*SUMPRODUCT(1*(input_MRB_EV=input_data!$C$55:$C$57),input_data!$F$55:$F$57)</f>
        <v>75.461722091098537</v>
      </c>
      <c r="AB68" s="543" cm="1">
        <f t="array" ref="AB68">AB$1*AB8*SUMPRODUCT(1*(input_MRB_EV=input_data!$C$55:$C$57),input_data!$F$55:$F$57)</f>
        <v>75.820109098507487</v>
      </c>
      <c r="AC68" s="543" cm="1">
        <f t="array" ref="AC68">AC$1*AC8*SUMPRODUCT(1*(input_MRB_EV=input_data!$C$55:$C$57),input_data!$F$55:$F$57)</f>
        <v>76.180198177423961</v>
      </c>
      <c r="AD68" s="543" cm="1">
        <f t="array" ref="AD68">AD$1*AD8*SUMPRODUCT(1*(input_MRB_EV=input_data!$C$55:$C$57),input_data!$F$55:$F$57)</f>
        <v>76.54199741142061</v>
      </c>
      <c r="AE68" s="543" cm="1">
        <f t="array" ref="AE68">AE$1*AE8*SUMPRODUCT(1*(input_MRB_EV=input_data!$C$55:$C$57),input_data!$F$55:$F$57)</f>
        <v>76.905514922461066</v>
      </c>
      <c r="AF68" s="543" cm="1">
        <f t="array" ref="AF68">AF$1*AF8*SUMPRODUCT(1*(input_MRB_EV=input_data!$C$55:$C$57),input_data!$F$55:$F$57)</f>
        <v>77.270758871082222</v>
      </c>
      <c r="AG68" s="543" cm="1">
        <f t="array" ref="AG68">AG$1*AG8*SUMPRODUCT(1*(input_MRB_EV=input_data!$C$55:$C$57),input_data!$F$55:$F$57)</f>
        <v>77.637737456577455</v>
      </c>
      <c r="AH68" s="543" cm="1">
        <f t="array" ref="AH68">AH$1*AH8*SUMPRODUCT(1*(input_MRB_EV=input_data!$C$55:$C$57),input_data!$F$55:$F$57)</f>
        <v>78.00645891718068</v>
      </c>
      <c r="AI68" s="543" cm="1">
        <f t="array" ref="AI68">AI$1*AI8*SUMPRODUCT(1*(input_MRB_EV=input_data!$C$55:$C$57),input_data!$F$55:$F$57)</f>
        <v>78.376931530251298</v>
      </c>
      <c r="AJ68" s="543" cm="1">
        <f t="array" ref="AJ68">AJ$1*AJ8*SUMPRODUCT(1*(input_MRB_EV=input_data!$C$55:$C$57),input_data!$F$55:$F$57)</f>
        <v>78.749163612459981</v>
      </c>
      <c r="AK68" s="543" cm="1">
        <f t="array" ref="AK68">AK$1*AK8*SUMPRODUCT(1*(input_MRB_EV=input_data!$C$55:$C$57),input_data!$F$55:$F$57)</f>
        <v>79.123163519975435</v>
      </c>
      <c r="AL68" s="543" cm="1">
        <f t="array" ref="AL68">AL$1*AL8*SUMPRODUCT(1*(input_MRB_EV=input_data!$C$55:$C$57),input_data!$F$55:$F$57)</f>
        <v>79.498939648651913</v>
      </c>
      <c r="AM68" s="543" cm="1">
        <f t="array" ref="AM68">AM$1*AM8*SUMPRODUCT(1*(input_MRB_EV=input_data!$C$55:$C$57),input_data!$F$55:$F$57)</f>
        <v>79.876500434217732</v>
      </c>
      <c r="AN68" s="543" cm="1">
        <f t="array" ref="AN68">AN$1*AN8*SUMPRODUCT(1*(input_MRB_EV=input_data!$C$55:$C$57),input_data!$F$55:$F$57)</f>
        <v>80.255854352464652</v>
      </c>
      <c r="AO68" s="543" cm="1">
        <f t="array" ref="AO68">AO$1*AO8*SUMPRODUCT(1*(input_MRB_EV=input_data!$C$55:$C$57),input_data!$F$55:$F$57)</f>
        <v>80.637009919438142</v>
      </c>
      <c r="AP68" s="543" cm="1">
        <f t="array" ref="AP68">AP$1*AP8*SUMPRODUCT(1*(input_MRB_EV=input_data!$C$55:$C$57),input_data!$F$55:$F$57)</f>
        <v>81.019975691628517</v>
      </c>
      <c r="AQ68" s="543" cm="1">
        <f t="array" ref="AQ68">AQ$1*AQ8*SUMPRODUCT(1*(input_MRB_EV=input_data!$C$55:$C$57),input_data!$F$55:$F$57)</f>
        <v>81.40476026616308</v>
      </c>
      <c r="AR68" s="543" cm="1">
        <f t="array" ref="AR68">AR$1*AR8*SUMPRODUCT(1*(input_MRB_EV=input_data!$C$55:$C$57),input_data!$F$55:$F$57)</f>
        <v>81.79137228099907</v>
      </c>
      <c r="AS68" s="543" cm="1">
        <f t="array" ref="AS68">AS$1*AS8*SUMPRODUCT(1*(input_MRB_EV=input_data!$C$55:$C$57),input_data!$F$55:$F$57)</f>
        <v>82.179820415117604</v>
      </c>
      <c r="AT68" s="543" cm="1">
        <f t="array" ref="AT68">AT$1*AT8*SUMPRODUCT(1*(input_MRB_EV=input_data!$C$55:$C$57),input_data!$F$55:$F$57)</f>
        <v>82.570113388718497</v>
      </c>
      <c r="AU68" s="543" cm="1">
        <f t="array" ref="AU68">AU$1*AU8*SUMPRODUCT(1*(input_MRB_EV=input_data!$C$55:$C$57),input_data!$F$55:$F$57)</f>
        <v>82.962259963416017</v>
      </c>
      <c r="AV68" s="543" cm="1">
        <f t="array" ref="AV68">AV$1*AV8*SUMPRODUCT(1*(input_MRB_EV=input_data!$C$55:$C$57),input_data!$F$55:$F$57)</f>
        <v>83.356268942435577</v>
      </c>
      <c r="AW68" s="543" cm="1">
        <f t="array" ref="AW68">AW$1*AW8*SUMPRODUCT(1*(input_MRB_EV=input_data!$C$55:$C$57),input_data!$F$55:$F$57)</f>
        <v>83.752149170811379</v>
      </c>
      <c r="AX68" s="543" cm="1">
        <f t="array" ref="AX68">AX$1*AX8*SUMPRODUCT(1*(input_MRB_EV=input_data!$C$55:$C$57),input_data!$F$55:$F$57)</f>
        <v>84.149909535584925</v>
      </c>
      <c r="AY68" s="543" cm="1">
        <f t="array" ref="AY68">AY$1*AY8*SUMPRODUCT(1*(input_MRB_EV=input_data!$C$55:$C$57),input_data!$F$55:$F$57)</f>
        <v>84.549558966004554</v>
      </c>
      <c r="AZ68" s="543" cm="1">
        <f t="array" ref="AZ68">AZ$1*AZ8*SUMPRODUCT(1*(input_MRB_EV=input_data!$C$55:$C$57),input_data!$F$55:$F$57)</f>
        <v>84.951106433725897</v>
      </c>
      <c r="BA68" s="543" cm="1">
        <f t="array" ref="BA68">BA$1*BA8*SUMPRODUCT(1*(input_MRB_EV=input_data!$C$55:$C$57),input_data!$F$55:$F$57)</f>
        <v>85.354560953013277</v>
      </c>
      <c r="BB68" s="543" cm="1">
        <f t="array" ref="BB68">BB$1*BB8*SUMPRODUCT(1*(input_MRB_EV=input_data!$C$55:$C$57),input_data!$F$55:$F$57)</f>
        <v>85.759931580942052</v>
      </c>
      <c r="BC68" s="543" cm="1">
        <f t="array" ref="BC68">BC$1*BC8*SUMPRODUCT(1*(input_MRB_EV=input_data!$C$55:$C$57),input_data!$F$55:$F$57)</f>
        <v>86.167227417601936</v>
      </c>
    </row>
    <row r="69" spans="7:55" x14ac:dyDescent="0.3">
      <c r="H69" s="542" t="str">
        <f>input_names!$D$3</f>
        <v>Elektrisch</v>
      </c>
      <c r="I69" s="542" t="s">
        <v>529</v>
      </c>
      <c r="J69" s="543" cm="1">
        <f t="array" ref="J69">J$1*J9*SUMPRODUCT(1*(input_MRB_EV=input_data!$C$55:$C$57),input_data!$F$55:$F$57)</f>
        <v>0</v>
      </c>
      <c r="K69" s="543" cm="1">
        <f t="array" ref="K69">K$1*K9*SUMPRODUCT(1*(input_MRB_EV=input_data!$C$55:$C$57),input_data!$F$55:$F$57)</f>
        <v>0</v>
      </c>
      <c r="L69" s="543" cm="1">
        <f t="array" ref="L69">L$1*L9*SUMPRODUCT(1*(input_MRB_EV=input_data!$C$55:$C$57),input_data!$F$55:$F$57)</f>
        <v>0</v>
      </c>
      <c r="M69" s="543" cm="1">
        <f t="array" ref="M69">M$1*M9*SUMPRODUCT(1*(input_MRB_EV=input_data!$C$55:$C$57),input_data!$F$55:$F$57)</f>
        <v>0</v>
      </c>
      <c r="N69" s="543" cm="1">
        <f t="array" ref="N69">N$1*N9*SUMPRODUCT(1*(input_MRB_EV=input_data!$C$55:$C$57),input_data!$F$55:$F$57)</f>
        <v>0</v>
      </c>
      <c r="O69" s="543" cm="1">
        <f t="array" ref="O69">O$1*O9*SUMPRODUCT(1*(input_MRB_EV=input_data!$C$55:$C$57),input_data!$F$55:$F$57)</f>
        <v>0</v>
      </c>
      <c r="P69" s="543" cm="1">
        <f t="array" ref="P69">P$1*P9*SUMPRODUCT(1*(input_MRB_EV=input_data!$C$55:$C$57),input_data!$F$55:$F$57)</f>
        <v>0</v>
      </c>
      <c r="Q69" s="543" cm="1">
        <f t="array" ref="Q69">Q$1*Q9*SUMPRODUCT(1*(input_MRB_EV=input_data!$C$55:$C$57),input_data!$F$55:$F$57)</f>
        <v>0</v>
      </c>
      <c r="R69" s="543" cm="1">
        <f t="array" ref="R69">R$1*R9*SUMPRODUCT(1*(input_MRB_EV=input_data!$C$55:$C$57),input_data!$F$55:$F$57)</f>
        <v>0</v>
      </c>
      <c r="S69" s="543" cm="1">
        <f t="array" ref="S69">S$1*S9*SUMPRODUCT(1*(input_MRB_EV=input_data!$C$55:$C$57),input_data!$F$55:$F$57)</f>
        <v>23.75</v>
      </c>
      <c r="T69" s="543" cm="1">
        <f t="array" ref="T69">T$1*T9*SUMPRODUCT(1*(input_MRB_EV=input_data!$C$55:$C$57),input_data!$F$55:$F$57)</f>
        <v>71.25</v>
      </c>
      <c r="U69" s="543" cm="1">
        <f t="array" ref="U69">U$1*U9*SUMPRODUCT(1*(input_MRB_EV=input_data!$C$55:$C$57),input_data!$F$55:$F$57)</f>
        <v>71.588384462616176</v>
      </c>
      <c r="V69" s="543" cm="1">
        <f t="array" ref="V69">V$1*V9*SUMPRODUCT(1*(input_MRB_EV=input_data!$C$55:$C$57),input_data!$F$55:$F$57)</f>
        <v>71.928375999541686</v>
      </c>
      <c r="W69" s="543" cm="1">
        <f t="array" ref="W69">W$1*W9*SUMPRODUCT(1*(input_MRB_EV=input_data!$C$55:$C$57),input_data!$F$55:$F$57)</f>
        <v>72.269982243183222</v>
      </c>
      <c r="X69" s="543" cm="1">
        <f t="array" ref="X69">X$1*X9*SUMPRODUCT(1*(input_MRB_EV=input_data!$C$55:$C$57),input_data!$F$55:$F$57)</f>
        <v>72.6132108621957</v>
      </c>
      <c r="Y69" s="543" cm="1">
        <f t="array" ref="Y69">Y$1*Y9*SUMPRODUCT(1*(input_MRB_EV=input_data!$C$55:$C$57),input_data!$F$55:$F$57)</f>
        <v>97.277426082206006</v>
      </c>
      <c r="Z69" s="543" cm="1">
        <f t="array" ref="Z69">Z$1*Z9*SUMPRODUCT(1*(input_MRB_EV=input_data!$C$55:$C$57),input_data!$F$55:$F$57)</f>
        <v>97.739421444304426</v>
      </c>
      <c r="AA69" s="543" cm="1">
        <f t="array" ref="AA69">AA$1*AA9*SUMPRODUCT(1*(input_MRB_EV=input_data!$C$55:$C$57),input_data!$F$55:$F$57)</f>
        <v>98.203610940470696</v>
      </c>
      <c r="AB69" s="543" cm="1">
        <f t="array" ref="AB69">AB$1*AB9*SUMPRODUCT(1*(input_MRB_EV=input_data!$C$55:$C$57),input_data!$F$55:$F$57)</f>
        <v>98.670004991208373</v>
      </c>
      <c r="AC69" s="543" cm="1">
        <f t="array" ref="AC69">AC$1*AC9*SUMPRODUCT(1*(input_MRB_EV=input_data!$C$55:$C$57),input_data!$F$55:$F$57)</f>
        <v>99.138614066510627</v>
      </c>
      <c r="AD69" s="543" cm="1">
        <f t="array" ref="AD69">AD$1*AD9*SUMPRODUCT(1*(input_MRB_EV=input_data!$C$55:$C$57),input_data!$F$55:$F$57)</f>
        <v>99.609448686095305</v>
      </c>
      <c r="AE69" s="543" cm="1">
        <f t="array" ref="AE69">AE$1*AE9*SUMPRODUCT(1*(input_MRB_EV=input_data!$C$55:$C$57),input_data!$F$55:$F$57)</f>
        <v>100.0825194196411</v>
      </c>
      <c r="AF69" s="543" cm="1">
        <f t="array" ref="AF69">AF$1*AF9*SUMPRODUCT(1*(input_MRB_EV=input_data!$C$55:$C$57),input_data!$F$55:$F$57)</f>
        <v>100.55783688702479</v>
      </c>
      <c r="AG69" s="543" cm="1">
        <f t="array" ref="AG69">AG$1*AG9*SUMPRODUCT(1*(input_MRB_EV=input_data!$C$55:$C$57),input_data!$F$55:$F$57)</f>
        <v>101.03541175855969</v>
      </c>
      <c r="AH69" s="543" cm="1">
        <f t="array" ref="AH69">AH$1*AH9*SUMPRODUCT(1*(input_MRB_EV=input_data!$C$55:$C$57),input_data!$F$55:$F$57)</f>
        <v>101.51525475523512</v>
      </c>
      <c r="AI69" s="543" cm="1">
        <f t="array" ref="AI69">AI$1*AI9*SUMPRODUCT(1*(input_MRB_EV=input_data!$C$55:$C$57),input_data!$F$55:$F$57)</f>
        <v>101.99737664895714</v>
      </c>
      <c r="AJ69" s="543" cm="1">
        <f t="array" ref="AJ69">AJ$1*AJ9*SUMPRODUCT(1*(input_MRB_EV=input_data!$C$55:$C$57),input_data!$F$55:$F$57)</f>
        <v>102.48178826279036</v>
      </c>
      <c r="AK69" s="543" cm="1">
        <f t="array" ref="AK69">AK$1*AK9*SUMPRODUCT(1*(input_MRB_EV=input_data!$C$55:$C$57),input_data!$F$55:$F$57)</f>
        <v>102.96850047120087</v>
      </c>
      <c r="AL69" s="543" cm="1">
        <f t="array" ref="AL69">AL$1*AL9*SUMPRODUCT(1*(input_MRB_EV=input_data!$C$55:$C$57),input_data!$F$55:$F$57)</f>
        <v>103.45752420030038</v>
      </c>
      <c r="AM69" s="543" cm="1">
        <f t="array" ref="AM69">AM$1*AM9*SUMPRODUCT(1*(input_MRB_EV=input_data!$C$55:$C$57),input_data!$F$55:$F$57)</f>
        <v>103.94887042809152</v>
      </c>
      <c r="AN69" s="543" cm="1">
        <f t="array" ref="AN69">AN$1*AN9*SUMPRODUCT(1*(input_MRB_EV=input_data!$C$55:$C$57),input_data!$F$55:$F$57)</f>
        <v>104.44255018471424</v>
      </c>
      <c r="AO69" s="543" cm="1">
        <f t="array" ref="AO69">AO$1*AO9*SUMPRODUCT(1*(input_MRB_EV=input_data!$C$55:$C$57),input_data!$F$55:$F$57)</f>
        <v>104.93857455269342</v>
      </c>
      <c r="AP69" s="543" cm="1">
        <f t="array" ref="AP69">AP$1*AP9*SUMPRODUCT(1*(input_MRB_EV=input_data!$C$55:$C$57),input_data!$F$55:$F$57)</f>
        <v>105.43695466718775</v>
      </c>
      <c r="AQ69" s="543" cm="1">
        <f t="array" ref="AQ69">AQ$1*AQ9*SUMPRODUCT(1*(input_MRB_EV=input_data!$C$55:$C$57),input_data!$F$55:$F$57)</f>
        <v>105.93770171623957</v>
      </c>
      <c r="AR69" s="543" cm="1">
        <f t="array" ref="AR69">AR$1*AR9*SUMPRODUCT(1*(input_MRB_EV=input_data!$C$55:$C$57),input_data!$F$55:$F$57)</f>
        <v>106.44082694102613</v>
      </c>
      <c r="AS69" s="543" cm="1">
        <f t="array" ref="AS69">AS$1*AS9*SUMPRODUCT(1*(input_MRB_EV=input_data!$C$55:$C$57),input_data!$F$55:$F$57)</f>
        <v>106.9463416361119</v>
      </c>
      <c r="AT69" s="543" cm="1">
        <f t="array" ref="AT69">AT$1*AT9*SUMPRODUCT(1*(input_MRB_EV=input_data!$C$55:$C$57),input_data!$F$55:$F$57)</f>
        <v>107.4542571497021</v>
      </c>
      <c r="AU69" s="543" cm="1">
        <f t="array" ref="AU69">AU$1*AU9*SUMPRODUCT(1*(input_MRB_EV=input_data!$C$55:$C$57),input_data!$F$55:$F$57)</f>
        <v>107.9645848838975</v>
      </c>
      <c r="AV69" s="543" cm="1">
        <f t="array" ref="AV69">AV$1*AV9*SUMPRODUCT(1*(input_MRB_EV=input_data!$C$55:$C$57),input_data!$F$55:$F$57)</f>
        <v>108.47733629495036</v>
      </c>
      <c r="AW69" s="543" cm="1">
        <f t="array" ref="AW69">AW$1*AW9*SUMPRODUCT(1*(input_MRB_EV=input_data!$C$55:$C$57),input_data!$F$55:$F$57)</f>
        <v>108.99252289352161</v>
      </c>
      <c r="AX69" s="543" cm="1">
        <f t="array" ref="AX69">AX$1*AX9*SUMPRODUCT(1*(input_MRB_EV=input_data!$C$55:$C$57),input_data!$F$55:$F$57)</f>
        <v>109.51015624493924</v>
      </c>
      <c r="AY69" s="543" cm="1">
        <f t="array" ref="AY69">AY$1*AY9*SUMPRODUCT(1*(input_MRB_EV=input_data!$C$55:$C$57),input_data!$F$55:$F$57)</f>
        <v>110.03024796945793</v>
      </c>
      <c r="AZ69" s="543" cm="1">
        <f t="array" ref="AZ69">AZ$1*AZ9*SUMPRODUCT(1*(input_MRB_EV=input_data!$C$55:$C$57),input_data!$F$55:$F$57)</f>
        <v>110.55280974251997</v>
      </c>
      <c r="BA69" s="543" cm="1">
        <f t="array" ref="BA69">BA$1*BA9*SUMPRODUCT(1*(input_MRB_EV=input_data!$C$55:$C$57),input_data!$F$55:$F$57)</f>
        <v>111.07785329501725</v>
      </c>
      <c r="BB69" s="543" cm="1">
        <f t="array" ref="BB69">BB$1*BB9*SUMPRODUCT(1*(input_MRB_EV=input_data!$C$55:$C$57),input_data!$F$55:$F$57)</f>
        <v>111.60539041355469</v>
      </c>
      <c r="BC69" s="543" cm="1">
        <f t="array" ref="BC69">BC$1*BC9*SUMPRODUCT(1*(input_MRB_EV=input_data!$C$55:$C$57),input_data!$F$55:$F$57)</f>
        <v>112.13543294071482</v>
      </c>
    </row>
    <row r="70" spans="7:55" x14ac:dyDescent="0.3">
      <c r="H70" s="542" t="str">
        <f>input_names!$D$3</f>
        <v>Elektrisch</v>
      </c>
      <c r="I70" s="542" t="s">
        <v>530</v>
      </c>
      <c r="J70" s="543" cm="1">
        <f t="array" ref="J70">J$1*J10*SUMPRODUCT(1*(input_MRB_EV=input_data!$C$55:$C$57),input_data!$F$55:$F$57)</f>
        <v>0</v>
      </c>
      <c r="K70" s="543" cm="1">
        <f t="array" ref="K70">K$1*K10*SUMPRODUCT(1*(input_MRB_EV=input_data!$C$55:$C$57),input_data!$F$55:$F$57)</f>
        <v>0</v>
      </c>
      <c r="L70" s="543" cm="1">
        <f t="array" ref="L70">L$1*L10*SUMPRODUCT(1*(input_MRB_EV=input_data!$C$55:$C$57),input_data!$F$55:$F$57)</f>
        <v>0</v>
      </c>
      <c r="M70" s="543" cm="1">
        <f t="array" ref="M70">M$1*M10*SUMPRODUCT(1*(input_MRB_EV=input_data!$C$55:$C$57),input_data!$F$55:$F$57)</f>
        <v>0</v>
      </c>
      <c r="N70" s="543" cm="1">
        <f t="array" ref="N70">N$1*N10*SUMPRODUCT(1*(input_MRB_EV=input_data!$C$55:$C$57),input_data!$F$55:$F$57)</f>
        <v>0</v>
      </c>
      <c r="O70" s="543" cm="1">
        <f t="array" ref="O70">O$1*O10*SUMPRODUCT(1*(input_MRB_EV=input_data!$C$55:$C$57),input_data!$F$55:$F$57)</f>
        <v>0</v>
      </c>
      <c r="P70" s="543" cm="1">
        <f t="array" ref="P70">P$1*P10*SUMPRODUCT(1*(input_MRB_EV=input_data!$C$55:$C$57),input_data!$F$55:$F$57)</f>
        <v>0</v>
      </c>
      <c r="Q70" s="543" cm="1">
        <f t="array" ref="Q70">Q$1*Q10*SUMPRODUCT(1*(input_MRB_EV=input_data!$C$55:$C$57),input_data!$F$55:$F$57)</f>
        <v>0</v>
      </c>
      <c r="R70" s="543" cm="1">
        <f t="array" ref="R70">R$1*R10*SUMPRODUCT(1*(input_MRB_EV=input_data!$C$55:$C$57),input_data!$F$55:$F$57)</f>
        <v>0</v>
      </c>
      <c r="S70" s="543" cm="1">
        <f t="array" ref="S70">S$1*S10*SUMPRODUCT(1*(input_MRB_EV=input_data!$C$55:$C$57),input_data!$F$55:$F$57)</f>
        <v>30.75</v>
      </c>
      <c r="T70" s="543" cm="1">
        <f t="array" ref="T70">T$1*T10*SUMPRODUCT(1*(input_MRB_EV=input_data!$C$55:$C$57),input_data!$F$55:$F$57)</f>
        <v>92.25</v>
      </c>
      <c r="U70" s="543" cm="1">
        <f t="array" ref="U70">U$1*U10*SUMPRODUCT(1*(input_MRB_EV=input_data!$C$55:$C$57),input_data!$F$55:$F$57)</f>
        <v>92.68811883054515</v>
      </c>
      <c r="V70" s="543" cm="1">
        <f t="array" ref="V70">V$1*V10*SUMPRODUCT(1*(input_MRB_EV=input_data!$C$55:$C$57),input_data!$F$55:$F$57)</f>
        <v>93.128318399406595</v>
      </c>
      <c r="W70" s="543" cm="1">
        <f t="array" ref="W70">W$1*W10*SUMPRODUCT(1*(input_MRB_EV=input_data!$C$55:$C$57),input_data!$F$55:$F$57)</f>
        <v>93.570608588542484</v>
      </c>
      <c r="X70" s="543" cm="1">
        <f t="array" ref="X70">X$1*X10*SUMPRODUCT(1*(input_MRB_EV=input_data!$C$55:$C$57),input_data!$F$55:$F$57)</f>
        <v>94.014999326842869</v>
      </c>
      <c r="Y70" s="543" cm="1">
        <f t="array" ref="Y70">Y$1*Y10*SUMPRODUCT(1*(input_MRB_EV=input_data!$C$55:$C$57),input_data!$F$55:$F$57)</f>
        <v>125.94866745380357</v>
      </c>
      <c r="Z70" s="543" cm="1">
        <f t="array" ref="Z70">Z$1*Z10*SUMPRODUCT(1*(input_MRB_EV=input_data!$C$55:$C$57),input_data!$F$55:$F$57)</f>
        <v>126.54682986999414</v>
      </c>
      <c r="AA70" s="543" cm="1">
        <f t="array" ref="AA70">AA$1*AA10*SUMPRODUCT(1*(input_MRB_EV=input_data!$C$55:$C$57),input_data!$F$55:$F$57)</f>
        <v>127.1478331123989</v>
      </c>
      <c r="AB70" s="543" cm="1">
        <f t="array" ref="AB70">AB$1*AB10*SUMPRODUCT(1*(input_MRB_EV=input_data!$C$55:$C$57),input_data!$F$55:$F$57)</f>
        <v>127.75169067282768</v>
      </c>
      <c r="AC70" s="543" cm="1">
        <f t="array" ref="AC70">AC$1*AC10*SUMPRODUCT(1*(input_MRB_EV=input_data!$C$55:$C$57),input_data!$F$55:$F$57)</f>
        <v>128.35841610716639</v>
      </c>
      <c r="AD70" s="543" cm="1">
        <f t="array" ref="AD70">AD$1*AD10*SUMPRODUCT(1*(input_MRB_EV=input_data!$C$55:$C$57),input_data!$F$55:$F$57)</f>
        <v>128.96802303568128</v>
      </c>
      <c r="AE70" s="543" cm="1">
        <f t="array" ref="AE70">AE$1*AE10*SUMPRODUCT(1*(input_MRB_EV=input_data!$C$55:$C$57),input_data!$F$55:$F$57)</f>
        <v>129.58052514332479</v>
      </c>
      <c r="AF70" s="543" cm="1">
        <f t="array" ref="AF70">AF$1*AF10*SUMPRODUCT(1*(input_MRB_EV=input_data!$C$55:$C$57),input_data!$F$55:$F$57)</f>
        <v>130.19593618004262</v>
      </c>
      <c r="AG70" s="543" cm="1">
        <f t="array" ref="AG70">AG$1*AG10*SUMPRODUCT(1*(input_MRB_EV=input_data!$C$55:$C$57),input_data!$F$55:$F$57)</f>
        <v>130.81426996108254</v>
      </c>
      <c r="AH70" s="543" cm="1">
        <f t="array" ref="AH70">AH$1*AH10*SUMPRODUCT(1*(input_MRB_EV=input_data!$C$55:$C$57),input_data!$F$55:$F$57)</f>
        <v>131.43554036730441</v>
      </c>
      <c r="AI70" s="543" cm="1">
        <f t="array" ref="AI70">AI$1*AI10*SUMPRODUCT(1*(input_MRB_EV=input_data!$C$55:$C$57),input_data!$F$55:$F$57)</f>
        <v>132.05976134549189</v>
      </c>
      <c r="AJ70" s="543" cm="1">
        <f t="array" ref="AJ70">AJ$1*AJ10*SUMPRODUCT(1*(input_MRB_EV=input_data!$C$55:$C$57),input_data!$F$55:$F$57)</f>
        <v>132.68694690866545</v>
      </c>
      <c r="AK70" s="543" cm="1">
        <f t="array" ref="AK70">AK$1*AK10*SUMPRODUCT(1*(input_MRB_EV=input_data!$C$55:$C$57),input_data!$F$55:$F$57)</f>
        <v>133.31711113639696</v>
      </c>
      <c r="AL70" s="543" cm="1">
        <f t="array" ref="AL70">AL$1*AL10*SUMPRODUCT(1*(input_MRB_EV=input_data!$C$55:$C$57),input_data!$F$55:$F$57)</f>
        <v>133.95026817512581</v>
      </c>
      <c r="AM70" s="543" cm="1">
        <f t="array" ref="AM70">AM$1*AM10*SUMPRODUCT(1*(input_MRB_EV=input_data!$C$55:$C$57),input_data!$F$55:$F$57)</f>
        <v>134.58643223847645</v>
      </c>
      <c r="AN70" s="543" cm="1">
        <f t="array" ref="AN70">AN$1*AN10*SUMPRODUCT(1*(input_MRB_EV=input_data!$C$55:$C$57),input_data!$F$55:$F$57)</f>
        <v>135.22561760757745</v>
      </c>
      <c r="AO70" s="543" cm="1">
        <f t="array" ref="AO70">AO$1*AO10*SUMPRODUCT(1*(input_MRB_EV=input_data!$C$55:$C$57),input_data!$F$55:$F$57)</f>
        <v>135.86783863138209</v>
      </c>
      <c r="AP70" s="543" cm="1">
        <f t="array" ref="AP70">AP$1*AP10*SUMPRODUCT(1*(input_MRB_EV=input_data!$C$55:$C$57),input_data!$F$55:$F$57)</f>
        <v>136.51310972699054</v>
      </c>
      <c r="AQ70" s="543" cm="1">
        <f t="array" ref="AQ70">AQ$1*AQ10*SUMPRODUCT(1*(input_MRB_EV=input_data!$C$55:$C$57),input_data!$F$55:$F$57)</f>
        <v>137.16144537997343</v>
      </c>
      <c r="AR70" s="543" cm="1">
        <f t="array" ref="AR70">AR$1*AR10*SUMPRODUCT(1*(input_MRB_EV=input_data!$C$55:$C$57),input_data!$F$55:$F$57)</f>
        <v>137.81286014469708</v>
      </c>
      <c r="AS70" s="543" cm="1">
        <f t="array" ref="AS70">AS$1*AS10*SUMPRODUCT(1*(input_MRB_EV=input_data!$C$55:$C$57),input_data!$F$55:$F$57)</f>
        <v>138.46736864465024</v>
      </c>
      <c r="AT70" s="543" cm="1">
        <f t="array" ref="AT70">AT$1*AT10*SUMPRODUCT(1*(input_MRB_EV=input_data!$C$55:$C$57),input_data!$F$55:$F$57)</f>
        <v>139.12498557277229</v>
      </c>
      <c r="AU70" s="543" cm="1">
        <f t="array" ref="AU70">AU$1*AU10*SUMPRODUCT(1*(input_MRB_EV=input_data!$C$55:$C$57),input_data!$F$55:$F$57)</f>
        <v>139.78572569178317</v>
      </c>
      <c r="AV70" s="543" cm="1">
        <f t="array" ref="AV70">AV$1*AV10*SUMPRODUCT(1*(input_MRB_EV=input_data!$C$55:$C$57),input_data!$F$55:$F$57)</f>
        <v>140.44960383451476</v>
      </c>
      <c r="AW70" s="543" cm="1">
        <f t="array" ref="AW70">AW$1*AW10*SUMPRODUCT(1*(input_MRB_EV=input_data!$C$55:$C$57),input_data!$F$55:$F$57)</f>
        <v>141.11663490424385</v>
      </c>
      <c r="AX70" s="543" cm="1">
        <f t="array" ref="AX70">AX$1*AX10*SUMPRODUCT(1*(input_MRB_EV=input_data!$C$55:$C$57),input_data!$F$55:$F$57)</f>
        <v>141.78683387502667</v>
      </c>
      <c r="AY70" s="543" cm="1">
        <f t="array" ref="AY70">AY$1*AY10*SUMPRODUCT(1*(input_MRB_EV=input_data!$C$55:$C$57),input_data!$F$55:$F$57)</f>
        <v>142.46021579203509</v>
      </c>
      <c r="AZ70" s="543" cm="1">
        <f t="array" ref="AZ70">AZ$1*AZ10*SUMPRODUCT(1*(input_MRB_EV=input_data!$C$55:$C$57),input_data!$F$55:$F$57)</f>
        <v>143.13679577189436</v>
      </c>
      <c r="BA70" s="543" cm="1">
        <f t="array" ref="BA70">BA$1*BA10*SUMPRODUCT(1*(input_MRB_EV=input_data!$C$55:$C$57),input_data!$F$55:$F$57)</f>
        <v>143.81658900302241</v>
      </c>
      <c r="BB70" s="543" cm="1">
        <f t="array" ref="BB70">BB$1*BB10*SUMPRODUCT(1*(input_MRB_EV=input_data!$C$55:$C$57),input_data!$F$55:$F$57)</f>
        <v>144.4996107459709</v>
      </c>
      <c r="BC70" s="543" cm="1">
        <f t="array" ref="BC70">BC$1*BC10*SUMPRODUCT(1*(input_MRB_EV=input_data!$C$55:$C$57),input_data!$F$55:$F$57)</f>
        <v>145.18587633376771</v>
      </c>
    </row>
    <row r="71" spans="7:55" x14ac:dyDescent="0.3">
      <c r="H71" s="542" t="str">
        <f>input_names!$D$3</f>
        <v>Elektrisch</v>
      </c>
      <c r="I71" s="542" t="s">
        <v>531</v>
      </c>
      <c r="J71" s="543" cm="1">
        <f t="array" ref="J71">J$1*J11*SUMPRODUCT(1*(input_MRB_EV=input_data!$C$55:$C$57),input_data!$F$55:$F$57)</f>
        <v>0</v>
      </c>
      <c r="K71" s="543" cm="1">
        <f t="array" ref="K71">K$1*K11*SUMPRODUCT(1*(input_MRB_EV=input_data!$C$55:$C$57),input_data!$F$55:$F$57)</f>
        <v>0</v>
      </c>
      <c r="L71" s="543" cm="1">
        <f t="array" ref="L71">L$1*L11*SUMPRODUCT(1*(input_MRB_EV=input_data!$C$55:$C$57),input_data!$F$55:$F$57)</f>
        <v>0</v>
      </c>
      <c r="M71" s="543" cm="1">
        <f t="array" ref="M71">M$1*M11*SUMPRODUCT(1*(input_MRB_EV=input_data!$C$55:$C$57),input_data!$F$55:$F$57)</f>
        <v>0</v>
      </c>
      <c r="N71" s="543" cm="1">
        <f t="array" ref="N71">N$1*N11*SUMPRODUCT(1*(input_MRB_EV=input_data!$C$55:$C$57),input_data!$F$55:$F$57)</f>
        <v>0</v>
      </c>
      <c r="O71" s="543" cm="1">
        <f t="array" ref="O71">O$1*O11*SUMPRODUCT(1*(input_MRB_EV=input_data!$C$55:$C$57),input_data!$F$55:$F$57)</f>
        <v>0</v>
      </c>
      <c r="P71" s="543" cm="1">
        <f t="array" ref="P71">P$1*P11*SUMPRODUCT(1*(input_MRB_EV=input_data!$C$55:$C$57),input_data!$F$55:$F$57)</f>
        <v>0</v>
      </c>
      <c r="Q71" s="543" cm="1">
        <f t="array" ref="Q71">Q$1*Q11*SUMPRODUCT(1*(input_MRB_EV=input_data!$C$55:$C$57),input_data!$F$55:$F$57)</f>
        <v>0</v>
      </c>
      <c r="R71" s="543" cm="1">
        <f t="array" ref="R71">R$1*R11*SUMPRODUCT(1*(input_MRB_EV=input_data!$C$55:$C$57),input_data!$F$55:$F$57)</f>
        <v>0</v>
      </c>
      <c r="S71" s="543" cm="1">
        <f t="array" ref="S71">S$1*S11*SUMPRODUCT(1*(input_MRB_EV=input_data!$C$55:$C$57),input_data!$F$55:$F$57)</f>
        <v>37.75</v>
      </c>
      <c r="T71" s="543" cm="1">
        <f t="array" ref="T71">T$1*T11*SUMPRODUCT(1*(input_MRB_EV=input_data!$C$55:$C$57),input_data!$F$55:$F$57)</f>
        <v>113.25</v>
      </c>
      <c r="U71" s="543" cm="1">
        <f t="array" ref="U71">U$1*U11*SUMPRODUCT(1*(input_MRB_EV=input_data!$C$55:$C$57),input_data!$F$55:$F$57)</f>
        <v>113.78785319847414</v>
      </c>
      <c r="V71" s="543" cm="1">
        <f t="array" ref="V71">V$1*V11*SUMPRODUCT(1*(input_MRB_EV=input_data!$C$55:$C$57),input_data!$F$55:$F$57)</f>
        <v>114.32826079927152</v>
      </c>
      <c r="W71" s="543" cm="1">
        <f t="array" ref="W71">W$1*W11*SUMPRODUCT(1*(input_MRB_EV=input_data!$C$55:$C$57),input_data!$F$55:$F$57)</f>
        <v>114.87123493390175</v>
      </c>
      <c r="X71" s="543" cm="1">
        <f t="array" ref="X71">X$1*X11*SUMPRODUCT(1*(input_MRB_EV=input_data!$C$55:$C$57),input_data!$F$55:$F$57)</f>
        <v>115.41678779149001</v>
      </c>
      <c r="Y71" s="543" cm="1">
        <f t="array" ref="Y71">Y$1*Y11*SUMPRODUCT(1*(input_MRB_EV=input_data!$C$55:$C$57),input_data!$F$55:$F$57)</f>
        <v>154.6199088254011</v>
      </c>
      <c r="Z71" s="543" cm="1">
        <f t="array" ref="Z71">Z$1*Z11*SUMPRODUCT(1*(input_MRB_EV=input_data!$C$55:$C$57),input_data!$F$55:$F$57)</f>
        <v>155.35423829568384</v>
      </c>
      <c r="AA71" s="543" cm="1">
        <f t="array" ref="AA71">AA$1*AA11*SUMPRODUCT(1*(input_MRB_EV=input_data!$C$55:$C$57),input_data!$F$55:$F$57)</f>
        <v>156.09205528432707</v>
      </c>
      <c r="AB71" s="543" cm="1">
        <f t="array" ref="AB71">AB$1*AB11*SUMPRODUCT(1*(input_MRB_EV=input_data!$C$55:$C$57),input_data!$F$55:$F$57)</f>
        <v>156.83337635444695</v>
      </c>
      <c r="AC71" s="543" cm="1">
        <f t="array" ref="AC71">AC$1*AC11*SUMPRODUCT(1*(input_MRB_EV=input_data!$C$55:$C$57),input_data!$F$55:$F$57)</f>
        <v>157.57821814782213</v>
      </c>
      <c r="AD71" s="543" cm="1">
        <f t="array" ref="AD71">AD$1*AD11*SUMPRODUCT(1*(input_MRB_EV=input_data!$C$55:$C$57),input_data!$F$55:$F$57)</f>
        <v>158.32659738526726</v>
      </c>
      <c r="AE71" s="543" cm="1">
        <f t="array" ref="AE71">AE$1*AE11*SUMPRODUCT(1*(input_MRB_EV=input_data!$C$55:$C$57),input_data!$F$55:$F$57)</f>
        <v>159.07853086700848</v>
      </c>
      <c r="AF71" s="543" cm="1">
        <f t="array" ref="AF71">AF$1*AF11*SUMPRODUCT(1*(input_MRB_EV=input_data!$C$55:$C$57),input_data!$F$55:$F$57)</f>
        <v>159.83403547306045</v>
      </c>
      <c r="AG71" s="543" cm="1">
        <f t="array" ref="AG71">AG$1*AG11*SUMPRODUCT(1*(input_MRB_EV=input_data!$C$55:$C$57),input_data!$F$55:$F$57)</f>
        <v>160.5931281636054</v>
      </c>
      <c r="AH71" s="543" cm="1">
        <f t="array" ref="AH71">AH$1*AH11*SUMPRODUCT(1*(input_MRB_EV=input_data!$C$55:$C$57),input_data!$F$55:$F$57)</f>
        <v>161.35582597937372</v>
      </c>
      <c r="AI71" s="543" cm="1">
        <f t="array" ref="AI71">AI$1*AI11*SUMPRODUCT(1*(input_MRB_EV=input_data!$C$55:$C$57),input_data!$F$55:$F$57)</f>
        <v>162.12214604202663</v>
      </c>
      <c r="AJ71" s="543" cm="1">
        <f t="array" ref="AJ71">AJ$1*AJ11*SUMPRODUCT(1*(input_MRB_EV=input_data!$C$55:$C$57),input_data!$F$55:$F$57)</f>
        <v>162.89210555454048</v>
      </c>
      <c r="AK71" s="543" cm="1">
        <f t="array" ref="AK71">AK$1*AK11*SUMPRODUCT(1*(input_MRB_EV=input_data!$C$55:$C$57),input_data!$F$55:$F$57)</f>
        <v>163.66572180159298</v>
      </c>
      <c r="AL71" s="543" cm="1">
        <f t="array" ref="AL71">AL$1*AL11*SUMPRODUCT(1*(input_MRB_EV=input_data!$C$55:$C$57),input_data!$F$55:$F$57)</f>
        <v>164.44301214995116</v>
      </c>
      <c r="AM71" s="543" cm="1">
        <f t="array" ref="AM71">AM$1*AM11*SUMPRODUCT(1*(input_MRB_EV=input_data!$C$55:$C$57),input_data!$F$55:$F$57)</f>
        <v>165.2239940488613</v>
      </c>
      <c r="AN71" s="543" cm="1">
        <f t="array" ref="AN71">AN$1*AN11*SUMPRODUCT(1*(input_MRB_EV=input_data!$C$55:$C$57),input_data!$F$55:$F$57)</f>
        <v>166.00868503044057</v>
      </c>
      <c r="AO71" s="543" cm="1">
        <f t="array" ref="AO71">AO$1*AO11*SUMPRODUCT(1*(input_MRB_EV=input_data!$C$55:$C$57),input_data!$F$55:$F$57)</f>
        <v>166.79710271007067</v>
      </c>
      <c r="AP71" s="543" cm="1">
        <f t="array" ref="AP71">AP$1*AP11*SUMPRODUCT(1*(input_MRB_EV=input_data!$C$55:$C$57),input_data!$F$55:$F$57)</f>
        <v>167.58926478679322</v>
      </c>
      <c r="AQ71" s="543" cm="1">
        <f t="array" ref="AQ71">AQ$1*AQ11*SUMPRODUCT(1*(input_MRB_EV=input_data!$C$55:$C$57),input_data!$F$55:$F$57)</f>
        <v>168.38518904370719</v>
      </c>
      <c r="AR71" s="543" cm="1">
        <f t="array" ref="AR71">AR$1*AR11*SUMPRODUCT(1*(input_MRB_EV=input_data!$C$55:$C$57),input_data!$F$55:$F$57)</f>
        <v>169.18489334836792</v>
      </c>
      <c r="AS71" s="543" cm="1">
        <f t="array" ref="AS71">AS$1*AS11*SUMPRODUCT(1*(input_MRB_EV=input_data!$C$55:$C$57),input_data!$F$55:$F$57)</f>
        <v>169.98839565318846</v>
      </c>
      <c r="AT71" s="543" cm="1">
        <f t="array" ref="AT71">AT$1*AT11*SUMPRODUCT(1*(input_MRB_EV=input_data!$C$55:$C$57),input_data!$F$55:$F$57)</f>
        <v>170.79571399584236</v>
      </c>
      <c r="AU71" s="543" cm="1">
        <f t="array" ref="AU71">AU$1*AU11*SUMPRODUCT(1*(input_MRB_EV=input_data!$C$55:$C$57),input_data!$F$55:$F$57)</f>
        <v>171.60686649966874</v>
      </c>
      <c r="AV71" s="543" cm="1">
        <f t="array" ref="AV71">AV$1*AV11*SUMPRODUCT(1*(input_MRB_EV=input_data!$C$55:$C$57),input_data!$F$55:$F$57)</f>
        <v>172.42187137407907</v>
      </c>
      <c r="AW71" s="543" cm="1">
        <f t="array" ref="AW71">AW$1*AW11*SUMPRODUCT(1*(input_MRB_EV=input_data!$C$55:$C$57),input_data!$F$55:$F$57)</f>
        <v>173.240746914966</v>
      </c>
      <c r="AX71" s="543" cm="1">
        <f t="array" ref="AX71">AX$1*AX11*SUMPRODUCT(1*(input_MRB_EV=input_data!$C$55:$C$57),input_data!$F$55:$F$57)</f>
        <v>174.06351150511401</v>
      </c>
      <c r="AY71" s="543" cm="1">
        <f t="array" ref="AY71">AY$1*AY11*SUMPRODUCT(1*(input_MRB_EV=input_data!$C$55:$C$57),input_data!$F$55:$F$57)</f>
        <v>174.89018361461214</v>
      </c>
      <c r="AZ71" s="543" cm="1">
        <f t="array" ref="AZ71">AZ$1*AZ11*SUMPRODUCT(1*(input_MRB_EV=input_data!$C$55:$C$57),input_data!$F$55:$F$57)</f>
        <v>175.72078180126863</v>
      </c>
      <c r="BA71" s="543" cm="1">
        <f t="array" ref="BA71">BA$1*BA11*SUMPRODUCT(1*(input_MRB_EV=input_data!$C$55:$C$57),input_data!$F$55:$F$57)</f>
        <v>176.55532471102745</v>
      </c>
      <c r="BB71" s="543" cm="1">
        <f t="array" ref="BB71">BB$1*BB11*SUMPRODUCT(1*(input_MRB_EV=input_data!$C$55:$C$57),input_data!$F$55:$F$57)</f>
        <v>177.39383107838697</v>
      </c>
      <c r="BC71" s="543" cm="1">
        <f t="array" ref="BC71">BC$1*BC11*SUMPRODUCT(1*(input_MRB_EV=input_data!$C$55:$C$57),input_data!$F$55:$F$57)</f>
        <v>178.23631972682043</v>
      </c>
    </row>
    <row r="72" spans="7:55" x14ac:dyDescent="0.3">
      <c r="H72" s="542" t="str">
        <f>input_names!$D$3</f>
        <v>Elektrisch</v>
      </c>
      <c r="I72" s="542" t="s">
        <v>532</v>
      </c>
      <c r="J72" s="543" cm="1">
        <f t="array" ref="J72">J$1*J12*SUMPRODUCT(1*(input_MRB_EV=input_data!$C$55:$C$57),input_data!$F$55:$F$57)</f>
        <v>0</v>
      </c>
      <c r="K72" s="543" cm="1">
        <f t="array" ref="K72">K$1*K12*SUMPRODUCT(1*(input_MRB_EV=input_data!$C$55:$C$57),input_data!$F$55:$F$57)</f>
        <v>0</v>
      </c>
      <c r="L72" s="543" cm="1">
        <f t="array" ref="L72">L$1*L12*SUMPRODUCT(1*(input_MRB_EV=input_data!$C$55:$C$57),input_data!$F$55:$F$57)</f>
        <v>0</v>
      </c>
      <c r="M72" s="543" cm="1">
        <f t="array" ref="M72">M$1*M12*SUMPRODUCT(1*(input_MRB_EV=input_data!$C$55:$C$57),input_data!$F$55:$F$57)</f>
        <v>0</v>
      </c>
      <c r="N72" s="543" cm="1">
        <f t="array" ref="N72">N$1*N12*SUMPRODUCT(1*(input_MRB_EV=input_data!$C$55:$C$57),input_data!$F$55:$F$57)</f>
        <v>0</v>
      </c>
      <c r="O72" s="543" cm="1">
        <f t="array" ref="O72">O$1*O12*SUMPRODUCT(1*(input_MRB_EV=input_data!$C$55:$C$57),input_data!$F$55:$F$57)</f>
        <v>0</v>
      </c>
      <c r="P72" s="543" cm="1">
        <f t="array" ref="P72">P$1*P12*SUMPRODUCT(1*(input_MRB_EV=input_data!$C$55:$C$57),input_data!$F$55:$F$57)</f>
        <v>0</v>
      </c>
      <c r="Q72" s="543" cm="1">
        <f t="array" ref="Q72">Q$1*Q12*SUMPRODUCT(1*(input_MRB_EV=input_data!$C$55:$C$57),input_data!$F$55:$F$57)</f>
        <v>0</v>
      </c>
      <c r="R72" s="543" cm="1">
        <f t="array" ref="R72">R$1*R12*SUMPRODUCT(1*(input_MRB_EV=input_data!$C$55:$C$57),input_data!$F$55:$F$57)</f>
        <v>0</v>
      </c>
      <c r="S72" s="543" cm="1">
        <f t="array" ref="S72">S$1*S12*SUMPRODUCT(1*(input_MRB_EV=input_data!$C$55:$C$57),input_data!$F$55:$F$57)</f>
        <v>42.25</v>
      </c>
      <c r="T72" s="543" cm="1">
        <f t="array" ref="T72">T$1*T12*SUMPRODUCT(1*(input_MRB_EV=input_data!$C$55:$C$57),input_data!$F$55:$F$57)</f>
        <v>126.75</v>
      </c>
      <c r="U72" s="543" cm="1">
        <f t="array" ref="U72">U$1*U12*SUMPRODUCT(1*(input_MRB_EV=input_data!$C$55:$C$57),input_data!$F$55:$F$57)</f>
        <v>127.35196814928563</v>
      </c>
      <c r="V72" s="543" cm="1">
        <f t="array" ref="V72">V$1*V12*SUMPRODUCT(1*(input_MRB_EV=input_data!$C$55:$C$57),input_data!$F$55:$F$57)</f>
        <v>127.95679519918468</v>
      </c>
      <c r="W72" s="543" cm="1">
        <f t="array" ref="W72">W$1*W12*SUMPRODUCT(1*(input_MRB_EV=input_data!$C$55:$C$57),input_data!$F$55:$F$57)</f>
        <v>128.56449472734701</v>
      </c>
      <c r="X72" s="543" cm="1">
        <f t="array" ref="X72">X$1*X12*SUMPRODUCT(1*(input_MRB_EV=input_data!$C$55:$C$57),input_data!$F$55:$F$57)</f>
        <v>129.17508037590608</v>
      </c>
      <c r="Y72" s="543" cm="1">
        <f t="array" ref="Y72">Y$1*Y12*SUMPRODUCT(1*(input_MRB_EV=input_data!$C$55:$C$57),input_data!$F$55:$F$57)</f>
        <v>173.05142113571387</v>
      </c>
      <c r="Z72" s="543" cm="1">
        <f t="array" ref="Z72">Z$1*Z12*SUMPRODUCT(1*(input_MRB_EV=input_data!$C$55:$C$57),input_data!$F$55:$F$57)</f>
        <v>173.87328656934159</v>
      </c>
      <c r="AA72" s="543" cm="1">
        <f t="array" ref="AA72">AA$1*AA12*SUMPRODUCT(1*(input_MRB_EV=input_data!$C$55:$C$57),input_data!$F$55:$F$57)</f>
        <v>174.69905525199528</v>
      </c>
      <c r="AB72" s="543" cm="1">
        <f t="array" ref="AB72">AB$1*AB12*SUMPRODUCT(1*(input_MRB_EV=input_data!$C$55:$C$57),input_data!$F$55:$F$57)</f>
        <v>175.52874572120228</v>
      </c>
      <c r="AC72" s="543" cm="1">
        <f t="array" ref="AC72">AC$1*AC12*SUMPRODUCT(1*(input_MRB_EV=input_data!$C$55:$C$57),input_data!$F$55:$F$57)</f>
        <v>176.36237660252945</v>
      </c>
      <c r="AD72" s="543" cm="1">
        <f t="array" ref="AD72">AD$1*AD12*SUMPRODUCT(1*(input_MRB_EV=input_data!$C$55:$C$57),input_data!$F$55:$F$57)</f>
        <v>177.19996661000116</v>
      </c>
      <c r="AE72" s="543" cm="1">
        <f t="array" ref="AE72">AE$1*AE12*SUMPRODUCT(1*(input_MRB_EV=input_data!$C$55:$C$57),input_data!$F$55:$F$57)</f>
        <v>178.04153454651947</v>
      </c>
      <c r="AF72" s="543" cm="1">
        <f t="array" ref="AF72">AF$1*AF12*SUMPRODUCT(1*(input_MRB_EV=input_data!$C$55:$C$57),input_data!$F$55:$F$57)</f>
        <v>178.88709930428627</v>
      </c>
      <c r="AG72" s="543" cm="1">
        <f t="array" ref="AG72">AG$1*AG12*SUMPRODUCT(1*(input_MRB_EV=input_data!$C$55:$C$57),input_data!$F$55:$F$57)</f>
        <v>179.73667986522727</v>
      </c>
      <c r="AH72" s="543" cm="1">
        <f t="array" ref="AH72">AH$1*AH12*SUMPRODUCT(1*(input_MRB_EV=input_data!$C$55:$C$57),input_data!$F$55:$F$57)</f>
        <v>180.59029530141831</v>
      </c>
      <c r="AI72" s="543" cm="1">
        <f t="array" ref="AI72">AI$1*AI12*SUMPRODUCT(1*(input_MRB_EV=input_data!$C$55:$C$57),input_data!$F$55:$F$57)</f>
        <v>181.4479647755133</v>
      </c>
      <c r="AJ72" s="543" cm="1">
        <f t="array" ref="AJ72">AJ$1*AJ12*SUMPRODUCT(1*(input_MRB_EV=input_data!$C$55:$C$57),input_data!$F$55:$F$57)</f>
        <v>182.3097075411745</v>
      </c>
      <c r="AK72" s="543" cm="1">
        <f t="array" ref="AK72">AK$1*AK12*SUMPRODUCT(1*(input_MRB_EV=input_data!$C$55:$C$57),input_data!$F$55:$F$57)</f>
        <v>183.17554294350478</v>
      </c>
      <c r="AL72" s="543" cm="1">
        <f t="array" ref="AL72">AL$1*AL12*SUMPRODUCT(1*(input_MRB_EV=input_data!$C$55:$C$57),input_data!$F$55:$F$57)</f>
        <v>184.04549041948181</v>
      </c>
      <c r="AM72" s="543" cm="1">
        <f t="array" ref="AM72">AM$1*AM12*SUMPRODUCT(1*(input_MRB_EV=input_data!$C$55:$C$57),input_data!$F$55:$F$57)</f>
        <v>184.91956949839448</v>
      </c>
      <c r="AN72" s="543" cm="1">
        <f t="array" ref="AN72">AN$1*AN12*SUMPRODUCT(1*(input_MRB_EV=input_data!$C$55:$C$57),input_data!$F$55:$F$57)</f>
        <v>185.79779980228119</v>
      </c>
      <c r="AO72" s="543" cm="1">
        <f t="array" ref="AO72">AO$1*AO12*SUMPRODUCT(1*(input_MRB_EV=input_data!$C$55:$C$57),input_data!$F$55:$F$57)</f>
        <v>186.68020104637048</v>
      </c>
      <c r="AP72" s="543" cm="1">
        <f t="array" ref="AP72">AP$1*AP12*SUMPRODUCT(1*(input_MRB_EV=input_data!$C$55:$C$57),input_data!$F$55:$F$57)</f>
        <v>187.56679303952356</v>
      </c>
      <c r="AQ72" s="543" cm="1">
        <f t="array" ref="AQ72">AQ$1*AQ12*SUMPRODUCT(1*(input_MRB_EV=input_data!$C$55:$C$57),input_data!$F$55:$F$57)</f>
        <v>188.45759568467892</v>
      </c>
      <c r="AR72" s="543" cm="1">
        <f t="array" ref="AR72">AR$1*AR12*SUMPRODUCT(1*(input_MRB_EV=input_data!$C$55:$C$57),input_data!$F$55:$F$57)</f>
        <v>189.35262897929923</v>
      </c>
      <c r="AS72" s="543" cm="1">
        <f t="array" ref="AS72">AS$1*AS12*SUMPRODUCT(1*(input_MRB_EV=input_data!$C$55:$C$57),input_data!$F$55:$F$57)</f>
        <v>190.25191301582021</v>
      </c>
      <c r="AT72" s="543" cm="1">
        <f t="array" ref="AT72">AT$1*AT12*SUMPRODUCT(1*(input_MRB_EV=input_data!$C$55:$C$57),input_data!$F$55:$F$57)</f>
        <v>191.15546798210173</v>
      </c>
      <c r="AU72" s="543" cm="1">
        <f t="array" ref="AU72">AU$1*AU12*SUMPRODUCT(1*(input_MRB_EV=input_data!$C$55:$C$57),input_data!$F$55:$F$57)</f>
        <v>192.06331416188092</v>
      </c>
      <c r="AV72" s="543" cm="1">
        <f t="array" ref="AV72">AV$1*AV12*SUMPRODUCT(1*(input_MRB_EV=input_data!$C$55:$C$57),input_data!$F$55:$F$57)</f>
        <v>192.9754719352276</v>
      </c>
      <c r="AW72" s="543" cm="1">
        <f t="array" ref="AW72">AW$1*AW12*SUMPRODUCT(1*(input_MRB_EV=input_data!$C$55:$C$57),input_data!$F$55:$F$57)</f>
        <v>193.89196177900172</v>
      </c>
      <c r="AX72" s="543" cm="1">
        <f t="array" ref="AX72">AX$1*AX12*SUMPRODUCT(1*(input_MRB_EV=input_data!$C$55:$C$57),input_data!$F$55:$F$57)</f>
        <v>194.81280426731308</v>
      </c>
      <c r="AY72" s="543" cm="1">
        <f t="array" ref="AY72">AY$1*AY12*SUMPRODUCT(1*(input_MRB_EV=input_data!$C$55:$C$57),input_data!$F$55:$F$57)</f>
        <v>195.73802007198319</v>
      </c>
      <c r="AZ72" s="543" cm="1">
        <f t="array" ref="AZ72">AZ$1*AZ12*SUMPRODUCT(1*(input_MRB_EV=input_data!$C$55:$C$57),input_data!$F$55:$F$57)</f>
        <v>196.66762996300932</v>
      </c>
      <c r="BA72" s="543" cm="1">
        <f t="array" ref="BA72">BA$1*BA12*SUMPRODUCT(1*(input_MRB_EV=input_data!$C$55:$C$57),input_data!$F$55:$F$57)</f>
        <v>197.6016548090308</v>
      </c>
      <c r="BB72" s="543" cm="1">
        <f t="array" ref="BB72">BB$1*BB12*SUMPRODUCT(1*(input_MRB_EV=input_data!$C$55:$C$57),input_data!$F$55:$F$57)</f>
        <v>198.54011557779742</v>
      </c>
      <c r="BC72" s="543" cm="1">
        <f t="array" ref="BC72">BC$1*BC12*SUMPRODUCT(1*(input_MRB_EV=input_data!$C$55:$C$57),input_data!$F$55:$F$57)</f>
        <v>199.48303333664018</v>
      </c>
    </row>
    <row r="73" spans="7:55" x14ac:dyDescent="0.3">
      <c r="H73" s="542" t="str">
        <f>input_names!$D$3</f>
        <v>Elektrisch</v>
      </c>
      <c r="I73" s="542" t="s">
        <v>533</v>
      </c>
      <c r="J73" s="543" cm="1">
        <f t="array" ref="J73">J$1*J13*SUMPRODUCT(1*(input_MRB_EV=input_data!$C$55:$C$57),input_data!$F$55:$F$57)</f>
        <v>0</v>
      </c>
      <c r="K73" s="543" cm="1">
        <f t="array" ref="K73">K$1*K13*SUMPRODUCT(1*(input_MRB_EV=input_data!$C$55:$C$57),input_data!$F$55:$F$57)</f>
        <v>0</v>
      </c>
      <c r="L73" s="543" cm="1">
        <f t="array" ref="L73">L$1*L13*SUMPRODUCT(1*(input_MRB_EV=input_data!$C$55:$C$57),input_data!$F$55:$F$57)</f>
        <v>0</v>
      </c>
      <c r="M73" s="543" cm="1">
        <f t="array" ref="M73">M$1*M13*SUMPRODUCT(1*(input_MRB_EV=input_data!$C$55:$C$57),input_data!$F$55:$F$57)</f>
        <v>0</v>
      </c>
      <c r="N73" s="543" cm="1">
        <f t="array" ref="N73">N$1*N13*SUMPRODUCT(1*(input_MRB_EV=input_data!$C$55:$C$57),input_data!$F$55:$F$57)</f>
        <v>0</v>
      </c>
      <c r="O73" s="543" cm="1">
        <f t="array" ref="O73">O$1*O13*SUMPRODUCT(1*(input_MRB_EV=input_data!$C$55:$C$57),input_data!$F$55:$F$57)</f>
        <v>0</v>
      </c>
      <c r="P73" s="543" cm="1">
        <f t="array" ref="P73">P$1*P13*SUMPRODUCT(1*(input_MRB_EV=input_data!$C$55:$C$57),input_data!$F$55:$F$57)</f>
        <v>0</v>
      </c>
      <c r="Q73" s="543" cm="1">
        <f t="array" ref="Q73">Q$1*Q13*SUMPRODUCT(1*(input_MRB_EV=input_data!$C$55:$C$57),input_data!$F$55:$F$57)</f>
        <v>0</v>
      </c>
      <c r="R73" s="543" cm="1">
        <f t="array" ref="R73">R$1*R13*SUMPRODUCT(1*(input_MRB_EV=input_data!$C$55:$C$57),input_data!$F$55:$F$57)</f>
        <v>0</v>
      </c>
      <c r="S73" s="543" cm="1">
        <f t="array" ref="S73">S$1*S13*SUMPRODUCT(1*(input_MRB_EV=input_data!$C$55:$C$57),input_data!$F$55:$F$57)</f>
        <v>51.75</v>
      </c>
      <c r="T73" s="543" cm="1">
        <f t="array" ref="T73">T$1*T13*SUMPRODUCT(1*(input_MRB_EV=input_data!$C$55:$C$57),input_data!$F$55:$F$57)</f>
        <v>155.25</v>
      </c>
      <c r="U73" s="543" cm="1">
        <f t="array" ref="U73">U$1*U13*SUMPRODUCT(1*(input_MRB_EV=input_data!$C$55:$C$57),input_data!$F$55:$F$57)</f>
        <v>155.9873219343321</v>
      </c>
      <c r="V73" s="543" cm="1">
        <f t="array" ref="V73">V$1*V13*SUMPRODUCT(1*(input_MRB_EV=input_data!$C$55:$C$57),input_data!$F$55:$F$57)</f>
        <v>156.72814559900138</v>
      </c>
      <c r="W73" s="543" cm="1">
        <f t="array" ref="W73">W$1*W13*SUMPRODUCT(1*(input_MRB_EV=input_data!$C$55:$C$57),input_data!$F$55:$F$57)</f>
        <v>157.47248762462027</v>
      </c>
      <c r="X73" s="543" cm="1">
        <f t="array" ref="X73">X$1*X13*SUMPRODUCT(1*(input_MRB_EV=input_data!$C$55:$C$57),input_data!$F$55:$F$57)</f>
        <v>158.22036472078435</v>
      </c>
      <c r="Y73" s="543" cm="1">
        <f t="array" ref="Y73">Y$1*Y13*SUMPRODUCT(1*(input_MRB_EV=input_data!$C$55:$C$57),input_data!$F$55:$F$57)</f>
        <v>211.96239156859627</v>
      </c>
      <c r="Z73" s="543" cm="1">
        <f t="array" ref="Z73">Z$1*Z13*SUMPRODUCT(1*(input_MRB_EV=input_data!$C$55:$C$57),input_data!$F$55:$F$57)</f>
        <v>212.96905514706336</v>
      </c>
      <c r="AA73" s="543" cm="1">
        <f t="array" ref="AA73">AA$1*AA13*SUMPRODUCT(1*(input_MRB_EV=input_data!$C$55:$C$57),input_data!$F$55:$F$57)</f>
        <v>213.98049962818357</v>
      </c>
      <c r="AB73" s="543" cm="1">
        <f t="array" ref="AB73">AB$1*AB13*SUMPRODUCT(1*(input_MRB_EV=input_data!$C$55:$C$57),input_data!$F$55:$F$57)</f>
        <v>214.99674771768565</v>
      </c>
      <c r="AC73" s="543" cm="1">
        <f t="array" ref="AC73">AC$1*AC13*SUMPRODUCT(1*(input_MRB_EV=input_data!$C$55:$C$57),input_data!$F$55:$F$57)</f>
        <v>216.01782222913371</v>
      </c>
      <c r="AD73" s="543" cm="1">
        <f t="array" ref="AD73">AD$1*AD13*SUMPRODUCT(1*(input_MRB_EV=input_data!$C$55:$C$57),input_data!$F$55:$F$57)</f>
        <v>217.04374608443928</v>
      </c>
      <c r="AE73" s="543" cm="1">
        <f t="array" ref="AE73">AE$1*AE13*SUMPRODUCT(1*(input_MRB_EV=input_data!$C$55:$C$57),input_data!$F$55:$F$57)</f>
        <v>218.07454231437592</v>
      </c>
      <c r="AF73" s="543" cm="1">
        <f t="array" ref="AF73">AF$1*AF13*SUMPRODUCT(1*(input_MRB_EV=input_data!$C$55:$C$57),input_data!$F$55:$F$57)</f>
        <v>219.11023405909617</v>
      </c>
      <c r="AG73" s="543" cm="1">
        <f t="array" ref="AG73">AG$1*AG13*SUMPRODUCT(1*(input_MRB_EV=input_data!$C$55:$C$57),input_data!$F$55:$F$57)</f>
        <v>220.15084456865114</v>
      </c>
      <c r="AH73" s="543" cm="1">
        <f t="array" ref="AH73">AH$1*AH13*SUMPRODUCT(1*(input_MRB_EV=input_data!$C$55:$C$57),input_data!$F$55:$F$57)</f>
        <v>221.19639720351233</v>
      </c>
      <c r="AI73" s="543" cm="1">
        <f t="array" ref="AI73">AI$1*AI13*SUMPRODUCT(1*(input_MRB_EV=input_data!$C$55:$C$57),input_data!$F$55:$F$57)</f>
        <v>222.24691543509613</v>
      </c>
      <c r="AJ73" s="543" cm="1">
        <f t="array" ref="AJ73">AJ$1*AJ13*SUMPRODUCT(1*(input_MRB_EV=input_data!$C$55:$C$57),input_data!$F$55:$F$57)</f>
        <v>223.30242284629063</v>
      </c>
      <c r="AK73" s="543" cm="1">
        <f t="array" ref="AK73">AK$1*AK13*SUMPRODUCT(1*(input_MRB_EV=input_data!$C$55:$C$57),input_data!$F$55:$F$57)</f>
        <v>224.36294313198511</v>
      </c>
      <c r="AL73" s="543" cm="1">
        <f t="array" ref="AL73">AL$1*AL13*SUMPRODUCT(1*(input_MRB_EV=input_data!$C$55:$C$57),input_data!$F$55:$F$57)</f>
        <v>225.42850009960196</v>
      </c>
      <c r="AM73" s="543" cm="1">
        <f t="array" ref="AM73">AM$1*AM13*SUMPRODUCT(1*(input_MRB_EV=input_data!$C$55:$C$57),input_data!$F$55:$F$57)</f>
        <v>226.49911766963109</v>
      </c>
      <c r="AN73" s="543" cm="1">
        <f t="array" ref="AN73">AN$1*AN13*SUMPRODUCT(1*(input_MRB_EV=input_data!$C$55:$C$57),input_data!$F$55:$F$57)</f>
        <v>227.57481987616688</v>
      </c>
      <c r="AO73" s="543" cm="1">
        <f t="array" ref="AO73">AO$1*AO13*SUMPRODUCT(1*(input_MRB_EV=input_data!$C$55:$C$57),input_data!$F$55:$F$57)</f>
        <v>228.65563086744785</v>
      </c>
      <c r="AP73" s="543" cm="1">
        <f t="array" ref="AP73">AP$1*AP13*SUMPRODUCT(1*(input_MRB_EV=input_data!$C$55:$C$57),input_data!$F$55:$F$57)</f>
        <v>229.74157490639865</v>
      </c>
      <c r="AQ73" s="543" cm="1">
        <f t="array" ref="AQ73">AQ$1*AQ13*SUMPRODUCT(1*(input_MRB_EV=input_data!$C$55:$C$57),input_data!$F$55:$F$57)</f>
        <v>230.83267637117473</v>
      </c>
      <c r="AR73" s="543" cm="1">
        <f t="array" ref="AR73">AR$1*AR13*SUMPRODUCT(1*(input_MRB_EV=input_data!$C$55:$C$57),input_data!$F$55:$F$57)</f>
        <v>231.92895975570966</v>
      </c>
      <c r="AS73" s="543" cm="1">
        <f t="array" ref="AS73">AS$1*AS13*SUMPRODUCT(1*(input_MRB_EV=input_data!$C$55:$C$57),input_data!$F$55:$F$57)</f>
        <v>233.03044967026494</v>
      </c>
      <c r="AT73" s="543" cm="1">
        <f t="array" ref="AT73">AT$1*AT13*SUMPRODUCT(1*(input_MRB_EV=input_data!$C$55:$C$57),input_data!$F$55:$F$57)</f>
        <v>234.13717084198254</v>
      </c>
      <c r="AU73" s="543" cm="1">
        <f t="array" ref="AU73">AU$1*AU13*SUMPRODUCT(1*(input_MRB_EV=input_data!$C$55:$C$57),input_data!$F$55:$F$57)</f>
        <v>235.24914811543988</v>
      </c>
      <c r="AV73" s="543" cm="1">
        <f t="array" ref="AV73">AV$1*AV13*SUMPRODUCT(1*(input_MRB_EV=input_data!$C$55:$C$57),input_data!$F$55:$F$57)</f>
        <v>236.3664064532077</v>
      </c>
      <c r="AW73" s="543" cm="1">
        <f t="array" ref="AW73">AW$1*AW13*SUMPRODUCT(1*(input_MRB_EV=input_data!$C$55:$C$57),input_data!$F$55:$F$57)</f>
        <v>237.48897093641031</v>
      </c>
      <c r="AX73" s="543" cm="1">
        <f t="array" ref="AX73">AX$1*AX13*SUMPRODUCT(1*(input_MRB_EV=input_data!$C$55:$C$57),input_data!$F$55:$F$57)</f>
        <v>238.61686676528871</v>
      </c>
      <c r="AY73" s="543" cm="1">
        <f t="array" ref="AY73">AY$1*AY13*SUMPRODUCT(1*(input_MRB_EV=input_data!$C$55:$C$57),input_data!$F$55:$F$57)</f>
        <v>239.75011925976628</v>
      </c>
      <c r="AZ73" s="543" cm="1">
        <f t="array" ref="AZ73">AZ$1*AZ13*SUMPRODUCT(1*(input_MRB_EV=input_data!$C$55:$C$57),input_data!$F$55:$F$57)</f>
        <v>240.88875386001723</v>
      </c>
      <c r="BA73" s="543" cm="1">
        <f t="array" ref="BA73">BA$1*BA13*SUMPRODUCT(1*(input_MRB_EV=input_data!$C$55:$C$57),input_data!$F$55:$F$57)</f>
        <v>242.03279612703761</v>
      </c>
      <c r="BB73" s="543" cm="1">
        <f t="array" ref="BB73">BB$1*BB13*SUMPRODUCT(1*(input_MRB_EV=input_data!$C$55:$C$57),input_data!$F$55:$F$57)</f>
        <v>243.18227174321919</v>
      </c>
      <c r="BC73" s="543" cm="1">
        <f t="array" ref="BC73">BC$1*BC13*SUMPRODUCT(1*(input_MRB_EV=input_data!$C$55:$C$57),input_data!$F$55:$F$57)</f>
        <v>244.337206512926</v>
      </c>
    </row>
    <row r="74" spans="7:55" x14ac:dyDescent="0.3">
      <c r="H74" s="542" t="str">
        <f>input_names!$D$3</f>
        <v>Elektrisch</v>
      </c>
      <c r="I74" s="542" t="s">
        <v>534</v>
      </c>
      <c r="J74" s="543" cm="1">
        <f t="array" ref="J74">J$1*J14*SUMPRODUCT(1*(input_MRB_EV=input_data!$C$55:$C$57),input_data!$F$55:$F$57)</f>
        <v>0</v>
      </c>
      <c r="K74" s="543" cm="1">
        <f t="array" ref="K74">K$1*K14*SUMPRODUCT(1*(input_MRB_EV=input_data!$C$55:$C$57),input_data!$F$55:$F$57)</f>
        <v>0</v>
      </c>
      <c r="L74" s="543" cm="1">
        <f t="array" ref="L74">L$1*L14*SUMPRODUCT(1*(input_MRB_EV=input_data!$C$55:$C$57),input_data!$F$55:$F$57)</f>
        <v>0</v>
      </c>
      <c r="M74" s="543" cm="1">
        <f t="array" ref="M74">M$1*M14*SUMPRODUCT(1*(input_MRB_EV=input_data!$C$55:$C$57),input_data!$F$55:$F$57)</f>
        <v>0</v>
      </c>
      <c r="N74" s="543" cm="1">
        <f t="array" ref="N74">N$1*N14*SUMPRODUCT(1*(input_MRB_EV=input_data!$C$55:$C$57),input_data!$F$55:$F$57)</f>
        <v>0</v>
      </c>
      <c r="O74" s="543" cm="1">
        <f t="array" ref="O74">O$1*O14*SUMPRODUCT(1*(input_MRB_EV=input_data!$C$55:$C$57),input_data!$F$55:$F$57)</f>
        <v>0</v>
      </c>
      <c r="P74" s="543" cm="1">
        <f t="array" ref="P74">P$1*P14*SUMPRODUCT(1*(input_MRB_EV=input_data!$C$55:$C$57),input_data!$F$55:$F$57)</f>
        <v>0</v>
      </c>
      <c r="Q74" s="543" cm="1">
        <f t="array" ref="Q74">Q$1*Q14*SUMPRODUCT(1*(input_MRB_EV=input_data!$C$55:$C$57),input_data!$F$55:$F$57)</f>
        <v>0</v>
      </c>
      <c r="R74" s="543" cm="1">
        <f t="array" ref="R74">R$1*R14*SUMPRODUCT(1*(input_MRB_EV=input_data!$C$55:$C$57),input_data!$F$55:$F$57)</f>
        <v>0</v>
      </c>
      <c r="S74" s="543" cm="1">
        <f t="array" ref="S74">S$1*S14*SUMPRODUCT(1*(input_MRB_EV=input_data!$C$55:$C$57),input_data!$F$55:$F$57)</f>
        <v>58.75</v>
      </c>
      <c r="T74" s="543" cm="1">
        <f t="array" ref="T74">T$1*T14*SUMPRODUCT(1*(input_MRB_EV=input_data!$C$55:$C$57),input_data!$F$55:$F$57)</f>
        <v>176.25</v>
      </c>
      <c r="U74" s="543" cm="1">
        <f t="array" ref="U74">U$1*U14*SUMPRODUCT(1*(input_MRB_EV=input_data!$C$55:$C$57),input_data!$F$55:$F$57)</f>
        <v>177.08705630226106</v>
      </c>
      <c r="V74" s="543" cm="1">
        <f t="array" ref="V74">V$1*V14*SUMPRODUCT(1*(input_MRB_EV=input_data!$C$55:$C$57),input_data!$F$55:$F$57)</f>
        <v>177.92808799886626</v>
      </c>
      <c r="W74" s="543" cm="1">
        <f t="array" ref="W74">W$1*W14*SUMPRODUCT(1*(input_MRB_EV=input_data!$C$55:$C$57),input_data!$F$55:$F$57)</f>
        <v>178.77311396997953</v>
      </c>
      <c r="X74" s="543" cm="1">
        <f t="array" ref="X74">X$1*X14*SUMPRODUCT(1*(input_MRB_EV=input_data!$C$55:$C$57),input_data!$F$55:$F$57)</f>
        <v>179.6221531854315</v>
      </c>
      <c r="Y74" s="543" cm="1">
        <f t="array" ref="Y74">Y$1*Y14*SUMPRODUCT(1*(input_MRB_EV=input_data!$C$55:$C$57),input_data!$F$55:$F$57)</f>
        <v>240.63363294019382</v>
      </c>
      <c r="Z74" s="543" cm="1">
        <f t="array" ref="Z74">Z$1*Z14*SUMPRODUCT(1*(input_MRB_EV=input_data!$C$55:$C$57),input_data!$F$55:$F$57)</f>
        <v>241.77646357275307</v>
      </c>
      <c r="AA74" s="543" cm="1">
        <f t="array" ref="AA74">AA$1*AA14*SUMPRODUCT(1*(input_MRB_EV=input_data!$C$55:$C$57),input_data!$F$55:$F$57)</f>
        <v>242.92472180011174</v>
      </c>
      <c r="AB74" s="543" cm="1">
        <f t="array" ref="AB74">AB$1*AB14*SUMPRODUCT(1*(input_MRB_EV=input_data!$C$55:$C$57),input_data!$F$55:$F$57)</f>
        <v>244.07843339930494</v>
      </c>
      <c r="AC74" s="543" cm="1">
        <f t="array" ref="AC74">AC$1*AC14*SUMPRODUCT(1*(input_MRB_EV=input_data!$C$55:$C$57),input_data!$F$55:$F$57)</f>
        <v>245.23762426978945</v>
      </c>
      <c r="AD74" s="543" cm="1">
        <f t="array" ref="AD74">AD$1*AD14*SUMPRODUCT(1*(input_MRB_EV=input_data!$C$55:$C$57),input_data!$F$55:$F$57)</f>
        <v>246.40232043402526</v>
      </c>
      <c r="AE74" s="543" cm="1">
        <f t="array" ref="AE74">AE$1*AE14*SUMPRODUCT(1*(input_MRB_EV=input_data!$C$55:$C$57),input_data!$F$55:$F$57)</f>
        <v>247.57254803805961</v>
      </c>
      <c r="AF74" s="543" cm="1">
        <f t="array" ref="AF74">AF$1*AF14*SUMPRODUCT(1*(input_MRB_EV=input_data!$C$55:$C$57),input_data!$F$55:$F$57)</f>
        <v>248.748333352114</v>
      </c>
      <c r="AG74" s="543" cm="1">
        <f t="array" ref="AG74">AG$1*AG14*SUMPRODUCT(1*(input_MRB_EV=input_data!$C$55:$C$57),input_data!$F$55:$F$57)</f>
        <v>249.92970277117399</v>
      </c>
      <c r="AH74" s="543" cm="1">
        <f t="array" ref="AH74">AH$1*AH14*SUMPRODUCT(1*(input_MRB_EV=input_data!$C$55:$C$57),input_data!$F$55:$F$57)</f>
        <v>251.11668281558164</v>
      </c>
      <c r="AI74" s="543" cm="1">
        <f t="array" ref="AI74">AI$1*AI14*SUMPRODUCT(1*(input_MRB_EV=input_data!$C$55:$C$57),input_data!$F$55:$F$57)</f>
        <v>252.30930013163086</v>
      </c>
      <c r="AJ74" s="543" cm="1">
        <f t="array" ref="AJ74">AJ$1*AJ14*SUMPRODUCT(1*(input_MRB_EV=input_data!$C$55:$C$57),input_data!$F$55:$F$57)</f>
        <v>253.50758149216568</v>
      </c>
      <c r="AK74" s="543" cm="1">
        <f t="array" ref="AK74">AK$1*AK14*SUMPRODUCT(1*(input_MRB_EV=input_data!$C$55:$C$57),input_data!$F$55:$F$57)</f>
        <v>254.71155379718115</v>
      </c>
      <c r="AL74" s="543" cm="1">
        <f t="array" ref="AL74">AL$1*AL14*SUMPRODUCT(1*(input_MRB_EV=input_data!$C$55:$C$57),input_data!$F$55:$F$57)</f>
        <v>255.92124407442734</v>
      </c>
      <c r="AM74" s="543" cm="1">
        <f t="array" ref="AM74">AM$1*AM14*SUMPRODUCT(1*(input_MRB_EV=input_data!$C$55:$C$57),input_data!$F$55:$F$57)</f>
        <v>257.13667948001597</v>
      </c>
      <c r="AN74" s="543" cm="1">
        <f t="array" ref="AN74">AN$1*AN14*SUMPRODUCT(1*(input_MRB_EV=input_data!$C$55:$C$57),input_data!$F$55:$F$57)</f>
        <v>258.35788729903004</v>
      </c>
      <c r="AO74" s="543" cm="1">
        <f t="array" ref="AO74">AO$1*AO14*SUMPRODUCT(1*(input_MRB_EV=input_data!$C$55:$C$57),input_data!$F$55:$F$57)</f>
        <v>259.58489494613644</v>
      </c>
      <c r="AP74" s="543" cm="1">
        <f t="array" ref="AP74">AP$1*AP14*SUMPRODUCT(1*(input_MRB_EV=input_data!$C$55:$C$57),input_data!$F$55:$F$57)</f>
        <v>260.81772996620134</v>
      </c>
      <c r="AQ74" s="543" cm="1">
        <f t="array" ref="AQ74">AQ$1*AQ14*SUMPRODUCT(1*(input_MRB_EV=input_data!$C$55:$C$57),input_data!$F$55:$F$57)</f>
        <v>262.05642003490851</v>
      </c>
      <c r="AR74" s="543" cm="1">
        <f t="array" ref="AR74">AR$1*AR14*SUMPRODUCT(1*(input_MRB_EV=input_data!$C$55:$C$57),input_data!$F$55:$F$57)</f>
        <v>263.30099295938055</v>
      </c>
      <c r="AS74" s="543" cm="1">
        <f t="array" ref="AS74">AS$1*AS14*SUMPRODUCT(1*(input_MRB_EV=input_data!$C$55:$C$57),input_data!$F$55:$F$57)</f>
        <v>264.55147667880323</v>
      </c>
      <c r="AT74" s="543" cm="1">
        <f t="array" ref="AT74">AT$1*AT14*SUMPRODUCT(1*(input_MRB_EV=input_data!$C$55:$C$57),input_data!$F$55:$F$57)</f>
        <v>265.8078992650527</v>
      </c>
      <c r="AU74" s="543" cm="1">
        <f t="array" ref="AU74">AU$1*AU14*SUMPRODUCT(1*(input_MRB_EV=input_data!$C$55:$C$57),input_data!$F$55:$F$57)</f>
        <v>267.07028892332551</v>
      </c>
      <c r="AV74" s="543" cm="1">
        <f t="array" ref="AV74">AV$1*AV14*SUMPRODUCT(1*(input_MRB_EV=input_data!$C$55:$C$57),input_data!$F$55:$F$57)</f>
        <v>268.33867399277204</v>
      </c>
      <c r="AW74" s="543" cm="1">
        <f t="array" ref="AW74">AW$1*AW14*SUMPRODUCT(1*(input_MRB_EV=input_data!$C$55:$C$57),input_data!$F$55:$F$57)</f>
        <v>269.61308294713251</v>
      </c>
      <c r="AX74" s="543" cm="1">
        <f t="array" ref="AX74">AX$1*AX14*SUMPRODUCT(1*(input_MRB_EV=input_data!$C$55:$C$57),input_data!$F$55:$F$57)</f>
        <v>270.89354439537613</v>
      </c>
      <c r="AY74" s="543" cm="1">
        <f t="array" ref="AY74">AY$1*AY14*SUMPRODUCT(1*(input_MRB_EV=input_data!$C$55:$C$57),input_data!$F$55:$F$57)</f>
        <v>272.18008708234345</v>
      </c>
      <c r="AZ74" s="543" cm="1">
        <f t="array" ref="AZ74">AZ$1*AZ14*SUMPRODUCT(1*(input_MRB_EV=input_data!$C$55:$C$57),input_data!$F$55:$F$57)</f>
        <v>273.47273988939162</v>
      </c>
      <c r="BA74" s="543" cm="1">
        <f t="array" ref="BA74">BA$1*BA14*SUMPRODUCT(1*(input_MRB_EV=input_data!$C$55:$C$57),input_data!$F$55:$F$57)</f>
        <v>274.77153183504277</v>
      </c>
      <c r="BB74" s="543" cm="1">
        <f t="array" ref="BB74">BB$1*BB14*SUMPRODUCT(1*(input_MRB_EV=input_data!$C$55:$C$57),input_data!$F$55:$F$57)</f>
        <v>276.07649207563537</v>
      </c>
      <c r="BC74" s="543" cm="1">
        <f t="array" ref="BC74">BC$1*BC14*SUMPRODUCT(1*(input_MRB_EV=input_data!$C$55:$C$57),input_data!$F$55:$F$57)</f>
        <v>277.38764990597883</v>
      </c>
    </row>
    <row r="75" spans="7:55" x14ac:dyDescent="0.3">
      <c r="H75" s="542" t="str">
        <f>input_names!$D$3</f>
        <v>Elektrisch</v>
      </c>
      <c r="I75" s="542" t="s">
        <v>535</v>
      </c>
      <c r="J75" s="543" cm="1">
        <f t="array" ref="J75">J$1*J15*SUMPRODUCT(1*(input_MRB_EV=input_data!$C$55:$C$57),input_data!$F$55:$F$57)</f>
        <v>0</v>
      </c>
      <c r="K75" s="543" cm="1">
        <f t="array" ref="K75">K$1*K15*SUMPRODUCT(1*(input_MRB_EV=input_data!$C$55:$C$57),input_data!$F$55:$F$57)</f>
        <v>0</v>
      </c>
      <c r="L75" s="543" cm="1">
        <f t="array" ref="L75">L$1*L15*SUMPRODUCT(1*(input_MRB_EV=input_data!$C$55:$C$57),input_data!$F$55:$F$57)</f>
        <v>0</v>
      </c>
      <c r="M75" s="543" cm="1">
        <f t="array" ref="M75">M$1*M15*SUMPRODUCT(1*(input_MRB_EV=input_data!$C$55:$C$57),input_data!$F$55:$F$57)</f>
        <v>0</v>
      </c>
      <c r="N75" s="543" cm="1">
        <f t="array" ref="N75">N$1*N15*SUMPRODUCT(1*(input_MRB_EV=input_data!$C$55:$C$57),input_data!$F$55:$F$57)</f>
        <v>0</v>
      </c>
      <c r="O75" s="543" cm="1">
        <f t="array" ref="O75">O$1*O15*SUMPRODUCT(1*(input_MRB_EV=input_data!$C$55:$C$57),input_data!$F$55:$F$57)</f>
        <v>0</v>
      </c>
      <c r="P75" s="543" cm="1">
        <f t="array" ref="P75">P$1*P15*SUMPRODUCT(1*(input_MRB_EV=input_data!$C$55:$C$57),input_data!$F$55:$F$57)</f>
        <v>0</v>
      </c>
      <c r="Q75" s="543" cm="1">
        <f t="array" ref="Q75">Q$1*Q15*SUMPRODUCT(1*(input_MRB_EV=input_data!$C$55:$C$57),input_data!$F$55:$F$57)</f>
        <v>0</v>
      </c>
      <c r="R75" s="543" cm="1">
        <f t="array" ref="R75">R$1*R15*SUMPRODUCT(1*(input_MRB_EV=input_data!$C$55:$C$57),input_data!$F$55:$F$57)</f>
        <v>0</v>
      </c>
      <c r="S75" s="543" cm="1">
        <f t="array" ref="S75">S$1*S15*SUMPRODUCT(1*(input_MRB_EV=input_data!$C$55:$C$57),input_data!$F$55:$F$57)</f>
        <v>66</v>
      </c>
      <c r="T75" s="543" cm="1">
        <f t="array" ref="T75">T$1*T15*SUMPRODUCT(1*(input_MRB_EV=input_data!$C$55:$C$57),input_data!$F$55:$F$57)</f>
        <v>198</v>
      </c>
      <c r="U75" s="543" cm="1">
        <f t="array" ref="U75">U$1*U15*SUMPRODUCT(1*(input_MRB_EV=input_data!$C$55:$C$57),input_data!$F$55:$F$57)</f>
        <v>198.9403526119018</v>
      </c>
      <c r="V75" s="543" cm="1">
        <f t="array" ref="V75">V$1*V15*SUMPRODUCT(1*(input_MRB_EV=input_data!$C$55:$C$57),input_data!$F$55:$F$57)</f>
        <v>199.88517119872637</v>
      </c>
      <c r="W75" s="543" cm="1">
        <f t="array" ref="W75">W$1*W15*SUMPRODUCT(1*(input_MRB_EV=input_data!$C$55:$C$57),input_data!$F$55:$F$57)</f>
        <v>200.83447697053018</v>
      </c>
      <c r="X75" s="543" cm="1">
        <f t="array" ref="X75">X$1*X15*SUMPRODUCT(1*(input_MRB_EV=input_data!$C$55:$C$57),input_data!$F$55:$F$57)</f>
        <v>201.78829123810175</v>
      </c>
      <c r="Y75" s="543" cm="1">
        <f t="array" ref="Y75">Y$1*Y15*SUMPRODUCT(1*(input_MRB_EV=input_data!$C$55:$C$57),input_data!$F$55:$F$57)</f>
        <v>270.32884721791982</v>
      </c>
      <c r="Z75" s="543" cm="1">
        <f t="array" ref="Z75">Z$1*Z15*SUMPRODUCT(1*(input_MRB_EV=input_data!$C$55:$C$57),input_data!$F$55:$F$57)</f>
        <v>271.61270801364594</v>
      </c>
      <c r="AA75" s="543" cm="1">
        <f t="array" ref="AA75">AA$1*AA15*SUMPRODUCT(1*(input_MRB_EV=input_data!$C$55:$C$57),input_data!$F$55:$F$57)</f>
        <v>272.90266619246592</v>
      </c>
      <c r="AB75" s="543" cm="1">
        <f t="array" ref="AB75">AB$1*AB15*SUMPRODUCT(1*(input_MRB_EV=input_data!$C$55:$C$57),input_data!$F$55:$F$57)</f>
        <v>274.19875071241063</v>
      </c>
      <c r="AC75" s="543" cm="1">
        <f t="array" ref="AC75">AC$1*AC15*SUMPRODUCT(1*(input_MRB_EV=input_data!$C$55:$C$57),input_data!$F$55:$F$57)</f>
        <v>275.50099066904005</v>
      </c>
      <c r="AD75" s="543" cm="1">
        <f t="array" ref="AD75">AD$1*AD15*SUMPRODUCT(1*(input_MRB_EV=input_data!$C$55:$C$57),input_data!$F$55:$F$57)</f>
        <v>276.80941529609646</v>
      </c>
      <c r="AE75" s="543" cm="1">
        <f t="array" ref="AE75">AE$1*AE15*SUMPRODUCT(1*(input_MRB_EV=input_data!$C$55:$C$57),input_data!$F$55:$F$57)</f>
        <v>278.12405396616055</v>
      </c>
      <c r="AF75" s="543" cm="1">
        <f t="array" ref="AF75">AF$1*AF15*SUMPRODUCT(1*(input_MRB_EV=input_data!$C$55:$C$57),input_data!$F$55:$F$57)</f>
        <v>279.444936191311</v>
      </c>
      <c r="AG75" s="543" cm="1">
        <f t="array" ref="AG75">AG$1*AG15*SUMPRODUCT(1*(input_MRB_EV=input_data!$C$55:$C$57),input_data!$F$55:$F$57)</f>
        <v>280.77209162378693</v>
      </c>
      <c r="AH75" s="543" cm="1">
        <f t="array" ref="AH75">AH$1*AH15*SUMPRODUCT(1*(input_MRB_EV=input_data!$C$55:$C$57),input_data!$F$55:$F$57)</f>
        <v>282.10555005665339</v>
      </c>
      <c r="AI75" s="543" cm="1">
        <f t="array" ref="AI75">AI$1*AI15*SUMPRODUCT(1*(input_MRB_EV=input_data!$C$55:$C$57),input_data!$F$55:$F$57)</f>
        <v>283.44534142447037</v>
      </c>
      <c r="AJ75" s="543" cm="1">
        <f t="array" ref="AJ75">AJ$1*AJ15*SUMPRODUCT(1*(input_MRB_EV=input_data!$C$55:$C$57),input_data!$F$55:$F$57)</f>
        <v>284.79149580396478</v>
      </c>
      <c r="AK75" s="543" cm="1">
        <f t="array" ref="AK75">AK$1*AK15*SUMPRODUCT(1*(input_MRB_EV=input_data!$C$55:$C$57),input_data!$F$55:$F$57)</f>
        <v>286.14404341470555</v>
      </c>
      <c r="AL75" s="543" cm="1">
        <f t="array" ref="AL75">AL$1*AL15*SUMPRODUCT(1*(input_MRB_EV=input_data!$C$55:$C$57),input_data!$F$55:$F$57)</f>
        <v>287.50301461978211</v>
      </c>
      <c r="AM75" s="543" cm="1">
        <f t="array" ref="AM75">AM$1*AM15*SUMPRODUCT(1*(input_MRB_EV=input_data!$C$55:$C$57),input_data!$F$55:$F$57)</f>
        <v>288.86843992648591</v>
      </c>
      <c r="AN75" s="543" cm="1">
        <f t="array" ref="AN75">AN$1*AN15*SUMPRODUCT(1*(input_MRB_EV=input_data!$C$55:$C$57),input_data!$F$55:$F$57)</f>
        <v>290.24034998699534</v>
      </c>
      <c r="AO75" s="543" cm="1">
        <f t="array" ref="AO75">AO$1*AO15*SUMPRODUCT(1*(input_MRB_EV=input_data!$C$55:$C$57),input_data!$F$55:$F$57)</f>
        <v>291.61877559906384</v>
      </c>
      <c r="AP75" s="543" cm="1">
        <f t="array" ref="AP75">AP$1*AP15*SUMPRODUCT(1*(input_MRB_EV=input_data!$C$55:$C$57),input_data!$F$55:$F$57)</f>
        <v>293.00374770671124</v>
      </c>
      <c r="AQ75" s="543" cm="1">
        <f t="array" ref="AQ75">AQ$1*AQ15*SUMPRODUCT(1*(input_MRB_EV=input_data!$C$55:$C$57),input_data!$F$55:$F$57)</f>
        <v>294.39529740091842</v>
      </c>
      <c r="AR75" s="543" cm="1">
        <f t="array" ref="AR75">AR$1*AR15*SUMPRODUCT(1*(input_MRB_EV=input_data!$C$55:$C$57),input_data!$F$55:$F$57)</f>
        <v>295.7934559203253</v>
      </c>
      <c r="AS75" s="543" cm="1">
        <f t="array" ref="AS75">AS$1*AS15*SUMPRODUCT(1*(input_MRB_EV=input_data!$C$55:$C$57),input_data!$F$55:$F$57)</f>
        <v>297.19825465193207</v>
      </c>
      <c r="AT75" s="543" cm="1">
        <f t="array" ref="AT75">AT$1*AT15*SUMPRODUCT(1*(input_MRB_EV=input_data!$C$55:$C$57),input_data!$F$55:$F$57)</f>
        <v>298.60972513180377</v>
      </c>
      <c r="AU75" s="543" cm="1">
        <f t="array" ref="AU75">AU$1*AU15*SUMPRODUCT(1*(input_MRB_EV=input_data!$C$55:$C$57),input_data!$F$55:$F$57)</f>
        <v>300.02789904577838</v>
      </c>
      <c r="AV75" s="543" cm="1">
        <f t="array" ref="AV75">AV$1*AV15*SUMPRODUCT(1*(input_MRB_EV=input_data!$C$55:$C$57),input_data!$F$55:$F$57)</f>
        <v>301.45280823017794</v>
      </c>
      <c r="AW75" s="543" cm="1">
        <f t="array" ref="AW75">AW$1*AW15*SUMPRODUCT(1*(input_MRB_EV=input_data!$C$55:$C$57),input_data!$F$55:$F$57)</f>
        <v>302.88448467252329</v>
      </c>
      <c r="AX75" s="543" cm="1">
        <f t="array" ref="AX75">AX$1*AX15*SUMPRODUCT(1*(input_MRB_EV=input_data!$C$55:$C$57),input_data!$F$55:$F$57)</f>
        <v>304.32296051225228</v>
      </c>
      <c r="AY75" s="543" cm="1">
        <f t="array" ref="AY75">AY$1*AY15*SUMPRODUCT(1*(input_MRB_EV=input_data!$C$55:$C$57),input_data!$F$55:$F$57)</f>
        <v>305.7682680414411</v>
      </c>
      <c r="AZ75" s="543" cm="1">
        <f t="array" ref="AZ75">AZ$1*AZ15*SUMPRODUCT(1*(input_MRB_EV=input_data!$C$55:$C$57),input_data!$F$55:$F$57)</f>
        <v>307.22043970552926</v>
      </c>
      <c r="BA75" s="543" cm="1">
        <f t="array" ref="BA75">BA$1*BA15*SUMPRODUCT(1*(input_MRB_EV=input_data!$C$55:$C$57),input_data!$F$55:$F$57)</f>
        <v>308.67950810404801</v>
      </c>
      <c r="BB75" s="543" cm="1">
        <f t="array" ref="BB75">BB$1*BB15*SUMPRODUCT(1*(input_MRB_EV=input_data!$C$55:$C$57),input_data!$F$55:$F$57)</f>
        <v>310.14550599135208</v>
      </c>
      <c r="BC75" s="543" cm="1">
        <f t="array" ref="BC75">BC$1*BC15*SUMPRODUCT(1*(input_MRB_EV=input_data!$C$55:$C$57),input_data!$F$55:$F$57)</f>
        <v>311.61846627735497</v>
      </c>
    </row>
    <row r="76" spans="7:55" x14ac:dyDescent="0.3">
      <c r="H76" s="542" t="str">
        <f>input_names!$D$3</f>
        <v>Elektrisch</v>
      </c>
      <c r="I76" s="542" t="s">
        <v>536</v>
      </c>
      <c r="J76" s="543" cm="1">
        <f t="array" ref="J76">J$1*J16*SUMPRODUCT(1*(input_MRB_EV=input_data!$C$55:$C$57),input_data!$F$55:$F$57)</f>
        <v>0</v>
      </c>
      <c r="K76" s="543" cm="1">
        <f t="array" ref="K76">K$1*K16*SUMPRODUCT(1*(input_MRB_EV=input_data!$C$55:$C$57),input_data!$F$55:$F$57)</f>
        <v>0</v>
      </c>
      <c r="L76" s="543" cm="1">
        <f t="array" ref="L76">L$1*L16*SUMPRODUCT(1*(input_MRB_EV=input_data!$C$55:$C$57),input_data!$F$55:$F$57)</f>
        <v>0</v>
      </c>
      <c r="M76" s="543" cm="1">
        <f t="array" ref="M76">M$1*M16*SUMPRODUCT(1*(input_MRB_EV=input_data!$C$55:$C$57),input_data!$F$55:$F$57)</f>
        <v>0</v>
      </c>
      <c r="N76" s="543" cm="1">
        <f t="array" ref="N76">N$1*N16*SUMPRODUCT(1*(input_MRB_EV=input_data!$C$55:$C$57),input_data!$F$55:$F$57)</f>
        <v>0</v>
      </c>
      <c r="O76" s="543" cm="1">
        <f t="array" ref="O76">O$1*O16*SUMPRODUCT(1*(input_MRB_EV=input_data!$C$55:$C$57),input_data!$F$55:$F$57)</f>
        <v>0</v>
      </c>
      <c r="P76" s="543" cm="1">
        <f t="array" ref="P76">P$1*P16*SUMPRODUCT(1*(input_MRB_EV=input_data!$C$55:$C$57),input_data!$F$55:$F$57)</f>
        <v>0</v>
      </c>
      <c r="Q76" s="543" cm="1">
        <f t="array" ref="Q76">Q$1*Q16*SUMPRODUCT(1*(input_MRB_EV=input_data!$C$55:$C$57),input_data!$F$55:$F$57)</f>
        <v>0</v>
      </c>
      <c r="R76" s="543" cm="1">
        <f t="array" ref="R76">R$1*R16*SUMPRODUCT(1*(input_MRB_EV=input_data!$C$55:$C$57),input_data!$F$55:$F$57)</f>
        <v>0</v>
      </c>
      <c r="S76" s="543" cm="1">
        <f t="array" ref="S76">S$1*S16*SUMPRODUCT(1*(input_MRB_EV=input_data!$C$55:$C$57),input_data!$F$55:$F$57)</f>
        <v>73</v>
      </c>
      <c r="T76" s="543" cm="1">
        <f t="array" ref="T76">T$1*T16*SUMPRODUCT(1*(input_MRB_EV=input_data!$C$55:$C$57),input_data!$F$55:$F$57)</f>
        <v>219</v>
      </c>
      <c r="U76" s="543" cm="1">
        <f t="array" ref="U76">U$1*U16*SUMPRODUCT(1*(input_MRB_EV=input_data!$C$55:$C$57),input_data!$F$55:$F$57)</f>
        <v>220.04008697983079</v>
      </c>
      <c r="V76" s="543" cm="1">
        <f t="array" ref="V76">V$1*V16*SUMPRODUCT(1*(input_MRB_EV=input_data!$C$55:$C$57),input_data!$F$55:$F$57)</f>
        <v>221.08511359859131</v>
      </c>
      <c r="W76" s="543" cm="1">
        <f t="array" ref="W76">W$1*W16*SUMPRODUCT(1*(input_MRB_EV=input_data!$C$55:$C$57),input_data!$F$55:$F$57)</f>
        <v>222.13510331588947</v>
      </c>
      <c r="X76" s="543" cm="1">
        <f t="array" ref="X76">X$1*X16*SUMPRODUCT(1*(input_MRB_EV=input_data!$C$55:$C$57),input_data!$F$55:$F$57)</f>
        <v>223.1900797027489</v>
      </c>
      <c r="Y76" s="543" cm="1">
        <f t="array" ref="Y76">Y$1*Y16*SUMPRODUCT(1*(input_MRB_EV=input_data!$C$55:$C$57),input_data!$F$55:$F$57)</f>
        <v>299.00008858951742</v>
      </c>
      <c r="Z76" s="543" cm="1">
        <f t="array" ref="Z76">Z$1*Z16*SUMPRODUCT(1*(input_MRB_EV=input_data!$C$55:$C$57),input_data!$F$55:$F$57)</f>
        <v>300.42011643933569</v>
      </c>
      <c r="AA76" s="543" cm="1">
        <f t="array" ref="AA76">AA$1*AA16*SUMPRODUCT(1*(input_MRB_EV=input_data!$C$55:$C$57),input_data!$F$55:$F$57)</f>
        <v>301.84688836439415</v>
      </c>
      <c r="AB76" s="543" cm="1">
        <f t="array" ref="AB76">AB$1*AB16*SUMPRODUCT(1*(input_MRB_EV=input_data!$C$55:$C$57),input_data!$F$55:$F$57)</f>
        <v>303.28043639402995</v>
      </c>
      <c r="AC76" s="543" cm="1">
        <f t="array" ref="AC76">AC$1*AC16*SUMPRODUCT(1*(input_MRB_EV=input_data!$C$55:$C$57),input_data!$F$55:$F$57)</f>
        <v>304.72079270969584</v>
      </c>
      <c r="AD76" s="543" cm="1">
        <f t="array" ref="AD76">AD$1*AD16*SUMPRODUCT(1*(input_MRB_EV=input_data!$C$55:$C$57),input_data!$F$55:$F$57)</f>
        <v>306.16798964568244</v>
      </c>
      <c r="AE76" s="543" cm="1">
        <f t="array" ref="AE76">AE$1*AE16*SUMPRODUCT(1*(input_MRB_EV=input_data!$C$55:$C$57),input_data!$F$55:$F$57)</f>
        <v>307.62205968984426</v>
      </c>
      <c r="AF76" s="543" cm="1">
        <f t="array" ref="AF76">AF$1*AF16*SUMPRODUCT(1*(input_MRB_EV=input_data!$C$55:$C$57),input_data!$F$55:$F$57)</f>
        <v>309.08303548432889</v>
      </c>
      <c r="AG76" s="543" cm="1">
        <f t="array" ref="AG76">AG$1*AG16*SUMPRODUCT(1*(input_MRB_EV=input_data!$C$55:$C$57),input_data!$F$55:$F$57)</f>
        <v>310.55094982630982</v>
      </c>
      <c r="AH76" s="543" cm="1">
        <f t="array" ref="AH76">AH$1*AH16*SUMPRODUCT(1*(input_MRB_EV=input_data!$C$55:$C$57),input_data!$F$55:$F$57)</f>
        <v>312.02583566872272</v>
      </c>
      <c r="AI76" s="543" cm="1">
        <f t="array" ref="AI76">AI$1*AI16*SUMPRODUCT(1*(input_MRB_EV=input_data!$C$55:$C$57),input_data!$F$55:$F$57)</f>
        <v>313.50772612100519</v>
      </c>
      <c r="AJ76" s="543" cm="1">
        <f t="array" ref="AJ76">AJ$1*AJ16*SUMPRODUCT(1*(input_MRB_EV=input_data!$C$55:$C$57),input_data!$F$55:$F$57)</f>
        <v>314.99665444983992</v>
      </c>
      <c r="AK76" s="543" cm="1">
        <f t="array" ref="AK76">AK$1*AK16*SUMPRODUCT(1*(input_MRB_EV=input_data!$C$55:$C$57),input_data!$F$55:$F$57)</f>
        <v>316.49265407990174</v>
      </c>
      <c r="AL76" s="543" cm="1">
        <f t="array" ref="AL76">AL$1*AL16*SUMPRODUCT(1*(input_MRB_EV=input_data!$C$55:$C$57),input_data!$F$55:$F$57)</f>
        <v>317.99575859460765</v>
      </c>
      <c r="AM76" s="543" cm="1">
        <f t="array" ref="AM76">AM$1*AM16*SUMPRODUCT(1*(input_MRB_EV=input_data!$C$55:$C$57),input_data!$F$55:$F$57)</f>
        <v>319.50600173687093</v>
      </c>
      <c r="AN76" s="543" cm="1">
        <f t="array" ref="AN76">AN$1*AN16*SUMPRODUCT(1*(input_MRB_EV=input_data!$C$55:$C$57),input_data!$F$55:$F$57)</f>
        <v>321.02341740985861</v>
      </c>
      <c r="AO76" s="543" cm="1">
        <f t="array" ref="AO76">AO$1*AO16*SUMPRODUCT(1*(input_MRB_EV=input_data!$C$55:$C$57),input_data!$F$55:$F$57)</f>
        <v>322.54803967775257</v>
      </c>
      <c r="AP76" s="543" cm="1">
        <f t="array" ref="AP76">AP$1*AP16*SUMPRODUCT(1*(input_MRB_EV=input_data!$C$55:$C$57),input_data!$F$55:$F$57)</f>
        <v>324.07990276651407</v>
      </c>
      <c r="AQ76" s="543" cm="1">
        <f t="array" ref="AQ76">AQ$1*AQ16*SUMPRODUCT(1*(input_MRB_EV=input_data!$C$55:$C$57),input_data!$F$55:$F$57)</f>
        <v>325.61904106465232</v>
      </c>
      <c r="AR76" s="543" cm="1">
        <f t="array" ref="AR76">AR$1*AR16*SUMPRODUCT(1*(input_MRB_EV=input_data!$C$55:$C$57),input_data!$F$55:$F$57)</f>
        <v>327.16548912399628</v>
      </c>
      <c r="AS76" s="543" cm="1">
        <f t="array" ref="AS76">AS$1*AS16*SUMPRODUCT(1*(input_MRB_EV=input_data!$C$55:$C$57),input_data!$F$55:$F$57)</f>
        <v>328.71928166047041</v>
      </c>
      <c r="AT76" s="543" cm="1">
        <f t="array" ref="AT76">AT$1*AT16*SUMPRODUCT(1*(input_MRB_EV=input_data!$C$55:$C$57),input_data!$F$55:$F$57)</f>
        <v>330.28045355487399</v>
      </c>
      <c r="AU76" s="543" cm="1">
        <f t="array" ref="AU76">AU$1*AU16*SUMPRODUCT(1*(input_MRB_EV=input_data!$C$55:$C$57),input_data!$F$55:$F$57)</f>
        <v>331.84903985366407</v>
      </c>
      <c r="AV76" s="543" cm="1">
        <f t="array" ref="AV76">AV$1*AV16*SUMPRODUCT(1*(input_MRB_EV=input_data!$C$55:$C$57),input_data!$F$55:$F$57)</f>
        <v>333.42507576974231</v>
      </c>
      <c r="AW76" s="543" cm="1">
        <f t="array" ref="AW76">AW$1*AW16*SUMPRODUCT(1*(input_MRB_EV=input_data!$C$55:$C$57),input_data!$F$55:$F$57)</f>
        <v>335.00859668324551</v>
      </c>
      <c r="AX76" s="543" cm="1">
        <f t="array" ref="AX76">AX$1*AX16*SUMPRODUCT(1*(input_MRB_EV=input_data!$C$55:$C$57),input_data!$F$55:$F$57)</f>
        <v>336.5996381423397</v>
      </c>
      <c r="AY76" s="543" cm="1">
        <f t="array" ref="AY76">AY$1*AY16*SUMPRODUCT(1*(input_MRB_EV=input_data!$C$55:$C$57),input_data!$F$55:$F$57)</f>
        <v>338.19823586401822</v>
      </c>
      <c r="AZ76" s="543" cm="1">
        <f t="array" ref="AZ76">AZ$1*AZ16*SUMPRODUCT(1*(input_MRB_EV=input_data!$C$55:$C$57),input_data!$F$55:$F$57)</f>
        <v>339.80442573490359</v>
      </c>
      <c r="BA76" s="543" cm="1">
        <f t="array" ref="BA76">BA$1*BA16*SUMPRODUCT(1*(input_MRB_EV=input_data!$C$55:$C$57),input_data!$F$55:$F$57)</f>
        <v>341.41824381205311</v>
      </c>
      <c r="BB76" s="543" cm="1">
        <f t="array" ref="BB76">BB$1*BB16*SUMPRODUCT(1*(input_MRB_EV=input_data!$C$55:$C$57),input_data!$F$55:$F$57)</f>
        <v>343.03972632376821</v>
      </c>
      <c r="BC76" s="543" cm="1">
        <f t="array" ref="BC76">BC$1*BC16*SUMPRODUCT(1*(input_MRB_EV=input_data!$C$55:$C$57),input_data!$F$55:$F$57)</f>
        <v>344.66890967040774</v>
      </c>
    </row>
    <row r="77" spans="7:55" x14ac:dyDescent="0.3">
      <c r="H77" s="542" t="str">
        <f>input_names!$D$3</f>
        <v>Elektrisch</v>
      </c>
      <c r="I77" s="542" t="s">
        <v>537</v>
      </c>
      <c r="J77" s="543" cm="1">
        <f t="array" ref="J77">J$1*J17*SUMPRODUCT(1*(input_MRB_EV=input_data!$C$55:$C$57),input_data!$F$55:$F$57)</f>
        <v>0</v>
      </c>
      <c r="K77" s="543" cm="1">
        <f t="array" ref="K77">K$1*K17*SUMPRODUCT(1*(input_MRB_EV=input_data!$C$55:$C$57),input_data!$F$55:$F$57)</f>
        <v>0</v>
      </c>
      <c r="L77" s="543" cm="1">
        <f t="array" ref="L77">L$1*L17*SUMPRODUCT(1*(input_MRB_EV=input_data!$C$55:$C$57),input_data!$F$55:$F$57)</f>
        <v>0</v>
      </c>
      <c r="M77" s="543" cm="1">
        <f t="array" ref="M77">M$1*M17*SUMPRODUCT(1*(input_MRB_EV=input_data!$C$55:$C$57),input_data!$F$55:$F$57)</f>
        <v>0</v>
      </c>
      <c r="N77" s="543" cm="1">
        <f t="array" ref="N77">N$1*N17*SUMPRODUCT(1*(input_MRB_EV=input_data!$C$55:$C$57),input_data!$F$55:$F$57)</f>
        <v>0</v>
      </c>
      <c r="O77" s="543" cm="1">
        <f t="array" ref="O77">O$1*O17*SUMPRODUCT(1*(input_MRB_EV=input_data!$C$55:$C$57),input_data!$F$55:$F$57)</f>
        <v>0</v>
      </c>
      <c r="P77" s="543" cm="1">
        <f t="array" ref="P77">P$1*P17*SUMPRODUCT(1*(input_MRB_EV=input_data!$C$55:$C$57),input_data!$F$55:$F$57)</f>
        <v>0</v>
      </c>
      <c r="Q77" s="543" cm="1">
        <f t="array" ref="Q77">Q$1*Q17*SUMPRODUCT(1*(input_MRB_EV=input_data!$C$55:$C$57),input_data!$F$55:$F$57)</f>
        <v>0</v>
      </c>
      <c r="R77" s="543" cm="1">
        <f t="array" ref="R77">R$1*R17*SUMPRODUCT(1*(input_MRB_EV=input_data!$C$55:$C$57),input_data!$F$55:$F$57)</f>
        <v>0</v>
      </c>
      <c r="S77" s="543" cm="1">
        <f t="array" ref="S77">S$1*S17*SUMPRODUCT(1*(input_MRB_EV=input_data!$C$55:$C$57),input_data!$F$55:$F$57)</f>
        <v>80</v>
      </c>
      <c r="T77" s="543" cm="1">
        <f t="array" ref="T77">T$1*T17*SUMPRODUCT(1*(input_MRB_EV=input_data!$C$55:$C$57),input_data!$F$55:$F$57)</f>
        <v>240</v>
      </c>
      <c r="U77" s="543" cm="1">
        <f t="array" ref="U77">U$1*U17*SUMPRODUCT(1*(input_MRB_EV=input_data!$C$55:$C$57),input_data!$F$55:$F$57)</f>
        <v>241.13982134775978</v>
      </c>
      <c r="V77" s="543" cm="1">
        <f t="array" ref="V77">V$1*V17*SUMPRODUCT(1*(input_MRB_EV=input_data!$C$55:$C$57),input_data!$F$55:$F$57)</f>
        <v>242.28505599845624</v>
      </c>
      <c r="W77" s="543" cm="1">
        <f t="array" ref="W77">W$1*W17*SUMPRODUCT(1*(input_MRB_EV=input_data!$C$55:$C$57),input_data!$F$55:$F$57)</f>
        <v>243.43572966124873</v>
      </c>
      <c r="X77" s="543" cm="1">
        <f t="array" ref="X77">X$1*X17*SUMPRODUCT(1*(input_MRB_EV=input_data!$C$55:$C$57),input_data!$F$55:$F$57)</f>
        <v>244.59186816739611</v>
      </c>
      <c r="Y77" s="543" cm="1">
        <f t="array" ref="Y77">Y$1*Y17*SUMPRODUCT(1*(input_MRB_EV=input_data!$C$55:$C$57),input_data!$F$55:$F$57)</f>
        <v>327.67132996111502</v>
      </c>
      <c r="Z77" s="543" cm="1">
        <f t="array" ref="Z77">Z$1*Z17*SUMPRODUCT(1*(input_MRB_EV=input_data!$C$55:$C$57),input_data!$F$55:$F$57)</f>
        <v>329.22752486502549</v>
      </c>
      <c r="AA77" s="543" cm="1">
        <f t="array" ref="AA77">AA$1*AA17*SUMPRODUCT(1*(input_MRB_EV=input_data!$C$55:$C$57),input_data!$F$55:$F$57)</f>
        <v>330.79111053632244</v>
      </c>
      <c r="AB77" s="543" cm="1">
        <f t="array" ref="AB77">AB$1*AB17*SUMPRODUCT(1*(input_MRB_EV=input_data!$C$55:$C$57),input_data!$F$55:$F$57)</f>
        <v>332.36212207564932</v>
      </c>
      <c r="AC77" s="543" cm="1">
        <f t="array" ref="AC77">AC$1*AC17*SUMPRODUCT(1*(input_MRB_EV=input_data!$C$55:$C$57),input_data!$F$55:$F$57)</f>
        <v>333.94059475035164</v>
      </c>
      <c r="AD77" s="543" cm="1">
        <f t="array" ref="AD77">AD$1*AD17*SUMPRODUCT(1*(input_MRB_EV=input_data!$C$55:$C$57),input_data!$F$55:$F$57)</f>
        <v>335.52656399526848</v>
      </c>
      <c r="AE77" s="543" cm="1">
        <f t="array" ref="AE77">AE$1*AE17*SUMPRODUCT(1*(input_MRB_EV=input_data!$C$55:$C$57),input_data!$F$55:$F$57)</f>
        <v>337.12006541352798</v>
      </c>
      <c r="AF77" s="543" cm="1">
        <f t="array" ref="AF77">AF$1*AF17*SUMPRODUCT(1*(input_MRB_EV=input_data!$C$55:$C$57),input_data!$F$55:$F$57)</f>
        <v>338.72113477734672</v>
      </c>
      <c r="AG77" s="543" cm="1">
        <f t="array" ref="AG77">AG$1*AG17*SUMPRODUCT(1*(input_MRB_EV=input_data!$C$55:$C$57),input_data!$F$55:$F$57)</f>
        <v>340.32980802883264</v>
      </c>
      <c r="AH77" s="543" cm="1">
        <f t="array" ref="AH77">AH$1*AH17*SUMPRODUCT(1*(input_MRB_EV=input_data!$C$55:$C$57),input_data!$F$55:$F$57)</f>
        <v>341.946121280792</v>
      </c>
      <c r="AI77" s="543" cm="1">
        <f t="array" ref="AI77">AI$1*AI17*SUMPRODUCT(1*(input_MRB_EV=input_data!$C$55:$C$57),input_data!$F$55:$F$57)</f>
        <v>343.5701108175399</v>
      </c>
      <c r="AJ77" s="543" cm="1">
        <f t="array" ref="AJ77">AJ$1*AJ17*SUMPRODUCT(1*(input_MRB_EV=input_data!$C$55:$C$57),input_data!$F$55:$F$57)</f>
        <v>345.20181309571495</v>
      </c>
      <c r="AK77" s="543" cm="1">
        <f t="array" ref="AK77">AK$1*AK17*SUMPRODUCT(1*(input_MRB_EV=input_data!$C$55:$C$57),input_data!$F$55:$F$57)</f>
        <v>346.84126474509776</v>
      </c>
      <c r="AL77" s="543" cm="1">
        <f t="array" ref="AL77">AL$1*AL17*SUMPRODUCT(1*(input_MRB_EV=input_data!$C$55:$C$57),input_data!$F$55:$F$57)</f>
        <v>348.48850256943297</v>
      </c>
      <c r="AM77" s="543" cm="1">
        <f t="array" ref="AM77">AM$1*AM17*SUMPRODUCT(1*(input_MRB_EV=input_data!$C$55:$C$57),input_data!$F$55:$F$57)</f>
        <v>350.14356354725578</v>
      </c>
      <c r="AN77" s="543" cm="1">
        <f t="array" ref="AN77">AN$1*AN17*SUMPRODUCT(1*(input_MRB_EV=input_data!$C$55:$C$57),input_data!$F$55:$F$57)</f>
        <v>351.80648483272176</v>
      </c>
      <c r="AO77" s="543" cm="1">
        <f t="array" ref="AO77">AO$1*AO17*SUMPRODUCT(1*(input_MRB_EV=input_data!$C$55:$C$57),input_data!$F$55:$F$57)</f>
        <v>353.47730375644113</v>
      </c>
      <c r="AP77" s="543" cm="1">
        <f t="array" ref="AP77">AP$1*AP17*SUMPRODUCT(1*(input_MRB_EV=input_data!$C$55:$C$57),input_data!$F$55:$F$57)</f>
        <v>355.15605782631678</v>
      </c>
      <c r="AQ77" s="543" cm="1">
        <f t="array" ref="AQ77">AQ$1*AQ17*SUMPRODUCT(1*(input_MRB_EV=input_data!$C$55:$C$57),input_data!$F$55:$F$57)</f>
        <v>356.84278472838611</v>
      </c>
      <c r="AR77" s="543" cm="1">
        <f t="array" ref="AR77">AR$1*AR17*SUMPRODUCT(1*(input_MRB_EV=input_data!$C$55:$C$57),input_data!$F$55:$F$57)</f>
        <v>358.53752232766715</v>
      </c>
      <c r="AS77" s="543" cm="1">
        <f t="array" ref="AS77">AS$1*AS17*SUMPRODUCT(1*(input_MRB_EV=input_data!$C$55:$C$57),input_data!$F$55:$F$57)</f>
        <v>360.24030866900864</v>
      </c>
      <c r="AT77" s="543" cm="1">
        <f t="array" ref="AT77">AT$1*AT17*SUMPRODUCT(1*(input_MRB_EV=input_data!$C$55:$C$57),input_data!$F$55:$F$57)</f>
        <v>361.95118197794403</v>
      </c>
      <c r="AU77" s="543" cm="1">
        <f t="array" ref="AU77">AU$1*AU17*SUMPRODUCT(1*(input_MRB_EV=input_data!$C$55:$C$57),input_data!$F$55:$F$57)</f>
        <v>363.67018066154958</v>
      </c>
      <c r="AV77" s="543" cm="1">
        <f t="array" ref="AV77">AV$1*AV17*SUMPRODUCT(1*(input_MRB_EV=input_data!$C$55:$C$57),input_data!$F$55:$F$57)</f>
        <v>365.39734330930656</v>
      </c>
      <c r="AW77" s="543" cm="1">
        <f t="array" ref="AW77">AW$1*AW17*SUMPRODUCT(1*(input_MRB_EV=input_data!$C$55:$C$57),input_data!$F$55:$F$57)</f>
        <v>367.13270869396757</v>
      </c>
      <c r="AX77" s="543" cm="1">
        <f t="array" ref="AX77">AX$1*AX17*SUMPRODUCT(1*(input_MRB_EV=input_data!$C$55:$C$57),input_data!$F$55:$F$57)</f>
        <v>368.87631577242695</v>
      </c>
      <c r="AY77" s="543" cm="1">
        <f t="array" ref="AY77">AY$1*AY17*SUMPRODUCT(1*(input_MRB_EV=input_data!$C$55:$C$57),input_data!$F$55:$F$57)</f>
        <v>370.62820368659521</v>
      </c>
      <c r="AZ77" s="543" cm="1">
        <f t="array" ref="AZ77">AZ$1*AZ17*SUMPRODUCT(1*(input_MRB_EV=input_data!$C$55:$C$57),input_data!$F$55:$F$57)</f>
        <v>372.38841176427786</v>
      </c>
      <c r="BA77" s="543" cm="1">
        <f t="array" ref="BA77">BA$1*BA17*SUMPRODUCT(1*(input_MRB_EV=input_data!$C$55:$C$57),input_data!$F$55:$F$57)</f>
        <v>374.15697952005814</v>
      </c>
      <c r="BB77" s="543" cm="1">
        <f t="array" ref="BB77">BB$1*BB17*SUMPRODUCT(1*(input_MRB_EV=input_data!$C$55:$C$57),input_data!$F$55:$F$57)</f>
        <v>375.93394665618428</v>
      </c>
      <c r="BC77" s="543" cm="1">
        <f t="array" ref="BC77">BC$1*BC17*SUMPRODUCT(1*(input_MRB_EV=input_data!$C$55:$C$57),input_data!$F$55:$F$57)</f>
        <v>377.71935306346052</v>
      </c>
    </row>
    <row r="78" spans="7:55" x14ac:dyDescent="0.3">
      <c r="H78" s="542" t="str">
        <f>input_names!$D$3</f>
        <v>Elektrisch</v>
      </c>
      <c r="I78" s="542" t="s">
        <v>538</v>
      </c>
      <c r="J78" s="543" cm="1">
        <f t="array" ref="J78">J$1*J18*SUMPRODUCT(1*(input_MRB_EV=input_data!$C$55:$C$57),input_data!$F$55:$F$57)</f>
        <v>0</v>
      </c>
      <c r="K78" s="543" cm="1">
        <f t="array" ref="K78">K$1*K18*SUMPRODUCT(1*(input_MRB_EV=input_data!$C$55:$C$57),input_data!$F$55:$F$57)</f>
        <v>0</v>
      </c>
      <c r="L78" s="543" cm="1">
        <f t="array" ref="L78">L$1*L18*SUMPRODUCT(1*(input_MRB_EV=input_data!$C$55:$C$57),input_data!$F$55:$F$57)</f>
        <v>0</v>
      </c>
      <c r="M78" s="543" cm="1">
        <f t="array" ref="M78">M$1*M18*SUMPRODUCT(1*(input_MRB_EV=input_data!$C$55:$C$57),input_data!$F$55:$F$57)</f>
        <v>0</v>
      </c>
      <c r="N78" s="543" cm="1">
        <f t="array" ref="N78">N$1*N18*SUMPRODUCT(1*(input_MRB_EV=input_data!$C$55:$C$57),input_data!$F$55:$F$57)</f>
        <v>0</v>
      </c>
      <c r="O78" s="543" cm="1">
        <f t="array" ref="O78">O$1*O18*SUMPRODUCT(1*(input_MRB_EV=input_data!$C$55:$C$57),input_data!$F$55:$F$57)</f>
        <v>0</v>
      </c>
      <c r="P78" s="543" cm="1">
        <f t="array" ref="P78">P$1*P18*SUMPRODUCT(1*(input_MRB_EV=input_data!$C$55:$C$57),input_data!$F$55:$F$57)</f>
        <v>0</v>
      </c>
      <c r="Q78" s="543" cm="1">
        <f t="array" ref="Q78">Q$1*Q18*SUMPRODUCT(1*(input_MRB_EV=input_data!$C$55:$C$57),input_data!$F$55:$F$57)</f>
        <v>0</v>
      </c>
      <c r="R78" s="543" cm="1">
        <f t="array" ref="R78">R$1*R18*SUMPRODUCT(1*(input_MRB_EV=input_data!$C$55:$C$57),input_data!$F$55:$F$57)</f>
        <v>0</v>
      </c>
      <c r="S78" s="543" cm="1">
        <f t="array" ref="S78">S$1*S18*SUMPRODUCT(1*(input_MRB_EV=input_data!$C$55:$C$57),input_data!$F$55:$F$57)</f>
        <v>87</v>
      </c>
      <c r="T78" s="543" cm="1">
        <f t="array" ref="T78">T$1*T18*SUMPRODUCT(1*(input_MRB_EV=input_data!$C$55:$C$57),input_data!$F$55:$F$57)</f>
        <v>261</v>
      </c>
      <c r="U78" s="543" cm="1">
        <f t="array" ref="U78">U$1*U18*SUMPRODUCT(1*(input_MRB_EV=input_data!$C$55:$C$57),input_data!$F$55:$F$57)</f>
        <v>262.23955571568877</v>
      </c>
      <c r="V78" s="543" cm="1">
        <f t="array" ref="V78">V$1*V18*SUMPRODUCT(1*(input_MRB_EV=input_data!$C$55:$C$57),input_data!$F$55:$F$57)</f>
        <v>263.48499839832118</v>
      </c>
      <c r="W78" s="543" cm="1">
        <f t="array" ref="W78">W$1*W18*SUMPRODUCT(1*(input_MRB_EV=input_data!$C$55:$C$57),input_data!$F$55:$F$57)</f>
        <v>264.73635600660805</v>
      </c>
      <c r="X78" s="543" cm="1">
        <f t="array" ref="X78">X$1*X18*SUMPRODUCT(1*(input_MRB_EV=input_data!$C$55:$C$57),input_data!$F$55:$F$57)</f>
        <v>265.99365663204327</v>
      </c>
      <c r="Y78" s="543" cm="1">
        <f t="array" ref="Y78">Y$1*Y18*SUMPRODUCT(1*(input_MRB_EV=input_data!$C$55:$C$57),input_data!$F$55:$F$57)</f>
        <v>356.34257133271262</v>
      </c>
      <c r="Z78" s="543" cm="1">
        <f t="array" ref="Z78">Z$1*Z18*SUMPRODUCT(1*(input_MRB_EV=input_data!$C$55:$C$57),input_data!$F$55:$F$57)</f>
        <v>358.03493329071523</v>
      </c>
      <c r="AA78" s="543" cm="1">
        <f t="array" ref="AA78">AA$1*AA18*SUMPRODUCT(1*(input_MRB_EV=input_data!$C$55:$C$57),input_data!$F$55:$F$57)</f>
        <v>359.73533270825061</v>
      </c>
      <c r="AB78" s="543" cm="1">
        <f t="array" ref="AB78">AB$1*AB18*SUMPRODUCT(1*(input_MRB_EV=input_data!$C$55:$C$57),input_data!$F$55:$F$57)</f>
        <v>361.44380775726864</v>
      </c>
      <c r="AC78" s="543" cm="1">
        <f t="array" ref="AC78">AC$1*AC18*SUMPRODUCT(1*(input_MRB_EV=input_data!$C$55:$C$57),input_data!$F$55:$F$57)</f>
        <v>363.16039679100743</v>
      </c>
      <c r="AD78" s="543" cm="1">
        <f t="array" ref="AD78">AD$1*AD18*SUMPRODUCT(1*(input_MRB_EV=input_data!$C$55:$C$57),input_data!$F$55:$F$57)</f>
        <v>364.88513834485445</v>
      </c>
      <c r="AE78" s="543" cm="1">
        <f t="array" ref="AE78">AE$1*AE18*SUMPRODUCT(1*(input_MRB_EV=input_data!$C$55:$C$57),input_data!$F$55:$F$57)</f>
        <v>366.6180711372117</v>
      </c>
      <c r="AF78" s="543" cm="1">
        <f t="array" ref="AF78">AF$1*AF18*SUMPRODUCT(1*(input_MRB_EV=input_data!$C$55:$C$57),input_data!$F$55:$F$57)</f>
        <v>368.35923407036461</v>
      </c>
      <c r="AG78" s="543" cm="1">
        <f t="array" ref="AG78">AG$1*AG18*SUMPRODUCT(1*(input_MRB_EV=input_data!$C$55:$C$57),input_data!$F$55:$F$57)</f>
        <v>370.10866623135558</v>
      </c>
      <c r="AH78" s="543" cm="1">
        <f t="array" ref="AH78">AH$1*AH18*SUMPRODUCT(1*(input_MRB_EV=input_data!$C$55:$C$57),input_data!$F$55:$F$57)</f>
        <v>371.86640689286139</v>
      </c>
      <c r="AI78" s="543" cm="1">
        <f t="array" ref="AI78">AI$1*AI18*SUMPRODUCT(1*(input_MRB_EV=input_data!$C$55:$C$57),input_data!$F$55:$F$57)</f>
        <v>373.63249551407472</v>
      </c>
      <c r="AJ78" s="543" cm="1">
        <f t="array" ref="AJ78">AJ$1*AJ18*SUMPRODUCT(1*(input_MRB_EV=input_data!$C$55:$C$57),input_data!$F$55:$F$57)</f>
        <v>375.4069717415901</v>
      </c>
      <c r="AK78" s="543" cm="1">
        <f t="array" ref="AK78">AK$1*AK18*SUMPRODUCT(1*(input_MRB_EV=input_data!$C$55:$C$57),input_data!$F$55:$F$57)</f>
        <v>377.18987541029389</v>
      </c>
      <c r="AL78" s="543" cm="1">
        <f t="array" ref="AL78">AL$1*AL18*SUMPRODUCT(1*(input_MRB_EV=input_data!$C$55:$C$57),input_data!$F$55:$F$57)</f>
        <v>378.98124654425845</v>
      </c>
      <c r="AM78" s="543" cm="1">
        <f t="array" ref="AM78">AM$1*AM18*SUMPRODUCT(1*(input_MRB_EV=input_data!$C$55:$C$57),input_data!$F$55:$F$57)</f>
        <v>380.78112535764075</v>
      </c>
      <c r="AN78" s="543" cm="1">
        <f t="array" ref="AN78">AN$1*AN18*SUMPRODUCT(1*(input_MRB_EV=input_data!$C$55:$C$57),input_data!$F$55:$F$57)</f>
        <v>382.58955225558498</v>
      </c>
      <c r="AO78" s="543" cm="1">
        <f t="array" ref="AO78">AO$1*AO18*SUMPRODUCT(1*(input_MRB_EV=input_data!$C$55:$C$57),input_data!$F$55:$F$57)</f>
        <v>384.40656783512981</v>
      </c>
      <c r="AP78" s="543" cm="1">
        <f t="array" ref="AP78">AP$1*AP18*SUMPRODUCT(1*(input_MRB_EV=input_data!$C$55:$C$57),input_data!$F$55:$F$57)</f>
        <v>386.23221288611956</v>
      </c>
      <c r="AQ78" s="543" cm="1">
        <f t="array" ref="AQ78">AQ$1*AQ18*SUMPRODUCT(1*(input_MRB_EV=input_data!$C$55:$C$57),input_data!$F$55:$F$57)</f>
        <v>388.06652839211995</v>
      </c>
      <c r="AR78" s="543" cm="1">
        <f t="array" ref="AR78">AR$1*AR18*SUMPRODUCT(1*(input_MRB_EV=input_data!$C$55:$C$57),input_data!$F$55:$F$57)</f>
        <v>389.90955553133807</v>
      </c>
      <c r="AS78" s="543" cm="1">
        <f t="array" ref="AS78">AS$1*AS18*SUMPRODUCT(1*(input_MRB_EV=input_data!$C$55:$C$57),input_data!$F$55:$F$57)</f>
        <v>391.76133567754698</v>
      </c>
      <c r="AT78" s="543" cm="1">
        <f t="array" ref="AT78">AT$1*AT18*SUMPRODUCT(1*(input_MRB_EV=input_data!$C$55:$C$57),input_data!$F$55:$F$57)</f>
        <v>393.62191040101425</v>
      </c>
      <c r="AU78" s="543" cm="1">
        <f t="array" ref="AU78">AU$1*AU18*SUMPRODUCT(1*(input_MRB_EV=input_data!$C$55:$C$57),input_data!$F$55:$F$57)</f>
        <v>395.49132146943532</v>
      </c>
      <c r="AV78" s="543" cm="1">
        <f t="array" ref="AV78">AV$1*AV18*SUMPRODUCT(1*(input_MRB_EV=input_data!$C$55:$C$57),input_data!$F$55:$F$57)</f>
        <v>397.36961084887105</v>
      </c>
      <c r="AW78" s="543" cm="1">
        <f t="array" ref="AW78">AW$1*AW18*SUMPRODUCT(1*(input_MRB_EV=input_data!$C$55:$C$57),input_data!$F$55:$F$57)</f>
        <v>399.25682070468991</v>
      </c>
      <c r="AX78" s="543" cm="1">
        <f t="array" ref="AX78">AX$1*AX18*SUMPRODUCT(1*(input_MRB_EV=input_data!$C$55:$C$57),input_data!$F$55:$F$57)</f>
        <v>401.15299340251448</v>
      </c>
      <c r="AY78" s="543" cm="1">
        <f t="array" ref="AY78">AY$1*AY18*SUMPRODUCT(1*(input_MRB_EV=input_data!$C$55:$C$57),input_data!$F$55:$F$57)</f>
        <v>403.05817150917244</v>
      </c>
      <c r="AZ78" s="543" cm="1">
        <f t="array" ref="AZ78">AZ$1*AZ18*SUMPRODUCT(1*(input_MRB_EV=input_data!$C$55:$C$57),input_data!$F$55:$F$57)</f>
        <v>404.97239779365231</v>
      </c>
      <c r="BA78" s="543" cm="1">
        <f t="array" ref="BA78">BA$1*BA18*SUMPRODUCT(1*(input_MRB_EV=input_data!$C$55:$C$57),input_data!$F$55:$F$57)</f>
        <v>406.89571522806341</v>
      </c>
      <c r="BB78" s="543" cm="1">
        <f t="array" ref="BB78">BB$1*BB18*SUMPRODUCT(1*(input_MRB_EV=input_data!$C$55:$C$57),input_data!$F$55:$F$57)</f>
        <v>408.82816698860057</v>
      </c>
      <c r="BC78" s="543" cm="1">
        <f t="array" ref="BC78">BC$1*BC18*SUMPRODUCT(1*(input_MRB_EV=input_data!$C$55:$C$57),input_data!$F$55:$F$57)</f>
        <v>410.76979645651346</v>
      </c>
    </row>
    <row r="79" spans="7:55" x14ac:dyDescent="0.3">
      <c r="H79" s="542" t="str">
        <f>input_names!$D$3</f>
        <v>Elektrisch</v>
      </c>
      <c r="I79" s="542" t="s">
        <v>539</v>
      </c>
      <c r="J79" s="543" cm="1">
        <f t="array" ref="J79">J$1*J19*SUMPRODUCT(1*(input_MRB_EV=input_data!$C$55:$C$57),input_data!$F$55:$F$57)</f>
        <v>0</v>
      </c>
      <c r="K79" s="543" cm="1">
        <f t="array" ref="K79">K$1*K19*SUMPRODUCT(1*(input_MRB_EV=input_data!$C$55:$C$57),input_data!$F$55:$F$57)</f>
        <v>0</v>
      </c>
      <c r="L79" s="543" cm="1">
        <f t="array" ref="L79">L$1*L19*SUMPRODUCT(1*(input_MRB_EV=input_data!$C$55:$C$57),input_data!$F$55:$F$57)</f>
        <v>0</v>
      </c>
      <c r="M79" s="543" cm="1">
        <f t="array" ref="M79">M$1*M19*SUMPRODUCT(1*(input_MRB_EV=input_data!$C$55:$C$57),input_data!$F$55:$F$57)</f>
        <v>0</v>
      </c>
      <c r="N79" s="543" cm="1">
        <f t="array" ref="N79">N$1*N19*SUMPRODUCT(1*(input_MRB_EV=input_data!$C$55:$C$57),input_data!$F$55:$F$57)</f>
        <v>0</v>
      </c>
      <c r="O79" s="543" cm="1">
        <f t="array" ref="O79">O$1*O19*SUMPRODUCT(1*(input_MRB_EV=input_data!$C$55:$C$57),input_data!$F$55:$F$57)</f>
        <v>0</v>
      </c>
      <c r="P79" s="543" cm="1">
        <f t="array" ref="P79">P$1*P19*SUMPRODUCT(1*(input_MRB_EV=input_data!$C$55:$C$57),input_data!$F$55:$F$57)</f>
        <v>0</v>
      </c>
      <c r="Q79" s="543" cm="1">
        <f t="array" ref="Q79">Q$1*Q19*SUMPRODUCT(1*(input_MRB_EV=input_data!$C$55:$C$57),input_data!$F$55:$F$57)</f>
        <v>0</v>
      </c>
      <c r="R79" s="543" cm="1">
        <f t="array" ref="R79">R$1*R19*SUMPRODUCT(1*(input_MRB_EV=input_data!$C$55:$C$57),input_data!$F$55:$F$57)</f>
        <v>0</v>
      </c>
      <c r="S79" s="543" cm="1">
        <f t="array" ref="S79">S$1*S19*SUMPRODUCT(1*(input_MRB_EV=input_data!$C$55:$C$57),input_data!$F$55:$F$57)</f>
        <v>94</v>
      </c>
      <c r="T79" s="543" cm="1">
        <f t="array" ref="T79">T$1*T19*SUMPRODUCT(1*(input_MRB_EV=input_data!$C$55:$C$57),input_data!$F$55:$F$57)</f>
        <v>282</v>
      </c>
      <c r="U79" s="543" cm="1">
        <f t="array" ref="U79">U$1*U19*SUMPRODUCT(1*(input_MRB_EV=input_data!$C$55:$C$57),input_data!$F$55:$F$57)</f>
        <v>283.3392900836177</v>
      </c>
      <c r="V79" s="543" cm="1">
        <f t="array" ref="V79">V$1*V19*SUMPRODUCT(1*(input_MRB_EV=input_data!$C$55:$C$57),input_data!$F$55:$F$57)</f>
        <v>284.68494079818601</v>
      </c>
      <c r="W79" s="543" cm="1">
        <f t="array" ref="W79">W$1*W19*SUMPRODUCT(1*(input_MRB_EV=input_data!$C$55:$C$57),input_data!$F$55:$F$57)</f>
        <v>286.03698235196725</v>
      </c>
      <c r="X79" s="543" cm="1">
        <f t="array" ref="X79">X$1*X19*SUMPRODUCT(1*(input_MRB_EV=input_data!$C$55:$C$57),input_data!$F$55:$F$57)</f>
        <v>287.39544509669031</v>
      </c>
      <c r="Y79" s="543" cm="1">
        <f t="array" ref="Y79">Y$1*Y19*SUMPRODUCT(1*(input_MRB_EV=input_data!$C$55:$C$57),input_data!$F$55:$F$57)</f>
        <v>385.01381270431</v>
      </c>
      <c r="Z79" s="543" cm="1">
        <f t="array" ref="Z79">Z$1*Z19*SUMPRODUCT(1*(input_MRB_EV=input_data!$C$55:$C$57),input_data!$F$55:$F$57)</f>
        <v>386.8423417164048</v>
      </c>
      <c r="AA79" s="543" cm="1">
        <f t="array" ref="AA79">AA$1*AA19*SUMPRODUCT(1*(input_MRB_EV=input_data!$C$55:$C$57),input_data!$F$55:$F$57)</f>
        <v>388.67955488017867</v>
      </c>
      <c r="AB79" s="543" cm="1">
        <f t="array" ref="AB79">AB$1*AB19*SUMPRODUCT(1*(input_MRB_EV=input_data!$C$55:$C$57),input_data!$F$55:$F$57)</f>
        <v>390.52549343888779</v>
      </c>
      <c r="AC79" s="543" cm="1">
        <f t="array" ref="AC79">AC$1*AC19*SUMPRODUCT(1*(input_MRB_EV=input_data!$C$55:$C$57),input_data!$F$55:$F$57)</f>
        <v>392.38019883166305</v>
      </c>
      <c r="AD79" s="543" cm="1">
        <f t="array" ref="AD79">AD$1*AD19*SUMPRODUCT(1*(input_MRB_EV=input_data!$C$55:$C$57),input_data!$F$55:$F$57)</f>
        <v>394.24371269444032</v>
      </c>
      <c r="AE79" s="543" cm="1">
        <f t="array" ref="AE79">AE$1*AE19*SUMPRODUCT(1*(input_MRB_EV=input_data!$C$55:$C$57),input_data!$F$55:$F$57)</f>
        <v>396.11607686089525</v>
      </c>
      <c r="AF79" s="543" cm="1">
        <f t="array" ref="AF79">AF$1*AF19*SUMPRODUCT(1*(input_MRB_EV=input_data!$C$55:$C$57),input_data!$F$55:$F$57)</f>
        <v>397.99733336338227</v>
      </c>
      <c r="AG79" s="543" cm="1">
        <f t="array" ref="AG79">AG$1*AG19*SUMPRODUCT(1*(input_MRB_EV=input_data!$C$55:$C$57),input_data!$F$55:$F$57)</f>
        <v>399.88752443387824</v>
      </c>
      <c r="AH79" s="543" cm="1">
        <f t="array" ref="AH79">AH$1*AH19*SUMPRODUCT(1*(input_MRB_EV=input_data!$C$55:$C$57),input_data!$F$55:$F$57)</f>
        <v>401.78669250493044</v>
      </c>
      <c r="AI79" s="543" cm="1">
        <f t="array" ref="AI79">AI$1*AI19*SUMPRODUCT(1*(input_MRB_EV=input_data!$C$55:$C$57),input_data!$F$55:$F$57)</f>
        <v>403.6948802106092</v>
      </c>
      <c r="AJ79" s="543" cm="1">
        <f t="array" ref="AJ79">AJ$1*AJ19*SUMPRODUCT(1*(input_MRB_EV=input_data!$C$55:$C$57),input_data!$F$55:$F$57)</f>
        <v>405.6121303874649</v>
      </c>
      <c r="AK79" s="543" cm="1">
        <f t="array" ref="AK79">AK$1*AK19*SUMPRODUCT(1*(input_MRB_EV=input_data!$C$55:$C$57),input_data!$F$55:$F$57)</f>
        <v>407.53848607548969</v>
      </c>
      <c r="AL79" s="543" cm="1">
        <f t="array" ref="AL79">AL$1*AL19*SUMPRODUCT(1*(input_MRB_EV=input_data!$C$55:$C$57),input_data!$F$55:$F$57)</f>
        <v>409.4739905190836</v>
      </c>
      <c r="AM79" s="543" cm="1">
        <f t="array" ref="AM79">AM$1*AM19*SUMPRODUCT(1*(input_MRB_EV=input_data!$C$55:$C$57),input_data!$F$55:$F$57)</f>
        <v>411.41868716802537</v>
      </c>
      <c r="AN79" s="543" cm="1">
        <f t="array" ref="AN79">AN$1*AN19*SUMPRODUCT(1*(input_MRB_EV=input_data!$C$55:$C$57),input_data!$F$55:$F$57)</f>
        <v>413.3726196784479</v>
      </c>
      <c r="AO79" s="543" cm="1">
        <f t="array" ref="AO79">AO$1*AO19*SUMPRODUCT(1*(input_MRB_EV=input_data!$C$55:$C$57),input_data!$F$55:$F$57)</f>
        <v>415.3358319138182</v>
      </c>
      <c r="AP79" s="543" cm="1">
        <f t="array" ref="AP79">AP$1*AP19*SUMPRODUCT(1*(input_MRB_EV=input_data!$C$55:$C$57),input_data!$F$55:$F$57)</f>
        <v>417.30836794592204</v>
      </c>
      <c r="AQ79" s="543" cm="1">
        <f t="array" ref="AQ79">AQ$1*AQ19*SUMPRODUCT(1*(input_MRB_EV=input_data!$C$55:$C$57),input_data!$F$55:$F$57)</f>
        <v>419.29027205585345</v>
      </c>
      <c r="AR79" s="543" cm="1">
        <f t="array" ref="AR79">AR$1*AR19*SUMPRODUCT(1*(input_MRB_EV=input_data!$C$55:$C$57),input_data!$F$55:$F$57)</f>
        <v>421.28158873500871</v>
      </c>
      <c r="AS79" s="543" cm="1">
        <f t="array" ref="AS79">AS$1*AS19*SUMPRODUCT(1*(input_MRB_EV=input_data!$C$55:$C$57),input_data!$F$55:$F$57)</f>
        <v>423.28236268608498</v>
      </c>
      <c r="AT79" s="543" cm="1">
        <f t="array" ref="AT79">AT$1*AT19*SUMPRODUCT(1*(input_MRB_EV=input_data!$C$55:$C$57),input_data!$F$55:$F$57)</f>
        <v>425.29263882408407</v>
      </c>
      <c r="AU79" s="543" cm="1">
        <f t="array" ref="AU79">AU$1*AU19*SUMPRODUCT(1*(input_MRB_EV=input_data!$C$55:$C$57),input_data!$F$55:$F$57)</f>
        <v>427.31246227732061</v>
      </c>
      <c r="AV79" s="543" cm="1">
        <f t="array" ref="AV79">AV$1*AV19*SUMPRODUCT(1*(input_MRB_EV=input_data!$C$55:$C$57),input_data!$F$55:$F$57)</f>
        <v>429.34187838843508</v>
      </c>
      <c r="AW79" s="543" cm="1">
        <f t="array" ref="AW79">AW$1*AW19*SUMPRODUCT(1*(input_MRB_EV=input_data!$C$55:$C$57),input_data!$F$55:$F$57)</f>
        <v>431.3809327154118</v>
      </c>
      <c r="AX79" s="543" cm="1">
        <f t="array" ref="AX79">AX$1*AX19*SUMPRODUCT(1*(input_MRB_EV=input_data!$C$55:$C$57),input_data!$F$55:$F$57)</f>
        <v>433.42967103260156</v>
      </c>
      <c r="AY79" s="543" cm="1">
        <f t="array" ref="AY79">AY$1*AY19*SUMPRODUCT(1*(input_MRB_EV=input_data!$C$55:$C$57),input_data!$F$55:$F$57)</f>
        <v>435.48813933174927</v>
      </c>
      <c r="AZ79" s="543" cm="1">
        <f t="array" ref="AZ79">AZ$1*AZ19*SUMPRODUCT(1*(input_MRB_EV=input_data!$C$55:$C$57),input_data!$F$55:$F$57)</f>
        <v>437.55638382302635</v>
      </c>
      <c r="BA79" s="543" cm="1">
        <f t="array" ref="BA79">BA$1*BA19*SUMPRODUCT(1*(input_MRB_EV=input_data!$C$55:$C$57),input_data!$F$55:$F$57)</f>
        <v>439.63445093606822</v>
      </c>
      <c r="BB79" s="543" cm="1">
        <f t="array" ref="BB79">BB$1*BB19*SUMPRODUCT(1*(input_MRB_EV=input_data!$C$55:$C$57),input_data!$F$55:$F$57)</f>
        <v>441.72238732101641</v>
      </c>
      <c r="BC79" s="543" cm="1">
        <f t="array" ref="BC79">BC$1*BC19*SUMPRODUCT(1*(input_MRB_EV=input_data!$C$55:$C$57),input_data!$F$55:$F$57)</f>
        <v>443.82023984956601</v>
      </c>
    </row>
    <row r="80" spans="7:55" x14ac:dyDescent="0.3">
      <c r="H80" s="542" t="str">
        <f>input_names!$D$3</f>
        <v>Elektrisch</v>
      </c>
      <c r="I80" s="542" t="s">
        <v>540</v>
      </c>
      <c r="J80" s="543" cm="1">
        <f t="array" ref="J80">J$1*J20*SUMPRODUCT(1*(input_MRB_EV=input_data!$C$55:$C$57),input_data!$F$55:$F$57)</f>
        <v>0</v>
      </c>
      <c r="K80" s="543" cm="1">
        <f t="array" ref="K80">K$1*K20*SUMPRODUCT(1*(input_MRB_EV=input_data!$C$55:$C$57),input_data!$F$55:$F$57)</f>
        <v>0</v>
      </c>
      <c r="L80" s="543" cm="1">
        <f t="array" ref="L80">L$1*L20*SUMPRODUCT(1*(input_MRB_EV=input_data!$C$55:$C$57),input_data!$F$55:$F$57)</f>
        <v>0</v>
      </c>
      <c r="M80" s="543" cm="1">
        <f t="array" ref="M80">M$1*M20*SUMPRODUCT(1*(input_MRB_EV=input_data!$C$55:$C$57),input_data!$F$55:$F$57)</f>
        <v>0</v>
      </c>
      <c r="N80" s="543" cm="1">
        <f t="array" ref="N80">N$1*N20*SUMPRODUCT(1*(input_MRB_EV=input_data!$C$55:$C$57),input_data!$F$55:$F$57)</f>
        <v>0</v>
      </c>
      <c r="O80" s="543" cm="1">
        <f t="array" ref="O80">O$1*O20*SUMPRODUCT(1*(input_MRB_EV=input_data!$C$55:$C$57),input_data!$F$55:$F$57)</f>
        <v>0</v>
      </c>
      <c r="P80" s="543" cm="1">
        <f t="array" ref="P80">P$1*P20*SUMPRODUCT(1*(input_MRB_EV=input_data!$C$55:$C$57),input_data!$F$55:$F$57)</f>
        <v>0</v>
      </c>
      <c r="Q80" s="543" cm="1">
        <f t="array" ref="Q80">Q$1*Q20*SUMPRODUCT(1*(input_MRB_EV=input_data!$C$55:$C$57),input_data!$F$55:$F$57)</f>
        <v>0</v>
      </c>
      <c r="R80" s="543" cm="1">
        <f t="array" ref="R80">R$1*R20*SUMPRODUCT(1*(input_MRB_EV=input_data!$C$55:$C$57),input_data!$F$55:$F$57)</f>
        <v>0</v>
      </c>
      <c r="S80" s="543" cm="1">
        <f t="array" ref="S80">S$1*S20*SUMPRODUCT(1*(input_MRB_EV=input_data!$C$55:$C$57),input_data!$F$55:$F$57)</f>
        <v>101</v>
      </c>
      <c r="T80" s="543" cm="1">
        <f t="array" ref="T80">T$1*T20*SUMPRODUCT(1*(input_MRB_EV=input_data!$C$55:$C$57),input_data!$F$55:$F$57)</f>
        <v>303</v>
      </c>
      <c r="U80" s="543" cm="1">
        <f t="array" ref="U80">U$1*U20*SUMPRODUCT(1*(input_MRB_EV=input_data!$C$55:$C$57),input_data!$F$55:$F$57)</f>
        <v>304.43902445154669</v>
      </c>
      <c r="V80" s="543" cm="1">
        <f t="array" ref="V80">V$1*V20*SUMPRODUCT(1*(input_MRB_EV=input_data!$C$55:$C$57),input_data!$F$55:$F$57)</f>
        <v>305.88488319805094</v>
      </c>
      <c r="W80" s="543" cm="1">
        <f t="array" ref="W80">W$1*W20*SUMPRODUCT(1*(input_MRB_EV=input_data!$C$55:$C$57),input_data!$F$55:$F$57)</f>
        <v>307.33760869732652</v>
      </c>
      <c r="X80" s="543" cm="1">
        <f t="array" ref="X80">X$1*X20*SUMPRODUCT(1*(input_MRB_EV=input_data!$C$55:$C$57),input_data!$F$55:$F$57)</f>
        <v>308.79723356133758</v>
      </c>
      <c r="Y80" s="543" cm="1">
        <f t="array" ref="Y80">Y$1*Y20*SUMPRODUCT(1*(input_MRB_EV=input_data!$C$55:$C$57),input_data!$F$55:$F$57)</f>
        <v>413.68505407590766</v>
      </c>
      <c r="Z80" s="543" cm="1">
        <f t="array" ref="Z80">Z$1*Z20*SUMPRODUCT(1*(input_MRB_EV=input_data!$C$55:$C$57),input_data!$F$55:$F$57)</f>
        <v>415.6497501420946</v>
      </c>
      <c r="AA80" s="543" cm="1">
        <f t="array" ref="AA80">AA$1*AA20*SUMPRODUCT(1*(input_MRB_EV=input_data!$C$55:$C$57),input_data!$F$55:$F$57)</f>
        <v>417.62377705210696</v>
      </c>
      <c r="AB80" s="543" cm="1">
        <f t="array" ref="AB80">AB$1*AB20*SUMPRODUCT(1*(input_MRB_EV=input_data!$C$55:$C$57),input_data!$F$55:$F$57)</f>
        <v>419.60717912050717</v>
      </c>
      <c r="AC80" s="543" cm="1">
        <f t="array" ref="AC80">AC$1*AC20*SUMPRODUCT(1*(input_MRB_EV=input_data!$C$55:$C$57),input_data!$F$55:$F$57)</f>
        <v>421.60000087231884</v>
      </c>
      <c r="AD80" s="543" cm="1">
        <f t="array" ref="AD80">AD$1*AD20*SUMPRODUCT(1*(input_MRB_EV=input_data!$C$55:$C$57),input_data!$F$55:$F$57)</f>
        <v>423.60228704402635</v>
      </c>
      <c r="AE80" s="543" cm="1">
        <f t="array" ref="AE80">AE$1*AE20*SUMPRODUCT(1*(input_MRB_EV=input_data!$C$55:$C$57),input_data!$F$55:$F$57)</f>
        <v>425.61408258457902</v>
      </c>
      <c r="AF80" s="543" cm="1">
        <f t="array" ref="AF80">AF$1*AF20*SUMPRODUCT(1*(input_MRB_EV=input_data!$C$55:$C$57),input_data!$F$55:$F$57)</f>
        <v>427.63543265640021</v>
      </c>
      <c r="AG80" s="543" cm="1">
        <f t="array" ref="AG80">AG$1*AG20*SUMPRODUCT(1*(input_MRB_EV=input_data!$C$55:$C$57),input_data!$F$55:$F$57)</f>
        <v>429.66638263640124</v>
      </c>
      <c r="AH80" s="543" cm="1">
        <f t="array" ref="AH80">AH$1*AH20*SUMPRODUCT(1*(input_MRB_EV=input_data!$C$55:$C$57),input_data!$F$55:$F$57)</f>
        <v>431.70697811699989</v>
      </c>
      <c r="AI80" s="543" cm="1">
        <f t="array" ref="AI80">AI$1*AI20*SUMPRODUCT(1*(input_MRB_EV=input_data!$C$55:$C$57),input_data!$F$55:$F$57)</f>
        <v>433.75726490714408</v>
      </c>
      <c r="AJ80" s="543" cm="1">
        <f t="array" ref="AJ80">AJ$1*AJ20*SUMPRODUCT(1*(input_MRB_EV=input_data!$C$55:$C$57),input_data!$F$55:$F$57)</f>
        <v>435.8172890333401</v>
      </c>
      <c r="AK80" s="543" cm="1">
        <f t="array" ref="AK80">AK$1*AK20*SUMPRODUCT(1*(input_MRB_EV=input_data!$C$55:$C$57),input_data!$F$55:$F$57)</f>
        <v>437.88709674068588</v>
      </c>
      <c r="AL80" s="543" cm="1">
        <f t="array" ref="AL80">AL$1*AL20*SUMPRODUCT(1*(input_MRB_EV=input_data!$C$55:$C$57),input_data!$F$55:$F$57)</f>
        <v>439.96673449390909</v>
      </c>
      <c r="AM80" s="543" cm="1">
        <f t="array" ref="AM80">AM$1*AM20*SUMPRODUCT(1*(input_MRB_EV=input_data!$C$55:$C$57),input_data!$F$55:$F$57)</f>
        <v>442.05624897841034</v>
      </c>
      <c r="AN80" s="543" cm="1">
        <f t="array" ref="AN80">AN$1*AN20*SUMPRODUCT(1*(input_MRB_EV=input_data!$C$55:$C$57),input_data!$F$55:$F$57)</f>
        <v>444.15568710131112</v>
      </c>
      <c r="AO80" s="543" cm="1">
        <f t="array" ref="AO80">AO$1*AO20*SUMPRODUCT(1*(input_MRB_EV=input_data!$C$55:$C$57),input_data!$F$55:$F$57)</f>
        <v>446.26509599250687</v>
      </c>
      <c r="AP80" s="543" cm="1">
        <f t="array" ref="AP80">AP$1*AP20*SUMPRODUCT(1*(input_MRB_EV=input_data!$C$55:$C$57),input_data!$F$55:$F$57)</f>
        <v>448.38452300572487</v>
      </c>
      <c r="AQ80" s="543" cm="1">
        <f t="array" ref="AQ80">AQ$1*AQ20*SUMPRODUCT(1*(input_MRB_EV=input_data!$C$55:$C$57),input_data!$F$55:$F$57)</f>
        <v>450.51401571958735</v>
      </c>
      <c r="AR80" s="543" cm="1">
        <f t="array" ref="AR80">AR$1*AR20*SUMPRODUCT(1*(input_MRB_EV=input_data!$C$55:$C$57),input_data!$F$55:$F$57)</f>
        <v>452.65362193867969</v>
      </c>
      <c r="AS80" s="543" cm="1">
        <f t="array" ref="AS80">AS$1*AS20*SUMPRODUCT(1*(input_MRB_EV=input_data!$C$55:$C$57),input_data!$F$55:$F$57)</f>
        <v>454.80338969462338</v>
      </c>
      <c r="AT80" s="543" cm="1">
        <f t="array" ref="AT80">AT$1*AT20*SUMPRODUCT(1*(input_MRB_EV=input_data!$C$55:$C$57),input_data!$F$55:$F$57)</f>
        <v>456.96336724715434</v>
      </c>
      <c r="AU80" s="543" cm="1">
        <f t="array" ref="AU80">AU$1*AU20*SUMPRODUCT(1*(input_MRB_EV=input_data!$C$55:$C$57),input_data!$F$55:$F$57)</f>
        <v>459.13360308520635</v>
      </c>
      <c r="AV80" s="543" cm="1">
        <f t="array" ref="AV80">AV$1*AV20*SUMPRODUCT(1*(input_MRB_EV=input_data!$C$55:$C$57),input_data!$F$55:$F$57)</f>
        <v>461.31414592799956</v>
      </c>
      <c r="AW80" s="543" cm="1">
        <f t="array" ref="AW80">AW$1*AW20*SUMPRODUCT(1*(input_MRB_EV=input_data!$C$55:$C$57),input_data!$F$55:$F$57)</f>
        <v>463.50504472613409</v>
      </c>
      <c r="AX80" s="543" cm="1">
        <f t="array" ref="AX80">AX$1*AX20*SUMPRODUCT(1*(input_MRB_EV=input_data!$C$55:$C$57),input_data!$F$55:$F$57)</f>
        <v>465.70634866268904</v>
      </c>
      <c r="AY80" s="543" cm="1">
        <f t="array" ref="AY80">AY$1*AY20*SUMPRODUCT(1*(input_MRB_EV=input_data!$C$55:$C$57),input_data!$F$55:$F$57)</f>
        <v>467.91810715432644</v>
      </c>
      <c r="AZ80" s="543" cm="1">
        <f t="array" ref="AZ80">AZ$1*AZ20*SUMPRODUCT(1*(input_MRB_EV=input_data!$C$55:$C$57),input_data!$F$55:$F$57)</f>
        <v>470.14036985240074</v>
      </c>
      <c r="BA80" s="543" cm="1">
        <f t="array" ref="BA80">BA$1*BA20*SUMPRODUCT(1*(input_MRB_EV=input_data!$C$55:$C$57),input_data!$F$55:$F$57)</f>
        <v>472.37318664407337</v>
      </c>
      <c r="BB80" s="543" cm="1">
        <f t="array" ref="BB80">BB$1*BB20*SUMPRODUCT(1*(input_MRB_EV=input_data!$C$55:$C$57),input_data!$F$55:$F$57)</f>
        <v>474.6166076534326</v>
      </c>
      <c r="BC80" s="543" cm="1">
        <f t="array" ref="BC80">BC$1*BC20*SUMPRODUCT(1*(input_MRB_EV=input_data!$C$55:$C$57),input_data!$F$55:$F$57)</f>
        <v>476.87068324261884</v>
      </c>
    </row>
    <row r="81" spans="8:55" x14ac:dyDescent="0.3">
      <c r="H81" s="542" t="str">
        <f>input_names!$D$3</f>
        <v>Elektrisch</v>
      </c>
      <c r="I81" s="542" t="s">
        <v>541</v>
      </c>
      <c r="J81" s="543" cm="1">
        <f t="array" ref="J81">J$1*J21*SUMPRODUCT(1*(input_MRB_EV=input_data!$C$55:$C$57),input_data!$F$55:$F$57)</f>
        <v>0</v>
      </c>
      <c r="K81" s="543" cm="1">
        <f t="array" ref="K81">K$1*K21*SUMPRODUCT(1*(input_MRB_EV=input_data!$C$55:$C$57),input_data!$F$55:$F$57)</f>
        <v>0</v>
      </c>
      <c r="L81" s="543" cm="1">
        <f t="array" ref="L81">L$1*L21*SUMPRODUCT(1*(input_MRB_EV=input_data!$C$55:$C$57),input_data!$F$55:$F$57)</f>
        <v>0</v>
      </c>
      <c r="M81" s="543" cm="1">
        <f t="array" ref="M81">M$1*M21*SUMPRODUCT(1*(input_MRB_EV=input_data!$C$55:$C$57),input_data!$F$55:$F$57)</f>
        <v>0</v>
      </c>
      <c r="N81" s="543" cm="1">
        <f t="array" ref="N81">N$1*N21*SUMPRODUCT(1*(input_MRB_EV=input_data!$C$55:$C$57),input_data!$F$55:$F$57)</f>
        <v>0</v>
      </c>
      <c r="O81" s="543" cm="1">
        <f t="array" ref="O81">O$1*O21*SUMPRODUCT(1*(input_MRB_EV=input_data!$C$55:$C$57),input_data!$F$55:$F$57)</f>
        <v>0</v>
      </c>
      <c r="P81" s="543" cm="1">
        <f t="array" ref="P81">P$1*P21*SUMPRODUCT(1*(input_MRB_EV=input_data!$C$55:$C$57),input_data!$F$55:$F$57)</f>
        <v>0</v>
      </c>
      <c r="Q81" s="543" cm="1">
        <f t="array" ref="Q81">Q$1*Q21*SUMPRODUCT(1*(input_MRB_EV=input_data!$C$55:$C$57),input_data!$F$55:$F$57)</f>
        <v>0</v>
      </c>
      <c r="R81" s="543" cm="1">
        <f t="array" ref="R81">R$1*R21*SUMPRODUCT(1*(input_MRB_EV=input_data!$C$55:$C$57),input_data!$F$55:$F$57)</f>
        <v>0</v>
      </c>
      <c r="S81" s="543" cm="1">
        <f t="array" ref="S81">S$1*S21*SUMPRODUCT(1*(input_MRB_EV=input_data!$C$55:$C$57),input_data!$F$55:$F$57)</f>
        <v>108</v>
      </c>
      <c r="T81" s="543" cm="1">
        <f t="array" ref="T81">T$1*T21*SUMPRODUCT(1*(input_MRB_EV=input_data!$C$55:$C$57),input_data!$F$55:$F$57)</f>
        <v>324</v>
      </c>
      <c r="U81" s="543" cm="1">
        <f t="array" ref="U81">U$1*U21*SUMPRODUCT(1*(input_MRB_EV=input_data!$C$55:$C$57),input_data!$F$55:$F$57)</f>
        <v>325.53875881947567</v>
      </c>
      <c r="V81" s="543" cm="1">
        <f t="array" ref="V81">V$1*V21*SUMPRODUCT(1*(input_MRB_EV=input_data!$C$55:$C$57),input_data!$F$55:$F$57)</f>
        <v>327.08482559791588</v>
      </c>
      <c r="W81" s="543" cm="1">
        <f t="array" ref="W81">W$1*W21*SUMPRODUCT(1*(input_MRB_EV=input_data!$C$55:$C$57),input_data!$F$55:$F$57)</f>
        <v>328.63823504268578</v>
      </c>
      <c r="X81" s="543" cm="1">
        <f t="array" ref="X81">X$1*X21*SUMPRODUCT(1*(input_MRB_EV=input_data!$C$55:$C$57),input_data!$F$55:$F$57)</f>
        <v>330.19902202598473</v>
      </c>
      <c r="Y81" s="543" cm="1">
        <f t="array" ref="Y81">Y$1*Y21*SUMPRODUCT(1*(input_MRB_EV=input_data!$C$55:$C$57),input_data!$F$55:$F$57)</f>
        <v>442.3562954475052</v>
      </c>
      <c r="Z81" s="543" cm="1">
        <f t="array" ref="Z81">Z$1*Z21*SUMPRODUCT(1*(input_MRB_EV=input_data!$C$55:$C$57),input_data!$F$55:$F$57)</f>
        <v>444.45715856778429</v>
      </c>
      <c r="AA81" s="543" cm="1">
        <f t="array" ref="AA81">AA$1*AA21*SUMPRODUCT(1*(input_MRB_EV=input_data!$C$55:$C$57),input_data!$F$55:$F$57)</f>
        <v>446.56799922403513</v>
      </c>
      <c r="AB81" s="543" cm="1">
        <f t="array" ref="AB81">AB$1*AB21*SUMPRODUCT(1*(input_MRB_EV=input_data!$C$55:$C$57),input_data!$F$55:$F$57)</f>
        <v>448.68886480212643</v>
      </c>
      <c r="AC81" s="543" cm="1">
        <f t="array" ref="AC81">AC$1*AC21*SUMPRODUCT(1*(input_MRB_EV=input_data!$C$55:$C$57),input_data!$F$55:$F$57)</f>
        <v>450.81980291297458</v>
      </c>
      <c r="AD81" s="543" cm="1">
        <f t="array" ref="AD81">AD$1*AD21*SUMPRODUCT(1*(input_MRB_EV=input_data!$C$55:$C$57),input_data!$F$55:$F$57)</f>
        <v>452.96086139361228</v>
      </c>
      <c r="AE81" s="543" cm="1">
        <f t="array" ref="AE81">AE$1*AE21*SUMPRODUCT(1*(input_MRB_EV=input_data!$C$55:$C$57),input_data!$F$55:$F$57)</f>
        <v>455.11208830826263</v>
      </c>
      <c r="AF81" s="543" cm="1">
        <f t="array" ref="AF81">AF$1*AF21*SUMPRODUCT(1*(input_MRB_EV=input_data!$C$55:$C$57),input_data!$F$55:$F$57)</f>
        <v>457.27353194941799</v>
      </c>
      <c r="AG81" s="543" cm="1">
        <f t="array" ref="AG81">AG$1*AG21*SUMPRODUCT(1*(input_MRB_EV=input_data!$C$55:$C$57),input_data!$F$55:$F$57)</f>
        <v>459.44524083892401</v>
      </c>
      <c r="AH81" s="543" cm="1">
        <f t="array" ref="AH81">AH$1*AH21*SUMPRODUCT(1*(input_MRB_EV=input_data!$C$55:$C$57),input_data!$F$55:$F$57)</f>
        <v>461.62726372906911</v>
      </c>
      <c r="AI81" s="543" cm="1">
        <f t="array" ref="AI81">AI$1*AI21*SUMPRODUCT(1*(input_MRB_EV=input_data!$C$55:$C$57),input_data!$F$55:$F$57)</f>
        <v>463.81964960367878</v>
      </c>
      <c r="AJ81" s="543" cm="1">
        <f t="array" ref="AJ81">AJ$1*AJ21*SUMPRODUCT(1*(input_MRB_EV=input_data!$C$55:$C$57),input_data!$F$55:$F$57)</f>
        <v>466.02244767921513</v>
      </c>
      <c r="AK81" s="543" cm="1">
        <f t="array" ref="AK81">AK$1*AK21*SUMPRODUCT(1*(input_MRB_EV=input_data!$C$55:$C$57),input_data!$F$55:$F$57)</f>
        <v>468.2357074058819</v>
      </c>
      <c r="AL81" s="543" cm="1">
        <f t="array" ref="AL81">AL$1*AL21*SUMPRODUCT(1*(input_MRB_EV=input_data!$C$55:$C$57),input_data!$F$55:$F$57)</f>
        <v>470.45947846873446</v>
      </c>
      <c r="AM81" s="543" cm="1">
        <f t="array" ref="AM81">AM$1*AM21*SUMPRODUCT(1*(input_MRB_EV=input_data!$C$55:$C$57),input_data!$F$55:$F$57)</f>
        <v>472.69381078879525</v>
      </c>
      <c r="AN81" s="543" cm="1">
        <f t="array" ref="AN81">AN$1*AN21*SUMPRODUCT(1*(input_MRB_EV=input_data!$C$55:$C$57),input_data!$F$55:$F$57)</f>
        <v>474.93875452417433</v>
      </c>
      <c r="AO81" s="543" cm="1">
        <f t="array" ref="AO81">AO$1*AO21*SUMPRODUCT(1*(input_MRB_EV=input_data!$C$55:$C$57),input_data!$F$55:$F$57)</f>
        <v>477.19436007119549</v>
      </c>
      <c r="AP81" s="543" cm="1">
        <f t="array" ref="AP81">AP$1*AP21*SUMPRODUCT(1*(input_MRB_EV=input_data!$C$55:$C$57),input_data!$F$55:$F$57)</f>
        <v>479.46067806552759</v>
      </c>
      <c r="AQ81" s="543" cm="1">
        <f t="array" ref="AQ81">AQ$1*AQ21*SUMPRODUCT(1*(input_MRB_EV=input_data!$C$55:$C$57),input_data!$F$55:$F$57)</f>
        <v>481.73775938332113</v>
      </c>
      <c r="AR81" s="543" cm="1">
        <f t="array" ref="AR81">AR$1*AR21*SUMPRODUCT(1*(input_MRB_EV=input_data!$C$55:$C$57),input_data!$F$55:$F$57)</f>
        <v>484.02565514235056</v>
      </c>
      <c r="AS81" s="543" cm="1">
        <f t="array" ref="AS81">AS$1*AS21*SUMPRODUCT(1*(input_MRB_EV=input_data!$C$55:$C$57),input_data!$F$55:$F$57)</f>
        <v>486.3244167031616</v>
      </c>
      <c r="AT81" s="543" cm="1">
        <f t="array" ref="AT81">AT$1*AT21*SUMPRODUCT(1*(input_MRB_EV=input_data!$C$55:$C$57),input_data!$F$55:$F$57)</f>
        <v>488.63409567022438</v>
      </c>
      <c r="AU81" s="543" cm="1">
        <f t="array" ref="AU81">AU$1*AU21*SUMPRODUCT(1*(input_MRB_EV=input_data!$C$55:$C$57),input_data!$F$55:$F$57)</f>
        <v>490.95474389309192</v>
      </c>
      <c r="AV81" s="543" cm="1">
        <f t="array" ref="AV81">AV$1*AV21*SUMPRODUCT(1*(input_MRB_EV=input_data!$C$55:$C$57),input_data!$F$55:$F$57)</f>
        <v>493.28641346756388</v>
      </c>
      <c r="AW81" s="543" cm="1">
        <f t="array" ref="AW81">AW$1*AW21*SUMPRODUCT(1*(input_MRB_EV=input_data!$C$55:$C$57),input_data!$F$55:$F$57)</f>
        <v>495.62915673685626</v>
      </c>
      <c r="AX81" s="543" cm="1">
        <f t="array" ref="AX81">AX$1*AX21*SUMPRODUCT(1*(input_MRB_EV=input_data!$C$55:$C$57),input_data!$F$55:$F$57)</f>
        <v>497.9830262927764</v>
      </c>
      <c r="AY81" s="543" cm="1">
        <f t="array" ref="AY81">AY$1*AY21*SUMPRODUCT(1*(input_MRB_EV=input_data!$C$55:$C$57),input_data!$F$55:$F$57)</f>
        <v>500.34807497690355</v>
      </c>
      <c r="AZ81" s="543" cm="1">
        <f t="array" ref="AZ81">AZ$1*AZ21*SUMPRODUCT(1*(input_MRB_EV=input_data!$C$55:$C$57),input_data!$F$55:$F$57)</f>
        <v>502.72435588177512</v>
      </c>
      <c r="BA81" s="543" cm="1">
        <f t="array" ref="BA81">BA$1*BA21*SUMPRODUCT(1*(input_MRB_EV=input_data!$C$55:$C$57),input_data!$F$55:$F$57)</f>
        <v>505.11192235207852</v>
      </c>
      <c r="BB81" s="543" cm="1">
        <f t="array" ref="BB81">BB$1*BB21*SUMPRODUCT(1*(input_MRB_EV=input_data!$C$55:$C$57),input_data!$F$55:$F$57)</f>
        <v>507.51082798584878</v>
      </c>
      <c r="BC81" s="543" cm="1">
        <f t="array" ref="BC81">BC$1*BC21*SUMPRODUCT(1*(input_MRB_EV=input_data!$C$55:$C$57),input_data!$F$55:$F$57)</f>
        <v>509.92112663567167</v>
      </c>
    </row>
    <row r="82" spans="8:55" x14ac:dyDescent="0.3">
      <c r="H82" s="542" t="str">
        <f>input_names!$D$3</f>
        <v>Elektrisch</v>
      </c>
      <c r="I82" s="542" t="s">
        <v>1199</v>
      </c>
      <c r="J82" s="543" cm="1">
        <f t="array" ref="J82">J$1*J22*SUMPRODUCT(1*(input_MRB_EV=input_data!$C$55:$C$57),input_data!$F$55:$F$57)</f>
        <v>0</v>
      </c>
      <c r="K82" s="543" cm="1">
        <f t="array" ref="K82">K$1*K22*SUMPRODUCT(1*(input_MRB_EV=input_data!$C$55:$C$57),input_data!$F$55:$F$57)</f>
        <v>0</v>
      </c>
      <c r="L82" s="543" cm="1">
        <f t="array" ref="L82">L$1*L22*SUMPRODUCT(1*(input_MRB_EV=input_data!$C$55:$C$57),input_data!$F$55:$F$57)</f>
        <v>0</v>
      </c>
      <c r="M82" s="543" cm="1">
        <f t="array" ref="M82">M$1*M22*SUMPRODUCT(1*(input_MRB_EV=input_data!$C$55:$C$57),input_data!$F$55:$F$57)</f>
        <v>0</v>
      </c>
      <c r="N82" s="543" cm="1">
        <f t="array" ref="N82">N$1*N22*SUMPRODUCT(1*(input_MRB_EV=input_data!$C$55:$C$57),input_data!$F$55:$F$57)</f>
        <v>0</v>
      </c>
      <c r="O82" s="543" cm="1">
        <f t="array" ref="O82">O$1*O22*SUMPRODUCT(1*(input_MRB_EV=input_data!$C$55:$C$57),input_data!$F$55:$F$57)</f>
        <v>0</v>
      </c>
      <c r="P82" s="543" cm="1">
        <f t="array" ref="P82">P$1*P22*SUMPRODUCT(1*(input_MRB_EV=input_data!$C$55:$C$57),input_data!$F$55:$F$57)</f>
        <v>0</v>
      </c>
      <c r="Q82" s="543" cm="1">
        <f t="array" ref="Q82">Q$1*Q22*SUMPRODUCT(1*(input_MRB_EV=input_data!$C$55:$C$57),input_data!$F$55:$F$57)</f>
        <v>0</v>
      </c>
      <c r="R82" s="543" cm="1">
        <f t="array" ref="R82">R$1*R22*SUMPRODUCT(1*(input_MRB_EV=input_data!$C$55:$C$57),input_data!$F$55:$F$57)</f>
        <v>0</v>
      </c>
      <c r="S82" s="543" cm="1">
        <f t="array" ref="S82">S$1*S22*SUMPRODUCT(1*(input_MRB_EV=input_data!$C$55:$C$57),input_data!$F$55:$F$57)</f>
        <v>115</v>
      </c>
      <c r="T82" s="543" cm="1">
        <f t="array" ref="T82">T$1*T22*SUMPRODUCT(1*(input_MRB_EV=input_data!$C$55:$C$57),input_data!$F$55:$F$57)</f>
        <v>345</v>
      </c>
      <c r="U82" s="543" cm="1">
        <f t="array" ref="U82">U$1*U22*SUMPRODUCT(1*(input_MRB_EV=input_data!$C$55:$C$57),input_data!$F$55:$F$57)</f>
        <v>346.63849318740466</v>
      </c>
      <c r="V82" s="543" cm="1">
        <f t="array" ref="V82">V$1*V22*SUMPRODUCT(1*(input_MRB_EV=input_data!$C$55:$C$57),input_data!$F$55:$F$57)</f>
        <v>348.28476799778082</v>
      </c>
      <c r="W82" s="543" cm="1">
        <f t="array" ref="W82">W$1*W22*SUMPRODUCT(1*(input_MRB_EV=input_data!$C$55:$C$57),input_data!$F$55:$F$57)</f>
        <v>349.9388613880451</v>
      </c>
      <c r="X82" s="543" cm="1">
        <f t="array" ref="X82">X$1*X22*SUMPRODUCT(1*(input_MRB_EV=input_data!$C$55:$C$57),input_data!$F$55:$F$57)</f>
        <v>351.60081049063194</v>
      </c>
      <c r="Y82" s="543" cm="1">
        <f t="array" ref="Y82">Y$1*Y22*SUMPRODUCT(1*(input_MRB_EV=input_data!$C$55:$C$57),input_data!$F$55:$F$57)</f>
        <v>471.02753681910286</v>
      </c>
      <c r="Z82" s="543" cm="1">
        <f t="array" ref="Z82">Z$1*Z22*SUMPRODUCT(1*(input_MRB_EV=input_data!$C$55:$C$57),input_data!$F$55:$F$57)</f>
        <v>473.26456699347415</v>
      </c>
      <c r="AA82" s="543" cm="1">
        <f t="array" ref="AA82">AA$1*AA22*SUMPRODUCT(1*(input_MRB_EV=input_data!$C$55:$C$57),input_data!$F$55:$F$57)</f>
        <v>475.51222139596348</v>
      </c>
      <c r="AB82" s="543" cm="1">
        <f t="array" ref="AB82">AB$1*AB22*SUMPRODUCT(1*(input_MRB_EV=input_data!$C$55:$C$57),input_data!$F$55:$F$57)</f>
        <v>477.77055048374592</v>
      </c>
      <c r="AC82" s="543" cm="1">
        <f t="array" ref="AC82">AC$1*AC22*SUMPRODUCT(1*(input_MRB_EV=input_data!$C$55:$C$57),input_data!$F$55:$F$57)</f>
        <v>480.03960495363049</v>
      </c>
      <c r="AD82" s="543" cm="1">
        <f t="array" ref="AD82">AD$1*AD22*SUMPRODUCT(1*(input_MRB_EV=input_data!$C$55:$C$57),input_data!$F$55:$F$57)</f>
        <v>482.31943574319843</v>
      </c>
      <c r="AE82" s="543" cm="1">
        <f t="array" ref="AE82">AE$1*AE22*SUMPRODUCT(1*(input_MRB_EV=input_data!$C$55:$C$57),input_data!$F$55:$F$57)</f>
        <v>484.61009403194652</v>
      </c>
      <c r="AF82" s="543" cm="1">
        <f t="array" ref="AF82">AF$1*AF22*SUMPRODUCT(1*(input_MRB_EV=input_data!$C$55:$C$57),input_data!$F$55:$F$57)</f>
        <v>486.91163124243599</v>
      </c>
      <c r="AG82" s="543" cm="1">
        <f t="array" ref="AG82">AG$1*AG22*SUMPRODUCT(1*(input_MRB_EV=input_data!$C$55:$C$57),input_data!$F$55:$F$57)</f>
        <v>489.22409904144706</v>
      </c>
      <c r="AH82" s="543" cm="1">
        <f t="array" ref="AH82">AH$1*AH22*SUMPRODUCT(1*(input_MRB_EV=input_data!$C$55:$C$57),input_data!$F$55:$F$57)</f>
        <v>491.54754934113862</v>
      </c>
      <c r="AI82" s="543" cm="1">
        <f t="array" ref="AI82">AI$1*AI22*SUMPRODUCT(1*(input_MRB_EV=input_data!$C$55:$C$57),input_data!$F$55:$F$57)</f>
        <v>493.88203430021372</v>
      </c>
      <c r="AJ82" s="543" cm="1">
        <f t="array" ref="AJ82">AJ$1*AJ22*SUMPRODUCT(1*(input_MRB_EV=input_data!$C$55:$C$57),input_data!$F$55:$F$57)</f>
        <v>496.22760632509039</v>
      </c>
      <c r="AK82" s="543" cm="1">
        <f t="array" ref="AK82">AK$1*AK22*SUMPRODUCT(1*(input_MRB_EV=input_data!$C$55:$C$57),input_data!$F$55:$F$57)</f>
        <v>498.58431807107814</v>
      </c>
      <c r="AL82" s="543" cm="1">
        <f t="array" ref="AL82">AL$1*AL22*SUMPRODUCT(1*(input_MRB_EV=input_data!$C$55:$C$57),input_data!$F$55:$F$57)</f>
        <v>500.95222244356006</v>
      </c>
      <c r="AM82" s="543" cm="1">
        <f t="array" ref="AM82">AM$1*AM22*SUMPRODUCT(1*(input_MRB_EV=input_data!$C$55:$C$57),input_data!$F$55:$F$57)</f>
        <v>503.33137259918033</v>
      </c>
      <c r="AN82" s="543" cm="1">
        <f t="array" ref="AN82">AN$1*AN22*SUMPRODUCT(1*(input_MRB_EV=input_data!$C$55:$C$57),input_data!$F$55:$F$57)</f>
        <v>505.72182194703765</v>
      </c>
      <c r="AO82" s="543" cm="1">
        <f t="array" ref="AO82">AO$1*AO22*SUMPRODUCT(1*(input_MRB_EV=input_data!$C$55:$C$57),input_data!$F$55:$F$57)</f>
        <v>508.12362414988428</v>
      </c>
      <c r="AP82" s="543" cm="1">
        <f t="array" ref="AP82">AP$1*AP22*SUMPRODUCT(1*(input_MRB_EV=input_data!$C$55:$C$57),input_data!$F$55:$F$57)</f>
        <v>510.53683312533047</v>
      </c>
      <c r="AQ82" s="543" cm="1">
        <f t="array" ref="AQ82">AQ$1*AQ22*SUMPRODUCT(1*(input_MRB_EV=input_data!$C$55:$C$57),input_data!$F$55:$F$57)</f>
        <v>512.96150304705509</v>
      </c>
      <c r="AR82" s="543" cm="1">
        <f t="array" ref="AR82">AR$1*AR22*SUMPRODUCT(1*(input_MRB_EV=input_data!$C$55:$C$57),input_data!$F$55:$F$57)</f>
        <v>515.3976883460216</v>
      </c>
      <c r="AS82" s="543" cm="1">
        <f t="array" ref="AS82">AS$1*AS22*SUMPRODUCT(1*(input_MRB_EV=input_data!$C$55:$C$57),input_data!$F$55:$F$57)</f>
        <v>517.8454437117</v>
      </c>
      <c r="AT82" s="543" cm="1">
        <f t="array" ref="AT82">AT$1*AT22*SUMPRODUCT(1*(input_MRB_EV=input_data!$C$55:$C$57),input_data!$F$55:$F$57)</f>
        <v>520.30482409329466</v>
      </c>
      <c r="AU82" s="543" cm="1">
        <f t="array" ref="AU82">AU$1*AU22*SUMPRODUCT(1*(input_MRB_EV=input_data!$C$55:$C$57),input_data!$F$55:$F$57)</f>
        <v>522.77588470097771</v>
      </c>
      <c r="AV82" s="543" cm="1">
        <f t="array" ref="AV82">AV$1*AV22*SUMPRODUCT(1*(input_MRB_EV=input_data!$C$55:$C$57),input_data!$F$55:$F$57)</f>
        <v>525.25868100712842</v>
      </c>
      <c r="AW82" s="543" cm="1">
        <f t="array" ref="AW82">AW$1*AW22*SUMPRODUCT(1*(input_MRB_EV=input_data!$C$55:$C$57),input_data!$F$55:$F$57)</f>
        <v>527.75326874757866</v>
      </c>
      <c r="AX82" s="543" cm="1">
        <f t="array" ref="AX82">AX$1*AX22*SUMPRODUCT(1*(input_MRB_EV=input_data!$C$55:$C$57),input_data!$F$55:$F$57)</f>
        <v>530.25970392286399</v>
      </c>
      <c r="AY82" s="543" cm="1">
        <f t="array" ref="AY82">AY$1*AY22*SUMPRODUCT(1*(input_MRB_EV=input_data!$C$55:$C$57),input_data!$F$55:$F$57)</f>
        <v>532.77804279948089</v>
      </c>
      <c r="AZ82" s="543" cm="1">
        <f t="array" ref="AZ82">AZ$1*AZ22*SUMPRODUCT(1*(input_MRB_EV=input_data!$C$55:$C$57),input_data!$F$55:$F$57)</f>
        <v>535.30834191114968</v>
      </c>
      <c r="BA82" s="543" cm="1">
        <f t="array" ref="BA82">BA$1*BA22*SUMPRODUCT(1*(input_MRB_EV=input_data!$C$55:$C$57),input_data!$F$55:$F$57)</f>
        <v>537.8506580600839</v>
      </c>
      <c r="BB82" s="543" cm="1">
        <f t="array" ref="BB82">BB$1*BB22*SUMPRODUCT(1*(input_MRB_EV=input_data!$C$55:$C$57),input_data!$F$55:$F$57)</f>
        <v>540.40504831826524</v>
      </c>
      <c r="BC82" s="543" cm="1">
        <f t="array" ref="BC82">BC$1*BC22*SUMPRODUCT(1*(input_MRB_EV=input_data!$C$55:$C$57),input_data!$F$55:$F$57)</f>
        <v>542.97157002872484</v>
      </c>
    </row>
    <row r="83" spans="8:55" x14ac:dyDescent="0.3">
      <c r="H83" s="542" t="str">
        <f>input_names!$D$3</f>
        <v>Elektrisch</v>
      </c>
      <c r="I83" s="542" t="s">
        <v>1200</v>
      </c>
      <c r="J83" s="543" cm="1">
        <f t="array" ref="J83">J$1*J23*SUMPRODUCT(1*(input_MRB_EV=input_data!$C$55:$C$57),input_data!$F$55:$F$57)</f>
        <v>0</v>
      </c>
      <c r="K83" s="543" cm="1">
        <f t="array" ref="K83">K$1*K23*SUMPRODUCT(1*(input_MRB_EV=input_data!$C$55:$C$57),input_data!$F$55:$F$57)</f>
        <v>0</v>
      </c>
      <c r="L83" s="543" cm="1">
        <f t="array" ref="L83">L$1*L23*SUMPRODUCT(1*(input_MRB_EV=input_data!$C$55:$C$57),input_data!$F$55:$F$57)</f>
        <v>0</v>
      </c>
      <c r="M83" s="543" cm="1">
        <f t="array" ref="M83">M$1*M23*SUMPRODUCT(1*(input_MRB_EV=input_data!$C$55:$C$57),input_data!$F$55:$F$57)</f>
        <v>0</v>
      </c>
      <c r="N83" s="543" cm="1">
        <f t="array" ref="N83">N$1*N23*SUMPRODUCT(1*(input_MRB_EV=input_data!$C$55:$C$57),input_data!$F$55:$F$57)</f>
        <v>0</v>
      </c>
      <c r="O83" s="543" cm="1">
        <f t="array" ref="O83">O$1*O23*SUMPRODUCT(1*(input_MRB_EV=input_data!$C$55:$C$57),input_data!$F$55:$F$57)</f>
        <v>0</v>
      </c>
      <c r="P83" s="543" cm="1">
        <f t="array" ref="P83">P$1*P23*SUMPRODUCT(1*(input_MRB_EV=input_data!$C$55:$C$57),input_data!$F$55:$F$57)</f>
        <v>0</v>
      </c>
      <c r="Q83" s="543" cm="1">
        <f t="array" ref="Q83">Q$1*Q23*SUMPRODUCT(1*(input_MRB_EV=input_data!$C$55:$C$57),input_data!$F$55:$F$57)</f>
        <v>0</v>
      </c>
      <c r="R83" s="543" cm="1">
        <f t="array" ref="R83">R$1*R23*SUMPRODUCT(1*(input_MRB_EV=input_data!$C$55:$C$57),input_data!$F$55:$F$57)</f>
        <v>0</v>
      </c>
      <c r="S83" s="543" cm="1">
        <f t="array" ref="S83">S$1*S23*SUMPRODUCT(1*(input_MRB_EV=input_data!$C$55:$C$57),input_data!$F$55:$F$57)</f>
        <v>122</v>
      </c>
      <c r="T83" s="543" cm="1">
        <f t="array" ref="T83">T$1*T23*SUMPRODUCT(1*(input_MRB_EV=input_data!$C$55:$C$57),input_data!$F$55:$F$57)</f>
        <v>366</v>
      </c>
      <c r="U83" s="543" cm="1">
        <f t="array" ref="U83">U$1*U23*SUMPRODUCT(1*(input_MRB_EV=input_data!$C$55:$C$57),input_data!$F$55:$F$57)</f>
        <v>367.73822755533359</v>
      </c>
      <c r="V83" s="543" cm="1">
        <f t="array" ref="V83">V$1*V23*SUMPRODUCT(1*(input_MRB_EV=input_data!$C$55:$C$57),input_data!$F$55:$F$57)</f>
        <v>369.4847103976457</v>
      </c>
      <c r="W83" s="543" cm="1">
        <f t="array" ref="W83">W$1*W23*SUMPRODUCT(1*(input_MRB_EV=input_data!$C$55:$C$57),input_data!$F$55:$F$57)</f>
        <v>371.2394877334043</v>
      </c>
      <c r="X83" s="543" cm="1">
        <f t="array" ref="X83">X$1*X23*SUMPRODUCT(1*(input_MRB_EV=input_data!$C$55:$C$57),input_data!$F$55:$F$57)</f>
        <v>373.00259895527898</v>
      </c>
      <c r="Y83" s="543" cm="1">
        <f t="array" ref="Y83">Y$1*Y23*SUMPRODUCT(1*(input_MRB_EV=input_data!$C$55:$C$57),input_data!$F$55:$F$57)</f>
        <v>499.6987781907003</v>
      </c>
      <c r="Z83" s="543" cm="1">
        <f t="array" ref="Z83">Z$1*Z23*SUMPRODUCT(1*(input_MRB_EV=input_data!$C$55:$C$57),input_data!$F$55:$F$57)</f>
        <v>502.07197541916372</v>
      </c>
      <c r="AA83" s="543" cm="1">
        <f t="array" ref="AA83">AA$1*AA23*SUMPRODUCT(1*(input_MRB_EV=input_data!$C$55:$C$57),input_data!$F$55:$F$57)</f>
        <v>504.45644356789154</v>
      </c>
      <c r="AB83" s="543" cm="1">
        <f t="array" ref="AB83">AB$1*AB23*SUMPRODUCT(1*(input_MRB_EV=input_data!$C$55:$C$57),input_data!$F$55:$F$57)</f>
        <v>506.85223616536507</v>
      </c>
      <c r="AC83" s="543" cm="1">
        <f t="array" ref="AC83">AC$1*AC23*SUMPRODUCT(1*(input_MRB_EV=input_data!$C$55:$C$57),input_data!$F$55:$F$57)</f>
        <v>509.25940699428611</v>
      </c>
      <c r="AD83" s="543" cm="1">
        <f t="array" ref="AD83">AD$1*AD23*SUMPRODUCT(1*(input_MRB_EV=input_data!$C$55:$C$57),input_data!$F$55:$F$57)</f>
        <v>511.67801009278429</v>
      </c>
      <c r="AE83" s="543" cm="1">
        <f t="array" ref="AE83">AE$1*AE23*SUMPRODUCT(1*(input_MRB_EV=input_data!$C$55:$C$57),input_data!$F$55:$F$57)</f>
        <v>514.10809975563006</v>
      </c>
      <c r="AF83" s="543" cm="1">
        <f t="array" ref="AF83">AF$1*AF23*SUMPRODUCT(1*(input_MRB_EV=input_data!$C$55:$C$57),input_data!$F$55:$F$57)</f>
        <v>516.5497305354537</v>
      </c>
      <c r="AG83" s="543" cm="1">
        <f t="array" ref="AG83">AG$1*AG23*SUMPRODUCT(1*(input_MRB_EV=input_data!$C$55:$C$57),input_data!$F$55:$F$57)</f>
        <v>519.00295724396983</v>
      </c>
      <c r="AH83" s="543" cm="1">
        <f t="array" ref="AH83">AH$1*AH23*SUMPRODUCT(1*(input_MRB_EV=input_data!$C$55:$C$57),input_data!$F$55:$F$57)</f>
        <v>521.46783495320778</v>
      </c>
      <c r="AI83" s="543" cm="1">
        <f t="array" ref="AI83">AI$1*AI23*SUMPRODUCT(1*(input_MRB_EV=input_data!$C$55:$C$57),input_data!$F$55:$F$57)</f>
        <v>523.94441899674825</v>
      </c>
      <c r="AJ83" s="543" cm="1">
        <f t="array" ref="AJ83">AJ$1*AJ23*SUMPRODUCT(1*(input_MRB_EV=input_data!$C$55:$C$57),input_data!$F$55:$F$57)</f>
        <v>526.4327649709652</v>
      </c>
      <c r="AK83" s="543" cm="1">
        <f t="array" ref="AK83">AK$1*AK23*SUMPRODUCT(1*(input_MRB_EV=input_data!$C$55:$C$57),input_data!$F$55:$F$57)</f>
        <v>528.93292873627399</v>
      </c>
      <c r="AL83" s="543" cm="1">
        <f t="array" ref="AL83">AL$1*AL23*SUMPRODUCT(1*(input_MRB_EV=input_data!$C$55:$C$57),input_data!$F$55:$F$57)</f>
        <v>531.44496641838521</v>
      </c>
      <c r="AM83" s="543" cm="1">
        <f t="array" ref="AM83">AM$1*AM23*SUMPRODUCT(1*(input_MRB_EV=input_data!$C$55:$C$57),input_data!$F$55:$F$57)</f>
        <v>533.96893440956501</v>
      </c>
      <c r="AN83" s="543" cm="1">
        <f t="array" ref="AN83">AN$1*AN23*SUMPRODUCT(1*(input_MRB_EV=input_data!$C$55:$C$57),input_data!$F$55:$F$57)</f>
        <v>536.50488936990064</v>
      </c>
      <c r="AO83" s="543" cm="1">
        <f t="array" ref="AO83">AO$1*AO23*SUMPRODUCT(1*(input_MRB_EV=input_data!$C$55:$C$57),input_data!$F$55:$F$57)</f>
        <v>539.05288822857267</v>
      </c>
      <c r="AP83" s="543" cm="1">
        <f t="array" ref="AP83">AP$1*AP23*SUMPRODUCT(1*(input_MRB_EV=input_data!$C$55:$C$57),input_data!$F$55:$F$57)</f>
        <v>541.61298818513296</v>
      </c>
      <c r="AQ83" s="543" cm="1">
        <f t="array" ref="AQ83">AQ$1*AQ23*SUMPRODUCT(1*(input_MRB_EV=input_data!$C$55:$C$57),input_data!$F$55:$F$57)</f>
        <v>544.18524671078865</v>
      </c>
      <c r="AR83" s="543" cm="1">
        <f t="array" ref="AR83">AR$1*AR23*SUMPRODUCT(1*(input_MRB_EV=input_data!$C$55:$C$57),input_data!$F$55:$F$57)</f>
        <v>546.76972154969224</v>
      </c>
      <c r="AS83" s="543" cm="1">
        <f t="array" ref="AS83">AS$1*AS23*SUMPRODUCT(1*(input_MRB_EV=input_data!$C$55:$C$57),input_data!$F$55:$F$57)</f>
        <v>549.366470720238</v>
      </c>
      <c r="AT83" s="543" cm="1">
        <f t="array" ref="AT83">AT$1*AT23*SUMPRODUCT(1*(input_MRB_EV=input_data!$C$55:$C$57),input_data!$F$55:$F$57)</f>
        <v>551.97555251636447</v>
      </c>
      <c r="AU83" s="543" cm="1">
        <f t="array" ref="AU83">AU$1*AU23*SUMPRODUCT(1*(input_MRB_EV=input_data!$C$55:$C$57),input_data!$F$55:$F$57)</f>
        <v>554.597025508863</v>
      </c>
      <c r="AV83" s="543" cm="1">
        <f t="array" ref="AV83">AV$1*AV23*SUMPRODUCT(1*(input_MRB_EV=input_data!$C$55:$C$57),input_data!$F$55:$F$57)</f>
        <v>557.23094854669239</v>
      </c>
      <c r="AW83" s="543" cm="1">
        <f t="array" ref="AW83">AW$1*AW23*SUMPRODUCT(1*(input_MRB_EV=input_data!$C$55:$C$57),input_data!$F$55:$F$57)</f>
        <v>559.87738075830043</v>
      </c>
      <c r="AX83" s="543" cm="1">
        <f t="array" ref="AX83">AX$1*AX23*SUMPRODUCT(1*(input_MRB_EV=input_data!$C$55:$C$57),input_data!$F$55:$F$57)</f>
        <v>562.53638155295096</v>
      </c>
      <c r="AY83" s="543" cm="1">
        <f t="array" ref="AY83">AY$1*AY23*SUMPRODUCT(1*(input_MRB_EV=input_data!$C$55:$C$57),input_data!$F$55:$F$57)</f>
        <v>565.20801062205749</v>
      </c>
      <c r="AZ83" s="543" cm="1">
        <f t="array" ref="AZ83">AZ$1*AZ23*SUMPRODUCT(1*(input_MRB_EV=input_data!$C$55:$C$57),input_data!$F$55:$F$57)</f>
        <v>567.8923279405235</v>
      </c>
      <c r="BA83" s="543" cm="1">
        <f t="array" ref="BA83">BA$1*BA23*SUMPRODUCT(1*(input_MRB_EV=input_data!$C$55:$C$57),input_data!$F$55:$F$57)</f>
        <v>570.58939376808848</v>
      </c>
      <c r="BB83" s="543" cm="1">
        <f t="array" ref="BB83">BB$1*BB23*SUMPRODUCT(1*(input_MRB_EV=input_data!$C$55:$C$57),input_data!$F$55:$F$57)</f>
        <v>573.2992686506808</v>
      </c>
      <c r="BC83" s="543" cm="1">
        <f t="array" ref="BC83">BC$1*BC23*SUMPRODUCT(1*(input_MRB_EV=input_data!$C$55:$C$57),input_data!$F$55:$F$57)</f>
        <v>576.02201342177705</v>
      </c>
    </row>
    <row r="84" spans="8:55" x14ac:dyDescent="0.3">
      <c r="H84" s="542" t="str">
        <f>input_names!$D$3</f>
        <v>Elektrisch</v>
      </c>
      <c r="I84" s="542" t="s">
        <v>1495</v>
      </c>
      <c r="J84" s="543" cm="1">
        <f t="array" ref="J84">J$1*J24*SUMPRODUCT(1*(input_MRB_EV=input_data!$C$55:$C$57),input_data!$F$55:$F$57)</f>
        <v>0</v>
      </c>
      <c r="K84" s="543" cm="1">
        <f t="array" ref="K84">K$1*K24*SUMPRODUCT(1*(input_MRB_EV=input_data!$C$55:$C$57),input_data!$F$55:$F$57)</f>
        <v>0</v>
      </c>
      <c r="L84" s="543" cm="1">
        <f t="array" ref="L84">L$1*L24*SUMPRODUCT(1*(input_MRB_EV=input_data!$C$55:$C$57),input_data!$F$55:$F$57)</f>
        <v>0</v>
      </c>
      <c r="M84" s="543" cm="1">
        <f t="array" ref="M84">M$1*M24*SUMPRODUCT(1*(input_MRB_EV=input_data!$C$55:$C$57),input_data!$F$55:$F$57)</f>
        <v>0</v>
      </c>
      <c r="N84" s="543" cm="1">
        <f t="array" ref="N84">N$1*N24*SUMPRODUCT(1*(input_MRB_EV=input_data!$C$55:$C$57),input_data!$F$55:$F$57)</f>
        <v>0</v>
      </c>
      <c r="O84" s="543" cm="1">
        <f t="array" ref="O84">O$1*O24*SUMPRODUCT(1*(input_MRB_EV=input_data!$C$55:$C$57),input_data!$F$55:$F$57)</f>
        <v>0</v>
      </c>
      <c r="P84" s="543" cm="1">
        <f t="array" ref="P84">P$1*P24*SUMPRODUCT(1*(input_MRB_EV=input_data!$C$55:$C$57),input_data!$F$55:$F$57)</f>
        <v>0</v>
      </c>
      <c r="Q84" s="543" cm="1">
        <f t="array" ref="Q84">Q$1*Q24*SUMPRODUCT(1*(input_MRB_EV=input_data!$C$55:$C$57),input_data!$F$55:$F$57)</f>
        <v>0</v>
      </c>
      <c r="R84" s="543" cm="1">
        <f t="array" ref="R84">R$1*R24*SUMPRODUCT(1*(input_MRB_EV=input_data!$C$55:$C$57),input_data!$F$55:$F$57)</f>
        <v>0</v>
      </c>
      <c r="S84" s="543" cm="1">
        <f t="array" ref="S84">S$1*S24*SUMPRODUCT(1*(input_MRB_EV=input_data!$C$55:$C$57),input_data!$F$55:$F$57)</f>
        <v>129.25</v>
      </c>
      <c r="T84" s="543" cm="1">
        <f t="array" ref="T84">T$1*T24*SUMPRODUCT(1*(input_MRB_EV=input_data!$C$55:$C$57),input_data!$F$55:$F$57)</f>
        <v>387.75</v>
      </c>
      <c r="U84" s="543" cm="1">
        <f t="array" ref="U84">U$1*U24*SUMPRODUCT(1*(input_MRB_EV=input_data!$C$55:$C$57),input_data!$F$55:$F$57)</f>
        <v>389.59152386497431</v>
      </c>
      <c r="V84" s="543" cm="1">
        <f t="array" ref="V84">V$1*V24*SUMPRODUCT(1*(input_MRB_EV=input_data!$C$55:$C$57),input_data!$F$55:$F$57)</f>
        <v>391.44179359750581</v>
      </c>
      <c r="W84" s="543" cm="1">
        <f t="array" ref="W84">W$1*W24*SUMPRODUCT(1*(input_MRB_EV=input_data!$C$55:$C$57),input_data!$F$55:$F$57)</f>
        <v>393.30085073395503</v>
      </c>
      <c r="X84" s="543" cm="1">
        <f t="array" ref="X84">X$1*X24*SUMPRODUCT(1*(input_MRB_EV=input_data!$C$55:$C$57),input_data!$F$55:$F$57)</f>
        <v>395.1687370079494</v>
      </c>
      <c r="Y84" s="543" cm="1">
        <f t="array" ref="Y84">Y$1*Y24*SUMPRODUCT(1*(input_MRB_EV=input_data!$C$55:$C$57),input_data!$F$55:$F$57)</f>
        <v>529.39399246842652</v>
      </c>
      <c r="Z84" s="543" cm="1">
        <f t="array" ref="Z84">Z$1*Z24*SUMPRODUCT(1*(input_MRB_EV=input_data!$C$55:$C$57),input_data!$F$55:$F$57)</f>
        <v>531.90821986005687</v>
      </c>
      <c r="AA84" s="543" cm="1">
        <f t="array" ref="AA84">AA$1*AA24*SUMPRODUCT(1*(input_MRB_EV=input_data!$C$55:$C$57),input_data!$F$55:$F$57)</f>
        <v>534.434387960246</v>
      </c>
      <c r="AB84" s="543" cm="1">
        <f t="array" ref="AB84">AB$1*AB24*SUMPRODUCT(1*(input_MRB_EV=input_data!$C$55:$C$57),input_data!$F$55:$F$57)</f>
        <v>536.97255347847101</v>
      </c>
      <c r="AC84" s="543" cm="1">
        <f t="array" ref="AC84">AC$1*AC24*SUMPRODUCT(1*(input_MRB_EV=input_data!$C$55:$C$57),input_data!$F$55:$F$57)</f>
        <v>539.52277339353691</v>
      </c>
      <c r="AD84" s="543" cm="1">
        <f t="array" ref="AD84">AD$1*AD24*SUMPRODUCT(1*(input_MRB_EV=input_data!$C$55:$C$57),input_data!$F$55:$F$57)</f>
        <v>542.08510495485564</v>
      </c>
      <c r="AE84" s="543" cm="1">
        <f t="array" ref="AE84">AE$1*AE24*SUMPRODUCT(1*(input_MRB_EV=input_data!$C$55:$C$57),input_data!$F$55:$F$57)</f>
        <v>544.65960568373123</v>
      </c>
      <c r="AF84" s="543" cm="1">
        <f t="array" ref="AF84">AF$1*AF24*SUMPRODUCT(1*(input_MRB_EV=input_data!$C$55:$C$57),input_data!$F$55:$F$57)</f>
        <v>547.24633337465093</v>
      </c>
      <c r="AG84" s="543" cm="1">
        <f t="array" ref="AG84">AG$1*AG24*SUMPRODUCT(1*(input_MRB_EV=input_data!$C$55:$C$57),input_data!$F$55:$F$57)</f>
        <v>549.84534609658294</v>
      </c>
      <c r="AH84" s="543" cm="1">
        <f t="array" ref="AH84">AH$1*AH24*SUMPRODUCT(1*(input_MRB_EV=input_data!$C$55:$C$57),input_data!$F$55:$F$57)</f>
        <v>552.45670219427973</v>
      </c>
      <c r="AI84" s="543" cm="1">
        <f t="array" ref="AI84">AI$1*AI24*SUMPRODUCT(1*(input_MRB_EV=input_data!$C$55:$C$57),input_data!$F$55:$F$57)</f>
        <v>555.08046028958802</v>
      </c>
      <c r="AJ84" s="543" cm="1">
        <f t="array" ref="AJ84">AJ$1*AJ24*SUMPRODUCT(1*(input_MRB_EV=input_data!$C$55:$C$57),input_data!$F$55:$F$57)</f>
        <v>557.71667928276463</v>
      </c>
      <c r="AK84" s="543" cm="1">
        <f t="array" ref="AK84">AK$1*AK24*SUMPRODUCT(1*(input_MRB_EV=input_data!$C$55:$C$57),input_data!$F$55:$F$57)</f>
        <v>560.36541835379865</v>
      </c>
      <c r="AL84" s="543" cm="1">
        <f t="array" ref="AL84">AL$1*AL24*SUMPRODUCT(1*(input_MRB_EV=input_data!$C$55:$C$57),input_data!$F$55:$F$57)</f>
        <v>563.02673696374029</v>
      </c>
      <c r="AM84" s="543" cm="1">
        <f t="array" ref="AM84">AM$1*AM24*SUMPRODUCT(1*(input_MRB_EV=input_data!$C$55:$C$57),input_data!$F$55:$F$57)</f>
        <v>565.70069485603528</v>
      </c>
      <c r="AN84" s="543" cm="1">
        <f t="array" ref="AN84">AN$1*AN24*SUMPRODUCT(1*(input_MRB_EV=input_data!$C$55:$C$57),input_data!$F$55:$F$57)</f>
        <v>568.38735205786622</v>
      </c>
      <c r="AO84" s="543" cm="1">
        <f t="array" ref="AO84">AO$1*AO24*SUMPRODUCT(1*(input_MRB_EV=input_data!$C$55:$C$57),input_data!$F$55:$F$57)</f>
        <v>571.08676888150035</v>
      </c>
      <c r="AP84" s="543" cm="1">
        <f t="array" ref="AP84">AP$1*AP24*SUMPRODUCT(1*(input_MRB_EV=input_data!$C$55:$C$57),input_data!$F$55:$F$57)</f>
        <v>573.7990059256432</v>
      </c>
      <c r="AQ84" s="543" cm="1">
        <f t="array" ref="AQ84">AQ$1*AQ24*SUMPRODUCT(1*(input_MRB_EV=input_data!$C$55:$C$57),input_data!$F$55:$F$57)</f>
        <v>576.5241240767989</v>
      </c>
      <c r="AR84" s="543" cm="1">
        <f t="array" ref="AR84">AR$1*AR24*SUMPRODUCT(1*(input_MRB_EV=input_data!$C$55:$C$57),input_data!$F$55:$F$57)</f>
        <v>579.26218451063733</v>
      </c>
      <c r="AS84" s="543" cm="1">
        <f t="array" ref="AS84">AS$1*AS24*SUMPRODUCT(1*(input_MRB_EV=input_data!$C$55:$C$57),input_data!$F$55:$F$57)</f>
        <v>582.01324869336725</v>
      </c>
      <c r="AT84" s="543" cm="1">
        <f t="array" ref="AT84">AT$1*AT24*SUMPRODUCT(1*(input_MRB_EV=input_data!$C$55:$C$57),input_data!$F$55:$F$57)</f>
        <v>584.777378383116</v>
      </c>
      <c r="AU84" s="543" cm="1">
        <f t="array" ref="AU84">AU$1*AU24*SUMPRODUCT(1*(input_MRB_EV=input_data!$C$55:$C$57),input_data!$F$55:$F$57)</f>
        <v>587.55463563131627</v>
      </c>
      <c r="AV84" s="543" cm="1">
        <f t="array" ref="AV84">AV$1*AV24*SUMPRODUCT(1*(input_MRB_EV=input_data!$C$55:$C$57),input_data!$F$55:$F$57)</f>
        <v>590.34508278409874</v>
      </c>
      <c r="AW84" s="543" cm="1">
        <f t="array" ref="AW84">AW$1*AW24*SUMPRODUCT(1*(input_MRB_EV=input_data!$C$55:$C$57),input_data!$F$55:$F$57)</f>
        <v>593.14878248369166</v>
      </c>
      <c r="AX84" s="543" cm="1">
        <f t="array" ref="AX84">AX$1*AX24*SUMPRODUCT(1*(input_MRB_EV=input_data!$C$55:$C$57),input_data!$F$55:$F$57)</f>
        <v>595.96579766982757</v>
      </c>
      <c r="AY84" s="543" cm="1">
        <f t="array" ref="AY84">AY$1*AY24*SUMPRODUCT(1*(input_MRB_EV=input_data!$C$55:$C$57),input_data!$F$55:$F$57)</f>
        <v>598.79619158115565</v>
      </c>
      <c r="AZ84" s="543" cm="1">
        <f t="array" ref="AZ84">AZ$1*AZ24*SUMPRODUCT(1*(input_MRB_EV=input_data!$C$55:$C$57),input_data!$F$55:$F$57)</f>
        <v>601.64002775666165</v>
      </c>
      <c r="BA84" s="543" cm="1">
        <f t="array" ref="BA84">BA$1*BA24*SUMPRODUCT(1*(input_MRB_EV=input_data!$C$55:$C$57),input_data!$F$55:$F$57)</f>
        <v>604.49737003709424</v>
      </c>
      <c r="BB84" s="543" cm="1">
        <f t="array" ref="BB84">BB$1*BB24*SUMPRODUCT(1*(input_MRB_EV=input_data!$C$55:$C$57),input_data!$F$55:$F$57)</f>
        <v>607.36828256639797</v>
      </c>
      <c r="BC84" s="543" cm="1">
        <f t="array" ref="BC84">BC$1*BC24*SUMPRODUCT(1*(input_MRB_EV=input_data!$C$55:$C$57),input_data!$F$55:$F$57)</f>
        <v>610.25282979315364</v>
      </c>
    </row>
    <row r="85" spans="8:55" x14ac:dyDescent="0.3">
      <c r="H85" s="542" t="str">
        <f>input_names!$D$3</f>
        <v>Elektrisch</v>
      </c>
      <c r="I85" s="542" t="s">
        <v>1496</v>
      </c>
      <c r="J85" s="543" cm="1">
        <f t="array" ref="J85">J$1*J25*SUMPRODUCT(1*(input_MRB_EV=input_data!$C$55:$C$57),input_data!$F$55:$F$57)</f>
        <v>0</v>
      </c>
      <c r="K85" s="543" cm="1">
        <f t="array" ref="K85">K$1*K25*SUMPRODUCT(1*(input_MRB_EV=input_data!$C$55:$C$57),input_data!$F$55:$F$57)</f>
        <v>0</v>
      </c>
      <c r="L85" s="543" cm="1">
        <f t="array" ref="L85">L$1*L25*SUMPRODUCT(1*(input_MRB_EV=input_data!$C$55:$C$57),input_data!$F$55:$F$57)</f>
        <v>0</v>
      </c>
      <c r="M85" s="543" cm="1">
        <f t="array" ref="M85">M$1*M25*SUMPRODUCT(1*(input_MRB_EV=input_data!$C$55:$C$57),input_data!$F$55:$F$57)</f>
        <v>0</v>
      </c>
      <c r="N85" s="543" cm="1">
        <f t="array" ref="N85">N$1*N25*SUMPRODUCT(1*(input_MRB_EV=input_data!$C$55:$C$57),input_data!$F$55:$F$57)</f>
        <v>0</v>
      </c>
      <c r="O85" s="543" cm="1">
        <f t="array" ref="O85">O$1*O25*SUMPRODUCT(1*(input_MRB_EV=input_data!$C$55:$C$57),input_data!$F$55:$F$57)</f>
        <v>0</v>
      </c>
      <c r="P85" s="543" cm="1">
        <f t="array" ref="P85">P$1*P25*SUMPRODUCT(1*(input_MRB_EV=input_data!$C$55:$C$57),input_data!$F$55:$F$57)</f>
        <v>0</v>
      </c>
      <c r="Q85" s="543" cm="1">
        <f t="array" ref="Q85">Q$1*Q25*SUMPRODUCT(1*(input_MRB_EV=input_data!$C$55:$C$57),input_data!$F$55:$F$57)</f>
        <v>0</v>
      </c>
      <c r="R85" s="543" cm="1">
        <f t="array" ref="R85">R$1*R25*SUMPRODUCT(1*(input_MRB_EV=input_data!$C$55:$C$57),input_data!$F$55:$F$57)</f>
        <v>0</v>
      </c>
      <c r="S85" s="543" cm="1">
        <f t="array" ref="S85">S$1*S25*SUMPRODUCT(1*(input_MRB_EV=input_data!$C$55:$C$57),input_data!$F$55:$F$57)</f>
        <v>136.25</v>
      </c>
      <c r="T85" s="543" cm="1">
        <f t="array" ref="T85">T$1*T25*SUMPRODUCT(1*(input_MRB_EV=input_data!$C$55:$C$57),input_data!$F$55:$F$57)</f>
        <v>408.75</v>
      </c>
      <c r="U85" s="543" cm="1">
        <f t="array" ref="U85">U$1*U25*SUMPRODUCT(1*(input_MRB_EV=input_data!$C$55:$C$57),input_data!$F$55:$F$57)</f>
        <v>410.69125823290335</v>
      </c>
      <c r="V85" s="543" cm="1">
        <f t="array" ref="V85">V$1*V25*SUMPRODUCT(1*(input_MRB_EV=input_data!$C$55:$C$57),input_data!$F$55:$F$57)</f>
        <v>412.64173599737069</v>
      </c>
      <c r="W85" s="543" cm="1">
        <f t="array" ref="W85">W$1*W25*SUMPRODUCT(1*(input_MRB_EV=input_data!$C$55:$C$57),input_data!$F$55:$F$57)</f>
        <v>414.60147707931424</v>
      </c>
      <c r="X85" s="543" cm="1">
        <f t="array" ref="X85">X$1*X25*SUMPRODUCT(1*(input_MRB_EV=input_data!$C$55:$C$57),input_data!$F$55:$F$57)</f>
        <v>416.57052547259639</v>
      </c>
      <c r="Y85" s="543" cm="1">
        <f t="array" ref="Y85">Y$1*Y25*SUMPRODUCT(1*(input_MRB_EV=input_data!$C$55:$C$57),input_data!$F$55:$F$57)</f>
        <v>558.06523384002389</v>
      </c>
      <c r="Z85" s="543" cm="1">
        <f t="array" ref="Z85">Z$1*Z25*SUMPRODUCT(1*(input_MRB_EV=input_data!$C$55:$C$57),input_data!$F$55:$F$57)</f>
        <v>560.71562828574633</v>
      </c>
      <c r="AA85" s="543" cm="1">
        <f t="array" ref="AA85">AA$1*AA25*SUMPRODUCT(1*(input_MRB_EV=input_data!$C$55:$C$57),input_data!$F$55:$F$57)</f>
        <v>563.37861013217389</v>
      </c>
      <c r="AB85" s="543" cm="1">
        <f t="array" ref="AB85">AB$1*AB25*SUMPRODUCT(1*(input_MRB_EV=input_data!$C$55:$C$57),input_data!$F$55:$F$57)</f>
        <v>566.05423916008999</v>
      </c>
      <c r="AC85" s="543" cm="1">
        <f t="array" ref="AC85">AC$1*AC25*SUMPRODUCT(1*(input_MRB_EV=input_data!$C$55:$C$57),input_data!$F$55:$F$57)</f>
        <v>568.74257543419242</v>
      </c>
      <c r="AD85" s="543" cm="1">
        <f t="array" ref="AD85">AD$1*AD25*SUMPRODUCT(1*(input_MRB_EV=input_data!$C$55:$C$57),input_data!$F$55:$F$57)</f>
        <v>571.44367930444139</v>
      </c>
      <c r="AE85" s="543" cm="1">
        <f t="array" ref="AE85">AE$1*AE25*SUMPRODUCT(1*(input_MRB_EV=input_data!$C$55:$C$57),input_data!$F$55:$F$57)</f>
        <v>574.15761140741461</v>
      </c>
      <c r="AF85" s="543" cm="1">
        <f t="array" ref="AF85">AF$1*AF25*SUMPRODUCT(1*(input_MRB_EV=input_data!$C$55:$C$57),input_data!$F$55:$F$57)</f>
        <v>576.88443266766842</v>
      </c>
      <c r="AG85" s="543" cm="1">
        <f t="array" ref="AG85">AG$1*AG25*SUMPRODUCT(1*(input_MRB_EV=input_data!$C$55:$C$57),input_data!$F$55:$F$57)</f>
        <v>579.62420429910549</v>
      </c>
      <c r="AH85" s="543" cm="1">
        <f t="array" ref="AH85">AH$1*AH25*SUMPRODUCT(1*(input_MRB_EV=input_data!$C$55:$C$57),input_data!$F$55:$F$57)</f>
        <v>582.37698780634878</v>
      </c>
      <c r="AI85" s="543" cm="1">
        <f t="array" ref="AI85">AI$1*AI25*SUMPRODUCT(1*(input_MRB_EV=input_data!$C$55:$C$57),input_data!$F$55:$F$57)</f>
        <v>585.14284498612255</v>
      </c>
      <c r="AJ85" s="543" cm="1">
        <f t="array" ref="AJ85">AJ$1*AJ25*SUMPRODUCT(1*(input_MRB_EV=input_data!$C$55:$C$57),input_data!$F$55:$F$57)</f>
        <v>587.92183792863943</v>
      </c>
      <c r="AK85" s="543" cm="1">
        <f t="array" ref="AK85">AK$1*AK25*SUMPRODUCT(1*(input_MRB_EV=input_data!$C$55:$C$57),input_data!$F$55:$F$57)</f>
        <v>590.71402901899444</v>
      </c>
      <c r="AL85" s="543" cm="1">
        <f t="array" ref="AL85">AL$1*AL25*SUMPRODUCT(1*(input_MRB_EV=input_data!$C$55:$C$57),input_data!$F$55:$F$57)</f>
        <v>593.51948093856538</v>
      </c>
      <c r="AM85" s="543" cm="1">
        <f t="array" ref="AM85">AM$1*AM25*SUMPRODUCT(1*(input_MRB_EV=input_data!$C$55:$C$57),input_data!$F$55:$F$57)</f>
        <v>596.33825666641985</v>
      </c>
      <c r="AN85" s="543" cm="1">
        <f t="array" ref="AN85">AN$1*AN25*SUMPRODUCT(1*(input_MRB_EV=input_data!$C$55:$C$57),input_data!$F$55:$F$57)</f>
        <v>599.17041948072915</v>
      </c>
      <c r="AO85" s="543" cm="1">
        <f t="array" ref="AO85">AO$1*AO25*SUMPRODUCT(1*(input_MRB_EV=input_data!$C$55:$C$57),input_data!$F$55:$F$57)</f>
        <v>602.0160329601888</v>
      </c>
      <c r="AP85" s="543" cm="1">
        <f t="array" ref="AP85">AP$1*AP25*SUMPRODUCT(1*(input_MRB_EV=input_data!$C$55:$C$57),input_data!$F$55:$F$57)</f>
        <v>604.87516098544575</v>
      </c>
      <c r="AQ85" s="543" cm="1">
        <f t="array" ref="AQ85">AQ$1*AQ25*SUMPRODUCT(1*(input_MRB_EV=input_data!$C$55:$C$57),input_data!$F$55:$F$57)</f>
        <v>607.74786774053257</v>
      </c>
      <c r="AR85" s="543" cm="1">
        <f t="array" ref="AR85">AR$1*AR25*SUMPRODUCT(1*(input_MRB_EV=input_data!$C$55:$C$57),input_data!$F$55:$F$57)</f>
        <v>610.63421771430808</v>
      </c>
      <c r="AS85" s="543" cm="1">
        <f t="array" ref="AS85">AS$1*AS25*SUMPRODUCT(1*(input_MRB_EV=input_data!$C$55:$C$57),input_data!$F$55:$F$57)</f>
        <v>613.53427570190536</v>
      </c>
      <c r="AT85" s="543" cm="1">
        <f t="array" ref="AT85">AT$1*AT25*SUMPRODUCT(1*(input_MRB_EV=input_data!$C$55:$C$57),input_data!$F$55:$F$57)</f>
        <v>616.44810680618593</v>
      </c>
      <c r="AU85" s="543" cm="1">
        <f t="array" ref="AU85">AU$1*AU25*SUMPRODUCT(1*(input_MRB_EV=input_data!$C$55:$C$57),input_data!$F$55:$F$57)</f>
        <v>619.37577643920167</v>
      </c>
      <c r="AV85" s="543" cm="1">
        <f t="array" ref="AV85">AV$1*AV25*SUMPRODUCT(1*(input_MRB_EV=input_data!$C$55:$C$57),input_data!$F$55:$F$57)</f>
        <v>622.31735032366282</v>
      </c>
      <c r="AW85" s="543" cm="1">
        <f t="array" ref="AW85">AW$1*AW25*SUMPRODUCT(1*(input_MRB_EV=input_data!$C$55:$C$57),input_data!$F$55:$F$57)</f>
        <v>625.27289449441366</v>
      </c>
      <c r="AX85" s="543" cm="1">
        <f t="array" ref="AX85">AX$1*AX25*SUMPRODUCT(1*(input_MRB_EV=input_data!$C$55:$C$57),input_data!$F$55:$F$57)</f>
        <v>628.24247529991476</v>
      </c>
      <c r="AY85" s="543" cm="1">
        <f t="array" ref="AY85">AY$1*AY25*SUMPRODUCT(1*(input_MRB_EV=input_data!$C$55:$C$57),input_data!$F$55:$F$57)</f>
        <v>631.22615940373259</v>
      </c>
      <c r="AZ85" s="543" cm="1">
        <f t="array" ref="AZ85">AZ$1*AZ25*SUMPRODUCT(1*(input_MRB_EV=input_data!$C$55:$C$57),input_data!$F$55:$F$57)</f>
        <v>634.22401378603581</v>
      </c>
      <c r="BA85" s="543" cm="1">
        <f t="array" ref="BA85">BA$1*BA25*SUMPRODUCT(1*(input_MRB_EV=input_data!$C$55:$C$57),input_data!$F$55:$F$57)</f>
        <v>637.23610574509917</v>
      </c>
      <c r="BB85" s="543" cm="1">
        <f t="array" ref="BB85">BB$1*BB25*SUMPRODUCT(1*(input_MRB_EV=input_data!$C$55:$C$57),input_data!$F$55:$F$57)</f>
        <v>640.26250289881398</v>
      </c>
      <c r="BC85" s="543" cm="1">
        <f t="array" ref="BC85">BC$1*BC25*SUMPRODUCT(1*(input_MRB_EV=input_data!$C$55:$C$57),input_data!$F$55:$F$57)</f>
        <v>643.3032731862063</v>
      </c>
    </row>
    <row r="86" spans="8:55" x14ac:dyDescent="0.3">
      <c r="H86" s="542" t="str">
        <f>input_names!$D$3</f>
        <v>Elektrisch</v>
      </c>
      <c r="I86" s="542" t="s">
        <v>1497</v>
      </c>
      <c r="J86" s="543" cm="1">
        <f t="array" ref="J86">J$1*J26*SUMPRODUCT(1*(input_MRB_EV=input_data!$C$55:$C$57),input_data!$F$55:$F$57)</f>
        <v>0</v>
      </c>
      <c r="K86" s="543" cm="1">
        <f t="array" ref="K86">K$1*K26*SUMPRODUCT(1*(input_MRB_EV=input_data!$C$55:$C$57),input_data!$F$55:$F$57)</f>
        <v>0</v>
      </c>
      <c r="L86" s="543" cm="1">
        <f t="array" ref="L86">L$1*L26*SUMPRODUCT(1*(input_MRB_EV=input_data!$C$55:$C$57),input_data!$F$55:$F$57)</f>
        <v>0</v>
      </c>
      <c r="M86" s="543" cm="1">
        <f t="array" ref="M86">M$1*M26*SUMPRODUCT(1*(input_MRB_EV=input_data!$C$55:$C$57),input_data!$F$55:$F$57)</f>
        <v>0</v>
      </c>
      <c r="N86" s="543" cm="1">
        <f t="array" ref="N86">N$1*N26*SUMPRODUCT(1*(input_MRB_EV=input_data!$C$55:$C$57),input_data!$F$55:$F$57)</f>
        <v>0</v>
      </c>
      <c r="O86" s="543" cm="1">
        <f t="array" ref="O86">O$1*O26*SUMPRODUCT(1*(input_MRB_EV=input_data!$C$55:$C$57),input_data!$F$55:$F$57)</f>
        <v>0</v>
      </c>
      <c r="P86" s="543" cm="1">
        <f t="array" ref="P86">P$1*P26*SUMPRODUCT(1*(input_MRB_EV=input_data!$C$55:$C$57),input_data!$F$55:$F$57)</f>
        <v>0</v>
      </c>
      <c r="Q86" s="543" cm="1">
        <f t="array" ref="Q86">Q$1*Q26*SUMPRODUCT(1*(input_MRB_EV=input_data!$C$55:$C$57),input_data!$F$55:$F$57)</f>
        <v>0</v>
      </c>
      <c r="R86" s="543" cm="1">
        <f t="array" ref="R86">R$1*R26*SUMPRODUCT(1*(input_MRB_EV=input_data!$C$55:$C$57),input_data!$F$55:$F$57)</f>
        <v>0</v>
      </c>
      <c r="S86" s="543" cm="1">
        <f t="array" ref="S86">S$1*S26*SUMPRODUCT(1*(input_MRB_EV=input_data!$C$55:$C$57),input_data!$F$55:$F$57)</f>
        <v>143.25</v>
      </c>
      <c r="T86" s="543" cm="1">
        <f t="array" ref="T86">T$1*T26*SUMPRODUCT(1*(input_MRB_EV=input_data!$C$55:$C$57),input_data!$F$55:$F$57)</f>
        <v>429.75</v>
      </c>
      <c r="U86" s="543" cm="1">
        <f t="array" ref="U86">U$1*U26*SUMPRODUCT(1*(input_MRB_EV=input_data!$C$55:$C$57),input_data!$F$55:$F$57)</f>
        <v>431.79099260083228</v>
      </c>
      <c r="V86" s="543" cm="1">
        <f t="array" ref="V86">V$1*V26*SUMPRODUCT(1*(input_MRB_EV=input_data!$C$55:$C$57),input_data!$F$55:$F$57)</f>
        <v>433.84167839723563</v>
      </c>
      <c r="W86" s="543" cm="1">
        <f t="array" ref="W86">W$1*W26*SUMPRODUCT(1*(input_MRB_EV=input_data!$C$55:$C$57),input_data!$F$55:$F$57)</f>
        <v>435.90210342467344</v>
      </c>
      <c r="X86" s="543" cm="1">
        <f t="array" ref="X86">X$1*X26*SUMPRODUCT(1*(input_MRB_EV=input_data!$C$55:$C$57),input_data!$F$55:$F$57)</f>
        <v>437.9723139372436</v>
      </c>
      <c r="Y86" s="543" cm="1">
        <f t="array" ref="Y86">Y$1*Y26*SUMPRODUCT(1*(input_MRB_EV=input_data!$C$55:$C$57),input_data!$F$55:$F$57)</f>
        <v>586.7364752116215</v>
      </c>
      <c r="Z86" s="543" cm="1">
        <f t="array" ref="Z86">Z$1*Z26*SUMPRODUCT(1*(input_MRB_EV=input_data!$C$55:$C$57),input_data!$F$55:$F$57)</f>
        <v>589.52303671143613</v>
      </c>
      <c r="AA86" s="543" cm="1">
        <f t="array" ref="AA86">AA$1*AA26*SUMPRODUCT(1*(input_MRB_EV=input_data!$C$55:$C$57),input_data!$F$55:$F$57)</f>
        <v>592.32283230410223</v>
      </c>
      <c r="AB86" s="543" cm="1">
        <f t="array" ref="AB86">AB$1*AB26*SUMPRODUCT(1*(input_MRB_EV=input_data!$C$55:$C$57),input_data!$F$55:$F$57)</f>
        <v>595.13592484170942</v>
      </c>
      <c r="AC86" s="543" cm="1">
        <f t="array" ref="AC86">AC$1*AC26*SUMPRODUCT(1*(input_MRB_EV=input_data!$C$55:$C$57),input_data!$F$55:$F$57)</f>
        <v>597.96237747484827</v>
      </c>
      <c r="AD86" s="543" cm="1">
        <f t="array" ref="AD86">AD$1*AD26*SUMPRODUCT(1*(input_MRB_EV=input_data!$C$55:$C$57),input_data!$F$55:$F$57)</f>
        <v>600.80225365402748</v>
      </c>
      <c r="AE86" s="543" cm="1">
        <f t="array" ref="AE86">AE$1*AE26*SUMPRODUCT(1*(input_MRB_EV=input_data!$C$55:$C$57),input_data!$F$55:$F$57)</f>
        <v>603.65561713109844</v>
      </c>
      <c r="AF86" s="543" cm="1">
        <f t="array" ref="AF86">AF$1*AF26*SUMPRODUCT(1*(input_MRB_EV=input_data!$C$55:$C$57),input_data!$F$55:$F$57)</f>
        <v>606.52253196068636</v>
      </c>
      <c r="AG86" s="543" cm="1">
        <f t="array" ref="AG86">AG$1*AG26*SUMPRODUCT(1*(input_MRB_EV=input_data!$C$55:$C$57),input_data!$F$55:$F$57)</f>
        <v>609.40306250162837</v>
      </c>
      <c r="AH86" s="543" cm="1">
        <f t="array" ref="AH86">AH$1*AH26*SUMPRODUCT(1*(input_MRB_EV=input_data!$C$55:$C$57),input_data!$F$55:$F$57)</f>
        <v>612.29727341841806</v>
      </c>
      <c r="AI86" s="543" cm="1">
        <f t="array" ref="AI86">AI$1*AI26*SUMPRODUCT(1*(input_MRB_EV=input_data!$C$55:$C$57),input_data!$F$55:$F$57)</f>
        <v>615.2052296826572</v>
      </c>
      <c r="AJ86" s="543" cm="1">
        <f t="array" ref="AJ86">AJ$1*AJ26*SUMPRODUCT(1*(input_MRB_EV=input_data!$C$55:$C$57),input_data!$F$55:$F$57)</f>
        <v>618.12699657451446</v>
      </c>
      <c r="AK86" s="543" cm="1">
        <f t="array" ref="AK86">AK$1*AK26*SUMPRODUCT(1*(input_MRB_EV=input_data!$C$55:$C$57),input_data!$F$55:$F$57)</f>
        <v>621.06263968419046</v>
      </c>
      <c r="AL86" s="543" cm="1">
        <f t="array" ref="AL86">AL$1*AL26*SUMPRODUCT(1*(input_MRB_EV=input_data!$C$55:$C$57),input_data!$F$55:$F$57)</f>
        <v>624.0122249133907</v>
      </c>
      <c r="AM86" s="543" cm="1">
        <f t="array" ref="AM86">AM$1*AM26*SUMPRODUCT(1*(input_MRB_EV=input_data!$C$55:$C$57),input_data!$F$55:$F$57)</f>
        <v>626.97581847680465</v>
      </c>
      <c r="AN86" s="543" cm="1">
        <f t="array" ref="AN86">AN$1*AN26*SUMPRODUCT(1*(input_MRB_EV=input_data!$C$55:$C$57),input_data!$F$55:$F$57)</f>
        <v>629.95348690359219</v>
      </c>
      <c r="AO86" s="543" cm="1">
        <f t="array" ref="AO86">AO$1*AO26*SUMPRODUCT(1*(input_MRB_EV=input_data!$C$55:$C$57),input_data!$F$55:$F$57)</f>
        <v>632.94529703887724</v>
      </c>
      <c r="AP86" s="543" cm="1">
        <f t="array" ref="AP86">AP$1*AP26*SUMPRODUCT(1*(input_MRB_EV=input_data!$C$55:$C$57),input_data!$F$55:$F$57)</f>
        <v>635.95131604524829</v>
      </c>
      <c r="AQ86" s="543" cm="1">
        <f t="array" ref="AQ86">AQ$1*AQ26*SUMPRODUCT(1*(input_MRB_EV=input_data!$C$55:$C$57),input_data!$F$55:$F$57)</f>
        <v>638.97161140426613</v>
      </c>
      <c r="AR86" s="543" cm="1">
        <f t="array" ref="AR86">AR$1*AR26*SUMPRODUCT(1*(input_MRB_EV=input_data!$C$55:$C$57),input_data!$F$55:$F$57)</f>
        <v>642.00625091797872</v>
      </c>
      <c r="AS86" s="543" cm="1">
        <f t="array" ref="AS86">AS$1*AS26*SUMPRODUCT(1*(input_MRB_EV=input_data!$C$55:$C$57),input_data!$F$55:$F$57)</f>
        <v>645.05530271044336</v>
      </c>
      <c r="AT86" s="543" cm="1">
        <f t="array" ref="AT86">AT$1*AT26*SUMPRODUCT(1*(input_MRB_EV=input_data!$C$55:$C$57),input_data!$F$55:$F$57)</f>
        <v>648.11883522925586</v>
      </c>
      <c r="AU86" s="543" cm="1">
        <f t="array" ref="AU86">AU$1*AU26*SUMPRODUCT(1*(input_MRB_EV=input_data!$C$55:$C$57),input_data!$F$55:$F$57)</f>
        <v>651.19691724708707</v>
      </c>
      <c r="AV86" s="543" cm="1">
        <f t="array" ref="AV86">AV$1*AV26*SUMPRODUCT(1*(input_MRB_EV=input_data!$C$55:$C$57),input_data!$F$55:$F$57)</f>
        <v>654.28961786322691</v>
      </c>
      <c r="AW86" s="543" cm="1">
        <f t="array" ref="AW86">AW$1*AW26*SUMPRODUCT(1*(input_MRB_EV=input_data!$C$55:$C$57),input_data!$F$55:$F$57)</f>
        <v>657.39700650513555</v>
      </c>
      <c r="AX86" s="543" cm="1">
        <f t="array" ref="AX86">AX$1*AX26*SUMPRODUCT(1*(input_MRB_EV=input_data!$C$55:$C$57),input_data!$F$55:$F$57)</f>
        <v>660.51915293000184</v>
      </c>
      <c r="AY86" s="543" cm="1">
        <f t="array" ref="AY86">AY$1*AY26*SUMPRODUCT(1*(input_MRB_EV=input_data!$C$55:$C$57),input_data!$F$55:$F$57)</f>
        <v>663.65612722630931</v>
      </c>
      <c r="AZ86" s="543" cm="1">
        <f t="array" ref="AZ86">AZ$1*AZ26*SUMPRODUCT(1*(input_MRB_EV=input_data!$C$55:$C$57),input_data!$F$55:$F$57)</f>
        <v>666.80799981540974</v>
      </c>
      <c r="BA86" s="543" cm="1">
        <f t="array" ref="BA86">BA$1*BA26*SUMPRODUCT(1*(input_MRB_EV=input_data!$C$55:$C$57),input_data!$F$55:$F$57)</f>
        <v>669.97484145310386</v>
      </c>
      <c r="BB86" s="543" cm="1">
        <f t="array" ref="BB86">BB$1*BB26*SUMPRODUCT(1*(input_MRB_EV=input_data!$C$55:$C$57),input_data!$F$55:$F$57)</f>
        <v>673.15672323122976</v>
      </c>
      <c r="BC86" s="543" cm="1">
        <f t="array" ref="BC86">BC$1*BC26*SUMPRODUCT(1*(input_MRB_EV=input_data!$C$55:$C$57),input_data!$F$55:$F$57)</f>
        <v>676.35371657925873</v>
      </c>
    </row>
    <row r="87" spans="8:55" x14ac:dyDescent="0.3">
      <c r="H87" s="542" t="str">
        <f>input_names!$D$3</f>
        <v>Elektrisch</v>
      </c>
      <c r="I87" s="542" t="s">
        <v>1498</v>
      </c>
      <c r="J87" s="543" cm="1">
        <f t="array" ref="J87">J$1*J27*SUMPRODUCT(1*(input_MRB_EV=input_data!$C$55:$C$57),input_data!$F$55:$F$57)</f>
        <v>0</v>
      </c>
      <c r="K87" s="543" cm="1">
        <f t="array" ref="K87">K$1*K27*SUMPRODUCT(1*(input_MRB_EV=input_data!$C$55:$C$57),input_data!$F$55:$F$57)</f>
        <v>0</v>
      </c>
      <c r="L87" s="543" cm="1">
        <f t="array" ref="L87">L$1*L27*SUMPRODUCT(1*(input_MRB_EV=input_data!$C$55:$C$57),input_data!$F$55:$F$57)</f>
        <v>0</v>
      </c>
      <c r="M87" s="543" cm="1">
        <f t="array" ref="M87">M$1*M27*SUMPRODUCT(1*(input_MRB_EV=input_data!$C$55:$C$57),input_data!$F$55:$F$57)</f>
        <v>0</v>
      </c>
      <c r="N87" s="543" cm="1">
        <f t="array" ref="N87">N$1*N27*SUMPRODUCT(1*(input_MRB_EV=input_data!$C$55:$C$57),input_data!$F$55:$F$57)</f>
        <v>0</v>
      </c>
      <c r="O87" s="543" cm="1">
        <f t="array" ref="O87">O$1*O27*SUMPRODUCT(1*(input_MRB_EV=input_data!$C$55:$C$57),input_data!$F$55:$F$57)</f>
        <v>0</v>
      </c>
      <c r="P87" s="543" cm="1">
        <f t="array" ref="P87">P$1*P27*SUMPRODUCT(1*(input_MRB_EV=input_data!$C$55:$C$57),input_data!$F$55:$F$57)</f>
        <v>0</v>
      </c>
      <c r="Q87" s="543" cm="1">
        <f t="array" ref="Q87">Q$1*Q27*SUMPRODUCT(1*(input_MRB_EV=input_data!$C$55:$C$57),input_data!$F$55:$F$57)</f>
        <v>0</v>
      </c>
      <c r="R87" s="543" cm="1">
        <f t="array" ref="R87">R$1*R27*SUMPRODUCT(1*(input_MRB_EV=input_data!$C$55:$C$57),input_data!$F$55:$F$57)</f>
        <v>0</v>
      </c>
      <c r="S87" s="543" cm="1">
        <f t="array" ref="S87">S$1*S27*SUMPRODUCT(1*(input_MRB_EV=input_data!$C$55:$C$57),input_data!$F$55:$F$57)</f>
        <v>150.25</v>
      </c>
      <c r="T87" s="543" cm="1">
        <f t="array" ref="T87">T$1*T27*SUMPRODUCT(1*(input_MRB_EV=input_data!$C$55:$C$57),input_data!$F$55:$F$57)</f>
        <v>450.75</v>
      </c>
      <c r="U87" s="543" cm="1">
        <f t="array" ref="U87">U$1*U27*SUMPRODUCT(1*(input_MRB_EV=input_data!$C$55:$C$57),input_data!$F$55:$F$57)</f>
        <v>452.89072696876133</v>
      </c>
      <c r="V87" s="543" cm="1">
        <f t="array" ref="V87">V$1*V27*SUMPRODUCT(1*(input_MRB_EV=input_data!$C$55:$C$57),input_data!$F$55:$F$57)</f>
        <v>455.04162079710056</v>
      </c>
      <c r="W87" s="543" cm="1">
        <f t="array" ref="W87">W$1*W27*SUMPRODUCT(1*(input_MRB_EV=input_data!$C$55:$C$57),input_data!$F$55:$F$57)</f>
        <v>457.20272977003282</v>
      </c>
      <c r="X87" s="543" cm="1">
        <f t="array" ref="X87">X$1*X27*SUMPRODUCT(1*(input_MRB_EV=input_data!$C$55:$C$57),input_data!$F$55:$F$57)</f>
        <v>459.37410240189081</v>
      </c>
      <c r="Y87" s="543" cm="1">
        <f t="array" ref="Y87">Y$1*Y27*SUMPRODUCT(1*(input_MRB_EV=input_data!$C$55:$C$57),input_data!$F$55:$F$57)</f>
        <v>615.40771658321921</v>
      </c>
      <c r="Z87" s="543" cm="1">
        <f t="array" ref="Z87">Z$1*Z27*SUMPRODUCT(1*(input_MRB_EV=input_data!$C$55:$C$57),input_data!$F$55:$F$57)</f>
        <v>618.33044513712605</v>
      </c>
      <c r="AA87" s="543" cm="1">
        <f t="array" ref="AA87">AA$1*AA27*SUMPRODUCT(1*(input_MRB_EV=input_data!$C$55:$C$57),input_data!$F$55:$F$57)</f>
        <v>621.26705447603058</v>
      </c>
      <c r="AB87" s="543" cm="1">
        <f t="array" ref="AB87">AB$1*AB27*SUMPRODUCT(1*(input_MRB_EV=input_data!$C$55:$C$57),input_data!$F$55:$F$57)</f>
        <v>624.21761052332897</v>
      </c>
      <c r="AC87" s="543" cm="1">
        <f t="array" ref="AC87">AC$1*AC27*SUMPRODUCT(1*(input_MRB_EV=input_data!$C$55:$C$57),input_data!$F$55:$F$57)</f>
        <v>627.18217951550423</v>
      </c>
      <c r="AD87" s="543" cm="1">
        <f t="array" ref="AD87">AD$1*AD27*SUMPRODUCT(1*(input_MRB_EV=input_data!$C$55:$C$57),input_data!$F$55:$F$57)</f>
        <v>630.16082800361369</v>
      </c>
      <c r="AE87" s="543" cm="1">
        <f t="array" ref="AE87">AE$1*AE27*SUMPRODUCT(1*(input_MRB_EV=input_data!$C$55:$C$57),input_data!$F$55:$F$57)</f>
        <v>633.15362285478238</v>
      </c>
      <c r="AF87" s="543" cm="1">
        <f t="array" ref="AF87">AF$1*AF27*SUMPRODUCT(1*(input_MRB_EV=input_data!$C$55:$C$57),input_data!$F$55:$F$57)</f>
        <v>636.16063125370454</v>
      </c>
      <c r="AG87" s="543" cm="1">
        <f t="array" ref="AG87">AG$1*AG27*SUMPRODUCT(1*(input_MRB_EV=input_data!$C$55:$C$57),input_data!$F$55:$F$57)</f>
        <v>639.18192070415159</v>
      </c>
      <c r="AH87" s="543" cm="1">
        <f t="array" ref="AH87">AH$1*AH27*SUMPRODUCT(1*(input_MRB_EV=input_data!$C$55:$C$57),input_data!$F$55:$F$57)</f>
        <v>642.21755903048768</v>
      </c>
      <c r="AI87" s="543" cm="1">
        <f t="array" ref="AI87">AI$1*AI27*SUMPRODUCT(1*(input_MRB_EV=input_data!$C$55:$C$57),input_data!$F$55:$F$57)</f>
        <v>645.26761437919231</v>
      </c>
      <c r="AJ87" s="543" cm="1">
        <f t="array" ref="AJ87">AJ$1*AJ27*SUMPRODUCT(1*(input_MRB_EV=input_data!$C$55:$C$57),input_data!$F$55:$F$57)</f>
        <v>648.33215522038984</v>
      </c>
      <c r="AK87" s="543" cm="1">
        <f t="array" ref="AK87">AK$1*AK27*SUMPRODUCT(1*(input_MRB_EV=input_data!$C$55:$C$57),input_data!$F$55:$F$57)</f>
        <v>651.41125034938693</v>
      </c>
      <c r="AL87" s="543" cm="1">
        <f t="array" ref="AL87">AL$1*AL27*SUMPRODUCT(1*(input_MRB_EV=input_data!$C$55:$C$57),input_data!$F$55:$F$57)</f>
        <v>654.50496888821658</v>
      </c>
      <c r="AM87" s="543" cm="1">
        <f t="array" ref="AM87">AM$1*AM27*SUMPRODUCT(1*(input_MRB_EV=input_data!$C$55:$C$57),input_data!$F$55:$F$57)</f>
        <v>657.61338028719001</v>
      </c>
      <c r="AN87" s="543" cm="1">
        <f t="array" ref="AN87">AN$1*AN27*SUMPRODUCT(1*(input_MRB_EV=input_data!$C$55:$C$57),input_data!$F$55:$F$57)</f>
        <v>660.7365543264558</v>
      </c>
      <c r="AO87" s="543" cm="1">
        <f t="array" ref="AO87">AO$1*AO27*SUMPRODUCT(1*(input_MRB_EV=input_data!$C$55:$C$57),input_data!$F$55:$F$57)</f>
        <v>663.87456111756626</v>
      </c>
      <c r="AP87" s="543" cm="1">
        <f t="array" ref="AP87">AP$1*AP27*SUMPRODUCT(1*(input_MRB_EV=input_data!$C$55:$C$57),input_data!$F$55:$F$57)</f>
        <v>667.0274711050514</v>
      </c>
      <c r="AQ87" s="543" cm="1">
        <f t="array" ref="AQ87">AQ$1*AQ27*SUMPRODUCT(1*(input_MRB_EV=input_data!$C$55:$C$57),input_data!$F$55:$F$57)</f>
        <v>670.19535506800037</v>
      </c>
      <c r="AR87" s="543" cm="1">
        <f t="array" ref="AR87">AR$1*AR27*SUMPRODUCT(1*(input_MRB_EV=input_data!$C$55:$C$57),input_data!$F$55:$F$57)</f>
        <v>673.37828412165004</v>
      </c>
      <c r="AS87" s="543" cm="1">
        <f t="array" ref="AS87">AS$1*AS27*SUMPRODUCT(1*(input_MRB_EV=input_data!$C$55:$C$57),input_data!$F$55:$F$57)</f>
        <v>676.57632971898204</v>
      </c>
      <c r="AT87" s="543" cm="1">
        <f t="array" ref="AT87">AT$1*AT27*SUMPRODUCT(1*(input_MRB_EV=input_data!$C$55:$C$57),input_data!$F$55:$F$57)</f>
        <v>679.78956365232636</v>
      </c>
      <c r="AU87" s="543" cm="1">
        <f t="array" ref="AU87">AU$1*AU27*SUMPRODUCT(1*(input_MRB_EV=input_data!$C$55:$C$57),input_data!$F$55:$F$57)</f>
        <v>683.01805805497304</v>
      </c>
      <c r="AV87" s="543" cm="1">
        <f t="array" ref="AV87">AV$1*AV27*SUMPRODUCT(1*(input_MRB_EV=input_data!$C$55:$C$57),input_data!$F$55:$F$57)</f>
        <v>686.26188540279168</v>
      </c>
      <c r="AW87" s="543" cm="1">
        <f t="array" ref="AW87">AW$1*AW27*SUMPRODUCT(1*(input_MRB_EV=input_data!$C$55:$C$57),input_data!$F$55:$F$57)</f>
        <v>689.52111851585812</v>
      </c>
      <c r="AX87" s="543" cm="1">
        <f t="array" ref="AX87">AX$1*AX27*SUMPRODUCT(1*(input_MRB_EV=input_data!$C$55:$C$57),input_data!$F$55:$F$57)</f>
        <v>692.7958305600896</v>
      </c>
      <c r="AY87" s="543" cm="1">
        <f t="array" ref="AY87">AY$1*AY27*SUMPRODUCT(1*(input_MRB_EV=input_data!$C$55:$C$57),input_data!$F$55:$F$57)</f>
        <v>696.08609504888682</v>
      </c>
      <c r="AZ87" s="543" cm="1">
        <f t="array" ref="AZ87">AZ$1*AZ27*SUMPRODUCT(1*(input_MRB_EV=input_data!$C$55:$C$57),input_data!$F$55:$F$57)</f>
        <v>699.39198584478447</v>
      </c>
      <c r="BA87" s="543" cm="1">
        <f t="array" ref="BA87">BA$1*BA27*SUMPRODUCT(1*(input_MRB_EV=input_data!$C$55:$C$57),input_data!$F$55:$F$57)</f>
        <v>702.71357716110936</v>
      </c>
      <c r="BB87" s="543" cm="1">
        <f t="array" ref="BB87">BB$1*BB27*SUMPRODUCT(1*(input_MRB_EV=input_data!$C$55:$C$57),input_data!$F$55:$F$57)</f>
        <v>706.05094356364623</v>
      </c>
      <c r="BC87" s="543" cm="1">
        <f t="array" ref="BC87">BC$1*BC27*SUMPRODUCT(1*(input_MRB_EV=input_data!$C$55:$C$57),input_data!$F$55:$F$57)</f>
        <v>709.40415997231185</v>
      </c>
    </row>
    <row r="88" spans="8:55" x14ac:dyDescent="0.3">
      <c r="H88" s="542" t="str">
        <f>input_names!$D$3</f>
        <v>Elektrisch</v>
      </c>
      <c r="I88" s="542" t="s">
        <v>1499</v>
      </c>
      <c r="J88" s="543" cm="1">
        <f t="array" ref="J88">J$1*J28*SUMPRODUCT(1*(input_MRB_EV=input_data!$C$55:$C$57),input_data!$F$55:$F$57)</f>
        <v>0</v>
      </c>
      <c r="K88" s="543" cm="1">
        <f t="array" ref="K88">K$1*K28*SUMPRODUCT(1*(input_MRB_EV=input_data!$C$55:$C$57),input_data!$F$55:$F$57)</f>
        <v>0</v>
      </c>
      <c r="L88" s="543" cm="1">
        <f t="array" ref="L88">L$1*L28*SUMPRODUCT(1*(input_MRB_EV=input_data!$C$55:$C$57),input_data!$F$55:$F$57)</f>
        <v>0</v>
      </c>
      <c r="M88" s="543" cm="1">
        <f t="array" ref="M88">M$1*M28*SUMPRODUCT(1*(input_MRB_EV=input_data!$C$55:$C$57),input_data!$F$55:$F$57)</f>
        <v>0</v>
      </c>
      <c r="N88" s="543" cm="1">
        <f t="array" ref="N88">N$1*N28*SUMPRODUCT(1*(input_MRB_EV=input_data!$C$55:$C$57),input_data!$F$55:$F$57)</f>
        <v>0</v>
      </c>
      <c r="O88" s="543" cm="1">
        <f t="array" ref="O88">O$1*O28*SUMPRODUCT(1*(input_MRB_EV=input_data!$C$55:$C$57),input_data!$F$55:$F$57)</f>
        <v>0</v>
      </c>
      <c r="P88" s="543" cm="1">
        <f t="array" ref="P88">P$1*P28*SUMPRODUCT(1*(input_MRB_EV=input_data!$C$55:$C$57),input_data!$F$55:$F$57)</f>
        <v>0</v>
      </c>
      <c r="Q88" s="543" cm="1">
        <f t="array" ref="Q88">Q$1*Q28*SUMPRODUCT(1*(input_MRB_EV=input_data!$C$55:$C$57),input_data!$F$55:$F$57)</f>
        <v>0</v>
      </c>
      <c r="R88" s="543" cm="1">
        <f t="array" ref="R88">R$1*R28*SUMPRODUCT(1*(input_MRB_EV=input_data!$C$55:$C$57),input_data!$F$55:$F$57)</f>
        <v>0</v>
      </c>
      <c r="S88" s="543" cm="1">
        <f t="array" ref="S88">S$1*S28*SUMPRODUCT(1*(input_MRB_EV=input_data!$C$55:$C$57),input_data!$F$55:$F$57)</f>
        <v>157.25</v>
      </c>
      <c r="T88" s="543" cm="1">
        <f t="array" ref="T88">T$1*T28*SUMPRODUCT(1*(input_MRB_EV=input_data!$C$55:$C$57),input_data!$F$55:$F$57)</f>
        <v>471.75</v>
      </c>
      <c r="U88" s="543" cm="1">
        <f t="array" ref="U88">U$1*U28*SUMPRODUCT(1*(input_MRB_EV=input_data!$C$55:$C$57),input_data!$F$55:$F$57)</f>
        <v>473.99046133669026</v>
      </c>
      <c r="V88" s="543" cm="1">
        <f t="array" ref="V88">V$1*V28*SUMPRODUCT(1*(input_MRB_EV=input_data!$C$55:$C$57),input_data!$F$55:$F$57)</f>
        <v>476.2415631969655</v>
      </c>
      <c r="W88" s="543" cm="1">
        <f t="array" ref="W88">W$1*W28*SUMPRODUCT(1*(input_MRB_EV=input_data!$C$55:$C$57),input_data!$F$55:$F$57)</f>
        <v>478.50335611539208</v>
      </c>
      <c r="X88" s="543" cm="1">
        <f t="array" ref="X88">X$1*X28*SUMPRODUCT(1*(input_MRB_EV=input_data!$C$55:$C$57),input_data!$F$55:$F$57)</f>
        <v>480.77589086653791</v>
      </c>
      <c r="Y88" s="543" cm="1">
        <f t="array" ref="Y88">Y$1*Y28*SUMPRODUCT(1*(input_MRB_EV=input_data!$C$55:$C$57),input_data!$F$55:$F$57)</f>
        <v>644.0789579548167</v>
      </c>
      <c r="Z88" s="543" cm="1">
        <f t="array" ref="Z88">Z$1*Z28*SUMPRODUCT(1*(input_MRB_EV=input_data!$C$55:$C$57),input_data!$F$55:$F$57)</f>
        <v>647.13785356281574</v>
      </c>
      <c r="AA88" s="543" cm="1">
        <f t="array" ref="AA88">AA$1*AA28*SUMPRODUCT(1*(input_MRB_EV=input_data!$C$55:$C$57),input_data!$F$55:$F$57)</f>
        <v>650.2112766479587</v>
      </c>
      <c r="AB88" s="543" cm="1">
        <f t="array" ref="AB88">AB$1*AB28*SUMPRODUCT(1*(input_MRB_EV=input_data!$C$55:$C$57),input_data!$F$55:$F$57)</f>
        <v>653.29929620494818</v>
      </c>
      <c r="AC88" s="543" cm="1">
        <f t="array" ref="AC88">AC$1*AC28*SUMPRODUCT(1*(input_MRB_EV=input_data!$C$55:$C$57),input_data!$F$55:$F$57)</f>
        <v>656.40198155615997</v>
      </c>
      <c r="AD88" s="543" cm="1">
        <f t="array" ref="AD88">AD$1*AD28*SUMPRODUCT(1*(input_MRB_EV=input_data!$C$55:$C$57),input_data!$F$55:$F$57)</f>
        <v>659.51940235319967</v>
      </c>
      <c r="AE88" s="543" cm="1">
        <f t="array" ref="AE88">AE$1*AE28*SUMPRODUCT(1*(input_MRB_EV=input_data!$C$55:$C$57),input_data!$F$55:$F$57)</f>
        <v>662.65162857846599</v>
      </c>
      <c r="AF88" s="543" cm="1">
        <f t="array" ref="AF88">AF$1*AF28*SUMPRODUCT(1*(input_MRB_EV=input_data!$C$55:$C$57),input_data!$F$55:$F$57)</f>
        <v>665.79873054672225</v>
      </c>
      <c r="AG88" s="543" cm="1">
        <f t="array" ref="AG88">AG$1*AG28*SUMPRODUCT(1*(input_MRB_EV=input_data!$C$55:$C$57),input_data!$F$55:$F$57)</f>
        <v>668.96077890667436</v>
      </c>
      <c r="AH88" s="543" cm="1">
        <f t="array" ref="AH88">AH$1*AH28*SUMPRODUCT(1*(input_MRB_EV=input_data!$C$55:$C$57),input_data!$F$55:$F$57)</f>
        <v>672.13784464255696</v>
      </c>
      <c r="AI88" s="543" cm="1">
        <f t="array" ref="AI88">AI$1*AI28*SUMPRODUCT(1*(input_MRB_EV=input_data!$C$55:$C$57),input_data!$F$55:$F$57)</f>
        <v>675.32999907572707</v>
      </c>
      <c r="AJ88" s="543" cm="1">
        <f t="array" ref="AJ88">AJ$1*AJ28*SUMPRODUCT(1*(input_MRB_EV=input_data!$C$55:$C$57),input_data!$F$55:$F$57)</f>
        <v>678.53731386626498</v>
      </c>
      <c r="AK88" s="543" cm="1">
        <f t="array" ref="AK88">AK$1*AK28*SUMPRODUCT(1*(input_MRB_EV=input_data!$C$55:$C$57),input_data!$F$55:$F$57)</f>
        <v>681.75986101458307</v>
      </c>
      <c r="AL88" s="543" cm="1">
        <f t="array" ref="AL88">AL$1*AL28*SUMPRODUCT(1*(input_MRB_EV=input_data!$C$55:$C$57),input_data!$F$55:$F$57)</f>
        <v>684.99771286304201</v>
      </c>
      <c r="AM88" s="543" cm="1">
        <f t="array" ref="AM88">AM$1*AM28*SUMPRODUCT(1*(input_MRB_EV=input_data!$C$55:$C$57),input_data!$F$55:$F$57)</f>
        <v>688.25094209757492</v>
      </c>
      <c r="AN88" s="543" cm="1">
        <f t="array" ref="AN88">AN$1*AN28*SUMPRODUCT(1*(input_MRB_EV=input_data!$C$55:$C$57),input_data!$F$55:$F$57)</f>
        <v>691.51962174931896</v>
      </c>
      <c r="AO88" s="543" cm="1">
        <f t="array" ref="AO88">AO$1*AO28*SUMPRODUCT(1*(input_MRB_EV=input_data!$C$55:$C$57),input_data!$F$55:$F$57)</f>
        <v>694.80382519625493</v>
      </c>
      <c r="AP88" s="543" cm="1">
        <f t="array" ref="AP88">AP$1*AP28*SUMPRODUCT(1*(input_MRB_EV=input_data!$C$55:$C$57),input_data!$F$55:$F$57)</f>
        <v>698.10362616485418</v>
      </c>
      <c r="AQ88" s="543" cm="1">
        <f t="array" ref="AQ88">AQ$1*AQ28*SUMPRODUCT(1*(input_MRB_EV=input_data!$C$55:$C$57),input_data!$F$55:$F$57)</f>
        <v>701.41909873173415</v>
      </c>
      <c r="AR88" s="543" cm="1">
        <f t="array" ref="AR88">AR$1*AR28*SUMPRODUCT(1*(input_MRB_EV=input_data!$C$55:$C$57),input_data!$F$55:$F$57)</f>
        <v>704.75031732532102</v>
      </c>
      <c r="AS88" s="543" cm="1">
        <f t="array" ref="AS88">AS$1*AS28*SUMPRODUCT(1*(input_MRB_EV=input_data!$C$55:$C$57),input_data!$F$55:$F$57)</f>
        <v>708.09735672752049</v>
      </c>
      <c r="AT88" s="543" cm="1">
        <f t="array" ref="AT88">AT$1*AT28*SUMPRODUCT(1*(input_MRB_EV=input_data!$C$55:$C$57),input_data!$F$55:$F$57)</f>
        <v>711.46029207539664</v>
      </c>
      <c r="AU88" s="543" cm="1">
        <f t="array" ref="AU88">AU$1*AU28*SUMPRODUCT(1*(input_MRB_EV=input_data!$C$55:$C$57),input_data!$F$55:$F$57)</f>
        <v>714.83919886285878</v>
      </c>
      <c r="AV88" s="543" cm="1">
        <f t="array" ref="AV88">AV$1*AV28*SUMPRODUCT(1*(input_MRB_EV=input_data!$C$55:$C$57),input_data!$F$55:$F$57)</f>
        <v>718.2341529423561</v>
      </c>
      <c r="AW88" s="543" cm="1">
        <f t="array" ref="AW88">AW$1*AW28*SUMPRODUCT(1*(input_MRB_EV=input_data!$C$55:$C$57),input_data!$F$55:$F$57)</f>
        <v>721.64523052658046</v>
      </c>
      <c r="AX88" s="543" cm="1">
        <f t="array" ref="AX88">AX$1*AX28*SUMPRODUCT(1*(input_MRB_EV=input_data!$C$55:$C$57),input_data!$F$55:$F$57)</f>
        <v>725.07250819017713</v>
      </c>
      <c r="AY88" s="543" cm="1">
        <f t="array" ref="AY88">AY$1*AY28*SUMPRODUCT(1*(input_MRB_EV=input_data!$C$55:$C$57),input_data!$F$55:$F$57)</f>
        <v>728.5160628714641</v>
      </c>
      <c r="AZ88" s="543" cm="1">
        <f t="array" ref="AZ88">AZ$1*AZ28*SUMPRODUCT(1*(input_MRB_EV=input_data!$C$55:$C$57),input_data!$F$55:$F$57)</f>
        <v>731.97597187415897</v>
      </c>
      <c r="BA88" s="543" cm="1">
        <f t="array" ref="BA88">BA$1*BA28*SUMPRODUCT(1*(input_MRB_EV=input_data!$C$55:$C$57),input_data!$F$55:$F$57)</f>
        <v>735.45231286911462</v>
      </c>
      <c r="BB88" s="543" cm="1">
        <f t="array" ref="BB88">BB$1*BB28*SUMPRODUCT(1*(input_MRB_EV=input_data!$C$55:$C$57),input_data!$F$55:$F$57)</f>
        <v>738.94516389606258</v>
      </c>
      <c r="BC88" s="543" cm="1">
        <f t="array" ref="BC88">BC$1*BC28*SUMPRODUCT(1*(input_MRB_EV=input_data!$C$55:$C$57),input_data!$F$55:$F$57)</f>
        <v>742.45460336536496</v>
      </c>
    </row>
    <row r="89" spans="8:55" x14ac:dyDescent="0.3">
      <c r="H89" s="542" t="str">
        <f>input_names!$D$3</f>
        <v>Elektrisch</v>
      </c>
      <c r="I89" s="542" t="s">
        <v>1500</v>
      </c>
      <c r="J89" s="543" cm="1">
        <f t="array" ref="J89">J$1*J29*SUMPRODUCT(1*(input_MRB_EV=input_data!$C$55:$C$57),input_data!$F$55:$F$57)</f>
        <v>0</v>
      </c>
      <c r="K89" s="543" cm="1">
        <f t="array" ref="K89">K$1*K29*SUMPRODUCT(1*(input_MRB_EV=input_data!$C$55:$C$57),input_data!$F$55:$F$57)</f>
        <v>0</v>
      </c>
      <c r="L89" s="543" cm="1">
        <f t="array" ref="L89">L$1*L29*SUMPRODUCT(1*(input_MRB_EV=input_data!$C$55:$C$57),input_data!$F$55:$F$57)</f>
        <v>0</v>
      </c>
      <c r="M89" s="543" cm="1">
        <f t="array" ref="M89">M$1*M29*SUMPRODUCT(1*(input_MRB_EV=input_data!$C$55:$C$57),input_data!$F$55:$F$57)</f>
        <v>0</v>
      </c>
      <c r="N89" s="543" cm="1">
        <f t="array" ref="N89">N$1*N29*SUMPRODUCT(1*(input_MRB_EV=input_data!$C$55:$C$57),input_data!$F$55:$F$57)</f>
        <v>0</v>
      </c>
      <c r="O89" s="543" cm="1">
        <f t="array" ref="O89">O$1*O29*SUMPRODUCT(1*(input_MRB_EV=input_data!$C$55:$C$57),input_data!$F$55:$F$57)</f>
        <v>0</v>
      </c>
      <c r="P89" s="543" cm="1">
        <f t="array" ref="P89">P$1*P29*SUMPRODUCT(1*(input_MRB_EV=input_data!$C$55:$C$57),input_data!$F$55:$F$57)</f>
        <v>0</v>
      </c>
      <c r="Q89" s="543" cm="1">
        <f t="array" ref="Q89">Q$1*Q29*SUMPRODUCT(1*(input_MRB_EV=input_data!$C$55:$C$57),input_data!$F$55:$F$57)</f>
        <v>0</v>
      </c>
      <c r="R89" s="543" cm="1">
        <f t="array" ref="R89">R$1*R29*SUMPRODUCT(1*(input_MRB_EV=input_data!$C$55:$C$57),input_data!$F$55:$F$57)</f>
        <v>0</v>
      </c>
      <c r="S89" s="543" cm="1">
        <f t="array" ref="S89">S$1*S29*SUMPRODUCT(1*(input_MRB_EV=input_data!$C$55:$C$57),input_data!$F$55:$F$57)</f>
        <v>164.25</v>
      </c>
      <c r="T89" s="543" cm="1">
        <f t="array" ref="T89">T$1*T29*SUMPRODUCT(1*(input_MRB_EV=input_data!$C$55:$C$57),input_data!$F$55:$F$57)</f>
        <v>492.75</v>
      </c>
      <c r="U89" s="543" cm="1">
        <f t="array" ref="U89">U$1*U29*SUMPRODUCT(1*(input_MRB_EV=input_data!$C$55:$C$57),input_data!$F$55:$F$57)</f>
        <v>495.0901957046193</v>
      </c>
      <c r="V89" s="543" cm="1">
        <f t="array" ref="V89">V$1*V29*SUMPRODUCT(1*(input_MRB_EV=input_data!$C$55:$C$57),input_data!$F$55:$F$57)</f>
        <v>497.44150559683044</v>
      </c>
      <c r="W89" s="543" cm="1">
        <f t="array" ref="W89">W$1*W29*SUMPRODUCT(1*(input_MRB_EV=input_data!$C$55:$C$57),input_data!$F$55:$F$57)</f>
        <v>499.80398246075134</v>
      </c>
      <c r="X89" s="543" cm="1">
        <f t="array" ref="X89">X$1*X29*SUMPRODUCT(1*(input_MRB_EV=input_data!$C$55:$C$57),input_data!$F$55:$F$57)</f>
        <v>502.17767933118512</v>
      </c>
      <c r="Y89" s="543" cm="1">
        <f t="array" ref="Y89">Y$1*Y29*SUMPRODUCT(1*(input_MRB_EV=input_data!$C$55:$C$57),input_data!$F$55:$F$57)</f>
        <v>672.7501993264143</v>
      </c>
      <c r="Z89" s="543" cm="1">
        <f t="array" ref="Z89">Z$1*Z29*SUMPRODUCT(1*(input_MRB_EV=input_data!$C$55:$C$57),input_data!$F$55:$F$57)</f>
        <v>675.94526198850542</v>
      </c>
      <c r="AA89" s="543" cm="1">
        <f t="array" ref="AA89">AA$1*AA29*SUMPRODUCT(1*(input_MRB_EV=input_data!$C$55:$C$57),input_data!$F$55:$F$57)</f>
        <v>679.15549881988693</v>
      </c>
      <c r="AB89" s="543" cm="1">
        <f t="array" ref="AB89">AB$1*AB29*SUMPRODUCT(1*(input_MRB_EV=input_data!$C$55:$C$57),input_data!$F$55:$F$57)</f>
        <v>682.3809818865675</v>
      </c>
      <c r="AC89" s="543" cm="1">
        <f t="array" ref="AC89">AC$1*AC29*SUMPRODUCT(1*(input_MRB_EV=input_data!$C$55:$C$57),input_data!$F$55:$F$57)</f>
        <v>685.6217835968157</v>
      </c>
      <c r="AD89" s="543" cm="1">
        <f t="array" ref="AD89">AD$1*AD29*SUMPRODUCT(1*(input_MRB_EV=input_data!$C$55:$C$57),input_data!$F$55:$F$57)</f>
        <v>688.87797670278553</v>
      </c>
      <c r="AE89" s="543" cm="1">
        <f t="array" ref="AE89">AE$1*AE29*SUMPRODUCT(1*(input_MRB_EV=input_data!$C$55:$C$57),input_data!$F$55:$F$57)</f>
        <v>692.14963430214959</v>
      </c>
      <c r="AF89" s="543" cm="1">
        <f t="array" ref="AF89">AF$1*AF29*SUMPRODUCT(1*(input_MRB_EV=input_data!$C$55:$C$57),input_data!$F$55:$F$57)</f>
        <v>695.43682983973997</v>
      </c>
      <c r="AG89" s="543" cm="1">
        <f t="array" ref="AG89">AG$1*AG29*SUMPRODUCT(1*(input_MRB_EV=input_data!$C$55:$C$57),input_data!$F$55:$F$57)</f>
        <v>698.73963710919702</v>
      </c>
      <c r="AH89" s="543" cm="1">
        <f t="array" ref="AH89">AH$1*AH29*SUMPRODUCT(1*(input_MRB_EV=input_data!$C$55:$C$57),input_data!$F$55:$F$57)</f>
        <v>702.05813025462601</v>
      </c>
      <c r="AI89" s="543" cm="1">
        <f t="array" ref="AI89">AI$1*AI29*SUMPRODUCT(1*(input_MRB_EV=input_data!$C$55:$C$57),input_data!$F$55:$F$57)</f>
        <v>705.3923837722615</v>
      </c>
      <c r="AJ89" s="543" cm="1">
        <f t="array" ref="AJ89">AJ$1*AJ29*SUMPRODUCT(1*(input_MRB_EV=input_data!$C$55:$C$57),input_data!$F$55:$F$57)</f>
        <v>708.74247251213967</v>
      </c>
      <c r="AK89" s="543" cm="1">
        <f t="array" ref="AK89">AK$1*AK29*SUMPRODUCT(1*(input_MRB_EV=input_data!$C$55:$C$57),input_data!$F$55:$F$57)</f>
        <v>712.10847167977875</v>
      </c>
      <c r="AL89" s="543" cm="1">
        <f t="array" ref="AL89">AL$1*AL29*SUMPRODUCT(1*(input_MRB_EV=input_data!$C$55:$C$57),input_data!$F$55:$F$57)</f>
        <v>715.49045683786699</v>
      </c>
      <c r="AM89" s="543" cm="1">
        <f t="array" ref="AM89">AM$1*AM29*SUMPRODUCT(1*(input_MRB_EV=input_data!$C$55:$C$57),input_data!$F$55:$F$57)</f>
        <v>718.88850390795938</v>
      </c>
      <c r="AN89" s="543" cm="1">
        <f t="array" ref="AN89">AN$1*AN29*SUMPRODUCT(1*(input_MRB_EV=input_data!$C$55:$C$57),input_data!$F$55:$F$57)</f>
        <v>722.30268917218177</v>
      </c>
      <c r="AO89" s="543" cm="1">
        <f t="array" ref="AO89">AO$1*AO29*SUMPRODUCT(1*(input_MRB_EV=input_data!$C$55:$C$57),input_data!$F$55:$F$57)</f>
        <v>725.73308927494315</v>
      </c>
      <c r="AP89" s="543" cm="1">
        <f t="array" ref="AP89">AP$1*AP29*SUMPRODUCT(1*(input_MRB_EV=input_data!$C$55:$C$57),input_data!$F$55:$F$57)</f>
        <v>729.17978122465649</v>
      </c>
      <c r="AQ89" s="543" cm="1">
        <f t="array" ref="AQ89">AQ$1*AQ29*SUMPRODUCT(1*(input_MRB_EV=input_data!$C$55:$C$57),input_data!$F$55:$F$57)</f>
        <v>732.64284239546748</v>
      </c>
      <c r="AR89" s="543" cm="1">
        <f t="array" ref="AR89">AR$1*AR29*SUMPRODUCT(1*(input_MRB_EV=input_data!$C$55:$C$57),input_data!$F$55:$F$57)</f>
        <v>736.12235052899143</v>
      </c>
      <c r="AS89" s="543" cm="1">
        <f t="array" ref="AS89">AS$1*AS29*SUMPRODUCT(1*(input_MRB_EV=input_data!$C$55:$C$57),input_data!$F$55:$F$57)</f>
        <v>739.61838373605826</v>
      </c>
      <c r="AT89" s="543" cm="1">
        <f t="array" ref="AT89">AT$1*AT29*SUMPRODUCT(1*(input_MRB_EV=input_data!$C$55:$C$57),input_data!$F$55:$F$57)</f>
        <v>743.13102049846623</v>
      </c>
      <c r="AU89" s="543" cm="1">
        <f t="array" ref="AU89">AU$1*AU29*SUMPRODUCT(1*(input_MRB_EV=input_data!$C$55:$C$57),input_data!$F$55:$F$57)</f>
        <v>746.66033967074395</v>
      </c>
      <c r="AV89" s="543" cm="1">
        <f t="array" ref="AV89">AV$1*AV29*SUMPRODUCT(1*(input_MRB_EV=input_data!$C$55:$C$57),input_data!$F$55:$F$57)</f>
        <v>750.20642048192008</v>
      </c>
      <c r="AW89" s="543" cm="1">
        <f t="array" ref="AW89">AW$1*AW29*SUMPRODUCT(1*(input_MRB_EV=input_data!$C$55:$C$57),input_data!$F$55:$F$57)</f>
        <v>753.76934253730224</v>
      </c>
      <c r="AX89" s="543" cm="1">
        <f t="array" ref="AX89">AX$1*AX29*SUMPRODUCT(1*(input_MRB_EV=input_data!$C$55:$C$57),input_data!$F$55:$F$57)</f>
        <v>757.3491858202641</v>
      </c>
      <c r="AY89" s="543" cm="1">
        <f t="array" ref="AY89">AY$1*AY29*SUMPRODUCT(1*(input_MRB_EV=input_data!$C$55:$C$57),input_data!$F$55:$F$57)</f>
        <v>760.94603069404081</v>
      </c>
      <c r="AZ89" s="543" cm="1">
        <f t="array" ref="AZ89">AZ$1*AZ29*SUMPRODUCT(1*(input_MRB_EV=input_data!$C$55:$C$57),input_data!$F$55:$F$57)</f>
        <v>764.55995790353302</v>
      </c>
      <c r="BA89" s="543" cm="1">
        <f t="array" ref="BA89">BA$1*BA29*SUMPRODUCT(1*(input_MRB_EV=input_data!$C$55:$C$57),input_data!$F$55:$F$57)</f>
        <v>768.19104857711943</v>
      </c>
      <c r="BB89" s="543" cm="1">
        <f t="array" ref="BB89">BB$1*BB29*SUMPRODUCT(1*(input_MRB_EV=input_data!$C$55:$C$57),input_data!$F$55:$F$57)</f>
        <v>771.83938422847837</v>
      </c>
      <c r="BC89" s="543" cm="1">
        <f t="array" ref="BC89">BC$1*BC29*SUMPRODUCT(1*(input_MRB_EV=input_data!$C$55:$C$57),input_data!$F$55:$F$57)</f>
        <v>775.50504675841739</v>
      </c>
    </row>
    <row r="90" spans="8:55" x14ac:dyDescent="0.3">
      <c r="H90" s="542" t="str">
        <f>input_names!$D$3</f>
        <v>Elektrisch</v>
      </c>
      <c r="I90" s="542" t="s">
        <v>1501</v>
      </c>
      <c r="J90" s="543" cm="1">
        <f t="array" ref="J90">J$1*J30*SUMPRODUCT(1*(input_MRB_EV=input_data!$C$55:$C$57),input_data!$F$55:$F$57)</f>
        <v>0</v>
      </c>
      <c r="K90" s="543" cm="1">
        <f t="array" ref="K90">K$1*K30*SUMPRODUCT(1*(input_MRB_EV=input_data!$C$55:$C$57),input_data!$F$55:$F$57)</f>
        <v>0</v>
      </c>
      <c r="L90" s="543" cm="1">
        <f t="array" ref="L90">L$1*L30*SUMPRODUCT(1*(input_MRB_EV=input_data!$C$55:$C$57),input_data!$F$55:$F$57)</f>
        <v>0</v>
      </c>
      <c r="M90" s="543" cm="1">
        <f t="array" ref="M90">M$1*M30*SUMPRODUCT(1*(input_MRB_EV=input_data!$C$55:$C$57),input_data!$F$55:$F$57)</f>
        <v>0</v>
      </c>
      <c r="N90" s="543" cm="1">
        <f t="array" ref="N90">N$1*N30*SUMPRODUCT(1*(input_MRB_EV=input_data!$C$55:$C$57),input_data!$F$55:$F$57)</f>
        <v>0</v>
      </c>
      <c r="O90" s="543" cm="1">
        <f t="array" ref="O90">O$1*O30*SUMPRODUCT(1*(input_MRB_EV=input_data!$C$55:$C$57),input_data!$F$55:$F$57)</f>
        <v>0</v>
      </c>
      <c r="P90" s="543" cm="1">
        <f t="array" ref="P90">P$1*P30*SUMPRODUCT(1*(input_MRB_EV=input_data!$C$55:$C$57),input_data!$F$55:$F$57)</f>
        <v>0</v>
      </c>
      <c r="Q90" s="543" cm="1">
        <f t="array" ref="Q90">Q$1*Q30*SUMPRODUCT(1*(input_MRB_EV=input_data!$C$55:$C$57),input_data!$F$55:$F$57)</f>
        <v>0</v>
      </c>
      <c r="R90" s="543" cm="1">
        <f t="array" ref="R90">R$1*R30*SUMPRODUCT(1*(input_MRB_EV=input_data!$C$55:$C$57),input_data!$F$55:$F$57)</f>
        <v>0</v>
      </c>
      <c r="S90" s="543" cm="1">
        <f t="array" ref="S90">S$1*S30*SUMPRODUCT(1*(input_MRB_EV=input_data!$C$55:$C$57),input_data!$F$55:$F$57)</f>
        <v>171.25</v>
      </c>
      <c r="T90" s="543" cm="1">
        <f t="array" ref="T90">T$1*T30*SUMPRODUCT(1*(input_MRB_EV=input_data!$C$55:$C$57),input_data!$F$55:$F$57)</f>
        <v>513.75</v>
      </c>
      <c r="U90" s="543" cm="1">
        <f t="array" ref="U90">U$1*U30*SUMPRODUCT(1*(input_MRB_EV=input_data!$C$55:$C$57),input_data!$F$55:$F$57)</f>
        <v>516.18993007254812</v>
      </c>
      <c r="V90" s="543" cm="1">
        <f t="array" ref="V90">V$1*V30*SUMPRODUCT(1*(input_MRB_EV=input_data!$C$55:$C$57),input_data!$F$55:$F$57)</f>
        <v>518.64144799669532</v>
      </c>
      <c r="W90" s="543" cm="1">
        <f t="array" ref="W90">W$1*W30*SUMPRODUCT(1*(input_MRB_EV=input_data!$C$55:$C$57),input_data!$F$55:$F$57)</f>
        <v>521.10460880611049</v>
      </c>
      <c r="X90" s="543" cm="1">
        <f t="array" ref="X90">X$1*X30*SUMPRODUCT(1*(input_MRB_EV=input_data!$C$55:$C$57),input_data!$F$55:$F$57)</f>
        <v>523.57946779583222</v>
      </c>
      <c r="Y90" s="543" cm="1">
        <f t="array" ref="Y90">Y$1*Y30*SUMPRODUCT(1*(input_MRB_EV=input_data!$C$55:$C$57),input_data!$F$55:$F$57)</f>
        <v>701.42144069801168</v>
      </c>
      <c r="Z90" s="543" cm="1">
        <f t="array" ref="Z90">Z$1*Z30*SUMPRODUCT(1*(input_MRB_EV=input_data!$C$55:$C$57),input_data!$F$55:$F$57)</f>
        <v>704.75267041419499</v>
      </c>
      <c r="AA90" s="543" cm="1">
        <f t="array" ref="AA90">AA$1*AA30*SUMPRODUCT(1*(input_MRB_EV=input_data!$C$55:$C$57),input_data!$F$55:$F$57)</f>
        <v>708.09972099181493</v>
      </c>
      <c r="AB90" s="543" cm="1">
        <f t="array" ref="AB90">AB$1*AB30*SUMPRODUCT(1*(input_MRB_EV=input_data!$C$55:$C$57),input_data!$F$55:$F$57)</f>
        <v>711.46266756818659</v>
      </c>
      <c r="AC90" s="543" cm="1">
        <f t="array" ref="AC90">AC$1*AC30*SUMPRODUCT(1*(input_MRB_EV=input_data!$C$55:$C$57),input_data!$F$55:$F$57)</f>
        <v>714.84158563747121</v>
      </c>
      <c r="AD90" s="543" cm="1">
        <f t="array" ref="AD90">AD$1*AD30*SUMPRODUCT(1*(input_MRB_EV=input_data!$C$55:$C$57),input_data!$F$55:$F$57)</f>
        <v>718.23655105237128</v>
      </c>
      <c r="AE90" s="543" cm="1">
        <f t="array" ref="AE90">AE$1*AE30*SUMPRODUCT(1*(input_MRB_EV=input_data!$C$55:$C$57),input_data!$F$55:$F$57)</f>
        <v>721.64764002583308</v>
      </c>
      <c r="AF90" s="543" cm="1">
        <f t="array" ref="AF90">AF$1*AF30*SUMPRODUCT(1*(input_MRB_EV=input_data!$C$55:$C$57),input_data!$F$55:$F$57)</f>
        <v>725.07492913275757</v>
      </c>
      <c r="AG90" s="543" cm="1">
        <f t="array" ref="AG90">AG$1*AG30*SUMPRODUCT(1*(input_MRB_EV=input_data!$C$55:$C$57),input_data!$F$55:$F$57)</f>
        <v>728.51849531171968</v>
      </c>
      <c r="AH90" s="543" cm="1">
        <f t="array" ref="AH90">AH$1*AH30*SUMPRODUCT(1*(input_MRB_EV=input_data!$C$55:$C$57),input_data!$F$55:$F$57)</f>
        <v>731.97841586669517</v>
      </c>
      <c r="AI90" s="543" cm="1">
        <f t="array" ref="AI90">AI$1*AI30*SUMPRODUCT(1*(input_MRB_EV=input_data!$C$55:$C$57),input_data!$F$55:$F$57)</f>
        <v>735.45476846879615</v>
      </c>
      <c r="AJ90" s="543" cm="1">
        <f t="array" ref="AJ90">AJ$1*AJ30*SUMPRODUCT(1*(input_MRB_EV=input_data!$C$55:$C$57),input_data!$F$55:$F$57)</f>
        <v>738.9476311580147</v>
      </c>
      <c r="AK90" s="543" cm="1">
        <f t="array" ref="AK90">AK$1*AK30*SUMPRODUCT(1*(input_MRB_EV=input_data!$C$55:$C$57),input_data!$F$55:$F$57)</f>
        <v>742.45708234497476</v>
      </c>
      <c r="AL90" s="543" cm="1">
        <f t="array" ref="AL90">AL$1*AL30*SUMPRODUCT(1*(input_MRB_EV=input_data!$C$55:$C$57),input_data!$F$55:$F$57)</f>
        <v>745.98320081269242</v>
      </c>
      <c r="AM90" s="543" cm="1">
        <f t="array" ref="AM90">AM$1*AM30*SUMPRODUCT(1*(input_MRB_EV=input_data!$C$55:$C$57),input_data!$F$55:$F$57)</f>
        <v>749.52606571834428</v>
      </c>
      <c r="AN90" s="543" cm="1">
        <f t="array" ref="AN90">AN$1*AN30*SUMPRODUCT(1*(input_MRB_EV=input_data!$C$55:$C$57),input_data!$F$55:$F$57)</f>
        <v>753.08575659504493</v>
      </c>
      <c r="AO90" s="543" cm="1">
        <f t="array" ref="AO90">AO$1*AO30*SUMPRODUCT(1*(input_MRB_EV=input_data!$C$55:$C$57),input_data!$F$55:$F$57)</f>
        <v>756.66235335363172</v>
      </c>
      <c r="AP90" s="543" cm="1">
        <f t="array" ref="AP90">AP$1*AP30*SUMPRODUCT(1*(input_MRB_EV=input_data!$C$55:$C$57),input_data!$F$55:$F$57)</f>
        <v>760.25593628445927</v>
      </c>
      <c r="AQ90" s="543" cm="1">
        <f t="array" ref="AQ90">AQ$1*AQ30*SUMPRODUCT(1*(input_MRB_EV=input_data!$C$55:$C$57),input_data!$F$55:$F$57)</f>
        <v>763.86658605920138</v>
      </c>
      <c r="AR90" s="543" cm="1">
        <f t="array" ref="AR90">AR$1*AR30*SUMPRODUCT(1*(input_MRB_EV=input_data!$C$55:$C$57),input_data!$F$55:$F$57)</f>
        <v>767.49438373266241</v>
      </c>
      <c r="AS90" s="543" cm="1">
        <f t="array" ref="AS90">AS$1*AS30*SUMPRODUCT(1*(input_MRB_EV=input_data!$C$55:$C$57),input_data!$F$55:$F$57)</f>
        <v>771.1394107445966</v>
      </c>
      <c r="AT90" s="543" cm="1">
        <f t="array" ref="AT90">AT$1*AT30*SUMPRODUCT(1*(input_MRB_EV=input_data!$C$55:$C$57),input_data!$F$55:$F$57)</f>
        <v>774.8017489215365</v>
      </c>
      <c r="AU90" s="543" cm="1">
        <f t="array" ref="AU90">AU$1*AU30*SUMPRODUCT(1*(input_MRB_EV=input_data!$C$55:$C$57),input_data!$F$55:$F$57)</f>
        <v>778.48148047862969</v>
      </c>
      <c r="AV90" s="543" cm="1">
        <f t="array" ref="AV90">AV$1*AV30*SUMPRODUCT(1*(input_MRB_EV=input_data!$C$55:$C$57),input_data!$F$55:$F$57)</f>
        <v>782.1786880214845</v>
      </c>
      <c r="AW90" s="543" cm="1">
        <f t="array" ref="AW90">AW$1*AW30*SUMPRODUCT(1*(input_MRB_EV=input_data!$C$55:$C$57),input_data!$F$55:$F$57)</f>
        <v>785.89345454802447</v>
      </c>
      <c r="AX90" s="543" cm="1">
        <f t="array" ref="AX90">AX$1*AX30*SUMPRODUCT(1*(input_MRB_EV=input_data!$C$55:$C$57),input_data!$F$55:$F$57)</f>
        <v>789.62586345035152</v>
      </c>
      <c r="AY90" s="543" cm="1">
        <f t="array" ref="AY90">AY$1*AY30*SUMPRODUCT(1*(input_MRB_EV=input_data!$C$55:$C$57),input_data!$F$55:$F$57)</f>
        <v>793.37599851661798</v>
      </c>
      <c r="AZ90" s="543" cm="1">
        <f t="array" ref="AZ90">AZ$1*AZ30*SUMPRODUCT(1*(input_MRB_EV=input_data!$C$55:$C$57),input_data!$F$55:$F$57)</f>
        <v>797.1439439329074</v>
      </c>
      <c r="BA90" s="543" cm="1">
        <f t="array" ref="BA90">BA$1*BA30*SUMPRODUCT(1*(input_MRB_EV=input_data!$C$55:$C$57),input_data!$F$55:$F$57)</f>
        <v>800.92978428512458</v>
      </c>
      <c r="BB90" s="543" cm="1">
        <f t="array" ref="BB90">BB$1*BB30*SUMPRODUCT(1*(input_MRB_EV=input_data!$C$55:$C$57),input_data!$F$55:$F$57)</f>
        <v>804.73360456089461</v>
      </c>
      <c r="BC90" s="543" cm="1">
        <f t="array" ref="BC90">BC$1*BC30*SUMPRODUCT(1*(input_MRB_EV=input_data!$C$55:$C$57),input_data!$F$55:$F$57)</f>
        <v>808.55549015147028</v>
      </c>
    </row>
    <row r="91" spans="8:55" x14ac:dyDescent="0.3">
      <c r="H91" s="542" t="str">
        <f>input_names!$D$3</f>
        <v>Elektrisch</v>
      </c>
      <c r="I91" s="542" t="s">
        <v>1502</v>
      </c>
      <c r="J91" s="543" cm="1">
        <f t="array" ref="J91">J$1*J31*SUMPRODUCT(1*(input_MRB_EV=input_data!$C$55:$C$57),input_data!$F$55:$F$57)</f>
        <v>0</v>
      </c>
      <c r="K91" s="543" cm="1">
        <f t="array" ref="K91">K$1*K31*SUMPRODUCT(1*(input_MRB_EV=input_data!$C$55:$C$57),input_data!$F$55:$F$57)</f>
        <v>0</v>
      </c>
      <c r="L91" s="543" cm="1">
        <f t="array" ref="L91">L$1*L31*SUMPRODUCT(1*(input_MRB_EV=input_data!$C$55:$C$57),input_data!$F$55:$F$57)</f>
        <v>0</v>
      </c>
      <c r="M91" s="543" cm="1">
        <f t="array" ref="M91">M$1*M31*SUMPRODUCT(1*(input_MRB_EV=input_data!$C$55:$C$57),input_data!$F$55:$F$57)</f>
        <v>0</v>
      </c>
      <c r="N91" s="543" cm="1">
        <f t="array" ref="N91">N$1*N31*SUMPRODUCT(1*(input_MRB_EV=input_data!$C$55:$C$57),input_data!$F$55:$F$57)</f>
        <v>0</v>
      </c>
      <c r="O91" s="543" cm="1">
        <f t="array" ref="O91">O$1*O31*SUMPRODUCT(1*(input_MRB_EV=input_data!$C$55:$C$57),input_data!$F$55:$F$57)</f>
        <v>0</v>
      </c>
      <c r="P91" s="543" cm="1">
        <f t="array" ref="P91">P$1*P31*SUMPRODUCT(1*(input_MRB_EV=input_data!$C$55:$C$57),input_data!$F$55:$F$57)</f>
        <v>0</v>
      </c>
      <c r="Q91" s="543" cm="1">
        <f t="array" ref="Q91">Q$1*Q31*SUMPRODUCT(1*(input_MRB_EV=input_data!$C$55:$C$57),input_data!$F$55:$F$57)</f>
        <v>0</v>
      </c>
      <c r="R91" s="543" cm="1">
        <f t="array" ref="R91">R$1*R31*SUMPRODUCT(1*(input_MRB_EV=input_data!$C$55:$C$57),input_data!$F$55:$F$57)</f>
        <v>0</v>
      </c>
      <c r="S91" s="543" cm="1">
        <f t="array" ref="S91">S$1*S31*SUMPRODUCT(1*(input_MRB_EV=input_data!$C$55:$C$57),input_data!$F$55:$F$57)</f>
        <v>178.25</v>
      </c>
      <c r="T91" s="543" cm="1">
        <f t="array" ref="T91">T$1*T31*SUMPRODUCT(1*(input_MRB_EV=input_data!$C$55:$C$57),input_data!$F$55:$F$57)</f>
        <v>534.75</v>
      </c>
      <c r="U91" s="543" cm="1">
        <f t="array" ref="U91">U$1*U31*SUMPRODUCT(1*(input_MRB_EV=input_data!$C$55:$C$57),input_data!$F$55:$F$57)</f>
        <v>537.28966444047717</v>
      </c>
      <c r="V91" s="543" cm="1">
        <f t="array" ref="V91">V$1*V31*SUMPRODUCT(1*(input_MRB_EV=input_data!$C$55:$C$57),input_data!$F$55:$F$57)</f>
        <v>539.8413903965602</v>
      </c>
      <c r="W91" s="543" cm="1">
        <f t="array" ref="W91">W$1*W31*SUMPRODUCT(1*(input_MRB_EV=input_data!$C$55:$C$57),input_data!$F$55:$F$57)</f>
        <v>542.40523515146992</v>
      </c>
      <c r="X91" s="543" cm="1">
        <f t="array" ref="X91">X$1*X31*SUMPRODUCT(1*(input_MRB_EV=input_data!$C$55:$C$57),input_data!$F$55:$F$57)</f>
        <v>544.98125626047943</v>
      </c>
      <c r="Y91" s="543" cm="1">
        <f t="array" ref="Y91">Y$1*Y31*SUMPRODUCT(1*(input_MRB_EV=input_data!$C$55:$C$57),input_data!$F$55:$F$57)</f>
        <v>730.09268206960928</v>
      </c>
      <c r="Z91" s="543" cm="1">
        <f t="array" ref="Z91">Z$1*Z31*SUMPRODUCT(1*(input_MRB_EV=input_data!$C$55:$C$57),input_data!$F$55:$F$57)</f>
        <v>733.5600788398848</v>
      </c>
      <c r="AA91" s="543" cm="1">
        <f t="array" ref="AA91">AA$1*AA31*SUMPRODUCT(1*(input_MRB_EV=input_data!$C$55:$C$57),input_data!$F$55:$F$57)</f>
        <v>737.04394316374328</v>
      </c>
      <c r="AB91" s="543" cm="1">
        <f t="array" ref="AB91">AB$1*AB31*SUMPRODUCT(1*(input_MRB_EV=input_data!$C$55:$C$57),input_data!$F$55:$F$57)</f>
        <v>740.54435324980602</v>
      </c>
      <c r="AC91" s="543" cm="1">
        <f t="array" ref="AC91">AC$1*AC31*SUMPRODUCT(1*(input_MRB_EV=input_data!$C$55:$C$57),input_data!$F$55:$F$57)</f>
        <v>744.06138767812718</v>
      </c>
      <c r="AD91" s="543" cm="1">
        <f t="array" ref="AD91">AD$1*AD31*SUMPRODUCT(1*(input_MRB_EV=input_data!$C$55:$C$57),input_data!$F$55:$F$57)</f>
        <v>747.59512540195749</v>
      </c>
      <c r="AE91" s="543" cm="1">
        <f t="array" ref="AE91">AE$1*AE31*SUMPRODUCT(1*(input_MRB_EV=input_data!$C$55:$C$57),input_data!$F$55:$F$57)</f>
        <v>751.14564574951703</v>
      </c>
      <c r="AF91" s="543" cm="1">
        <f t="array" ref="AF91">AF$1*AF31*SUMPRODUCT(1*(input_MRB_EV=input_data!$C$55:$C$57),input_data!$F$55:$F$57)</f>
        <v>754.71302842577575</v>
      </c>
      <c r="AG91" s="543" cm="1">
        <f t="array" ref="AG91">AG$1*AG31*SUMPRODUCT(1*(input_MRB_EV=input_data!$C$55:$C$57),input_data!$F$55:$F$57)</f>
        <v>758.2973535142429</v>
      </c>
      <c r="AH91" s="543" cm="1">
        <f t="array" ref="AH91">AH$1*AH31*SUMPRODUCT(1*(input_MRB_EV=input_data!$C$55:$C$57),input_data!$F$55:$F$57)</f>
        <v>761.89870147876479</v>
      </c>
      <c r="AI91" s="543" cm="1">
        <f t="array" ref="AI91">AI$1*AI31*SUMPRODUCT(1*(input_MRB_EV=input_data!$C$55:$C$57),input_data!$F$55:$F$57)</f>
        <v>765.51715316533114</v>
      </c>
      <c r="AJ91" s="543" cm="1">
        <f t="array" ref="AJ91">AJ$1*AJ31*SUMPRODUCT(1*(input_MRB_EV=input_data!$C$55:$C$57),input_data!$F$55:$F$57)</f>
        <v>769.15278980388996</v>
      </c>
      <c r="AK91" s="543" cm="1">
        <f t="array" ref="AK91">AK$1*AK31*SUMPRODUCT(1*(input_MRB_EV=input_data!$C$55:$C$57),input_data!$F$55:$F$57)</f>
        <v>772.80569301017101</v>
      </c>
      <c r="AL91" s="543" cm="1">
        <f t="array" ref="AL91">AL$1*AL31*SUMPRODUCT(1*(input_MRB_EV=input_data!$C$55:$C$57),input_data!$F$55:$F$57)</f>
        <v>776.47594478751796</v>
      </c>
      <c r="AM91" s="543" cm="1">
        <f t="array" ref="AM91">AM$1*AM31*SUMPRODUCT(1*(input_MRB_EV=input_data!$C$55:$C$57),input_data!$F$55:$F$57)</f>
        <v>780.16362752872931</v>
      </c>
      <c r="AN91" s="543" cm="1">
        <f t="array" ref="AN91">AN$1*AN31*SUMPRODUCT(1*(input_MRB_EV=input_data!$C$55:$C$57),input_data!$F$55:$F$57)</f>
        <v>783.8688240179082</v>
      </c>
      <c r="AO91" s="543" cm="1">
        <f t="array" ref="AO91">AO$1*AO31*SUMPRODUCT(1*(input_MRB_EV=input_data!$C$55:$C$57),input_data!$F$55:$F$57)</f>
        <v>787.5916174323205</v>
      </c>
      <c r="AP91" s="543" cm="1">
        <f t="array" ref="AP91">AP$1*AP31*SUMPRODUCT(1*(input_MRB_EV=input_data!$C$55:$C$57),input_data!$F$55:$F$57)</f>
        <v>791.33209134426215</v>
      </c>
      <c r="AQ91" s="543" cm="1">
        <f t="array" ref="AQ91">AQ$1*AQ31*SUMPRODUCT(1*(input_MRB_EV=input_data!$C$55:$C$57),input_data!$F$55:$F$57)</f>
        <v>795.09032972293528</v>
      </c>
      <c r="AR91" s="543" cm="1">
        <f t="array" ref="AR91">AR$1*AR31*SUMPRODUCT(1*(input_MRB_EV=input_data!$C$55:$C$57),input_data!$F$55:$F$57)</f>
        <v>798.86641693633339</v>
      </c>
      <c r="AS91" s="543" cm="1">
        <f t="array" ref="AS91">AS$1*AS31*SUMPRODUCT(1*(input_MRB_EV=input_data!$C$55:$C$57),input_data!$F$55:$F$57)</f>
        <v>802.66043775313494</v>
      </c>
      <c r="AT91" s="543" cm="1">
        <f t="array" ref="AT91">AT$1*AT31*SUMPRODUCT(1*(input_MRB_EV=input_data!$C$55:$C$57),input_data!$F$55:$F$57)</f>
        <v>806.47247734460666</v>
      </c>
      <c r="AU91" s="543" cm="1">
        <f t="array" ref="AU91">AU$1*AU31*SUMPRODUCT(1*(input_MRB_EV=input_data!$C$55:$C$57),input_data!$F$55:$F$57)</f>
        <v>810.30262128651532</v>
      </c>
      <c r="AV91" s="543" cm="1">
        <f t="array" ref="AV91">AV$1*AV31*SUMPRODUCT(1*(input_MRB_EV=input_data!$C$55:$C$57),input_data!$F$55:$F$57)</f>
        <v>814.15095556104893</v>
      </c>
      <c r="AW91" s="543" cm="1">
        <f t="array" ref="AW91">AW$1*AW31*SUMPRODUCT(1*(input_MRB_EV=input_data!$C$55:$C$57),input_data!$F$55:$F$57)</f>
        <v>818.01756655874681</v>
      </c>
      <c r="AX91" s="543" cm="1">
        <f t="array" ref="AX91">AX$1*AX31*SUMPRODUCT(1*(input_MRB_EV=input_data!$C$55:$C$57),input_data!$F$55:$F$57)</f>
        <v>821.90254108043905</v>
      </c>
      <c r="AY91" s="543" cm="1">
        <f t="array" ref="AY91">AY$1*AY31*SUMPRODUCT(1*(input_MRB_EV=input_data!$C$55:$C$57),input_data!$F$55:$F$57)</f>
        <v>825.80596633919515</v>
      </c>
      <c r="AZ91" s="543" cm="1">
        <f t="array" ref="AZ91">AZ$1*AZ31*SUMPRODUCT(1*(input_MRB_EV=input_data!$C$55:$C$57),input_data!$F$55:$F$57)</f>
        <v>829.72792996228179</v>
      </c>
      <c r="BA91" s="543" cm="1">
        <f t="array" ref="BA91">BA$1*BA31*SUMPRODUCT(1*(input_MRB_EV=input_data!$C$55:$C$57),input_data!$F$55:$F$57)</f>
        <v>833.66851999312973</v>
      </c>
      <c r="BB91" s="543" cm="1">
        <f t="array" ref="BB91">BB$1*BB31*SUMPRODUCT(1*(input_MRB_EV=input_data!$C$55:$C$57),input_data!$F$55:$F$57)</f>
        <v>837.62782489331073</v>
      </c>
      <c r="BC91" s="543" cm="1">
        <f t="array" ref="BC91">BC$1*BC31*SUMPRODUCT(1*(input_MRB_EV=input_data!$C$55:$C$57),input_data!$F$55:$F$57)</f>
        <v>841.60593354452305</v>
      </c>
    </row>
    <row r="92" spans="8:55" x14ac:dyDescent="0.3">
      <c r="H92" s="542" t="str">
        <f>input_names!$D$3</f>
        <v>Elektrisch</v>
      </c>
      <c r="I92" s="542" t="s">
        <v>1503</v>
      </c>
      <c r="J92" s="543" cm="1">
        <f t="array" ref="J92">J$1*J32*SUMPRODUCT(1*(input_MRB_EV=input_data!$C$55:$C$57),input_data!$F$55:$F$57)</f>
        <v>0</v>
      </c>
      <c r="K92" s="543" cm="1">
        <f t="array" ref="K92">K$1*K32*SUMPRODUCT(1*(input_MRB_EV=input_data!$C$55:$C$57),input_data!$F$55:$F$57)</f>
        <v>0</v>
      </c>
      <c r="L92" s="543" cm="1">
        <f t="array" ref="L92">L$1*L32*SUMPRODUCT(1*(input_MRB_EV=input_data!$C$55:$C$57),input_data!$F$55:$F$57)</f>
        <v>0</v>
      </c>
      <c r="M92" s="543" cm="1">
        <f t="array" ref="M92">M$1*M32*SUMPRODUCT(1*(input_MRB_EV=input_data!$C$55:$C$57),input_data!$F$55:$F$57)</f>
        <v>0</v>
      </c>
      <c r="N92" s="543" cm="1">
        <f t="array" ref="N92">N$1*N32*SUMPRODUCT(1*(input_MRB_EV=input_data!$C$55:$C$57),input_data!$F$55:$F$57)</f>
        <v>0</v>
      </c>
      <c r="O92" s="543" cm="1">
        <f t="array" ref="O92">O$1*O32*SUMPRODUCT(1*(input_MRB_EV=input_data!$C$55:$C$57),input_data!$F$55:$F$57)</f>
        <v>0</v>
      </c>
      <c r="P92" s="543" cm="1">
        <f t="array" ref="P92">P$1*P32*SUMPRODUCT(1*(input_MRB_EV=input_data!$C$55:$C$57),input_data!$F$55:$F$57)</f>
        <v>0</v>
      </c>
      <c r="Q92" s="543" cm="1">
        <f t="array" ref="Q92">Q$1*Q32*SUMPRODUCT(1*(input_MRB_EV=input_data!$C$55:$C$57),input_data!$F$55:$F$57)</f>
        <v>0</v>
      </c>
      <c r="R92" s="543" cm="1">
        <f t="array" ref="R92">R$1*R32*SUMPRODUCT(1*(input_MRB_EV=input_data!$C$55:$C$57),input_data!$F$55:$F$57)</f>
        <v>0</v>
      </c>
      <c r="S92" s="543" cm="1">
        <f t="array" ref="S92">S$1*S32*SUMPRODUCT(1*(input_MRB_EV=input_data!$C$55:$C$57),input_data!$F$55:$F$57)</f>
        <v>185.25</v>
      </c>
      <c r="T92" s="543" cm="1">
        <f t="array" ref="T92">T$1*T32*SUMPRODUCT(1*(input_MRB_EV=input_data!$C$55:$C$57),input_data!$F$55:$F$57)</f>
        <v>555.75</v>
      </c>
      <c r="U92" s="543" cm="1">
        <f t="array" ref="U92">U$1*U32*SUMPRODUCT(1*(input_MRB_EV=input_data!$C$55:$C$57),input_data!$F$55:$F$57)</f>
        <v>558.38939880840621</v>
      </c>
      <c r="V92" s="543" cm="1">
        <f t="array" ref="V92">V$1*V32*SUMPRODUCT(1*(input_MRB_EV=input_data!$C$55:$C$57),input_data!$F$55:$F$57)</f>
        <v>561.04133279642519</v>
      </c>
      <c r="W92" s="543" cm="1">
        <f t="array" ref="W92">W$1*W32*SUMPRODUCT(1*(input_MRB_EV=input_data!$C$55:$C$57),input_data!$F$55:$F$57)</f>
        <v>563.70586149682913</v>
      </c>
      <c r="X92" s="543" cm="1">
        <f t="array" ref="X92">X$1*X32*SUMPRODUCT(1*(input_MRB_EV=input_data!$C$55:$C$57),input_data!$F$55:$F$57)</f>
        <v>566.38304472512664</v>
      </c>
      <c r="Y92" s="543" cm="1">
        <f t="array" ref="Y92">Y$1*Y32*SUMPRODUCT(1*(input_MRB_EV=input_data!$C$55:$C$57),input_data!$F$55:$F$57)</f>
        <v>758.76392344120688</v>
      </c>
      <c r="Z92" s="543" cm="1">
        <f t="array" ref="Z92">Z$1*Z32*SUMPRODUCT(1*(input_MRB_EV=input_data!$C$55:$C$57),input_data!$F$55:$F$57)</f>
        <v>762.36748726557448</v>
      </c>
      <c r="AA92" s="543" cm="1">
        <f t="array" ref="AA92">AA$1*AA32*SUMPRODUCT(1*(input_MRB_EV=input_data!$C$55:$C$57),input_data!$F$55:$F$57)</f>
        <v>765.9881653356714</v>
      </c>
      <c r="AB92" s="543" cm="1">
        <f t="array" ref="AB92">AB$1*AB32*SUMPRODUCT(1*(input_MRB_EV=input_data!$C$55:$C$57),input_data!$F$55:$F$57)</f>
        <v>769.62603893142523</v>
      </c>
      <c r="AC92" s="543" cm="1">
        <f t="array" ref="AC92">AC$1*AC32*SUMPRODUCT(1*(input_MRB_EV=input_data!$C$55:$C$57),input_data!$F$55:$F$57)</f>
        <v>773.2811897187828</v>
      </c>
      <c r="AD92" s="543" cm="1">
        <f t="array" ref="AD92">AD$1*AD32*SUMPRODUCT(1*(input_MRB_EV=input_data!$C$55:$C$57),input_data!$F$55:$F$57)</f>
        <v>776.95369975154335</v>
      </c>
      <c r="AE92" s="543" cm="1">
        <f t="array" ref="AE92">AE$1*AE32*SUMPRODUCT(1*(input_MRB_EV=input_data!$C$55:$C$57),input_data!$F$55:$F$57)</f>
        <v>780.64365147320052</v>
      </c>
      <c r="AF92" s="543" cm="1">
        <f t="array" ref="AF92">AF$1*AF32*SUMPRODUCT(1*(input_MRB_EV=input_data!$C$55:$C$57),input_data!$F$55:$F$57)</f>
        <v>784.35112771879335</v>
      </c>
      <c r="AG92" s="543" cm="1">
        <f t="array" ref="AG92">AG$1*AG32*SUMPRODUCT(1*(input_MRB_EV=input_data!$C$55:$C$57),input_data!$F$55:$F$57)</f>
        <v>788.07621171676556</v>
      </c>
      <c r="AH92" s="543" cm="1">
        <f t="array" ref="AH92">AH$1*AH32*SUMPRODUCT(1*(input_MRB_EV=input_data!$C$55:$C$57),input_data!$F$55:$F$57)</f>
        <v>791.81898709083396</v>
      </c>
      <c r="AI92" s="543" cm="1">
        <f t="array" ref="AI92">AI$1*AI32*SUMPRODUCT(1*(input_MRB_EV=input_data!$C$55:$C$57),input_data!$F$55:$F$57)</f>
        <v>795.57953786186579</v>
      </c>
      <c r="AJ92" s="543" cm="1">
        <f t="array" ref="AJ92">AJ$1*AJ32*SUMPRODUCT(1*(input_MRB_EV=input_data!$C$55:$C$57),input_data!$F$55:$F$57)</f>
        <v>799.35794844976488</v>
      </c>
      <c r="AK92" s="543" cm="1">
        <f t="array" ref="AK92">AK$1*AK32*SUMPRODUCT(1*(input_MRB_EV=input_data!$C$55:$C$57),input_data!$F$55:$F$57)</f>
        <v>803.15430367536692</v>
      </c>
      <c r="AL92" s="543" cm="1">
        <f t="array" ref="AL92">AL$1*AL32*SUMPRODUCT(1*(input_MRB_EV=input_data!$C$55:$C$57),input_data!$F$55:$F$57)</f>
        <v>806.96868876234316</v>
      </c>
      <c r="AM92" s="543" cm="1">
        <f t="array" ref="AM92">AM$1*AM32*SUMPRODUCT(1*(input_MRB_EV=input_data!$C$55:$C$57),input_data!$F$55:$F$57)</f>
        <v>810.8011893391141</v>
      </c>
      <c r="AN92" s="543" cm="1">
        <f t="array" ref="AN92">AN$1*AN32*SUMPRODUCT(1*(input_MRB_EV=input_data!$C$55:$C$57),input_data!$F$55:$F$57)</f>
        <v>814.65189144077124</v>
      </c>
      <c r="AO92" s="543" cm="1">
        <f t="array" ref="AO92">AO$1*AO32*SUMPRODUCT(1*(input_MRB_EV=input_data!$C$55:$C$57),input_data!$F$55:$F$57)</f>
        <v>818.52088151100895</v>
      </c>
      <c r="AP92" s="543" cm="1">
        <f t="array" ref="AP92">AP$1*AP32*SUMPRODUCT(1*(input_MRB_EV=input_data!$C$55:$C$57),input_data!$F$55:$F$57)</f>
        <v>822.4082464040647</v>
      </c>
      <c r="AQ92" s="543" cm="1">
        <f t="array" ref="AQ92">AQ$1*AQ32*SUMPRODUCT(1*(input_MRB_EV=input_data!$C$55:$C$57),input_data!$F$55:$F$57)</f>
        <v>826.31407338666895</v>
      </c>
      <c r="AR92" s="543" cm="1">
        <f t="array" ref="AR92">AR$1*AR32*SUMPRODUCT(1*(input_MRB_EV=input_data!$C$55:$C$57),input_data!$F$55:$F$57)</f>
        <v>830.23845014000415</v>
      </c>
      <c r="AS92" s="543" cm="1">
        <f t="array" ref="AS92">AS$1*AS32*SUMPRODUCT(1*(input_MRB_EV=input_data!$C$55:$C$57),input_data!$F$55:$F$57)</f>
        <v>834.18146476167306</v>
      </c>
      <c r="AT92" s="543" cm="1">
        <f t="array" ref="AT92">AT$1*AT32*SUMPRODUCT(1*(input_MRB_EV=input_data!$C$55:$C$57),input_data!$F$55:$F$57)</f>
        <v>838.14320576767659</v>
      </c>
      <c r="AU92" s="543" cm="1">
        <f t="array" ref="AU92">AU$1*AU32*SUMPRODUCT(1*(input_MRB_EV=input_data!$C$55:$C$57),input_data!$F$55:$F$57)</f>
        <v>842.12376209440072</v>
      </c>
      <c r="AV92" s="543" cm="1">
        <f t="array" ref="AV92">AV$1*AV32*SUMPRODUCT(1*(input_MRB_EV=input_data!$C$55:$C$57),input_data!$F$55:$F$57)</f>
        <v>846.12322310061302</v>
      </c>
      <c r="AW92" s="543" cm="1">
        <f t="array" ref="AW92">AW$1*AW32*SUMPRODUCT(1*(input_MRB_EV=input_data!$C$55:$C$57),input_data!$F$55:$F$57)</f>
        <v>850.1416785694687</v>
      </c>
      <c r="AX92" s="543" cm="1">
        <f t="array" ref="AX92">AX$1*AX32*SUMPRODUCT(1*(input_MRB_EV=input_data!$C$55:$C$57),input_data!$F$55:$F$57)</f>
        <v>854.17921871052613</v>
      </c>
      <c r="AY92" s="543" cm="1">
        <f t="array" ref="AY92">AY$1*AY32*SUMPRODUCT(1*(input_MRB_EV=input_data!$C$55:$C$57),input_data!$F$55:$F$57)</f>
        <v>858.23593416177198</v>
      </c>
      <c r="AZ92" s="543" cm="1">
        <f t="array" ref="AZ92">AZ$1*AZ32*SUMPRODUCT(1*(input_MRB_EV=input_data!$C$55:$C$57),input_data!$F$55:$F$57)</f>
        <v>862.31191599165584</v>
      </c>
      <c r="BA92" s="543" cm="1">
        <f t="array" ref="BA92">BA$1*BA32*SUMPRODUCT(1*(input_MRB_EV=input_data!$C$55:$C$57),input_data!$F$55:$F$57)</f>
        <v>866.40725570113466</v>
      </c>
      <c r="BB92" s="543" cm="1">
        <f t="array" ref="BB92">BB$1*BB32*SUMPRODUCT(1*(input_MRB_EV=input_data!$C$55:$C$57),input_data!$F$55:$F$57)</f>
        <v>870.52204522572674</v>
      </c>
      <c r="BC92" s="543" cm="1">
        <f t="array" ref="BC92">BC$1*BC32*SUMPRODUCT(1*(input_MRB_EV=input_data!$C$55:$C$57),input_data!$F$55:$F$57)</f>
        <v>874.65637693757571</v>
      </c>
    </row>
    <row r="93" spans="8:55" x14ac:dyDescent="0.3">
      <c r="H93" s="542" t="str">
        <f>input_names!$D$3</f>
        <v>Elektrisch</v>
      </c>
      <c r="I93" s="542" t="s">
        <v>1504</v>
      </c>
      <c r="J93" s="543" cm="1">
        <f t="array" ref="J93">J$1*J33*SUMPRODUCT(1*(input_MRB_EV=input_data!$C$55:$C$57),input_data!$F$55:$F$57)</f>
        <v>0</v>
      </c>
      <c r="K93" s="543" cm="1">
        <f t="array" ref="K93">K$1*K33*SUMPRODUCT(1*(input_MRB_EV=input_data!$C$55:$C$57),input_data!$F$55:$F$57)</f>
        <v>0</v>
      </c>
      <c r="L93" s="543" cm="1">
        <f t="array" ref="L93">L$1*L33*SUMPRODUCT(1*(input_MRB_EV=input_data!$C$55:$C$57),input_data!$F$55:$F$57)</f>
        <v>0</v>
      </c>
      <c r="M93" s="543" cm="1">
        <f t="array" ref="M93">M$1*M33*SUMPRODUCT(1*(input_MRB_EV=input_data!$C$55:$C$57),input_data!$F$55:$F$57)</f>
        <v>0</v>
      </c>
      <c r="N93" s="543" cm="1">
        <f t="array" ref="N93">N$1*N33*SUMPRODUCT(1*(input_MRB_EV=input_data!$C$55:$C$57),input_data!$F$55:$F$57)</f>
        <v>0</v>
      </c>
      <c r="O93" s="543" cm="1">
        <f t="array" ref="O93">O$1*O33*SUMPRODUCT(1*(input_MRB_EV=input_data!$C$55:$C$57),input_data!$F$55:$F$57)</f>
        <v>0</v>
      </c>
      <c r="P93" s="543" cm="1">
        <f t="array" ref="P93">P$1*P33*SUMPRODUCT(1*(input_MRB_EV=input_data!$C$55:$C$57),input_data!$F$55:$F$57)</f>
        <v>0</v>
      </c>
      <c r="Q93" s="543" cm="1">
        <f t="array" ref="Q93">Q$1*Q33*SUMPRODUCT(1*(input_MRB_EV=input_data!$C$55:$C$57),input_data!$F$55:$F$57)</f>
        <v>0</v>
      </c>
      <c r="R93" s="543" cm="1">
        <f t="array" ref="R93">R$1*R33*SUMPRODUCT(1*(input_MRB_EV=input_data!$C$55:$C$57),input_data!$F$55:$F$57)</f>
        <v>0</v>
      </c>
      <c r="S93" s="543" cm="1">
        <f t="array" ref="S93">S$1*S33*SUMPRODUCT(1*(input_MRB_EV=input_data!$C$55:$C$57),input_data!$F$55:$F$57)</f>
        <v>191.25</v>
      </c>
      <c r="T93" s="543" cm="1">
        <f t="array" ref="T93">T$1*T33*SUMPRODUCT(1*(input_MRB_EV=input_data!$C$55:$C$57),input_data!$F$55:$F$57)</f>
        <v>573.75</v>
      </c>
      <c r="U93" s="543" cm="1">
        <f t="array" ref="U93">U$1*U33*SUMPRODUCT(1*(input_MRB_EV=input_data!$C$55:$C$57),input_data!$F$55:$F$57)</f>
        <v>576.47488540948825</v>
      </c>
      <c r="V93" s="543" cm="1">
        <f t="array" ref="V93">V$1*V33*SUMPRODUCT(1*(input_MRB_EV=input_data!$C$55:$C$57),input_data!$F$55:$F$57)</f>
        <v>579.21271199630939</v>
      </c>
      <c r="W93" s="543" cm="1">
        <f t="array" ref="W93">W$1*W33*SUMPRODUCT(1*(input_MRB_EV=input_data!$C$55:$C$57),input_data!$F$55:$F$57)</f>
        <v>581.96354122142282</v>
      </c>
      <c r="X93" s="543" cm="1">
        <f t="array" ref="X93">X$1*X33*SUMPRODUCT(1*(input_MRB_EV=input_data!$C$55:$C$57),input_data!$F$55:$F$57)</f>
        <v>584.72743483768136</v>
      </c>
      <c r="Y93" s="543" cm="1">
        <f t="array" ref="Y93">Y$1*Y33*SUMPRODUCT(1*(input_MRB_EV=input_data!$C$55:$C$57),input_data!$F$55:$F$57)</f>
        <v>783.33927318829069</v>
      </c>
      <c r="Z93" s="543" cm="1">
        <f t="array" ref="Z93">Z$1*Z33*SUMPRODUCT(1*(input_MRB_EV=input_data!$C$55:$C$57),input_data!$F$55:$F$57)</f>
        <v>787.05955163045167</v>
      </c>
      <c r="AA93" s="543" cm="1">
        <f t="array" ref="AA93">AA$1*AA33*SUMPRODUCT(1*(input_MRB_EV=input_data!$C$55:$C$57),input_data!$F$55:$F$57)</f>
        <v>790.79749862589586</v>
      </c>
      <c r="AB93" s="543" cm="1">
        <f t="array" ref="AB93">AB$1*AB33*SUMPRODUCT(1*(input_MRB_EV=input_data!$C$55:$C$57),input_data!$F$55:$F$57)</f>
        <v>794.55319808709919</v>
      </c>
      <c r="AC93" s="543" cm="1">
        <f t="array" ref="AC93">AC$1*AC33*SUMPRODUCT(1*(input_MRB_EV=input_data!$C$55:$C$57),input_data!$F$55:$F$57)</f>
        <v>798.32673432505942</v>
      </c>
      <c r="AD93" s="543" cm="1">
        <f t="array" ref="AD93">AD$1*AD33*SUMPRODUCT(1*(input_MRB_EV=input_data!$C$55:$C$57),input_data!$F$55:$F$57)</f>
        <v>802.11819205118877</v>
      </c>
      <c r="AE93" s="543" cm="1">
        <f t="array" ref="AE93">AE$1*AE33*SUMPRODUCT(1*(input_MRB_EV=input_data!$C$55:$C$57),input_data!$F$55:$F$57)</f>
        <v>805.92765637921548</v>
      </c>
      <c r="AF93" s="543" cm="1">
        <f t="array" ref="AF93">AF$1*AF33*SUMPRODUCT(1*(input_MRB_EV=input_data!$C$55:$C$57),input_data!$F$55:$F$57)</f>
        <v>809.75521282709474</v>
      </c>
      <c r="AG93" s="543" cm="1">
        <f t="array" ref="AG93">AG$1*AG33*SUMPRODUCT(1*(input_MRB_EV=input_data!$C$55:$C$57),input_data!$F$55:$F$57)</f>
        <v>813.60094731892832</v>
      </c>
      <c r="AH93" s="543" cm="1">
        <f t="array" ref="AH93">AH$1*AH33*SUMPRODUCT(1*(input_MRB_EV=input_data!$C$55:$C$57),input_data!$F$55:$F$57)</f>
        <v>817.4649461868936</v>
      </c>
      <c r="AI93" s="543" cm="1">
        <f t="array" ref="AI93">AI$1*AI33*SUMPRODUCT(1*(input_MRB_EV=input_data!$C$55:$C$57),input_data!$F$55:$F$57)</f>
        <v>821.34729617318146</v>
      </c>
      <c r="AJ93" s="543" cm="1">
        <f t="array" ref="AJ93">AJ$1*AJ33*SUMPRODUCT(1*(input_MRB_EV=input_data!$C$55:$C$57),input_data!$F$55:$F$57)</f>
        <v>825.24808443194377</v>
      </c>
      <c r="AK93" s="543" cm="1">
        <f t="array" ref="AK93">AK$1*AK33*SUMPRODUCT(1*(input_MRB_EV=input_data!$C$55:$C$57),input_data!$F$55:$F$57)</f>
        <v>829.16739853124943</v>
      </c>
      <c r="AL93" s="543" cm="1">
        <f t="array" ref="AL93">AL$1*AL33*SUMPRODUCT(1*(input_MRB_EV=input_data!$C$55:$C$57),input_data!$F$55:$F$57)</f>
        <v>833.10532645505089</v>
      </c>
      <c r="AM93" s="543" cm="1">
        <f t="array" ref="AM93">AM$1*AM33*SUMPRODUCT(1*(input_MRB_EV=input_data!$C$55:$C$57),input_data!$F$55:$F$57)</f>
        <v>837.06195660515846</v>
      </c>
      <c r="AN93" s="543" cm="1">
        <f t="array" ref="AN93">AN$1*AN33*SUMPRODUCT(1*(input_MRB_EV=input_data!$C$55:$C$57),input_data!$F$55:$F$57)</f>
        <v>841.03737780322558</v>
      </c>
      <c r="AO93" s="543" cm="1">
        <f t="array" ref="AO93">AO$1*AO33*SUMPRODUCT(1*(input_MRB_EV=input_data!$C$55:$C$57),input_data!$F$55:$F$57)</f>
        <v>845.0316792927423</v>
      </c>
      <c r="AP93" s="543" cm="1">
        <f t="array" ref="AP93">AP$1*AP33*SUMPRODUCT(1*(input_MRB_EV=input_data!$C$55:$C$57),input_data!$F$55:$F$57)</f>
        <v>849.04495074103875</v>
      </c>
      <c r="AQ93" s="543" cm="1">
        <f t="array" ref="AQ93">AQ$1*AQ33*SUMPRODUCT(1*(input_MRB_EV=input_data!$C$55:$C$57),input_data!$F$55:$F$57)</f>
        <v>853.07728224129824</v>
      </c>
      <c r="AR93" s="543" cm="1">
        <f t="array" ref="AR93">AR$1*AR33*SUMPRODUCT(1*(input_MRB_EV=input_data!$C$55:$C$57),input_data!$F$55:$F$57)</f>
        <v>857.12876431457948</v>
      </c>
      <c r="AS93" s="543" cm="1">
        <f t="array" ref="AS93">AS$1*AS33*SUMPRODUCT(1*(input_MRB_EV=input_data!$C$55:$C$57),input_data!$F$55:$F$57)</f>
        <v>861.19948791184902</v>
      </c>
      <c r="AT93" s="543" cm="1">
        <f t="array" ref="AT93">AT$1*AT33*SUMPRODUCT(1*(input_MRB_EV=input_data!$C$55:$C$57),input_data!$F$55:$F$57)</f>
        <v>865.28954441602275</v>
      </c>
      <c r="AU93" s="543" cm="1">
        <f t="array" ref="AU93">AU$1*AU33*SUMPRODUCT(1*(input_MRB_EV=input_data!$C$55:$C$57),input_data!$F$55:$F$57)</f>
        <v>869.39902564401734</v>
      </c>
      <c r="AV93" s="543" cm="1">
        <f t="array" ref="AV93">AV$1*AV33*SUMPRODUCT(1*(input_MRB_EV=input_data!$C$55:$C$57),input_data!$F$55:$F$57)</f>
        <v>873.52802384881147</v>
      </c>
      <c r="AW93" s="543" cm="1">
        <f t="array" ref="AW93">AW$1*AW33*SUMPRODUCT(1*(input_MRB_EV=input_data!$C$55:$C$57),input_data!$F$55:$F$57)</f>
        <v>877.67663172151674</v>
      </c>
      <c r="AX93" s="543" cm="1">
        <f t="array" ref="AX93">AX$1*AX33*SUMPRODUCT(1*(input_MRB_EV=input_data!$C$55:$C$57),input_data!$F$55:$F$57)</f>
        <v>881.84494239345861</v>
      </c>
      <c r="AY93" s="543" cm="1">
        <f t="array" ref="AY93">AY$1*AY33*SUMPRODUCT(1*(input_MRB_EV=input_data!$C$55:$C$57),input_data!$F$55:$F$57)</f>
        <v>886.03304943826708</v>
      </c>
      <c r="AZ93" s="543" cm="1">
        <f t="array" ref="AZ93">AZ$1*AZ33*SUMPRODUCT(1*(input_MRB_EV=input_data!$C$55:$C$57),input_data!$F$55:$F$57)</f>
        <v>890.2410468739771</v>
      </c>
      <c r="BA93" s="543" cm="1">
        <f t="array" ref="BA93">BA$1*BA33*SUMPRODUCT(1*(input_MRB_EV=input_data!$C$55:$C$57),input_data!$F$55:$F$57)</f>
        <v>894.46902916513943</v>
      </c>
      <c r="BB93" s="543" cm="1">
        <f t="array" ref="BB93">BB$1*BB33*SUMPRODUCT(1*(input_MRB_EV=input_data!$C$55:$C$57),input_data!$F$55:$F$57)</f>
        <v>898.71709122494099</v>
      </c>
      <c r="BC93" s="543" cm="1">
        <f t="array" ref="BC93">BC$1*BC33*SUMPRODUCT(1*(input_MRB_EV=input_data!$C$55:$C$57),input_data!$F$55:$F$57)</f>
        <v>902.98532841733572</v>
      </c>
    </row>
    <row r="94" spans="8:55" x14ac:dyDescent="0.3">
      <c r="H94" s="542" t="str">
        <f>input_names!$D$3</f>
        <v>Elektrisch</v>
      </c>
      <c r="I94" s="542" t="s">
        <v>1505</v>
      </c>
      <c r="J94" s="543" cm="1">
        <f t="array" ref="J94">J$1*J34*SUMPRODUCT(1*(input_MRB_EV=input_data!$C$55:$C$57),input_data!$F$55:$F$57)</f>
        <v>0</v>
      </c>
      <c r="K94" s="543" cm="1">
        <f t="array" ref="K94">K$1*K34*SUMPRODUCT(1*(input_MRB_EV=input_data!$C$55:$C$57),input_data!$F$55:$F$57)</f>
        <v>0</v>
      </c>
      <c r="L94" s="543" cm="1">
        <f t="array" ref="L94">L$1*L34*SUMPRODUCT(1*(input_MRB_EV=input_data!$C$55:$C$57),input_data!$F$55:$F$57)</f>
        <v>0</v>
      </c>
      <c r="M94" s="543" cm="1">
        <f t="array" ref="M94">M$1*M34*SUMPRODUCT(1*(input_MRB_EV=input_data!$C$55:$C$57),input_data!$F$55:$F$57)</f>
        <v>0</v>
      </c>
      <c r="N94" s="543" cm="1">
        <f t="array" ref="N94">N$1*N34*SUMPRODUCT(1*(input_MRB_EV=input_data!$C$55:$C$57),input_data!$F$55:$F$57)</f>
        <v>0</v>
      </c>
      <c r="O94" s="543" cm="1">
        <f t="array" ref="O94">O$1*O34*SUMPRODUCT(1*(input_MRB_EV=input_data!$C$55:$C$57),input_data!$F$55:$F$57)</f>
        <v>0</v>
      </c>
      <c r="P94" s="543" cm="1">
        <f t="array" ref="P94">P$1*P34*SUMPRODUCT(1*(input_MRB_EV=input_data!$C$55:$C$57),input_data!$F$55:$F$57)</f>
        <v>0</v>
      </c>
      <c r="Q94" s="543" cm="1">
        <f t="array" ref="Q94">Q$1*Q34*SUMPRODUCT(1*(input_MRB_EV=input_data!$C$55:$C$57),input_data!$F$55:$F$57)</f>
        <v>0</v>
      </c>
      <c r="R94" s="543" cm="1">
        <f t="array" ref="R94">R$1*R34*SUMPRODUCT(1*(input_MRB_EV=input_data!$C$55:$C$57),input_data!$F$55:$F$57)</f>
        <v>0</v>
      </c>
      <c r="S94" s="543" cm="1">
        <f t="array" ref="S94">S$1*S34*SUMPRODUCT(1*(input_MRB_EV=input_data!$C$55:$C$57),input_data!$F$55:$F$57)</f>
        <v>197</v>
      </c>
      <c r="T94" s="543" cm="1">
        <f t="array" ref="T94">T$1*T34*SUMPRODUCT(1*(input_MRB_EV=input_data!$C$55:$C$57),input_data!$F$55:$F$57)</f>
        <v>591</v>
      </c>
      <c r="U94" s="543" cm="1">
        <f t="array" ref="U94">U$1*U34*SUMPRODUCT(1*(input_MRB_EV=input_data!$C$55:$C$57),input_data!$F$55:$F$57)</f>
        <v>593.80681006885834</v>
      </c>
      <c r="V94" s="543" cm="1">
        <f t="array" ref="V94">V$1*V34*SUMPRODUCT(1*(input_MRB_EV=input_data!$C$55:$C$57),input_data!$F$55:$F$57)</f>
        <v>596.62695039619848</v>
      </c>
      <c r="W94" s="543" cm="1">
        <f t="array" ref="W94">W$1*W34*SUMPRODUCT(1*(input_MRB_EV=input_data!$C$55:$C$57),input_data!$F$55:$F$57)</f>
        <v>599.46048429082509</v>
      </c>
      <c r="X94" s="543" cm="1">
        <f t="array" ref="X94">X$1*X34*SUMPRODUCT(1*(input_MRB_EV=input_data!$C$55:$C$57),input_data!$F$55:$F$57)</f>
        <v>602.30747536221293</v>
      </c>
      <c r="Y94" s="543" cm="1">
        <f t="array" ref="Y94">Y$1*Y34*SUMPRODUCT(1*(input_MRB_EV=input_data!$C$55:$C$57),input_data!$F$55:$F$57)</f>
        <v>806.89065002924576</v>
      </c>
      <c r="Z94" s="543" cm="1">
        <f t="array" ref="Z94">Z$1*Z34*SUMPRODUCT(1*(input_MRB_EV=input_data!$C$55:$C$57),input_data!$F$55:$F$57)</f>
        <v>810.72277998012521</v>
      </c>
      <c r="AA94" s="543" cm="1">
        <f t="array" ref="AA94">AA$1*AA34*SUMPRODUCT(1*(input_MRB_EV=input_data!$C$55:$C$57),input_data!$F$55:$F$57)</f>
        <v>814.57310969569392</v>
      </c>
      <c r="AB94" s="543" cm="1">
        <f t="array" ref="AB94">AB$1*AB34*SUMPRODUCT(1*(input_MRB_EV=input_data!$C$55:$C$57),input_data!$F$55:$F$57)</f>
        <v>818.44172561128642</v>
      </c>
      <c r="AC94" s="543" cm="1">
        <f t="array" ref="AC94">AC$1*AC34*SUMPRODUCT(1*(input_MRB_EV=input_data!$C$55:$C$57),input_data!$F$55:$F$57)</f>
        <v>822.32871457274086</v>
      </c>
      <c r="AD94" s="543" cm="1">
        <f t="array" ref="AD94">AD$1*AD34*SUMPRODUCT(1*(input_MRB_EV=input_data!$C$55:$C$57),input_data!$F$55:$F$57)</f>
        <v>826.23416383834854</v>
      </c>
      <c r="AE94" s="543" cm="1">
        <f t="array" ref="AE94">AE$1*AE34*SUMPRODUCT(1*(input_MRB_EV=input_data!$C$55:$C$57),input_data!$F$55:$F$57)</f>
        <v>830.15816108081265</v>
      </c>
      <c r="AF94" s="543" cm="1">
        <f t="array" ref="AF94">AF$1*AF34*SUMPRODUCT(1*(input_MRB_EV=input_data!$C$55:$C$57),input_data!$F$55:$F$57)</f>
        <v>834.10079438921639</v>
      </c>
      <c r="AG94" s="543" cm="1">
        <f t="array" ref="AG94">AG$1*AG34*SUMPRODUCT(1*(input_MRB_EV=input_data!$C$55:$C$57),input_data!$F$55:$F$57)</f>
        <v>838.06215227100051</v>
      </c>
      <c r="AH94" s="543" cm="1">
        <f t="array" ref="AH94">AH$1*AH34*SUMPRODUCT(1*(input_MRB_EV=input_data!$C$55:$C$57),input_data!$F$55:$F$57)</f>
        <v>842.04232365395035</v>
      </c>
      <c r="AI94" s="543" cm="1">
        <f t="array" ref="AI94">AI$1*AI34*SUMPRODUCT(1*(input_MRB_EV=input_data!$C$55:$C$57),input_data!$F$55:$F$57)</f>
        <v>846.04139788819202</v>
      </c>
      <c r="AJ94" s="543" cm="1">
        <f t="array" ref="AJ94">AJ$1*AJ34*SUMPRODUCT(1*(input_MRB_EV=input_data!$C$55:$C$57),input_data!$F$55:$F$57)</f>
        <v>850.05946474819814</v>
      </c>
      <c r="AK94" s="543" cm="1">
        <f t="array" ref="AK94">AK$1*AK34*SUMPRODUCT(1*(input_MRB_EV=input_data!$C$55:$C$57),input_data!$F$55:$F$57)</f>
        <v>854.0966144348032</v>
      </c>
      <c r="AL94" s="543" cm="1">
        <f t="array" ref="AL94">AL$1*AL34*SUMPRODUCT(1*(input_MRB_EV=input_data!$C$55:$C$57),input_data!$F$55:$F$57)</f>
        <v>858.15293757722873</v>
      </c>
      <c r="AM94" s="543" cm="1">
        <f t="array" ref="AM94">AM$1*AM34*SUMPRODUCT(1*(input_MRB_EV=input_data!$C$55:$C$57),input_data!$F$55:$F$57)</f>
        <v>862.22852523511733</v>
      </c>
      <c r="AN94" s="543" cm="1">
        <f t="array" ref="AN94">AN$1*AN34*SUMPRODUCT(1*(input_MRB_EV=input_data!$C$55:$C$57),input_data!$F$55:$F$57)</f>
        <v>866.32346890057727</v>
      </c>
      <c r="AO94" s="543" cm="1">
        <f t="array" ref="AO94">AO$1*AO34*SUMPRODUCT(1*(input_MRB_EV=input_data!$C$55:$C$57),input_data!$F$55:$F$57)</f>
        <v>870.4378605002363</v>
      </c>
      <c r="AP94" s="543" cm="1">
        <f t="array" ref="AP94">AP$1*AP34*SUMPRODUCT(1*(input_MRB_EV=input_data!$C$55:$C$57),input_data!$F$55:$F$57)</f>
        <v>874.57179239730499</v>
      </c>
      <c r="AQ94" s="543" cm="1">
        <f t="array" ref="AQ94">AQ$1*AQ34*SUMPRODUCT(1*(input_MRB_EV=input_data!$C$55:$C$57),input_data!$F$55:$F$57)</f>
        <v>878.7253573936506</v>
      </c>
      <c r="AR94" s="543" cm="1">
        <f t="array" ref="AR94">AR$1*AR34*SUMPRODUCT(1*(input_MRB_EV=input_data!$C$55:$C$57),input_data!$F$55:$F$57)</f>
        <v>882.89864873188014</v>
      </c>
      <c r="AS94" s="543" cm="1">
        <f t="array" ref="AS94">AS$1*AS34*SUMPRODUCT(1*(input_MRB_EV=input_data!$C$55:$C$57),input_data!$F$55:$F$57)</f>
        <v>887.09176009743362</v>
      </c>
      <c r="AT94" s="543" cm="1">
        <f t="array" ref="AT94">AT$1*AT34*SUMPRODUCT(1*(input_MRB_EV=input_data!$C$55:$C$57),input_data!$F$55:$F$57)</f>
        <v>891.30478562068708</v>
      </c>
      <c r="AU94" s="543" cm="1">
        <f t="array" ref="AU94">AU$1*AU34*SUMPRODUCT(1*(input_MRB_EV=input_data!$C$55:$C$57),input_data!$F$55:$F$57)</f>
        <v>895.53781987906575</v>
      </c>
      <c r="AV94" s="543" cm="1">
        <f t="array" ref="AV94">AV$1*AV34*SUMPRODUCT(1*(input_MRB_EV=input_data!$C$55:$C$57),input_data!$F$55:$F$57)</f>
        <v>899.79095789916732</v>
      </c>
      <c r="AW94" s="543" cm="1">
        <f t="array" ref="AW94">AW$1*AW34*SUMPRODUCT(1*(input_MRB_EV=input_data!$C$55:$C$57),input_data!$F$55:$F$57)</f>
        <v>904.06429515889511</v>
      </c>
      <c r="AX94" s="543" cm="1">
        <f t="array" ref="AX94">AX$1*AX34*SUMPRODUCT(1*(input_MRB_EV=input_data!$C$55:$C$57),input_data!$F$55:$F$57)</f>
        <v>908.35792758960133</v>
      </c>
      <c r="AY94" s="543" cm="1">
        <f t="array" ref="AY94">AY$1*AY34*SUMPRODUCT(1*(input_MRB_EV=input_data!$C$55:$C$57),input_data!$F$55:$F$57)</f>
        <v>912.67195157824062</v>
      </c>
      <c r="AZ94" s="543" cm="1">
        <f t="array" ref="AZ94">AZ$1*AZ34*SUMPRODUCT(1*(input_MRB_EV=input_data!$C$55:$C$57),input_data!$F$55:$F$57)</f>
        <v>917.00646396953414</v>
      </c>
      <c r="BA94" s="543" cm="1">
        <f t="array" ref="BA94">BA$1*BA34*SUMPRODUCT(1*(input_MRB_EV=input_data!$C$55:$C$57),input_data!$F$55:$F$57)</f>
        <v>921.36156206814314</v>
      </c>
      <c r="BB94" s="543" cm="1">
        <f t="array" ref="BB94">BB$1*BB34*SUMPRODUCT(1*(input_MRB_EV=input_data!$C$55:$C$57),input_data!$F$55:$F$57)</f>
        <v>925.73734364085374</v>
      </c>
      <c r="BC94" s="543" cm="1">
        <f t="array" ref="BC94">BC$1*BC34*SUMPRODUCT(1*(input_MRB_EV=input_data!$C$55:$C$57),input_data!$F$55:$F$57)</f>
        <v>930.13390691877146</v>
      </c>
    </row>
    <row r="95" spans="8:55" x14ac:dyDescent="0.3">
      <c r="H95" s="542" t="str">
        <f>input_names!$E$3</f>
        <v>plug-in</v>
      </c>
      <c r="I95" s="542" t="s">
        <v>525</v>
      </c>
      <c r="J95" s="543" cm="1">
        <f t="array" ref="J95">J$2*J5*SUMPRODUCT(1*(input_MRB_EV=input_data!$C$55:$C$57),input_data!$F$55:$F$57)</f>
        <v>17</v>
      </c>
      <c r="K95" s="543" cm="1">
        <f t="array" ref="K95">K$2*K5*SUMPRODUCT(1*(input_MRB_EV=input_data!$C$55:$C$57),input_data!$F$55:$F$57)</f>
        <v>17</v>
      </c>
      <c r="L95" s="543" cm="1">
        <f t="array" ref="L95">L$2*L5*SUMPRODUCT(1*(input_MRB_EV=input_data!$C$55:$C$57),input_data!$F$55:$F$57)</f>
        <v>17</v>
      </c>
      <c r="M95" s="543" cm="1">
        <f t="array" ref="M95">M$2*M5*SUMPRODUCT(1*(input_MRB_EV=input_data!$C$55:$C$57),input_data!$F$55:$F$57)</f>
        <v>17</v>
      </c>
      <c r="N95" s="543" cm="1">
        <f t="array" ref="N95">N$2*N5*SUMPRODUCT(1*(input_MRB_EV=input_data!$C$55:$C$57),input_data!$F$55:$F$57)</f>
        <v>17</v>
      </c>
      <c r="O95" s="543" cm="1">
        <f t="array" ref="O95">O$2*O5*SUMPRODUCT(1*(input_MRB_EV=input_data!$C$55:$C$57),input_data!$F$55:$F$57)</f>
        <v>17</v>
      </c>
      <c r="P95" s="543" cm="1">
        <f t="array" ref="P95">P$2*P5*SUMPRODUCT(1*(input_MRB_EV=input_data!$C$55:$C$57),input_data!$F$55:$F$57)</f>
        <v>17</v>
      </c>
      <c r="Q95" s="543" cm="1">
        <f t="array" ref="Q95">Q$2*Q5*SUMPRODUCT(1*(input_MRB_EV=input_data!$C$55:$C$57),input_data!$F$55:$F$57)</f>
        <v>17</v>
      </c>
      <c r="R95" s="543" cm="1">
        <f t="array" ref="R95">R$2*R5*SUMPRODUCT(1*(input_MRB_EV=input_data!$C$55:$C$57),input_data!$F$55:$F$57)</f>
        <v>17</v>
      </c>
      <c r="S95" s="543" cm="1">
        <f t="array" ref="S95">S$2*S5*SUMPRODUCT(1*(input_MRB_EV=input_data!$C$55:$C$57),input_data!$F$55:$F$57)</f>
        <v>17</v>
      </c>
      <c r="T95" s="543" cm="1">
        <f t="array" ref="T95">T$2*T5*SUMPRODUCT(1*(input_MRB_EV=input_data!$C$55:$C$57),input_data!$F$55:$F$57)</f>
        <v>25.5</v>
      </c>
      <c r="U95" s="543" cm="1">
        <f t="array" ref="U95">U$2*U5*SUMPRODUCT(1*(input_MRB_EV=input_data!$C$55:$C$57),input_data!$F$55:$F$57)</f>
        <v>34.161474690932629</v>
      </c>
      <c r="V95" s="543" cm="1">
        <f t="array" ref="V95">V$2*V5*SUMPRODUCT(1*(input_MRB_EV=input_data!$C$55:$C$57),input_data!$F$55:$F$57)</f>
        <v>34.32371626644796</v>
      </c>
      <c r="W95" s="543" cm="1">
        <f t="array" ref="W95">W$2*W5*SUMPRODUCT(1*(input_MRB_EV=input_data!$C$55:$C$57),input_data!$F$55:$F$57)</f>
        <v>34.4867283686769</v>
      </c>
      <c r="X95" s="543" cm="1">
        <f t="array" ref="X95">X$2*X5*SUMPRODUCT(1*(input_MRB_EV=input_data!$C$55:$C$57),input_data!$F$55:$F$57)</f>
        <v>34.650514657047772</v>
      </c>
      <c r="Y95" s="543" cm="1">
        <f t="array" ref="Y95">Y$2*Y5*SUMPRODUCT(1*(input_MRB_EV=input_data!$C$55:$C$57),input_data!$F$55:$F$57)</f>
        <v>34.815078808368462</v>
      </c>
      <c r="Z95" s="543" cm="1">
        <f t="array" ref="Z95">Z$2*Z5*SUMPRODUCT(1*(input_MRB_EV=input_data!$C$55:$C$57),input_data!$F$55:$F$57)</f>
        <v>34.980424516908947</v>
      </c>
      <c r="AA95" s="543" cm="1">
        <f t="array" ref="AA95">AA$2*AA5*SUMPRODUCT(1*(input_MRB_EV=input_data!$C$55:$C$57),input_data!$F$55:$F$57)</f>
        <v>35.146555494484247</v>
      </c>
      <c r="AB95" s="543" cm="1">
        <f t="array" ref="AB95">AB$2*AB5*SUMPRODUCT(1*(input_MRB_EV=input_data!$C$55:$C$57),input_data!$F$55:$F$57)</f>
        <v>35.313475470537732</v>
      </c>
      <c r="AC95" s="543" cm="1">
        <f t="array" ref="AC95">AC$2*AC5*SUMPRODUCT(1*(input_MRB_EV=input_data!$C$55:$C$57),input_data!$F$55:$F$57)</f>
        <v>35.481188192224856</v>
      </c>
      <c r="AD95" s="543" cm="1">
        <f t="array" ref="AD95">AD$2*AD5*SUMPRODUCT(1*(input_MRB_EV=input_data!$C$55:$C$57),input_data!$F$55:$F$57)</f>
        <v>35.649697424497269</v>
      </c>
      <c r="AE95" s="543" cm="1">
        <f t="array" ref="AE95">AE$2*AE5*SUMPRODUCT(1*(input_MRB_EV=input_data!$C$55:$C$57),input_data!$F$55:$F$57)</f>
        <v>35.819006950187344</v>
      </c>
      <c r="AF95" s="543" cm="1">
        <f t="array" ref="AF95">AF$2*AF5*SUMPRODUCT(1*(input_MRB_EV=input_data!$C$55:$C$57),input_data!$F$55:$F$57)</f>
        <v>35.989120570093085</v>
      </c>
      <c r="AG95" s="543" cm="1">
        <f t="array" ref="AG95">AG$2*AG5*SUMPRODUCT(1*(input_MRB_EV=input_data!$C$55:$C$57),input_data!$F$55:$F$57)</f>
        <v>36.160042103063468</v>
      </c>
      <c r="AH95" s="543" cm="1">
        <f t="array" ref="AH95">AH$2*AH5*SUMPRODUCT(1*(input_MRB_EV=input_data!$C$55:$C$57),input_data!$F$55:$F$57)</f>
        <v>36.331775386084146</v>
      </c>
      <c r="AI95" s="543" cm="1">
        <f t="array" ref="AI95">AI$2*AI5*SUMPRODUCT(1*(input_MRB_EV=input_data!$C$55:$C$57),input_data!$F$55:$F$57)</f>
        <v>36.504324274363611</v>
      </c>
      <c r="AJ95" s="543" cm="1">
        <f t="array" ref="AJ95">AJ$2*AJ5*SUMPRODUCT(1*(input_MRB_EV=input_data!$C$55:$C$57),input_data!$F$55:$F$57)</f>
        <v>36.677692641419711</v>
      </c>
      <c r="AK95" s="543" cm="1">
        <f t="array" ref="AK95">AK$2*AK5*SUMPRODUCT(1*(input_MRB_EV=input_data!$C$55:$C$57),input_data!$F$55:$F$57)</f>
        <v>36.851884379166634</v>
      </c>
      <c r="AL95" s="543" cm="1">
        <f t="array" ref="AL95">AL$2*AL5*SUMPRODUCT(1*(input_MRB_EV=input_data!$C$55:$C$57),input_data!$F$55:$F$57)</f>
        <v>37.026903398002254</v>
      </c>
      <c r="AM95" s="543" cm="1">
        <f t="array" ref="AM95">AM$2*AM5*SUMPRODUCT(1*(input_MRB_EV=input_data!$C$55:$C$57),input_data!$F$55:$F$57)</f>
        <v>37.202753626895927</v>
      </c>
      <c r="AN95" s="543" cm="1">
        <f t="array" ref="AN95">AN$2*AN5*SUMPRODUCT(1*(input_MRB_EV=input_data!$C$55:$C$57),input_data!$F$55:$F$57)</f>
        <v>37.379439013476684</v>
      </c>
      <c r="AO95" s="543" cm="1">
        <f t="array" ref="AO95">AO$2*AO5*SUMPRODUCT(1*(input_MRB_EV=input_data!$C$55:$C$57),input_data!$F$55:$F$57)</f>
        <v>37.556963524121869</v>
      </c>
      <c r="AP95" s="543" cm="1">
        <f t="array" ref="AP95">AP$2*AP5*SUMPRODUCT(1*(input_MRB_EV=input_data!$C$55:$C$57),input_data!$F$55:$F$57)</f>
        <v>37.735331144046157</v>
      </c>
      <c r="AQ95" s="543" cm="1">
        <f t="array" ref="AQ95">AQ$2*AQ5*SUMPRODUCT(1*(input_MRB_EV=input_data!$C$55:$C$57),input_data!$F$55:$F$57)</f>
        <v>37.914545877391021</v>
      </c>
      <c r="AR95" s="543" cm="1">
        <f t="array" ref="AR95">AR$2*AR5*SUMPRODUCT(1*(input_MRB_EV=input_data!$C$55:$C$57),input_data!$F$55:$F$57)</f>
        <v>38.09461174731463</v>
      </c>
      <c r="AS95" s="543" cm="1">
        <f t="array" ref="AS95">AS$2*AS5*SUMPRODUCT(1*(input_MRB_EV=input_data!$C$55:$C$57),input_data!$F$55:$F$57)</f>
        <v>38.275532796082167</v>
      </c>
      <c r="AT95" s="543" cm="1">
        <f t="array" ref="AT95">AT$2*AT5*SUMPRODUCT(1*(input_MRB_EV=input_data!$C$55:$C$57),input_data!$F$55:$F$57)</f>
        <v>38.457313085156557</v>
      </c>
      <c r="AU95" s="543" cm="1">
        <f t="array" ref="AU95">AU$2*AU5*SUMPRODUCT(1*(input_MRB_EV=input_data!$C$55:$C$57),input_data!$F$55:$F$57)</f>
        <v>38.639956695289648</v>
      </c>
      <c r="AV95" s="543" cm="1">
        <f t="array" ref="AV95">AV$2*AV5*SUMPRODUCT(1*(input_MRB_EV=input_data!$C$55:$C$57),input_data!$F$55:$F$57)</f>
        <v>38.823467726613828</v>
      </c>
      <c r="AW95" s="543" cm="1">
        <f t="array" ref="AW95">AW$2*AW5*SUMPRODUCT(1*(input_MRB_EV=input_data!$C$55:$C$57),input_data!$F$55:$F$57)</f>
        <v>39.007850298734063</v>
      </c>
      <c r="AX95" s="543" cm="1">
        <f t="array" ref="AX95">AX$2*AX5*SUMPRODUCT(1*(input_MRB_EV=input_data!$C$55:$C$57),input_data!$F$55:$F$57)</f>
        <v>39.193108550820369</v>
      </c>
      <c r="AY95" s="543" cm="1">
        <f t="array" ref="AY95">AY$2*AY5*SUMPRODUCT(1*(input_MRB_EV=input_data!$C$55:$C$57),input_data!$F$55:$F$57)</f>
        <v>39.379246641700746</v>
      </c>
      <c r="AZ95" s="543" cm="1">
        <f t="array" ref="AZ95">AZ$2*AZ5*SUMPRODUCT(1*(input_MRB_EV=input_data!$C$55:$C$57),input_data!$F$55:$F$57)</f>
        <v>39.566268749954524</v>
      </c>
      <c r="BA95" s="543" cm="1">
        <f t="array" ref="BA95">BA$2*BA5*SUMPRODUCT(1*(input_MRB_EV=input_data!$C$55:$C$57),input_data!$F$55:$F$57)</f>
        <v>39.754179074006181</v>
      </c>
      <c r="BB95" s="543" cm="1">
        <f t="array" ref="BB95">BB$2*BB5*SUMPRODUCT(1*(input_MRB_EV=input_data!$C$55:$C$57),input_data!$F$55:$F$57)</f>
        <v>39.94298183221958</v>
      </c>
      <c r="BC95" s="543" cm="1">
        <f t="array" ref="BC95">BC$2*BC5*SUMPRODUCT(1*(input_MRB_EV=input_data!$C$55:$C$57),input_data!$F$55:$F$57)</f>
        <v>40.132681262992676</v>
      </c>
    </row>
    <row r="96" spans="8:55" x14ac:dyDescent="0.3">
      <c r="H96" s="542" t="str">
        <f>input_names!$E$3</f>
        <v>plug-in</v>
      </c>
      <c r="I96" s="542" t="s">
        <v>526</v>
      </c>
      <c r="J96" s="543" cm="1">
        <f t="array" ref="J96">J$2*J6*SUMPRODUCT(1*(input_MRB_EV=input_data!$C$55:$C$57),input_data!$F$55:$F$57)</f>
        <v>22.5</v>
      </c>
      <c r="K96" s="543" cm="1">
        <f t="array" ref="K96">K$2*K6*SUMPRODUCT(1*(input_MRB_EV=input_data!$C$55:$C$57),input_data!$F$55:$F$57)</f>
        <v>22.5</v>
      </c>
      <c r="L96" s="543" cm="1">
        <f t="array" ref="L96">L$2*L6*SUMPRODUCT(1*(input_MRB_EV=input_data!$C$55:$C$57),input_data!$F$55:$F$57)</f>
        <v>22.5</v>
      </c>
      <c r="M96" s="543" cm="1">
        <f t="array" ref="M96">M$2*M6*SUMPRODUCT(1*(input_MRB_EV=input_data!$C$55:$C$57),input_data!$F$55:$F$57)</f>
        <v>22.5</v>
      </c>
      <c r="N96" s="543" cm="1">
        <f t="array" ref="N96">N$2*N6*SUMPRODUCT(1*(input_MRB_EV=input_data!$C$55:$C$57),input_data!$F$55:$F$57)</f>
        <v>22.5</v>
      </c>
      <c r="O96" s="543" cm="1">
        <f t="array" ref="O96">O$2*O6*SUMPRODUCT(1*(input_MRB_EV=input_data!$C$55:$C$57),input_data!$F$55:$F$57)</f>
        <v>22.5</v>
      </c>
      <c r="P96" s="543" cm="1">
        <f t="array" ref="P96">P$2*P6*SUMPRODUCT(1*(input_MRB_EV=input_data!$C$55:$C$57),input_data!$F$55:$F$57)</f>
        <v>22.5</v>
      </c>
      <c r="Q96" s="543" cm="1">
        <f t="array" ref="Q96">Q$2*Q6*SUMPRODUCT(1*(input_MRB_EV=input_data!$C$55:$C$57),input_data!$F$55:$F$57)</f>
        <v>22.5</v>
      </c>
      <c r="R96" s="543" cm="1">
        <f t="array" ref="R96">R$2*R6*SUMPRODUCT(1*(input_MRB_EV=input_data!$C$55:$C$57),input_data!$F$55:$F$57)</f>
        <v>22.5</v>
      </c>
      <c r="S96" s="543" cm="1">
        <f t="array" ref="S96">S$2*S6*SUMPRODUCT(1*(input_MRB_EV=input_data!$C$55:$C$57),input_data!$F$55:$F$57)</f>
        <v>22.5</v>
      </c>
      <c r="T96" s="543" cm="1">
        <f t="array" ref="T96">T$2*T6*SUMPRODUCT(1*(input_MRB_EV=input_data!$C$55:$C$57),input_data!$F$55:$F$57)</f>
        <v>33.75</v>
      </c>
      <c r="U96" s="543" cm="1">
        <f t="array" ref="U96">U$2*U6*SUMPRODUCT(1*(input_MRB_EV=input_data!$C$55:$C$57),input_data!$F$55:$F$57)</f>
        <v>45.213716502704955</v>
      </c>
      <c r="V96" s="543" cm="1">
        <f t="array" ref="V96">V$2*V6*SUMPRODUCT(1*(input_MRB_EV=input_data!$C$55:$C$57),input_data!$F$55:$F$57)</f>
        <v>45.428447999710542</v>
      </c>
      <c r="W96" s="543" cm="1">
        <f t="array" ref="W96">W$2*W6*SUMPRODUCT(1*(input_MRB_EV=input_data!$C$55:$C$57),input_data!$F$55:$F$57)</f>
        <v>45.644199311484144</v>
      </c>
      <c r="X96" s="543" cm="1">
        <f t="array" ref="X96">X$2*X6*SUMPRODUCT(1*(input_MRB_EV=input_data!$C$55:$C$57),input_data!$F$55:$F$57)</f>
        <v>45.860975281386771</v>
      </c>
      <c r="Y96" s="543" cm="1">
        <f t="array" ref="Y96">Y$2*Y6*SUMPRODUCT(1*(input_MRB_EV=input_data!$C$55:$C$57),input_data!$F$55:$F$57)</f>
        <v>46.078780775781802</v>
      </c>
      <c r="Z96" s="543" cm="1">
        <f t="array" ref="Z96">Z$2*Z6*SUMPRODUCT(1*(input_MRB_EV=input_data!$C$55:$C$57),input_data!$F$55:$F$57)</f>
        <v>46.297620684144206</v>
      </c>
      <c r="AA96" s="543" cm="1">
        <f t="array" ref="AA96">AA$2*AA6*SUMPRODUCT(1*(input_MRB_EV=input_data!$C$55:$C$57),input_data!$F$55:$F$57)</f>
        <v>46.517499919170334</v>
      </c>
      <c r="AB96" s="543" cm="1">
        <f t="array" ref="AB96">AB$2*AB6*SUMPRODUCT(1*(input_MRB_EV=input_data!$C$55:$C$57),input_data!$F$55:$F$57)</f>
        <v>46.738423416888182</v>
      </c>
      <c r="AC96" s="543" cm="1">
        <f t="array" ref="AC96">AC$2*AC6*SUMPRODUCT(1*(input_MRB_EV=input_data!$C$55:$C$57),input_data!$F$55:$F$57)</f>
        <v>46.960396136768196</v>
      </c>
      <c r="AD96" s="543" cm="1">
        <f t="array" ref="AD96">AD$2*AD6*SUMPRODUCT(1*(input_MRB_EV=input_data!$C$55:$C$57),input_data!$F$55:$F$57)</f>
        <v>47.183423061834624</v>
      </c>
      <c r="AE96" s="543" cm="1">
        <f t="array" ref="AE96">AE$2*AE6*SUMPRODUCT(1*(input_MRB_EV=input_data!$C$55:$C$57),input_data!$F$55:$F$57)</f>
        <v>47.407509198777369</v>
      </c>
      <c r="AF96" s="543" cm="1">
        <f t="array" ref="AF96">AF$2*AF6*SUMPRODUCT(1*(input_MRB_EV=input_data!$C$55:$C$57),input_data!$F$55:$F$57)</f>
        <v>47.632659578064384</v>
      </c>
      <c r="AG96" s="543" cm="1">
        <f t="array" ref="AG96">AG$2*AG6*SUMPRODUCT(1*(input_MRB_EV=input_data!$C$55:$C$57),input_data!$F$55:$F$57)</f>
        <v>47.8588792540546</v>
      </c>
      <c r="AH96" s="543" cm="1">
        <f t="array" ref="AH96">AH$2*AH6*SUMPRODUCT(1*(input_MRB_EV=input_data!$C$55:$C$57),input_data!$F$55:$F$57)</f>
        <v>48.08617330511138</v>
      </c>
      <c r="AI96" s="543" cm="1">
        <f t="array" ref="AI96">AI$2*AI6*SUMPRODUCT(1*(input_MRB_EV=input_data!$C$55:$C$57),input_data!$F$55:$F$57)</f>
        <v>48.314546833716548</v>
      </c>
      <c r="AJ96" s="543" cm="1">
        <f t="array" ref="AJ96">AJ$2*AJ6*SUMPRODUCT(1*(input_MRB_EV=input_data!$C$55:$C$57),input_data!$F$55:$F$57)</f>
        <v>48.544004966584914</v>
      </c>
      <c r="AK96" s="543" cm="1">
        <f t="array" ref="AK96">AK$2*AK6*SUMPRODUCT(1*(input_MRB_EV=input_data!$C$55:$C$57),input_data!$F$55:$F$57)</f>
        <v>48.774552854779365</v>
      </c>
      <c r="AL96" s="543" cm="1">
        <f t="array" ref="AL96">AL$2*AL6*SUMPRODUCT(1*(input_MRB_EV=input_data!$C$55:$C$57),input_data!$F$55:$F$57)</f>
        <v>49.006195673826504</v>
      </c>
      <c r="AM96" s="543" cm="1">
        <f t="array" ref="AM96">AM$2*AM6*SUMPRODUCT(1*(input_MRB_EV=input_data!$C$55:$C$57),input_data!$F$55:$F$57)</f>
        <v>49.23893862383283</v>
      </c>
      <c r="AN96" s="543" cm="1">
        <f t="array" ref="AN96">AN$2*AN6*SUMPRODUCT(1*(input_MRB_EV=input_data!$C$55:$C$57),input_data!$F$55:$F$57)</f>
        <v>49.472786929601483</v>
      </c>
      <c r="AO96" s="543" cm="1">
        <f t="array" ref="AO96">AO$2*AO6*SUMPRODUCT(1*(input_MRB_EV=input_data!$C$55:$C$57),input_data!$F$55:$F$57)</f>
        <v>49.707745840749524</v>
      </c>
      <c r="AP96" s="543" cm="1">
        <f t="array" ref="AP96">AP$2*AP6*SUMPRODUCT(1*(input_MRB_EV=input_data!$C$55:$C$57),input_data!$F$55:$F$57)</f>
        <v>49.943820631825787</v>
      </c>
      <c r="AQ96" s="543" cm="1">
        <f t="array" ref="AQ96">AQ$2*AQ6*SUMPRODUCT(1*(input_MRB_EV=input_data!$C$55:$C$57),input_data!$F$55:$F$57)</f>
        <v>50.181016602429281</v>
      </c>
      <c r="AR96" s="543" cm="1">
        <f t="array" ref="AR96">AR$2*AR6*SUMPRODUCT(1*(input_MRB_EV=input_data!$C$55:$C$57),input_data!$F$55:$F$57)</f>
        <v>50.419339077328182</v>
      </c>
      <c r="AS96" s="543" cm="1">
        <f t="array" ref="AS96">AS$2*AS6*SUMPRODUCT(1*(input_MRB_EV=input_data!$C$55:$C$57),input_data!$F$55:$F$57)</f>
        <v>50.658793406579335</v>
      </c>
      <c r="AT96" s="543" cm="1">
        <f t="array" ref="AT96">AT$2*AT6*SUMPRODUCT(1*(input_MRB_EV=input_data!$C$55:$C$57),input_data!$F$55:$F$57)</f>
        <v>50.89938496564838</v>
      </c>
      <c r="AU96" s="543" cm="1">
        <f t="array" ref="AU96">AU$2*AU6*SUMPRODUCT(1*(input_MRB_EV=input_data!$C$55:$C$57),input_data!$F$55:$F$57)</f>
        <v>51.141119155530411</v>
      </c>
      <c r="AV96" s="543" cm="1">
        <f t="array" ref="AV96">AV$2*AV6*SUMPRODUCT(1*(input_MRB_EV=input_data!$C$55:$C$57),input_data!$F$55:$F$57)</f>
        <v>51.384001402871242</v>
      </c>
      <c r="AW96" s="543" cm="1">
        <f t="array" ref="AW96">AW$2*AW6*SUMPRODUCT(1*(input_MRB_EV=input_data!$C$55:$C$57),input_data!$F$55:$F$57)</f>
        <v>51.6280371600892</v>
      </c>
      <c r="AX96" s="543" cm="1">
        <f t="array" ref="AX96">AX$2*AX6*SUMPRODUCT(1*(input_MRB_EV=input_data!$C$55:$C$57),input_data!$F$55:$F$57)</f>
        <v>51.873231905497548</v>
      </c>
      <c r="AY96" s="543" cm="1">
        <f t="array" ref="AY96">AY$2*AY6*SUMPRODUCT(1*(input_MRB_EV=input_data!$C$55:$C$57),input_data!$F$55:$F$57)</f>
        <v>52.119591143427456</v>
      </c>
      <c r="AZ96" s="543" cm="1">
        <f t="array" ref="AZ96">AZ$2*AZ6*SUMPRODUCT(1*(input_MRB_EV=input_data!$C$55:$C$57),input_data!$F$55:$F$57)</f>
        <v>52.367120404351574</v>
      </c>
      <c r="BA96" s="543" cm="1">
        <f t="array" ref="BA96">BA$2*BA6*SUMPRODUCT(1*(input_MRB_EV=input_data!$C$55:$C$57),input_data!$F$55:$F$57)</f>
        <v>52.615825245008182</v>
      </c>
      <c r="BB96" s="543" cm="1">
        <f t="array" ref="BB96">BB$2*BB6*SUMPRODUCT(1*(input_MRB_EV=input_data!$C$55:$C$57),input_data!$F$55:$F$57)</f>
        <v>52.865711248525919</v>
      </c>
      <c r="BC96" s="543" cm="1">
        <f t="array" ref="BC96">BC$2*BC6*SUMPRODUCT(1*(input_MRB_EV=input_data!$C$55:$C$57),input_data!$F$55:$F$57)</f>
        <v>53.11678402454914</v>
      </c>
    </row>
    <row r="97" spans="8:55" x14ac:dyDescent="0.3">
      <c r="H97" s="542" t="str">
        <f>input_names!$E$3</f>
        <v>plug-in</v>
      </c>
      <c r="I97" s="542" t="s">
        <v>527</v>
      </c>
      <c r="J97" s="543" cm="1">
        <f t="array" ref="J97">J$2*J7*SUMPRODUCT(1*(input_MRB_EV=input_data!$C$55:$C$57),input_data!$F$55:$F$57)</f>
        <v>27.5</v>
      </c>
      <c r="K97" s="543" cm="1">
        <f t="array" ref="K97">K$2*K7*SUMPRODUCT(1*(input_MRB_EV=input_data!$C$55:$C$57),input_data!$F$55:$F$57)</f>
        <v>27.5</v>
      </c>
      <c r="L97" s="543" cm="1">
        <f t="array" ref="L97">L$2*L7*SUMPRODUCT(1*(input_MRB_EV=input_data!$C$55:$C$57),input_data!$F$55:$F$57)</f>
        <v>27.5</v>
      </c>
      <c r="M97" s="543" cm="1">
        <f t="array" ref="M97">M$2*M7*SUMPRODUCT(1*(input_MRB_EV=input_data!$C$55:$C$57),input_data!$F$55:$F$57)</f>
        <v>27.5</v>
      </c>
      <c r="N97" s="543" cm="1">
        <f t="array" ref="N97">N$2*N7*SUMPRODUCT(1*(input_MRB_EV=input_data!$C$55:$C$57),input_data!$F$55:$F$57)</f>
        <v>27.5</v>
      </c>
      <c r="O97" s="543" cm="1">
        <f t="array" ref="O97">O$2*O7*SUMPRODUCT(1*(input_MRB_EV=input_data!$C$55:$C$57),input_data!$F$55:$F$57)</f>
        <v>27.5</v>
      </c>
      <c r="P97" s="543" cm="1">
        <f t="array" ref="P97">P$2*P7*SUMPRODUCT(1*(input_MRB_EV=input_data!$C$55:$C$57),input_data!$F$55:$F$57)</f>
        <v>27.5</v>
      </c>
      <c r="Q97" s="543" cm="1">
        <f t="array" ref="Q97">Q$2*Q7*SUMPRODUCT(1*(input_MRB_EV=input_data!$C$55:$C$57),input_data!$F$55:$F$57)</f>
        <v>27.5</v>
      </c>
      <c r="R97" s="543" cm="1">
        <f t="array" ref="R97">R$2*R7*SUMPRODUCT(1*(input_MRB_EV=input_data!$C$55:$C$57),input_data!$F$55:$F$57)</f>
        <v>27.5</v>
      </c>
      <c r="S97" s="543" cm="1">
        <f t="array" ref="S97">S$2*S7*SUMPRODUCT(1*(input_MRB_EV=input_data!$C$55:$C$57),input_data!$F$55:$F$57)</f>
        <v>27.5</v>
      </c>
      <c r="T97" s="543" cm="1">
        <f t="array" ref="T97">T$2*T7*SUMPRODUCT(1*(input_MRB_EV=input_data!$C$55:$C$57),input_data!$F$55:$F$57)</f>
        <v>41.25</v>
      </c>
      <c r="U97" s="543" cm="1">
        <f t="array" ref="U97">U$2*U7*SUMPRODUCT(1*(input_MRB_EV=input_data!$C$55:$C$57),input_data!$F$55:$F$57)</f>
        <v>55.26120905886161</v>
      </c>
      <c r="V97" s="543" cm="1">
        <f t="array" ref="V97">V$2*V7*SUMPRODUCT(1*(input_MRB_EV=input_data!$C$55:$C$57),input_data!$F$55:$F$57)</f>
        <v>55.523658666312883</v>
      </c>
      <c r="W97" s="543" cm="1">
        <f t="array" ref="W97">W$2*W7*SUMPRODUCT(1*(input_MRB_EV=input_data!$C$55:$C$57),input_data!$F$55:$F$57)</f>
        <v>55.787354714036169</v>
      </c>
      <c r="X97" s="543" cm="1">
        <f t="array" ref="X97">X$2*X7*SUMPRODUCT(1*(input_MRB_EV=input_data!$C$55:$C$57),input_data!$F$55:$F$57)</f>
        <v>56.052303121694933</v>
      </c>
      <c r="Y97" s="543" cm="1">
        <f t="array" ref="Y97">Y$2*Y7*SUMPRODUCT(1*(input_MRB_EV=input_data!$C$55:$C$57),input_data!$F$55:$F$57)</f>
        <v>56.318509837066635</v>
      </c>
      <c r="Z97" s="543" cm="1">
        <f t="array" ref="Z97">Z$2*Z7*SUMPRODUCT(1*(input_MRB_EV=input_data!$C$55:$C$57),input_data!$F$55:$F$57)</f>
        <v>56.585980836176248</v>
      </c>
      <c r="AA97" s="543" cm="1">
        <f t="array" ref="AA97">AA$2*AA7*SUMPRODUCT(1*(input_MRB_EV=input_data!$C$55:$C$57),input_data!$F$55:$F$57)</f>
        <v>56.854722123430406</v>
      </c>
      <c r="AB97" s="543" cm="1">
        <f t="array" ref="AB97">AB$2*AB7*SUMPRODUCT(1*(input_MRB_EV=input_data!$C$55:$C$57),input_data!$F$55:$F$57)</f>
        <v>57.124739731752214</v>
      </c>
      <c r="AC97" s="543" cm="1">
        <f t="array" ref="AC97">AC$2*AC7*SUMPRODUCT(1*(input_MRB_EV=input_data!$C$55:$C$57),input_data!$F$55:$F$57)</f>
        <v>57.396039722716679</v>
      </c>
      <c r="AD97" s="543" cm="1">
        <f t="array" ref="AD97">AD$2*AD7*SUMPRODUCT(1*(input_MRB_EV=input_data!$C$55:$C$57),input_data!$F$55:$F$57)</f>
        <v>57.66862818668676</v>
      </c>
      <c r="AE97" s="543" cm="1">
        <f t="array" ref="AE97">AE$2*AE7*SUMPRODUCT(1*(input_MRB_EV=input_data!$C$55:$C$57),input_data!$F$55:$F$57)</f>
        <v>57.942511242950118</v>
      </c>
      <c r="AF97" s="543" cm="1">
        <f t="array" ref="AF97">AF$2*AF7*SUMPRODUCT(1*(input_MRB_EV=input_data!$C$55:$C$57),input_data!$F$55:$F$57)</f>
        <v>58.217695039856466</v>
      </c>
      <c r="AG97" s="543" cm="1">
        <f t="array" ref="AG97">AG$2*AG7*SUMPRODUCT(1*(input_MRB_EV=input_data!$C$55:$C$57),input_data!$F$55:$F$57)</f>
        <v>58.494185754955616</v>
      </c>
      <c r="AH97" s="543" cm="1">
        <f t="array" ref="AH97">AH$2*AH7*SUMPRODUCT(1*(input_MRB_EV=input_data!$C$55:$C$57),input_data!$F$55:$F$57)</f>
        <v>58.771989595136127</v>
      </c>
      <c r="AI97" s="543" cm="1">
        <f t="array" ref="AI97">AI$2*AI7*SUMPRODUCT(1*(input_MRB_EV=input_data!$C$55:$C$57),input_data!$F$55:$F$57)</f>
        <v>59.05111279676467</v>
      </c>
      <c r="AJ97" s="543" cm="1">
        <f t="array" ref="AJ97">AJ$2*AJ7*SUMPRODUCT(1*(input_MRB_EV=input_data!$C$55:$C$57),input_data!$F$55:$F$57)</f>
        <v>59.331561625826012</v>
      </c>
      <c r="AK97" s="543" cm="1">
        <f t="array" ref="AK97">AK$2*AK7*SUMPRODUCT(1*(input_MRB_EV=input_data!$C$55:$C$57),input_data!$F$55:$F$57)</f>
        <v>59.613342378063678</v>
      </c>
      <c r="AL97" s="543" cm="1">
        <f t="array" ref="AL97">AL$2*AL7*SUMPRODUCT(1*(input_MRB_EV=input_data!$C$55:$C$57),input_data!$F$55:$F$57)</f>
        <v>59.896461379121298</v>
      </c>
      <c r="AM97" s="543" cm="1">
        <f t="array" ref="AM97">AM$2*AM7*SUMPRODUCT(1*(input_MRB_EV=input_data!$C$55:$C$57),input_data!$F$55:$F$57)</f>
        <v>60.180924984684587</v>
      </c>
      <c r="AN97" s="543" cm="1">
        <f t="array" ref="AN97">AN$2*AN7*SUMPRODUCT(1*(input_MRB_EV=input_data!$C$55:$C$57),input_data!$F$55:$F$57)</f>
        <v>60.466739580624051</v>
      </c>
      <c r="AO97" s="543" cm="1">
        <f t="array" ref="AO97">AO$2*AO7*SUMPRODUCT(1*(input_MRB_EV=input_data!$C$55:$C$57),input_data!$F$55:$F$57)</f>
        <v>60.753911583138319</v>
      </c>
      <c r="AP97" s="543" cm="1">
        <f t="array" ref="AP97">AP$2*AP7*SUMPRODUCT(1*(input_MRB_EV=input_data!$C$55:$C$57),input_data!$F$55:$F$57)</f>
        <v>61.042447438898193</v>
      </c>
      <c r="AQ97" s="543" cm="1">
        <f t="array" ref="AQ97">AQ$2*AQ7*SUMPRODUCT(1*(input_MRB_EV=input_data!$C$55:$C$57),input_data!$F$55:$F$57)</f>
        <v>61.332353625191352</v>
      </c>
      <c r="AR97" s="543" cm="1">
        <f t="array" ref="AR97">AR$2*AR7*SUMPRODUCT(1*(input_MRB_EV=input_data!$C$55:$C$57),input_data!$F$55:$F$57)</f>
        <v>61.62363665006778</v>
      </c>
      <c r="AS97" s="543" cm="1">
        <f t="array" ref="AS97">AS$2*AS7*SUMPRODUCT(1*(input_MRB_EV=input_data!$C$55:$C$57),input_data!$F$55:$F$57)</f>
        <v>61.916303052485851</v>
      </c>
      <c r="AT97" s="543" cm="1">
        <f t="array" ref="AT97">AT$2*AT7*SUMPRODUCT(1*(input_MRB_EV=input_data!$C$55:$C$57),input_data!$F$55:$F$57)</f>
        <v>62.210359402459126</v>
      </c>
      <c r="AU97" s="543" cm="1">
        <f t="array" ref="AU97">AU$2*AU7*SUMPRODUCT(1*(input_MRB_EV=input_data!$C$55:$C$57),input_data!$F$55:$F$57)</f>
        <v>62.505812301203832</v>
      </c>
      <c r="AV97" s="543" cm="1">
        <f t="array" ref="AV97">AV$2*AV7*SUMPRODUCT(1*(input_MRB_EV=input_data!$C$55:$C$57),input_data!$F$55:$F$57)</f>
        <v>62.80266838128707</v>
      </c>
      <c r="AW97" s="543" cm="1">
        <f t="array" ref="AW97">AW$2*AW7*SUMPRODUCT(1*(input_MRB_EV=input_data!$C$55:$C$57),input_data!$F$55:$F$57)</f>
        <v>63.100934306775684</v>
      </c>
      <c r="AX97" s="543" cm="1">
        <f t="array" ref="AX97">AX$2*AX7*SUMPRODUCT(1*(input_MRB_EV=input_data!$C$55:$C$57),input_data!$F$55:$F$57)</f>
        <v>63.400616773385885</v>
      </c>
      <c r="AY97" s="543" cm="1">
        <f t="array" ref="AY97">AY$2*AY7*SUMPRODUCT(1*(input_MRB_EV=input_data!$C$55:$C$57),input_data!$F$55:$F$57)</f>
        <v>63.701722508633551</v>
      </c>
      <c r="AZ97" s="543" cm="1">
        <f t="array" ref="AZ97">AZ$2*AZ7*SUMPRODUCT(1*(input_MRB_EV=input_data!$C$55:$C$57),input_data!$F$55:$F$57)</f>
        <v>64.00425827198525</v>
      </c>
      <c r="BA97" s="543" cm="1">
        <f t="array" ref="BA97">BA$2*BA7*SUMPRODUCT(1*(input_MRB_EV=input_data!$C$55:$C$57),input_data!$F$55:$F$57)</f>
        <v>64.308230855009995</v>
      </c>
      <c r="BB97" s="543" cm="1">
        <f t="array" ref="BB97">BB$2*BB7*SUMPRODUCT(1*(input_MRB_EV=input_data!$C$55:$C$57),input_data!$F$55:$F$57)</f>
        <v>64.613647081531667</v>
      </c>
      <c r="BC97" s="543" cm="1">
        <f t="array" ref="BC97">BC$2*BC7*SUMPRODUCT(1*(input_MRB_EV=input_data!$C$55:$C$57),input_data!$F$55:$F$57)</f>
        <v>64.920513807782271</v>
      </c>
    </row>
    <row r="98" spans="8:55" x14ac:dyDescent="0.3">
      <c r="H98" s="542" t="str">
        <f>input_names!$E$3</f>
        <v>plug-in</v>
      </c>
      <c r="I98" s="542" t="s">
        <v>528</v>
      </c>
      <c r="J98" s="543" cm="1">
        <f t="array" ref="J98">J$2*J8*SUMPRODUCT(1*(input_MRB_EV=input_data!$C$55:$C$57),input_data!$F$55:$F$57)</f>
        <v>36.5</v>
      </c>
      <c r="K98" s="543" cm="1">
        <f t="array" ref="K98">K$2*K8*SUMPRODUCT(1*(input_MRB_EV=input_data!$C$55:$C$57),input_data!$F$55:$F$57)</f>
        <v>36.5</v>
      </c>
      <c r="L98" s="543" cm="1">
        <f t="array" ref="L98">L$2*L8*SUMPRODUCT(1*(input_MRB_EV=input_data!$C$55:$C$57),input_data!$F$55:$F$57)</f>
        <v>36.5</v>
      </c>
      <c r="M98" s="543" cm="1">
        <f t="array" ref="M98">M$2*M8*SUMPRODUCT(1*(input_MRB_EV=input_data!$C$55:$C$57),input_data!$F$55:$F$57)</f>
        <v>36.5</v>
      </c>
      <c r="N98" s="543" cm="1">
        <f t="array" ref="N98">N$2*N8*SUMPRODUCT(1*(input_MRB_EV=input_data!$C$55:$C$57),input_data!$F$55:$F$57)</f>
        <v>36.5</v>
      </c>
      <c r="O98" s="543" cm="1">
        <f t="array" ref="O98">O$2*O8*SUMPRODUCT(1*(input_MRB_EV=input_data!$C$55:$C$57),input_data!$F$55:$F$57)</f>
        <v>36.5</v>
      </c>
      <c r="P98" s="543" cm="1">
        <f t="array" ref="P98">P$2*P8*SUMPRODUCT(1*(input_MRB_EV=input_data!$C$55:$C$57),input_data!$F$55:$F$57)</f>
        <v>36.5</v>
      </c>
      <c r="Q98" s="543" cm="1">
        <f t="array" ref="Q98">Q$2*Q8*SUMPRODUCT(1*(input_MRB_EV=input_data!$C$55:$C$57),input_data!$F$55:$F$57)</f>
        <v>36.5</v>
      </c>
      <c r="R98" s="543" cm="1">
        <f t="array" ref="R98">R$2*R8*SUMPRODUCT(1*(input_MRB_EV=input_data!$C$55:$C$57),input_data!$F$55:$F$57)</f>
        <v>36.5</v>
      </c>
      <c r="S98" s="543" cm="1">
        <f t="array" ref="S98">S$2*S8*SUMPRODUCT(1*(input_MRB_EV=input_data!$C$55:$C$57),input_data!$F$55:$F$57)</f>
        <v>36.5</v>
      </c>
      <c r="T98" s="543" cm="1">
        <f t="array" ref="T98">T$2*T8*SUMPRODUCT(1*(input_MRB_EV=input_data!$C$55:$C$57),input_data!$F$55:$F$57)</f>
        <v>54.75</v>
      </c>
      <c r="U98" s="543" cm="1">
        <f t="array" ref="U98">U$2*U8*SUMPRODUCT(1*(input_MRB_EV=input_data!$C$55:$C$57),input_data!$F$55:$F$57)</f>
        <v>73.346695659943592</v>
      </c>
      <c r="V98" s="543" cm="1">
        <f t="array" ref="V98">V$2*V8*SUMPRODUCT(1*(input_MRB_EV=input_data!$C$55:$C$57),input_data!$F$55:$F$57)</f>
        <v>73.695037866197097</v>
      </c>
      <c r="W98" s="543" cm="1">
        <f t="array" ref="W98">W$2*W8*SUMPRODUCT(1*(input_MRB_EV=input_data!$C$55:$C$57),input_data!$F$55:$F$57)</f>
        <v>74.045034438629827</v>
      </c>
      <c r="X98" s="543" cm="1">
        <f t="array" ref="X98">X$2*X8*SUMPRODUCT(1*(input_MRB_EV=input_data!$C$55:$C$57),input_data!$F$55:$F$57)</f>
        <v>74.396693234249639</v>
      </c>
      <c r="Y98" s="543" cm="1">
        <f t="array" ref="Y98">Y$2*Y8*SUMPRODUCT(1*(input_MRB_EV=input_data!$C$55:$C$57),input_data!$F$55:$F$57)</f>
        <v>74.750022147379354</v>
      </c>
      <c r="Z98" s="543" cm="1">
        <f t="array" ref="Z98">Z$2*Z8*SUMPRODUCT(1*(input_MRB_EV=input_data!$C$55:$C$57),input_data!$F$55:$F$57)</f>
        <v>75.105029109833922</v>
      </c>
      <c r="AA98" s="543" cm="1">
        <f t="array" ref="AA98">AA$2*AA8*SUMPRODUCT(1*(input_MRB_EV=input_data!$C$55:$C$57),input_data!$F$55:$F$57)</f>
        <v>75.461722091098537</v>
      </c>
      <c r="AB98" s="543" cm="1">
        <f t="array" ref="AB98">AB$2*AB8*SUMPRODUCT(1*(input_MRB_EV=input_data!$C$55:$C$57),input_data!$F$55:$F$57)</f>
        <v>75.820109098507487</v>
      </c>
      <c r="AC98" s="543" cm="1">
        <f t="array" ref="AC98">AC$2*AC8*SUMPRODUCT(1*(input_MRB_EV=input_data!$C$55:$C$57),input_data!$F$55:$F$57)</f>
        <v>76.180198177423961</v>
      </c>
      <c r="AD98" s="543" cm="1">
        <f t="array" ref="AD98">AD$2*AD8*SUMPRODUCT(1*(input_MRB_EV=input_data!$C$55:$C$57),input_data!$F$55:$F$57)</f>
        <v>76.54199741142061</v>
      </c>
      <c r="AE98" s="543" cm="1">
        <f t="array" ref="AE98">AE$2*AE8*SUMPRODUCT(1*(input_MRB_EV=input_data!$C$55:$C$57),input_data!$F$55:$F$57)</f>
        <v>76.905514922461066</v>
      </c>
      <c r="AF98" s="543" cm="1">
        <f t="array" ref="AF98">AF$2*AF8*SUMPRODUCT(1*(input_MRB_EV=input_data!$C$55:$C$57),input_data!$F$55:$F$57)</f>
        <v>77.270758871082222</v>
      </c>
      <c r="AG98" s="543" cm="1">
        <f t="array" ref="AG98">AG$2*AG8*SUMPRODUCT(1*(input_MRB_EV=input_data!$C$55:$C$57),input_data!$F$55:$F$57)</f>
        <v>77.637737456577455</v>
      </c>
      <c r="AH98" s="543" cm="1">
        <f t="array" ref="AH98">AH$2*AH8*SUMPRODUCT(1*(input_MRB_EV=input_data!$C$55:$C$57),input_data!$F$55:$F$57)</f>
        <v>78.00645891718068</v>
      </c>
      <c r="AI98" s="543" cm="1">
        <f t="array" ref="AI98">AI$2*AI8*SUMPRODUCT(1*(input_MRB_EV=input_data!$C$55:$C$57),input_data!$F$55:$F$57)</f>
        <v>78.376931530251298</v>
      </c>
      <c r="AJ98" s="543" cm="1">
        <f t="array" ref="AJ98">AJ$2*AJ8*SUMPRODUCT(1*(input_MRB_EV=input_data!$C$55:$C$57),input_data!$F$55:$F$57)</f>
        <v>78.749163612459981</v>
      </c>
      <c r="AK98" s="543" cm="1">
        <f t="array" ref="AK98">AK$2*AK8*SUMPRODUCT(1*(input_MRB_EV=input_data!$C$55:$C$57),input_data!$F$55:$F$57)</f>
        <v>79.123163519975435</v>
      </c>
      <c r="AL98" s="543" cm="1">
        <f t="array" ref="AL98">AL$2*AL8*SUMPRODUCT(1*(input_MRB_EV=input_data!$C$55:$C$57),input_data!$F$55:$F$57)</f>
        <v>79.498939648651913</v>
      </c>
      <c r="AM98" s="543" cm="1">
        <f t="array" ref="AM98">AM$2*AM8*SUMPRODUCT(1*(input_MRB_EV=input_data!$C$55:$C$57),input_data!$F$55:$F$57)</f>
        <v>79.876500434217732</v>
      </c>
      <c r="AN98" s="543" cm="1">
        <f t="array" ref="AN98">AN$2*AN8*SUMPRODUCT(1*(input_MRB_EV=input_data!$C$55:$C$57),input_data!$F$55:$F$57)</f>
        <v>80.255854352464652</v>
      </c>
      <c r="AO98" s="543" cm="1">
        <f t="array" ref="AO98">AO$2*AO8*SUMPRODUCT(1*(input_MRB_EV=input_data!$C$55:$C$57),input_data!$F$55:$F$57)</f>
        <v>80.637009919438142</v>
      </c>
      <c r="AP98" s="543" cm="1">
        <f t="array" ref="AP98">AP$2*AP8*SUMPRODUCT(1*(input_MRB_EV=input_data!$C$55:$C$57),input_data!$F$55:$F$57)</f>
        <v>81.019975691628517</v>
      </c>
      <c r="AQ98" s="543" cm="1">
        <f t="array" ref="AQ98">AQ$2*AQ8*SUMPRODUCT(1*(input_MRB_EV=input_data!$C$55:$C$57),input_data!$F$55:$F$57)</f>
        <v>81.40476026616308</v>
      </c>
      <c r="AR98" s="543" cm="1">
        <f t="array" ref="AR98">AR$2*AR8*SUMPRODUCT(1*(input_MRB_EV=input_data!$C$55:$C$57),input_data!$F$55:$F$57)</f>
        <v>81.79137228099907</v>
      </c>
      <c r="AS98" s="543" cm="1">
        <f t="array" ref="AS98">AS$2*AS8*SUMPRODUCT(1*(input_MRB_EV=input_data!$C$55:$C$57),input_data!$F$55:$F$57)</f>
        <v>82.179820415117604</v>
      </c>
      <c r="AT98" s="543" cm="1">
        <f t="array" ref="AT98">AT$2*AT8*SUMPRODUCT(1*(input_MRB_EV=input_data!$C$55:$C$57),input_data!$F$55:$F$57)</f>
        <v>82.570113388718497</v>
      </c>
      <c r="AU98" s="543" cm="1">
        <f t="array" ref="AU98">AU$2*AU8*SUMPRODUCT(1*(input_MRB_EV=input_data!$C$55:$C$57),input_data!$F$55:$F$57)</f>
        <v>82.962259963416017</v>
      </c>
      <c r="AV98" s="543" cm="1">
        <f t="array" ref="AV98">AV$2*AV8*SUMPRODUCT(1*(input_MRB_EV=input_data!$C$55:$C$57),input_data!$F$55:$F$57)</f>
        <v>83.356268942435577</v>
      </c>
      <c r="AW98" s="543" cm="1">
        <f t="array" ref="AW98">AW$2*AW8*SUMPRODUCT(1*(input_MRB_EV=input_data!$C$55:$C$57),input_data!$F$55:$F$57)</f>
        <v>83.752149170811379</v>
      </c>
      <c r="AX98" s="543" cm="1">
        <f t="array" ref="AX98">AX$2*AX8*SUMPRODUCT(1*(input_MRB_EV=input_data!$C$55:$C$57),input_data!$F$55:$F$57)</f>
        <v>84.149909535584925</v>
      </c>
      <c r="AY98" s="543" cm="1">
        <f t="array" ref="AY98">AY$2*AY8*SUMPRODUCT(1*(input_MRB_EV=input_data!$C$55:$C$57),input_data!$F$55:$F$57)</f>
        <v>84.549558966004554</v>
      </c>
      <c r="AZ98" s="543" cm="1">
        <f t="array" ref="AZ98">AZ$2*AZ8*SUMPRODUCT(1*(input_MRB_EV=input_data!$C$55:$C$57),input_data!$F$55:$F$57)</f>
        <v>84.951106433725897</v>
      </c>
      <c r="BA98" s="543" cm="1">
        <f t="array" ref="BA98">BA$2*BA8*SUMPRODUCT(1*(input_MRB_EV=input_data!$C$55:$C$57),input_data!$F$55:$F$57)</f>
        <v>85.354560953013277</v>
      </c>
      <c r="BB98" s="543" cm="1">
        <f t="array" ref="BB98">BB$2*BB8*SUMPRODUCT(1*(input_MRB_EV=input_data!$C$55:$C$57),input_data!$F$55:$F$57)</f>
        <v>85.759931580942052</v>
      </c>
      <c r="BC98" s="543" cm="1">
        <f t="array" ref="BC98">BC$2*BC8*SUMPRODUCT(1*(input_MRB_EV=input_data!$C$55:$C$57),input_data!$F$55:$F$57)</f>
        <v>86.167227417601936</v>
      </c>
    </row>
    <row r="99" spans="8:55" x14ac:dyDescent="0.3">
      <c r="H99" s="542" t="str">
        <f>input_names!$E$3</f>
        <v>plug-in</v>
      </c>
      <c r="I99" s="542" t="s">
        <v>529</v>
      </c>
      <c r="J99" s="543" cm="1">
        <f t="array" ref="J99">J$2*J9*SUMPRODUCT(1*(input_MRB_EV=input_data!$C$55:$C$57),input_data!$F$55:$F$57)</f>
        <v>47.5</v>
      </c>
      <c r="K99" s="543" cm="1">
        <f t="array" ref="K99">K$2*K9*SUMPRODUCT(1*(input_MRB_EV=input_data!$C$55:$C$57),input_data!$F$55:$F$57)</f>
        <v>47.5</v>
      </c>
      <c r="L99" s="543" cm="1">
        <f t="array" ref="L99">L$2*L9*SUMPRODUCT(1*(input_MRB_EV=input_data!$C$55:$C$57),input_data!$F$55:$F$57)</f>
        <v>47.5</v>
      </c>
      <c r="M99" s="543" cm="1">
        <f t="array" ref="M99">M$2*M9*SUMPRODUCT(1*(input_MRB_EV=input_data!$C$55:$C$57),input_data!$F$55:$F$57)</f>
        <v>47.5</v>
      </c>
      <c r="N99" s="543" cm="1">
        <f t="array" ref="N99">N$2*N9*SUMPRODUCT(1*(input_MRB_EV=input_data!$C$55:$C$57),input_data!$F$55:$F$57)</f>
        <v>47.5</v>
      </c>
      <c r="O99" s="543" cm="1">
        <f t="array" ref="O99">O$2*O9*SUMPRODUCT(1*(input_MRB_EV=input_data!$C$55:$C$57),input_data!$F$55:$F$57)</f>
        <v>47.5</v>
      </c>
      <c r="P99" s="543" cm="1">
        <f t="array" ref="P99">P$2*P9*SUMPRODUCT(1*(input_MRB_EV=input_data!$C$55:$C$57),input_data!$F$55:$F$57)</f>
        <v>47.5</v>
      </c>
      <c r="Q99" s="543" cm="1">
        <f t="array" ref="Q99">Q$2*Q9*SUMPRODUCT(1*(input_MRB_EV=input_data!$C$55:$C$57),input_data!$F$55:$F$57)</f>
        <v>47.5</v>
      </c>
      <c r="R99" s="543" cm="1">
        <f t="array" ref="R99">R$2*R9*SUMPRODUCT(1*(input_MRB_EV=input_data!$C$55:$C$57),input_data!$F$55:$F$57)</f>
        <v>47.5</v>
      </c>
      <c r="S99" s="543" cm="1">
        <f t="array" ref="S99">S$2*S9*SUMPRODUCT(1*(input_MRB_EV=input_data!$C$55:$C$57),input_data!$F$55:$F$57)</f>
        <v>47.5</v>
      </c>
      <c r="T99" s="543" cm="1">
        <f t="array" ref="T99">T$2*T9*SUMPRODUCT(1*(input_MRB_EV=input_data!$C$55:$C$57),input_data!$F$55:$F$57)</f>
        <v>71.25</v>
      </c>
      <c r="U99" s="543" cm="1">
        <f t="array" ref="U99">U$2*U9*SUMPRODUCT(1*(input_MRB_EV=input_data!$C$55:$C$57),input_data!$F$55:$F$57)</f>
        <v>95.45117928348823</v>
      </c>
      <c r="V99" s="543" cm="1">
        <f t="array" ref="V99">V$2*V9*SUMPRODUCT(1*(input_MRB_EV=input_data!$C$55:$C$57),input_data!$F$55:$F$57)</f>
        <v>95.904501332722248</v>
      </c>
      <c r="W99" s="543" cm="1">
        <f t="array" ref="W99">W$2*W9*SUMPRODUCT(1*(input_MRB_EV=input_data!$C$55:$C$57),input_data!$F$55:$F$57)</f>
        <v>96.359976324244286</v>
      </c>
      <c r="X99" s="543" cm="1">
        <f t="array" ref="X99">X$2*X9*SUMPRODUCT(1*(input_MRB_EV=input_data!$C$55:$C$57),input_data!$F$55:$F$57)</f>
        <v>96.81761448292761</v>
      </c>
      <c r="Y99" s="543" cm="1">
        <f t="array" ref="Y99">Y$2*Y9*SUMPRODUCT(1*(input_MRB_EV=input_data!$C$55:$C$57),input_data!$F$55:$F$57)</f>
        <v>97.277426082206006</v>
      </c>
      <c r="Z99" s="543" cm="1">
        <f t="array" ref="Z99">Z$2*Z9*SUMPRODUCT(1*(input_MRB_EV=input_data!$C$55:$C$57),input_data!$F$55:$F$57)</f>
        <v>97.739421444304426</v>
      </c>
      <c r="AA99" s="543" cm="1">
        <f t="array" ref="AA99">AA$2*AA9*SUMPRODUCT(1*(input_MRB_EV=input_data!$C$55:$C$57),input_data!$F$55:$F$57)</f>
        <v>98.203610940470696</v>
      </c>
      <c r="AB99" s="543" cm="1">
        <f t="array" ref="AB99">AB$2*AB9*SUMPRODUCT(1*(input_MRB_EV=input_data!$C$55:$C$57),input_data!$F$55:$F$57)</f>
        <v>98.670004991208373</v>
      </c>
      <c r="AC99" s="543" cm="1">
        <f t="array" ref="AC99">AC$2*AC9*SUMPRODUCT(1*(input_MRB_EV=input_data!$C$55:$C$57),input_data!$F$55:$F$57)</f>
        <v>99.138614066510627</v>
      </c>
      <c r="AD99" s="543" cm="1">
        <f t="array" ref="AD99">AD$2*AD9*SUMPRODUCT(1*(input_MRB_EV=input_data!$C$55:$C$57),input_data!$F$55:$F$57)</f>
        <v>99.609448686095305</v>
      </c>
      <c r="AE99" s="543" cm="1">
        <f t="array" ref="AE99">AE$2*AE9*SUMPRODUCT(1*(input_MRB_EV=input_data!$C$55:$C$57),input_data!$F$55:$F$57)</f>
        <v>100.0825194196411</v>
      </c>
      <c r="AF99" s="543" cm="1">
        <f t="array" ref="AF99">AF$2*AF9*SUMPRODUCT(1*(input_MRB_EV=input_data!$C$55:$C$57),input_data!$F$55:$F$57)</f>
        <v>100.55783688702479</v>
      </c>
      <c r="AG99" s="543" cm="1">
        <f t="array" ref="AG99">AG$2*AG9*SUMPRODUCT(1*(input_MRB_EV=input_data!$C$55:$C$57),input_data!$F$55:$F$57)</f>
        <v>101.03541175855969</v>
      </c>
      <c r="AH99" s="543" cm="1">
        <f t="array" ref="AH99">AH$2*AH9*SUMPRODUCT(1*(input_MRB_EV=input_data!$C$55:$C$57),input_data!$F$55:$F$57)</f>
        <v>101.51525475523512</v>
      </c>
      <c r="AI99" s="543" cm="1">
        <f t="array" ref="AI99">AI$2*AI9*SUMPRODUCT(1*(input_MRB_EV=input_data!$C$55:$C$57),input_data!$F$55:$F$57)</f>
        <v>101.99737664895714</v>
      </c>
      <c r="AJ99" s="543" cm="1">
        <f t="array" ref="AJ99">AJ$2*AJ9*SUMPRODUCT(1*(input_MRB_EV=input_data!$C$55:$C$57),input_data!$F$55:$F$57)</f>
        <v>102.48178826279036</v>
      </c>
      <c r="AK99" s="543" cm="1">
        <f t="array" ref="AK99">AK$2*AK9*SUMPRODUCT(1*(input_MRB_EV=input_data!$C$55:$C$57),input_data!$F$55:$F$57)</f>
        <v>102.96850047120087</v>
      </c>
      <c r="AL99" s="543" cm="1">
        <f t="array" ref="AL99">AL$2*AL9*SUMPRODUCT(1*(input_MRB_EV=input_data!$C$55:$C$57),input_data!$F$55:$F$57)</f>
        <v>103.45752420030038</v>
      </c>
      <c r="AM99" s="543" cm="1">
        <f t="array" ref="AM99">AM$2*AM9*SUMPRODUCT(1*(input_MRB_EV=input_data!$C$55:$C$57),input_data!$F$55:$F$57)</f>
        <v>103.94887042809152</v>
      </c>
      <c r="AN99" s="543" cm="1">
        <f t="array" ref="AN99">AN$2*AN9*SUMPRODUCT(1*(input_MRB_EV=input_data!$C$55:$C$57),input_data!$F$55:$F$57)</f>
        <v>104.44255018471424</v>
      </c>
      <c r="AO99" s="543" cm="1">
        <f t="array" ref="AO99">AO$2*AO9*SUMPRODUCT(1*(input_MRB_EV=input_data!$C$55:$C$57),input_data!$F$55:$F$57)</f>
        <v>104.93857455269342</v>
      </c>
      <c r="AP99" s="543" cm="1">
        <f t="array" ref="AP99">AP$2*AP9*SUMPRODUCT(1*(input_MRB_EV=input_data!$C$55:$C$57),input_data!$F$55:$F$57)</f>
        <v>105.43695466718775</v>
      </c>
      <c r="AQ99" s="543" cm="1">
        <f t="array" ref="AQ99">AQ$2*AQ9*SUMPRODUCT(1*(input_MRB_EV=input_data!$C$55:$C$57),input_data!$F$55:$F$57)</f>
        <v>105.93770171623957</v>
      </c>
      <c r="AR99" s="543" cm="1">
        <f t="array" ref="AR99">AR$2*AR9*SUMPRODUCT(1*(input_MRB_EV=input_data!$C$55:$C$57),input_data!$F$55:$F$57)</f>
        <v>106.44082694102613</v>
      </c>
      <c r="AS99" s="543" cm="1">
        <f t="array" ref="AS99">AS$2*AS9*SUMPRODUCT(1*(input_MRB_EV=input_data!$C$55:$C$57),input_data!$F$55:$F$57)</f>
        <v>106.9463416361119</v>
      </c>
      <c r="AT99" s="543" cm="1">
        <f t="array" ref="AT99">AT$2*AT9*SUMPRODUCT(1*(input_MRB_EV=input_data!$C$55:$C$57),input_data!$F$55:$F$57)</f>
        <v>107.4542571497021</v>
      </c>
      <c r="AU99" s="543" cm="1">
        <f t="array" ref="AU99">AU$2*AU9*SUMPRODUCT(1*(input_MRB_EV=input_data!$C$55:$C$57),input_data!$F$55:$F$57)</f>
        <v>107.9645848838975</v>
      </c>
      <c r="AV99" s="543" cm="1">
        <f t="array" ref="AV99">AV$2*AV9*SUMPRODUCT(1*(input_MRB_EV=input_data!$C$55:$C$57),input_data!$F$55:$F$57)</f>
        <v>108.47733629495036</v>
      </c>
      <c r="AW99" s="543" cm="1">
        <f t="array" ref="AW99">AW$2*AW9*SUMPRODUCT(1*(input_MRB_EV=input_data!$C$55:$C$57),input_data!$F$55:$F$57)</f>
        <v>108.99252289352161</v>
      </c>
      <c r="AX99" s="543" cm="1">
        <f t="array" ref="AX99">AX$2*AX9*SUMPRODUCT(1*(input_MRB_EV=input_data!$C$55:$C$57),input_data!$F$55:$F$57)</f>
        <v>109.51015624493924</v>
      </c>
      <c r="AY99" s="543" cm="1">
        <f t="array" ref="AY99">AY$2*AY9*SUMPRODUCT(1*(input_MRB_EV=input_data!$C$55:$C$57),input_data!$F$55:$F$57)</f>
        <v>110.03024796945793</v>
      </c>
      <c r="AZ99" s="543" cm="1">
        <f t="array" ref="AZ99">AZ$2*AZ9*SUMPRODUCT(1*(input_MRB_EV=input_data!$C$55:$C$57),input_data!$F$55:$F$57)</f>
        <v>110.55280974251997</v>
      </c>
      <c r="BA99" s="543" cm="1">
        <f t="array" ref="BA99">BA$2*BA9*SUMPRODUCT(1*(input_MRB_EV=input_data!$C$55:$C$57),input_data!$F$55:$F$57)</f>
        <v>111.07785329501725</v>
      </c>
      <c r="BB99" s="543" cm="1">
        <f t="array" ref="BB99">BB$2*BB9*SUMPRODUCT(1*(input_MRB_EV=input_data!$C$55:$C$57),input_data!$F$55:$F$57)</f>
        <v>111.60539041355469</v>
      </c>
      <c r="BC99" s="543" cm="1">
        <f t="array" ref="BC99">BC$2*BC9*SUMPRODUCT(1*(input_MRB_EV=input_data!$C$55:$C$57),input_data!$F$55:$F$57)</f>
        <v>112.13543294071482</v>
      </c>
    </row>
    <row r="100" spans="8:55" x14ac:dyDescent="0.3">
      <c r="H100" s="542" t="str">
        <f>input_names!$E$3</f>
        <v>plug-in</v>
      </c>
      <c r="I100" s="542" t="s">
        <v>530</v>
      </c>
      <c r="J100" s="543" cm="1">
        <f t="array" ref="J100">J$2*J10*SUMPRODUCT(1*(input_MRB_EV=input_data!$C$55:$C$57),input_data!$F$55:$F$57)</f>
        <v>61.5</v>
      </c>
      <c r="K100" s="543" cm="1">
        <f t="array" ref="K100">K$2*K10*SUMPRODUCT(1*(input_MRB_EV=input_data!$C$55:$C$57),input_data!$F$55:$F$57)</f>
        <v>61.5</v>
      </c>
      <c r="L100" s="543" cm="1">
        <f t="array" ref="L100">L$2*L10*SUMPRODUCT(1*(input_MRB_EV=input_data!$C$55:$C$57),input_data!$F$55:$F$57)</f>
        <v>61.5</v>
      </c>
      <c r="M100" s="543" cm="1">
        <f t="array" ref="M100">M$2*M10*SUMPRODUCT(1*(input_MRB_EV=input_data!$C$55:$C$57),input_data!$F$55:$F$57)</f>
        <v>61.5</v>
      </c>
      <c r="N100" s="543" cm="1">
        <f t="array" ref="N100">N$2*N10*SUMPRODUCT(1*(input_MRB_EV=input_data!$C$55:$C$57),input_data!$F$55:$F$57)</f>
        <v>61.5</v>
      </c>
      <c r="O100" s="543" cm="1">
        <f t="array" ref="O100">O$2*O10*SUMPRODUCT(1*(input_MRB_EV=input_data!$C$55:$C$57),input_data!$F$55:$F$57)</f>
        <v>61.5</v>
      </c>
      <c r="P100" s="543" cm="1">
        <f t="array" ref="P100">P$2*P10*SUMPRODUCT(1*(input_MRB_EV=input_data!$C$55:$C$57),input_data!$F$55:$F$57)</f>
        <v>61.5</v>
      </c>
      <c r="Q100" s="543" cm="1">
        <f t="array" ref="Q100">Q$2*Q10*SUMPRODUCT(1*(input_MRB_EV=input_data!$C$55:$C$57),input_data!$F$55:$F$57)</f>
        <v>61.5</v>
      </c>
      <c r="R100" s="543" cm="1">
        <f t="array" ref="R100">R$2*R10*SUMPRODUCT(1*(input_MRB_EV=input_data!$C$55:$C$57),input_data!$F$55:$F$57)</f>
        <v>61.5</v>
      </c>
      <c r="S100" s="543" cm="1">
        <f t="array" ref="S100">S$2*S10*SUMPRODUCT(1*(input_MRB_EV=input_data!$C$55:$C$57),input_data!$F$55:$F$57)</f>
        <v>61.5</v>
      </c>
      <c r="T100" s="543" cm="1">
        <f t="array" ref="T100">T$2*T10*SUMPRODUCT(1*(input_MRB_EV=input_data!$C$55:$C$57),input_data!$F$55:$F$57)</f>
        <v>92.25</v>
      </c>
      <c r="U100" s="543" cm="1">
        <f t="array" ref="U100">U$2*U10*SUMPRODUCT(1*(input_MRB_EV=input_data!$C$55:$C$57),input_data!$F$55:$F$57)</f>
        <v>123.58415844072687</v>
      </c>
      <c r="V100" s="543" cm="1">
        <f t="array" ref="V100">V$2*V10*SUMPRODUCT(1*(input_MRB_EV=input_data!$C$55:$C$57),input_data!$F$55:$F$57)</f>
        <v>124.1710911992088</v>
      </c>
      <c r="W100" s="543" cm="1">
        <f t="array" ref="W100">W$2*W10*SUMPRODUCT(1*(input_MRB_EV=input_data!$C$55:$C$57),input_data!$F$55:$F$57)</f>
        <v>124.76081145138997</v>
      </c>
      <c r="X100" s="543" cm="1">
        <f t="array" ref="X100">X$2*X10*SUMPRODUCT(1*(input_MRB_EV=input_data!$C$55:$C$57),input_data!$F$55:$F$57)</f>
        <v>125.35333243579049</v>
      </c>
      <c r="Y100" s="543" cm="1">
        <f t="array" ref="Y100">Y$2*Y10*SUMPRODUCT(1*(input_MRB_EV=input_data!$C$55:$C$57),input_data!$F$55:$F$57)</f>
        <v>125.94866745380357</v>
      </c>
      <c r="Z100" s="543" cm="1">
        <f t="array" ref="Z100">Z$2*Z10*SUMPRODUCT(1*(input_MRB_EV=input_data!$C$55:$C$57),input_data!$F$55:$F$57)</f>
        <v>126.54682986999414</v>
      </c>
      <c r="AA100" s="543" cm="1">
        <f t="array" ref="AA100">AA$2*AA10*SUMPRODUCT(1*(input_MRB_EV=input_data!$C$55:$C$57),input_data!$F$55:$F$57)</f>
        <v>127.1478331123989</v>
      </c>
      <c r="AB100" s="543" cm="1">
        <f t="array" ref="AB100">AB$2*AB10*SUMPRODUCT(1*(input_MRB_EV=input_data!$C$55:$C$57),input_data!$F$55:$F$57)</f>
        <v>127.75169067282768</v>
      </c>
      <c r="AC100" s="543" cm="1">
        <f t="array" ref="AC100">AC$2*AC10*SUMPRODUCT(1*(input_MRB_EV=input_data!$C$55:$C$57),input_data!$F$55:$F$57)</f>
        <v>128.35841610716639</v>
      </c>
      <c r="AD100" s="543" cm="1">
        <f t="array" ref="AD100">AD$2*AD10*SUMPRODUCT(1*(input_MRB_EV=input_data!$C$55:$C$57),input_data!$F$55:$F$57)</f>
        <v>128.96802303568128</v>
      </c>
      <c r="AE100" s="543" cm="1">
        <f t="array" ref="AE100">AE$2*AE10*SUMPRODUCT(1*(input_MRB_EV=input_data!$C$55:$C$57),input_data!$F$55:$F$57)</f>
        <v>129.58052514332479</v>
      </c>
      <c r="AF100" s="543" cm="1">
        <f t="array" ref="AF100">AF$2*AF10*SUMPRODUCT(1*(input_MRB_EV=input_data!$C$55:$C$57),input_data!$F$55:$F$57)</f>
        <v>130.19593618004262</v>
      </c>
      <c r="AG100" s="543" cm="1">
        <f t="array" ref="AG100">AG$2*AG10*SUMPRODUCT(1*(input_MRB_EV=input_data!$C$55:$C$57),input_data!$F$55:$F$57)</f>
        <v>130.81426996108254</v>
      </c>
      <c r="AH100" s="543" cm="1">
        <f t="array" ref="AH100">AH$2*AH10*SUMPRODUCT(1*(input_MRB_EV=input_data!$C$55:$C$57),input_data!$F$55:$F$57)</f>
        <v>131.43554036730441</v>
      </c>
      <c r="AI100" s="543" cm="1">
        <f t="array" ref="AI100">AI$2*AI10*SUMPRODUCT(1*(input_MRB_EV=input_data!$C$55:$C$57),input_data!$F$55:$F$57)</f>
        <v>132.05976134549189</v>
      </c>
      <c r="AJ100" s="543" cm="1">
        <f t="array" ref="AJ100">AJ$2*AJ10*SUMPRODUCT(1*(input_MRB_EV=input_data!$C$55:$C$57),input_data!$F$55:$F$57)</f>
        <v>132.68694690866545</v>
      </c>
      <c r="AK100" s="543" cm="1">
        <f t="array" ref="AK100">AK$2*AK10*SUMPRODUCT(1*(input_MRB_EV=input_data!$C$55:$C$57),input_data!$F$55:$F$57)</f>
        <v>133.31711113639696</v>
      </c>
      <c r="AL100" s="543" cm="1">
        <f t="array" ref="AL100">AL$2*AL10*SUMPRODUCT(1*(input_MRB_EV=input_data!$C$55:$C$57),input_data!$F$55:$F$57)</f>
        <v>133.95026817512581</v>
      </c>
      <c r="AM100" s="543" cm="1">
        <f t="array" ref="AM100">AM$2*AM10*SUMPRODUCT(1*(input_MRB_EV=input_data!$C$55:$C$57),input_data!$F$55:$F$57)</f>
        <v>134.58643223847645</v>
      </c>
      <c r="AN100" s="543" cm="1">
        <f t="array" ref="AN100">AN$2*AN10*SUMPRODUCT(1*(input_MRB_EV=input_data!$C$55:$C$57),input_data!$F$55:$F$57)</f>
        <v>135.22561760757745</v>
      </c>
      <c r="AO100" s="543" cm="1">
        <f t="array" ref="AO100">AO$2*AO10*SUMPRODUCT(1*(input_MRB_EV=input_data!$C$55:$C$57),input_data!$F$55:$F$57)</f>
        <v>135.86783863138209</v>
      </c>
      <c r="AP100" s="543" cm="1">
        <f t="array" ref="AP100">AP$2*AP10*SUMPRODUCT(1*(input_MRB_EV=input_data!$C$55:$C$57),input_data!$F$55:$F$57)</f>
        <v>136.51310972699054</v>
      </c>
      <c r="AQ100" s="543" cm="1">
        <f t="array" ref="AQ100">AQ$2*AQ10*SUMPRODUCT(1*(input_MRB_EV=input_data!$C$55:$C$57),input_data!$F$55:$F$57)</f>
        <v>137.16144537997343</v>
      </c>
      <c r="AR100" s="543" cm="1">
        <f t="array" ref="AR100">AR$2*AR10*SUMPRODUCT(1*(input_MRB_EV=input_data!$C$55:$C$57),input_data!$F$55:$F$57)</f>
        <v>137.81286014469708</v>
      </c>
      <c r="AS100" s="543" cm="1">
        <f t="array" ref="AS100">AS$2*AS10*SUMPRODUCT(1*(input_MRB_EV=input_data!$C$55:$C$57),input_data!$F$55:$F$57)</f>
        <v>138.46736864465024</v>
      </c>
      <c r="AT100" s="543" cm="1">
        <f t="array" ref="AT100">AT$2*AT10*SUMPRODUCT(1*(input_MRB_EV=input_data!$C$55:$C$57),input_data!$F$55:$F$57)</f>
        <v>139.12498557277229</v>
      </c>
      <c r="AU100" s="543" cm="1">
        <f t="array" ref="AU100">AU$2*AU10*SUMPRODUCT(1*(input_MRB_EV=input_data!$C$55:$C$57),input_data!$F$55:$F$57)</f>
        <v>139.78572569178317</v>
      </c>
      <c r="AV100" s="543" cm="1">
        <f t="array" ref="AV100">AV$2*AV10*SUMPRODUCT(1*(input_MRB_EV=input_data!$C$55:$C$57),input_data!$F$55:$F$57)</f>
        <v>140.44960383451476</v>
      </c>
      <c r="AW100" s="543" cm="1">
        <f t="array" ref="AW100">AW$2*AW10*SUMPRODUCT(1*(input_MRB_EV=input_data!$C$55:$C$57),input_data!$F$55:$F$57)</f>
        <v>141.11663490424385</v>
      </c>
      <c r="AX100" s="543" cm="1">
        <f t="array" ref="AX100">AX$2*AX10*SUMPRODUCT(1*(input_MRB_EV=input_data!$C$55:$C$57),input_data!$F$55:$F$57)</f>
        <v>141.78683387502667</v>
      </c>
      <c r="AY100" s="543" cm="1">
        <f t="array" ref="AY100">AY$2*AY10*SUMPRODUCT(1*(input_MRB_EV=input_data!$C$55:$C$57),input_data!$F$55:$F$57)</f>
        <v>142.46021579203509</v>
      </c>
      <c r="AZ100" s="543" cm="1">
        <f t="array" ref="AZ100">AZ$2*AZ10*SUMPRODUCT(1*(input_MRB_EV=input_data!$C$55:$C$57),input_data!$F$55:$F$57)</f>
        <v>143.13679577189436</v>
      </c>
      <c r="BA100" s="543" cm="1">
        <f t="array" ref="BA100">BA$2*BA10*SUMPRODUCT(1*(input_MRB_EV=input_data!$C$55:$C$57),input_data!$F$55:$F$57)</f>
        <v>143.81658900302241</v>
      </c>
      <c r="BB100" s="543" cm="1">
        <f t="array" ref="BB100">BB$2*BB10*SUMPRODUCT(1*(input_MRB_EV=input_data!$C$55:$C$57),input_data!$F$55:$F$57)</f>
        <v>144.4996107459709</v>
      </c>
      <c r="BC100" s="543" cm="1">
        <f t="array" ref="BC100">BC$2*BC10*SUMPRODUCT(1*(input_MRB_EV=input_data!$C$55:$C$57),input_data!$F$55:$F$57)</f>
        <v>145.18587633376771</v>
      </c>
    </row>
    <row r="101" spans="8:55" x14ac:dyDescent="0.3">
      <c r="H101" s="542" t="str">
        <f>input_names!$E$3</f>
        <v>plug-in</v>
      </c>
      <c r="I101" s="542" t="s">
        <v>531</v>
      </c>
      <c r="J101" s="543" cm="1">
        <f t="array" ref="J101">J$2*J11*SUMPRODUCT(1*(input_MRB_EV=input_data!$C$55:$C$57),input_data!$F$55:$F$57)</f>
        <v>75.5</v>
      </c>
      <c r="K101" s="543" cm="1">
        <f t="array" ref="K101">K$2*K11*SUMPRODUCT(1*(input_MRB_EV=input_data!$C$55:$C$57),input_data!$F$55:$F$57)</f>
        <v>75.5</v>
      </c>
      <c r="L101" s="543" cm="1">
        <f t="array" ref="L101">L$2*L11*SUMPRODUCT(1*(input_MRB_EV=input_data!$C$55:$C$57),input_data!$F$55:$F$57)</f>
        <v>75.5</v>
      </c>
      <c r="M101" s="543" cm="1">
        <f t="array" ref="M101">M$2*M11*SUMPRODUCT(1*(input_MRB_EV=input_data!$C$55:$C$57),input_data!$F$55:$F$57)</f>
        <v>75.5</v>
      </c>
      <c r="N101" s="543" cm="1">
        <f t="array" ref="N101">N$2*N11*SUMPRODUCT(1*(input_MRB_EV=input_data!$C$55:$C$57),input_data!$F$55:$F$57)</f>
        <v>75.5</v>
      </c>
      <c r="O101" s="543" cm="1">
        <f t="array" ref="O101">O$2*O11*SUMPRODUCT(1*(input_MRB_EV=input_data!$C$55:$C$57),input_data!$F$55:$F$57)</f>
        <v>75.5</v>
      </c>
      <c r="P101" s="543" cm="1">
        <f t="array" ref="P101">P$2*P11*SUMPRODUCT(1*(input_MRB_EV=input_data!$C$55:$C$57),input_data!$F$55:$F$57)</f>
        <v>75.5</v>
      </c>
      <c r="Q101" s="543" cm="1">
        <f t="array" ref="Q101">Q$2*Q11*SUMPRODUCT(1*(input_MRB_EV=input_data!$C$55:$C$57),input_data!$F$55:$F$57)</f>
        <v>75.5</v>
      </c>
      <c r="R101" s="543" cm="1">
        <f t="array" ref="R101">R$2*R11*SUMPRODUCT(1*(input_MRB_EV=input_data!$C$55:$C$57),input_data!$F$55:$F$57)</f>
        <v>75.5</v>
      </c>
      <c r="S101" s="543" cm="1">
        <f t="array" ref="S101">S$2*S11*SUMPRODUCT(1*(input_MRB_EV=input_data!$C$55:$C$57),input_data!$F$55:$F$57)</f>
        <v>75.5</v>
      </c>
      <c r="T101" s="543" cm="1">
        <f t="array" ref="T101">T$2*T11*SUMPRODUCT(1*(input_MRB_EV=input_data!$C$55:$C$57),input_data!$F$55:$F$57)</f>
        <v>113.25</v>
      </c>
      <c r="U101" s="543" cm="1">
        <f t="array" ref="U101">U$2*U11*SUMPRODUCT(1*(input_MRB_EV=input_data!$C$55:$C$57),input_data!$F$55:$F$57)</f>
        <v>151.71713759796552</v>
      </c>
      <c r="V101" s="543" cm="1">
        <f t="array" ref="V101">V$2*V11*SUMPRODUCT(1*(input_MRB_EV=input_data!$C$55:$C$57),input_data!$F$55:$F$57)</f>
        <v>152.43768106569536</v>
      </c>
      <c r="W101" s="543" cm="1">
        <f t="array" ref="W101">W$2*W11*SUMPRODUCT(1*(input_MRB_EV=input_data!$C$55:$C$57),input_data!$F$55:$F$57)</f>
        <v>153.16164657853565</v>
      </c>
      <c r="X101" s="543" cm="1">
        <f t="array" ref="X101">X$2*X11*SUMPRODUCT(1*(input_MRB_EV=input_data!$C$55:$C$57),input_data!$F$55:$F$57)</f>
        <v>153.88905038865335</v>
      </c>
      <c r="Y101" s="543" cm="1">
        <f t="array" ref="Y101">Y$2*Y11*SUMPRODUCT(1*(input_MRB_EV=input_data!$C$55:$C$57),input_data!$F$55:$F$57)</f>
        <v>154.6199088254011</v>
      </c>
      <c r="Z101" s="543" cm="1">
        <f t="array" ref="Z101">Z$2*Z11*SUMPRODUCT(1*(input_MRB_EV=input_data!$C$55:$C$57),input_data!$F$55:$F$57)</f>
        <v>155.35423829568384</v>
      </c>
      <c r="AA101" s="543" cm="1">
        <f t="array" ref="AA101">AA$2*AA11*SUMPRODUCT(1*(input_MRB_EV=input_data!$C$55:$C$57),input_data!$F$55:$F$57)</f>
        <v>156.09205528432707</v>
      </c>
      <c r="AB101" s="543" cm="1">
        <f t="array" ref="AB101">AB$2*AB11*SUMPRODUCT(1*(input_MRB_EV=input_data!$C$55:$C$57),input_data!$F$55:$F$57)</f>
        <v>156.83337635444695</v>
      </c>
      <c r="AC101" s="543" cm="1">
        <f t="array" ref="AC101">AC$2*AC11*SUMPRODUCT(1*(input_MRB_EV=input_data!$C$55:$C$57),input_data!$F$55:$F$57)</f>
        <v>157.57821814782213</v>
      </c>
      <c r="AD101" s="543" cm="1">
        <f t="array" ref="AD101">AD$2*AD11*SUMPRODUCT(1*(input_MRB_EV=input_data!$C$55:$C$57),input_data!$F$55:$F$57)</f>
        <v>158.32659738526726</v>
      </c>
      <c r="AE101" s="543" cm="1">
        <f t="array" ref="AE101">AE$2*AE11*SUMPRODUCT(1*(input_MRB_EV=input_data!$C$55:$C$57),input_data!$F$55:$F$57)</f>
        <v>159.07853086700848</v>
      </c>
      <c r="AF101" s="543" cm="1">
        <f t="array" ref="AF101">AF$2*AF11*SUMPRODUCT(1*(input_MRB_EV=input_data!$C$55:$C$57),input_data!$F$55:$F$57)</f>
        <v>159.83403547306045</v>
      </c>
      <c r="AG101" s="543" cm="1">
        <f t="array" ref="AG101">AG$2*AG11*SUMPRODUCT(1*(input_MRB_EV=input_data!$C$55:$C$57),input_data!$F$55:$F$57)</f>
        <v>160.5931281636054</v>
      </c>
      <c r="AH101" s="543" cm="1">
        <f t="array" ref="AH101">AH$2*AH11*SUMPRODUCT(1*(input_MRB_EV=input_data!$C$55:$C$57),input_data!$F$55:$F$57)</f>
        <v>161.35582597937372</v>
      </c>
      <c r="AI101" s="543" cm="1">
        <f t="array" ref="AI101">AI$2*AI11*SUMPRODUCT(1*(input_MRB_EV=input_data!$C$55:$C$57),input_data!$F$55:$F$57)</f>
        <v>162.12214604202663</v>
      </c>
      <c r="AJ101" s="543" cm="1">
        <f t="array" ref="AJ101">AJ$2*AJ11*SUMPRODUCT(1*(input_MRB_EV=input_data!$C$55:$C$57),input_data!$F$55:$F$57)</f>
        <v>162.89210555454048</v>
      </c>
      <c r="AK101" s="543" cm="1">
        <f t="array" ref="AK101">AK$2*AK11*SUMPRODUCT(1*(input_MRB_EV=input_data!$C$55:$C$57),input_data!$F$55:$F$57)</f>
        <v>163.66572180159298</v>
      </c>
      <c r="AL101" s="543" cm="1">
        <f t="array" ref="AL101">AL$2*AL11*SUMPRODUCT(1*(input_MRB_EV=input_data!$C$55:$C$57),input_data!$F$55:$F$57)</f>
        <v>164.44301214995116</v>
      </c>
      <c r="AM101" s="543" cm="1">
        <f t="array" ref="AM101">AM$2*AM11*SUMPRODUCT(1*(input_MRB_EV=input_data!$C$55:$C$57),input_data!$F$55:$F$57)</f>
        <v>165.2239940488613</v>
      </c>
      <c r="AN101" s="543" cm="1">
        <f t="array" ref="AN101">AN$2*AN11*SUMPRODUCT(1*(input_MRB_EV=input_data!$C$55:$C$57),input_data!$F$55:$F$57)</f>
        <v>166.00868503044057</v>
      </c>
      <c r="AO101" s="543" cm="1">
        <f t="array" ref="AO101">AO$2*AO11*SUMPRODUCT(1*(input_MRB_EV=input_data!$C$55:$C$57),input_data!$F$55:$F$57)</f>
        <v>166.79710271007067</v>
      </c>
      <c r="AP101" s="543" cm="1">
        <f t="array" ref="AP101">AP$2*AP11*SUMPRODUCT(1*(input_MRB_EV=input_data!$C$55:$C$57),input_data!$F$55:$F$57)</f>
        <v>167.58926478679322</v>
      </c>
      <c r="AQ101" s="543" cm="1">
        <f t="array" ref="AQ101">AQ$2*AQ11*SUMPRODUCT(1*(input_MRB_EV=input_data!$C$55:$C$57),input_data!$F$55:$F$57)</f>
        <v>168.38518904370719</v>
      </c>
      <c r="AR101" s="543" cm="1">
        <f t="array" ref="AR101">AR$2*AR11*SUMPRODUCT(1*(input_MRB_EV=input_data!$C$55:$C$57),input_data!$F$55:$F$57)</f>
        <v>169.18489334836792</v>
      </c>
      <c r="AS101" s="543" cm="1">
        <f t="array" ref="AS101">AS$2*AS11*SUMPRODUCT(1*(input_MRB_EV=input_data!$C$55:$C$57),input_data!$F$55:$F$57)</f>
        <v>169.98839565318846</v>
      </c>
      <c r="AT101" s="543" cm="1">
        <f t="array" ref="AT101">AT$2*AT11*SUMPRODUCT(1*(input_MRB_EV=input_data!$C$55:$C$57),input_data!$F$55:$F$57)</f>
        <v>170.79571399584236</v>
      </c>
      <c r="AU101" s="543" cm="1">
        <f t="array" ref="AU101">AU$2*AU11*SUMPRODUCT(1*(input_MRB_EV=input_data!$C$55:$C$57),input_data!$F$55:$F$57)</f>
        <v>171.60686649966874</v>
      </c>
      <c r="AV101" s="543" cm="1">
        <f t="array" ref="AV101">AV$2*AV11*SUMPRODUCT(1*(input_MRB_EV=input_data!$C$55:$C$57),input_data!$F$55:$F$57)</f>
        <v>172.42187137407907</v>
      </c>
      <c r="AW101" s="543" cm="1">
        <f t="array" ref="AW101">AW$2*AW11*SUMPRODUCT(1*(input_MRB_EV=input_data!$C$55:$C$57),input_data!$F$55:$F$57)</f>
        <v>173.240746914966</v>
      </c>
      <c r="AX101" s="543" cm="1">
        <f t="array" ref="AX101">AX$2*AX11*SUMPRODUCT(1*(input_MRB_EV=input_data!$C$55:$C$57),input_data!$F$55:$F$57)</f>
        <v>174.06351150511401</v>
      </c>
      <c r="AY101" s="543" cm="1">
        <f t="array" ref="AY101">AY$2*AY11*SUMPRODUCT(1*(input_MRB_EV=input_data!$C$55:$C$57),input_data!$F$55:$F$57)</f>
        <v>174.89018361461214</v>
      </c>
      <c r="AZ101" s="543" cm="1">
        <f t="array" ref="AZ101">AZ$2*AZ11*SUMPRODUCT(1*(input_MRB_EV=input_data!$C$55:$C$57),input_data!$F$55:$F$57)</f>
        <v>175.72078180126863</v>
      </c>
      <c r="BA101" s="543" cm="1">
        <f t="array" ref="BA101">BA$2*BA11*SUMPRODUCT(1*(input_MRB_EV=input_data!$C$55:$C$57),input_data!$F$55:$F$57)</f>
        <v>176.55532471102745</v>
      </c>
      <c r="BB101" s="543" cm="1">
        <f t="array" ref="BB101">BB$2*BB11*SUMPRODUCT(1*(input_MRB_EV=input_data!$C$55:$C$57),input_data!$F$55:$F$57)</f>
        <v>177.39383107838697</v>
      </c>
      <c r="BC101" s="543" cm="1">
        <f t="array" ref="BC101">BC$2*BC11*SUMPRODUCT(1*(input_MRB_EV=input_data!$C$55:$C$57),input_data!$F$55:$F$57)</f>
        <v>178.23631972682043</v>
      </c>
    </row>
    <row r="102" spans="8:55" x14ac:dyDescent="0.3">
      <c r="H102" s="542" t="str">
        <f>input_names!$E$3</f>
        <v>plug-in</v>
      </c>
      <c r="I102" s="542" t="s">
        <v>532</v>
      </c>
      <c r="J102" s="543" cm="1">
        <f t="array" ref="J102">J$2*J12*SUMPRODUCT(1*(input_MRB_EV=input_data!$C$55:$C$57),input_data!$F$55:$F$57)</f>
        <v>84.5</v>
      </c>
      <c r="K102" s="543" cm="1">
        <f t="array" ref="K102">K$2*K12*SUMPRODUCT(1*(input_MRB_EV=input_data!$C$55:$C$57),input_data!$F$55:$F$57)</f>
        <v>84.5</v>
      </c>
      <c r="L102" s="543" cm="1">
        <f t="array" ref="L102">L$2*L12*SUMPRODUCT(1*(input_MRB_EV=input_data!$C$55:$C$57),input_data!$F$55:$F$57)</f>
        <v>84.5</v>
      </c>
      <c r="M102" s="543" cm="1">
        <f t="array" ref="M102">M$2*M12*SUMPRODUCT(1*(input_MRB_EV=input_data!$C$55:$C$57),input_data!$F$55:$F$57)</f>
        <v>84.5</v>
      </c>
      <c r="N102" s="543" cm="1">
        <f t="array" ref="N102">N$2*N12*SUMPRODUCT(1*(input_MRB_EV=input_data!$C$55:$C$57),input_data!$F$55:$F$57)</f>
        <v>84.5</v>
      </c>
      <c r="O102" s="543" cm="1">
        <f t="array" ref="O102">O$2*O12*SUMPRODUCT(1*(input_MRB_EV=input_data!$C$55:$C$57),input_data!$F$55:$F$57)</f>
        <v>84.5</v>
      </c>
      <c r="P102" s="543" cm="1">
        <f t="array" ref="P102">P$2*P12*SUMPRODUCT(1*(input_MRB_EV=input_data!$C$55:$C$57),input_data!$F$55:$F$57)</f>
        <v>84.5</v>
      </c>
      <c r="Q102" s="543" cm="1">
        <f t="array" ref="Q102">Q$2*Q12*SUMPRODUCT(1*(input_MRB_EV=input_data!$C$55:$C$57),input_data!$F$55:$F$57)</f>
        <v>84.5</v>
      </c>
      <c r="R102" s="543" cm="1">
        <f t="array" ref="R102">R$2*R12*SUMPRODUCT(1*(input_MRB_EV=input_data!$C$55:$C$57),input_data!$F$55:$F$57)</f>
        <v>84.5</v>
      </c>
      <c r="S102" s="543" cm="1">
        <f t="array" ref="S102">S$2*S12*SUMPRODUCT(1*(input_MRB_EV=input_data!$C$55:$C$57),input_data!$F$55:$F$57)</f>
        <v>84.5</v>
      </c>
      <c r="T102" s="543" cm="1">
        <f t="array" ref="T102">T$2*T12*SUMPRODUCT(1*(input_MRB_EV=input_data!$C$55:$C$57),input_data!$F$55:$F$57)</f>
        <v>126.75</v>
      </c>
      <c r="U102" s="543" cm="1">
        <f t="array" ref="U102">U$2*U12*SUMPRODUCT(1*(input_MRB_EV=input_data!$C$55:$C$57),input_data!$F$55:$F$57)</f>
        <v>169.8026241990475</v>
      </c>
      <c r="V102" s="543" cm="1">
        <f t="array" ref="V102">V$2*V12*SUMPRODUCT(1*(input_MRB_EV=input_data!$C$55:$C$57),input_data!$F$55:$F$57)</f>
        <v>170.60906026557959</v>
      </c>
      <c r="W102" s="543" cm="1">
        <f t="array" ref="W102">W$2*W12*SUMPRODUCT(1*(input_MRB_EV=input_data!$C$55:$C$57),input_data!$F$55:$F$57)</f>
        <v>171.41932630312934</v>
      </c>
      <c r="X102" s="543" cm="1">
        <f t="array" ref="X102">X$2*X12*SUMPRODUCT(1*(input_MRB_EV=input_data!$C$55:$C$57),input_data!$F$55:$F$57)</f>
        <v>172.23344050120809</v>
      </c>
      <c r="Y102" s="543" cm="1">
        <f t="array" ref="Y102">Y$2*Y12*SUMPRODUCT(1*(input_MRB_EV=input_data!$C$55:$C$57),input_data!$F$55:$F$57)</f>
        <v>173.05142113571387</v>
      </c>
      <c r="Z102" s="543" cm="1">
        <f t="array" ref="Z102">Z$2*Z12*SUMPRODUCT(1*(input_MRB_EV=input_data!$C$55:$C$57),input_data!$F$55:$F$57)</f>
        <v>173.87328656934159</v>
      </c>
      <c r="AA102" s="543" cm="1">
        <f t="array" ref="AA102">AA$2*AA12*SUMPRODUCT(1*(input_MRB_EV=input_data!$C$55:$C$57),input_data!$F$55:$F$57)</f>
        <v>174.69905525199528</v>
      </c>
      <c r="AB102" s="543" cm="1">
        <f t="array" ref="AB102">AB$2*AB12*SUMPRODUCT(1*(input_MRB_EV=input_data!$C$55:$C$57),input_data!$F$55:$F$57)</f>
        <v>175.52874572120228</v>
      </c>
      <c r="AC102" s="543" cm="1">
        <f t="array" ref="AC102">AC$2*AC12*SUMPRODUCT(1*(input_MRB_EV=input_data!$C$55:$C$57),input_data!$F$55:$F$57)</f>
        <v>176.36237660252945</v>
      </c>
      <c r="AD102" s="543" cm="1">
        <f t="array" ref="AD102">AD$2*AD12*SUMPRODUCT(1*(input_MRB_EV=input_data!$C$55:$C$57),input_data!$F$55:$F$57)</f>
        <v>177.19996661000116</v>
      </c>
      <c r="AE102" s="543" cm="1">
        <f t="array" ref="AE102">AE$2*AE12*SUMPRODUCT(1*(input_MRB_EV=input_data!$C$55:$C$57),input_data!$F$55:$F$57)</f>
        <v>178.04153454651947</v>
      </c>
      <c r="AF102" s="543" cm="1">
        <f t="array" ref="AF102">AF$2*AF12*SUMPRODUCT(1*(input_MRB_EV=input_data!$C$55:$C$57),input_data!$F$55:$F$57)</f>
        <v>178.88709930428627</v>
      </c>
      <c r="AG102" s="543" cm="1">
        <f t="array" ref="AG102">AG$2*AG12*SUMPRODUCT(1*(input_MRB_EV=input_data!$C$55:$C$57),input_data!$F$55:$F$57)</f>
        <v>179.73667986522727</v>
      </c>
      <c r="AH102" s="543" cm="1">
        <f t="array" ref="AH102">AH$2*AH12*SUMPRODUCT(1*(input_MRB_EV=input_data!$C$55:$C$57),input_data!$F$55:$F$57)</f>
        <v>180.59029530141831</v>
      </c>
      <c r="AI102" s="543" cm="1">
        <f t="array" ref="AI102">AI$2*AI12*SUMPRODUCT(1*(input_MRB_EV=input_data!$C$55:$C$57),input_data!$F$55:$F$57)</f>
        <v>181.4479647755133</v>
      </c>
      <c r="AJ102" s="543" cm="1">
        <f t="array" ref="AJ102">AJ$2*AJ12*SUMPRODUCT(1*(input_MRB_EV=input_data!$C$55:$C$57),input_data!$F$55:$F$57)</f>
        <v>182.3097075411745</v>
      </c>
      <c r="AK102" s="543" cm="1">
        <f t="array" ref="AK102">AK$2*AK12*SUMPRODUCT(1*(input_MRB_EV=input_data!$C$55:$C$57),input_data!$F$55:$F$57)</f>
        <v>183.17554294350478</v>
      </c>
      <c r="AL102" s="543" cm="1">
        <f t="array" ref="AL102">AL$2*AL12*SUMPRODUCT(1*(input_MRB_EV=input_data!$C$55:$C$57),input_data!$F$55:$F$57)</f>
        <v>184.04549041948181</v>
      </c>
      <c r="AM102" s="543" cm="1">
        <f t="array" ref="AM102">AM$2*AM12*SUMPRODUCT(1*(input_MRB_EV=input_data!$C$55:$C$57),input_data!$F$55:$F$57)</f>
        <v>184.91956949839448</v>
      </c>
      <c r="AN102" s="543" cm="1">
        <f t="array" ref="AN102">AN$2*AN12*SUMPRODUCT(1*(input_MRB_EV=input_data!$C$55:$C$57),input_data!$F$55:$F$57)</f>
        <v>185.79779980228119</v>
      </c>
      <c r="AO102" s="543" cm="1">
        <f t="array" ref="AO102">AO$2*AO12*SUMPRODUCT(1*(input_MRB_EV=input_data!$C$55:$C$57),input_data!$F$55:$F$57)</f>
        <v>186.68020104637048</v>
      </c>
      <c r="AP102" s="543" cm="1">
        <f t="array" ref="AP102">AP$2*AP12*SUMPRODUCT(1*(input_MRB_EV=input_data!$C$55:$C$57),input_data!$F$55:$F$57)</f>
        <v>187.56679303952356</v>
      </c>
      <c r="AQ102" s="543" cm="1">
        <f t="array" ref="AQ102">AQ$2*AQ12*SUMPRODUCT(1*(input_MRB_EV=input_data!$C$55:$C$57),input_data!$F$55:$F$57)</f>
        <v>188.45759568467892</v>
      </c>
      <c r="AR102" s="543" cm="1">
        <f t="array" ref="AR102">AR$2*AR12*SUMPRODUCT(1*(input_MRB_EV=input_data!$C$55:$C$57),input_data!$F$55:$F$57)</f>
        <v>189.35262897929923</v>
      </c>
      <c r="AS102" s="543" cm="1">
        <f t="array" ref="AS102">AS$2*AS12*SUMPRODUCT(1*(input_MRB_EV=input_data!$C$55:$C$57),input_data!$F$55:$F$57)</f>
        <v>190.25191301582021</v>
      </c>
      <c r="AT102" s="543" cm="1">
        <f t="array" ref="AT102">AT$2*AT12*SUMPRODUCT(1*(input_MRB_EV=input_data!$C$55:$C$57),input_data!$F$55:$F$57)</f>
        <v>191.15546798210173</v>
      </c>
      <c r="AU102" s="543" cm="1">
        <f t="array" ref="AU102">AU$2*AU12*SUMPRODUCT(1*(input_MRB_EV=input_data!$C$55:$C$57),input_data!$F$55:$F$57)</f>
        <v>192.06331416188092</v>
      </c>
      <c r="AV102" s="543" cm="1">
        <f t="array" ref="AV102">AV$2*AV12*SUMPRODUCT(1*(input_MRB_EV=input_data!$C$55:$C$57),input_data!$F$55:$F$57)</f>
        <v>192.9754719352276</v>
      </c>
      <c r="AW102" s="543" cm="1">
        <f t="array" ref="AW102">AW$2*AW12*SUMPRODUCT(1*(input_MRB_EV=input_data!$C$55:$C$57),input_data!$F$55:$F$57)</f>
        <v>193.89196177900172</v>
      </c>
      <c r="AX102" s="543" cm="1">
        <f t="array" ref="AX102">AX$2*AX12*SUMPRODUCT(1*(input_MRB_EV=input_data!$C$55:$C$57),input_data!$F$55:$F$57)</f>
        <v>194.81280426731308</v>
      </c>
      <c r="AY102" s="543" cm="1">
        <f t="array" ref="AY102">AY$2*AY12*SUMPRODUCT(1*(input_MRB_EV=input_data!$C$55:$C$57),input_data!$F$55:$F$57)</f>
        <v>195.73802007198319</v>
      </c>
      <c r="AZ102" s="543" cm="1">
        <f t="array" ref="AZ102">AZ$2*AZ12*SUMPRODUCT(1*(input_MRB_EV=input_data!$C$55:$C$57),input_data!$F$55:$F$57)</f>
        <v>196.66762996300932</v>
      </c>
      <c r="BA102" s="543" cm="1">
        <f t="array" ref="BA102">BA$2*BA12*SUMPRODUCT(1*(input_MRB_EV=input_data!$C$55:$C$57),input_data!$F$55:$F$57)</f>
        <v>197.6016548090308</v>
      </c>
      <c r="BB102" s="543" cm="1">
        <f t="array" ref="BB102">BB$2*BB12*SUMPRODUCT(1*(input_MRB_EV=input_data!$C$55:$C$57),input_data!$F$55:$F$57)</f>
        <v>198.54011557779742</v>
      </c>
      <c r="BC102" s="543" cm="1">
        <f t="array" ref="BC102">BC$2*BC12*SUMPRODUCT(1*(input_MRB_EV=input_data!$C$55:$C$57),input_data!$F$55:$F$57)</f>
        <v>199.48303333664018</v>
      </c>
    </row>
    <row r="103" spans="8:55" x14ac:dyDescent="0.3">
      <c r="H103" s="542" t="str">
        <f>input_names!$E$3</f>
        <v>plug-in</v>
      </c>
      <c r="I103" s="542" t="s">
        <v>533</v>
      </c>
      <c r="J103" s="543" cm="1">
        <f t="array" ref="J103">J$2*J13*SUMPRODUCT(1*(input_MRB_EV=input_data!$C$55:$C$57),input_data!$F$55:$F$57)</f>
        <v>103.5</v>
      </c>
      <c r="K103" s="543" cm="1">
        <f t="array" ref="K103">K$2*K13*SUMPRODUCT(1*(input_MRB_EV=input_data!$C$55:$C$57),input_data!$F$55:$F$57)</f>
        <v>103.5</v>
      </c>
      <c r="L103" s="543" cm="1">
        <f t="array" ref="L103">L$2*L13*SUMPRODUCT(1*(input_MRB_EV=input_data!$C$55:$C$57),input_data!$F$55:$F$57)</f>
        <v>103.5</v>
      </c>
      <c r="M103" s="543" cm="1">
        <f t="array" ref="M103">M$2*M13*SUMPRODUCT(1*(input_MRB_EV=input_data!$C$55:$C$57),input_data!$F$55:$F$57)</f>
        <v>103.5</v>
      </c>
      <c r="N103" s="543" cm="1">
        <f t="array" ref="N103">N$2*N13*SUMPRODUCT(1*(input_MRB_EV=input_data!$C$55:$C$57),input_data!$F$55:$F$57)</f>
        <v>103.5</v>
      </c>
      <c r="O103" s="543" cm="1">
        <f t="array" ref="O103">O$2*O13*SUMPRODUCT(1*(input_MRB_EV=input_data!$C$55:$C$57),input_data!$F$55:$F$57)</f>
        <v>103.5</v>
      </c>
      <c r="P103" s="543" cm="1">
        <f t="array" ref="P103">P$2*P13*SUMPRODUCT(1*(input_MRB_EV=input_data!$C$55:$C$57),input_data!$F$55:$F$57)</f>
        <v>103.5</v>
      </c>
      <c r="Q103" s="543" cm="1">
        <f t="array" ref="Q103">Q$2*Q13*SUMPRODUCT(1*(input_MRB_EV=input_data!$C$55:$C$57),input_data!$F$55:$F$57)</f>
        <v>103.5</v>
      </c>
      <c r="R103" s="543" cm="1">
        <f t="array" ref="R103">R$2*R13*SUMPRODUCT(1*(input_MRB_EV=input_data!$C$55:$C$57),input_data!$F$55:$F$57)</f>
        <v>103.5</v>
      </c>
      <c r="S103" s="543" cm="1">
        <f t="array" ref="S103">S$2*S13*SUMPRODUCT(1*(input_MRB_EV=input_data!$C$55:$C$57),input_data!$F$55:$F$57)</f>
        <v>103.5</v>
      </c>
      <c r="T103" s="543" cm="1">
        <f t="array" ref="T103">T$2*T13*SUMPRODUCT(1*(input_MRB_EV=input_data!$C$55:$C$57),input_data!$F$55:$F$57)</f>
        <v>155.25</v>
      </c>
      <c r="U103" s="543" cm="1">
        <f t="array" ref="U103">U$2*U13*SUMPRODUCT(1*(input_MRB_EV=input_data!$C$55:$C$57),input_data!$F$55:$F$57)</f>
        <v>207.98309591244279</v>
      </c>
      <c r="V103" s="543" cm="1">
        <f t="array" ref="V103">V$2*V13*SUMPRODUCT(1*(input_MRB_EV=input_data!$C$55:$C$57),input_data!$F$55:$F$57)</f>
        <v>208.9708607986685</v>
      </c>
      <c r="W103" s="543" cm="1">
        <f t="array" ref="W103">W$2*W13*SUMPRODUCT(1*(input_MRB_EV=input_data!$C$55:$C$57),input_data!$F$55:$F$57)</f>
        <v>209.96331683282705</v>
      </c>
      <c r="X103" s="543" cm="1">
        <f t="array" ref="X103">X$2*X13*SUMPRODUCT(1*(input_MRB_EV=input_data!$C$55:$C$57),input_data!$F$55:$F$57)</f>
        <v>210.96048629437914</v>
      </c>
      <c r="Y103" s="543" cm="1">
        <f t="array" ref="Y103">Y$2*Y13*SUMPRODUCT(1*(input_MRB_EV=input_data!$C$55:$C$57),input_data!$F$55:$F$57)</f>
        <v>211.96239156859627</v>
      </c>
      <c r="Z103" s="543" cm="1">
        <f t="array" ref="Z103">Z$2*Z13*SUMPRODUCT(1*(input_MRB_EV=input_data!$C$55:$C$57),input_data!$F$55:$F$57)</f>
        <v>212.96905514706336</v>
      </c>
      <c r="AA103" s="543" cm="1">
        <f t="array" ref="AA103">AA$2*AA13*SUMPRODUCT(1*(input_MRB_EV=input_data!$C$55:$C$57),input_data!$F$55:$F$57)</f>
        <v>213.98049962818357</v>
      </c>
      <c r="AB103" s="543" cm="1">
        <f t="array" ref="AB103">AB$2*AB13*SUMPRODUCT(1*(input_MRB_EV=input_data!$C$55:$C$57),input_data!$F$55:$F$57)</f>
        <v>214.99674771768565</v>
      </c>
      <c r="AC103" s="543" cm="1">
        <f t="array" ref="AC103">AC$2*AC13*SUMPRODUCT(1*(input_MRB_EV=input_data!$C$55:$C$57),input_data!$F$55:$F$57)</f>
        <v>216.01782222913371</v>
      </c>
      <c r="AD103" s="543" cm="1">
        <f t="array" ref="AD103">AD$2*AD13*SUMPRODUCT(1*(input_MRB_EV=input_data!$C$55:$C$57),input_data!$F$55:$F$57)</f>
        <v>217.04374608443928</v>
      </c>
      <c r="AE103" s="543" cm="1">
        <f t="array" ref="AE103">AE$2*AE13*SUMPRODUCT(1*(input_MRB_EV=input_data!$C$55:$C$57),input_data!$F$55:$F$57)</f>
        <v>218.07454231437592</v>
      </c>
      <c r="AF103" s="543" cm="1">
        <f t="array" ref="AF103">AF$2*AF13*SUMPRODUCT(1*(input_MRB_EV=input_data!$C$55:$C$57),input_data!$F$55:$F$57)</f>
        <v>219.11023405909617</v>
      </c>
      <c r="AG103" s="543" cm="1">
        <f t="array" ref="AG103">AG$2*AG13*SUMPRODUCT(1*(input_MRB_EV=input_data!$C$55:$C$57),input_data!$F$55:$F$57)</f>
        <v>220.15084456865114</v>
      </c>
      <c r="AH103" s="543" cm="1">
        <f t="array" ref="AH103">AH$2*AH13*SUMPRODUCT(1*(input_MRB_EV=input_data!$C$55:$C$57),input_data!$F$55:$F$57)</f>
        <v>221.19639720351233</v>
      </c>
      <c r="AI103" s="543" cm="1">
        <f t="array" ref="AI103">AI$2*AI13*SUMPRODUCT(1*(input_MRB_EV=input_data!$C$55:$C$57),input_data!$F$55:$F$57)</f>
        <v>222.24691543509613</v>
      </c>
      <c r="AJ103" s="543" cm="1">
        <f t="array" ref="AJ103">AJ$2*AJ13*SUMPRODUCT(1*(input_MRB_EV=input_data!$C$55:$C$57),input_data!$F$55:$F$57)</f>
        <v>223.30242284629063</v>
      </c>
      <c r="AK103" s="543" cm="1">
        <f t="array" ref="AK103">AK$2*AK13*SUMPRODUCT(1*(input_MRB_EV=input_data!$C$55:$C$57),input_data!$F$55:$F$57)</f>
        <v>224.36294313198511</v>
      </c>
      <c r="AL103" s="543" cm="1">
        <f t="array" ref="AL103">AL$2*AL13*SUMPRODUCT(1*(input_MRB_EV=input_data!$C$55:$C$57),input_data!$F$55:$F$57)</f>
        <v>225.42850009960196</v>
      </c>
      <c r="AM103" s="543" cm="1">
        <f t="array" ref="AM103">AM$2*AM13*SUMPRODUCT(1*(input_MRB_EV=input_data!$C$55:$C$57),input_data!$F$55:$F$57)</f>
        <v>226.49911766963109</v>
      </c>
      <c r="AN103" s="543" cm="1">
        <f t="array" ref="AN103">AN$2*AN13*SUMPRODUCT(1*(input_MRB_EV=input_data!$C$55:$C$57),input_data!$F$55:$F$57)</f>
        <v>227.57481987616688</v>
      </c>
      <c r="AO103" s="543" cm="1">
        <f t="array" ref="AO103">AO$2*AO13*SUMPRODUCT(1*(input_MRB_EV=input_data!$C$55:$C$57),input_data!$F$55:$F$57)</f>
        <v>228.65563086744785</v>
      </c>
      <c r="AP103" s="543" cm="1">
        <f t="array" ref="AP103">AP$2*AP13*SUMPRODUCT(1*(input_MRB_EV=input_data!$C$55:$C$57),input_data!$F$55:$F$57)</f>
        <v>229.74157490639865</v>
      </c>
      <c r="AQ103" s="543" cm="1">
        <f t="array" ref="AQ103">AQ$2*AQ13*SUMPRODUCT(1*(input_MRB_EV=input_data!$C$55:$C$57),input_data!$F$55:$F$57)</f>
        <v>230.83267637117473</v>
      </c>
      <c r="AR103" s="543" cm="1">
        <f t="array" ref="AR103">AR$2*AR13*SUMPRODUCT(1*(input_MRB_EV=input_data!$C$55:$C$57),input_data!$F$55:$F$57)</f>
        <v>231.92895975570966</v>
      </c>
      <c r="AS103" s="543" cm="1">
        <f t="array" ref="AS103">AS$2*AS13*SUMPRODUCT(1*(input_MRB_EV=input_data!$C$55:$C$57),input_data!$F$55:$F$57)</f>
        <v>233.03044967026494</v>
      </c>
      <c r="AT103" s="543" cm="1">
        <f t="array" ref="AT103">AT$2*AT13*SUMPRODUCT(1*(input_MRB_EV=input_data!$C$55:$C$57),input_data!$F$55:$F$57)</f>
        <v>234.13717084198254</v>
      </c>
      <c r="AU103" s="543" cm="1">
        <f t="array" ref="AU103">AU$2*AU13*SUMPRODUCT(1*(input_MRB_EV=input_data!$C$55:$C$57),input_data!$F$55:$F$57)</f>
        <v>235.24914811543988</v>
      </c>
      <c r="AV103" s="543" cm="1">
        <f t="array" ref="AV103">AV$2*AV13*SUMPRODUCT(1*(input_MRB_EV=input_data!$C$55:$C$57),input_data!$F$55:$F$57)</f>
        <v>236.3664064532077</v>
      </c>
      <c r="AW103" s="543" cm="1">
        <f t="array" ref="AW103">AW$2*AW13*SUMPRODUCT(1*(input_MRB_EV=input_data!$C$55:$C$57),input_data!$F$55:$F$57)</f>
        <v>237.48897093641031</v>
      </c>
      <c r="AX103" s="543" cm="1">
        <f t="array" ref="AX103">AX$2*AX13*SUMPRODUCT(1*(input_MRB_EV=input_data!$C$55:$C$57),input_data!$F$55:$F$57)</f>
        <v>238.61686676528871</v>
      </c>
      <c r="AY103" s="543" cm="1">
        <f t="array" ref="AY103">AY$2*AY13*SUMPRODUCT(1*(input_MRB_EV=input_data!$C$55:$C$57),input_data!$F$55:$F$57)</f>
        <v>239.75011925976628</v>
      </c>
      <c r="AZ103" s="543" cm="1">
        <f t="array" ref="AZ103">AZ$2*AZ13*SUMPRODUCT(1*(input_MRB_EV=input_data!$C$55:$C$57),input_data!$F$55:$F$57)</f>
        <v>240.88875386001723</v>
      </c>
      <c r="BA103" s="543" cm="1">
        <f t="array" ref="BA103">BA$2*BA13*SUMPRODUCT(1*(input_MRB_EV=input_data!$C$55:$C$57),input_data!$F$55:$F$57)</f>
        <v>242.03279612703761</v>
      </c>
      <c r="BB103" s="543" cm="1">
        <f t="array" ref="BB103">BB$2*BB13*SUMPRODUCT(1*(input_MRB_EV=input_data!$C$55:$C$57),input_data!$F$55:$F$57)</f>
        <v>243.18227174321919</v>
      </c>
      <c r="BC103" s="543" cm="1">
        <f t="array" ref="BC103">BC$2*BC13*SUMPRODUCT(1*(input_MRB_EV=input_data!$C$55:$C$57),input_data!$F$55:$F$57)</f>
        <v>244.337206512926</v>
      </c>
    </row>
    <row r="104" spans="8:55" x14ac:dyDescent="0.3">
      <c r="H104" s="542" t="str">
        <f>input_names!$E$3</f>
        <v>plug-in</v>
      </c>
      <c r="I104" s="542" t="s">
        <v>534</v>
      </c>
      <c r="J104" s="543" cm="1">
        <f t="array" ref="J104">J$2*J14*SUMPRODUCT(1*(input_MRB_EV=input_data!$C$55:$C$57),input_data!$F$55:$F$57)</f>
        <v>117.5</v>
      </c>
      <c r="K104" s="543" cm="1">
        <f t="array" ref="K104">K$2*K14*SUMPRODUCT(1*(input_MRB_EV=input_data!$C$55:$C$57),input_data!$F$55:$F$57)</f>
        <v>117.5</v>
      </c>
      <c r="L104" s="543" cm="1">
        <f t="array" ref="L104">L$2*L14*SUMPRODUCT(1*(input_MRB_EV=input_data!$C$55:$C$57),input_data!$F$55:$F$57)</f>
        <v>117.5</v>
      </c>
      <c r="M104" s="543" cm="1">
        <f t="array" ref="M104">M$2*M14*SUMPRODUCT(1*(input_MRB_EV=input_data!$C$55:$C$57),input_data!$F$55:$F$57)</f>
        <v>117.5</v>
      </c>
      <c r="N104" s="543" cm="1">
        <f t="array" ref="N104">N$2*N14*SUMPRODUCT(1*(input_MRB_EV=input_data!$C$55:$C$57),input_data!$F$55:$F$57)</f>
        <v>117.5</v>
      </c>
      <c r="O104" s="543" cm="1">
        <f t="array" ref="O104">O$2*O14*SUMPRODUCT(1*(input_MRB_EV=input_data!$C$55:$C$57),input_data!$F$55:$F$57)</f>
        <v>117.5</v>
      </c>
      <c r="P104" s="543" cm="1">
        <f t="array" ref="P104">P$2*P14*SUMPRODUCT(1*(input_MRB_EV=input_data!$C$55:$C$57),input_data!$F$55:$F$57)</f>
        <v>117.5</v>
      </c>
      <c r="Q104" s="543" cm="1">
        <f t="array" ref="Q104">Q$2*Q14*SUMPRODUCT(1*(input_MRB_EV=input_data!$C$55:$C$57),input_data!$F$55:$F$57)</f>
        <v>117.5</v>
      </c>
      <c r="R104" s="543" cm="1">
        <f t="array" ref="R104">R$2*R14*SUMPRODUCT(1*(input_MRB_EV=input_data!$C$55:$C$57),input_data!$F$55:$F$57)</f>
        <v>117.5</v>
      </c>
      <c r="S104" s="543" cm="1">
        <f t="array" ref="S104">S$2*S14*SUMPRODUCT(1*(input_MRB_EV=input_data!$C$55:$C$57),input_data!$F$55:$F$57)</f>
        <v>117.5</v>
      </c>
      <c r="T104" s="543" cm="1">
        <f t="array" ref="T104">T$2*T14*SUMPRODUCT(1*(input_MRB_EV=input_data!$C$55:$C$57),input_data!$F$55:$F$57)</f>
        <v>176.25</v>
      </c>
      <c r="U104" s="543" cm="1">
        <f t="array" ref="U104">U$2*U14*SUMPRODUCT(1*(input_MRB_EV=input_data!$C$55:$C$57),input_data!$F$55:$F$57)</f>
        <v>236.11607506968141</v>
      </c>
      <c r="V104" s="543" cm="1">
        <f t="array" ref="V104">V$2*V14*SUMPRODUCT(1*(input_MRB_EV=input_data!$C$55:$C$57),input_data!$F$55:$F$57)</f>
        <v>237.23745066515502</v>
      </c>
      <c r="W104" s="543" cm="1">
        <f t="array" ref="W104">W$2*W14*SUMPRODUCT(1*(input_MRB_EV=input_data!$C$55:$C$57),input_data!$F$55:$F$57)</f>
        <v>238.3641519599727</v>
      </c>
      <c r="X104" s="543" cm="1">
        <f t="array" ref="X104">X$2*X14*SUMPRODUCT(1*(input_MRB_EV=input_data!$C$55:$C$57),input_data!$F$55:$F$57)</f>
        <v>239.49620424724199</v>
      </c>
      <c r="Y104" s="543" cm="1">
        <f t="array" ref="Y104">Y$2*Y14*SUMPRODUCT(1*(input_MRB_EV=input_data!$C$55:$C$57),input_data!$F$55:$F$57)</f>
        <v>240.63363294019382</v>
      </c>
      <c r="Z104" s="543" cm="1">
        <f t="array" ref="Z104">Z$2*Z14*SUMPRODUCT(1*(input_MRB_EV=input_data!$C$55:$C$57),input_data!$F$55:$F$57)</f>
        <v>241.77646357275307</v>
      </c>
      <c r="AA104" s="543" cm="1">
        <f t="array" ref="AA104">AA$2*AA14*SUMPRODUCT(1*(input_MRB_EV=input_data!$C$55:$C$57),input_data!$F$55:$F$57)</f>
        <v>242.92472180011174</v>
      </c>
      <c r="AB104" s="543" cm="1">
        <f t="array" ref="AB104">AB$2*AB14*SUMPRODUCT(1*(input_MRB_EV=input_data!$C$55:$C$57),input_data!$F$55:$F$57)</f>
        <v>244.07843339930494</v>
      </c>
      <c r="AC104" s="543" cm="1">
        <f t="array" ref="AC104">AC$2*AC14*SUMPRODUCT(1*(input_MRB_EV=input_data!$C$55:$C$57),input_data!$F$55:$F$57)</f>
        <v>245.23762426978945</v>
      </c>
      <c r="AD104" s="543" cm="1">
        <f t="array" ref="AD104">AD$2*AD14*SUMPRODUCT(1*(input_MRB_EV=input_data!$C$55:$C$57),input_data!$F$55:$F$57)</f>
        <v>246.40232043402526</v>
      </c>
      <c r="AE104" s="543" cm="1">
        <f t="array" ref="AE104">AE$2*AE14*SUMPRODUCT(1*(input_MRB_EV=input_data!$C$55:$C$57),input_data!$F$55:$F$57)</f>
        <v>247.57254803805961</v>
      </c>
      <c r="AF104" s="543" cm="1">
        <f t="array" ref="AF104">AF$2*AF14*SUMPRODUCT(1*(input_MRB_EV=input_data!$C$55:$C$57),input_data!$F$55:$F$57)</f>
        <v>248.748333352114</v>
      </c>
      <c r="AG104" s="543" cm="1">
        <f t="array" ref="AG104">AG$2*AG14*SUMPRODUCT(1*(input_MRB_EV=input_data!$C$55:$C$57),input_data!$F$55:$F$57)</f>
        <v>249.92970277117399</v>
      </c>
      <c r="AH104" s="543" cm="1">
        <f t="array" ref="AH104">AH$2*AH14*SUMPRODUCT(1*(input_MRB_EV=input_data!$C$55:$C$57),input_data!$F$55:$F$57)</f>
        <v>251.11668281558164</v>
      </c>
      <c r="AI104" s="543" cm="1">
        <f t="array" ref="AI104">AI$2*AI14*SUMPRODUCT(1*(input_MRB_EV=input_data!$C$55:$C$57),input_data!$F$55:$F$57)</f>
        <v>252.30930013163086</v>
      </c>
      <c r="AJ104" s="543" cm="1">
        <f t="array" ref="AJ104">AJ$2*AJ14*SUMPRODUCT(1*(input_MRB_EV=input_data!$C$55:$C$57),input_data!$F$55:$F$57)</f>
        <v>253.50758149216568</v>
      </c>
      <c r="AK104" s="543" cm="1">
        <f t="array" ref="AK104">AK$2*AK14*SUMPRODUCT(1*(input_MRB_EV=input_data!$C$55:$C$57),input_data!$F$55:$F$57)</f>
        <v>254.71155379718115</v>
      </c>
      <c r="AL104" s="543" cm="1">
        <f t="array" ref="AL104">AL$2*AL14*SUMPRODUCT(1*(input_MRB_EV=input_data!$C$55:$C$57),input_data!$F$55:$F$57)</f>
        <v>255.92124407442734</v>
      </c>
      <c r="AM104" s="543" cm="1">
        <f t="array" ref="AM104">AM$2*AM14*SUMPRODUCT(1*(input_MRB_EV=input_data!$C$55:$C$57),input_data!$F$55:$F$57)</f>
        <v>257.13667948001597</v>
      </c>
      <c r="AN104" s="543" cm="1">
        <f t="array" ref="AN104">AN$2*AN14*SUMPRODUCT(1*(input_MRB_EV=input_data!$C$55:$C$57),input_data!$F$55:$F$57)</f>
        <v>258.35788729903004</v>
      </c>
      <c r="AO104" s="543" cm="1">
        <f t="array" ref="AO104">AO$2*AO14*SUMPRODUCT(1*(input_MRB_EV=input_data!$C$55:$C$57),input_data!$F$55:$F$57)</f>
        <v>259.58489494613644</v>
      </c>
      <c r="AP104" s="543" cm="1">
        <f t="array" ref="AP104">AP$2*AP14*SUMPRODUCT(1*(input_MRB_EV=input_data!$C$55:$C$57),input_data!$F$55:$F$57)</f>
        <v>260.81772996620134</v>
      </c>
      <c r="AQ104" s="543" cm="1">
        <f t="array" ref="AQ104">AQ$2*AQ14*SUMPRODUCT(1*(input_MRB_EV=input_data!$C$55:$C$57),input_data!$F$55:$F$57)</f>
        <v>262.05642003490851</v>
      </c>
      <c r="AR104" s="543" cm="1">
        <f t="array" ref="AR104">AR$2*AR14*SUMPRODUCT(1*(input_MRB_EV=input_data!$C$55:$C$57),input_data!$F$55:$F$57)</f>
        <v>263.30099295938055</v>
      </c>
      <c r="AS104" s="543" cm="1">
        <f t="array" ref="AS104">AS$2*AS14*SUMPRODUCT(1*(input_MRB_EV=input_data!$C$55:$C$57),input_data!$F$55:$F$57)</f>
        <v>264.55147667880323</v>
      </c>
      <c r="AT104" s="543" cm="1">
        <f t="array" ref="AT104">AT$2*AT14*SUMPRODUCT(1*(input_MRB_EV=input_data!$C$55:$C$57),input_data!$F$55:$F$57)</f>
        <v>265.8078992650527</v>
      </c>
      <c r="AU104" s="543" cm="1">
        <f t="array" ref="AU104">AU$2*AU14*SUMPRODUCT(1*(input_MRB_EV=input_data!$C$55:$C$57),input_data!$F$55:$F$57)</f>
        <v>267.07028892332551</v>
      </c>
      <c r="AV104" s="543" cm="1">
        <f t="array" ref="AV104">AV$2*AV14*SUMPRODUCT(1*(input_MRB_EV=input_data!$C$55:$C$57),input_data!$F$55:$F$57)</f>
        <v>268.33867399277204</v>
      </c>
      <c r="AW104" s="543" cm="1">
        <f t="array" ref="AW104">AW$2*AW14*SUMPRODUCT(1*(input_MRB_EV=input_data!$C$55:$C$57),input_data!$F$55:$F$57)</f>
        <v>269.61308294713251</v>
      </c>
      <c r="AX104" s="543" cm="1">
        <f t="array" ref="AX104">AX$2*AX14*SUMPRODUCT(1*(input_MRB_EV=input_data!$C$55:$C$57),input_data!$F$55:$F$57)</f>
        <v>270.89354439537613</v>
      </c>
      <c r="AY104" s="543" cm="1">
        <f t="array" ref="AY104">AY$2*AY14*SUMPRODUCT(1*(input_MRB_EV=input_data!$C$55:$C$57),input_data!$F$55:$F$57)</f>
        <v>272.18008708234345</v>
      </c>
      <c r="AZ104" s="543" cm="1">
        <f t="array" ref="AZ104">AZ$2*AZ14*SUMPRODUCT(1*(input_MRB_EV=input_data!$C$55:$C$57),input_data!$F$55:$F$57)</f>
        <v>273.47273988939162</v>
      </c>
      <c r="BA104" s="543" cm="1">
        <f t="array" ref="BA104">BA$2*BA14*SUMPRODUCT(1*(input_MRB_EV=input_data!$C$55:$C$57),input_data!$F$55:$F$57)</f>
        <v>274.77153183504277</v>
      </c>
      <c r="BB104" s="543" cm="1">
        <f t="array" ref="BB104">BB$2*BB14*SUMPRODUCT(1*(input_MRB_EV=input_data!$C$55:$C$57),input_data!$F$55:$F$57)</f>
        <v>276.07649207563537</v>
      </c>
      <c r="BC104" s="543" cm="1">
        <f t="array" ref="BC104">BC$2*BC14*SUMPRODUCT(1*(input_MRB_EV=input_data!$C$55:$C$57),input_data!$F$55:$F$57)</f>
        <v>277.38764990597883</v>
      </c>
    </row>
    <row r="105" spans="8:55" x14ac:dyDescent="0.3">
      <c r="H105" s="542" t="str">
        <f>input_names!$E$3</f>
        <v>plug-in</v>
      </c>
      <c r="I105" s="542" t="s">
        <v>535</v>
      </c>
      <c r="J105" s="543" cm="1">
        <f t="array" ref="J105">J$2*J15*SUMPRODUCT(1*(input_MRB_EV=input_data!$C$55:$C$57),input_data!$F$55:$F$57)</f>
        <v>132</v>
      </c>
      <c r="K105" s="543" cm="1">
        <f t="array" ref="K105">K$2*K15*SUMPRODUCT(1*(input_MRB_EV=input_data!$C$55:$C$57),input_data!$F$55:$F$57)</f>
        <v>132</v>
      </c>
      <c r="L105" s="543" cm="1">
        <f t="array" ref="L105">L$2*L15*SUMPRODUCT(1*(input_MRB_EV=input_data!$C$55:$C$57),input_data!$F$55:$F$57)</f>
        <v>132</v>
      </c>
      <c r="M105" s="543" cm="1">
        <f t="array" ref="M105">M$2*M15*SUMPRODUCT(1*(input_MRB_EV=input_data!$C$55:$C$57),input_data!$F$55:$F$57)</f>
        <v>132</v>
      </c>
      <c r="N105" s="543" cm="1">
        <f t="array" ref="N105">N$2*N15*SUMPRODUCT(1*(input_MRB_EV=input_data!$C$55:$C$57),input_data!$F$55:$F$57)</f>
        <v>132</v>
      </c>
      <c r="O105" s="543" cm="1">
        <f t="array" ref="O105">O$2*O15*SUMPRODUCT(1*(input_MRB_EV=input_data!$C$55:$C$57),input_data!$F$55:$F$57)</f>
        <v>132</v>
      </c>
      <c r="P105" s="543" cm="1">
        <f t="array" ref="P105">P$2*P15*SUMPRODUCT(1*(input_MRB_EV=input_data!$C$55:$C$57),input_data!$F$55:$F$57)</f>
        <v>132</v>
      </c>
      <c r="Q105" s="543" cm="1">
        <f t="array" ref="Q105">Q$2*Q15*SUMPRODUCT(1*(input_MRB_EV=input_data!$C$55:$C$57),input_data!$F$55:$F$57)</f>
        <v>132</v>
      </c>
      <c r="R105" s="543" cm="1">
        <f t="array" ref="R105">R$2*R15*SUMPRODUCT(1*(input_MRB_EV=input_data!$C$55:$C$57),input_data!$F$55:$F$57)</f>
        <v>132</v>
      </c>
      <c r="S105" s="543" cm="1">
        <f t="array" ref="S105">S$2*S15*SUMPRODUCT(1*(input_MRB_EV=input_data!$C$55:$C$57),input_data!$F$55:$F$57)</f>
        <v>132</v>
      </c>
      <c r="T105" s="543" cm="1">
        <f t="array" ref="T105">T$2*T15*SUMPRODUCT(1*(input_MRB_EV=input_data!$C$55:$C$57),input_data!$F$55:$F$57)</f>
        <v>198</v>
      </c>
      <c r="U105" s="543" cm="1">
        <f t="array" ref="U105">U$2*U15*SUMPRODUCT(1*(input_MRB_EV=input_data!$C$55:$C$57),input_data!$F$55:$F$57)</f>
        <v>265.25380348253572</v>
      </c>
      <c r="V105" s="543" cm="1">
        <f t="array" ref="V105">V$2*V15*SUMPRODUCT(1*(input_MRB_EV=input_data!$C$55:$C$57),input_data!$F$55:$F$57)</f>
        <v>266.51356159830181</v>
      </c>
      <c r="W105" s="543" cm="1">
        <f t="array" ref="W105">W$2*W15*SUMPRODUCT(1*(input_MRB_EV=input_data!$C$55:$C$57),input_data!$F$55:$F$57)</f>
        <v>267.77930262737357</v>
      </c>
      <c r="X105" s="543" cm="1">
        <f t="array" ref="X105">X$2*X15*SUMPRODUCT(1*(input_MRB_EV=input_data!$C$55:$C$57),input_data!$F$55:$F$57)</f>
        <v>269.05105498413565</v>
      </c>
      <c r="Y105" s="543" cm="1">
        <f t="array" ref="Y105">Y$2*Y15*SUMPRODUCT(1*(input_MRB_EV=input_data!$C$55:$C$57),input_data!$F$55:$F$57)</f>
        <v>270.32884721791982</v>
      </c>
      <c r="Z105" s="543" cm="1">
        <f t="array" ref="Z105">Z$2*Z15*SUMPRODUCT(1*(input_MRB_EV=input_data!$C$55:$C$57),input_data!$F$55:$F$57)</f>
        <v>271.61270801364594</v>
      </c>
      <c r="AA105" s="543" cm="1">
        <f t="array" ref="AA105">AA$2*AA15*SUMPRODUCT(1*(input_MRB_EV=input_data!$C$55:$C$57),input_data!$F$55:$F$57)</f>
        <v>272.90266619246592</v>
      </c>
      <c r="AB105" s="543" cm="1">
        <f t="array" ref="AB105">AB$2*AB15*SUMPRODUCT(1*(input_MRB_EV=input_data!$C$55:$C$57),input_data!$F$55:$F$57)</f>
        <v>274.19875071241063</v>
      </c>
      <c r="AC105" s="543" cm="1">
        <f t="array" ref="AC105">AC$2*AC15*SUMPRODUCT(1*(input_MRB_EV=input_data!$C$55:$C$57),input_data!$F$55:$F$57)</f>
        <v>275.50099066904005</v>
      </c>
      <c r="AD105" s="543" cm="1">
        <f t="array" ref="AD105">AD$2*AD15*SUMPRODUCT(1*(input_MRB_EV=input_data!$C$55:$C$57),input_data!$F$55:$F$57)</f>
        <v>276.80941529609646</v>
      </c>
      <c r="AE105" s="543" cm="1">
        <f t="array" ref="AE105">AE$2*AE15*SUMPRODUCT(1*(input_MRB_EV=input_data!$C$55:$C$57),input_data!$F$55:$F$57)</f>
        <v>278.12405396616055</v>
      </c>
      <c r="AF105" s="543" cm="1">
        <f t="array" ref="AF105">AF$2*AF15*SUMPRODUCT(1*(input_MRB_EV=input_data!$C$55:$C$57),input_data!$F$55:$F$57)</f>
        <v>279.444936191311</v>
      </c>
      <c r="AG105" s="543" cm="1">
        <f t="array" ref="AG105">AG$2*AG15*SUMPRODUCT(1*(input_MRB_EV=input_data!$C$55:$C$57),input_data!$F$55:$F$57)</f>
        <v>280.77209162378693</v>
      </c>
      <c r="AH105" s="543" cm="1">
        <f t="array" ref="AH105">AH$2*AH15*SUMPRODUCT(1*(input_MRB_EV=input_data!$C$55:$C$57),input_data!$F$55:$F$57)</f>
        <v>282.10555005665339</v>
      </c>
      <c r="AI105" s="543" cm="1">
        <f t="array" ref="AI105">AI$2*AI15*SUMPRODUCT(1*(input_MRB_EV=input_data!$C$55:$C$57),input_data!$F$55:$F$57)</f>
        <v>283.44534142447037</v>
      </c>
      <c r="AJ105" s="543" cm="1">
        <f t="array" ref="AJ105">AJ$2*AJ15*SUMPRODUCT(1*(input_MRB_EV=input_data!$C$55:$C$57),input_data!$F$55:$F$57)</f>
        <v>284.79149580396478</v>
      </c>
      <c r="AK105" s="543" cm="1">
        <f t="array" ref="AK105">AK$2*AK15*SUMPRODUCT(1*(input_MRB_EV=input_data!$C$55:$C$57),input_data!$F$55:$F$57)</f>
        <v>286.14404341470555</v>
      </c>
      <c r="AL105" s="543" cm="1">
        <f t="array" ref="AL105">AL$2*AL15*SUMPRODUCT(1*(input_MRB_EV=input_data!$C$55:$C$57),input_data!$F$55:$F$57)</f>
        <v>287.50301461978211</v>
      </c>
      <c r="AM105" s="543" cm="1">
        <f t="array" ref="AM105">AM$2*AM15*SUMPRODUCT(1*(input_MRB_EV=input_data!$C$55:$C$57),input_data!$F$55:$F$57)</f>
        <v>288.86843992648591</v>
      </c>
      <c r="AN105" s="543" cm="1">
        <f t="array" ref="AN105">AN$2*AN15*SUMPRODUCT(1*(input_MRB_EV=input_data!$C$55:$C$57),input_data!$F$55:$F$57)</f>
        <v>290.24034998699534</v>
      </c>
      <c r="AO105" s="543" cm="1">
        <f t="array" ref="AO105">AO$2*AO15*SUMPRODUCT(1*(input_MRB_EV=input_data!$C$55:$C$57),input_data!$F$55:$F$57)</f>
        <v>291.61877559906384</v>
      </c>
      <c r="AP105" s="543" cm="1">
        <f t="array" ref="AP105">AP$2*AP15*SUMPRODUCT(1*(input_MRB_EV=input_data!$C$55:$C$57),input_data!$F$55:$F$57)</f>
        <v>293.00374770671124</v>
      </c>
      <c r="AQ105" s="543" cm="1">
        <f t="array" ref="AQ105">AQ$2*AQ15*SUMPRODUCT(1*(input_MRB_EV=input_data!$C$55:$C$57),input_data!$F$55:$F$57)</f>
        <v>294.39529740091842</v>
      </c>
      <c r="AR105" s="543" cm="1">
        <f t="array" ref="AR105">AR$2*AR15*SUMPRODUCT(1*(input_MRB_EV=input_data!$C$55:$C$57),input_data!$F$55:$F$57)</f>
        <v>295.7934559203253</v>
      </c>
      <c r="AS105" s="543" cm="1">
        <f t="array" ref="AS105">AS$2*AS15*SUMPRODUCT(1*(input_MRB_EV=input_data!$C$55:$C$57),input_data!$F$55:$F$57)</f>
        <v>297.19825465193207</v>
      </c>
      <c r="AT105" s="543" cm="1">
        <f t="array" ref="AT105">AT$2*AT15*SUMPRODUCT(1*(input_MRB_EV=input_data!$C$55:$C$57),input_data!$F$55:$F$57)</f>
        <v>298.60972513180377</v>
      </c>
      <c r="AU105" s="543" cm="1">
        <f t="array" ref="AU105">AU$2*AU15*SUMPRODUCT(1*(input_MRB_EV=input_data!$C$55:$C$57),input_data!$F$55:$F$57)</f>
        <v>300.02789904577838</v>
      </c>
      <c r="AV105" s="543" cm="1">
        <f t="array" ref="AV105">AV$2*AV15*SUMPRODUCT(1*(input_MRB_EV=input_data!$C$55:$C$57),input_data!$F$55:$F$57)</f>
        <v>301.45280823017794</v>
      </c>
      <c r="AW105" s="543" cm="1">
        <f t="array" ref="AW105">AW$2*AW15*SUMPRODUCT(1*(input_MRB_EV=input_data!$C$55:$C$57),input_data!$F$55:$F$57)</f>
        <v>302.88448467252329</v>
      </c>
      <c r="AX105" s="543" cm="1">
        <f t="array" ref="AX105">AX$2*AX15*SUMPRODUCT(1*(input_MRB_EV=input_data!$C$55:$C$57),input_data!$F$55:$F$57)</f>
        <v>304.32296051225228</v>
      </c>
      <c r="AY105" s="543" cm="1">
        <f t="array" ref="AY105">AY$2*AY15*SUMPRODUCT(1*(input_MRB_EV=input_data!$C$55:$C$57),input_data!$F$55:$F$57)</f>
        <v>305.7682680414411</v>
      </c>
      <c r="AZ105" s="543" cm="1">
        <f t="array" ref="AZ105">AZ$2*AZ15*SUMPRODUCT(1*(input_MRB_EV=input_data!$C$55:$C$57),input_data!$F$55:$F$57)</f>
        <v>307.22043970552926</v>
      </c>
      <c r="BA105" s="543" cm="1">
        <f t="array" ref="BA105">BA$2*BA15*SUMPRODUCT(1*(input_MRB_EV=input_data!$C$55:$C$57),input_data!$F$55:$F$57)</f>
        <v>308.67950810404801</v>
      </c>
      <c r="BB105" s="543" cm="1">
        <f t="array" ref="BB105">BB$2*BB15*SUMPRODUCT(1*(input_MRB_EV=input_data!$C$55:$C$57),input_data!$F$55:$F$57)</f>
        <v>310.14550599135208</v>
      </c>
      <c r="BC105" s="543" cm="1">
        <f t="array" ref="BC105">BC$2*BC15*SUMPRODUCT(1*(input_MRB_EV=input_data!$C$55:$C$57),input_data!$F$55:$F$57)</f>
        <v>311.61846627735497</v>
      </c>
    </row>
    <row r="106" spans="8:55" x14ac:dyDescent="0.3">
      <c r="H106" s="542" t="str">
        <f>input_names!$E$3</f>
        <v>plug-in</v>
      </c>
      <c r="I106" s="542" t="s">
        <v>536</v>
      </c>
      <c r="J106" s="543" cm="1">
        <f t="array" ref="J106">J$2*J16*SUMPRODUCT(1*(input_MRB_EV=input_data!$C$55:$C$57),input_data!$F$55:$F$57)</f>
        <v>146</v>
      </c>
      <c r="K106" s="543" cm="1">
        <f t="array" ref="K106">K$2*K16*SUMPRODUCT(1*(input_MRB_EV=input_data!$C$55:$C$57),input_data!$F$55:$F$57)</f>
        <v>146</v>
      </c>
      <c r="L106" s="543" cm="1">
        <f t="array" ref="L106">L$2*L16*SUMPRODUCT(1*(input_MRB_EV=input_data!$C$55:$C$57),input_data!$F$55:$F$57)</f>
        <v>146</v>
      </c>
      <c r="M106" s="543" cm="1">
        <f t="array" ref="M106">M$2*M16*SUMPRODUCT(1*(input_MRB_EV=input_data!$C$55:$C$57),input_data!$F$55:$F$57)</f>
        <v>146</v>
      </c>
      <c r="N106" s="543" cm="1">
        <f t="array" ref="N106">N$2*N16*SUMPRODUCT(1*(input_MRB_EV=input_data!$C$55:$C$57),input_data!$F$55:$F$57)</f>
        <v>146</v>
      </c>
      <c r="O106" s="543" cm="1">
        <f t="array" ref="O106">O$2*O16*SUMPRODUCT(1*(input_MRB_EV=input_data!$C$55:$C$57),input_data!$F$55:$F$57)</f>
        <v>146</v>
      </c>
      <c r="P106" s="543" cm="1">
        <f t="array" ref="P106">P$2*P16*SUMPRODUCT(1*(input_MRB_EV=input_data!$C$55:$C$57),input_data!$F$55:$F$57)</f>
        <v>146</v>
      </c>
      <c r="Q106" s="543" cm="1">
        <f t="array" ref="Q106">Q$2*Q16*SUMPRODUCT(1*(input_MRB_EV=input_data!$C$55:$C$57),input_data!$F$55:$F$57)</f>
        <v>146</v>
      </c>
      <c r="R106" s="543" cm="1">
        <f t="array" ref="R106">R$2*R16*SUMPRODUCT(1*(input_MRB_EV=input_data!$C$55:$C$57),input_data!$F$55:$F$57)</f>
        <v>146</v>
      </c>
      <c r="S106" s="543" cm="1">
        <f t="array" ref="S106">S$2*S16*SUMPRODUCT(1*(input_MRB_EV=input_data!$C$55:$C$57),input_data!$F$55:$F$57)</f>
        <v>146</v>
      </c>
      <c r="T106" s="543" cm="1">
        <f t="array" ref="T106">T$2*T16*SUMPRODUCT(1*(input_MRB_EV=input_data!$C$55:$C$57),input_data!$F$55:$F$57)</f>
        <v>219</v>
      </c>
      <c r="U106" s="543" cm="1">
        <f t="array" ref="U106">U$2*U16*SUMPRODUCT(1*(input_MRB_EV=input_data!$C$55:$C$57),input_data!$F$55:$F$57)</f>
        <v>293.38678263977437</v>
      </c>
      <c r="V106" s="543" cm="1">
        <f t="array" ref="V106">V$2*V16*SUMPRODUCT(1*(input_MRB_EV=input_data!$C$55:$C$57),input_data!$F$55:$F$57)</f>
        <v>294.78015146478839</v>
      </c>
      <c r="W106" s="543" cm="1">
        <f t="array" ref="W106">W$2*W16*SUMPRODUCT(1*(input_MRB_EV=input_data!$C$55:$C$57),input_data!$F$55:$F$57)</f>
        <v>296.18013775451931</v>
      </c>
      <c r="X106" s="543" cm="1">
        <f t="array" ref="X106">X$2*X16*SUMPRODUCT(1*(input_MRB_EV=input_data!$C$55:$C$57),input_data!$F$55:$F$57)</f>
        <v>297.58677293699856</v>
      </c>
      <c r="Y106" s="543" cm="1">
        <f t="array" ref="Y106">Y$2*Y16*SUMPRODUCT(1*(input_MRB_EV=input_data!$C$55:$C$57),input_data!$F$55:$F$57)</f>
        <v>299.00008858951742</v>
      </c>
      <c r="Z106" s="543" cm="1">
        <f t="array" ref="Z106">Z$2*Z16*SUMPRODUCT(1*(input_MRB_EV=input_data!$C$55:$C$57),input_data!$F$55:$F$57)</f>
        <v>300.42011643933569</v>
      </c>
      <c r="AA106" s="543" cm="1">
        <f t="array" ref="AA106">AA$2*AA16*SUMPRODUCT(1*(input_MRB_EV=input_data!$C$55:$C$57),input_data!$F$55:$F$57)</f>
        <v>301.84688836439415</v>
      </c>
      <c r="AB106" s="543" cm="1">
        <f t="array" ref="AB106">AB$2*AB16*SUMPRODUCT(1*(input_MRB_EV=input_data!$C$55:$C$57),input_data!$F$55:$F$57)</f>
        <v>303.28043639402995</v>
      </c>
      <c r="AC106" s="543" cm="1">
        <f t="array" ref="AC106">AC$2*AC16*SUMPRODUCT(1*(input_MRB_EV=input_data!$C$55:$C$57),input_data!$F$55:$F$57)</f>
        <v>304.72079270969584</v>
      </c>
      <c r="AD106" s="543" cm="1">
        <f t="array" ref="AD106">AD$2*AD16*SUMPRODUCT(1*(input_MRB_EV=input_data!$C$55:$C$57),input_data!$F$55:$F$57)</f>
        <v>306.16798964568244</v>
      </c>
      <c r="AE106" s="543" cm="1">
        <f t="array" ref="AE106">AE$2*AE16*SUMPRODUCT(1*(input_MRB_EV=input_data!$C$55:$C$57),input_data!$F$55:$F$57)</f>
        <v>307.62205968984426</v>
      </c>
      <c r="AF106" s="543" cm="1">
        <f t="array" ref="AF106">AF$2*AF16*SUMPRODUCT(1*(input_MRB_EV=input_data!$C$55:$C$57),input_data!$F$55:$F$57)</f>
        <v>309.08303548432889</v>
      </c>
      <c r="AG106" s="543" cm="1">
        <f t="array" ref="AG106">AG$2*AG16*SUMPRODUCT(1*(input_MRB_EV=input_data!$C$55:$C$57),input_data!$F$55:$F$57)</f>
        <v>310.55094982630982</v>
      </c>
      <c r="AH106" s="543" cm="1">
        <f t="array" ref="AH106">AH$2*AH16*SUMPRODUCT(1*(input_MRB_EV=input_data!$C$55:$C$57),input_data!$F$55:$F$57)</f>
        <v>312.02583566872272</v>
      </c>
      <c r="AI106" s="543" cm="1">
        <f t="array" ref="AI106">AI$2*AI16*SUMPRODUCT(1*(input_MRB_EV=input_data!$C$55:$C$57),input_data!$F$55:$F$57)</f>
        <v>313.50772612100519</v>
      </c>
      <c r="AJ106" s="543" cm="1">
        <f t="array" ref="AJ106">AJ$2*AJ16*SUMPRODUCT(1*(input_MRB_EV=input_data!$C$55:$C$57),input_data!$F$55:$F$57)</f>
        <v>314.99665444983992</v>
      </c>
      <c r="AK106" s="543" cm="1">
        <f t="array" ref="AK106">AK$2*AK16*SUMPRODUCT(1*(input_MRB_EV=input_data!$C$55:$C$57),input_data!$F$55:$F$57)</f>
        <v>316.49265407990174</v>
      </c>
      <c r="AL106" s="543" cm="1">
        <f t="array" ref="AL106">AL$2*AL16*SUMPRODUCT(1*(input_MRB_EV=input_data!$C$55:$C$57),input_data!$F$55:$F$57)</f>
        <v>317.99575859460765</v>
      </c>
      <c r="AM106" s="543" cm="1">
        <f t="array" ref="AM106">AM$2*AM16*SUMPRODUCT(1*(input_MRB_EV=input_data!$C$55:$C$57),input_data!$F$55:$F$57)</f>
        <v>319.50600173687093</v>
      </c>
      <c r="AN106" s="543" cm="1">
        <f t="array" ref="AN106">AN$2*AN16*SUMPRODUCT(1*(input_MRB_EV=input_data!$C$55:$C$57),input_data!$F$55:$F$57)</f>
        <v>321.02341740985861</v>
      </c>
      <c r="AO106" s="543" cm="1">
        <f t="array" ref="AO106">AO$2*AO16*SUMPRODUCT(1*(input_MRB_EV=input_data!$C$55:$C$57),input_data!$F$55:$F$57)</f>
        <v>322.54803967775257</v>
      </c>
      <c r="AP106" s="543" cm="1">
        <f t="array" ref="AP106">AP$2*AP16*SUMPRODUCT(1*(input_MRB_EV=input_data!$C$55:$C$57),input_data!$F$55:$F$57)</f>
        <v>324.07990276651407</v>
      </c>
      <c r="AQ106" s="543" cm="1">
        <f t="array" ref="AQ106">AQ$2*AQ16*SUMPRODUCT(1*(input_MRB_EV=input_data!$C$55:$C$57),input_data!$F$55:$F$57)</f>
        <v>325.61904106465232</v>
      </c>
      <c r="AR106" s="543" cm="1">
        <f t="array" ref="AR106">AR$2*AR16*SUMPRODUCT(1*(input_MRB_EV=input_data!$C$55:$C$57),input_data!$F$55:$F$57)</f>
        <v>327.16548912399628</v>
      </c>
      <c r="AS106" s="543" cm="1">
        <f t="array" ref="AS106">AS$2*AS16*SUMPRODUCT(1*(input_MRB_EV=input_data!$C$55:$C$57),input_data!$F$55:$F$57)</f>
        <v>328.71928166047041</v>
      </c>
      <c r="AT106" s="543" cm="1">
        <f t="array" ref="AT106">AT$2*AT16*SUMPRODUCT(1*(input_MRB_EV=input_data!$C$55:$C$57),input_data!$F$55:$F$57)</f>
        <v>330.28045355487399</v>
      </c>
      <c r="AU106" s="543" cm="1">
        <f t="array" ref="AU106">AU$2*AU16*SUMPRODUCT(1*(input_MRB_EV=input_data!$C$55:$C$57),input_data!$F$55:$F$57)</f>
        <v>331.84903985366407</v>
      </c>
      <c r="AV106" s="543" cm="1">
        <f t="array" ref="AV106">AV$2*AV16*SUMPRODUCT(1*(input_MRB_EV=input_data!$C$55:$C$57),input_data!$F$55:$F$57)</f>
        <v>333.42507576974231</v>
      </c>
      <c r="AW106" s="543" cm="1">
        <f t="array" ref="AW106">AW$2*AW16*SUMPRODUCT(1*(input_MRB_EV=input_data!$C$55:$C$57),input_data!$F$55:$F$57)</f>
        <v>335.00859668324551</v>
      </c>
      <c r="AX106" s="543" cm="1">
        <f t="array" ref="AX106">AX$2*AX16*SUMPRODUCT(1*(input_MRB_EV=input_data!$C$55:$C$57),input_data!$F$55:$F$57)</f>
        <v>336.5996381423397</v>
      </c>
      <c r="AY106" s="543" cm="1">
        <f t="array" ref="AY106">AY$2*AY16*SUMPRODUCT(1*(input_MRB_EV=input_data!$C$55:$C$57),input_data!$F$55:$F$57)</f>
        <v>338.19823586401822</v>
      </c>
      <c r="AZ106" s="543" cm="1">
        <f t="array" ref="AZ106">AZ$2*AZ16*SUMPRODUCT(1*(input_MRB_EV=input_data!$C$55:$C$57),input_data!$F$55:$F$57)</f>
        <v>339.80442573490359</v>
      </c>
      <c r="BA106" s="543" cm="1">
        <f t="array" ref="BA106">BA$2*BA16*SUMPRODUCT(1*(input_MRB_EV=input_data!$C$55:$C$57),input_data!$F$55:$F$57)</f>
        <v>341.41824381205311</v>
      </c>
      <c r="BB106" s="543" cm="1">
        <f t="array" ref="BB106">BB$2*BB16*SUMPRODUCT(1*(input_MRB_EV=input_data!$C$55:$C$57),input_data!$F$55:$F$57)</f>
        <v>343.03972632376821</v>
      </c>
      <c r="BC106" s="543" cm="1">
        <f t="array" ref="BC106">BC$2*BC16*SUMPRODUCT(1*(input_MRB_EV=input_data!$C$55:$C$57),input_data!$F$55:$F$57)</f>
        <v>344.66890967040774</v>
      </c>
    </row>
    <row r="107" spans="8:55" x14ac:dyDescent="0.3">
      <c r="H107" s="542" t="str">
        <f>input_names!$E$3</f>
        <v>plug-in</v>
      </c>
      <c r="I107" s="542" t="s">
        <v>537</v>
      </c>
      <c r="J107" s="543" cm="1">
        <f t="array" ref="J107">J$2*J17*SUMPRODUCT(1*(input_MRB_EV=input_data!$C$55:$C$57),input_data!$F$55:$F$57)</f>
        <v>160</v>
      </c>
      <c r="K107" s="543" cm="1">
        <f t="array" ref="K107">K$2*K17*SUMPRODUCT(1*(input_MRB_EV=input_data!$C$55:$C$57),input_data!$F$55:$F$57)</f>
        <v>160</v>
      </c>
      <c r="L107" s="543" cm="1">
        <f t="array" ref="L107">L$2*L17*SUMPRODUCT(1*(input_MRB_EV=input_data!$C$55:$C$57),input_data!$F$55:$F$57)</f>
        <v>160</v>
      </c>
      <c r="M107" s="543" cm="1">
        <f t="array" ref="M107">M$2*M17*SUMPRODUCT(1*(input_MRB_EV=input_data!$C$55:$C$57),input_data!$F$55:$F$57)</f>
        <v>160</v>
      </c>
      <c r="N107" s="543" cm="1">
        <f t="array" ref="N107">N$2*N17*SUMPRODUCT(1*(input_MRB_EV=input_data!$C$55:$C$57),input_data!$F$55:$F$57)</f>
        <v>160</v>
      </c>
      <c r="O107" s="543" cm="1">
        <f t="array" ref="O107">O$2*O17*SUMPRODUCT(1*(input_MRB_EV=input_data!$C$55:$C$57),input_data!$F$55:$F$57)</f>
        <v>160</v>
      </c>
      <c r="P107" s="543" cm="1">
        <f t="array" ref="P107">P$2*P17*SUMPRODUCT(1*(input_MRB_EV=input_data!$C$55:$C$57),input_data!$F$55:$F$57)</f>
        <v>160</v>
      </c>
      <c r="Q107" s="543" cm="1">
        <f t="array" ref="Q107">Q$2*Q17*SUMPRODUCT(1*(input_MRB_EV=input_data!$C$55:$C$57),input_data!$F$55:$F$57)</f>
        <v>160</v>
      </c>
      <c r="R107" s="543" cm="1">
        <f t="array" ref="R107">R$2*R17*SUMPRODUCT(1*(input_MRB_EV=input_data!$C$55:$C$57),input_data!$F$55:$F$57)</f>
        <v>160</v>
      </c>
      <c r="S107" s="543" cm="1">
        <f t="array" ref="S107">S$2*S17*SUMPRODUCT(1*(input_MRB_EV=input_data!$C$55:$C$57),input_data!$F$55:$F$57)</f>
        <v>160</v>
      </c>
      <c r="T107" s="543" cm="1">
        <f t="array" ref="T107">T$2*T17*SUMPRODUCT(1*(input_MRB_EV=input_data!$C$55:$C$57),input_data!$F$55:$F$57)</f>
        <v>240</v>
      </c>
      <c r="U107" s="543" cm="1">
        <f t="array" ref="U107">U$2*U17*SUMPRODUCT(1*(input_MRB_EV=input_data!$C$55:$C$57),input_data!$F$55:$F$57)</f>
        <v>321.51976179701302</v>
      </c>
      <c r="V107" s="543" cm="1">
        <f t="array" ref="V107">V$2*V17*SUMPRODUCT(1*(input_MRB_EV=input_data!$C$55:$C$57),input_data!$F$55:$F$57)</f>
        <v>323.04674133127497</v>
      </c>
      <c r="W107" s="543" cm="1">
        <f t="array" ref="W107">W$2*W17*SUMPRODUCT(1*(input_MRB_EV=input_data!$C$55:$C$57),input_data!$F$55:$F$57)</f>
        <v>324.58097288166499</v>
      </c>
      <c r="X107" s="543" cm="1">
        <f t="array" ref="X107">X$2*X17*SUMPRODUCT(1*(input_MRB_EV=input_data!$C$55:$C$57),input_data!$F$55:$F$57)</f>
        <v>326.12249088986147</v>
      </c>
      <c r="Y107" s="543" cm="1">
        <f t="array" ref="Y107">Y$2*Y17*SUMPRODUCT(1*(input_MRB_EV=input_data!$C$55:$C$57),input_data!$F$55:$F$57)</f>
        <v>327.67132996111502</v>
      </c>
      <c r="Z107" s="543" cm="1">
        <f t="array" ref="Z107">Z$2*Z17*SUMPRODUCT(1*(input_MRB_EV=input_data!$C$55:$C$57),input_data!$F$55:$F$57)</f>
        <v>329.22752486502549</v>
      </c>
      <c r="AA107" s="543" cm="1">
        <f t="array" ref="AA107">AA$2*AA17*SUMPRODUCT(1*(input_MRB_EV=input_data!$C$55:$C$57),input_data!$F$55:$F$57)</f>
        <v>330.79111053632244</v>
      </c>
      <c r="AB107" s="543" cm="1">
        <f t="array" ref="AB107">AB$2*AB17*SUMPRODUCT(1*(input_MRB_EV=input_data!$C$55:$C$57),input_data!$F$55:$F$57)</f>
        <v>332.36212207564932</v>
      </c>
      <c r="AC107" s="543" cm="1">
        <f t="array" ref="AC107">AC$2*AC17*SUMPRODUCT(1*(input_MRB_EV=input_data!$C$55:$C$57),input_data!$F$55:$F$57)</f>
        <v>333.94059475035164</v>
      </c>
      <c r="AD107" s="543" cm="1">
        <f t="array" ref="AD107">AD$2*AD17*SUMPRODUCT(1*(input_MRB_EV=input_data!$C$55:$C$57),input_data!$F$55:$F$57)</f>
        <v>335.52656399526848</v>
      </c>
      <c r="AE107" s="543" cm="1">
        <f t="array" ref="AE107">AE$2*AE17*SUMPRODUCT(1*(input_MRB_EV=input_data!$C$55:$C$57),input_data!$F$55:$F$57)</f>
        <v>337.12006541352798</v>
      </c>
      <c r="AF107" s="543" cm="1">
        <f t="array" ref="AF107">AF$2*AF17*SUMPRODUCT(1*(input_MRB_EV=input_data!$C$55:$C$57),input_data!$F$55:$F$57)</f>
        <v>338.72113477734672</v>
      </c>
      <c r="AG107" s="543" cm="1">
        <f t="array" ref="AG107">AG$2*AG17*SUMPRODUCT(1*(input_MRB_EV=input_data!$C$55:$C$57),input_data!$F$55:$F$57)</f>
        <v>340.32980802883264</v>
      </c>
      <c r="AH107" s="543" cm="1">
        <f t="array" ref="AH107">AH$2*AH17*SUMPRODUCT(1*(input_MRB_EV=input_data!$C$55:$C$57),input_data!$F$55:$F$57)</f>
        <v>341.946121280792</v>
      </c>
      <c r="AI107" s="543" cm="1">
        <f t="array" ref="AI107">AI$2*AI17*SUMPRODUCT(1*(input_MRB_EV=input_data!$C$55:$C$57),input_data!$F$55:$F$57)</f>
        <v>343.5701108175399</v>
      </c>
      <c r="AJ107" s="543" cm="1">
        <f t="array" ref="AJ107">AJ$2*AJ17*SUMPRODUCT(1*(input_MRB_EV=input_data!$C$55:$C$57),input_data!$F$55:$F$57)</f>
        <v>345.20181309571495</v>
      </c>
      <c r="AK107" s="543" cm="1">
        <f t="array" ref="AK107">AK$2*AK17*SUMPRODUCT(1*(input_MRB_EV=input_data!$C$55:$C$57),input_data!$F$55:$F$57)</f>
        <v>346.84126474509776</v>
      </c>
      <c r="AL107" s="543" cm="1">
        <f t="array" ref="AL107">AL$2*AL17*SUMPRODUCT(1*(input_MRB_EV=input_data!$C$55:$C$57),input_data!$F$55:$F$57)</f>
        <v>348.48850256943297</v>
      </c>
      <c r="AM107" s="543" cm="1">
        <f t="array" ref="AM107">AM$2*AM17*SUMPRODUCT(1*(input_MRB_EV=input_data!$C$55:$C$57),input_data!$F$55:$F$57)</f>
        <v>350.14356354725578</v>
      </c>
      <c r="AN107" s="543" cm="1">
        <f t="array" ref="AN107">AN$2*AN17*SUMPRODUCT(1*(input_MRB_EV=input_data!$C$55:$C$57),input_data!$F$55:$F$57)</f>
        <v>351.80648483272176</v>
      </c>
      <c r="AO107" s="543" cm="1">
        <f t="array" ref="AO107">AO$2*AO17*SUMPRODUCT(1*(input_MRB_EV=input_data!$C$55:$C$57),input_data!$F$55:$F$57)</f>
        <v>353.47730375644113</v>
      </c>
      <c r="AP107" s="543" cm="1">
        <f t="array" ref="AP107">AP$2*AP17*SUMPRODUCT(1*(input_MRB_EV=input_data!$C$55:$C$57),input_data!$F$55:$F$57)</f>
        <v>355.15605782631678</v>
      </c>
      <c r="AQ107" s="543" cm="1">
        <f t="array" ref="AQ107">AQ$2*AQ17*SUMPRODUCT(1*(input_MRB_EV=input_data!$C$55:$C$57),input_data!$F$55:$F$57)</f>
        <v>356.84278472838611</v>
      </c>
      <c r="AR107" s="543" cm="1">
        <f t="array" ref="AR107">AR$2*AR17*SUMPRODUCT(1*(input_MRB_EV=input_data!$C$55:$C$57),input_data!$F$55:$F$57)</f>
        <v>358.53752232766715</v>
      </c>
      <c r="AS107" s="543" cm="1">
        <f t="array" ref="AS107">AS$2*AS17*SUMPRODUCT(1*(input_MRB_EV=input_data!$C$55:$C$57),input_data!$F$55:$F$57)</f>
        <v>360.24030866900864</v>
      </c>
      <c r="AT107" s="543" cm="1">
        <f t="array" ref="AT107">AT$2*AT17*SUMPRODUCT(1*(input_MRB_EV=input_data!$C$55:$C$57),input_data!$F$55:$F$57)</f>
        <v>361.95118197794403</v>
      </c>
      <c r="AU107" s="543" cm="1">
        <f t="array" ref="AU107">AU$2*AU17*SUMPRODUCT(1*(input_MRB_EV=input_data!$C$55:$C$57),input_data!$F$55:$F$57)</f>
        <v>363.67018066154958</v>
      </c>
      <c r="AV107" s="543" cm="1">
        <f t="array" ref="AV107">AV$2*AV17*SUMPRODUCT(1*(input_MRB_EV=input_data!$C$55:$C$57),input_data!$F$55:$F$57)</f>
        <v>365.39734330930656</v>
      </c>
      <c r="AW107" s="543" cm="1">
        <f t="array" ref="AW107">AW$2*AW17*SUMPRODUCT(1*(input_MRB_EV=input_data!$C$55:$C$57),input_data!$F$55:$F$57)</f>
        <v>367.13270869396757</v>
      </c>
      <c r="AX107" s="543" cm="1">
        <f t="array" ref="AX107">AX$2*AX17*SUMPRODUCT(1*(input_MRB_EV=input_data!$C$55:$C$57),input_data!$F$55:$F$57)</f>
        <v>368.87631577242695</v>
      </c>
      <c r="AY107" s="543" cm="1">
        <f t="array" ref="AY107">AY$2*AY17*SUMPRODUCT(1*(input_MRB_EV=input_data!$C$55:$C$57),input_data!$F$55:$F$57)</f>
        <v>370.62820368659521</v>
      </c>
      <c r="AZ107" s="543" cm="1">
        <f t="array" ref="AZ107">AZ$2*AZ17*SUMPRODUCT(1*(input_MRB_EV=input_data!$C$55:$C$57),input_data!$F$55:$F$57)</f>
        <v>372.38841176427786</v>
      </c>
      <c r="BA107" s="543" cm="1">
        <f t="array" ref="BA107">BA$2*BA17*SUMPRODUCT(1*(input_MRB_EV=input_data!$C$55:$C$57),input_data!$F$55:$F$57)</f>
        <v>374.15697952005814</v>
      </c>
      <c r="BB107" s="543" cm="1">
        <f t="array" ref="BB107">BB$2*BB17*SUMPRODUCT(1*(input_MRB_EV=input_data!$C$55:$C$57),input_data!$F$55:$F$57)</f>
        <v>375.93394665618428</v>
      </c>
      <c r="BC107" s="543" cm="1">
        <f t="array" ref="BC107">BC$2*BC17*SUMPRODUCT(1*(input_MRB_EV=input_data!$C$55:$C$57),input_data!$F$55:$F$57)</f>
        <v>377.71935306346052</v>
      </c>
    </row>
    <row r="108" spans="8:55" x14ac:dyDescent="0.3">
      <c r="H108" s="542" t="str">
        <f>input_names!$E$3</f>
        <v>plug-in</v>
      </c>
      <c r="I108" s="542" t="s">
        <v>538</v>
      </c>
      <c r="J108" s="543" cm="1">
        <f t="array" ref="J108">J$2*J18*SUMPRODUCT(1*(input_MRB_EV=input_data!$C$55:$C$57),input_data!$F$55:$F$57)</f>
        <v>174</v>
      </c>
      <c r="K108" s="543" cm="1">
        <f t="array" ref="K108">K$2*K18*SUMPRODUCT(1*(input_MRB_EV=input_data!$C$55:$C$57),input_data!$F$55:$F$57)</f>
        <v>174</v>
      </c>
      <c r="L108" s="543" cm="1">
        <f t="array" ref="L108">L$2*L18*SUMPRODUCT(1*(input_MRB_EV=input_data!$C$55:$C$57),input_data!$F$55:$F$57)</f>
        <v>174</v>
      </c>
      <c r="M108" s="543" cm="1">
        <f t="array" ref="M108">M$2*M18*SUMPRODUCT(1*(input_MRB_EV=input_data!$C$55:$C$57),input_data!$F$55:$F$57)</f>
        <v>174</v>
      </c>
      <c r="N108" s="543" cm="1">
        <f t="array" ref="N108">N$2*N18*SUMPRODUCT(1*(input_MRB_EV=input_data!$C$55:$C$57),input_data!$F$55:$F$57)</f>
        <v>174</v>
      </c>
      <c r="O108" s="543" cm="1">
        <f t="array" ref="O108">O$2*O18*SUMPRODUCT(1*(input_MRB_EV=input_data!$C$55:$C$57),input_data!$F$55:$F$57)</f>
        <v>174</v>
      </c>
      <c r="P108" s="543" cm="1">
        <f t="array" ref="P108">P$2*P18*SUMPRODUCT(1*(input_MRB_EV=input_data!$C$55:$C$57),input_data!$F$55:$F$57)</f>
        <v>174</v>
      </c>
      <c r="Q108" s="543" cm="1">
        <f t="array" ref="Q108">Q$2*Q18*SUMPRODUCT(1*(input_MRB_EV=input_data!$C$55:$C$57),input_data!$F$55:$F$57)</f>
        <v>174</v>
      </c>
      <c r="R108" s="543" cm="1">
        <f t="array" ref="R108">R$2*R18*SUMPRODUCT(1*(input_MRB_EV=input_data!$C$55:$C$57),input_data!$F$55:$F$57)</f>
        <v>174</v>
      </c>
      <c r="S108" s="543" cm="1">
        <f t="array" ref="S108">S$2*S18*SUMPRODUCT(1*(input_MRB_EV=input_data!$C$55:$C$57),input_data!$F$55:$F$57)</f>
        <v>174</v>
      </c>
      <c r="T108" s="543" cm="1">
        <f t="array" ref="T108">T$2*T18*SUMPRODUCT(1*(input_MRB_EV=input_data!$C$55:$C$57),input_data!$F$55:$F$57)</f>
        <v>261</v>
      </c>
      <c r="U108" s="543" cm="1">
        <f t="array" ref="U108">U$2*U18*SUMPRODUCT(1*(input_MRB_EV=input_data!$C$55:$C$57),input_data!$F$55:$F$57)</f>
        <v>349.65274095425167</v>
      </c>
      <c r="V108" s="543" cm="1">
        <f t="array" ref="V108">V$2*V18*SUMPRODUCT(1*(input_MRB_EV=input_data!$C$55:$C$57),input_data!$F$55:$F$57)</f>
        <v>351.31333119776156</v>
      </c>
      <c r="W108" s="543" cm="1">
        <f t="array" ref="W108">W$2*W18*SUMPRODUCT(1*(input_MRB_EV=input_data!$C$55:$C$57),input_data!$F$55:$F$57)</f>
        <v>352.98180800881073</v>
      </c>
      <c r="X108" s="543" cm="1">
        <f t="array" ref="X108">X$2*X18*SUMPRODUCT(1*(input_MRB_EV=input_data!$C$55:$C$57),input_data!$F$55:$F$57)</f>
        <v>354.65820884272438</v>
      </c>
      <c r="Y108" s="543" cm="1">
        <f t="array" ref="Y108">Y$2*Y18*SUMPRODUCT(1*(input_MRB_EV=input_data!$C$55:$C$57),input_data!$F$55:$F$57)</f>
        <v>356.34257133271262</v>
      </c>
      <c r="Z108" s="543" cm="1">
        <f t="array" ref="Z108">Z$2*Z18*SUMPRODUCT(1*(input_MRB_EV=input_data!$C$55:$C$57),input_data!$F$55:$F$57)</f>
        <v>358.03493329071523</v>
      </c>
      <c r="AA108" s="543" cm="1">
        <f t="array" ref="AA108">AA$2*AA18*SUMPRODUCT(1*(input_MRB_EV=input_data!$C$55:$C$57),input_data!$F$55:$F$57)</f>
        <v>359.73533270825061</v>
      </c>
      <c r="AB108" s="543" cm="1">
        <f t="array" ref="AB108">AB$2*AB18*SUMPRODUCT(1*(input_MRB_EV=input_data!$C$55:$C$57),input_data!$F$55:$F$57)</f>
        <v>361.44380775726864</v>
      </c>
      <c r="AC108" s="543" cm="1">
        <f t="array" ref="AC108">AC$2*AC18*SUMPRODUCT(1*(input_MRB_EV=input_data!$C$55:$C$57),input_data!$F$55:$F$57)</f>
        <v>363.16039679100743</v>
      </c>
      <c r="AD108" s="543" cm="1">
        <f t="array" ref="AD108">AD$2*AD18*SUMPRODUCT(1*(input_MRB_EV=input_data!$C$55:$C$57),input_data!$F$55:$F$57)</f>
        <v>364.88513834485445</v>
      </c>
      <c r="AE108" s="543" cm="1">
        <f t="array" ref="AE108">AE$2*AE18*SUMPRODUCT(1*(input_MRB_EV=input_data!$C$55:$C$57),input_data!$F$55:$F$57)</f>
        <v>366.6180711372117</v>
      </c>
      <c r="AF108" s="543" cm="1">
        <f t="array" ref="AF108">AF$2*AF18*SUMPRODUCT(1*(input_MRB_EV=input_data!$C$55:$C$57),input_data!$F$55:$F$57)</f>
        <v>368.35923407036461</v>
      </c>
      <c r="AG108" s="543" cm="1">
        <f t="array" ref="AG108">AG$2*AG18*SUMPRODUCT(1*(input_MRB_EV=input_data!$C$55:$C$57),input_data!$F$55:$F$57)</f>
        <v>370.10866623135558</v>
      </c>
      <c r="AH108" s="543" cm="1">
        <f t="array" ref="AH108">AH$2*AH18*SUMPRODUCT(1*(input_MRB_EV=input_data!$C$55:$C$57),input_data!$F$55:$F$57)</f>
        <v>371.86640689286139</v>
      </c>
      <c r="AI108" s="543" cm="1">
        <f t="array" ref="AI108">AI$2*AI18*SUMPRODUCT(1*(input_MRB_EV=input_data!$C$55:$C$57),input_data!$F$55:$F$57)</f>
        <v>373.63249551407472</v>
      </c>
      <c r="AJ108" s="543" cm="1">
        <f t="array" ref="AJ108">AJ$2*AJ18*SUMPRODUCT(1*(input_MRB_EV=input_data!$C$55:$C$57),input_data!$F$55:$F$57)</f>
        <v>375.4069717415901</v>
      </c>
      <c r="AK108" s="543" cm="1">
        <f t="array" ref="AK108">AK$2*AK18*SUMPRODUCT(1*(input_MRB_EV=input_data!$C$55:$C$57),input_data!$F$55:$F$57)</f>
        <v>377.18987541029389</v>
      </c>
      <c r="AL108" s="543" cm="1">
        <f t="array" ref="AL108">AL$2*AL18*SUMPRODUCT(1*(input_MRB_EV=input_data!$C$55:$C$57),input_data!$F$55:$F$57)</f>
        <v>378.98124654425845</v>
      </c>
      <c r="AM108" s="543" cm="1">
        <f t="array" ref="AM108">AM$2*AM18*SUMPRODUCT(1*(input_MRB_EV=input_data!$C$55:$C$57),input_data!$F$55:$F$57)</f>
        <v>380.78112535764075</v>
      </c>
      <c r="AN108" s="543" cm="1">
        <f t="array" ref="AN108">AN$2*AN18*SUMPRODUCT(1*(input_MRB_EV=input_data!$C$55:$C$57),input_data!$F$55:$F$57)</f>
        <v>382.58955225558498</v>
      </c>
      <c r="AO108" s="543" cm="1">
        <f t="array" ref="AO108">AO$2*AO18*SUMPRODUCT(1*(input_MRB_EV=input_data!$C$55:$C$57),input_data!$F$55:$F$57)</f>
        <v>384.40656783512981</v>
      </c>
      <c r="AP108" s="543" cm="1">
        <f t="array" ref="AP108">AP$2*AP18*SUMPRODUCT(1*(input_MRB_EV=input_data!$C$55:$C$57),input_data!$F$55:$F$57)</f>
        <v>386.23221288611956</v>
      </c>
      <c r="AQ108" s="543" cm="1">
        <f t="array" ref="AQ108">AQ$2*AQ18*SUMPRODUCT(1*(input_MRB_EV=input_data!$C$55:$C$57),input_data!$F$55:$F$57)</f>
        <v>388.06652839211995</v>
      </c>
      <c r="AR108" s="543" cm="1">
        <f t="array" ref="AR108">AR$2*AR18*SUMPRODUCT(1*(input_MRB_EV=input_data!$C$55:$C$57),input_data!$F$55:$F$57)</f>
        <v>389.90955553133807</v>
      </c>
      <c r="AS108" s="543" cm="1">
        <f t="array" ref="AS108">AS$2*AS18*SUMPRODUCT(1*(input_MRB_EV=input_data!$C$55:$C$57),input_data!$F$55:$F$57)</f>
        <v>391.76133567754698</v>
      </c>
      <c r="AT108" s="543" cm="1">
        <f t="array" ref="AT108">AT$2*AT18*SUMPRODUCT(1*(input_MRB_EV=input_data!$C$55:$C$57),input_data!$F$55:$F$57)</f>
        <v>393.62191040101425</v>
      </c>
      <c r="AU108" s="543" cm="1">
        <f t="array" ref="AU108">AU$2*AU18*SUMPRODUCT(1*(input_MRB_EV=input_data!$C$55:$C$57),input_data!$F$55:$F$57)</f>
        <v>395.49132146943532</v>
      </c>
      <c r="AV108" s="543" cm="1">
        <f t="array" ref="AV108">AV$2*AV18*SUMPRODUCT(1*(input_MRB_EV=input_data!$C$55:$C$57),input_data!$F$55:$F$57)</f>
        <v>397.36961084887105</v>
      </c>
      <c r="AW108" s="543" cm="1">
        <f t="array" ref="AW108">AW$2*AW18*SUMPRODUCT(1*(input_MRB_EV=input_data!$C$55:$C$57),input_data!$F$55:$F$57)</f>
        <v>399.25682070468991</v>
      </c>
      <c r="AX108" s="543" cm="1">
        <f t="array" ref="AX108">AX$2*AX18*SUMPRODUCT(1*(input_MRB_EV=input_data!$C$55:$C$57),input_data!$F$55:$F$57)</f>
        <v>401.15299340251448</v>
      </c>
      <c r="AY108" s="543" cm="1">
        <f t="array" ref="AY108">AY$2*AY18*SUMPRODUCT(1*(input_MRB_EV=input_data!$C$55:$C$57),input_data!$F$55:$F$57)</f>
        <v>403.05817150917244</v>
      </c>
      <c r="AZ108" s="543" cm="1">
        <f t="array" ref="AZ108">AZ$2*AZ18*SUMPRODUCT(1*(input_MRB_EV=input_data!$C$55:$C$57),input_data!$F$55:$F$57)</f>
        <v>404.97239779365231</v>
      </c>
      <c r="BA108" s="543" cm="1">
        <f t="array" ref="BA108">BA$2*BA18*SUMPRODUCT(1*(input_MRB_EV=input_data!$C$55:$C$57),input_data!$F$55:$F$57)</f>
        <v>406.89571522806341</v>
      </c>
      <c r="BB108" s="543" cm="1">
        <f t="array" ref="BB108">BB$2*BB18*SUMPRODUCT(1*(input_MRB_EV=input_data!$C$55:$C$57),input_data!$F$55:$F$57)</f>
        <v>408.82816698860057</v>
      </c>
      <c r="BC108" s="543" cm="1">
        <f t="array" ref="BC108">BC$2*BC18*SUMPRODUCT(1*(input_MRB_EV=input_data!$C$55:$C$57),input_data!$F$55:$F$57)</f>
        <v>410.76979645651346</v>
      </c>
    </row>
    <row r="109" spans="8:55" x14ac:dyDescent="0.3">
      <c r="H109" s="542" t="str">
        <f>input_names!$E$3</f>
        <v>plug-in</v>
      </c>
      <c r="I109" s="542" t="s">
        <v>539</v>
      </c>
      <c r="J109" s="543" cm="1">
        <f t="array" ref="J109">J$2*J19*SUMPRODUCT(1*(input_MRB_EV=input_data!$C$55:$C$57),input_data!$F$55:$F$57)</f>
        <v>188</v>
      </c>
      <c r="K109" s="543" cm="1">
        <f t="array" ref="K109">K$2*K19*SUMPRODUCT(1*(input_MRB_EV=input_data!$C$55:$C$57),input_data!$F$55:$F$57)</f>
        <v>188</v>
      </c>
      <c r="L109" s="543" cm="1">
        <f t="array" ref="L109">L$2*L19*SUMPRODUCT(1*(input_MRB_EV=input_data!$C$55:$C$57),input_data!$F$55:$F$57)</f>
        <v>188</v>
      </c>
      <c r="M109" s="543" cm="1">
        <f t="array" ref="M109">M$2*M19*SUMPRODUCT(1*(input_MRB_EV=input_data!$C$55:$C$57),input_data!$F$55:$F$57)</f>
        <v>188</v>
      </c>
      <c r="N109" s="543" cm="1">
        <f t="array" ref="N109">N$2*N19*SUMPRODUCT(1*(input_MRB_EV=input_data!$C$55:$C$57),input_data!$F$55:$F$57)</f>
        <v>188</v>
      </c>
      <c r="O109" s="543" cm="1">
        <f t="array" ref="O109">O$2*O19*SUMPRODUCT(1*(input_MRB_EV=input_data!$C$55:$C$57),input_data!$F$55:$F$57)</f>
        <v>188</v>
      </c>
      <c r="P109" s="543" cm="1">
        <f t="array" ref="P109">P$2*P19*SUMPRODUCT(1*(input_MRB_EV=input_data!$C$55:$C$57),input_data!$F$55:$F$57)</f>
        <v>188</v>
      </c>
      <c r="Q109" s="543" cm="1">
        <f t="array" ref="Q109">Q$2*Q19*SUMPRODUCT(1*(input_MRB_EV=input_data!$C$55:$C$57),input_data!$F$55:$F$57)</f>
        <v>188</v>
      </c>
      <c r="R109" s="543" cm="1">
        <f t="array" ref="R109">R$2*R19*SUMPRODUCT(1*(input_MRB_EV=input_data!$C$55:$C$57),input_data!$F$55:$F$57)</f>
        <v>188</v>
      </c>
      <c r="S109" s="543" cm="1">
        <f t="array" ref="S109">S$2*S19*SUMPRODUCT(1*(input_MRB_EV=input_data!$C$55:$C$57),input_data!$F$55:$F$57)</f>
        <v>188</v>
      </c>
      <c r="T109" s="543" cm="1">
        <f t="array" ref="T109">T$2*T19*SUMPRODUCT(1*(input_MRB_EV=input_data!$C$55:$C$57),input_data!$F$55:$F$57)</f>
        <v>282</v>
      </c>
      <c r="U109" s="543" cm="1">
        <f t="array" ref="U109">U$2*U19*SUMPRODUCT(1*(input_MRB_EV=input_data!$C$55:$C$57),input_data!$F$55:$F$57)</f>
        <v>377.78572011149026</v>
      </c>
      <c r="V109" s="543" cm="1">
        <f t="array" ref="V109">V$2*V19*SUMPRODUCT(1*(input_MRB_EV=input_data!$C$55:$C$57),input_data!$F$55:$F$57)</f>
        <v>379.57992106424803</v>
      </c>
      <c r="W109" s="543" cm="1">
        <f t="array" ref="W109">W$2*W19*SUMPRODUCT(1*(input_MRB_EV=input_data!$C$55:$C$57),input_data!$F$55:$F$57)</f>
        <v>381.3826431359563</v>
      </c>
      <c r="X109" s="543" cm="1">
        <f t="array" ref="X109">X$2*X19*SUMPRODUCT(1*(input_MRB_EV=input_data!$C$55:$C$57),input_data!$F$55:$F$57)</f>
        <v>383.19392679558712</v>
      </c>
      <c r="Y109" s="543" cm="1">
        <f t="array" ref="Y109">Y$2*Y19*SUMPRODUCT(1*(input_MRB_EV=input_data!$C$55:$C$57),input_data!$F$55:$F$57)</f>
        <v>385.01381270431</v>
      </c>
      <c r="Z109" s="543" cm="1">
        <f t="array" ref="Z109">Z$2*Z19*SUMPRODUCT(1*(input_MRB_EV=input_data!$C$55:$C$57),input_data!$F$55:$F$57)</f>
        <v>386.8423417164048</v>
      </c>
      <c r="AA109" s="543" cm="1">
        <f t="array" ref="AA109">AA$2*AA19*SUMPRODUCT(1*(input_MRB_EV=input_data!$C$55:$C$57),input_data!$F$55:$F$57)</f>
        <v>388.67955488017867</v>
      </c>
      <c r="AB109" s="543" cm="1">
        <f t="array" ref="AB109">AB$2*AB19*SUMPRODUCT(1*(input_MRB_EV=input_data!$C$55:$C$57),input_data!$F$55:$F$57)</f>
        <v>390.52549343888779</v>
      </c>
      <c r="AC109" s="543" cm="1">
        <f t="array" ref="AC109">AC$2*AC19*SUMPRODUCT(1*(input_MRB_EV=input_data!$C$55:$C$57),input_data!$F$55:$F$57)</f>
        <v>392.38019883166305</v>
      </c>
      <c r="AD109" s="543" cm="1">
        <f t="array" ref="AD109">AD$2*AD19*SUMPRODUCT(1*(input_MRB_EV=input_data!$C$55:$C$57),input_data!$F$55:$F$57)</f>
        <v>394.24371269444032</v>
      </c>
      <c r="AE109" s="543" cm="1">
        <f t="array" ref="AE109">AE$2*AE19*SUMPRODUCT(1*(input_MRB_EV=input_data!$C$55:$C$57),input_data!$F$55:$F$57)</f>
        <v>396.11607686089525</v>
      </c>
      <c r="AF109" s="543" cm="1">
        <f t="array" ref="AF109">AF$2*AF19*SUMPRODUCT(1*(input_MRB_EV=input_data!$C$55:$C$57),input_data!$F$55:$F$57)</f>
        <v>397.99733336338227</v>
      </c>
      <c r="AG109" s="543" cm="1">
        <f t="array" ref="AG109">AG$2*AG19*SUMPRODUCT(1*(input_MRB_EV=input_data!$C$55:$C$57),input_data!$F$55:$F$57)</f>
        <v>399.88752443387824</v>
      </c>
      <c r="AH109" s="543" cm="1">
        <f t="array" ref="AH109">AH$2*AH19*SUMPRODUCT(1*(input_MRB_EV=input_data!$C$55:$C$57),input_data!$F$55:$F$57)</f>
        <v>401.78669250493044</v>
      </c>
      <c r="AI109" s="543" cm="1">
        <f t="array" ref="AI109">AI$2*AI19*SUMPRODUCT(1*(input_MRB_EV=input_data!$C$55:$C$57),input_data!$F$55:$F$57)</f>
        <v>403.6948802106092</v>
      </c>
      <c r="AJ109" s="543" cm="1">
        <f t="array" ref="AJ109">AJ$2*AJ19*SUMPRODUCT(1*(input_MRB_EV=input_data!$C$55:$C$57),input_data!$F$55:$F$57)</f>
        <v>405.6121303874649</v>
      </c>
      <c r="AK109" s="543" cm="1">
        <f t="array" ref="AK109">AK$2*AK19*SUMPRODUCT(1*(input_MRB_EV=input_data!$C$55:$C$57),input_data!$F$55:$F$57)</f>
        <v>407.53848607548969</v>
      </c>
      <c r="AL109" s="543" cm="1">
        <f t="array" ref="AL109">AL$2*AL19*SUMPRODUCT(1*(input_MRB_EV=input_data!$C$55:$C$57),input_data!$F$55:$F$57)</f>
        <v>409.4739905190836</v>
      </c>
      <c r="AM109" s="543" cm="1">
        <f t="array" ref="AM109">AM$2*AM19*SUMPRODUCT(1*(input_MRB_EV=input_data!$C$55:$C$57),input_data!$F$55:$F$57)</f>
        <v>411.41868716802537</v>
      </c>
      <c r="AN109" s="543" cm="1">
        <f t="array" ref="AN109">AN$2*AN19*SUMPRODUCT(1*(input_MRB_EV=input_data!$C$55:$C$57),input_data!$F$55:$F$57)</f>
        <v>413.3726196784479</v>
      </c>
      <c r="AO109" s="543" cm="1">
        <f t="array" ref="AO109">AO$2*AO19*SUMPRODUCT(1*(input_MRB_EV=input_data!$C$55:$C$57),input_data!$F$55:$F$57)</f>
        <v>415.3358319138182</v>
      </c>
      <c r="AP109" s="543" cm="1">
        <f t="array" ref="AP109">AP$2*AP19*SUMPRODUCT(1*(input_MRB_EV=input_data!$C$55:$C$57),input_data!$F$55:$F$57)</f>
        <v>417.30836794592204</v>
      </c>
      <c r="AQ109" s="543" cm="1">
        <f t="array" ref="AQ109">AQ$2*AQ19*SUMPRODUCT(1*(input_MRB_EV=input_data!$C$55:$C$57),input_data!$F$55:$F$57)</f>
        <v>419.29027205585345</v>
      </c>
      <c r="AR109" s="543" cm="1">
        <f t="array" ref="AR109">AR$2*AR19*SUMPRODUCT(1*(input_MRB_EV=input_data!$C$55:$C$57),input_data!$F$55:$F$57)</f>
        <v>421.28158873500871</v>
      </c>
      <c r="AS109" s="543" cm="1">
        <f t="array" ref="AS109">AS$2*AS19*SUMPRODUCT(1*(input_MRB_EV=input_data!$C$55:$C$57),input_data!$F$55:$F$57)</f>
        <v>423.28236268608498</v>
      </c>
      <c r="AT109" s="543" cm="1">
        <f t="array" ref="AT109">AT$2*AT19*SUMPRODUCT(1*(input_MRB_EV=input_data!$C$55:$C$57),input_data!$F$55:$F$57)</f>
        <v>425.29263882408407</v>
      </c>
      <c r="AU109" s="543" cm="1">
        <f t="array" ref="AU109">AU$2*AU19*SUMPRODUCT(1*(input_MRB_EV=input_data!$C$55:$C$57),input_data!$F$55:$F$57)</f>
        <v>427.31246227732061</v>
      </c>
      <c r="AV109" s="543" cm="1">
        <f t="array" ref="AV109">AV$2*AV19*SUMPRODUCT(1*(input_MRB_EV=input_data!$C$55:$C$57),input_data!$F$55:$F$57)</f>
        <v>429.34187838843508</v>
      </c>
      <c r="AW109" s="543" cm="1">
        <f t="array" ref="AW109">AW$2*AW19*SUMPRODUCT(1*(input_MRB_EV=input_data!$C$55:$C$57),input_data!$F$55:$F$57)</f>
        <v>431.3809327154118</v>
      </c>
      <c r="AX109" s="543" cm="1">
        <f t="array" ref="AX109">AX$2*AX19*SUMPRODUCT(1*(input_MRB_EV=input_data!$C$55:$C$57),input_data!$F$55:$F$57)</f>
        <v>433.42967103260156</v>
      </c>
      <c r="AY109" s="543" cm="1">
        <f t="array" ref="AY109">AY$2*AY19*SUMPRODUCT(1*(input_MRB_EV=input_data!$C$55:$C$57),input_data!$F$55:$F$57)</f>
        <v>435.48813933174927</v>
      </c>
      <c r="AZ109" s="543" cm="1">
        <f t="array" ref="AZ109">AZ$2*AZ19*SUMPRODUCT(1*(input_MRB_EV=input_data!$C$55:$C$57),input_data!$F$55:$F$57)</f>
        <v>437.55638382302635</v>
      </c>
      <c r="BA109" s="543" cm="1">
        <f t="array" ref="BA109">BA$2*BA19*SUMPRODUCT(1*(input_MRB_EV=input_data!$C$55:$C$57),input_data!$F$55:$F$57)</f>
        <v>439.63445093606822</v>
      </c>
      <c r="BB109" s="543" cm="1">
        <f t="array" ref="BB109">BB$2*BB19*SUMPRODUCT(1*(input_MRB_EV=input_data!$C$55:$C$57),input_data!$F$55:$F$57)</f>
        <v>441.72238732101641</v>
      </c>
      <c r="BC109" s="543" cm="1">
        <f t="array" ref="BC109">BC$2*BC19*SUMPRODUCT(1*(input_MRB_EV=input_data!$C$55:$C$57),input_data!$F$55:$F$57)</f>
        <v>443.82023984956601</v>
      </c>
    </row>
    <row r="110" spans="8:55" x14ac:dyDescent="0.3">
      <c r="H110" s="542" t="str">
        <f>input_names!$E$3</f>
        <v>plug-in</v>
      </c>
      <c r="I110" s="542" t="s">
        <v>540</v>
      </c>
      <c r="J110" s="543" cm="1">
        <f t="array" ref="J110">J$2*J20*SUMPRODUCT(1*(input_MRB_EV=input_data!$C$55:$C$57),input_data!$F$55:$F$57)</f>
        <v>202</v>
      </c>
      <c r="K110" s="543" cm="1">
        <f t="array" ref="K110">K$2*K20*SUMPRODUCT(1*(input_MRB_EV=input_data!$C$55:$C$57),input_data!$F$55:$F$57)</f>
        <v>202</v>
      </c>
      <c r="L110" s="543" cm="1">
        <f t="array" ref="L110">L$2*L20*SUMPRODUCT(1*(input_MRB_EV=input_data!$C$55:$C$57),input_data!$F$55:$F$57)</f>
        <v>202</v>
      </c>
      <c r="M110" s="543" cm="1">
        <f t="array" ref="M110">M$2*M20*SUMPRODUCT(1*(input_MRB_EV=input_data!$C$55:$C$57),input_data!$F$55:$F$57)</f>
        <v>202</v>
      </c>
      <c r="N110" s="543" cm="1">
        <f t="array" ref="N110">N$2*N20*SUMPRODUCT(1*(input_MRB_EV=input_data!$C$55:$C$57),input_data!$F$55:$F$57)</f>
        <v>202</v>
      </c>
      <c r="O110" s="543" cm="1">
        <f t="array" ref="O110">O$2*O20*SUMPRODUCT(1*(input_MRB_EV=input_data!$C$55:$C$57),input_data!$F$55:$F$57)</f>
        <v>202</v>
      </c>
      <c r="P110" s="543" cm="1">
        <f t="array" ref="P110">P$2*P20*SUMPRODUCT(1*(input_MRB_EV=input_data!$C$55:$C$57),input_data!$F$55:$F$57)</f>
        <v>202</v>
      </c>
      <c r="Q110" s="543" cm="1">
        <f t="array" ref="Q110">Q$2*Q20*SUMPRODUCT(1*(input_MRB_EV=input_data!$C$55:$C$57),input_data!$F$55:$F$57)</f>
        <v>202</v>
      </c>
      <c r="R110" s="543" cm="1">
        <f t="array" ref="R110">R$2*R20*SUMPRODUCT(1*(input_MRB_EV=input_data!$C$55:$C$57),input_data!$F$55:$F$57)</f>
        <v>202</v>
      </c>
      <c r="S110" s="543" cm="1">
        <f t="array" ref="S110">S$2*S20*SUMPRODUCT(1*(input_MRB_EV=input_data!$C$55:$C$57),input_data!$F$55:$F$57)</f>
        <v>202</v>
      </c>
      <c r="T110" s="543" cm="1">
        <f t="array" ref="T110">T$2*T20*SUMPRODUCT(1*(input_MRB_EV=input_data!$C$55:$C$57),input_data!$F$55:$F$57)</f>
        <v>303</v>
      </c>
      <c r="U110" s="543" cm="1">
        <f t="array" ref="U110">U$2*U20*SUMPRODUCT(1*(input_MRB_EV=input_data!$C$55:$C$57),input_data!$F$55:$F$57)</f>
        <v>405.91869926872891</v>
      </c>
      <c r="V110" s="543" cm="1">
        <f t="array" ref="V110">V$2*V20*SUMPRODUCT(1*(input_MRB_EV=input_data!$C$55:$C$57),input_data!$F$55:$F$57)</f>
        <v>407.84651093073461</v>
      </c>
      <c r="W110" s="543" cm="1">
        <f t="array" ref="W110">W$2*W20*SUMPRODUCT(1*(input_MRB_EV=input_data!$C$55:$C$57),input_data!$F$55:$F$57)</f>
        <v>409.78347826310204</v>
      </c>
      <c r="X110" s="543" cm="1">
        <f t="array" ref="X110">X$2*X20*SUMPRODUCT(1*(input_MRB_EV=input_data!$C$55:$C$57),input_data!$F$55:$F$57)</f>
        <v>411.72964474845008</v>
      </c>
      <c r="Y110" s="543" cm="1">
        <f t="array" ref="Y110">Y$2*Y20*SUMPRODUCT(1*(input_MRB_EV=input_data!$C$55:$C$57),input_data!$F$55:$F$57)</f>
        <v>413.68505407590766</v>
      </c>
      <c r="Z110" s="543" cm="1">
        <f t="array" ref="Z110">Z$2*Z20*SUMPRODUCT(1*(input_MRB_EV=input_data!$C$55:$C$57),input_data!$F$55:$F$57)</f>
        <v>415.6497501420946</v>
      </c>
      <c r="AA110" s="543" cm="1">
        <f t="array" ref="AA110">AA$2*AA20*SUMPRODUCT(1*(input_MRB_EV=input_data!$C$55:$C$57),input_data!$F$55:$F$57)</f>
        <v>417.62377705210696</v>
      </c>
      <c r="AB110" s="543" cm="1">
        <f t="array" ref="AB110">AB$2*AB20*SUMPRODUCT(1*(input_MRB_EV=input_data!$C$55:$C$57),input_data!$F$55:$F$57)</f>
        <v>419.60717912050717</v>
      </c>
      <c r="AC110" s="543" cm="1">
        <f t="array" ref="AC110">AC$2*AC20*SUMPRODUCT(1*(input_MRB_EV=input_data!$C$55:$C$57),input_data!$F$55:$F$57)</f>
        <v>421.60000087231884</v>
      </c>
      <c r="AD110" s="543" cm="1">
        <f t="array" ref="AD110">AD$2*AD20*SUMPRODUCT(1*(input_MRB_EV=input_data!$C$55:$C$57),input_data!$F$55:$F$57)</f>
        <v>423.60228704402635</v>
      </c>
      <c r="AE110" s="543" cm="1">
        <f t="array" ref="AE110">AE$2*AE20*SUMPRODUCT(1*(input_MRB_EV=input_data!$C$55:$C$57),input_data!$F$55:$F$57)</f>
        <v>425.61408258457902</v>
      </c>
      <c r="AF110" s="543" cm="1">
        <f t="array" ref="AF110">AF$2*AF20*SUMPRODUCT(1*(input_MRB_EV=input_data!$C$55:$C$57),input_data!$F$55:$F$57)</f>
        <v>427.63543265640021</v>
      </c>
      <c r="AG110" s="543" cm="1">
        <f t="array" ref="AG110">AG$2*AG20*SUMPRODUCT(1*(input_MRB_EV=input_data!$C$55:$C$57),input_data!$F$55:$F$57)</f>
        <v>429.66638263640124</v>
      </c>
      <c r="AH110" s="543" cm="1">
        <f t="array" ref="AH110">AH$2*AH20*SUMPRODUCT(1*(input_MRB_EV=input_data!$C$55:$C$57),input_data!$F$55:$F$57)</f>
        <v>431.70697811699989</v>
      </c>
      <c r="AI110" s="543" cm="1">
        <f t="array" ref="AI110">AI$2*AI20*SUMPRODUCT(1*(input_MRB_EV=input_data!$C$55:$C$57),input_data!$F$55:$F$57)</f>
        <v>433.75726490714408</v>
      </c>
      <c r="AJ110" s="543" cm="1">
        <f t="array" ref="AJ110">AJ$2*AJ20*SUMPRODUCT(1*(input_MRB_EV=input_data!$C$55:$C$57),input_data!$F$55:$F$57)</f>
        <v>435.8172890333401</v>
      </c>
      <c r="AK110" s="543" cm="1">
        <f t="array" ref="AK110">AK$2*AK20*SUMPRODUCT(1*(input_MRB_EV=input_data!$C$55:$C$57),input_data!$F$55:$F$57)</f>
        <v>437.88709674068588</v>
      </c>
      <c r="AL110" s="543" cm="1">
        <f t="array" ref="AL110">AL$2*AL20*SUMPRODUCT(1*(input_MRB_EV=input_data!$C$55:$C$57),input_data!$F$55:$F$57)</f>
        <v>439.96673449390909</v>
      </c>
      <c r="AM110" s="543" cm="1">
        <f t="array" ref="AM110">AM$2*AM20*SUMPRODUCT(1*(input_MRB_EV=input_data!$C$55:$C$57),input_data!$F$55:$F$57)</f>
        <v>442.05624897841034</v>
      </c>
      <c r="AN110" s="543" cm="1">
        <f t="array" ref="AN110">AN$2*AN20*SUMPRODUCT(1*(input_MRB_EV=input_data!$C$55:$C$57),input_data!$F$55:$F$57)</f>
        <v>444.15568710131112</v>
      </c>
      <c r="AO110" s="543" cm="1">
        <f t="array" ref="AO110">AO$2*AO20*SUMPRODUCT(1*(input_MRB_EV=input_data!$C$55:$C$57),input_data!$F$55:$F$57)</f>
        <v>446.26509599250687</v>
      </c>
      <c r="AP110" s="543" cm="1">
        <f t="array" ref="AP110">AP$2*AP20*SUMPRODUCT(1*(input_MRB_EV=input_data!$C$55:$C$57),input_data!$F$55:$F$57)</f>
        <v>448.38452300572487</v>
      </c>
      <c r="AQ110" s="543" cm="1">
        <f t="array" ref="AQ110">AQ$2*AQ20*SUMPRODUCT(1*(input_MRB_EV=input_data!$C$55:$C$57),input_data!$F$55:$F$57)</f>
        <v>450.51401571958735</v>
      </c>
      <c r="AR110" s="543" cm="1">
        <f t="array" ref="AR110">AR$2*AR20*SUMPRODUCT(1*(input_MRB_EV=input_data!$C$55:$C$57),input_data!$F$55:$F$57)</f>
        <v>452.65362193867969</v>
      </c>
      <c r="AS110" s="543" cm="1">
        <f t="array" ref="AS110">AS$2*AS20*SUMPRODUCT(1*(input_MRB_EV=input_data!$C$55:$C$57),input_data!$F$55:$F$57)</f>
        <v>454.80338969462338</v>
      </c>
      <c r="AT110" s="543" cm="1">
        <f t="array" ref="AT110">AT$2*AT20*SUMPRODUCT(1*(input_MRB_EV=input_data!$C$55:$C$57),input_data!$F$55:$F$57)</f>
        <v>456.96336724715434</v>
      </c>
      <c r="AU110" s="543" cm="1">
        <f t="array" ref="AU110">AU$2*AU20*SUMPRODUCT(1*(input_MRB_EV=input_data!$C$55:$C$57),input_data!$F$55:$F$57)</f>
        <v>459.13360308520635</v>
      </c>
      <c r="AV110" s="543" cm="1">
        <f t="array" ref="AV110">AV$2*AV20*SUMPRODUCT(1*(input_MRB_EV=input_data!$C$55:$C$57),input_data!$F$55:$F$57)</f>
        <v>461.31414592799956</v>
      </c>
      <c r="AW110" s="543" cm="1">
        <f t="array" ref="AW110">AW$2*AW20*SUMPRODUCT(1*(input_MRB_EV=input_data!$C$55:$C$57),input_data!$F$55:$F$57)</f>
        <v>463.50504472613409</v>
      </c>
      <c r="AX110" s="543" cm="1">
        <f t="array" ref="AX110">AX$2*AX20*SUMPRODUCT(1*(input_MRB_EV=input_data!$C$55:$C$57),input_data!$F$55:$F$57)</f>
        <v>465.70634866268904</v>
      </c>
      <c r="AY110" s="543" cm="1">
        <f t="array" ref="AY110">AY$2*AY20*SUMPRODUCT(1*(input_MRB_EV=input_data!$C$55:$C$57),input_data!$F$55:$F$57)</f>
        <v>467.91810715432644</v>
      </c>
      <c r="AZ110" s="543" cm="1">
        <f t="array" ref="AZ110">AZ$2*AZ20*SUMPRODUCT(1*(input_MRB_EV=input_data!$C$55:$C$57),input_data!$F$55:$F$57)</f>
        <v>470.14036985240074</v>
      </c>
      <c r="BA110" s="543" cm="1">
        <f t="array" ref="BA110">BA$2*BA20*SUMPRODUCT(1*(input_MRB_EV=input_data!$C$55:$C$57),input_data!$F$55:$F$57)</f>
        <v>472.37318664407337</v>
      </c>
      <c r="BB110" s="543" cm="1">
        <f t="array" ref="BB110">BB$2*BB20*SUMPRODUCT(1*(input_MRB_EV=input_data!$C$55:$C$57),input_data!$F$55:$F$57)</f>
        <v>474.6166076534326</v>
      </c>
      <c r="BC110" s="543" cm="1">
        <f t="array" ref="BC110">BC$2*BC20*SUMPRODUCT(1*(input_MRB_EV=input_data!$C$55:$C$57),input_data!$F$55:$F$57)</f>
        <v>476.87068324261884</v>
      </c>
    </row>
    <row r="111" spans="8:55" x14ac:dyDescent="0.3">
      <c r="H111" s="542" t="str">
        <f>input_names!$E$3</f>
        <v>plug-in</v>
      </c>
      <c r="I111" s="542" t="s">
        <v>541</v>
      </c>
      <c r="J111" s="543" cm="1">
        <f t="array" ref="J111">J$2*J21*SUMPRODUCT(1*(input_MRB_EV=input_data!$C$55:$C$57),input_data!$F$55:$F$57)</f>
        <v>216</v>
      </c>
      <c r="K111" s="543" cm="1">
        <f t="array" ref="K111">K$2*K21*SUMPRODUCT(1*(input_MRB_EV=input_data!$C$55:$C$57),input_data!$F$55:$F$57)</f>
        <v>216</v>
      </c>
      <c r="L111" s="543" cm="1">
        <f t="array" ref="L111">L$2*L21*SUMPRODUCT(1*(input_MRB_EV=input_data!$C$55:$C$57),input_data!$F$55:$F$57)</f>
        <v>216</v>
      </c>
      <c r="M111" s="543" cm="1">
        <f t="array" ref="M111">M$2*M21*SUMPRODUCT(1*(input_MRB_EV=input_data!$C$55:$C$57),input_data!$F$55:$F$57)</f>
        <v>216</v>
      </c>
      <c r="N111" s="543" cm="1">
        <f t="array" ref="N111">N$2*N21*SUMPRODUCT(1*(input_MRB_EV=input_data!$C$55:$C$57),input_data!$F$55:$F$57)</f>
        <v>216</v>
      </c>
      <c r="O111" s="543" cm="1">
        <f t="array" ref="O111">O$2*O21*SUMPRODUCT(1*(input_MRB_EV=input_data!$C$55:$C$57),input_data!$F$55:$F$57)</f>
        <v>216</v>
      </c>
      <c r="P111" s="543" cm="1">
        <f t="array" ref="P111">P$2*P21*SUMPRODUCT(1*(input_MRB_EV=input_data!$C$55:$C$57),input_data!$F$55:$F$57)</f>
        <v>216</v>
      </c>
      <c r="Q111" s="543" cm="1">
        <f t="array" ref="Q111">Q$2*Q21*SUMPRODUCT(1*(input_MRB_EV=input_data!$C$55:$C$57),input_data!$F$55:$F$57)</f>
        <v>216</v>
      </c>
      <c r="R111" s="543" cm="1">
        <f t="array" ref="R111">R$2*R21*SUMPRODUCT(1*(input_MRB_EV=input_data!$C$55:$C$57),input_data!$F$55:$F$57)</f>
        <v>216</v>
      </c>
      <c r="S111" s="543" cm="1">
        <f t="array" ref="S111">S$2*S21*SUMPRODUCT(1*(input_MRB_EV=input_data!$C$55:$C$57),input_data!$F$55:$F$57)</f>
        <v>216</v>
      </c>
      <c r="T111" s="543" cm="1">
        <f t="array" ref="T111">T$2*T21*SUMPRODUCT(1*(input_MRB_EV=input_data!$C$55:$C$57),input_data!$F$55:$F$57)</f>
        <v>324</v>
      </c>
      <c r="U111" s="543" cm="1">
        <f t="array" ref="U111">U$2*U21*SUMPRODUCT(1*(input_MRB_EV=input_data!$C$55:$C$57),input_data!$F$55:$F$57)</f>
        <v>434.05167842596757</v>
      </c>
      <c r="V111" s="543" cm="1">
        <f t="array" ref="V111">V$2*V21*SUMPRODUCT(1*(input_MRB_EV=input_data!$C$55:$C$57),input_data!$F$55:$F$57)</f>
        <v>436.11310079722119</v>
      </c>
      <c r="W111" s="543" cm="1">
        <f t="array" ref="W111">W$2*W21*SUMPRODUCT(1*(input_MRB_EV=input_data!$C$55:$C$57),input_data!$F$55:$F$57)</f>
        <v>438.18431339024772</v>
      </c>
      <c r="X111" s="543" cm="1">
        <f t="array" ref="X111">X$2*X21*SUMPRODUCT(1*(input_MRB_EV=input_data!$C$55:$C$57),input_data!$F$55:$F$57)</f>
        <v>440.26536270131294</v>
      </c>
      <c r="Y111" s="543" cm="1">
        <f t="array" ref="Y111">Y$2*Y21*SUMPRODUCT(1*(input_MRB_EV=input_data!$C$55:$C$57),input_data!$F$55:$F$57)</f>
        <v>442.3562954475052</v>
      </c>
      <c r="Z111" s="543" cm="1">
        <f t="array" ref="Z111">Z$2*Z21*SUMPRODUCT(1*(input_MRB_EV=input_data!$C$55:$C$57),input_data!$F$55:$F$57)</f>
        <v>444.45715856778429</v>
      </c>
      <c r="AA111" s="543" cm="1">
        <f t="array" ref="AA111">AA$2*AA21*SUMPRODUCT(1*(input_MRB_EV=input_data!$C$55:$C$57),input_data!$F$55:$F$57)</f>
        <v>446.56799922403513</v>
      </c>
      <c r="AB111" s="543" cm="1">
        <f t="array" ref="AB111">AB$2*AB21*SUMPRODUCT(1*(input_MRB_EV=input_data!$C$55:$C$57),input_data!$F$55:$F$57)</f>
        <v>448.68886480212643</v>
      </c>
      <c r="AC111" s="543" cm="1">
        <f t="array" ref="AC111">AC$2*AC21*SUMPRODUCT(1*(input_MRB_EV=input_data!$C$55:$C$57),input_data!$F$55:$F$57)</f>
        <v>450.81980291297458</v>
      </c>
      <c r="AD111" s="543" cm="1">
        <f t="array" ref="AD111">AD$2*AD21*SUMPRODUCT(1*(input_MRB_EV=input_data!$C$55:$C$57),input_data!$F$55:$F$57)</f>
        <v>452.96086139361228</v>
      </c>
      <c r="AE111" s="543" cm="1">
        <f t="array" ref="AE111">AE$2*AE21*SUMPRODUCT(1*(input_MRB_EV=input_data!$C$55:$C$57),input_data!$F$55:$F$57)</f>
        <v>455.11208830826263</v>
      </c>
      <c r="AF111" s="543" cm="1">
        <f t="array" ref="AF111">AF$2*AF21*SUMPRODUCT(1*(input_MRB_EV=input_data!$C$55:$C$57),input_data!$F$55:$F$57)</f>
        <v>457.27353194941799</v>
      </c>
      <c r="AG111" s="543" cm="1">
        <f t="array" ref="AG111">AG$2*AG21*SUMPRODUCT(1*(input_MRB_EV=input_data!$C$55:$C$57),input_data!$F$55:$F$57)</f>
        <v>459.44524083892401</v>
      </c>
      <c r="AH111" s="543" cm="1">
        <f t="array" ref="AH111">AH$2*AH21*SUMPRODUCT(1*(input_MRB_EV=input_data!$C$55:$C$57),input_data!$F$55:$F$57)</f>
        <v>461.62726372906911</v>
      </c>
      <c r="AI111" s="543" cm="1">
        <f t="array" ref="AI111">AI$2*AI21*SUMPRODUCT(1*(input_MRB_EV=input_data!$C$55:$C$57),input_data!$F$55:$F$57)</f>
        <v>463.81964960367878</v>
      </c>
      <c r="AJ111" s="543" cm="1">
        <f t="array" ref="AJ111">AJ$2*AJ21*SUMPRODUCT(1*(input_MRB_EV=input_data!$C$55:$C$57),input_data!$F$55:$F$57)</f>
        <v>466.02244767921513</v>
      </c>
      <c r="AK111" s="543" cm="1">
        <f t="array" ref="AK111">AK$2*AK21*SUMPRODUCT(1*(input_MRB_EV=input_data!$C$55:$C$57),input_data!$F$55:$F$57)</f>
        <v>468.2357074058819</v>
      </c>
      <c r="AL111" s="543" cm="1">
        <f t="array" ref="AL111">AL$2*AL21*SUMPRODUCT(1*(input_MRB_EV=input_data!$C$55:$C$57),input_data!$F$55:$F$57)</f>
        <v>470.45947846873446</v>
      </c>
      <c r="AM111" s="543" cm="1">
        <f t="array" ref="AM111">AM$2*AM21*SUMPRODUCT(1*(input_MRB_EV=input_data!$C$55:$C$57),input_data!$F$55:$F$57)</f>
        <v>472.69381078879525</v>
      </c>
      <c r="AN111" s="543" cm="1">
        <f t="array" ref="AN111">AN$2*AN21*SUMPRODUCT(1*(input_MRB_EV=input_data!$C$55:$C$57),input_data!$F$55:$F$57)</f>
        <v>474.93875452417433</v>
      </c>
      <c r="AO111" s="543" cm="1">
        <f t="array" ref="AO111">AO$2*AO21*SUMPRODUCT(1*(input_MRB_EV=input_data!$C$55:$C$57),input_data!$F$55:$F$57)</f>
        <v>477.19436007119549</v>
      </c>
      <c r="AP111" s="543" cm="1">
        <f t="array" ref="AP111">AP$2*AP21*SUMPRODUCT(1*(input_MRB_EV=input_data!$C$55:$C$57),input_data!$F$55:$F$57)</f>
        <v>479.46067806552759</v>
      </c>
      <c r="AQ111" s="543" cm="1">
        <f t="array" ref="AQ111">AQ$2*AQ21*SUMPRODUCT(1*(input_MRB_EV=input_data!$C$55:$C$57),input_data!$F$55:$F$57)</f>
        <v>481.73775938332113</v>
      </c>
      <c r="AR111" s="543" cm="1">
        <f t="array" ref="AR111">AR$2*AR21*SUMPRODUCT(1*(input_MRB_EV=input_data!$C$55:$C$57),input_data!$F$55:$F$57)</f>
        <v>484.02565514235056</v>
      </c>
      <c r="AS111" s="543" cm="1">
        <f t="array" ref="AS111">AS$2*AS21*SUMPRODUCT(1*(input_MRB_EV=input_data!$C$55:$C$57),input_data!$F$55:$F$57)</f>
        <v>486.3244167031616</v>
      </c>
      <c r="AT111" s="543" cm="1">
        <f t="array" ref="AT111">AT$2*AT21*SUMPRODUCT(1*(input_MRB_EV=input_data!$C$55:$C$57),input_data!$F$55:$F$57)</f>
        <v>488.63409567022438</v>
      </c>
      <c r="AU111" s="543" cm="1">
        <f t="array" ref="AU111">AU$2*AU21*SUMPRODUCT(1*(input_MRB_EV=input_data!$C$55:$C$57),input_data!$F$55:$F$57)</f>
        <v>490.95474389309192</v>
      </c>
      <c r="AV111" s="543" cm="1">
        <f t="array" ref="AV111">AV$2*AV21*SUMPRODUCT(1*(input_MRB_EV=input_data!$C$55:$C$57),input_data!$F$55:$F$57)</f>
        <v>493.28641346756388</v>
      </c>
      <c r="AW111" s="543" cm="1">
        <f t="array" ref="AW111">AW$2*AW21*SUMPRODUCT(1*(input_MRB_EV=input_data!$C$55:$C$57),input_data!$F$55:$F$57)</f>
        <v>495.62915673685626</v>
      </c>
      <c r="AX111" s="543" cm="1">
        <f t="array" ref="AX111">AX$2*AX21*SUMPRODUCT(1*(input_MRB_EV=input_data!$C$55:$C$57),input_data!$F$55:$F$57)</f>
        <v>497.9830262927764</v>
      </c>
      <c r="AY111" s="543" cm="1">
        <f t="array" ref="AY111">AY$2*AY21*SUMPRODUCT(1*(input_MRB_EV=input_data!$C$55:$C$57),input_data!$F$55:$F$57)</f>
        <v>500.34807497690355</v>
      </c>
      <c r="AZ111" s="543" cm="1">
        <f t="array" ref="AZ111">AZ$2*AZ21*SUMPRODUCT(1*(input_MRB_EV=input_data!$C$55:$C$57),input_data!$F$55:$F$57)</f>
        <v>502.72435588177512</v>
      </c>
      <c r="BA111" s="543" cm="1">
        <f t="array" ref="BA111">BA$2*BA21*SUMPRODUCT(1*(input_MRB_EV=input_data!$C$55:$C$57),input_data!$F$55:$F$57)</f>
        <v>505.11192235207852</v>
      </c>
      <c r="BB111" s="543" cm="1">
        <f t="array" ref="BB111">BB$2*BB21*SUMPRODUCT(1*(input_MRB_EV=input_data!$C$55:$C$57),input_data!$F$55:$F$57)</f>
        <v>507.51082798584878</v>
      </c>
      <c r="BC111" s="543" cm="1">
        <f t="array" ref="BC111">BC$2*BC21*SUMPRODUCT(1*(input_MRB_EV=input_data!$C$55:$C$57),input_data!$F$55:$F$57)</f>
        <v>509.92112663567167</v>
      </c>
    </row>
    <row r="112" spans="8:55" x14ac:dyDescent="0.3">
      <c r="H112" s="542" t="str">
        <f>input_names!$E$3</f>
        <v>plug-in</v>
      </c>
      <c r="I112" s="542" t="s">
        <v>1199</v>
      </c>
      <c r="J112" s="543" cm="1">
        <f t="array" ref="J112">J$2*J22*SUMPRODUCT(1*(input_MRB_EV=input_data!$C$55:$C$57),input_data!$F$55:$F$57)</f>
        <v>230</v>
      </c>
      <c r="K112" s="543" cm="1">
        <f t="array" ref="K112">K$2*K22*SUMPRODUCT(1*(input_MRB_EV=input_data!$C$55:$C$57),input_data!$F$55:$F$57)</f>
        <v>230</v>
      </c>
      <c r="L112" s="543" cm="1">
        <f t="array" ref="L112">L$2*L22*SUMPRODUCT(1*(input_MRB_EV=input_data!$C$55:$C$57),input_data!$F$55:$F$57)</f>
        <v>230</v>
      </c>
      <c r="M112" s="543" cm="1">
        <f t="array" ref="M112">M$2*M22*SUMPRODUCT(1*(input_MRB_EV=input_data!$C$55:$C$57),input_data!$F$55:$F$57)</f>
        <v>230</v>
      </c>
      <c r="N112" s="543" cm="1">
        <f t="array" ref="N112">N$2*N22*SUMPRODUCT(1*(input_MRB_EV=input_data!$C$55:$C$57),input_data!$F$55:$F$57)</f>
        <v>230</v>
      </c>
      <c r="O112" s="543" cm="1">
        <f t="array" ref="O112">O$2*O22*SUMPRODUCT(1*(input_MRB_EV=input_data!$C$55:$C$57),input_data!$F$55:$F$57)</f>
        <v>230</v>
      </c>
      <c r="P112" s="543" cm="1">
        <f t="array" ref="P112">P$2*P22*SUMPRODUCT(1*(input_MRB_EV=input_data!$C$55:$C$57),input_data!$F$55:$F$57)</f>
        <v>230</v>
      </c>
      <c r="Q112" s="543" cm="1">
        <f t="array" ref="Q112">Q$2*Q22*SUMPRODUCT(1*(input_MRB_EV=input_data!$C$55:$C$57),input_data!$F$55:$F$57)</f>
        <v>230</v>
      </c>
      <c r="R112" s="543" cm="1">
        <f t="array" ref="R112">R$2*R22*SUMPRODUCT(1*(input_MRB_EV=input_data!$C$55:$C$57),input_data!$F$55:$F$57)</f>
        <v>230</v>
      </c>
      <c r="S112" s="543" cm="1">
        <f t="array" ref="S112">S$2*S22*SUMPRODUCT(1*(input_MRB_EV=input_data!$C$55:$C$57),input_data!$F$55:$F$57)</f>
        <v>230</v>
      </c>
      <c r="T112" s="543" cm="1">
        <f t="array" ref="T112">T$2*T22*SUMPRODUCT(1*(input_MRB_EV=input_data!$C$55:$C$57),input_data!$F$55:$F$57)</f>
        <v>345</v>
      </c>
      <c r="U112" s="543" cm="1">
        <f t="array" ref="U112">U$2*U22*SUMPRODUCT(1*(input_MRB_EV=input_data!$C$55:$C$57),input_data!$F$55:$F$57)</f>
        <v>462.18465758320622</v>
      </c>
      <c r="V112" s="543" cm="1">
        <f t="array" ref="V112">V$2*V22*SUMPRODUCT(1*(input_MRB_EV=input_data!$C$55:$C$57),input_data!$F$55:$F$57)</f>
        <v>464.37969066370778</v>
      </c>
      <c r="W112" s="543" cm="1">
        <f t="array" ref="W112">W$2*W22*SUMPRODUCT(1*(input_MRB_EV=input_data!$C$55:$C$57),input_data!$F$55:$F$57)</f>
        <v>466.58514851739346</v>
      </c>
      <c r="X112" s="543" cm="1">
        <f t="array" ref="X112">X$2*X22*SUMPRODUCT(1*(input_MRB_EV=input_data!$C$55:$C$57),input_data!$F$55:$F$57)</f>
        <v>468.80108065417591</v>
      </c>
      <c r="Y112" s="543" cm="1">
        <f t="array" ref="Y112">Y$2*Y22*SUMPRODUCT(1*(input_MRB_EV=input_data!$C$55:$C$57),input_data!$F$55:$F$57)</f>
        <v>471.02753681910286</v>
      </c>
      <c r="Z112" s="543" cm="1">
        <f t="array" ref="Z112">Z$2*Z22*SUMPRODUCT(1*(input_MRB_EV=input_data!$C$55:$C$57),input_data!$F$55:$F$57)</f>
        <v>473.26456699347415</v>
      </c>
      <c r="AA112" s="543" cm="1">
        <f t="array" ref="AA112">AA$2*AA22*SUMPRODUCT(1*(input_MRB_EV=input_data!$C$55:$C$57),input_data!$F$55:$F$57)</f>
        <v>475.51222139596348</v>
      </c>
      <c r="AB112" s="543" cm="1">
        <f t="array" ref="AB112">AB$2*AB22*SUMPRODUCT(1*(input_MRB_EV=input_data!$C$55:$C$57),input_data!$F$55:$F$57)</f>
        <v>477.77055048374592</v>
      </c>
      <c r="AC112" s="543" cm="1">
        <f t="array" ref="AC112">AC$2*AC22*SUMPRODUCT(1*(input_MRB_EV=input_data!$C$55:$C$57),input_data!$F$55:$F$57)</f>
        <v>480.03960495363049</v>
      </c>
      <c r="AD112" s="543" cm="1">
        <f t="array" ref="AD112">AD$2*AD22*SUMPRODUCT(1*(input_MRB_EV=input_data!$C$55:$C$57),input_data!$F$55:$F$57)</f>
        <v>482.31943574319843</v>
      </c>
      <c r="AE112" s="543" cm="1">
        <f t="array" ref="AE112">AE$2*AE22*SUMPRODUCT(1*(input_MRB_EV=input_data!$C$55:$C$57),input_data!$F$55:$F$57)</f>
        <v>484.61009403194652</v>
      </c>
      <c r="AF112" s="543" cm="1">
        <f t="array" ref="AF112">AF$2*AF22*SUMPRODUCT(1*(input_MRB_EV=input_data!$C$55:$C$57),input_data!$F$55:$F$57)</f>
        <v>486.91163124243599</v>
      </c>
      <c r="AG112" s="543" cm="1">
        <f t="array" ref="AG112">AG$2*AG22*SUMPRODUCT(1*(input_MRB_EV=input_data!$C$55:$C$57),input_data!$F$55:$F$57)</f>
        <v>489.22409904144706</v>
      </c>
      <c r="AH112" s="543" cm="1">
        <f t="array" ref="AH112">AH$2*AH22*SUMPRODUCT(1*(input_MRB_EV=input_data!$C$55:$C$57),input_data!$F$55:$F$57)</f>
        <v>491.54754934113862</v>
      </c>
      <c r="AI112" s="543" cm="1">
        <f t="array" ref="AI112">AI$2*AI22*SUMPRODUCT(1*(input_MRB_EV=input_data!$C$55:$C$57),input_data!$F$55:$F$57)</f>
        <v>493.88203430021372</v>
      </c>
      <c r="AJ112" s="543" cm="1">
        <f t="array" ref="AJ112">AJ$2*AJ22*SUMPRODUCT(1*(input_MRB_EV=input_data!$C$55:$C$57),input_data!$F$55:$F$57)</f>
        <v>496.22760632509039</v>
      </c>
      <c r="AK112" s="543" cm="1">
        <f t="array" ref="AK112">AK$2*AK22*SUMPRODUCT(1*(input_MRB_EV=input_data!$C$55:$C$57),input_data!$F$55:$F$57)</f>
        <v>498.58431807107814</v>
      </c>
      <c r="AL112" s="543" cm="1">
        <f t="array" ref="AL112">AL$2*AL22*SUMPRODUCT(1*(input_MRB_EV=input_data!$C$55:$C$57),input_data!$F$55:$F$57)</f>
        <v>500.95222244356006</v>
      </c>
      <c r="AM112" s="543" cm="1">
        <f t="array" ref="AM112">AM$2*AM22*SUMPRODUCT(1*(input_MRB_EV=input_data!$C$55:$C$57),input_data!$F$55:$F$57)</f>
        <v>503.33137259918033</v>
      </c>
      <c r="AN112" s="543" cm="1">
        <f t="array" ref="AN112">AN$2*AN22*SUMPRODUCT(1*(input_MRB_EV=input_data!$C$55:$C$57),input_data!$F$55:$F$57)</f>
        <v>505.72182194703765</v>
      </c>
      <c r="AO112" s="543" cm="1">
        <f t="array" ref="AO112">AO$2*AO22*SUMPRODUCT(1*(input_MRB_EV=input_data!$C$55:$C$57),input_data!$F$55:$F$57)</f>
        <v>508.12362414988428</v>
      </c>
      <c r="AP112" s="543" cm="1">
        <f t="array" ref="AP112">AP$2*AP22*SUMPRODUCT(1*(input_MRB_EV=input_data!$C$55:$C$57),input_data!$F$55:$F$57)</f>
        <v>510.53683312533047</v>
      </c>
      <c r="AQ112" s="543" cm="1">
        <f t="array" ref="AQ112">AQ$2*AQ22*SUMPRODUCT(1*(input_MRB_EV=input_data!$C$55:$C$57),input_data!$F$55:$F$57)</f>
        <v>512.96150304705509</v>
      </c>
      <c r="AR112" s="543" cm="1">
        <f t="array" ref="AR112">AR$2*AR22*SUMPRODUCT(1*(input_MRB_EV=input_data!$C$55:$C$57),input_data!$F$55:$F$57)</f>
        <v>515.3976883460216</v>
      </c>
      <c r="AS112" s="543" cm="1">
        <f t="array" ref="AS112">AS$2*AS22*SUMPRODUCT(1*(input_MRB_EV=input_data!$C$55:$C$57),input_data!$F$55:$F$57)</f>
        <v>517.8454437117</v>
      </c>
      <c r="AT112" s="543" cm="1">
        <f t="array" ref="AT112">AT$2*AT22*SUMPRODUCT(1*(input_MRB_EV=input_data!$C$55:$C$57),input_data!$F$55:$F$57)</f>
        <v>520.30482409329466</v>
      </c>
      <c r="AU112" s="543" cm="1">
        <f t="array" ref="AU112">AU$2*AU22*SUMPRODUCT(1*(input_MRB_EV=input_data!$C$55:$C$57),input_data!$F$55:$F$57)</f>
        <v>522.77588470097771</v>
      </c>
      <c r="AV112" s="543" cm="1">
        <f t="array" ref="AV112">AV$2*AV22*SUMPRODUCT(1*(input_MRB_EV=input_data!$C$55:$C$57),input_data!$F$55:$F$57)</f>
        <v>525.25868100712842</v>
      </c>
      <c r="AW112" s="543" cm="1">
        <f t="array" ref="AW112">AW$2*AW22*SUMPRODUCT(1*(input_MRB_EV=input_data!$C$55:$C$57),input_data!$F$55:$F$57)</f>
        <v>527.75326874757866</v>
      </c>
      <c r="AX112" s="543" cm="1">
        <f t="array" ref="AX112">AX$2*AX22*SUMPRODUCT(1*(input_MRB_EV=input_data!$C$55:$C$57),input_data!$F$55:$F$57)</f>
        <v>530.25970392286399</v>
      </c>
      <c r="AY112" s="543" cm="1">
        <f t="array" ref="AY112">AY$2*AY22*SUMPRODUCT(1*(input_MRB_EV=input_data!$C$55:$C$57),input_data!$F$55:$F$57)</f>
        <v>532.77804279948089</v>
      </c>
      <c r="AZ112" s="543" cm="1">
        <f t="array" ref="AZ112">AZ$2*AZ22*SUMPRODUCT(1*(input_MRB_EV=input_data!$C$55:$C$57),input_data!$F$55:$F$57)</f>
        <v>535.30834191114968</v>
      </c>
      <c r="BA112" s="543" cm="1">
        <f t="array" ref="BA112">BA$2*BA22*SUMPRODUCT(1*(input_MRB_EV=input_data!$C$55:$C$57),input_data!$F$55:$F$57)</f>
        <v>537.8506580600839</v>
      </c>
      <c r="BB112" s="543" cm="1">
        <f t="array" ref="BB112">BB$2*BB22*SUMPRODUCT(1*(input_MRB_EV=input_data!$C$55:$C$57),input_data!$F$55:$F$57)</f>
        <v>540.40504831826524</v>
      </c>
      <c r="BC112" s="543" cm="1">
        <f t="array" ref="BC112">BC$2*BC22*SUMPRODUCT(1*(input_MRB_EV=input_data!$C$55:$C$57),input_data!$F$55:$F$57)</f>
        <v>542.97157002872484</v>
      </c>
    </row>
    <row r="113" spans="8:55" x14ac:dyDescent="0.3">
      <c r="H113" s="542" t="str">
        <f>input_names!$E$3</f>
        <v>plug-in</v>
      </c>
      <c r="I113" s="542" t="s">
        <v>1200</v>
      </c>
      <c r="J113" s="543" cm="1">
        <f t="array" ref="J113">J$2*J23*SUMPRODUCT(1*(input_MRB_EV=input_data!$C$55:$C$57),input_data!$F$55:$F$57)</f>
        <v>244</v>
      </c>
      <c r="K113" s="543" cm="1">
        <f t="array" ref="K113">K$2*K23*SUMPRODUCT(1*(input_MRB_EV=input_data!$C$55:$C$57),input_data!$F$55:$F$57)</f>
        <v>244</v>
      </c>
      <c r="L113" s="543" cm="1">
        <f t="array" ref="L113">L$2*L23*SUMPRODUCT(1*(input_MRB_EV=input_data!$C$55:$C$57),input_data!$F$55:$F$57)</f>
        <v>244</v>
      </c>
      <c r="M113" s="543" cm="1">
        <f t="array" ref="M113">M$2*M23*SUMPRODUCT(1*(input_MRB_EV=input_data!$C$55:$C$57),input_data!$F$55:$F$57)</f>
        <v>244</v>
      </c>
      <c r="N113" s="543" cm="1">
        <f t="array" ref="N113">N$2*N23*SUMPRODUCT(1*(input_MRB_EV=input_data!$C$55:$C$57),input_data!$F$55:$F$57)</f>
        <v>244</v>
      </c>
      <c r="O113" s="543" cm="1">
        <f t="array" ref="O113">O$2*O23*SUMPRODUCT(1*(input_MRB_EV=input_data!$C$55:$C$57),input_data!$F$55:$F$57)</f>
        <v>244</v>
      </c>
      <c r="P113" s="543" cm="1">
        <f t="array" ref="P113">P$2*P23*SUMPRODUCT(1*(input_MRB_EV=input_data!$C$55:$C$57),input_data!$F$55:$F$57)</f>
        <v>244</v>
      </c>
      <c r="Q113" s="543" cm="1">
        <f t="array" ref="Q113">Q$2*Q23*SUMPRODUCT(1*(input_MRB_EV=input_data!$C$55:$C$57),input_data!$F$55:$F$57)</f>
        <v>244</v>
      </c>
      <c r="R113" s="543" cm="1">
        <f t="array" ref="R113">R$2*R23*SUMPRODUCT(1*(input_MRB_EV=input_data!$C$55:$C$57),input_data!$F$55:$F$57)</f>
        <v>244</v>
      </c>
      <c r="S113" s="543" cm="1">
        <f t="array" ref="S113">S$2*S23*SUMPRODUCT(1*(input_MRB_EV=input_data!$C$55:$C$57),input_data!$F$55:$F$57)</f>
        <v>244</v>
      </c>
      <c r="T113" s="543" cm="1">
        <f t="array" ref="T113">T$2*T23*SUMPRODUCT(1*(input_MRB_EV=input_data!$C$55:$C$57),input_data!$F$55:$F$57)</f>
        <v>366</v>
      </c>
      <c r="U113" s="543" cm="1">
        <f t="array" ref="U113">U$2*U23*SUMPRODUCT(1*(input_MRB_EV=input_data!$C$55:$C$57),input_data!$F$55:$F$57)</f>
        <v>490.31763674044481</v>
      </c>
      <c r="V113" s="543" cm="1">
        <f t="array" ref="V113">V$2*V23*SUMPRODUCT(1*(input_MRB_EV=input_data!$C$55:$C$57),input_data!$F$55:$F$57)</f>
        <v>492.64628053019425</v>
      </c>
      <c r="W113" s="543" cm="1">
        <f t="array" ref="W113">W$2*W23*SUMPRODUCT(1*(input_MRB_EV=input_data!$C$55:$C$57),input_data!$F$55:$F$57)</f>
        <v>494.98598364453903</v>
      </c>
      <c r="X113" s="543" cm="1">
        <f t="array" ref="X113">X$2*X23*SUMPRODUCT(1*(input_MRB_EV=input_data!$C$55:$C$57),input_data!$F$55:$F$57)</f>
        <v>497.33679860703865</v>
      </c>
      <c r="Y113" s="543" cm="1">
        <f t="array" ref="Y113">Y$2*Y23*SUMPRODUCT(1*(input_MRB_EV=input_data!$C$55:$C$57),input_data!$F$55:$F$57)</f>
        <v>499.6987781907003</v>
      </c>
      <c r="Z113" s="543" cm="1">
        <f t="array" ref="Z113">Z$2*Z23*SUMPRODUCT(1*(input_MRB_EV=input_data!$C$55:$C$57),input_data!$F$55:$F$57)</f>
        <v>502.07197541916372</v>
      </c>
      <c r="AA113" s="543" cm="1">
        <f t="array" ref="AA113">AA$2*AA23*SUMPRODUCT(1*(input_MRB_EV=input_data!$C$55:$C$57),input_data!$F$55:$F$57)</f>
        <v>504.45644356789154</v>
      </c>
      <c r="AB113" s="543" cm="1">
        <f t="array" ref="AB113">AB$2*AB23*SUMPRODUCT(1*(input_MRB_EV=input_data!$C$55:$C$57),input_data!$F$55:$F$57)</f>
        <v>506.85223616536507</v>
      </c>
      <c r="AC113" s="543" cm="1">
        <f t="array" ref="AC113">AC$2*AC23*SUMPRODUCT(1*(input_MRB_EV=input_data!$C$55:$C$57),input_data!$F$55:$F$57)</f>
        <v>509.25940699428611</v>
      </c>
      <c r="AD113" s="543" cm="1">
        <f t="array" ref="AD113">AD$2*AD23*SUMPRODUCT(1*(input_MRB_EV=input_data!$C$55:$C$57),input_data!$F$55:$F$57)</f>
        <v>511.67801009278429</v>
      </c>
      <c r="AE113" s="543" cm="1">
        <f t="array" ref="AE113">AE$2*AE23*SUMPRODUCT(1*(input_MRB_EV=input_data!$C$55:$C$57),input_data!$F$55:$F$57)</f>
        <v>514.10809975563006</v>
      </c>
      <c r="AF113" s="543" cm="1">
        <f t="array" ref="AF113">AF$2*AF23*SUMPRODUCT(1*(input_MRB_EV=input_data!$C$55:$C$57),input_data!$F$55:$F$57)</f>
        <v>516.5497305354537</v>
      </c>
      <c r="AG113" s="543" cm="1">
        <f t="array" ref="AG113">AG$2*AG23*SUMPRODUCT(1*(input_MRB_EV=input_data!$C$55:$C$57),input_data!$F$55:$F$57)</f>
        <v>519.00295724396983</v>
      </c>
      <c r="AH113" s="543" cm="1">
        <f t="array" ref="AH113">AH$2*AH23*SUMPRODUCT(1*(input_MRB_EV=input_data!$C$55:$C$57),input_data!$F$55:$F$57)</f>
        <v>521.46783495320778</v>
      </c>
      <c r="AI113" s="543" cm="1">
        <f t="array" ref="AI113">AI$2*AI23*SUMPRODUCT(1*(input_MRB_EV=input_data!$C$55:$C$57),input_data!$F$55:$F$57)</f>
        <v>523.94441899674825</v>
      </c>
      <c r="AJ113" s="543" cm="1">
        <f t="array" ref="AJ113">AJ$2*AJ23*SUMPRODUCT(1*(input_MRB_EV=input_data!$C$55:$C$57),input_data!$F$55:$F$57)</f>
        <v>526.4327649709652</v>
      </c>
      <c r="AK113" s="543" cm="1">
        <f t="array" ref="AK113">AK$2*AK23*SUMPRODUCT(1*(input_MRB_EV=input_data!$C$55:$C$57),input_data!$F$55:$F$57)</f>
        <v>528.93292873627399</v>
      </c>
      <c r="AL113" s="543" cm="1">
        <f t="array" ref="AL113">AL$2*AL23*SUMPRODUCT(1*(input_MRB_EV=input_data!$C$55:$C$57),input_data!$F$55:$F$57)</f>
        <v>531.44496641838521</v>
      </c>
      <c r="AM113" s="543" cm="1">
        <f t="array" ref="AM113">AM$2*AM23*SUMPRODUCT(1*(input_MRB_EV=input_data!$C$55:$C$57),input_data!$F$55:$F$57)</f>
        <v>533.96893440956501</v>
      </c>
      <c r="AN113" s="543" cm="1">
        <f t="array" ref="AN113">AN$2*AN23*SUMPRODUCT(1*(input_MRB_EV=input_data!$C$55:$C$57),input_data!$F$55:$F$57)</f>
        <v>536.50488936990064</v>
      </c>
      <c r="AO113" s="543" cm="1">
        <f t="array" ref="AO113">AO$2*AO23*SUMPRODUCT(1*(input_MRB_EV=input_data!$C$55:$C$57),input_data!$F$55:$F$57)</f>
        <v>539.05288822857267</v>
      </c>
      <c r="AP113" s="543" cm="1">
        <f t="array" ref="AP113">AP$2*AP23*SUMPRODUCT(1*(input_MRB_EV=input_data!$C$55:$C$57),input_data!$F$55:$F$57)</f>
        <v>541.61298818513296</v>
      </c>
      <c r="AQ113" s="543" cm="1">
        <f t="array" ref="AQ113">AQ$2*AQ23*SUMPRODUCT(1*(input_MRB_EV=input_data!$C$55:$C$57),input_data!$F$55:$F$57)</f>
        <v>544.18524671078865</v>
      </c>
      <c r="AR113" s="543" cm="1">
        <f t="array" ref="AR113">AR$2*AR23*SUMPRODUCT(1*(input_MRB_EV=input_data!$C$55:$C$57),input_data!$F$55:$F$57)</f>
        <v>546.76972154969224</v>
      </c>
      <c r="AS113" s="543" cm="1">
        <f t="array" ref="AS113">AS$2*AS23*SUMPRODUCT(1*(input_MRB_EV=input_data!$C$55:$C$57),input_data!$F$55:$F$57)</f>
        <v>549.366470720238</v>
      </c>
      <c r="AT113" s="543" cm="1">
        <f t="array" ref="AT113">AT$2*AT23*SUMPRODUCT(1*(input_MRB_EV=input_data!$C$55:$C$57),input_data!$F$55:$F$57)</f>
        <v>551.97555251636447</v>
      </c>
      <c r="AU113" s="543" cm="1">
        <f t="array" ref="AU113">AU$2*AU23*SUMPRODUCT(1*(input_MRB_EV=input_data!$C$55:$C$57),input_data!$F$55:$F$57)</f>
        <v>554.597025508863</v>
      </c>
      <c r="AV113" s="543" cm="1">
        <f t="array" ref="AV113">AV$2*AV23*SUMPRODUCT(1*(input_MRB_EV=input_data!$C$55:$C$57),input_data!$F$55:$F$57)</f>
        <v>557.23094854669239</v>
      </c>
      <c r="AW113" s="543" cm="1">
        <f t="array" ref="AW113">AW$2*AW23*SUMPRODUCT(1*(input_MRB_EV=input_data!$C$55:$C$57),input_data!$F$55:$F$57)</f>
        <v>559.87738075830043</v>
      </c>
      <c r="AX113" s="543" cm="1">
        <f t="array" ref="AX113">AX$2*AX23*SUMPRODUCT(1*(input_MRB_EV=input_data!$C$55:$C$57),input_data!$F$55:$F$57)</f>
        <v>562.53638155295096</v>
      </c>
      <c r="AY113" s="543" cm="1">
        <f t="array" ref="AY113">AY$2*AY23*SUMPRODUCT(1*(input_MRB_EV=input_data!$C$55:$C$57),input_data!$F$55:$F$57)</f>
        <v>565.20801062205749</v>
      </c>
      <c r="AZ113" s="543" cm="1">
        <f t="array" ref="AZ113">AZ$2*AZ23*SUMPRODUCT(1*(input_MRB_EV=input_data!$C$55:$C$57),input_data!$F$55:$F$57)</f>
        <v>567.8923279405235</v>
      </c>
      <c r="BA113" s="543" cm="1">
        <f t="array" ref="BA113">BA$2*BA23*SUMPRODUCT(1*(input_MRB_EV=input_data!$C$55:$C$57),input_data!$F$55:$F$57)</f>
        <v>570.58939376808848</v>
      </c>
      <c r="BB113" s="543" cm="1">
        <f t="array" ref="BB113">BB$2*BB23*SUMPRODUCT(1*(input_MRB_EV=input_data!$C$55:$C$57),input_data!$F$55:$F$57)</f>
        <v>573.2992686506808</v>
      </c>
      <c r="BC113" s="543" cm="1">
        <f t="array" ref="BC113">BC$2*BC23*SUMPRODUCT(1*(input_MRB_EV=input_data!$C$55:$C$57),input_data!$F$55:$F$57)</f>
        <v>576.02201342177705</v>
      </c>
    </row>
    <row r="114" spans="8:55" x14ac:dyDescent="0.3">
      <c r="H114" s="542" t="str">
        <f>input_names!$E$3</f>
        <v>plug-in</v>
      </c>
      <c r="I114" s="542" t="s">
        <v>1495</v>
      </c>
      <c r="J114" s="543" cm="1">
        <f t="array" ref="J114">J$2*J24*SUMPRODUCT(1*(input_MRB_EV=input_data!$C$55:$C$57),input_data!$F$55:$F$57)</f>
        <v>258.5</v>
      </c>
      <c r="K114" s="543" cm="1">
        <f t="array" ref="K114">K$2*K24*SUMPRODUCT(1*(input_MRB_EV=input_data!$C$55:$C$57),input_data!$F$55:$F$57)</f>
        <v>258.5</v>
      </c>
      <c r="L114" s="543" cm="1">
        <f t="array" ref="L114">L$2*L24*SUMPRODUCT(1*(input_MRB_EV=input_data!$C$55:$C$57),input_data!$F$55:$F$57)</f>
        <v>258.5</v>
      </c>
      <c r="M114" s="543" cm="1">
        <f t="array" ref="M114">M$2*M24*SUMPRODUCT(1*(input_MRB_EV=input_data!$C$55:$C$57),input_data!$F$55:$F$57)</f>
        <v>258.5</v>
      </c>
      <c r="N114" s="543" cm="1">
        <f t="array" ref="N114">N$2*N24*SUMPRODUCT(1*(input_MRB_EV=input_data!$C$55:$C$57),input_data!$F$55:$F$57)</f>
        <v>258.5</v>
      </c>
      <c r="O114" s="543" cm="1">
        <f t="array" ref="O114">O$2*O24*SUMPRODUCT(1*(input_MRB_EV=input_data!$C$55:$C$57),input_data!$F$55:$F$57)</f>
        <v>258.5</v>
      </c>
      <c r="P114" s="543" cm="1">
        <f t="array" ref="P114">P$2*P24*SUMPRODUCT(1*(input_MRB_EV=input_data!$C$55:$C$57),input_data!$F$55:$F$57)</f>
        <v>258.5</v>
      </c>
      <c r="Q114" s="543" cm="1">
        <f t="array" ref="Q114">Q$2*Q24*SUMPRODUCT(1*(input_MRB_EV=input_data!$C$55:$C$57),input_data!$F$55:$F$57)</f>
        <v>258.5</v>
      </c>
      <c r="R114" s="543" cm="1">
        <f t="array" ref="R114">R$2*R24*SUMPRODUCT(1*(input_MRB_EV=input_data!$C$55:$C$57),input_data!$F$55:$F$57)</f>
        <v>258.5</v>
      </c>
      <c r="S114" s="543" cm="1">
        <f t="array" ref="S114">S$2*S24*SUMPRODUCT(1*(input_MRB_EV=input_data!$C$55:$C$57),input_data!$F$55:$F$57)</f>
        <v>258.5</v>
      </c>
      <c r="T114" s="543" cm="1">
        <f t="array" ref="T114">T$2*T24*SUMPRODUCT(1*(input_MRB_EV=input_data!$C$55:$C$57),input_data!$F$55:$F$57)</f>
        <v>387.75</v>
      </c>
      <c r="U114" s="543" cm="1">
        <f t="array" ref="U114">U$2*U24*SUMPRODUCT(1*(input_MRB_EV=input_data!$C$55:$C$57),input_data!$F$55:$F$57)</f>
        <v>519.45536515329911</v>
      </c>
      <c r="V114" s="543" cm="1">
        <f t="array" ref="V114">V$2*V24*SUMPRODUCT(1*(input_MRB_EV=input_data!$C$55:$C$57),input_data!$F$55:$F$57)</f>
        <v>521.92239146334111</v>
      </c>
      <c r="W114" s="543" cm="1">
        <f t="array" ref="W114">W$2*W24*SUMPRODUCT(1*(input_MRB_EV=input_data!$C$55:$C$57),input_data!$F$55:$F$57)</f>
        <v>524.40113431194004</v>
      </c>
      <c r="X114" s="543" cm="1">
        <f t="array" ref="X114">X$2*X24*SUMPRODUCT(1*(input_MRB_EV=input_data!$C$55:$C$57),input_data!$F$55:$F$57)</f>
        <v>526.8916493439325</v>
      </c>
      <c r="Y114" s="543" cm="1">
        <f t="array" ref="Y114">Y$2*Y24*SUMPRODUCT(1*(input_MRB_EV=input_data!$C$55:$C$57),input_data!$F$55:$F$57)</f>
        <v>529.39399246842652</v>
      </c>
      <c r="Z114" s="543" cm="1">
        <f t="array" ref="Z114">Z$2*Z24*SUMPRODUCT(1*(input_MRB_EV=input_data!$C$55:$C$57),input_data!$F$55:$F$57)</f>
        <v>531.90821986005687</v>
      </c>
      <c r="AA114" s="543" cm="1">
        <f t="array" ref="AA114">AA$2*AA24*SUMPRODUCT(1*(input_MRB_EV=input_data!$C$55:$C$57),input_data!$F$55:$F$57)</f>
        <v>534.434387960246</v>
      </c>
      <c r="AB114" s="543" cm="1">
        <f t="array" ref="AB114">AB$2*AB24*SUMPRODUCT(1*(input_MRB_EV=input_data!$C$55:$C$57),input_data!$F$55:$F$57)</f>
        <v>536.97255347847101</v>
      </c>
      <c r="AC114" s="543" cm="1">
        <f t="array" ref="AC114">AC$2*AC24*SUMPRODUCT(1*(input_MRB_EV=input_data!$C$55:$C$57),input_data!$F$55:$F$57)</f>
        <v>539.52277339353691</v>
      </c>
      <c r="AD114" s="543" cm="1">
        <f t="array" ref="AD114">AD$2*AD24*SUMPRODUCT(1*(input_MRB_EV=input_data!$C$55:$C$57),input_data!$F$55:$F$57)</f>
        <v>542.08510495485564</v>
      </c>
      <c r="AE114" s="543" cm="1">
        <f t="array" ref="AE114">AE$2*AE24*SUMPRODUCT(1*(input_MRB_EV=input_data!$C$55:$C$57),input_data!$F$55:$F$57)</f>
        <v>544.65960568373123</v>
      </c>
      <c r="AF114" s="543" cm="1">
        <f t="array" ref="AF114">AF$2*AF24*SUMPRODUCT(1*(input_MRB_EV=input_data!$C$55:$C$57),input_data!$F$55:$F$57)</f>
        <v>547.24633337465093</v>
      </c>
      <c r="AG114" s="543" cm="1">
        <f t="array" ref="AG114">AG$2*AG24*SUMPRODUCT(1*(input_MRB_EV=input_data!$C$55:$C$57),input_data!$F$55:$F$57)</f>
        <v>549.84534609658294</v>
      </c>
      <c r="AH114" s="543" cm="1">
        <f t="array" ref="AH114">AH$2*AH24*SUMPRODUCT(1*(input_MRB_EV=input_data!$C$55:$C$57),input_data!$F$55:$F$57)</f>
        <v>552.45670219427973</v>
      </c>
      <c r="AI114" s="543" cm="1">
        <f t="array" ref="AI114">AI$2*AI24*SUMPRODUCT(1*(input_MRB_EV=input_data!$C$55:$C$57),input_data!$F$55:$F$57)</f>
        <v>555.08046028958802</v>
      </c>
      <c r="AJ114" s="543" cm="1">
        <f t="array" ref="AJ114">AJ$2*AJ24*SUMPRODUCT(1*(input_MRB_EV=input_data!$C$55:$C$57),input_data!$F$55:$F$57)</f>
        <v>557.71667928276463</v>
      </c>
      <c r="AK114" s="543" cm="1">
        <f t="array" ref="AK114">AK$2*AK24*SUMPRODUCT(1*(input_MRB_EV=input_data!$C$55:$C$57),input_data!$F$55:$F$57)</f>
        <v>560.36541835379865</v>
      </c>
      <c r="AL114" s="543" cm="1">
        <f t="array" ref="AL114">AL$2*AL24*SUMPRODUCT(1*(input_MRB_EV=input_data!$C$55:$C$57),input_data!$F$55:$F$57)</f>
        <v>563.02673696374029</v>
      </c>
      <c r="AM114" s="543" cm="1">
        <f t="array" ref="AM114">AM$2*AM24*SUMPRODUCT(1*(input_MRB_EV=input_data!$C$55:$C$57),input_data!$F$55:$F$57)</f>
        <v>565.70069485603528</v>
      </c>
      <c r="AN114" s="543" cm="1">
        <f t="array" ref="AN114">AN$2*AN24*SUMPRODUCT(1*(input_MRB_EV=input_data!$C$55:$C$57),input_data!$F$55:$F$57)</f>
        <v>568.38735205786622</v>
      </c>
      <c r="AO114" s="543" cm="1">
        <f t="array" ref="AO114">AO$2*AO24*SUMPRODUCT(1*(input_MRB_EV=input_data!$C$55:$C$57),input_data!$F$55:$F$57)</f>
        <v>571.08676888150035</v>
      </c>
      <c r="AP114" s="543" cm="1">
        <f t="array" ref="AP114">AP$2*AP24*SUMPRODUCT(1*(input_MRB_EV=input_data!$C$55:$C$57),input_data!$F$55:$F$57)</f>
        <v>573.7990059256432</v>
      </c>
      <c r="AQ114" s="543" cm="1">
        <f t="array" ref="AQ114">AQ$2*AQ24*SUMPRODUCT(1*(input_MRB_EV=input_data!$C$55:$C$57),input_data!$F$55:$F$57)</f>
        <v>576.5241240767989</v>
      </c>
      <c r="AR114" s="543" cm="1">
        <f t="array" ref="AR114">AR$2*AR24*SUMPRODUCT(1*(input_MRB_EV=input_data!$C$55:$C$57),input_data!$F$55:$F$57)</f>
        <v>579.26218451063733</v>
      </c>
      <c r="AS114" s="543" cm="1">
        <f t="array" ref="AS114">AS$2*AS24*SUMPRODUCT(1*(input_MRB_EV=input_data!$C$55:$C$57),input_data!$F$55:$F$57)</f>
        <v>582.01324869336725</v>
      </c>
      <c r="AT114" s="543" cm="1">
        <f t="array" ref="AT114">AT$2*AT24*SUMPRODUCT(1*(input_MRB_EV=input_data!$C$55:$C$57),input_data!$F$55:$F$57)</f>
        <v>584.777378383116</v>
      </c>
      <c r="AU114" s="543" cm="1">
        <f t="array" ref="AU114">AU$2*AU24*SUMPRODUCT(1*(input_MRB_EV=input_data!$C$55:$C$57),input_data!$F$55:$F$57)</f>
        <v>587.55463563131627</v>
      </c>
      <c r="AV114" s="543" cm="1">
        <f t="array" ref="AV114">AV$2*AV24*SUMPRODUCT(1*(input_MRB_EV=input_data!$C$55:$C$57),input_data!$F$55:$F$57)</f>
        <v>590.34508278409874</v>
      </c>
      <c r="AW114" s="543" cm="1">
        <f t="array" ref="AW114">AW$2*AW24*SUMPRODUCT(1*(input_MRB_EV=input_data!$C$55:$C$57),input_data!$F$55:$F$57)</f>
        <v>593.14878248369166</v>
      </c>
      <c r="AX114" s="543" cm="1">
        <f t="array" ref="AX114">AX$2*AX24*SUMPRODUCT(1*(input_MRB_EV=input_data!$C$55:$C$57),input_data!$F$55:$F$57)</f>
        <v>595.96579766982757</v>
      </c>
      <c r="AY114" s="543" cm="1">
        <f t="array" ref="AY114">AY$2*AY24*SUMPRODUCT(1*(input_MRB_EV=input_data!$C$55:$C$57),input_data!$F$55:$F$57)</f>
        <v>598.79619158115565</v>
      </c>
      <c r="AZ114" s="543" cm="1">
        <f t="array" ref="AZ114">AZ$2*AZ24*SUMPRODUCT(1*(input_MRB_EV=input_data!$C$55:$C$57),input_data!$F$55:$F$57)</f>
        <v>601.64002775666165</v>
      </c>
      <c r="BA114" s="543" cm="1">
        <f t="array" ref="BA114">BA$2*BA24*SUMPRODUCT(1*(input_MRB_EV=input_data!$C$55:$C$57),input_data!$F$55:$F$57)</f>
        <v>604.49737003709424</v>
      </c>
      <c r="BB114" s="543" cm="1">
        <f t="array" ref="BB114">BB$2*BB24*SUMPRODUCT(1*(input_MRB_EV=input_data!$C$55:$C$57),input_data!$F$55:$F$57)</f>
        <v>607.36828256639797</v>
      </c>
      <c r="BC114" s="543" cm="1">
        <f t="array" ref="BC114">BC$2*BC24*SUMPRODUCT(1*(input_MRB_EV=input_data!$C$55:$C$57),input_data!$F$55:$F$57)</f>
        <v>610.25282979315364</v>
      </c>
    </row>
    <row r="115" spans="8:55" x14ac:dyDescent="0.3">
      <c r="H115" s="542" t="str">
        <f>input_names!$E$3</f>
        <v>plug-in</v>
      </c>
      <c r="I115" s="542" t="s">
        <v>1496</v>
      </c>
      <c r="J115" s="543" cm="1">
        <f t="array" ref="J115">J$2*J25*SUMPRODUCT(1*(input_MRB_EV=input_data!$C$55:$C$57),input_data!$F$55:$F$57)</f>
        <v>272.5</v>
      </c>
      <c r="K115" s="543" cm="1">
        <f t="array" ref="K115">K$2*K25*SUMPRODUCT(1*(input_MRB_EV=input_data!$C$55:$C$57),input_data!$F$55:$F$57)</f>
        <v>272.5</v>
      </c>
      <c r="L115" s="543" cm="1">
        <f t="array" ref="L115">L$2*L25*SUMPRODUCT(1*(input_MRB_EV=input_data!$C$55:$C$57),input_data!$F$55:$F$57)</f>
        <v>272.5</v>
      </c>
      <c r="M115" s="543" cm="1">
        <f t="array" ref="M115">M$2*M25*SUMPRODUCT(1*(input_MRB_EV=input_data!$C$55:$C$57),input_data!$F$55:$F$57)</f>
        <v>272.5</v>
      </c>
      <c r="N115" s="543" cm="1">
        <f t="array" ref="N115">N$2*N25*SUMPRODUCT(1*(input_MRB_EV=input_data!$C$55:$C$57),input_data!$F$55:$F$57)</f>
        <v>272.5</v>
      </c>
      <c r="O115" s="543" cm="1">
        <f t="array" ref="O115">O$2*O25*SUMPRODUCT(1*(input_MRB_EV=input_data!$C$55:$C$57),input_data!$F$55:$F$57)</f>
        <v>272.5</v>
      </c>
      <c r="P115" s="543" cm="1">
        <f t="array" ref="P115">P$2*P25*SUMPRODUCT(1*(input_MRB_EV=input_data!$C$55:$C$57),input_data!$F$55:$F$57)</f>
        <v>272.5</v>
      </c>
      <c r="Q115" s="543" cm="1">
        <f t="array" ref="Q115">Q$2*Q25*SUMPRODUCT(1*(input_MRB_EV=input_data!$C$55:$C$57),input_data!$F$55:$F$57)</f>
        <v>272.5</v>
      </c>
      <c r="R115" s="543" cm="1">
        <f t="array" ref="R115">R$2*R25*SUMPRODUCT(1*(input_MRB_EV=input_data!$C$55:$C$57),input_data!$F$55:$F$57)</f>
        <v>272.5</v>
      </c>
      <c r="S115" s="543" cm="1">
        <f t="array" ref="S115">S$2*S25*SUMPRODUCT(1*(input_MRB_EV=input_data!$C$55:$C$57),input_data!$F$55:$F$57)</f>
        <v>272.5</v>
      </c>
      <c r="T115" s="543" cm="1">
        <f t="array" ref="T115">T$2*T25*SUMPRODUCT(1*(input_MRB_EV=input_data!$C$55:$C$57),input_data!$F$55:$F$57)</f>
        <v>408.75</v>
      </c>
      <c r="U115" s="543" cm="1">
        <f t="array" ref="U115">U$2*U25*SUMPRODUCT(1*(input_MRB_EV=input_data!$C$55:$C$57),input_data!$F$55:$F$57)</f>
        <v>547.58834431053776</v>
      </c>
      <c r="V115" s="543" cm="1">
        <f t="array" ref="V115">V$2*V25*SUMPRODUCT(1*(input_MRB_EV=input_data!$C$55:$C$57),input_data!$F$55:$F$57)</f>
        <v>550.18898132982758</v>
      </c>
      <c r="W115" s="543" cm="1">
        <f t="array" ref="W115">W$2*W25*SUMPRODUCT(1*(input_MRB_EV=input_data!$C$55:$C$57),input_data!$F$55:$F$57)</f>
        <v>552.80196943908561</v>
      </c>
      <c r="X115" s="543" cm="1">
        <f t="array" ref="X115">X$2*X25*SUMPRODUCT(1*(input_MRB_EV=input_data!$C$55:$C$57),input_data!$F$55:$F$57)</f>
        <v>555.42736729679518</v>
      </c>
      <c r="Y115" s="543" cm="1">
        <f t="array" ref="Y115">Y$2*Y25*SUMPRODUCT(1*(input_MRB_EV=input_data!$C$55:$C$57),input_data!$F$55:$F$57)</f>
        <v>558.06523384002389</v>
      </c>
      <c r="Z115" s="543" cm="1">
        <f t="array" ref="Z115">Z$2*Z25*SUMPRODUCT(1*(input_MRB_EV=input_data!$C$55:$C$57),input_data!$F$55:$F$57)</f>
        <v>560.71562828574633</v>
      </c>
      <c r="AA115" s="543" cm="1">
        <f t="array" ref="AA115">AA$2*AA25*SUMPRODUCT(1*(input_MRB_EV=input_data!$C$55:$C$57),input_data!$F$55:$F$57)</f>
        <v>563.37861013217389</v>
      </c>
      <c r="AB115" s="543" cm="1">
        <f t="array" ref="AB115">AB$2*AB25*SUMPRODUCT(1*(input_MRB_EV=input_data!$C$55:$C$57),input_data!$F$55:$F$57)</f>
        <v>566.05423916008999</v>
      </c>
      <c r="AC115" s="543" cm="1">
        <f t="array" ref="AC115">AC$2*AC25*SUMPRODUCT(1*(input_MRB_EV=input_data!$C$55:$C$57),input_data!$F$55:$F$57)</f>
        <v>568.74257543419242</v>
      </c>
      <c r="AD115" s="543" cm="1">
        <f t="array" ref="AD115">AD$2*AD25*SUMPRODUCT(1*(input_MRB_EV=input_data!$C$55:$C$57),input_data!$F$55:$F$57)</f>
        <v>571.44367930444139</v>
      </c>
      <c r="AE115" s="543" cm="1">
        <f t="array" ref="AE115">AE$2*AE25*SUMPRODUCT(1*(input_MRB_EV=input_data!$C$55:$C$57),input_data!$F$55:$F$57)</f>
        <v>574.15761140741461</v>
      </c>
      <c r="AF115" s="543" cm="1">
        <f t="array" ref="AF115">AF$2*AF25*SUMPRODUCT(1*(input_MRB_EV=input_data!$C$55:$C$57),input_data!$F$55:$F$57)</f>
        <v>576.88443266766842</v>
      </c>
      <c r="AG115" s="543" cm="1">
        <f t="array" ref="AG115">AG$2*AG25*SUMPRODUCT(1*(input_MRB_EV=input_data!$C$55:$C$57),input_data!$F$55:$F$57)</f>
        <v>579.62420429910549</v>
      </c>
      <c r="AH115" s="543" cm="1">
        <f t="array" ref="AH115">AH$2*AH25*SUMPRODUCT(1*(input_MRB_EV=input_data!$C$55:$C$57),input_data!$F$55:$F$57)</f>
        <v>582.37698780634878</v>
      </c>
      <c r="AI115" s="543" cm="1">
        <f t="array" ref="AI115">AI$2*AI25*SUMPRODUCT(1*(input_MRB_EV=input_data!$C$55:$C$57),input_data!$F$55:$F$57)</f>
        <v>585.14284498612255</v>
      </c>
      <c r="AJ115" s="543" cm="1">
        <f t="array" ref="AJ115">AJ$2*AJ25*SUMPRODUCT(1*(input_MRB_EV=input_data!$C$55:$C$57),input_data!$F$55:$F$57)</f>
        <v>587.92183792863943</v>
      </c>
      <c r="AK115" s="543" cm="1">
        <f t="array" ref="AK115">AK$2*AK25*SUMPRODUCT(1*(input_MRB_EV=input_data!$C$55:$C$57),input_data!$F$55:$F$57)</f>
        <v>590.71402901899444</v>
      </c>
      <c r="AL115" s="543" cm="1">
        <f t="array" ref="AL115">AL$2*AL25*SUMPRODUCT(1*(input_MRB_EV=input_data!$C$55:$C$57),input_data!$F$55:$F$57)</f>
        <v>593.51948093856538</v>
      </c>
      <c r="AM115" s="543" cm="1">
        <f t="array" ref="AM115">AM$2*AM25*SUMPRODUCT(1*(input_MRB_EV=input_data!$C$55:$C$57),input_data!$F$55:$F$57)</f>
        <v>596.33825666641985</v>
      </c>
      <c r="AN115" s="543" cm="1">
        <f t="array" ref="AN115">AN$2*AN25*SUMPRODUCT(1*(input_MRB_EV=input_data!$C$55:$C$57),input_data!$F$55:$F$57)</f>
        <v>599.17041948072915</v>
      </c>
      <c r="AO115" s="543" cm="1">
        <f t="array" ref="AO115">AO$2*AO25*SUMPRODUCT(1*(input_MRB_EV=input_data!$C$55:$C$57),input_data!$F$55:$F$57)</f>
        <v>602.0160329601888</v>
      </c>
      <c r="AP115" s="543" cm="1">
        <f t="array" ref="AP115">AP$2*AP25*SUMPRODUCT(1*(input_MRB_EV=input_data!$C$55:$C$57),input_data!$F$55:$F$57)</f>
        <v>604.87516098544575</v>
      </c>
      <c r="AQ115" s="543" cm="1">
        <f t="array" ref="AQ115">AQ$2*AQ25*SUMPRODUCT(1*(input_MRB_EV=input_data!$C$55:$C$57),input_data!$F$55:$F$57)</f>
        <v>607.74786774053257</v>
      </c>
      <c r="AR115" s="543" cm="1">
        <f t="array" ref="AR115">AR$2*AR25*SUMPRODUCT(1*(input_MRB_EV=input_data!$C$55:$C$57),input_data!$F$55:$F$57)</f>
        <v>610.63421771430808</v>
      </c>
      <c r="AS115" s="543" cm="1">
        <f t="array" ref="AS115">AS$2*AS25*SUMPRODUCT(1*(input_MRB_EV=input_data!$C$55:$C$57),input_data!$F$55:$F$57)</f>
        <v>613.53427570190536</v>
      </c>
      <c r="AT115" s="543" cm="1">
        <f t="array" ref="AT115">AT$2*AT25*SUMPRODUCT(1*(input_MRB_EV=input_data!$C$55:$C$57),input_data!$F$55:$F$57)</f>
        <v>616.44810680618593</v>
      </c>
      <c r="AU115" s="543" cm="1">
        <f t="array" ref="AU115">AU$2*AU25*SUMPRODUCT(1*(input_MRB_EV=input_data!$C$55:$C$57),input_data!$F$55:$F$57)</f>
        <v>619.37577643920167</v>
      </c>
      <c r="AV115" s="543" cm="1">
        <f t="array" ref="AV115">AV$2*AV25*SUMPRODUCT(1*(input_MRB_EV=input_data!$C$55:$C$57),input_data!$F$55:$F$57)</f>
        <v>622.31735032366282</v>
      </c>
      <c r="AW115" s="543" cm="1">
        <f t="array" ref="AW115">AW$2*AW25*SUMPRODUCT(1*(input_MRB_EV=input_data!$C$55:$C$57),input_data!$F$55:$F$57)</f>
        <v>625.27289449441366</v>
      </c>
      <c r="AX115" s="543" cm="1">
        <f t="array" ref="AX115">AX$2*AX25*SUMPRODUCT(1*(input_MRB_EV=input_data!$C$55:$C$57),input_data!$F$55:$F$57)</f>
        <v>628.24247529991476</v>
      </c>
      <c r="AY115" s="543" cm="1">
        <f t="array" ref="AY115">AY$2*AY25*SUMPRODUCT(1*(input_MRB_EV=input_data!$C$55:$C$57),input_data!$F$55:$F$57)</f>
        <v>631.22615940373259</v>
      </c>
      <c r="AZ115" s="543" cm="1">
        <f t="array" ref="AZ115">AZ$2*AZ25*SUMPRODUCT(1*(input_MRB_EV=input_data!$C$55:$C$57),input_data!$F$55:$F$57)</f>
        <v>634.22401378603581</v>
      </c>
      <c r="BA115" s="543" cm="1">
        <f t="array" ref="BA115">BA$2*BA25*SUMPRODUCT(1*(input_MRB_EV=input_data!$C$55:$C$57),input_data!$F$55:$F$57)</f>
        <v>637.23610574509917</v>
      </c>
      <c r="BB115" s="543" cm="1">
        <f t="array" ref="BB115">BB$2*BB25*SUMPRODUCT(1*(input_MRB_EV=input_data!$C$55:$C$57),input_data!$F$55:$F$57)</f>
        <v>640.26250289881398</v>
      </c>
      <c r="BC115" s="543" cm="1">
        <f t="array" ref="BC115">BC$2*BC25*SUMPRODUCT(1*(input_MRB_EV=input_data!$C$55:$C$57),input_data!$F$55:$F$57)</f>
        <v>643.3032731862063</v>
      </c>
    </row>
    <row r="116" spans="8:55" x14ac:dyDescent="0.3">
      <c r="H116" s="542" t="str">
        <f>input_names!$E$3</f>
        <v>plug-in</v>
      </c>
      <c r="I116" s="542" t="s">
        <v>1497</v>
      </c>
      <c r="J116" s="543" cm="1">
        <f t="array" ref="J116">J$2*J26*SUMPRODUCT(1*(input_MRB_EV=input_data!$C$55:$C$57),input_data!$F$55:$F$57)</f>
        <v>286.5</v>
      </c>
      <c r="K116" s="543" cm="1">
        <f t="array" ref="K116">K$2*K26*SUMPRODUCT(1*(input_MRB_EV=input_data!$C$55:$C$57),input_data!$F$55:$F$57)</f>
        <v>286.5</v>
      </c>
      <c r="L116" s="543" cm="1">
        <f t="array" ref="L116">L$2*L26*SUMPRODUCT(1*(input_MRB_EV=input_data!$C$55:$C$57),input_data!$F$55:$F$57)</f>
        <v>286.5</v>
      </c>
      <c r="M116" s="543" cm="1">
        <f t="array" ref="M116">M$2*M26*SUMPRODUCT(1*(input_MRB_EV=input_data!$C$55:$C$57),input_data!$F$55:$F$57)</f>
        <v>286.5</v>
      </c>
      <c r="N116" s="543" cm="1">
        <f t="array" ref="N116">N$2*N26*SUMPRODUCT(1*(input_MRB_EV=input_data!$C$55:$C$57),input_data!$F$55:$F$57)</f>
        <v>286.5</v>
      </c>
      <c r="O116" s="543" cm="1">
        <f t="array" ref="O116">O$2*O26*SUMPRODUCT(1*(input_MRB_EV=input_data!$C$55:$C$57),input_data!$F$55:$F$57)</f>
        <v>286.5</v>
      </c>
      <c r="P116" s="543" cm="1">
        <f t="array" ref="P116">P$2*P26*SUMPRODUCT(1*(input_MRB_EV=input_data!$C$55:$C$57),input_data!$F$55:$F$57)</f>
        <v>286.5</v>
      </c>
      <c r="Q116" s="543" cm="1">
        <f t="array" ref="Q116">Q$2*Q26*SUMPRODUCT(1*(input_MRB_EV=input_data!$C$55:$C$57),input_data!$F$55:$F$57)</f>
        <v>286.5</v>
      </c>
      <c r="R116" s="543" cm="1">
        <f t="array" ref="R116">R$2*R26*SUMPRODUCT(1*(input_MRB_EV=input_data!$C$55:$C$57),input_data!$F$55:$F$57)</f>
        <v>286.5</v>
      </c>
      <c r="S116" s="543" cm="1">
        <f t="array" ref="S116">S$2*S26*SUMPRODUCT(1*(input_MRB_EV=input_data!$C$55:$C$57),input_data!$F$55:$F$57)</f>
        <v>286.5</v>
      </c>
      <c r="T116" s="543" cm="1">
        <f t="array" ref="T116">T$2*T26*SUMPRODUCT(1*(input_MRB_EV=input_data!$C$55:$C$57),input_data!$F$55:$F$57)</f>
        <v>429.75</v>
      </c>
      <c r="U116" s="543" cm="1">
        <f t="array" ref="U116">U$2*U26*SUMPRODUCT(1*(input_MRB_EV=input_data!$C$55:$C$57),input_data!$F$55:$F$57)</f>
        <v>575.72132346777641</v>
      </c>
      <c r="V116" s="543" cm="1">
        <f t="array" ref="V116">V$2*V26*SUMPRODUCT(1*(input_MRB_EV=input_data!$C$55:$C$57),input_data!$F$55:$F$57)</f>
        <v>578.45557119631417</v>
      </c>
      <c r="W116" s="543" cm="1">
        <f t="array" ref="W116">W$2*W26*SUMPRODUCT(1*(input_MRB_EV=input_data!$C$55:$C$57),input_data!$F$55:$F$57)</f>
        <v>581.20280456623129</v>
      </c>
      <c r="X116" s="543" cm="1">
        <f t="array" ref="X116">X$2*X26*SUMPRODUCT(1*(input_MRB_EV=input_data!$C$55:$C$57),input_data!$F$55:$F$57)</f>
        <v>583.96308524965809</v>
      </c>
      <c r="Y116" s="543" cm="1">
        <f t="array" ref="Y116">Y$2*Y26*SUMPRODUCT(1*(input_MRB_EV=input_data!$C$55:$C$57),input_data!$F$55:$F$57)</f>
        <v>586.7364752116215</v>
      </c>
      <c r="Z116" s="543" cm="1">
        <f t="array" ref="Z116">Z$2*Z26*SUMPRODUCT(1*(input_MRB_EV=input_data!$C$55:$C$57),input_data!$F$55:$F$57)</f>
        <v>589.52303671143613</v>
      </c>
      <c r="AA116" s="543" cm="1">
        <f t="array" ref="AA116">AA$2*AA26*SUMPRODUCT(1*(input_MRB_EV=input_data!$C$55:$C$57),input_data!$F$55:$F$57)</f>
        <v>592.32283230410223</v>
      </c>
      <c r="AB116" s="543" cm="1">
        <f t="array" ref="AB116">AB$2*AB26*SUMPRODUCT(1*(input_MRB_EV=input_data!$C$55:$C$57),input_data!$F$55:$F$57)</f>
        <v>595.13592484170942</v>
      </c>
      <c r="AC116" s="543" cm="1">
        <f t="array" ref="AC116">AC$2*AC26*SUMPRODUCT(1*(input_MRB_EV=input_data!$C$55:$C$57),input_data!$F$55:$F$57)</f>
        <v>597.96237747484827</v>
      </c>
      <c r="AD116" s="543" cm="1">
        <f t="array" ref="AD116">AD$2*AD26*SUMPRODUCT(1*(input_MRB_EV=input_data!$C$55:$C$57),input_data!$F$55:$F$57)</f>
        <v>600.80225365402748</v>
      </c>
      <c r="AE116" s="543" cm="1">
        <f t="array" ref="AE116">AE$2*AE26*SUMPRODUCT(1*(input_MRB_EV=input_data!$C$55:$C$57),input_data!$F$55:$F$57)</f>
        <v>603.65561713109844</v>
      </c>
      <c r="AF116" s="543" cm="1">
        <f t="array" ref="AF116">AF$2*AF26*SUMPRODUCT(1*(input_MRB_EV=input_data!$C$55:$C$57),input_data!$F$55:$F$57)</f>
        <v>606.52253196068636</v>
      </c>
      <c r="AG116" s="543" cm="1">
        <f t="array" ref="AG116">AG$2*AG26*SUMPRODUCT(1*(input_MRB_EV=input_data!$C$55:$C$57),input_data!$F$55:$F$57)</f>
        <v>609.40306250162837</v>
      </c>
      <c r="AH116" s="543" cm="1">
        <f t="array" ref="AH116">AH$2*AH26*SUMPRODUCT(1*(input_MRB_EV=input_data!$C$55:$C$57),input_data!$F$55:$F$57)</f>
        <v>612.29727341841806</v>
      </c>
      <c r="AI116" s="543" cm="1">
        <f t="array" ref="AI116">AI$2*AI26*SUMPRODUCT(1*(input_MRB_EV=input_data!$C$55:$C$57),input_data!$F$55:$F$57)</f>
        <v>615.2052296826572</v>
      </c>
      <c r="AJ116" s="543" cm="1">
        <f t="array" ref="AJ116">AJ$2*AJ26*SUMPRODUCT(1*(input_MRB_EV=input_data!$C$55:$C$57),input_data!$F$55:$F$57)</f>
        <v>618.12699657451446</v>
      </c>
      <c r="AK116" s="543" cm="1">
        <f t="array" ref="AK116">AK$2*AK26*SUMPRODUCT(1*(input_MRB_EV=input_data!$C$55:$C$57),input_data!$F$55:$F$57)</f>
        <v>621.06263968419046</v>
      </c>
      <c r="AL116" s="543" cm="1">
        <f t="array" ref="AL116">AL$2*AL26*SUMPRODUCT(1*(input_MRB_EV=input_data!$C$55:$C$57),input_data!$F$55:$F$57)</f>
        <v>624.0122249133907</v>
      </c>
      <c r="AM116" s="543" cm="1">
        <f t="array" ref="AM116">AM$2*AM26*SUMPRODUCT(1*(input_MRB_EV=input_data!$C$55:$C$57),input_data!$F$55:$F$57)</f>
        <v>626.97581847680465</v>
      </c>
      <c r="AN116" s="543" cm="1">
        <f t="array" ref="AN116">AN$2*AN26*SUMPRODUCT(1*(input_MRB_EV=input_data!$C$55:$C$57),input_data!$F$55:$F$57)</f>
        <v>629.95348690359219</v>
      </c>
      <c r="AO116" s="543" cm="1">
        <f t="array" ref="AO116">AO$2*AO26*SUMPRODUCT(1*(input_MRB_EV=input_data!$C$55:$C$57),input_data!$F$55:$F$57)</f>
        <v>632.94529703887724</v>
      </c>
      <c r="AP116" s="543" cm="1">
        <f t="array" ref="AP116">AP$2*AP26*SUMPRODUCT(1*(input_MRB_EV=input_data!$C$55:$C$57),input_data!$F$55:$F$57)</f>
        <v>635.95131604524829</v>
      </c>
      <c r="AQ116" s="543" cm="1">
        <f t="array" ref="AQ116">AQ$2*AQ26*SUMPRODUCT(1*(input_MRB_EV=input_data!$C$55:$C$57),input_data!$F$55:$F$57)</f>
        <v>638.97161140426613</v>
      </c>
      <c r="AR116" s="543" cm="1">
        <f t="array" ref="AR116">AR$2*AR26*SUMPRODUCT(1*(input_MRB_EV=input_data!$C$55:$C$57),input_data!$F$55:$F$57)</f>
        <v>642.00625091797872</v>
      </c>
      <c r="AS116" s="543" cm="1">
        <f t="array" ref="AS116">AS$2*AS26*SUMPRODUCT(1*(input_MRB_EV=input_data!$C$55:$C$57),input_data!$F$55:$F$57)</f>
        <v>645.05530271044336</v>
      </c>
      <c r="AT116" s="543" cm="1">
        <f t="array" ref="AT116">AT$2*AT26*SUMPRODUCT(1*(input_MRB_EV=input_data!$C$55:$C$57),input_data!$F$55:$F$57)</f>
        <v>648.11883522925586</v>
      </c>
      <c r="AU116" s="543" cm="1">
        <f t="array" ref="AU116">AU$2*AU26*SUMPRODUCT(1*(input_MRB_EV=input_data!$C$55:$C$57),input_data!$F$55:$F$57)</f>
        <v>651.19691724708707</v>
      </c>
      <c r="AV116" s="543" cm="1">
        <f t="array" ref="AV116">AV$2*AV26*SUMPRODUCT(1*(input_MRB_EV=input_data!$C$55:$C$57),input_data!$F$55:$F$57)</f>
        <v>654.28961786322691</v>
      </c>
      <c r="AW116" s="543" cm="1">
        <f t="array" ref="AW116">AW$2*AW26*SUMPRODUCT(1*(input_MRB_EV=input_data!$C$55:$C$57),input_data!$F$55:$F$57)</f>
        <v>657.39700650513555</v>
      </c>
      <c r="AX116" s="543" cm="1">
        <f t="array" ref="AX116">AX$2*AX26*SUMPRODUCT(1*(input_MRB_EV=input_data!$C$55:$C$57),input_data!$F$55:$F$57)</f>
        <v>660.51915293000184</v>
      </c>
      <c r="AY116" s="543" cm="1">
        <f t="array" ref="AY116">AY$2*AY26*SUMPRODUCT(1*(input_MRB_EV=input_data!$C$55:$C$57),input_data!$F$55:$F$57)</f>
        <v>663.65612722630931</v>
      </c>
      <c r="AZ116" s="543" cm="1">
        <f t="array" ref="AZ116">AZ$2*AZ26*SUMPRODUCT(1*(input_MRB_EV=input_data!$C$55:$C$57),input_data!$F$55:$F$57)</f>
        <v>666.80799981540974</v>
      </c>
      <c r="BA116" s="543" cm="1">
        <f t="array" ref="BA116">BA$2*BA26*SUMPRODUCT(1*(input_MRB_EV=input_data!$C$55:$C$57),input_data!$F$55:$F$57)</f>
        <v>669.97484145310386</v>
      </c>
      <c r="BB116" s="543" cm="1">
        <f t="array" ref="BB116">BB$2*BB26*SUMPRODUCT(1*(input_MRB_EV=input_data!$C$55:$C$57),input_data!$F$55:$F$57)</f>
        <v>673.15672323122976</v>
      </c>
      <c r="BC116" s="543" cm="1">
        <f t="array" ref="BC116">BC$2*BC26*SUMPRODUCT(1*(input_MRB_EV=input_data!$C$55:$C$57),input_data!$F$55:$F$57)</f>
        <v>676.35371657925873</v>
      </c>
    </row>
    <row r="117" spans="8:55" x14ac:dyDescent="0.3">
      <c r="H117" s="542" t="str">
        <f>input_names!$E$3</f>
        <v>plug-in</v>
      </c>
      <c r="I117" s="542" t="s">
        <v>1498</v>
      </c>
      <c r="J117" s="543" cm="1">
        <f t="array" ref="J117">J$2*J27*SUMPRODUCT(1*(input_MRB_EV=input_data!$C$55:$C$57),input_data!$F$55:$F$57)</f>
        <v>300.5</v>
      </c>
      <c r="K117" s="543" cm="1">
        <f t="array" ref="K117">K$2*K27*SUMPRODUCT(1*(input_MRB_EV=input_data!$C$55:$C$57),input_data!$F$55:$F$57)</f>
        <v>300.5</v>
      </c>
      <c r="L117" s="543" cm="1">
        <f t="array" ref="L117">L$2*L27*SUMPRODUCT(1*(input_MRB_EV=input_data!$C$55:$C$57),input_data!$F$55:$F$57)</f>
        <v>300.5</v>
      </c>
      <c r="M117" s="543" cm="1">
        <f t="array" ref="M117">M$2*M27*SUMPRODUCT(1*(input_MRB_EV=input_data!$C$55:$C$57),input_data!$F$55:$F$57)</f>
        <v>300.5</v>
      </c>
      <c r="N117" s="543" cm="1">
        <f t="array" ref="N117">N$2*N27*SUMPRODUCT(1*(input_MRB_EV=input_data!$C$55:$C$57),input_data!$F$55:$F$57)</f>
        <v>300.5</v>
      </c>
      <c r="O117" s="543" cm="1">
        <f t="array" ref="O117">O$2*O27*SUMPRODUCT(1*(input_MRB_EV=input_data!$C$55:$C$57),input_data!$F$55:$F$57)</f>
        <v>300.5</v>
      </c>
      <c r="P117" s="543" cm="1">
        <f t="array" ref="P117">P$2*P27*SUMPRODUCT(1*(input_MRB_EV=input_data!$C$55:$C$57),input_data!$F$55:$F$57)</f>
        <v>300.5</v>
      </c>
      <c r="Q117" s="543" cm="1">
        <f t="array" ref="Q117">Q$2*Q27*SUMPRODUCT(1*(input_MRB_EV=input_data!$C$55:$C$57),input_data!$F$55:$F$57)</f>
        <v>300.5</v>
      </c>
      <c r="R117" s="543" cm="1">
        <f t="array" ref="R117">R$2*R27*SUMPRODUCT(1*(input_MRB_EV=input_data!$C$55:$C$57),input_data!$F$55:$F$57)</f>
        <v>300.5</v>
      </c>
      <c r="S117" s="543" cm="1">
        <f t="array" ref="S117">S$2*S27*SUMPRODUCT(1*(input_MRB_EV=input_data!$C$55:$C$57),input_data!$F$55:$F$57)</f>
        <v>300.5</v>
      </c>
      <c r="T117" s="543" cm="1">
        <f t="array" ref="T117">T$2*T27*SUMPRODUCT(1*(input_MRB_EV=input_data!$C$55:$C$57),input_data!$F$55:$F$57)</f>
        <v>450.75</v>
      </c>
      <c r="U117" s="543" cm="1">
        <f t="array" ref="U117">U$2*U27*SUMPRODUCT(1*(input_MRB_EV=input_data!$C$55:$C$57),input_data!$F$55:$F$57)</f>
        <v>603.85430262501507</v>
      </c>
      <c r="V117" s="543" cm="1">
        <f t="array" ref="V117">V$2*V27*SUMPRODUCT(1*(input_MRB_EV=input_data!$C$55:$C$57),input_data!$F$55:$F$57)</f>
        <v>606.72216106280075</v>
      </c>
      <c r="W117" s="543" cm="1">
        <f t="array" ref="W117">W$2*W27*SUMPRODUCT(1*(input_MRB_EV=input_data!$C$55:$C$57),input_data!$F$55:$F$57)</f>
        <v>609.60363969337709</v>
      </c>
      <c r="X117" s="543" cm="1">
        <f t="array" ref="X117">X$2*X27*SUMPRODUCT(1*(input_MRB_EV=input_data!$C$55:$C$57),input_data!$F$55:$F$57)</f>
        <v>612.49880320252112</v>
      </c>
      <c r="Y117" s="543" cm="1">
        <f t="array" ref="Y117">Y$2*Y27*SUMPRODUCT(1*(input_MRB_EV=input_data!$C$55:$C$57),input_data!$F$55:$F$57)</f>
        <v>615.40771658321921</v>
      </c>
      <c r="Z117" s="543" cm="1">
        <f t="array" ref="Z117">Z$2*Z27*SUMPRODUCT(1*(input_MRB_EV=input_data!$C$55:$C$57),input_data!$F$55:$F$57)</f>
        <v>618.33044513712605</v>
      </c>
      <c r="AA117" s="543" cm="1">
        <f t="array" ref="AA117">AA$2*AA27*SUMPRODUCT(1*(input_MRB_EV=input_data!$C$55:$C$57),input_data!$F$55:$F$57)</f>
        <v>621.26705447603058</v>
      </c>
      <c r="AB117" s="543" cm="1">
        <f t="array" ref="AB117">AB$2*AB27*SUMPRODUCT(1*(input_MRB_EV=input_data!$C$55:$C$57),input_data!$F$55:$F$57)</f>
        <v>624.21761052332897</v>
      </c>
      <c r="AC117" s="543" cm="1">
        <f t="array" ref="AC117">AC$2*AC27*SUMPRODUCT(1*(input_MRB_EV=input_data!$C$55:$C$57),input_data!$F$55:$F$57)</f>
        <v>627.18217951550423</v>
      </c>
      <c r="AD117" s="543" cm="1">
        <f t="array" ref="AD117">AD$2*AD27*SUMPRODUCT(1*(input_MRB_EV=input_data!$C$55:$C$57),input_data!$F$55:$F$57)</f>
        <v>630.16082800361369</v>
      </c>
      <c r="AE117" s="543" cm="1">
        <f t="array" ref="AE117">AE$2*AE27*SUMPRODUCT(1*(input_MRB_EV=input_data!$C$55:$C$57),input_data!$F$55:$F$57)</f>
        <v>633.15362285478238</v>
      </c>
      <c r="AF117" s="543" cm="1">
        <f t="array" ref="AF117">AF$2*AF27*SUMPRODUCT(1*(input_MRB_EV=input_data!$C$55:$C$57),input_data!$F$55:$F$57)</f>
        <v>636.16063125370454</v>
      </c>
      <c r="AG117" s="543" cm="1">
        <f t="array" ref="AG117">AG$2*AG27*SUMPRODUCT(1*(input_MRB_EV=input_data!$C$55:$C$57),input_data!$F$55:$F$57)</f>
        <v>639.18192070415159</v>
      </c>
      <c r="AH117" s="543" cm="1">
        <f t="array" ref="AH117">AH$2*AH27*SUMPRODUCT(1*(input_MRB_EV=input_data!$C$55:$C$57),input_data!$F$55:$F$57)</f>
        <v>642.21755903048768</v>
      </c>
      <c r="AI117" s="543" cm="1">
        <f t="array" ref="AI117">AI$2*AI27*SUMPRODUCT(1*(input_MRB_EV=input_data!$C$55:$C$57),input_data!$F$55:$F$57)</f>
        <v>645.26761437919231</v>
      </c>
      <c r="AJ117" s="543" cm="1">
        <f t="array" ref="AJ117">AJ$2*AJ27*SUMPRODUCT(1*(input_MRB_EV=input_data!$C$55:$C$57),input_data!$F$55:$F$57)</f>
        <v>648.33215522038984</v>
      </c>
      <c r="AK117" s="543" cm="1">
        <f t="array" ref="AK117">AK$2*AK27*SUMPRODUCT(1*(input_MRB_EV=input_data!$C$55:$C$57),input_data!$F$55:$F$57)</f>
        <v>651.41125034938693</v>
      </c>
      <c r="AL117" s="543" cm="1">
        <f t="array" ref="AL117">AL$2*AL27*SUMPRODUCT(1*(input_MRB_EV=input_data!$C$55:$C$57),input_data!$F$55:$F$57)</f>
        <v>654.50496888821658</v>
      </c>
      <c r="AM117" s="543" cm="1">
        <f t="array" ref="AM117">AM$2*AM27*SUMPRODUCT(1*(input_MRB_EV=input_data!$C$55:$C$57),input_data!$F$55:$F$57)</f>
        <v>657.61338028719001</v>
      </c>
      <c r="AN117" s="543" cm="1">
        <f t="array" ref="AN117">AN$2*AN27*SUMPRODUCT(1*(input_MRB_EV=input_data!$C$55:$C$57),input_data!$F$55:$F$57)</f>
        <v>660.7365543264558</v>
      </c>
      <c r="AO117" s="543" cm="1">
        <f t="array" ref="AO117">AO$2*AO27*SUMPRODUCT(1*(input_MRB_EV=input_data!$C$55:$C$57),input_data!$F$55:$F$57)</f>
        <v>663.87456111756626</v>
      </c>
      <c r="AP117" s="543" cm="1">
        <f t="array" ref="AP117">AP$2*AP27*SUMPRODUCT(1*(input_MRB_EV=input_data!$C$55:$C$57),input_data!$F$55:$F$57)</f>
        <v>667.0274711050514</v>
      </c>
      <c r="AQ117" s="543" cm="1">
        <f t="array" ref="AQ117">AQ$2*AQ27*SUMPRODUCT(1*(input_MRB_EV=input_data!$C$55:$C$57),input_data!$F$55:$F$57)</f>
        <v>670.19535506800037</v>
      </c>
      <c r="AR117" s="543" cm="1">
        <f t="array" ref="AR117">AR$2*AR27*SUMPRODUCT(1*(input_MRB_EV=input_data!$C$55:$C$57),input_data!$F$55:$F$57)</f>
        <v>673.37828412165004</v>
      </c>
      <c r="AS117" s="543" cm="1">
        <f t="array" ref="AS117">AS$2*AS27*SUMPRODUCT(1*(input_MRB_EV=input_data!$C$55:$C$57),input_data!$F$55:$F$57)</f>
        <v>676.57632971898204</v>
      </c>
      <c r="AT117" s="543" cm="1">
        <f t="array" ref="AT117">AT$2*AT27*SUMPRODUCT(1*(input_MRB_EV=input_data!$C$55:$C$57),input_data!$F$55:$F$57)</f>
        <v>679.78956365232636</v>
      </c>
      <c r="AU117" s="543" cm="1">
        <f t="array" ref="AU117">AU$2*AU27*SUMPRODUCT(1*(input_MRB_EV=input_data!$C$55:$C$57),input_data!$F$55:$F$57)</f>
        <v>683.01805805497304</v>
      </c>
      <c r="AV117" s="543" cm="1">
        <f t="array" ref="AV117">AV$2*AV27*SUMPRODUCT(1*(input_MRB_EV=input_data!$C$55:$C$57),input_data!$F$55:$F$57)</f>
        <v>686.26188540279168</v>
      </c>
      <c r="AW117" s="543" cm="1">
        <f t="array" ref="AW117">AW$2*AW27*SUMPRODUCT(1*(input_MRB_EV=input_data!$C$55:$C$57),input_data!$F$55:$F$57)</f>
        <v>689.52111851585812</v>
      </c>
      <c r="AX117" s="543" cm="1">
        <f t="array" ref="AX117">AX$2*AX27*SUMPRODUCT(1*(input_MRB_EV=input_data!$C$55:$C$57),input_data!$F$55:$F$57)</f>
        <v>692.7958305600896</v>
      </c>
      <c r="AY117" s="543" cm="1">
        <f t="array" ref="AY117">AY$2*AY27*SUMPRODUCT(1*(input_MRB_EV=input_data!$C$55:$C$57),input_data!$F$55:$F$57)</f>
        <v>696.08609504888682</v>
      </c>
      <c r="AZ117" s="543" cm="1">
        <f t="array" ref="AZ117">AZ$2*AZ27*SUMPRODUCT(1*(input_MRB_EV=input_data!$C$55:$C$57),input_data!$F$55:$F$57)</f>
        <v>699.39198584478447</v>
      </c>
      <c r="BA117" s="543" cm="1">
        <f t="array" ref="BA117">BA$2*BA27*SUMPRODUCT(1*(input_MRB_EV=input_data!$C$55:$C$57),input_data!$F$55:$F$57)</f>
        <v>702.71357716110936</v>
      </c>
      <c r="BB117" s="543" cm="1">
        <f t="array" ref="BB117">BB$2*BB27*SUMPRODUCT(1*(input_MRB_EV=input_data!$C$55:$C$57),input_data!$F$55:$F$57)</f>
        <v>706.05094356364623</v>
      </c>
      <c r="BC117" s="543" cm="1">
        <f t="array" ref="BC117">BC$2*BC27*SUMPRODUCT(1*(input_MRB_EV=input_data!$C$55:$C$57),input_data!$F$55:$F$57)</f>
        <v>709.40415997231185</v>
      </c>
    </row>
    <row r="118" spans="8:55" x14ac:dyDescent="0.3">
      <c r="H118" s="542" t="str">
        <f>input_names!$E$3</f>
        <v>plug-in</v>
      </c>
      <c r="I118" s="542" t="s">
        <v>1499</v>
      </c>
      <c r="J118" s="543" cm="1">
        <f t="array" ref="J118">J$2*J28*SUMPRODUCT(1*(input_MRB_EV=input_data!$C$55:$C$57),input_data!$F$55:$F$57)</f>
        <v>314.5</v>
      </c>
      <c r="K118" s="543" cm="1">
        <f t="array" ref="K118">K$2*K28*SUMPRODUCT(1*(input_MRB_EV=input_data!$C$55:$C$57),input_data!$F$55:$F$57)</f>
        <v>314.5</v>
      </c>
      <c r="L118" s="543" cm="1">
        <f t="array" ref="L118">L$2*L28*SUMPRODUCT(1*(input_MRB_EV=input_data!$C$55:$C$57),input_data!$F$55:$F$57)</f>
        <v>314.5</v>
      </c>
      <c r="M118" s="543" cm="1">
        <f t="array" ref="M118">M$2*M28*SUMPRODUCT(1*(input_MRB_EV=input_data!$C$55:$C$57),input_data!$F$55:$F$57)</f>
        <v>314.5</v>
      </c>
      <c r="N118" s="543" cm="1">
        <f t="array" ref="N118">N$2*N28*SUMPRODUCT(1*(input_MRB_EV=input_data!$C$55:$C$57),input_data!$F$55:$F$57)</f>
        <v>314.5</v>
      </c>
      <c r="O118" s="543" cm="1">
        <f t="array" ref="O118">O$2*O28*SUMPRODUCT(1*(input_MRB_EV=input_data!$C$55:$C$57),input_data!$F$55:$F$57)</f>
        <v>314.5</v>
      </c>
      <c r="P118" s="543" cm="1">
        <f t="array" ref="P118">P$2*P28*SUMPRODUCT(1*(input_MRB_EV=input_data!$C$55:$C$57),input_data!$F$55:$F$57)</f>
        <v>314.5</v>
      </c>
      <c r="Q118" s="543" cm="1">
        <f t="array" ref="Q118">Q$2*Q28*SUMPRODUCT(1*(input_MRB_EV=input_data!$C$55:$C$57),input_data!$F$55:$F$57)</f>
        <v>314.5</v>
      </c>
      <c r="R118" s="543" cm="1">
        <f t="array" ref="R118">R$2*R28*SUMPRODUCT(1*(input_MRB_EV=input_data!$C$55:$C$57),input_data!$F$55:$F$57)</f>
        <v>314.5</v>
      </c>
      <c r="S118" s="543" cm="1">
        <f t="array" ref="S118">S$2*S28*SUMPRODUCT(1*(input_MRB_EV=input_data!$C$55:$C$57),input_data!$F$55:$F$57)</f>
        <v>314.5</v>
      </c>
      <c r="T118" s="543" cm="1">
        <f t="array" ref="T118">T$2*T28*SUMPRODUCT(1*(input_MRB_EV=input_data!$C$55:$C$57),input_data!$F$55:$F$57)</f>
        <v>471.75</v>
      </c>
      <c r="U118" s="543" cm="1">
        <f t="array" ref="U118">U$2*U28*SUMPRODUCT(1*(input_MRB_EV=input_data!$C$55:$C$57),input_data!$F$55:$F$57)</f>
        <v>631.98728178225372</v>
      </c>
      <c r="V118" s="543" cm="1">
        <f t="array" ref="V118">V$2*V28*SUMPRODUCT(1*(input_MRB_EV=input_data!$C$55:$C$57),input_data!$F$55:$F$57)</f>
        <v>634.98875092928733</v>
      </c>
      <c r="W118" s="543" cm="1">
        <f t="array" ref="W118">W$2*W28*SUMPRODUCT(1*(input_MRB_EV=input_data!$C$55:$C$57),input_data!$F$55:$F$57)</f>
        <v>638.00447482052277</v>
      </c>
      <c r="X118" s="543" cm="1">
        <f t="array" ref="X118">X$2*X28*SUMPRODUCT(1*(input_MRB_EV=input_data!$C$55:$C$57),input_data!$F$55:$F$57)</f>
        <v>641.03452115538391</v>
      </c>
      <c r="Y118" s="543" cm="1">
        <f t="array" ref="Y118">Y$2*Y28*SUMPRODUCT(1*(input_MRB_EV=input_data!$C$55:$C$57),input_data!$F$55:$F$57)</f>
        <v>644.0789579548167</v>
      </c>
      <c r="Z118" s="543" cm="1">
        <f t="array" ref="Z118">Z$2*Z28*SUMPRODUCT(1*(input_MRB_EV=input_data!$C$55:$C$57),input_data!$F$55:$F$57)</f>
        <v>647.13785356281574</v>
      </c>
      <c r="AA118" s="543" cm="1">
        <f t="array" ref="AA118">AA$2*AA28*SUMPRODUCT(1*(input_MRB_EV=input_data!$C$55:$C$57),input_data!$F$55:$F$57)</f>
        <v>650.2112766479587</v>
      </c>
      <c r="AB118" s="543" cm="1">
        <f t="array" ref="AB118">AB$2*AB28*SUMPRODUCT(1*(input_MRB_EV=input_data!$C$55:$C$57),input_data!$F$55:$F$57)</f>
        <v>653.29929620494818</v>
      </c>
      <c r="AC118" s="543" cm="1">
        <f t="array" ref="AC118">AC$2*AC28*SUMPRODUCT(1*(input_MRB_EV=input_data!$C$55:$C$57),input_data!$F$55:$F$57)</f>
        <v>656.40198155615997</v>
      </c>
      <c r="AD118" s="543" cm="1">
        <f t="array" ref="AD118">AD$2*AD28*SUMPRODUCT(1*(input_MRB_EV=input_data!$C$55:$C$57),input_data!$F$55:$F$57)</f>
        <v>659.51940235319967</v>
      </c>
      <c r="AE118" s="543" cm="1">
        <f t="array" ref="AE118">AE$2*AE28*SUMPRODUCT(1*(input_MRB_EV=input_data!$C$55:$C$57),input_data!$F$55:$F$57)</f>
        <v>662.65162857846599</v>
      </c>
      <c r="AF118" s="543" cm="1">
        <f t="array" ref="AF118">AF$2*AF28*SUMPRODUCT(1*(input_MRB_EV=input_data!$C$55:$C$57),input_data!$F$55:$F$57)</f>
        <v>665.79873054672225</v>
      </c>
      <c r="AG118" s="543" cm="1">
        <f t="array" ref="AG118">AG$2*AG28*SUMPRODUCT(1*(input_MRB_EV=input_data!$C$55:$C$57),input_data!$F$55:$F$57)</f>
        <v>668.96077890667436</v>
      </c>
      <c r="AH118" s="543" cm="1">
        <f t="array" ref="AH118">AH$2*AH28*SUMPRODUCT(1*(input_MRB_EV=input_data!$C$55:$C$57),input_data!$F$55:$F$57)</f>
        <v>672.13784464255696</v>
      </c>
      <c r="AI118" s="543" cm="1">
        <f t="array" ref="AI118">AI$2*AI28*SUMPRODUCT(1*(input_MRB_EV=input_data!$C$55:$C$57),input_data!$F$55:$F$57)</f>
        <v>675.32999907572707</v>
      </c>
      <c r="AJ118" s="543" cm="1">
        <f t="array" ref="AJ118">AJ$2*AJ28*SUMPRODUCT(1*(input_MRB_EV=input_data!$C$55:$C$57),input_data!$F$55:$F$57)</f>
        <v>678.53731386626498</v>
      </c>
      <c r="AK118" s="543" cm="1">
        <f t="array" ref="AK118">AK$2*AK28*SUMPRODUCT(1*(input_MRB_EV=input_data!$C$55:$C$57),input_data!$F$55:$F$57)</f>
        <v>681.75986101458307</v>
      </c>
      <c r="AL118" s="543" cm="1">
        <f t="array" ref="AL118">AL$2*AL28*SUMPRODUCT(1*(input_MRB_EV=input_data!$C$55:$C$57),input_data!$F$55:$F$57)</f>
        <v>684.99771286304201</v>
      </c>
      <c r="AM118" s="543" cm="1">
        <f t="array" ref="AM118">AM$2*AM28*SUMPRODUCT(1*(input_MRB_EV=input_data!$C$55:$C$57),input_data!$F$55:$F$57)</f>
        <v>688.25094209757492</v>
      </c>
      <c r="AN118" s="543" cm="1">
        <f t="array" ref="AN118">AN$2*AN28*SUMPRODUCT(1*(input_MRB_EV=input_data!$C$55:$C$57),input_data!$F$55:$F$57)</f>
        <v>691.51962174931896</v>
      </c>
      <c r="AO118" s="543" cm="1">
        <f t="array" ref="AO118">AO$2*AO28*SUMPRODUCT(1*(input_MRB_EV=input_data!$C$55:$C$57),input_data!$F$55:$F$57)</f>
        <v>694.80382519625493</v>
      </c>
      <c r="AP118" s="543" cm="1">
        <f t="array" ref="AP118">AP$2*AP28*SUMPRODUCT(1*(input_MRB_EV=input_data!$C$55:$C$57),input_data!$F$55:$F$57)</f>
        <v>698.10362616485418</v>
      </c>
      <c r="AQ118" s="543" cm="1">
        <f t="array" ref="AQ118">AQ$2*AQ28*SUMPRODUCT(1*(input_MRB_EV=input_data!$C$55:$C$57),input_data!$F$55:$F$57)</f>
        <v>701.41909873173415</v>
      </c>
      <c r="AR118" s="543" cm="1">
        <f t="array" ref="AR118">AR$2*AR28*SUMPRODUCT(1*(input_MRB_EV=input_data!$C$55:$C$57),input_data!$F$55:$F$57)</f>
        <v>704.75031732532102</v>
      </c>
      <c r="AS118" s="543" cm="1">
        <f t="array" ref="AS118">AS$2*AS28*SUMPRODUCT(1*(input_MRB_EV=input_data!$C$55:$C$57),input_data!$F$55:$F$57)</f>
        <v>708.09735672752049</v>
      </c>
      <c r="AT118" s="543" cm="1">
        <f t="array" ref="AT118">AT$2*AT28*SUMPRODUCT(1*(input_MRB_EV=input_data!$C$55:$C$57),input_data!$F$55:$F$57)</f>
        <v>711.46029207539664</v>
      </c>
      <c r="AU118" s="543" cm="1">
        <f t="array" ref="AU118">AU$2*AU28*SUMPRODUCT(1*(input_MRB_EV=input_data!$C$55:$C$57),input_data!$F$55:$F$57)</f>
        <v>714.83919886285878</v>
      </c>
      <c r="AV118" s="543" cm="1">
        <f t="array" ref="AV118">AV$2*AV28*SUMPRODUCT(1*(input_MRB_EV=input_data!$C$55:$C$57),input_data!$F$55:$F$57)</f>
        <v>718.2341529423561</v>
      </c>
      <c r="AW118" s="543" cm="1">
        <f t="array" ref="AW118">AW$2*AW28*SUMPRODUCT(1*(input_MRB_EV=input_data!$C$55:$C$57),input_data!$F$55:$F$57)</f>
        <v>721.64523052658046</v>
      </c>
      <c r="AX118" s="543" cm="1">
        <f t="array" ref="AX118">AX$2*AX28*SUMPRODUCT(1*(input_MRB_EV=input_data!$C$55:$C$57),input_data!$F$55:$F$57)</f>
        <v>725.07250819017713</v>
      </c>
      <c r="AY118" s="543" cm="1">
        <f t="array" ref="AY118">AY$2*AY28*SUMPRODUCT(1*(input_MRB_EV=input_data!$C$55:$C$57),input_data!$F$55:$F$57)</f>
        <v>728.5160628714641</v>
      </c>
      <c r="AZ118" s="543" cm="1">
        <f t="array" ref="AZ118">AZ$2*AZ28*SUMPRODUCT(1*(input_MRB_EV=input_data!$C$55:$C$57),input_data!$F$55:$F$57)</f>
        <v>731.97597187415897</v>
      </c>
      <c r="BA118" s="543" cm="1">
        <f t="array" ref="BA118">BA$2*BA28*SUMPRODUCT(1*(input_MRB_EV=input_data!$C$55:$C$57),input_data!$F$55:$F$57)</f>
        <v>735.45231286911462</v>
      </c>
      <c r="BB118" s="543" cm="1">
        <f t="array" ref="BB118">BB$2*BB28*SUMPRODUCT(1*(input_MRB_EV=input_data!$C$55:$C$57),input_data!$F$55:$F$57)</f>
        <v>738.94516389606258</v>
      </c>
      <c r="BC118" s="543" cm="1">
        <f t="array" ref="BC118">BC$2*BC28*SUMPRODUCT(1*(input_MRB_EV=input_data!$C$55:$C$57),input_data!$F$55:$F$57)</f>
        <v>742.45460336536496</v>
      </c>
    </row>
    <row r="119" spans="8:55" x14ac:dyDescent="0.3">
      <c r="H119" s="542" t="str">
        <f>input_names!$E$3</f>
        <v>plug-in</v>
      </c>
      <c r="I119" s="542" t="s">
        <v>1500</v>
      </c>
      <c r="J119" s="543" cm="1">
        <f t="array" ref="J119">J$2*J29*SUMPRODUCT(1*(input_MRB_EV=input_data!$C$55:$C$57),input_data!$F$55:$F$57)</f>
        <v>328.5</v>
      </c>
      <c r="K119" s="543" cm="1">
        <f t="array" ref="K119">K$2*K29*SUMPRODUCT(1*(input_MRB_EV=input_data!$C$55:$C$57),input_data!$F$55:$F$57)</f>
        <v>328.5</v>
      </c>
      <c r="L119" s="543" cm="1">
        <f t="array" ref="L119">L$2*L29*SUMPRODUCT(1*(input_MRB_EV=input_data!$C$55:$C$57),input_data!$F$55:$F$57)</f>
        <v>328.5</v>
      </c>
      <c r="M119" s="543" cm="1">
        <f t="array" ref="M119">M$2*M29*SUMPRODUCT(1*(input_MRB_EV=input_data!$C$55:$C$57),input_data!$F$55:$F$57)</f>
        <v>328.5</v>
      </c>
      <c r="N119" s="543" cm="1">
        <f t="array" ref="N119">N$2*N29*SUMPRODUCT(1*(input_MRB_EV=input_data!$C$55:$C$57),input_data!$F$55:$F$57)</f>
        <v>328.5</v>
      </c>
      <c r="O119" s="543" cm="1">
        <f t="array" ref="O119">O$2*O29*SUMPRODUCT(1*(input_MRB_EV=input_data!$C$55:$C$57),input_data!$F$55:$F$57)</f>
        <v>328.5</v>
      </c>
      <c r="P119" s="543" cm="1">
        <f t="array" ref="P119">P$2*P29*SUMPRODUCT(1*(input_MRB_EV=input_data!$C$55:$C$57),input_data!$F$55:$F$57)</f>
        <v>328.5</v>
      </c>
      <c r="Q119" s="543" cm="1">
        <f t="array" ref="Q119">Q$2*Q29*SUMPRODUCT(1*(input_MRB_EV=input_data!$C$55:$C$57),input_data!$F$55:$F$57)</f>
        <v>328.5</v>
      </c>
      <c r="R119" s="543" cm="1">
        <f t="array" ref="R119">R$2*R29*SUMPRODUCT(1*(input_MRB_EV=input_data!$C$55:$C$57),input_data!$F$55:$F$57)</f>
        <v>328.5</v>
      </c>
      <c r="S119" s="543" cm="1">
        <f t="array" ref="S119">S$2*S29*SUMPRODUCT(1*(input_MRB_EV=input_data!$C$55:$C$57),input_data!$F$55:$F$57)</f>
        <v>328.5</v>
      </c>
      <c r="T119" s="543" cm="1">
        <f t="array" ref="T119">T$2*T29*SUMPRODUCT(1*(input_MRB_EV=input_data!$C$55:$C$57),input_data!$F$55:$F$57)</f>
        <v>492.75</v>
      </c>
      <c r="U119" s="543" cm="1">
        <f t="array" ref="U119">U$2*U29*SUMPRODUCT(1*(input_MRB_EV=input_data!$C$55:$C$57),input_data!$F$55:$F$57)</f>
        <v>660.12026093949237</v>
      </c>
      <c r="V119" s="543" cm="1">
        <f t="array" ref="V119">V$2*V29*SUMPRODUCT(1*(input_MRB_EV=input_data!$C$55:$C$57),input_data!$F$55:$F$57)</f>
        <v>663.25534079577392</v>
      </c>
      <c r="W119" s="543" cm="1">
        <f t="array" ref="W119">W$2*W29*SUMPRODUCT(1*(input_MRB_EV=input_data!$C$55:$C$57),input_data!$F$55:$F$57)</f>
        <v>666.40530994766846</v>
      </c>
      <c r="X119" s="543" cm="1">
        <f t="array" ref="X119">X$2*X29*SUMPRODUCT(1*(input_MRB_EV=input_data!$C$55:$C$57),input_data!$F$55:$F$57)</f>
        <v>669.57023910824682</v>
      </c>
      <c r="Y119" s="543" cm="1">
        <f t="array" ref="Y119">Y$2*Y29*SUMPRODUCT(1*(input_MRB_EV=input_data!$C$55:$C$57),input_data!$F$55:$F$57)</f>
        <v>672.7501993264143</v>
      </c>
      <c r="Z119" s="543" cm="1">
        <f t="array" ref="Z119">Z$2*Z29*SUMPRODUCT(1*(input_MRB_EV=input_data!$C$55:$C$57),input_data!$F$55:$F$57)</f>
        <v>675.94526198850542</v>
      </c>
      <c r="AA119" s="543" cm="1">
        <f t="array" ref="AA119">AA$2*AA29*SUMPRODUCT(1*(input_MRB_EV=input_data!$C$55:$C$57),input_data!$F$55:$F$57)</f>
        <v>679.15549881988693</v>
      </c>
      <c r="AB119" s="543" cm="1">
        <f t="array" ref="AB119">AB$2*AB29*SUMPRODUCT(1*(input_MRB_EV=input_data!$C$55:$C$57),input_data!$F$55:$F$57)</f>
        <v>682.3809818865675</v>
      </c>
      <c r="AC119" s="543" cm="1">
        <f t="array" ref="AC119">AC$2*AC29*SUMPRODUCT(1*(input_MRB_EV=input_data!$C$55:$C$57),input_data!$F$55:$F$57)</f>
        <v>685.6217835968157</v>
      </c>
      <c r="AD119" s="543" cm="1">
        <f t="array" ref="AD119">AD$2*AD29*SUMPRODUCT(1*(input_MRB_EV=input_data!$C$55:$C$57),input_data!$F$55:$F$57)</f>
        <v>688.87797670278553</v>
      </c>
      <c r="AE119" s="543" cm="1">
        <f t="array" ref="AE119">AE$2*AE29*SUMPRODUCT(1*(input_MRB_EV=input_data!$C$55:$C$57),input_data!$F$55:$F$57)</f>
        <v>692.14963430214959</v>
      </c>
      <c r="AF119" s="543" cm="1">
        <f t="array" ref="AF119">AF$2*AF29*SUMPRODUCT(1*(input_MRB_EV=input_data!$C$55:$C$57),input_data!$F$55:$F$57)</f>
        <v>695.43682983973997</v>
      </c>
      <c r="AG119" s="543" cm="1">
        <f t="array" ref="AG119">AG$2*AG29*SUMPRODUCT(1*(input_MRB_EV=input_data!$C$55:$C$57),input_data!$F$55:$F$57)</f>
        <v>698.73963710919702</v>
      </c>
      <c r="AH119" s="543" cm="1">
        <f t="array" ref="AH119">AH$2*AH29*SUMPRODUCT(1*(input_MRB_EV=input_data!$C$55:$C$57),input_data!$F$55:$F$57)</f>
        <v>702.05813025462601</v>
      </c>
      <c r="AI119" s="543" cm="1">
        <f t="array" ref="AI119">AI$2*AI29*SUMPRODUCT(1*(input_MRB_EV=input_data!$C$55:$C$57),input_data!$F$55:$F$57)</f>
        <v>705.3923837722615</v>
      </c>
      <c r="AJ119" s="543" cm="1">
        <f t="array" ref="AJ119">AJ$2*AJ29*SUMPRODUCT(1*(input_MRB_EV=input_data!$C$55:$C$57),input_data!$F$55:$F$57)</f>
        <v>708.74247251213967</v>
      </c>
      <c r="AK119" s="543" cm="1">
        <f t="array" ref="AK119">AK$2*AK29*SUMPRODUCT(1*(input_MRB_EV=input_data!$C$55:$C$57),input_data!$F$55:$F$57)</f>
        <v>712.10847167977875</v>
      </c>
      <c r="AL119" s="543" cm="1">
        <f t="array" ref="AL119">AL$2*AL29*SUMPRODUCT(1*(input_MRB_EV=input_data!$C$55:$C$57),input_data!$F$55:$F$57)</f>
        <v>715.49045683786699</v>
      </c>
      <c r="AM119" s="543" cm="1">
        <f t="array" ref="AM119">AM$2*AM29*SUMPRODUCT(1*(input_MRB_EV=input_data!$C$55:$C$57),input_data!$F$55:$F$57)</f>
        <v>718.88850390795938</v>
      </c>
      <c r="AN119" s="543" cm="1">
        <f t="array" ref="AN119">AN$2*AN29*SUMPRODUCT(1*(input_MRB_EV=input_data!$C$55:$C$57),input_data!$F$55:$F$57)</f>
        <v>722.30268917218177</v>
      </c>
      <c r="AO119" s="543" cm="1">
        <f t="array" ref="AO119">AO$2*AO29*SUMPRODUCT(1*(input_MRB_EV=input_data!$C$55:$C$57),input_data!$F$55:$F$57)</f>
        <v>725.73308927494315</v>
      </c>
      <c r="AP119" s="543" cm="1">
        <f t="array" ref="AP119">AP$2*AP29*SUMPRODUCT(1*(input_MRB_EV=input_data!$C$55:$C$57),input_data!$F$55:$F$57)</f>
        <v>729.17978122465649</v>
      </c>
      <c r="AQ119" s="543" cm="1">
        <f t="array" ref="AQ119">AQ$2*AQ29*SUMPRODUCT(1*(input_MRB_EV=input_data!$C$55:$C$57),input_data!$F$55:$F$57)</f>
        <v>732.64284239546748</v>
      </c>
      <c r="AR119" s="543" cm="1">
        <f t="array" ref="AR119">AR$2*AR29*SUMPRODUCT(1*(input_MRB_EV=input_data!$C$55:$C$57),input_data!$F$55:$F$57)</f>
        <v>736.12235052899143</v>
      </c>
      <c r="AS119" s="543" cm="1">
        <f t="array" ref="AS119">AS$2*AS29*SUMPRODUCT(1*(input_MRB_EV=input_data!$C$55:$C$57),input_data!$F$55:$F$57)</f>
        <v>739.61838373605826</v>
      </c>
      <c r="AT119" s="543" cm="1">
        <f t="array" ref="AT119">AT$2*AT29*SUMPRODUCT(1*(input_MRB_EV=input_data!$C$55:$C$57),input_data!$F$55:$F$57)</f>
        <v>743.13102049846623</v>
      </c>
      <c r="AU119" s="543" cm="1">
        <f t="array" ref="AU119">AU$2*AU29*SUMPRODUCT(1*(input_MRB_EV=input_data!$C$55:$C$57),input_data!$F$55:$F$57)</f>
        <v>746.66033967074395</v>
      </c>
      <c r="AV119" s="543" cm="1">
        <f t="array" ref="AV119">AV$2*AV29*SUMPRODUCT(1*(input_MRB_EV=input_data!$C$55:$C$57),input_data!$F$55:$F$57)</f>
        <v>750.20642048192008</v>
      </c>
      <c r="AW119" s="543" cm="1">
        <f t="array" ref="AW119">AW$2*AW29*SUMPRODUCT(1*(input_MRB_EV=input_data!$C$55:$C$57),input_data!$F$55:$F$57)</f>
        <v>753.76934253730224</v>
      </c>
      <c r="AX119" s="543" cm="1">
        <f t="array" ref="AX119">AX$2*AX29*SUMPRODUCT(1*(input_MRB_EV=input_data!$C$55:$C$57),input_data!$F$55:$F$57)</f>
        <v>757.3491858202641</v>
      </c>
      <c r="AY119" s="543" cm="1">
        <f t="array" ref="AY119">AY$2*AY29*SUMPRODUCT(1*(input_MRB_EV=input_data!$C$55:$C$57),input_data!$F$55:$F$57)</f>
        <v>760.94603069404081</v>
      </c>
      <c r="AZ119" s="543" cm="1">
        <f t="array" ref="AZ119">AZ$2*AZ29*SUMPRODUCT(1*(input_MRB_EV=input_data!$C$55:$C$57),input_data!$F$55:$F$57)</f>
        <v>764.55995790353302</v>
      </c>
      <c r="BA119" s="543" cm="1">
        <f t="array" ref="BA119">BA$2*BA29*SUMPRODUCT(1*(input_MRB_EV=input_data!$C$55:$C$57),input_data!$F$55:$F$57)</f>
        <v>768.19104857711943</v>
      </c>
      <c r="BB119" s="543" cm="1">
        <f t="array" ref="BB119">BB$2*BB29*SUMPRODUCT(1*(input_MRB_EV=input_data!$C$55:$C$57),input_data!$F$55:$F$57)</f>
        <v>771.83938422847837</v>
      </c>
      <c r="BC119" s="543" cm="1">
        <f t="array" ref="BC119">BC$2*BC29*SUMPRODUCT(1*(input_MRB_EV=input_data!$C$55:$C$57),input_data!$F$55:$F$57)</f>
        <v>775.50504675841739</v>
      </c>
    </row>
    <row r="120" spans="8:55" x14ac:dyDescent="0.3">
      <c r="H120" s="542" t="str">
        <f>input_names!$E$3</f>
        <v>plug-in</v>
      </c>
      <c r="I120" s="542" t="s">
        <v>1501</v>
      </c>
      <c r="J120" s="543" cm="1">
        <f t="array" ref="J120">J$2*J30*SUMPRODUCT(1*(input_MRB_EV=input_data!$C$55:$C$57),input_data!$F$55:$F$57)</f>
        <v>342.5</v>
      </c>
      <c r="K120" s="543" cm="1">
        <f t="array" ref="K120">K$2*K30*SUMPRODUCT(1*(input_MRB_EV=input_data!$C$55:$C$57),input_data!$F$55:$F$57)</f>
        <v>342.5</v>
      </c>
      <c r="L120" s="543" cm="1">
        <f t="array" ref="L120">L$2*L30*SUMPRODUCT(1*(input_MRB_EV=input_data!$C$55:$C$57),input_data!$F$55:$F$57)</f>
        <v>342.5</v>
      </c>
      <c r="M120" s="543" cm="1">
        <f t="array" ref="M120">M$2*M30*SUMPRODUCT(1*(input_MRB_EV=input_data!$C$55:$C$57),input_data!$F$55:$F$57)</f>
        <v>342.5</v>
      </c>
      <c r="N120" s="543" cm="1">
        <f t="array" ref="N120">N$2*N30*SUMPRODUCT(1*(input_MRB_EV=input_data!$C$55:$C$57),input_data!$F$55:$F$57)</f>
        <v>342.5</v>
      </c>
      <c r="O120" s="543" cm="1">
        <f t="array" ref="O120">O$2*O30*SUMPRODUCT(1*(input_MRB_EV=input_data!$C$55:$C$57),input_data!$F$55:$F$57)</f>
        <v>342.5</v>
      </c>
      <c r="P120" s="543" cm="1">
        <f t="array" ref="P120">P$2*P30*SUMPRODUCT(1*(input_MRB_EV=input_data!$C$55:$C$57),input_data!$F$55:$F$57)</f>
        <v>342.5</v>
      </c>
      <c r="Q120" s="543" cm="1">
        <f t="array" ref="Q120">Q$2*Q30*SUMPRODUCT(1*(input_MRB_EV=input_data!$C$55:$C$57),input_data!$F$55:$F$57)</f>
        <v>342.5</v>
      </c>
      <c r="R120" s="543" cm="1">
        <f t="array" ref="R120">R$2*R30*SUMPRODUCT(1*(input_MRB_EV=input_data!$C$55:$C$57),input_data!$F$55:$F$57)</f>
        <v>342.5</v>
      </c>
      <c r="S120" s="543" cm="1">
        <f t="array" ref="S120">S$2*S30*SUMPRODUCT(1*(input_MRB_EV=input_data!$C$55:$C$57),input_data!$F$55:$F$57)</f>
        <v>342.5</v>
      </c>
      <c r="T120" s="543" cm="1">
        <f t="array" ref="T120">T$2*T30*SUMPRODUCT(1*(input_MRB_EV=input_data!$C$55:$C$57),input_data!$F$55:$F$57)</f>
        <v>513.75</v>
      </c>
      <c r="U120" s="543" cm="1">
        <f t="array" ref="U120">U$2*U30*SUMPRODUCT(1*(input_MRB_EV=input_data!$C$55:$C$57),input_data!$F$55:$F$57)</f>
        <v>688.25324009673091</v>
      </c>
      <c r="V120" s="543" cm="1">
        <f t="array" ref="V120">V$2*V30*SUMPRODUCT(1*(input_MRB_EV=input_data!$C$55:$C$57),input_data!$F$55:$F$57)</f>
        <v>691.52193066226039</v>
      </c>
      <c r="W120" s="543" cm="1">
        <f t="array" ref="W120">W$2*W30*SUMPRODUCT(1*(input_MRB_EV=input_data!$C$55:$C$57),input_data!$F$55:$F$57)</f>
        <v>694.80614507481403</v>
      </c>
      <c r="X120" s="543" cm="1">
        <f t="array" ref="X120">X$2*X30*SUMPRODUCT(1*(input_MRB_EV=input_data!$C$55:$C$57),input_data!$F$55:$F$57)</f>
        <v>698.10595706110962</v>
      </c>
      <c r="Y120" s="543" cm="1">
        <f t="array" ref="Y120">Y$2*Y30*SUMPRODUCT(1*(input_MRB_EV=input_data!$C$55:$C$57),input_data!$F$55:$F$57)</f>
        <v>701.42144069801168</v>
      </c>
      <c r="Z120" s="543" cm="1">
        <f t="array" ref="Z120">Z$2*Z30*SUMPRODUCT(1*(input_MRB_EV=input_data!$C$55:$C$57),input_data!$F$55:$F$57)</f>
        <v>704.75267041419499</v>
      </c>
      <c r="AA120" s="543" cm="1">
        <f t="array" ref="AA120">AA$2*AA30*SUMPRODUCT(1*(input_MRB_EV=input_data!$C$55:$C$57),input_data!$F$55:$F$57)</f>
        <v>708.09972099181493</v>
      </c>
      <c r="AB120" s="543" cm="1">
        <f t="array" ref="AB120">AB$2*AB30*SUMPRODUCT(1*(input_MRB_EV=input_data!$C$55:$C$57),input_data!$F$55:$F$57)</f>
        <v>711.46266756818659</v>
      </c>
      <c r="AC120" s="543" cm="1">
        <f t="array" ref="AC120">AC$2*AC30*SUMPRODUCT(1*(input_MRB_EV=input_data!$C$55:$C$57),input_data!$F$55:$F$57)</f>
        <v>714.84158563747121</v>
      </c>
      <c r="AD120" s="543" cm="1">
        <f t="array" ref="AD120">AD$2*AD30*SUMPRODUCT(1*(input_MRB_EV=input_data!$C$55:$C$57),input_data!$F$55:$F$57)</f>
        <v>718.23655105237128</v>
      </c>
      <c r="AE120" s="543" cm="1">
        <f t="array" ref="AE120">AE$2*AE30*SUMPRODUCT(1*(input_MRB_EV=input_data!$C$55:$C$57),input_data!$F$55:$F$57)</f>
        <v>721.64764002583308</v>
      </c>
      <c r="AF120" s="543" cm="1">
        <f t="array" ref="AF120">AF$2*AF30*SUMPRODUCT(1*(input_MRB_EV=input_data!$C$55:$C$57),input_data!$F$55:$F$57)</f>
        <v>725.07492913275757</v>
      </c>
      <c r="AG120" s="543" cm="1">
        <f t="array" ref="AG120">AG$2*AG30*SUMPRODUCT(1*(input_MRB_EV=input_data!$C$55:$C$57),input_data!$F$55:$F$57)</f>
        <v>728.51849531171968</v>
      </c>
      <c r="AH120" s="543" cm="1">
        <f t="array" ref="AH120">AH$2*AH30*SUMPRODUCT(1*(input_MRB_EV=input_data!$C$55:$C$57),input_data!$F$55:$F$57)</f>
        <v>731.97841586669517</v>
      </c>
      <c r="AI120" s="543" cm="1">
        <f t="array" ref="AI120">AI$2*AI30*SUMPRODUCT(1*(input_MRB_EV=input_data!$C$55:$C$57),input_data!$F$55:$F$57)</f>
        <v>735.45476846879615</v>
      </c>
      <c r="AJ120" s="543" cm="1">
        <f t="array" ref="AJ120">AJ$2*AJ30*SUMPRODUCT(1*(input_MRB_EV=input_data!$C$55:$C$57),input_data!$F$55:$F$57)</f>
        <v>738.9476311580147</v>
      </c>
      <c r="AK120" s="543" cm="1">
        <f t="array" ref="AK120">AK$2*AK30*SUMPRODUCT(1*(input_MRB_EV=input_data!$C$55:$C$57),input_data!$F$55:$F$57)</f>
        <v>742.45708234497476</v>
      </c>
      <c r="AL120" s="543" cm="1">
        <f t="array" ref="AL120">AL$2*AL30*SUMPRODUCT(1*(input_MRB_EV=input_data!$C$55:$C$57),input_data!$F$55:$F$57)</f>
        <v>745.98320081269242</v>
      </c>
      <c r="AM120" s="543" cm="1">
        <f t="array" ref="AM120">AM$2*AM30*SUMPRODUCT(1*(input_MRB_EV=input_data!$C$55:$C$57),input_data!$F$55:$F$57)</f>
        <v>749.52606571834428</v>
      </c>
      <c r="AN120" s="543" cm="1">
        <f t="array" ref="AN120">AN$2*AN30*SUMPRODUCT(1*(input_MRB_EV=input_data!$C$55:$C$57),input_data!$F$55:$F$57)</f>
        <v>753.08575659504493</v>
      </c>
      <c r="AO120" s="543" cm="1">
        <f t="array" ref="AO120">AO$2*AO30*SUMPRODUCT(1*(input_MRB_EV=input_data!$C$55:$C$57),input_data!$F$55:$F$57)</f>
        <v>756.66235335363172</v>
      </c>
      <c r="AP120" s="543" cm="1">
        <f t="array" ref="AP120">AP$2*AP30*SUMPRODUCT(1*(input_MRB_EV=input_data!$C$55:$C$57),input_data!$F$55:$F$57)</f>
        <v>760.25593628445927</v>
      </c>
      <c r="AQ120" s="543" cm="1">
        <f t="array" ref="AQ120">AQ$2*AQ30*SUMPRODUCT(1*(input_MRB_EV=input_data!$C$55:$C$57),input_data!$F$55:$F$57)</f>
        <v>763.86658605920138</v>
      </c>
      <c r="AR120" s="543" cm="1">
        <f t="array" ref="AR120">AR$2*AR30*SUMPRODUCT(1*(input_MRB_EV=input_data!$C$55:$C$57),input_data!$F$55:$F$57)</f>
        <v>767.49438373266241</v>
      </c>
      <c r="AS120" s="543" cm="1">
        <f t="array" ref="AS120">AS$2*AS30*SUMPRODUCT(1*(input_MRB_EV=input_data!$C$55:$C$57),input_data!$F$55:$F$57)</f>
        <v>771.1394107445966</v>
      </c>
      <c r="AT120" s="543" cm="1">
        <f t="array" ref="AT120">AT$2*AT30*SUMPRODUCT(1*(input_MRB_EV=input_data!$C$55:$C$57),input_data!$F$55:$F$57)</f>
        <v>774.8017489215365</v>
      </c>
      <c r="AU120" s="543" cm="1">
        <f t="array" ref="AU120">AU$2*AU30*SUMPRODUCT(1*(input_MRB_EV=input_data!$C$55:$C$57),input_data!$F$55:$F$57)</f>
        <v>778.48148047862969</v>
      </c>
      <c r="AV120" s="543" cm="1">
        <f t="array" ref="AV120">AV$2*AV30*SUMPRODUCT(1*(input_MRB_EV=input_data!$C$55:$C$57),input_data!$F$55:$F$57)</f>
        <v>782.1786880214845</v>
      </c>
      <c r="AW120" s="543" cm="1">
        <f t="array" ref="AW120">AW$2*AW30*SUMPRODUCT(1*(input_MRB_EV=input_data!$C$55:$C$57),input_data!$F$55:$F$57)</f>
        <v>785.89345454802447</v>
      </c>
      <c r="AX120" s="543" cm="1">
        <f t="array" ref="AX120">AX$2*AX30*SUMPRODUCT(1*(input_MRB_EV=input_data!$C$55:$C$57),input_data!$F$55:$F$57)</f>
        <v>789.62586345035152</v>
      </c>
      <c r="AY120" s="543" cm="1">
        <f t="array" ref="AY120">AY$2*AY30*SUMPRODUCT(1*(input_MRB_EV=input_data!$C$55:$C$57),input_data!$F$55:$F$57)</f>
        <v>793.37599851661798</v>
      </c>
      <c r="AZ120" s="543" cm="1">
        <f t="array" ref="AZ120">AZ$2*AZ30*SUMPRODUCT(1*(input_MRB_EV=input_data!$C$55:$C$57),input_data!$F$55:$F$57)</f>
        <v>797.1439439329074</v>
      </c>
      <c r="BA120" s="543" cm="1">
        <f t="array" ref="BA120">BA$2*BA30*SUMPRODUCT(1*(input_MRB_EV=input_data!$C$55:$C$57),input_data!$F$55:$F$57)</f>
        <v>800.92978428512458</v>
      </c>
      <c r="BB120" s="543" cm="1">
        <f t="array" ref="BB120">BB$2*BB30*SUMPRODUCT(1*(input_MRB_EV=input_data!$C$55:$C$57),input_data!$F$55:$F$57)</f>
        <v>804.73360456089461</v>
      </c>
      <c r="BC120" s="543" cm="1">
        <f t="array" ref="BC120">BC$2*BC30*SUMPRODUCT(1*(input_MRB_EV=input_data!$C$55:$C$57),input_data!$F$55:$F$57)</f>
        <v>808.55549015147028</v>
      </c>
    </row>
    <row r="121" spans="8:55" x14ac:dyDescent="0.3">
      <c r="H121" s="542" t="str">
        <f>input_names!$E$3</f>
        <v>plug-in</v>
      </c>
      <c r="I121" s="542" t="s">
        <v>1502</v>
      </c>
      <c r="J121" s="543" cm="1">
        <f t="array" ref="J121">J$2*J31*SUMPRODUCT(1*(input_MRB_EV=input_data!$C$55:$C$57),input_data!$F$55:$F$57)</f>
        <v>356.5</v>
      </c>
      <c r="K121" s="543" cm="1">
        <f t="array" ref="K121">K$2*K31*SUMPRODUCT(1*(input_MRB_EV=input_data!$C$55:$C$57),input_data!$F$55:$F$57)</f>
        <v>356.5</v>
      </c>
      <c r="L121" s="543" cm="1">
        <f t="array" ref="L121">L$2*L31*SUMPRODUCT(1*(input_MRB_EV=input_data!$C$55:$C$57),input_data!$F$55:$F$57)</f>
        <v>356.5</v>
      </c>
      <c r="M121" s="543" cm="1">
        <f t="array" ref="M121">M$2*M31*SUMPRODUCT(1*(input_MRB_EV=input_data!$C$55:$C$57),input_data!$F$55:$F$57)</f>
        <v>356.5</v>
      </c>
      <c r="N121" s="543" cm="1">
        <f t="array" ref="N121">N$2*N31*SUMPRODUCT(1*(input_MRB_EV=input_data!$C$55:$C$57),input_data!$F$55:$F$57)</f>
        <v>356.5</v>
      </c>
      <c r="O121" s="543" cm="1">
        <f t="array" ref="O121">O$2*O31*SUMPRODUCT(1*(input_MRB_EV=input_data!$C$55:$C$57),input_data!$F$55:$F$57)</f>
        <v>356.5</v>
      </c>
      <c r="P121" s="543" cm="1">
        <f t="array" ref="P121">P$2*P31*SUMPRODUCT(1*(input_MRB_EV=input_data!$C$55:$C$57),input_data!$F$55:$F$57)</f>
        <v>356.5</v>
      </c>
      <c r="Q121" s="543" cm="1">
        <f t="array" ref="Q121">Q$2*Q31*SUMPRODUCT(1*(input_MRB_EV=input_data!$C$55:$C$57),input_data!$F$55:$F$57)</f>
        <v>356.5</v>
      </c>
      <c r="R121" s="543" cm="1">
        <f t="array" ref="R121">R$2*R31*SUMPRODUCT(1*(input_MRB_EV=input_data!$C$55:$C$57),input_data!$F$55:$F$57)</f>
        <v>356.5</v>
      </c>
      <c r="S121" s="543" cm="1">
        <f t="array" ref="S121">S$2*S31*SUMPRODUCT(1*(input_MRB_EV=input_data!$C$55:$C$57),input_data!$F$55:$F$57)</f>
        <v>356.5</v>
      </c>
      <c r="T121" s="543" cm="1">
        <f t="array" ref="T121">T$2*T31*SUMPRODUCT(1*(input_MRB_EV=input_data!$C$55:$C$57),input_data!$F$55:$F$57)</f>
        <v>534.75</v>
      </c>
      <c r="U121" s="543" cm="1">
        <f t="array" ref="U121">U$2*U31*SUMPRODUCT(1*(input_MRB_EV=input_data!$C$55:$C$57),input_data!$F$55:$F$57)</f>
        <v>716.38621925396956</v>
      </c>
      <c r="V121" s="543" cm="1">
        <f t="array" ref="V121">V$2*V31*SUMPRODUCT(1*(input_MRB_EV=input_data!$C$55:$C$57),input_data!$F$55:$F$57)</f>
        <v>719.78852052874697</v>
      </c>
      <c r="W121" s="543" cm="1">
        <f t="array" ref="W121">W$2*W31*SUMPRODUCT(1*(input_MRB_EV=input_data!$C$55:$C$57),input_data!$F$55:$F$57)</f>
        <v>723.20698020195982</v>
      </c>
      <c r="X121" s="543" cm="1">
        <f t="array" ref="X121">X$2*X31*SUMPRODUCT(1*(input_MRB_EV=input_data!$C$55:$C$57),input_data!$F$55:$F$57)</f>
        <v>726.64167501397253</v>
      </c>
      <c r="Y121" s="543" cm="1">
        <f t="array" ref="Y121">Y$2*Y31*SUMPRODUCT(1*(input_MRB_EV=input_data!$C$55:$C$57),input_data!$F$55:$F$57)</f>
        <v>730.09268206960928</v>
      </c>
      <c r="Z121" s="543" cm="1">
        <f t="array" ref="Z121">Z$2*Z31*SUMPRODUCT(1*(input_MRB_EV=input_data!$C$55:$C$57),input_data!$F$55:$F$57)</f>
        <v>733.5600788398848</v>
      </c>
      <c r="AA121" s="543" cm="1">
        <f t="array" ref="AA121">AA$2*AA31*SUMPRODUCT(1*(input_MRB_EV=input_data!$C$55:$C$57),input_data!$F$55:$F$57)</f>
        <v>737.04394316374328</v>
      </c>
      <c r="AB121" s="543" cm="1">
        <f t="array" ref="AB121">AB$2*AB31*SUMPRODUCT(1*(input_MRB_EV=input_data!$C$55:$C$57),input_data!$F$55:$F$57)</f>
        <v>740.54435324980602</v>
      </c>
      <c r="AC121" s="543" cm="1">
        <f t="array" ref="AC121">AC$2*AC31*SUMPRODUCT(1*(input_MRB_EV=input_data!$C$55:$C$57),input_data!$F$55:$F$57)</f>
        <v>744.06138767812718</v>
      </c>
      <c r="AD121" s="543" cm="1">
        <f t="array" ref="AD121">AD$2*AD31*SUMPRODUCT(1*(input_MRB_EV=input_data!$C$55:$C$57),input_data!$F$55:$F$57)</f>
        <v>747.59512540195749</v>
      </c>
      <c r="AE121" s="543" cm="1">
        <f t="array" ref="AE121">AE$2*AE31*SUMPRODUCT(1*(input_MRB_EV=input_data!$C$55:$C$57),input_data!$F$55:$F$57)</f>
        <v>751.14564574951703</v>
      </c>
      <c r="AF121" s="543" cm="1">
        <f t="array" ref="AF121">AF$2*AF31*SUMPRODUCT(1*(input_MRB_EV=input_data!$C$55:$C$57),input_data!$F$55:$F$57)</f>
        <v>754.71302842577575</v>
      </c>
      <c r="AG121" s="543" cm="1">
        <f t="array" ref="AG121">AG$2*AG31*SUMPRODUCT(1*(input_MRB_EV=input_data!$C$55:$C$57),input_data!$F$55:$F$57)</f>
        <v>758.2973535142429</v>
      </c>
      <c r="AH121" s="543" cm="1">
        <f t="array" ref="AH121">AH$2*AH31*SUMPRODUCT(1*(input_MRB_EV=input_data!$C$55:$C$57),input_data!$F$55:$F$57)</f>
        <v>761.89870147876479</v>
      </c>
      <c r="AI121" s="543" cm="1">
        <f t="array" ref="AI121">AI$2*AI31*SUMPRODUCT(1*(input_MRB_EV=input_data!$C$55:$C$57),input_data!$F$55:$F$57)</f>
        <v>765.51715316533114</v>
      </c>
      <c r="AJ121" s="543" cm="1">
        <f t="array" ref="AJ121">AJ$2*AJ31*SUMPRODUCT(1*(input_MRB_EV=input_data!$C$55:$C$57),input_data!$F$55:$F$57)</f>
        <v>769.15278980388996</v>
      </c>
      <c r="AK121" s="543" cm="1">
        <f t="array" ref="AK121">AK$2*AK31*SUMPRODUCT(1*(input_MRB_EV=input_data!$C$55:$C$57),input_data!$F$55:$F$57)</f>
        <v>772.80569301017101</v>
      </c>
      <c r="AL121" s="543" cm="1">
        <f t="array" ref="AL121">AL$2*AL31*SUMPRODUCT(1*(input_MRB_EV=input_data!$C$55:$C$57),input_data!$F$55:$F$57)</f>
        <v>776.47594478751796</v>
      </c>
      <c r="AM121" s="543" cm="1">
        <f t="array" ref="AM121">AM$2*AM31*SUMPRODUCT(1*(input_MRB_EV=input_data!$C$55:$C$57),input_data!$F$55:$F$57)</f>
        <v>780.16362752872931</v>
      </c>
      <c r="AN121" s="543" cm="1">
        <f t="array" ref="AN121">AN$2*AN31*SUMPRODUCT(1*(input_MRB_EV=input_data!$C$55:$C$57),input_data!$F$55:$F$57)</f>
        <v>783.8688240179082</v>
      </c>
      <c r="AO121" s="543" cm="1">
        <f t="array" ref="AO121">AO$2*AO31*SUMPRODUCT(1*(input_MRB_EV=input_data!$C$55:$C$57),input_data!$F$55:$F$57)</f>
        <v>787.5916174323205</v>
      </c>
      <c r="AP121" s="543" cm="1">
        <f t="array" ref="AP121">AP$2*AP31*SUMPRODUCT(1*(input_MRB_EV=input_data!$C$55:$C$57),input_data!$F$55:$F$57)</f>
        <v>791.33209134426215</v>
      </c>
      <c r="AQ121" s="543" cm="1">
        <f t="array" ref="AQ121">AQ$2*AQ31*SUMPRODUCT(1*(input_MRB_EV=input_data!$C$55:$C$57),input_data!$F$55:$F$57)</f>
        <v>795.09032972293528</v>
      </c>
      <c r="AR121" s="543" cm="1">
        <f t="array" ref="AR121">AR$2*AR31*SUMPRODUCT(1*(input_MRB_EV=input_data!$C$55:$C$57),input_data!$F$55:$F$57)</f>
        <v>798.86641693633339</v>
      </c>
      <c r="AS121" s="543" cm="1">
        <f t="array" ref="AS121">AS$2*AS31*SUMPRODUCT(1*(input_MRB_EV=input_data!$C$55:$C$57),input_data!$F$55:$F$57)</f>
        <v>802.66043775313494</v>
      </c>
      <c r="AT121" s="543" cm="1">
        <f t="array" ref="AT121">AT$2*AT31*SUMPRODUCT(1*(input_MRB_EV=input_data!$C$55:$C$57),input_data!$F$55:$F$57)</f>
        <v>806.47247734460666</v>
      </c>
      <c r="AU121" s="543" cm="1">
        <f t="array" ref="AU121">AU$2*AU31*SUMPRODUCT(1*(input_MRB_EV=input_data!$C$55:$C$57),input_data!$F$55:$F$57)</f>
        <v>810.30262128651532</v>
      </c>
      <c r="AV121" s="543" cm="1">
        <f t="array" ref="AV121">AV$2*AV31*SUMPRODUCT(1*(input_MRB_EV=input_data!$C$55:$C$57),input_data!$F$55:$F$57)</f>
        <v>814.15095556104893</v>
      </c>
      <c r="AW121" s="543" cm="1">
        <f t="array" ref="AW121">AW$2*AW31*SUMPRODUCT(1*(input_MRB_EV=input_data!$C$55:$C$57),input_data!$F$55:$F$57)</f>
        <v>818.01756655874681</v>
      </c>
      <c r="AX121" s="543" cm="1">
        <f t="array" ref="AX121">AX$2*AX31*SUMPRODUCT(1*(input_MRB_EV=input_data!$C$55:$C$57),input_data!$F$55:$F$57)</f>
        <v>821.90254108043905</v>
      </c>
      <c r="AY121" s="543" cm="1">
        <f t="array" ref="AY121">AY$2*AY31*SUMPRODUCT(1*(input_MRB_EV=input_data!$C$55:$C$57),input_data!$F$55:$F$57)</f>
        <v>825.80596633919515</v>
      </c>
      <c r="AZ121" s="543" cm="1">
        <f t="array" ref="AZ121">AZ$2*AZ31*SUMPRODUCT(1*(input_MRB_EV=input_data!$C$55:$C$57),input_data!$F$55:$F$57)</f>
        <v>829.72792996228179</v>
      </c>
      <c r="BA121" s="543" cm="1">
        <f t="array" ref="BA121">BA$2*BA31*SUMPRODUCT(1*(input_MRB_EV=input_data!$C$55:$C$57),input_data!$F$55:$F$57)</f>
        <v>833.66851999312973</v>
      </c>
      <c r="BB121" s="543" cm="1">
        <f t="array" ref="BB121">BB$2*BB31*SUMPRODUCT(1*(input_MRB_EV=input_data!$C$55:$C$57),input_data!$F$55:$F$57)</f>
        <v>837.62782489331073</v>
      </c>
      <c r="BC121" s="543" cm="1">
        <f t="array" ref="BC121">BC$2*BC31*SUMPRODUCT(1*(input_MRB_EV=input_data!$C$55:$C$57),input_data!$F$55:$F$57)</f>
        <v>841.60593354452305</v>
      </c>
    </row>
    <row r="122" spans="8:55" x14ac:dyDescent="0.3">
      <c r="H122" s="542" t="str">
        <f>input_names!$E$3</f>
        <v>plug-in</v>
      </c>
      <c r="I122" s="542" t="s">
        <v>1503</v>
      </c>
      <c r="J122" s="543" cm="1">
        <f t="array" ref="J122">J$2*J32*SUMPRODUCT(1*(input_MRB_EV=input_data!$C$55:$C$57),input_data!$F$55:$F$57)</f>
        <v>370.5</v>
      </c>
      <c r="K122" s="543" cm="1">
        <f t="array" ref="K122">K$2*K32*SUMPRODUCT(1*(input_MRB_EV=input_data!$C$55:$C$57),input_data!$F$55:$F$57)</f>
        <v>370.5</v>
      </c>
      <c r="L122" s="543" cm="1">
        <f t="array" ref="L122">L$2*L32*SUMPRODUCT(1*(input_MRB_EV=input_data!$C$55:$C$57),input_data!$F$55:$F$57)</f>
        <v>370.5</v>
      </c>
      <c r="M122" s="543" cm="1">
        <f t="array" ref="M122">M$2*M32*SUMPRODUCT(1*(input_MRB_EV=input_data!$C$55:$C$57),input_data!$F$55:$F$57)</f>
        <v>370.5</v>
      </c>
      <c r="N122" s="543" cm="1">
        <f t="array" ref="N122">N$2*N32*SUMPRODUCT(1*(input_MRB_EV=input_data!$C$55:$C$57),input_data!$F$55:$F$57)</f>
        <v>370.5</v>
      </c>
      <c r="O122" s="543" cm="1">
        <f t="array" ref="O122">O$2*O32*SUMPRODUCT(1*(input_MRB_EV=input_data!$C$55:$C$57),input_data!$F$55:$F$57)</f>
        <v>370.5</v>
      </c>
      <c r="P122" s="543" cm="1">
        <f t="array" ref="P122">P$2*P32*SUMPRODUCT(1*(input_MRB_EV=input_data!$C$55:$C$57),input_data!$F$55:$F$57)</f>
        <v>370.5</v>
      </c>
      <c r="Q122" s="543" cm="1">
        <f t="array" ref="Q122">Q$2*Q32*SUMPRODUCT(1*(input_MRB_EV=input_data!$C$55:$C$57),input_data!$F$55:$F$57)</f>
        <v>370.5</v>
      </c>
      <c r="R122" s="543" cm="1">
        <f t="array" ref="R122">R$2*R32*SUMPRODUCT(1*(input_MRB_EV=input_data!$C$55:$C$57),input_data!$F$55:$F$57)</f>
        <v>370.5</v>
      </c>
      <c r="S122" s="543" cm="1">
        <f t="array" ref="S122">S$2*S32*SUMPRODUCT(1*(input_MRB_EV=input_data!$C$55:$C$57),input_data!$F$55:$F$57)</f>
        <v>370.5</v>
      </c>
      <c r="T122" s="543" cm="1">
        <f t="array" ref="T122">T$2*T32*SUMPRODUCT(1*(input_MRB_EV=input_data!$C$55:$C$57),input_data!$F$55:$F$57)</f>
        <v>555.75</v>
      </c>
      <c r="U122" s="543" cm="1">
        <f t="array" ref="U122">U$2*U32*SUMPRODUCT(1*(input_MRB_EV=input_data!$C$55:$C$57),input_data!$F$55:$F$57)</f>
        <v>744.51919841120821</v>
      </c>
      <c r="V122" s="543" cm="1">
        <f t="array" ref="V122">V$2*V32*SUMPRODUCT(1*(input_MRB_EV=input_data!$C$55:$C$57),input_data!$F$55:$F$57)</f>
        <v>748.05511039523356</v>
      </c>
      <c r="W122" s="543" cm="1">
        <f t="array" ref="W122">W$2*W32*SUMPRODUCT(1*(input_MRB_EV=input_data!$C$55:$C$57),input_data!$F$55:$F$57)</f>
        <v>751.60781532910551</v>
      </c>
      <c r="X122" s="543" cm="1">
        <f t="array" ref="X122">X$2*X32*SUMPRODUCT(1*(input_MRB_EV=input_data!$C$55:$C$57),input_data!$F$55:$F$57)</f>
        <v>755.17739296683544</v>
      </c>
      <c r="Y122" s="543" cm="1">
        <f t="array" ref="Y122">Y$2*Y32*SUMPRODUCT(1*(input_MRB_EV=input_data!$C$55:$C$57),input_data!$F$55:$F$57)</f>
        <v>758.76392344120688</v>
      </c>
      <c r="Z122" s="543" cm="1">
        <f t="array" ref="Z122">Z$2*Z32*SUMPRODUCT(1*(input_MRB_EV=input_data!$C$55:$C$57),input_data!$F$55:$F$57)</f>
        <v>762.36748726557448</v>
      </c>
      <c r="AA122" s="543" cm="1">
        <f t="array" ref="AA122">AA$2*AA32*SUMPRODUCT(1*(input_MRB_EV=input_data!$C$55:$C$57),input_data!$F$55:$F$57)</f>
        <v>765.9881653356714</v>
      </c>
      <c r="AB122" s="543" cm="1">
        <f t="array" ref="AB122">AB$2*AB32*SUMPRODUCT(1*(input_MRB_EV=input_data!$C$55:$C$57),input_data!$F$55:$F$57)</f>
        <v>769.62603893142523</v>
      </c>
      <c r="AC122" s="543" cm="1">
        <f t="array" ref="AC122">AC$2*AC32*SUMPRODUCT(1*(input_MRB_EV=input_data!$C$55:$C$57),input_data!$F$55:$F$57)</f>
        <v>773.2811897187828</v>
      </c>
      <c r="AD122" s="543" cm="1">
        <f t="array" ref="AD122">AD$2*AD32*SUMPRODUCT(1*(input_MRB_EV=input_data!$C$55:$C$57),input_data!$F$55:$F$57)</f>
        <v>776.95369975154335</v>
      </c>
      <c r="AE122" s="543" cm="1">
        <f t="array" ref="AE122">AE$2*AE32*SUMPRODUCT(1*(input_MRB_EV=input_data!$C$55:$C$57),input_data!$F$55:$F$57)</f>
        <v>780.64365147320052</v>
      </c>
      <c r="AF122" s="543" cm="1">
        <f t="array" ref="AF122">AF$2*AF32*SUMPRODUCT(1*(input_MRB_EV=input_data!$C$55:$C$57),input_data!$F$55:$F$57)</f>
        <v>784.35112771879335</v>
      </c>
      <c r="AG122" s="543" cm="1">
        <f t="array" ref="AG122">AG$2*AG32*SUMPRODUCT(1*(input_MRB_EV=input_data!$C$55:$C$57),input_data!$F$55:$F$57)</f>
        <v>788.07621171676556</v>
      </c>
      <c r="AH122" s="543" cm="1">
        <f t="array" ref="AH122">AH$2*AH32*SUMPRODUCT(1*(input_MRB_EV=input_data!$C$55:$C$57),input_data!$F$55:$F$57)</f>
        <v>791.81898709083396</v>
      </c>
      <c r="AI122" s="543" cm="1">
        <f t="array" ref="AI122">AI$2*AI32*SUMPRODUCT(1*(input_MRB_EV=input_data!$C$55:$C$57),input_data!$F$55:$F$57)</f>
        <v>795.57953786186579</v>
      </c>
      <c r="AJ122" s="543" cm="1">
        <f t="array" ref="AJ122">AJ$2*AJ32*SUMPRODUCT(1*(input_MRB_EV=input_data!$C$55:$C$57),input_data!$F$55:$F$57)</f>
        <v>799.35794844976488</v>
      </c>
      <c r="AK122" s="543" cm="1">
        <f t="array" ref="AK122">AK$2*AK32*SUMPRODUCT(1*(input_MRB_EV=input_data!$C$55:$C$57),input_data!$F$55:$F$57)</f>
        <v>803.15430367536692</v>
      </c>
      <c r="AL122" s="543" cm="1">
        <f t="array" ref="AL122">AL$2*AL32*SUMPRODUCT(1*(input_MRB_EV=input_data!$C$55:$C$57),input_data!$F$55:$F$57)</f>
        <v>806.96868876234316</v>
      </c>
      <c r="AM122" s="543" cm="1">
        <f t="array" ref="AM122">AM$2*AM32*SUMPRODUCT(1*(input_MRB_EV=input_data!$C$55:$C$57),input_data!$F$55:$F$57)</f>
        <v>810.8011893391141</v>
      </c>
      <c r="AN122" s="543" cm="1">
        <f t="array" ref="AN122">AN$2*AN32*SUMPRODUCT(1*(input_MRB_EV=input_data!$C$55:$C$57),input_data!$F$55:$F$57)</f>
        <v>814.65189144077124</v>
      </c>
      <c r="AO122" s="543" cm="1">
        <f t="array" ref="AO122">AO$2*AO32*SUMPRODUCT(1*(input_MRB_EV=input_data!$C$55:$C$57),input_data!$F$55:$F$57)</f>
        <v>818.52088151100895</v>
      </c>
      <c r="AP122" s="543" cm="1">
        <f t="array" ref="AP122">AP$2*AP32*SUMPRODUCT(1*(input_MRB_EV=input_data!$C$55:$C$57),input_data!$F$55:$F$57)</f>
        <v>822.4082464040647</v>
      </c>
      <c r="AQ122" s="543" cm="1">
        <f t="array" ref="AQ122">AQ$2*AQ32*SUMPRODUCT(1*(input_MRB_EV=input_data!$C$55:$C$57),input_data!$F$55:$F$57)</f>
        <v>826.31407338666895</v>
      </c>
      <c r="AR122" s="543" cm="1">
        <f t="array" ref="AR122">AR$2*AR32*SUMPRODUCT(1*(input_MRB_EV=input_data!$C$55:$C$57),input_data!$F$55:$F$57)</f>
        <v>830.23845014000415</v>
      </c>
      <c r="AS122" s="543" cm="1">
        <f t="array" ref="AS122">AS$2*AS32*SUMPRODUCT(1*(input_MRB_EV=input_data!$C$55:$C$57),input_data!$F$55:$F$57)</f>
        <v>834.18146476167306</v>
      </c>
      <c r="AT122" s="543" cm="1">
        <f t="array" ref="AT122">AT$2*AT32*SUMPRODUCT(1*(input_MRB_EV=input_data!$C$55:$C$57),input_data!$F$55:$F$57)</f>
        <v>838.14320576767659</v>
      </c>
      <c r="AU122" s="543" cm="1">
        <f t="array" ref="AU122">AU$2*AU32*SUMPRODUCT(1*(input_MRB_EV=input_data!$C$55:$C$57),input_data!$F$55:$F$57)</f>
        <v>842.12376209440072</v>
      </c>
      <c r="AV122" s="543" cm="1">
        <f t="array" ref="AV122">AV$2*AV32*SUMPRODUCT(1*(input_MRB_EV=input_data!$C$55:$C$57),input_data!$F$55:$F$57)</f>
        <v>846.12322310061302</v>
      </c>
      <c r="AW122" s="543" cm="1">
        <f t="array" ref="AW122">AW$2*AW32*SUMPRODUCT(1*(input_MRB_EV=input_data!$C$55:$C$57),input_data!$F$55:$F$57)</f>
        <v>850.1416785694687</v>
      </c>
      <c r="AX122" s="543" cm="1">
        <f t="array" ref="AX122">AX$2*AX32*SUMPRODUCT(1*(input_MRB_EV=input_data!$C$55:$C$57),input_data!$F$55:$F$57)</f>
        <v>854.17921871052613</v>
      </c>
      <c r="AY122" s="543" cm="1">
        <f t="array" ref="AY122">AY$2*AY32*SUMPRODUCT(1*(input_MRB_EV=input_data!$C$55:$C$57),input_data!$F$55:$F$57)</f>
        <v>858.23593416177198</v>
      </c>
      <c r="AZ122" s="543" cm="1">
        <f t="array" ref="AZ122">AZ$2*AZ32*SUMPRODUCT(1*(input_MRB_EV=input_data!$C$55:$C$57),input_data!$F$55:$F$57)</f>
        <v>862.31191599165584</v>
      </c>
      <c r="BA122" s="543" cm="1">
        <f t="array" ref="BA122">BA$2*BA32*SUMPRODUCT(1*(input_MRB_EV=input_data!$C$55:$C$57),input_data!$F$55:$F$57)</f>
        <v>866.40725570113466</v>
      </c>
      <c r="BB122" s="543" cm="1">
        <f t="array" ref="BB122">BB$2*BB32*SUMPRODUCT(1*(input_MRB_EV=input_data!$C$55:$C$57),input_data!$F$55:$F$57)</f>
        <v>870.52204522572674</v>
      </c>
      <c r="BC122" s="543" cm="1">
        <f t="array" ref="BC122">BC$2*BC32*SUMPRODUCT(1*(input_MRB_EV=input_data!$C$55:$C$57),input_data!$F$55:$F$57)</f>
        <v>874.65637693757571</v>
      </c>
    </row>
    <row r="123" spans="8:55" x14ac:dyDescent="0.3">
      <c r="H123" s="542" t="str">
        <f>input_names!$E$3</f>
        <v>plug-in</v>
      </c>
      <c r="I123" s="542" t="s">
        <v>1504</v>
      </c>
      <c r="J123" s="543" cm="1">
        <f t="array" ref="J123">J$2*J33*SUMPRODUCT(1*(input_MRB_EV=input_data!$C$55:$C$57),input_data!$F$55:$F$57)</f>
        <v>382.5</v>
      </c>
      <c r="K123" s="543" cm="1">
        <f t="array" ref="K123">K$2*K33*SUMPRODUCT(1*(input_MRB_EV=input_data!$C$55:$C$57),input_data!$F$55:$F$57)</f>
        <v>382.5</v>
      </c>
      <c r="L123" s="543" cm="1">
        <f t="array" ref="L123">L$2*L33*SUMPRODUCT(1*(input_MRB_EV=input_data!$C$55:$C$57),input_data!$F$55:$F$57)</f>
        <v>382.5</v>
      </c>
      <c r="M123" s="543" cm="1">
        <f t="array" ref="M123">M$2*M33*SUMPRODUCT(1*(input_MRB_EV=input_data!$C$55:$C$57),input_data!$F$55:$F$57)</f>
        <v>382.5</v>
      </c>
      <c r="N123" s="543" cm="1">
        <f t="array" ref="N123">N$2*N33*SUMPRODUCT(1*(input_MRB_EV=input_data!$C$55:$C$57),input_data!$F$55:$F$57)</f>
        <v>382.5</v>
      </c>
      <c r="O123" s="543" cm="1">
        <f t="array" ref="O123">O$2*O33*SUMPRODUCT(1*(input_MRB_EV=input_data!$C$55:$C$57),input_data!$F$55:$F$57)</f>
        <v>382.5</v>
      </c>
      <c r="P123" s="543" cm="1">
        <f t="array" ref="P123">P$2*P33*SUMPRODUCT(1*(input_MRB_EV=input_data!$C$55:$C$57),input_data!$F$55:$F$57)</f>
        <v>382.5</v>
      </c>
      <c r="Q123" s="543" cm="1">
        <f t="array" ref="Q123">Q$2*Q33*SUMPRODUCT(1*(input_MRB_EV=input_data!$C$55:$C$57),input_data!$F$55:$F$57)</f>
        <v>382.5</v>
      </c>
      <c r="R123" s="543" cm="1">
        <f t="array" ref="R123">R$2*R33*SUMPRODUCT(1*(input_MRB_EV=input_data!$C$55:$C$57),input_data!$F$55:$F$57)</f>
        <v>382.5</v>
      </c>
      <c r="S123" s="543" cm="1">
        <f t="array" ref="S123">S$2*S33*SUMPRODUCT(1*(input_MRB_EV=input_data!$C$55:$C$57),input_data!$F$55:$F$57)</f>
        <v>382.5</v>
      </c>
      <c r="T123" s="543" cm="1">
        <f t="array" ref="T123">T$2*T33*SUMPRODUCT(1*(input_MRB_EV=input_data!$C$55:$C$57),input_data!$F$55:$F$57)</f>
        <v>573.75</v>
      </c>
      <c r="U123" s="543" cm="1">
        <f t="array" ref="U123">U$2*U33*SUMPRODUCT(1*(input_MRB_EV=input_data!$C$55:$C$57),input_data!$F$55:$F$57)</f>
        <v>768.63318054598426</v>
      </c>
      <c r="V123" s="543" cm="1">
        <f t="array" ref="V123">V$2*V33*SUMPRODUCT(1*(input_MRB_EV=input_data!$C$55:$C$57),input_data!$F$55:$F$57)</f>
        <v>772.28361599507923</v>
      </c>
      <c r="W123" s="543" cm="1">
        <f t="array" ref="W123">W$2*W33*SUMPRODUCT(1*(input_MRB_EV=input_data!$C$55:$C$57),input_data!$F$55:$F$57)</f>
        <v>775.95138829523046</v>
      </c>
      <c r="X123" s="543" cm="1">
        <f t="array" ref="X123">X$2*X33*SUMPRODUCT(1*(input_MRB_EV=input_data!$C$55:$C$57),input_data!$F$55:$F$57)</f>
        <v>779.63657978357514</v>
      </c>
      <c r="Y123" s="543" cm="1">
        <f t="array" ref="Y123">Y$2*Y33*SUMPRODUCT(1*(input_MRB_EV=input_data!$C$55:$C$57),input_data!$F$55:$F$57)</f>
        <v>783.33927318829069</v>
      </c>
      <c r="Z123" s="543" cm="1">
        <f t="array" ref="Z123">Z$2*Z33*SUMPRODUCT(1*(input_MRB_EV=input_data!$C$55:$C$57),input_data!$F$55:$F$57)</f>
        <v>787.05955163045167</v>
      </c>
      <c r="AA123" s="543" cm="1">
        <f t="array" ref="AA123">AA$2*AA33*SUMPRODUCT(1*(input_MRB_EV=input_data!$C$55:$C$57),input_data!$F$55:$F$57)</f>
        <v>790.79749862589586</v>
      </c>
      <c r="AB123" s="543" cm="1">
        <f t="array" ref="AB123">AB$2*AB33*SUMPRODUCT(1*(input_MRB_EV=input_data!$C$55:$C$57),input_data!$F$55:$F$57)</f>
        <v>794.55319808709919</v>
      </c>
      <c r="AC123" s="543" cm="1">
        <f t="array" ref="AC123">AC$2*AC33*SUMPRODUCT(1*(input_MRB_EV=input_data!$C$55:$C$57),input_data!$F$55:$F$57)</f>
        <v>798.32673432505942</v>
      </c>
      <c r="AD123" s="543" cm="1">
        <f t="array" ref="AD123">AD$2*AD33*SUMPRODUCT(1*(input_MRB_EV=input_data!$C$55:$C$57),input_data!$F$55:$F$57)</f>
        <v>802.11819205118877</v>
      </c>
      <c r="AE123" s="543" cm="1">
        <f t="array" ref="AE123">AE$2*AE33*SUMPRODUCT(1*(input_MRB_EV=input_data!$C$55:$C$57),input_data!$F$55:$F$57)</f>
        <v>805.92765637921548</v>
      </c>
      <c r="AF123" s="543" cm="1">
        <f t="array" ref="AF123">AF$2*AF33*SUMPRODUCT(1*(input_MRB_EV=input_data!$C$55:$C$57),input_data!$F$55:$F$57)</f>
        <v>809.75521282709474</v>
      </c>
      <c r="AG123" s="543" cm="1">
        <f t="array" ref="AG123">AG$2*AG33*SUMPRODUCT(1*(input_MRB_EV=input_data!$C$55:$C$57),input_data!$F$55:$F$57)</f>
        <v>813.60094731892832</v>
      </c>
      <c r="AH123" s="543" cm="1">
        <f t="array" ref="AH123">AH$2*AH33*SUMPRODUCT(1*(input_MRB_EV=input_data!$C$55:$C$57),input_data!$F$55:$F$57)</f>
        <v>817.4649461868936</v>
      </c>
      <c r="AI123" s="543" cm="1">
        <f t="array" ref="AI123">AI$2*AI33*SUMPRODUCT(1*(input_MRB_EV=input_data!$C$55:$C$57),input_data!$F$55:$F$57)</f>
        <v>821.34729617318146</v>
      </c>
      <c r="AJ123" s="543" cm="1">
        <f t="array" ref="AJ123">AJ$2*AJ33*SUMPRODUCT(1*(input_MRB_EV=input_data!$C$55:$C$57),input_data!$F$55:$F$57)</f>
        <v>825.24808443194377</v>
      </c>
      <c r="AK123" s="543" cm="1">
        <f t="array" ref="AK123">AK$2*AK33*SUMPRODUCT(1*(input_MRB_EV=input_data!$C$55:$C$57),input_data!$F$55:$F$57)</f>
        <v>829.16739853124943</v>
      </c>
      <c r="AL123" s="543" cm="1">
        <f t="array" ref="AL123">AL$2*AL33*SUMPRODUCT(1*(input_MRB_EV=input_data!$C$55:$C$57),input_data!$F$55:$F$57)</f>
        <v>833.10532645505089</v>
      </c>
      <c r="AM123" s="543" cm="1">
        <f t="array" ref="AM123">AM$2*AM33*SUMPRODUCT(1*(input_MRB_EV=input_data!$C$55:$C$57),input_data!$F$55:$F$57)</f>
        <v>837.06195660515846</v>
      </c>
      <c r="AN123" s="543" cm="1">
        <f t="array" ref="AN123">AN$2*AN33*SUMPRODUCT(1*(input_MRB_EV=input_data!$C$55:$C$57),input_data!$F$55:$F$57)</f>
        <v>841.03737780322558</v>
      </c>
      <c r="AO123" s="543" cm="1">
        <f t="array" ref="AO123">AO$2*AO33*SUMPRODUCT(1*(input_MRB_EV=input_data!$C$55:$C$57),input_data!$F$55:$F$57)</f>
        <v>845.0316792927423</v>
      </c>
      <c r="AP123" s="543" cm="1">
        <f t="array" ref="AP123">AP$2*AP33*SUMPRODUCT(1*(input_MRB_EV=input_data!$C$55:$C$57),input_data!$F$55:$F$57)</f>
        <v>849.04495074103875</v>
      </c>
      <c r="AQ123" s="543" cm="1">
        <f t="array" ref="AQ123">AQ$2*AQ33*SUMPRODUCT(1*(input_MRB_EV=input_data!$C$55:$C$57),input_data!$F$55:$F$57)</f>
        <v>853.07728224129824</v>
      </c>
      <c r="AR123" s="543" cm="1">
        <f t="array" ref="AR123">AR$2*AR33*SUMPRODUCT(1*(input_MRB_EV=input_data!$C$55:$C$57),input_data!$F$55:$F$57)</f>
        <v>857.12876431457948</v>
      </c>
      <c r="AS123" s="543" cm="1">
        <f t="array" ref="AS123">AS$2*AS33*SUMPRODUCT(1*(input_MRB_EV=input_data!$C$55:$C$57),input_data!$F$55:$F$57)</f>
        <v>861.19948791184902</v>
      </c>
      <c r="AT123" s="543" cm="1">
        <f t="array" ref="AT123">AT$2*AT33*SUMPRODUCT(1*(input_MRB_EV=input_data!$C$55:$C$57),input_data!$F$55:$F$57)</f>
        <v>865.28954441602275</v>
      </c>
      <c r="AU123" s="543" cm="1">
        <f t="array" ref="AU123">AU$2*AU33*SUMPRODUCT(1*(input_MRB_EV=input_data!$C$55:$C$57),input_data!$F$55:$F$57)</f>
        <v>869.39902564401734</v>
      </c>
      <c r="AV123" s="543" cm="1">
        <f t="array" ref="AV123">AV$2*AV33*SUMPRODUCT(1*(input_MRB_EV=input_data!$C$55:$C$57),input_data!$F$55:$F$57)</f>
        <v>873.52802384881147</v>
      </c>
      <c r="AW123" s="543" cm="1">
        <f t="array" ref="AW123">AW$2*AW33*SUMPRODUCT(1*(input_MRB_EV=input_data!$C$55:$C$57),input_data!$F$55:$F$57)</f>
        <v>877.67663172151674</v>
      </c>
      <c r="AX123" s="543" cm="1">
        <f t="array" ref="AX123">AX$2*AX33*SUMPRODUCT(1*(input_MRB_EV=input_data!$C$55:$C$57),input_data!$F$55:$F$57)</f>
        <v>881.84494239345861</v>
      </c>
      <c r="AY123" s="543" cm="1">
        <f t="array" ref="AY123">AY$2*AY33*SUMPRODUCT(1*(input_MRB_EV=input_data!$C$55:$C$57),input_data!$F$55:$F$57)</f>
        <v>886.03304943826708</v>
      </c>
      <c r="AZ123" s="543" cm="1">
        <f t="array" ref="AZ123">AZ$2*AZ33*SUMPRODUCT(1*(input_MRB_EV=input_data!$C$55:$C$57),input_data!$F$55:$F$57)</f>
        <v>890.2410468739771</v>
      </c>
      <c r="BA123" s="543" cm="1">
        <f t="array" ref="BA123">BA$2*BA33*SUMPRODUCT(1*(input_MRB_EV=input_data!$C$55:$C$57),input_data!$F$55:$F$57)</f>
        <v>894.46902916513943</v>
      </c>
      <c r="BB123" s="543" cm="1">
        <f t="array" ref="BB123">BB$2*BB33*SUMPRODUCT(1*(input_MRB_EV=input_data!$C$55:$C$57),input_data!$F$55:$F$57)</f>
        <v>898.71709122494099</v>
      </c>
      <c r="BC123" s="543" cm="1">
        <f t="array" ref="BC123">BC$2*BC33*SUMPRODUCT(1*(input_MRB_EV=input_data!$C$55:$C$57),input_data!$F$55:$F$57)</f>
        <v>902.98532841733572</v>
      </c>
    </row>
    <row r="124" spans="8:55" x14ac:dyDescent="0.3">
      <c r="H124" s="542" t="str">
        <f>input_names!$E$3</f>
        <v>plug-in</v>
      </c>
      <c r="I124" s="542" t="s">
        <v>1505</v>
      </c>
      <c r="J124" s="543" cm="1">
        <f t="array" ref="J124">J$2*J34*SUMPRODUCT(1*(input_MRB_EV=input_data!$C$55:$C$57),input_data!$F$55:$F$57)</f>
        <v>394</v>
      </c>
      <c r="K124" s="543" cm="1">
        <f t="array" ref="K124">K$2*K34*SUMPRODUCT(1*(input_MRB_EV=input_data!$C$55:$C$57),input_data!$F$55:$F$57)</f>
        <v>394</v>
      </c>
      <c r="L124" s="543" cm="1">
        <f t="array" ref="L124">L$2*L34*SUMPRODUCT(1*(input_MRB_EV=input_data!$C$55:$C$57),input_data!$F$55:$F$57)</f>
        <v>394</v>
      </c>
      <c r="M124" s="543" cm="1">
        <f t="array" ref="M124">M$2*M34*SUMPRODUCT(1*(input_MRB_EV=input_data!$C$55:$C$57),input_data!$F$55:$F$57)</f>
        <v>394</v>
      </c>
      <c r="N124" s="543" cm="1">
        <f t="array" ref="N124">N$2*N34*SUMPRODUCT(1*(input_MRB_EV=input_data!$C$55:$C$57),input_data!$F$55:$F$57)</f>
        <v>394</v>
      </c>
      <c r="O124" s="543" cm="1">
        <f t="array" ref="O124">O$2*O34*SUMPRODUCT(1*(input_MRB_EV=input_data!$C$55:$C$57),input_data!$F$55:$F$57)</f>
        <v>394</v>
      </c>
      <c r="P124" s="543" cm="1">
        <f t="array" ref="P124">P$2*P34*SUMPRODUCT(1*(input_MRB_EV=input_data!$C$55:$C$57),input_data!$F$55:$F$57)</f>
        <v>394</v>
      </c>
      <c r="Q124" s="543" cm="1">
        <f t="array" ref="Q124">Q$2*Q34*SUMPRODUCT(1*(input_MRB_EV=input_data!$C$55:$C$57),input_data!$F$55:$F$57)</f>
        <v>394</v>
      </c>
      <c r="R124" s="543" cm="1">
        <f t="array" ref="R124">R$2*R34*SUMPRODUCT(1*(input_MRB_EV=input_data!$C$55:$C$57),input_data!$F$55:$F$57)</f>
        <v>394</v>
      </c>
      <c r="S124" s="543" cm="1">
        <f t="array" ref="S124">S$2*S34*SUMPRODUCT(1*(input_MRB_EV=input_data!$C$55:$C$57),input_data!$F$55:$F$57)</f>
        <v>394</v>
      </c>
      <c r="T124" s="543" cm="1">
        <f t="array" ref="T124">T$2*T34*SUMPRODUCT(1*(input_MRB_EV=input_data!$C$55:$C$57),input_data!$F$55:$F$57)</f>
        <v>591</v>
      </c>
      <c r="U124" s="543" cm="1">
        <f t="array" ref="U124">U$2*U34*SUMPRODUCT(1*(input_MRB_EV=input_data!$C$55:$C$57),input_data!$F$55:$F$57)</f>
        <v>791.74241342514449</v>
      </c>
      <c r="V124" s="543" cm="1">
        <f t="array" ref="V124">V$2*V34*SUMPRODUCT(1*(input_MRB_EV=input_data!$C$55:$C$57),input_data!$F$55:$F$57)</f>
        <v>795.50260052826457</v>
      </c>
      <c r="W124" s="543" cm="1">
        <f t="array" ref="W124">W$2*W34*SUMPRODUCT(1*(input_MRB_EV=input_data!$C$55:$C$57),input_data!$F$55:$F$57)</f>
        <v>799.28064572110009</v>
      </c>
      <c r="X124" s="543" cm="1">
        <f t="array" ref="X124">X$2*X34*SUMPRODUCT(1*(input_MRB_EV=input_data!$C$55:$C$57),input_data!$F$55:$F$57)</f>
        <v>803.0766338162839</v>
      </c>
      <c r="Y124" s="543" cm="1">
        <f t="array" ref="Y124">Y$2*Y34*SUMPRODUCT(1*(input_MRB_EV=input_data!$C$55:$C$57),input_data!$F$55:$F$57)</f>
        <v>806.89065002924576</v>
      </c>
      <c r="Z124" s="543" cm="1">
        <f t="array" ref="Z124">Z$2*Z34*SUMPRODUCT(1*(input_MRB_EV=input_data!$C$55:$C$57),input_data!$F$55:$F$57)</f>
        <v>810.72277998012521</v>
      </c>
      <c r="AA124" s="543" cm="1">
        <f t="array" ref="AA124">AA$2*AA34*SUMPRODUCT(1*(input_MRB_EV=input_data!$C$55:$C$57),input_data!$F$55:$F$57)</f>
        <v>814.57310969569392</v>
      </c>
      <c r="AB124" s="543" cm="1">
        <f t="array" ref="AB124">AB$2*AB34*SUMPRODUCT(1*(input_MRB_EV=input_data!$C$55:$C$57),input_data!$F$55:$F$57)</f>
        <v>818.44172561128642</v>
      </c>
      <c r="AC124" s="543" cm="1">
        <f t="array" ref="AC124">AC$2*AC34*SUMPRODUCT(1*(input_MRB_EV=input_data!$C$55:$C$57),input_data!$F$55:$F$57)</f>
        <v>822.32871457274086</v>
      </c>
      <c r="AD124" s="543" cm="1">
        <f t="array" ref="AD124">AD$2*AD34*SUMPRODUCT(1*(input_MRB_EV=input_data!$C$55:$C$57),input_data!$F$55:$F$57)</f>
        <v>826.23416383834854</v>
      </c>
      <c r="AE124" s="543" cm="1">
        <f t="array" ref="AE124">AE$2*AE34*SUMPRODUCT(1*(input_MRB_EV=input_data!$C$55:$C$57),input_data!$F$55:$F$57)</f>
        <v>830.15816108081265</v>
      </c>
      <c r="AF124" s="543" cm="1">
        <f t="array" ref="AF124">AF$2*AF34*SUMPRODUCT(1*(input_MRB_EV=input_data!$C$55:$C$57),input_data!$F$55:$F$57)</f>
        <v>834.10079438921639</v>
      </c>
      <c r="AG124" s="543" cm="1">
        <f t="array" ref="AG124">AG$2*AG34*SUMPRODUCT(1*(input_MRB_EV=input_data!$C$55:$C$57),input_data!$F$55:$F$57)</f>
        <v>838.06215227100051</v>
      </c>
      <c r="AH124" s="543" cm="1">
        <f t="array" ref="AH124">AH$2*AH34*SUMPRODUCT(1*(input_MRB_EV=input_data!$C$55:$C$57),input_data!$F$55:$F$57)</f>
        <v>842.04232365395035</v>
      </c>
      <c r="AI124" s="543" cm="1">
        <f t="array" ref="AI124">AI$2*AI34*SUMPRODUCT(1*(input_MRB_EV=input_data!$C$55:$C$57),input_data!$F$55:$F$57)</f>
        <v>846.04139788819202</v>
      </c>
      <c r="AJ124" s="543" cm="1">
        <f t="array" ref="AJ124">AJ$2*AJ34*SUMPRODUCT(1*(input_MRB_EV=input_data!$C$55:$C$57),input_data!$F$55:$F$57)</f>
        <v>850.05946474819814</v>
      </c>
      <c r="AK124" s="543" cm="1">
        <f t="array" ref="AK124">AK$2*AK34*SUMPRODUCT(1*(input_MRB_EV=input_data!$C$55:$C$57),input_data!$F$55:$F$57)</f>
        <v>854.0966144348032</v>
      </c>
      <c r="AL124" s="543" cm="1">
        <f t="array" ref="AL124">AL$2*AL34*SUMPRODUCT(1*(input_MRB_EV=input_data!$C$55:$C$57),input_data!$F$55:$F$57)</f>
        <v>858.15293757722873</v>
      </c>
      <c r="AM124" s="543" cm="1">
        <f t="array" ref="AM124">AM$2*AM34*SUMPRODUCT(1*(input_MRB_EV=input_data!$C$55:$C$57),input_data!$F$55:$F$57)</f>
        <v>862.22852523511733</v>
      </c>
      <c r="AN124" s="543" cm="1">
        <f t="array" ref="AN124">AN$2*AN34*SUMPRODUCT(1*(input_MRB_EV=input_data!$C$55:$C$57),input_data!$F$55:$F$57)</f>
        <v>866.32346890057727</v>
      </c>
      <c r="AO124" s="543" cm="1">
        <f t="array" ref="AO124">AO$2*AO34*SUMPRODUCT(1*(input_MRB_EV=input_data!$C$55:$C$57),input_data!$F$55:$F$57)</f>
        <v>870.4378605002363</v>
      </c>
      <c r="AP124" s="543" cm="1">
        <f t="array" ref="AP124">AP$2*AP34*SUMPRODUCT(1*(input_MRB_EV=input_data!$C$55:$C$57),input_data!$F$55:$F$57)</f>
        <v>874.57179239730499</v>
      </c>
      <c r="AQ124" s="543" cm="1">
        <f t="array" ref="AQ124">AQ$2*AQ34*SUMPRODUCT(1*(input_MRB_EV=input_data!$C$55:$C$57),input_data!$F$55:$F$57)</f>
        <v>878.7253573936506</v>
      </c>
      <c r="AR124" s="543" cm="1">
        <f t="array" ref="AR124">AR$2*AR34*SUMPRODUCT(1*(input_MRB_EV=input_data!$C$55:$C$57),input_data!$F$55:$F$57)</f>
        <v>882.89864873188014</v>
      </c>
      <c r="AS124" s="543" cm="1">
        <f t="array" ref="AS124">AS$2*AS34*SUMPRODUCT(1*(input_MRB_EV=input_data!$C$55:$C$57),input_data!$F$55:$F$57)</f>
        <v>887.09176009743362</v>
      </c>
      <c r="AT124" s="543" cm="1">
        <f t="array" ref="AT124">AT$2*AT34*SUMPRODUCT(1*(input_MRB_EV=input_data!$C$55:$C$57),input_data!$F$55:$F$57)</f>
        <v>891.30478562068708</v>
      </c>
      <c r="AU124" s="543" cm="1">
        <f t="array" ref="AU124">AU$2*AU34*SUMPRODUCT(1*(input_MRB_EV=input_data!$C$55:$C$57),input_data!$F$55:$F$57)</f>
        <v>895.53781987906575</v>
      </c>
      <c r="AV124" s="543" cm="1">
        <f t="array" ref="AV124">AV$2*AV34*SUMPRODUCT(1*(input_MRB_EV=input_data!$C$55:$C$57),input_data!$F$55:$F$57)</f>
        <v>899.79095789916732</v>
      </c>
      <c r="AW124" s="543" cm="1">
        <f t="array" ref="AW124">AW$2*AW34*SUMPRODUCT(1*(input_MRB_EV=input_data!$C$55:$C$57),input_data!$F$55:$F$57)</f>
        <v>904.06429515889511</v>
      </c>
      <c r="AX124" s="543" cm="1">
        <f t="array" ref="AX124">AX$2*AX34*SUMPRODUCT(1*(input_MRB_EV=input_data!$C$55:$C$57),input_data!$F$55:$F$57)</f>
        <v>908.35792758960133</v>
      </c>
      <c r="AY124" s="543" cm="1">
        <f t="array" ref="AY124">AY$2*AY34*SUMPRODUCT(1*(input_MRB_EV=input_data!$C$55:$C$57),input_data!$F$55:$F$57)</f>
        <v>912.67195157824062</v>
      </c>
      <c r="AZ124" s="543" cm="1">
        <f t="array" ref="AZ124">AZ$2*AZ34*SUMPRODUCT(1*(input_MRB_EV=input_data!$C$55:$C$57),input_data!$F$55:$F$57)</f>
        <v>917.00646396953414</v>
      </c>
      <c r="BA124" s="543" cm="1">
        <f t="array" ref="BA124">BA$2*BA34*SUMPRODUCT(1*(input_MRB_EV=input_data!$C$55:$C$57),input_data!$F$55:$F$57)</f>
        <v>921.36156206814314</v>
      </c>
      <c r="BB124" s="543" cm="1">
        <f t="array" ref="BB124">BB$2*BB34*SUMPRODUCT(1*(input_MRB_EV=input_data!$C$55:$C$57),input_data!$F$55:$F$57)</f>
        <v>925.73734364085374</v>
      </c>
      <c r="BC124" s="543" cm="1">
        <f t="array" ref="BC124">BC$2*BC34*SUMPRODUCT(1*(input_MRB_EV=input_data!$C$55:$C$57),input_data!$F$55:$F$57)</f>
        <v>930.13390691877146</v>
      </c>
    </row>
    <row r="125" spans="8:55" x14ac:dyDescent="0.3">
      <c r="H125" s="542" t="str">
        <f>input_names!$F$3</f>
        <v>range-extender</v>
      </c>
      <c r="I125" s="542" t="s">
        <v>525</v>
      </c>
      <c r="J125" s="543">
        <f>J95</f>
        <v>17</v>
      </c>
      <c r="K125" s="543">
        <f t="shared" ref="K125:BC130" si="62">K95</f>
        <v>17</v>
      </c>
      <c r="L125" s="543">
        <f t="shared" si="62"/>
        <v>17</v>
      </c>
      <c r="M125" s="543">
        <f t="shared" si="62"/>
        <v>17</v>
      </c>
      <c r="N125" s="543">
        <f t="shared" si="62"/>
        <v>17</v>
      </c>
      <c r="O125" s="543">
        <f t="shared" si="62"/>
        <v>17</v>
      </c>
      <c r="P125" s="543">
        <f t="shared" si="62"/>
        <v>17</v>
      </c>
      <c r="Q125" s="543">
        <f t="shared" si="62"/>
        <v>17</v>
      </c>
      <c r="R125" s="543">
        <f t="shared" si="62"/>
        <v>17</v>
      </c>
      <c r="S125" s="543">
        <f t="shared" si="62"/>
        <v>17</v>
      </c>
      <c r="T125" s="543">
        <f t="shared" si="62"/>
        <v>25.5</v>
      </c>
      <c r="U125" s="543">
        <f t="shared" si="62"/>
        <v>34.161474690932629</v>
      </c>
      <c r="V125" s="543">
        <f t="shared" si="62"/>
        <v>34.32371626644796</v>
      </c>
      <c r="W125" s="543">
        <f t="shared" si="62"/>
        <v>34.4867283686769</v>
      </c>
      <c r="X125" s="543">
        <f t="shared" si="62"/>
        <v>34.650514657047772</v>
      </c>
      <c r="Y125" s="543">
        <f t="shared" si="62"/>
        <v>34.815078808368462</v>
      </c>
      <c r="Z125" s="543">
        <f t="shared" si="62"/>
        <v>34.980424516908947</v>
      </c>
      <c r="AA125" s="543">
        <f t="shared" si="62"/>
        <v>35.146555494484247</v>
      </c>
      <c r="AB125" s="543">
        <f t="shared" si="62"/>
        <v>35.313475470537732</v>
      </c>
      <c r="AC125" s="543">
        <f t="shared" si="62"/>
        <v>35.481188192224856</v>
      </c>
      <c r="AD125" s="543">
        <f t="shared" si="62"/>
        <v>35.649697424497269</v>
      </c>
      <c r="AE125" s="543">
        <f t="shared" si="62"/>
        <v>35.819006950187344</v>
      </c>
      <c r="AF125" s="543">
        <f t="shared" si="62"/>
        <v>35.989120570093085</v>
      </c>
      <c r="AG125" s="543">
        <f t="shared" si="62"/>
        <v>36.160042103063468</v>
      </c>
      <c r="AH125" s="543">
        <f t="shared" si="62"/>
        <v>36.331775386084146</v>
      </c>
      <c r="AI125" s="543">
        <f t="shared" si="62"/>
        <v>36.504324274363611</v>
      </c>
      <c r="AJ125" s="543">
        <f t="shared" si="62"/>
        <v>36.677692641419711</v>
      </c>
      <c r="AK125" s="543">
        <f t="shared" si="62"/>
        <v>36.851884379166634</v>
      </c>
      <c r="AL125" s="543">
        <f t="shared" si="62"/>
        <v>37.026903398002254</v>
      </c>
      <c r="AM125" s="543">
        <f t="shared" si="62"/>
        <v>37.202753626895927</v>
      </c>
      <c r="AN125" s="543">
        <f t="shared" si="62"/>
        <v>37.379439013476684</v>
      </c>
      <c r="AO125" s="543">
        <f t="shared" si="62"/>
        <v>37.556963524121869</v>
      </c>
      <c r="AP125" s="543">
        <f t="shared" si="62"/>
        <v>37.735331144046157</v>
      </c>
      <c r="AQ125" s="543">
        <f t="shared" si="62"/>
        <v>37.914545877391021</v>
      </c>
      <c r="AR125" s="543">
        <f t="shared" si="62"/>
        <v>38.09461174731463</v>
      </c>
      <c r="AS125" s="543">
        <f t="shared" si="62"/>
        <v>38.275532796082167</v>
      </c>
      <c r="AT125" s="543">
        <f t="shared" si="62"/>
        <v>38.457313085156557</v>
      </c>
      <c r="AU125" s="543">
        <f t="shared" si="62"/>
        <v>38.639956695289648</v>
      </c>
      <c r="AV125" s="543">
        <f t="shared" si="62"/>
        <v>38.823467726613828</v>
      </c>
      <c r="AW125" s="543">
        <f t="shared" si="62"/>
        <v>39.007850298734063</v>
      </c>
      <c r="AX125" s="543">
        <f t="shared" si="62"/>
        <v>39.193108550820369</v>
      </c>
      <c r="AY125" s="543">
        <f t="shared" si="62"/>
        <v>39.379246641700746</v>
      </c>
      <c r="AZ125" s="543">
        <f t="shared" si="62"/>
        <v>39.566268749954524</v>
      </c>
      <c r="BA125" s="543">
        <f t="shared" si="62"/>
        <v>39.754179074006181</v>
      </c>
      <c r="BB125" s="543">
        <f t="shared" si="62"/>
        <v>39.94298183221958</v>
      </c>
      <c r="BC125" s="543">
        <f t="shared" si="62"/>
        <v>40.132681262992676</v>
      </c>
    </row>
    <row r="126" spans="8:55" x14ac:dyDescent="0.3">
      <c r="H126" s="542" t="str">
        <f>input_names!$F$3</f>
        <v>range-extender</v>
      </c>
      <c r="I126" s="542" t="s">
        <v>526</v>
      </c>
      <c r="J126" s="543">
        <f t="shared" ref="J126:Y154" si="63">J96</f>
        <v>22.5</v>
      </c>
      <c r="K126" s="543">
        <f t="shared" si="63"/>
        <v>22.5</v>
      </c>
      <c r="L126" s="543">
        <f t="shared" si="63"/>
        <v>22.5</v>
      </c>
      <c r="M126" s="543">
        <f t="shared" si="63"/>
        <v>22.5</v>
      </c>
      <c r="N126" s="543">
        <f t="shared" si="63"/>
        <v>22.5</v>
      </c>
      <c r="O126" s="543">
        <f t="shared" si="63"/>
        <v>22.5</v>
      </c>
      <c r="P126" s="543">
        <f t="shared" si="63"/>
        <v>22.5</v>
      </c>
      <c r="Q126" s="543">
        <f t="shared" si="63"/>
        <v>22.5</v>
      </c>
      <c r="R126" s="543">
        <f t="shared" si="63"/>
        <v>22.5</v>
      </c>
      <c r="S126" s="543">
        <f t="shared" si="63"/>
        <v>22.5</v>
      </c>
      <c r="T126" s="543">
        <f t="shared" si="63"/>
        <v>33.75</v>
      </c>
      <c r="U126" s="543">
        <f t="shared" si="63"/>
        <v>45.213716502704955</v>
      </c>
      <c r="V126" s="543">
        <f t="shared" si="63"/>
        <v>45.428447999710542</v>
      </c>
      <c r="W126" s="543">
        <f t="shared" si="63"/>
        <v>45.644199311484144</v>
      </c>
      <c r="X126" s="543">
        <f t="shared" si="63"/>
        <v>45.860975281386771</v>
      </c>
      <c r="Y126" s="543">
        <f t="shared" si="63"/>
        <v>46.078780775781802</v>
      </c>
      <c r="Z126" s="543">
        <f t="shared" si="62"/>
        <v>46.297620684144206</v>
      </c>
      <c r="AA126" s="543">
        <f t="shared" si="62"/>
        <v>46.517499919170334</v>
      </c>
      <c r="AB126" s="543">
        <f t="shared" si="62"/>
        <v>46.738423416888182</v>
      </c>
      <c r="AC126" s="543">
        <f t="shared" si="62"/>
        <v>46.960396136768196</v>
      </c>
      <c r="AD126" s="543">
        <f t="shared" si="62"/>
        <v>47.183423061834624</v>
      </c>
      <c r="AE126" s="543">
        <f t="shared" si="62"/>
        <v>47.407509198777369</v>
      </c>
      <c r="AF126" s="543">
        <f t="shared" si="62"/>
        <v>47.632659578064384</v>
      </c>
      <c r="AG126" s="543">
        <f t="shared" si="62"/>
        <v>47.8588792540546</v>
      </c>
      <c r="AH126" s="543">
        <f t="shared" si="62"/>
        <v>48.08617330511138</v>
      </c>
      <c r="AI126" s="543">
        <f t="shared" si="62"/>
        <v>48.314546833716548</v>
      </c>
      <c r="AJ126" s="543">
        <f t="shared" si="62"/>
        <v>48.544004966584914</v>
      </c>
      <c r="AK126" s="543">
        <f t="shared" si="62"/>
        <v>48.774552854779365</v>
      </c>
      <c r="AL126" s="543">
        <f t="shared" si="62"/>
        <v>49.006195673826504</v>
      </c>
      <c r="AM126" s="543">
        <f t="shared" si="62"/>
        <v>49.23893862383283</v>
      </c>
      <c r="AN126" s="543">
        <f t="shared" si="62"/>
        <v>49.472786929601483</v>
      </c>
      <c r="AO126" s="543">
        <f t="shared" si="62"/>
        <v>49.707745840749524</v>
      </c>
      <c r="AP126" s="543">
        <f t="shared" si="62"/>
        <v>49.943820631825787</v>
      </c>
      <c r="AQ126" s="543">
        <f t="shared" si="62"/>
        <v>50.181016602429281</v>
      </c>
      <c r="AR126" s="543">
        <f t="shared" si="62"/>
        <v>50.419339077328182</v>
      </c>
      <c r="AS126" s="543">
        <f t="shared" si="62"/>
        <v>50.658793406579335</v>
      </c>
      <c r="AT126" s="543">
        <f t="shared" si="62"/>
        <v>50.89938496564838</v>
      </c>
      <c r="AU126" s="543">
        <f t="shared" si="62"/>
        <v>51.141119155530411</v>
      </c>
      <c r="AV126" s="543">
        <f t="shared" si="62"/>
        <v>51.384001402871242</v>
      </c>
      <c r="AW126" s="543">
        <f t="shared" si="62"/>
        <v>51.6280371600892</v>
      </c>
      <c r="AX126" s="543">
        <f t="shared" si="62"/>
        <v>51.873231905497548</v>
      </c>
      <c r="AY126" s="543">
        <f t="shared" si="62"/>
        <v>52.119591143427456</v>
      </c>
      <c r="AZ126" s="543">
        <f t="shared" si="62"/>
        <v>52.367120404351574</v>
      </c>
      <c r="BA126" s="543">
        <f t="shared" si="62"/>
        <v>52.615825245008182</v>
      </c>
      <c r="BB126" s="543">
        <f t="shared" si="62"/>
        <v>52.865711248525919</v>
      </c>
      <c r="BC126" s="543">
        <f t="shared" si="62"/>
        <v>53.11678402454914</v>
      </c>
    </row>
    <row r="127" spans="8:55" x14ac:dyDescent="0.3">
      <c r="H127" s="542" t="str">
        <f>input_names!$F$3</f>
        <v>range-extender</v>
      </c>
      <c r="I127" s="542" t="s">
        <v>527</v>
      </c>
      <c r="J127" s="543">
        <f t="shared" si="63"/>
        <v>27.5</v>
      </c>
      <c r="K127" s="543">
        <f t="shared" si="62"/>
        <v>27.5</v>
      </c>
      <c r="L127" s="543">
        <f t="shared" si="62"/>
        <v>27.5</v>
      </c>
      <c r="M127" s="543">
        <f t="shared" si="62"/>
        <v>27.5</v>
      </c>
      <c r="N127" s="543">
        <f t="shared" si="62"/>
        <v>27.5</v>
      </c>
      <c r="O127" s="543">
        <f t="shared" si="62"/>
        <v>27.5</v>
      </c>
      <c r="P127" s="543">
        <f t="shared" si="62"/>
        <v>27.5</v>
      </c>
      <c r="Q127" s="543">
        <f t="shared" si="62"/>
        <v>27.5</v>
      </c>
      <c r="R127" s="543">
        <f t="shared" si="62"/>
        <v>27.5</v>
      </c>
      <c r="S127" s="543">
        <f t="shared" si="62"/>
        <v>27.5</v>
      </c>
      <c r="T127" s="543">
        <f t="shared" si="62"/>
        <v>41.25</v>
      </c>
      <c r="U127" s="543">
        <f t="shared" si="62"/>
        <v>55.26120905886161</v>
      </c>
      <c r="V127" s="543">
        <f t="shared" si="62"/>
        <v>55.523658666312883</v>
      </c>
      <c r="W127" s="543">
        <f t="shared" si="62"/>
        <v>55.787354714036169</v>
      </c>
      <c r="X127" s="543">
        <f t="shared" si="62"/>
        <v>56.052303121694933</v>
      </c>
      <c r="Y127" s="543">
        <f t="shared" si="62"/>
        <v>56.318509837066635</v>
      </c>
      <c r="Z127" s="543">
        <f t="shared" si="62"/>
        <v>56.585980836176248</v>
      </c>
      <c r="AA127" s="543">
        <f t="shared" si="62"/>
        <v>56.854722123430406</v>
      </c>
      <c r="AB127" s="543">
        <f t="shared" si="62"/>
        <v>57.124739731752214</v>
      </c>
      <c r="AC127" s="543">
        <f t="shared" si="62"/>
        <v>57.396039722716679</v>
      </c>
      <c r="AD127" s="543">
        <f t="shared" si="62"/>
        <v>57.66862818668676</v>
      </c>
      <c r="AE127" s="543">
        <f t="shared" si="62"/>
        <v>57.942511242950118</v>
      </c>
      <c r="AF127" s="543">
        <f t="shared" si="62"/>
        <v>58.217695039856466</v>
      </c>
      <c r="AG127" s="543">
        <f t="shared" si="62"/>
        <v>58.494185754955616</v>
      </c>
      <c r="AH127" s="543">
        <f t="shared" si="62"/>
        <v>58.771989595136127</v>
      </c>
      <c r="AI127" s="543">
        <f t="shared" si="62"/>
        <v>59.05111279676467</v>
      </c>
      <c r="AJ127" s="543">
        <f t="shared" si="62"/>
        <v>59.331561625826012</v>
      </c>
      <c r="AK127" s="543">
        <f t="shared" si="62"/>
        <v>59.613342378063678</v>
      </c>
      <c r="AL127" s="543">
        <f t="shared" si="62"/>
        <v>59.896461379121298</v>
      </c>
      <c r="AM127" s="543">
        <f t="shared" si="62"/>
        <v>60.180924984684587</v>
      </c>
      <c r="AN127" s="543">
        <f t="shared" si="62"/>
        <v>60.466739580624051</v>
      </c>
      <c r="AO127" s="543">
        <f t="shared" si="62"/>
        <v>60.753911583138319</v>
      </c>
      <c r="AP127" s="543">
        <f t="shared" si="62"/>
        <v>61.042447438898193</v>
      </c>
      <c r="AQ127" s="543">
        <f t="shared" si="62"/>
        <v>61.332353625191352</v>
      </c>
      <c r="AR127" s="543">
        <f t="shared" si="62"/>
        <v>61.62363665006778</v>
      </c>
      <c r="AS127" s="543">
        <f t="shared" si="62"/>
        <v>61.916303052485851</v>
      </c>
      <c r="AT127" s="543">
        <f t="shared" si="62"/>
        <v>62.210359402459126</v>
      </c>
      <c r="AU127" s="543">
        <f t="shared" si="62"/>
        <v>62.505812301203832</v>
      </c>
      <c r="AV127" s="543">
        <f t="shared" si="62"/>
        <v>62.80266838128707</v>
      </c>
      <c r="AW127" s="543">
        <f t="shared" si="62"/>
        <v>63.100934306775684</v>
      </c>
      <c r="AX127" s="543">
        <f t="shared" si="62"/>
        <v>63.400616773385885</v>
      </c>
      <c r="AY127" s="543">
        <f t="shared" si="62"/>
        <v>63.701722508633551</v>
      </c>
      <c r="AZ127" s="543">
        <f t="shared" si="62"/>
        <v>64.00425827198525</v>
      </c>
      <c r="BA127" s="543">
        <f t="shared" si="62"/>
        <v>64.308230855009995</v>
      </c>
      <c r="BB127" s="543">
        <f t="shared" si="62"/>
        <v>64.613647081531667</v>
      </c>
      <c r="BC127" s="543">
        <f t="shared" si="62"/>
        <v>64.920513807782271</v>
      </c>
    </row>
    <row r="128" spans="8:55" x14ac:dyDescent="0.3">
      <c r="H128" s="542" t="str">
        <f>input_names!$F$3</f>
        <v>range-extender</v>
      </c>
      <c r="I128" s="542" t="s">
        <v>528</v>
      </c>
      <c r="J128" s="543">
        <f t="shared" si="63"/>
        <v>36.5</v>
      </c>
      <c r="K128" s="543">
        <f t="shared" si="62"/>
        <v>36.5</v>
      </c>
      <c r="L128" s="543">
        <f t="shared" si="62"/>
        <v>36.5</v>
      </c>
      <c r="M128" s="543">
        <f t="shared" si="62"/>
        <v>36.5</v>
      </c>
      <c r="N128" s="543">
        <f t="shared" si="62"/>
        <v>36.5</v>
      </c>
      <c r="O128" s="543">
        <f t="shared" si="62"/>
        <v>36.5</v>
      </c>
      <c r="P128" s="543">
        <f t="shared" si="62"/>
        <v>36.5</v>
      </c>
      <c r="Q128" s="543">
        <f t="shared" si="62"/>
        <v>36.5</v>
      </c>
      <c r="R128" s="543">
        <f t="shared" si="62"/>
        <v>36.5</v>
      </c>
      <c r="S128" s="543">
        <f t="shared" si="62"/>
        <v>36.5</v>
      </c>
      <c r="T128" s="543">
        <f t="shared" si="62"/>
        <v>54.75</v>
      </c>
      <c r="U128" s="543">
        <f t="shared" si="62"/>
        <v>73.346695659943592</v>
      </c>
      <c r="V128" s="543">
        <f t="shared" si="62"/>
        <v>73.695037866197097</v>
      </c>
      <c r="W128" s="543">
        <f t="shared" si="62"/>
        <v>74.045034438629827</v>
      </c>
      <c r="X128" s="543">
        <f t="shared" si="62"/>
        <v>74.396693234249639</v>
      </c>
      <c r="Y128" s="543">
        <f t="shared" si="62"/>
        <v>74.750022147379354</v>
      </c>
      <c r="Z128" s="543">
        <f t="shared" si="62"/>
        <v>75.105029109833922</v>
      </c>
      <c r="AA128" s="543">
        <f t="shared" si="62"/>
        <v>75.461722091098537</v>
      </c>
      <c r="AB128" s="543">
        <f t="shared" si="62"/>
        <v>75.820109098507487</v>
      </c>
      <c r="AC128" s="543">
        <f t="shared" si="62"/>
        <v>76.180198177423961</v>
      </c>
      <c r="AD128" s="543">
        <f t="shared" si="62"/>
        <v>76.54199741142061</v>
      </c>
      <c r="AE128" s="543">
        <f t="shared" si="62"/>
        <v>76.905514922461066</v>
      </c>
      <c r="AF128" s="543">
        <f t="shared" si="62"/>
        <v>77.270758871082222</v>
      </c>
      <c r="AG128" s="543">
        <f t="shared" si="62"/>
        <v>77.637737456577455</v>
      </c>
      <c r="AH128" s="543">
        <f t="shared" si="62"/>
        <v>78.00645891718068</v>
      </c>
      <c r="AI128" s="543">
        <f t="shared" si="62"/>
        <v>78.376931530251298</v>
      </c>
      <c r="AJ128" s="543">
        <f t="shared" si="62"/>
        <v>78.749163612459981</v>
      </c>
      <c r="AK128" s="543">
        <f t="shared" si="62"/>
        <v>79.123163519975435</v>
      </c>
      <c r="AL128" s="543">
        <f t="shared" si="62"/>
        <v>79.498939648651913</v>
      </c>
      <c r="AM128" s="543">
        <f t="shared" si="62"/>
        <v>79.876500434217732</v>
      </c>
      <c r="AN128" s="543">
        <f t="shared" si="62"/>
        <v>80.255854352464652</v>
      </c>
      <c r="AO128" s="543">
        <f t="shared" si="62"/>
        <v>80.637009919438142</v>
      </c>
      <c r="AP128" s="543">
        <f t="shared" si="62"/>
        <v>81.019975691628517</v>
      </c>
      <c r="AQ128" s="543">
        <f t="shared" si="62"/>
        <v>81.40476026616308</v>
      </c>
      <c r="AR128" s="543">
        <f t="shared" si="62"/>
        <v>81.79137228099907</v>
      </c>
      <c r="AS128" s="543">
        <f t="shared" si="62"/>
        <v>82.179820415117604</v>
      </c>
      <c r="AT128" s="543">
        <f t="shared" si="62"/>
        <v>82.570113388718497</v>
      </c>
      <c r="AU128" s="543">
        <f t="shared" si="62"/>
        <v>82.962259963416017</v>
      </c>
      <c r="AV128" s="543">
        <f t="shared" si="62"/>
        <v>83.356268942435577</v>
      </c>
      <c r="AW128" s="543">
        <f t="shared" si="62"/>
        <v>83.752149170811379</v>
      </c>
      <c r="AX128" s="543">
        <f t="shared" si="62"/>
        <v>84.149909535584925</v>
      </c>
      <c r="AY128" s="543">
        <f t="shared" si="62"/>
        <v>84.549558966004554</v>
      </c>
      <c r="AZ128" s="543">
        <f t="shared" si="62"/>
        <v>84.951106433725897</v>
      </c>
      <c r="BA128" s="543">
        <f t="shared" si="62"/>
        <v>85.354560953013277</v>
      </c>
      <c r="BB128" s="543">
        <f t="shared" si="62"/>
        <v>85.759931580942052</v>
      </c>
      <c r="BC128" s="543">
        <f t="shared" si="62"/>
        <v>86.167227417601936</v>
      </c>
    </row>
    <row r="129" spans="8:55" x14ac:dyDescent="0.3">
      <c r="H129" s="542" t="str">
        <f>input_names!$F$3</f>
        <v>range-extender</v>
      </c>
      <c r="I129" s="542" t="s">
        <v>529</v>
      </c>
      <c r="J129" s="543">
        <f t="shared" si="63"/>
        <v>47.5</v>
      </c>
      <c r="K129" s="543">
        <f t="shared" si="62"/>
        <v>47.5</v>
      </c>
      <c r="L129" s="543">
        <f t="shared" si="62"/>
        <v>47.5</v>
      </c>
      <c r="M129" s="543">
        <f t="shared" si="62"/>
        <v>47.5</v>
      </c>
      <c r="N129" s="543">
        <f t="shared" si="62"/>
        <v>47.5</v>
      </c>
      <c r="O129" s="543">
        <f t="shared" si="62"/>
        <v>47.5</v>
      </c>
      <c r="P129" s="543">
        <f t="shared" si="62"/>
        <v>47.5</v>
      </c>
      <c r="Q129" s="543">
        <f t="shared" si="62"/>
        <v>47.5</v>
      </c>
      <c r="R129" s="543">
        <f t="shared" si="62"/>
        <v>47.5</v>
      </c>
      <c r="S129" s="543">
        <f t="shared" si="62"/>
        <v>47.5</v>
      </c>
      <c r="T129" s="543">
        <f t="shared" si="62"/>
        <v>71.25</v>
      </c>
      <c r="U129" s="543">
        <f t="shared" si="62"/>
        <v>95.45117928348823</v>
      </c>
      <c r="V129" s="543">
        <f t="shared" si="62"/>
        <v>95.904501332722248</v>
      </c>
      <c r="W129" s="543">
        <f t="shared" si="62"/>
        <v>96.359976324244286</v>
      </c>
      <c r="X129" s="543">
        <f t="shared" si="62"/>
        <v>96.81761448292761</v>
      </c>
      <c r="Y129" s="543">
        <f t="shared" si="62"/>
        <v>97.277426082206006</v>
      </c>
      <c r="Z129" s="543">
        <f t="shared" si="62"/>
        <v>97.739421444304426</v>
      </c>
      <c r="AA129" s="543">
        <f t="shared" si="62"/>
        <v>98.203610940470696</v>
      </c>
      <c r="AB129" s="543">
        <f t="shared" si="62"/>
        <v>98.670004991208373</v>
      </c>
      <c r="AC129" s="543">
        <f t="shared" si="62"/>
        <v>99.138614066510627</v>
      </c>
      <c r="AD129" s="543">
        <f t="shared" si="62"/>
        <v>99.609448686095305</v>
      </c>
      <c r="AE129" s="543">
        <f t="shared" si="62"/>
        <v>100.0825194196411</v>
      </c>
      <c r="AF129" s="543">
        <f t="shared" si="62"/>
        <v>100.55783688702479</v>
      </c>
      <c r="AG129" s="543">
        <f t="shared" si="62"/>
        <v>101.03541175855969</v>
      </c>
      <c r="AH129" s="543">
        <f t="shared" si="62"/>
        <v>101.51525475523512</v>
      </c>
      <c r="AI129" s="543">
        <f t="shared" si="62"/>
        <v>101.99737664895714</v>
      </c>
      <c r="AJ129" s="543">
        <f t="shared" si="62"/>
        <v>102.48178826279036</v>
      </c>
      <c r="AK129" s="543">
        <f t="shared" si="62"/>
        <v>102.96850047120087</v>
      </c>
      <c r="AL129" s="543">
        <f t="shared" si="62"/>
        <v>103.45752420030038</v>
      </c>
      <c r="AM129" s="543">
        <f t="shared" si="62"/>
        <v>103.94887042809152</v>
      </c>
      <c r="AN129" s="543">
        <f t="shared" si="62"/>
        <v>104.44255018471424</v>
      </c>
      <c r="AO129" s="543">
        <f t="shared" si="62"/>
        <v>104.93857455269342</v>
      </c>
      <c r="AP129" s="543">
        <f t="shared" si="62"/>
        <v>105.43695466718775</v>
      </c>
      <c r="AQ129" s="543">
        <f t="shared" si="62"/>
        <v>105.93770171623957</v>
      </c>
      <c r="AR129" s="543">
        <f t="shared" si="62"/>
        <v>106.44082694102613</v>
      </c>
      <c r="AS129" s="543">
        <f t="shared" si="62"/>
        <v>106.9463416361119</v>
      </c>
      <c r="AT129" s="543">
        <f t="shared" si="62"/>
        <v>107.4542571497021</v>
      </c>
      <c r="AU129" s="543">
        <f t="shared" si="62"/>
        <v>107.9645848838975</v>
      </c>
      <c r="AV129" s="543">
        <f t="shared" si="62"/>
        <v>108.47733629495036</v>
      </c>
      <c r="AW129" s="543">
        <f t="shared" si="62"/>
        <v>108.99252289352161</v>
      </c>
      <c r="AX129" s="543">
        <f t="shared" si="62"/>
        <v>109.51015624493924</v>
      </c>
      <c r="AY129" s="543">
        <f t="shared" si="62"/>
        <v>110.03024796945793</v>
      </c>
      <c r="AZ129" s="543">
        <f t="shared" si="62"/>
        <v>110.55280974251997</v>
      </c>
      <c r="BA129" s="543">
        <f t="shared" si="62"/>
        <v>111.07785329501725</v>
      </c>
      <c r="BB129" s="543">
        <f t="shared" si="62"/>
        <v>111.60539041355469</v>
      </c>
      <c r="BC129" s="543">
        <f t="shared" si="62"/>
        <v>112.13543294071482</v>
      </c>
    </row>
    <row r="130" spans="8:55" x14ac:dyDescent="0.3">
      <c r="H130" s="542" t="str">
        <f>input_names!$F$3</f>
        <v>range-extender</v>
      </c>
      <c r="I130" s="542" t="s">
        <v>530</v>
      </c>
      <c r="J130" s="543">
        <f t="shared" si="63"/>
        <v>61.5</v>
      </c>
      <c r="K130" s="543">
        <f t="shared" si="62"/>
        <v>61.5</v>
      </c>
      <c r="L130" s="543">
        <f t="shared" si="62"/>
        <v>61.5</v>
      </c>
      <c r="M130" s="543">
        <f t="shared" si="62"/>
        <v>61.5</v>
      </c>
      <c r="N130" s="543">
        <f t="shared" si="62"/>
        <v>61.5</v>
      </c>
      <c r="O130" s="543">
        <f t="shared" si="62"/>
        <v>61.5</v>
      </c>
      <c r="P130" s="543">
        <f t="shared" si="62"/>
        <v>61.5</v>
      </c>
      <c r="Q130" s="543">
        <f t="shared" si="62"/>
        <v>61.5</v>
      </c>
      <c r="R130" s="543">
        <f t="shared" si="62"/>
        <v>61.5</v>
      </c>
      <c r="S130" s="543">
        <f t="shared" si="62"/>
        <v>61.5</v>
      </c>
      <c r="T130" s="543">
        <f t="shared" si="62"/>
        <v>92.25</v>
      </c>
      <c r="U130" s="543">
        <f t="shared" si="62"/>
        <v>123.58415844072687</v>
      </c>
      <c r="V130" s="543">
        <f t="shared" si="62"/>
        <v>124.1710911992088</v>
      </c>
      <c r="W130" s="543">
        <f t="shared" si="62"/>
        <v>124.76081145138997</v>
      </c>
      <c r="X130" s="543">
        <f t="shared" si="62"/>
        <v>125.35333243579049</v>
      </c>
      <c r="Y130" s="543">
        <f t="shared" si="62"/>
        <v>125.94866745380357</v>
      </c>
      <c r="Z130" s="543">
        <f t="shared" si="62"/>
        <v>126.54682986999414</v>
      </c>
      <c r="AA130" s="543">
        <f t="shared" si="62"/>
        <v>127.1478331123989</v>
      </c>
      <c r="AB130" s="543">
        <f t="shared" si="62"/>
        <v>127.75169067282768</v>
      </c>
      <c r="AC130" s="543">
        <f t="shared" si="62"/>
        <v>128.35841610716639</v>
      </c>
      <c r="AD130" s="543">
        <f t="shared" si="62"/>
        <v>128.96802303568128</v>
      </c>
      <c r="AE130" s="543">
        <f t="shared" si="62"/>
        <v>129.58052514332479</v>
      </c>
      <c r="AF130" s="543">
        <f t="shared" si="62"/>
        <v>130.19593618004262</v>
      </c>
      <c r="AG130" s="543">
        <f t="shared" si="62"/>
        <v>130.81426996108254</v>
      </c>
      <c r="AH130" s="543">
        <f t="shared" si="62"/>
        <v>131.43554036730441</v>
      </c>
      <c r="AI130" s="543">
        <f t="shared" si="62"/>
        <v>132.05976134549189</v>
      </c>
      <c r="AJ130" s="543">
        <f t="shared" si="62"/>
        <v>132.68694690866545</v>
      </c>
      <c r="AK130" s="543">
        <f t="shared" si="62"/>
        <v>133.31711113639696</v>
      </c>
      <c r="AL130" s="543">
        <f t="shared" si="62"/>
        <v>133.95026817512581</v>
      </c>
      <c r="AM130" s="543">
        <f t="shared" si="62"/>
        <v>134.58643223847645</v>
      </c>
      <c r="AN130" s="543">
        <f t="shared" si="62"/>
        <v>135.22561760757745</v>
      </c>
      <c r="AO130" s="543">
        <f t="shared" si="62"/>
        <v>135.86783863138209</v>
      </c>
      <c r="AP130" s="543">
        <f t="shared" si="62"/>
        <v>136.51310972699054</v>
      </c>
      <c r="AQ130" s="543">
        <f t="shared" si="62"/>
        <v>137.16144537997343</v>
      </c>
      <c r="AR130" s="543">
        <f t="shared" si="62"/>
        <v>137.81286014469708</v>
      </c>
      <c r="AS130" s="543">
        <f t="shared" si="62"/>
        <v>138.46736864465024</v>
      </c>
      <c r="AT130" s="543">
        <f t="shared" si="62"/>
        <v>139.12498557277229</v>
      </c>
      <c r="AU130" s="543">
        <f t="shared" si="62"/>
        <v>139.78572569178317</v>
      </c>
      <c r="AV130" s="543">
        <f t="shared" si="62"/>
        <v>140.44960383451476</v>
      </c>
      <c r="AW130" s="543">
        <f t="shared" si="62"/>
        <v>141.11663490424385</v>
      </c>
      <c r="AX130" s="543">
        <f t="shared" si="62"/>
        <v>141.78683387502667</v>
      </c>
      <c r="AY130" s="543">
        <f t="shared" si="62"/>
        <v>142.46021579203509</v>
      </c>
      <c r="AZ130" s="543">
        <f t="shared" si="62"/>
        <v>143.13679577189436</v>
      </c>
      <c r="BA130" s="543">
        <f t="shared" si="62"/>
        <v>143.81658900302241</v>
      </c>
      <c r="BB130" s="543">
        <f t="shared" si="62"/>
        <v>144.4996107459709</v>
      </c>
      <c r="BC130" s="543">
        <f t="shared" si="62"/>
        <v>145.18587633376771</v>
      </c>
    </row>
    <row r="131" spans="8:55" x14ac:dyDescent="0.3">
      <c r="H131" s="542" t="str">
        <f>input_names!$F$3</f>
        <v>range-extender</v>
      </c>
      <c r="I131" s="542" t="s">
        <v>531</v>
      </c>
      <c r="J131" s="543">
        <f t="shared" si="63"/>
        <v>75.5</v>
      </c>
      <c r="K131" s="543">
        <f t="shared" ref="K131:BC136" si="64">K101</f>
        <v>75.5</v>
      </c>
      <c r="L131" s="543">
        <f t="shared" si="64"/>
        <v>75.5</v>
      </c>
      <c r="M131" s="543">
        <f t="shared" si="64"/>
        <v>75.5</v>
      </c>
      <c r="N131" s="543">
        <f t="shared" si="64"/>
        <v>75.5</v>
      </c>
      <c r="O131" s="543">
        <f t="shared" si="64"/>
        <v>75.5</v>
      </c>
      <c r="P131" s="543">
        <f t="shared" si="64"/>
        <v>75.5</v>
      </c>
      <c r="Q131" s="543">
        <f t="shared" si="64"/>
        <v>75.5</v>
      </c>
      <c r="R131" s="543">
        <f t="shared" si="64"/>
        <v>75.5</v>
      </c>
      <c r="S131" s="543">
        <f t="shared" si="64"/>
        <v>75.5</v>
      </c>
      <c r="T131" s="543">
        <f t="shared" si="64"/>
        <v>113.25</v>
      </c>
      <c r="U131" s="543">
        <f t="shared" si="64"/>
        <v>151.71713759796552</v>
      </c>
      <c r="V131" s="543">
        <f t="shared" si="64"/>
        <v>152.43768106569536</v>
      </c>
      <c r="W131" s="543">
        <f t="shared" si="64"/>
        <v>153.16164657853565</v>
      </c>
      <c r="X131" s="543">
        <f t="shared" si="64"/>
        <v>153.88905038865335</v>
      </c>
      <c r="Y131" s="543">
        <f t="shared" si="64"/>
        <v>154.6199088254011</v>
      </c>
      <c r="Z131" s="543">
        <f t="shared" si="64"/>
        <v>155.35423829568384</v>
      </c>
      <c r="AA131" s="543">
        <f t="shared" si="64"/>
        <v>156.09205528432707</v>
      </c>
      <c r="AB131" s="543">
        <f t="shared" si="64"/>
        <v>156.83337635444695</v>
      </c>
      <c r="AC131" s="543">
        <f t="shared" si="64"/>
        <v>157.57821814782213</v>
      </c>
      <c r="AD131" s="543">
        <f t="shared" si="64"/>
        <v>158.32659738526726</v>
      </c>
      <c r="AE131" s="543">
        <f t="shared" si="64"/>
        <v>159.07853086700848</v>
      </c>
      <c r="AF131" s="543">
        <f t="shared" si="64"/>
        <v>159.83403547306045</v>
      </c>
      <c r="AG131" s="543">
        <f t="shared" si="64"/>
        <v>160.5931281636054</v>
      </c>
      <c r="AH131" s="543">
        <f t="shared" si="64"/>
        <v>161.35582597937372</v>
      </c>
      <c r="AI131" s="543">
        <f t="shared" si="64"/>
        <v>162.12214604202663</v>
      </c>
      <c r="AJ131" s="543">
        <f t="shared" si="64"/>
        <v>162.89210555454048</v>
      </c>
      <c r="AK131" s="543">
        <f t="shared" si="64"/>
        <v>163.66572180159298</v>
      </c>
      <c r="AL131" s="543">
        <f t="shared" si="64"/>
        <v>164.44301214995116</v>
      </c>
      <c r="AM131" s="543">
        <f t="shared" si="64"/>
        <v>165.2239940488613</v>
      </c>
      <c r="AN131" s="543">
        <f t="shared" si="64"/>
        <v>166.00868503044057</v>
      </c>
      <c r="AO131" s="543">
        <f t="shared" si="64"/>
        <v>166.79710271007067</v>
      </c>
      <c r="AP131" s="543">
        <f t="shared" si="64"/>
        <v>167.58926478679322</v>
      </c>
      <c r="AQ131" s="543">
        <f t="shared" si="64"/>
        <v>168.38518904370719</v>
      </c>
      <c r="AR131" s="543">
        <f t="shared" si="64"/>
        <v>169.18489334836792</v>
      </c>
      <c r="AS131" s="543">
        <f t="shared" si="64"/>
        <v>169.98839565318846</v>
      </c>
      <c r="AT131" s="543">
        <f t="shared" si="64"/>
        <v>170.79571399584236</v>
      </c>
      <c r="AU131" s="543">
        <f t="shared" si="64"/>
        <v>171.60686649966874</v>
      </c>
      <c r="AV131" s="543">
        <f t="shared" si="64"/>
        <v>172.42187137407907</v>
      </c>
      <c r="AW131" s="543">
        <f t="shared" si="64"/>
        <v>173.240746914966</v>
      </c>
      <c r="AX131" s="543">
        <f t="shared" si="64"/>
        <v>174.06351150511401</v>
      </c>
      <c r="AY131" s="543">
        <f t="shared" si="64"/>
        <v>174.89018361461214</v>
      </c>
      <c r="AZ131" s="543">
        <f t="shared" si="64"/>
        <v>175.72078180126863</v>
      </c>
      <c r="BA131" s="543">
        <f t="shared" si="64"/>
        <v>176.55532471102745</v>
      </c>
      <c r="BB131" s="543">
        <f t="shared" si="64"/>
        <v>177.39383107838697</v>
      </c>
      <c r="BC131" s="543">
        <f t="shared" si="64"/>
        <v>178.23631972682043</v>
      </c>
    </row>
    <row r="132" spans="8:55" x14ac:dyDescent="0.3">
      <c r="H132" s="542" t="str">
        <f>input_names!$F$3</f>
        <v>range-extender</v>
      </c>
      <c r="I132" s="542" t="s">
        <v>532</v>
      </c>
      <c r="J132" s="543">
        <f t="shared" si="63"/>
        <v>84.5</v>
      </c>
      <c r="K132" s="543">
        <f t="shared" si="64"/>
        <v>84.5</v>
      </c>
      <c r="L132" s="543">
        <f t="shared" si="64"/>
        <v>84.5</v>
      </c>
      <c r="M132" s="543">
        <f t="shared" si="64"/>
        <v>84.5</v>
      </c>
      <c r="N132" s="543">
        <f t="shared" si="64"/>
        <v>84.5</v>
      </c>
      <c r="O132" s="543">
        <f t="shared" si="64"/>
        <v>84.5</v>
      </c>
      <c r="P132" s="543">
        <f t="shared" si="64"/>
        <v>84.5</v>
      </c>
      <c r="Q132" s="543">
        <f t="shared" si="64"/>
        <v>84.5</v>
      </c>
      <c r="R132" s="543">
        <f t="shared" si="64"/>
        <v>84.5</v>
      </c>
      <c r="S132" s="543">
        <f t="shared" si="64"/>
        <v>84.5</v>
      </c>
      <c r="T132" s="543">
        <f t="shared" si="64"/>
        <v>126.75</v>
      </c>
      <c r="U132" s="543">
        <f t="shared" si="64"/>
        <v>169.8026241990475</v>
      </c>
      <c r="V132" s="543">
        <f t="shared" si="64"/>
        <v>170.60906026557959</v>
      </c>
      <c r="W132" s="543">
        <f t="shared" si="64"/>
        <v>171.41932630312934</v>
      </c>
      <c r="X132" s="543">
        <f t="shared" si="64"/>
        <v>172.23344050120809</v>
      </c>
      <c r="Y132" s="543">
        <f t="shared" si="64"/>
        <v>173.05142113571387</v>
      </c>
      <c r="Z132" s="543">
        <f t="shared" si="64"/>
        <v>173.87328656934159</v>
      </c>
      <c r="AA132" s="543">
        <f t="shared" si="64"/>
        <v>174.69905525199528</v>
      </c>
      <c r="AB132" s="543">
        <f t="shared" si="64"/>
        <v>175.52874572120228</v>
      </c>
      <c r="AC132" s="543">
        <f t="shared" si="64"/>
        <v>176.36237660252945</v>
      </c>
      <c r="AD132" s="543">
        <f t="shared" si="64"/>
        <v>177.19996661000116</v>
      </c>
      <c r="AE132" s="543">
        <f t="shared" si="64"/>
        <v>178.04153454651947</v>
      </c>
      <c r="AF132" s="543">
        <f t="shared" si="64"/>
        <v>178.88709930428627</v>
      </c>
      <c r="AG132" s="543">
        <f t="shared" si="64"/>
        <v>179.73667986522727</v>
      </c>
      <c r="AH132" s="543">
        <f t="shared" si="64"/>
        <v>180.59029530141831</v>
      </c>
      <c r="AI132" s="543">
        <f t="shared" si="64"/>
        <v>181.4479647755133</v>
      </c>
      <c r="AJ132" s="543">
        <f t="shared" si="64"/>
        <v>182.3097075411745</v>
      </c>
      <c r="AK132" s="543">
        <f t="shared" si="64"/>
        <v>183.17554294350478</v>
      </c>
      <c r="AL132" s="543">
        <f t="shared" si="64"/>
        <v>184.04549041948181</v>
      </c>
      <c r="AM132" s="543">
        <f t="shared" si="64"/>
        <v>184.91956949839448</v>
      </c>
      <c r="AN132" s="543">
        <f t="shared" si="64"/>
        <v>185.79779980228119</v>
      </c>
      <c r="AO132" s="543">
        <f t="shared" si="64"/>
        <v>186.68020104637048</v>
      </c>
      <c r="AP132" s="543">
        <f t="shared" si="64"/>
        <v>187.56679303952356</v>
      </c>
      <c r="AQ132" s="543">
        <f t="shared" si="64"/>
        <v>188.45759568467892</v>
      </c>
      <c r="AR132" s="543">
        <f t="shared" si="64"/>
        <v>189.35262897929923</v>
      </c>
      <c r="AS132" s="543">
        <f t="shared" si="64"/>
        <v>190.25191301582021</v>
      </c>
      <c r="AT132" s="543">
        <f t="shared" si="64"/>
        <v>191.15546798210173</v>
      </c>
      <c r="AU132" s="543">
        <f t="shared" si="64"/>
        <v>192.06331416188092</v>
      </c>
      <c r="AV132" s="543">
        <f t="shared" si="64"/>
        <v>192.9754719352276</v>
      </c>
      <c r="AW132" s="543">
        <f t="shared" si="64"/>
        <v>193.89196177900172</v>
      </c>
      <c r="AX132" s="543">
        <f t="shared" si="64"/>
        <v>194.81280426731308</v>
      </c>
      <c r="AY132" s="543">
        <f t="shared" si="64"/>
        <v>195.73802007198319</v>
      </c>
      <c r="AZ132" s="543">
        <f t="shared" si="64"/>
        <v>196.66762996300932</v>
      </c>
      <c r="BA132" s="543">
        <f t="shared" si="64"/>
        <v>197.6016548090308</v>
      </c>
      <c r="BB132" s="543">
        <f t="shared" si="64"/>
        <v>198.54011557779742</v>
      </c>
      <c r="BC132" s="543">
        <f t="shared" si="64"/>
        <v>199.48303333664018</v>
      </c>
    </row>
    <row r="133" spans="8:55" x14ac:dyDescent="0.3">
      <c r="H133" s="542" t="str">
        <f>input_names!$F$3</f>
        <v>range-extender</v>
      </c>
      <c r="I133" s="542" t="s">
        <v>533</v>
      </c>
      <c r="J133" s="543">
        <f t="shared" si="63"/>
        <v>103.5</v>
      </c>
      <c r="K133" s="543">
        <f t="shared" si="64"/>
        <v>103.5</v>
      </c>
      <c r="L133" s="543">
        <f t="shared" si="64"/>
        <v>103.5</v>
      </c>
      <c r="M133" s="543">
        <f t="shared" si="64"/>
        <v>103.5</v>
      </c>
      <c r="N133" s="543">
        <f t="shared" si="64"/>
        <v>103.5</v>
      </c>
      <c r="O133" s="543">
        <f t="shared" si="64"/>
        <v>103.5</v>
      </c>
      <c r="P133" s="543">
        <f t="shared" si="64"/>
        <v>103.5</v>
      </c>
      <c r="Q133" s="543">
        <f t="shared" si="64"/>
        <v>103.5</v>
      </c>
      <c r="R133" s="543">
        <f t="shared" si="64"/>
        <v>103.5</v>
      </c>
      <c r="S133" s="543">
        <f t="shared" si="64"/>
        <v>103.5</v>
      </c>
      <c r="T133" s="543">
        <f t="shared" si="64"/>
        <v>155.25</v>
      </c>
      <c r="U133" s="543">
        <f t="shared" si="64"/>
        <v>207.98309591244279</v>
      </c>
      <c r="V133" s="543">
        <f t="shared" si="64"/>
        <v>208.9708607986685</v>
      </c>
      <c r="W133" s="543">
        <f t="shared" si="64"/>
        <v>209.96331683282705</v>
      </c>
      <c r="X133" s="543">
        <f t="shared" si="64"/>
        <v>210.96048629437914</v>
      </c>
      <c r="Y133" s="543">
        <f t="shared" si="64"/>
        <v>211.96239156859627</v>
      </c>
      <c r="Z133" s="543">
        <f t="shared" si="64"/>
        <v>212.96905514706336</v>
      </c>
      <c r="AA133" s="543">
        <f t="shared" si="64"/>
        <v>213.98049962818357</v>
      </c>
      <c r="AB133" s="543">
        <f t="shared" si="64"/>
        <v>214.99674771768565</v>
      </c>
      <c r="AC133" s="543">
        <f t="shared" si="64"/>
        <v>216.01782222913371</v>
      </c>
      <c r="AD133" s="543">
        <f t="shared" si="64"/>
        <v>217.04374608443928</v>
      </c>
      <c r="AE133" s="543">
        <f t="shared" si="64"/>
        <v>218.07454231437592</v>
      </c>
      <c r="AF133" s="543">
        <f t="shared" si="64"/>
        <v>219.11023405909617</v>
      </c>
      <c r="AG133" s="543">
        <f t="shared" si="64"/>
        <v>220.15084456865114</v>
      </c>
      <c r="AH133" s="543">
        <f t="shared" si="64"/>
        <v>221.19639720351233</v>
      </c>
      <c r="AI133" s="543">
        <f t="shared" si="64"/>
        <v>222.24691543509613</v>
      </c>
      <c r="AJ133" s="543">
        <f t="shared" si="64"/>
        <v>223.30242284629063</v>
      </c>
      <c r="AK133" s="543">
        <f t="shared" si="64"/>
        <v>224.36294313198511</v>
      </c>
      <c r="AL133" s="543">
        <f t="shared" si="64"/>
        <v>225.42850009960196</v>
      </c>
      <c r="AM133" s="543">
        <f t="shared" si="64"/>
        <v>226.49911766963109</v>
      </c>
      <c r="AN133" s="543">
        <f t="shared" si="64"/>
        <v>227.57481987616688</v>
      </c>
      <c r="AO133" s="543">
        <f t="shared" si="64"/>
        <v>228.65563086744785</v>
      </c>
      <c r="AP133" s="543">
        <f t="shared" si="64"/>
        <v>229.74157490639865</v>
      </c>
      <c r="AQ133" s="543">
        <f t="shared" si="64"/>
        <v>230.83267637117473</v>
      </c>
      <c r="AR133" s="543">
        <f t="shared" si="64"/>
        <v>231.92895975570966</v>
      </c>
      <c r="AS133" s="543">
        <f t="shared" si="64"/>
        <v>233.03044967026494</v>
      </c>
      <c r="AT133" s="543">
        <f t="shared" si="64"/>
        <v>234.13717084198254</v>
      </c>
      <c r="AU133" s="543">
        <f t="shared" si="64"/>
        <v>235.24914811543988</v>
      </c>
      <c r="AV133" s="543">
        <f t="shared" si="64"/>
        <v>236.3664064532077</v>
      </c>
      <c r="AW133" s="543">
        <f t="shared" si="64"/>
        <v>237.48897093641031</v>
      </c>
      <c r="AX133" s="543">
        <f t="shared" si="64"/>
        <v>238.61686676528871</v>
      </c>
      <c r="AY133" s="543">
        <f t="shared" si="64"/>
        <v>239.75011925976628</v>
      </c>
      <c r="AZ133" s="543">
        <f t="shared" si="64"/>
        <v>240.88875386001723</v>
      </c>
      <c r="BA133" s="543">
        <f t="shared" si="64"/>
        <v>242.03279612703761</v>
      </c>
      <c r="BB133" s="543">
        <f t="shared" si="64"/>
        <v>243.18227174321919</v>
      </c>
      <c r="BC133" s="543">
        <f t="shared" si="64"/>
        <v>244.337206512926</v>
      </c>
    </row>
    <row r="134" spans="8:55" x14ac:dyDescent="0.3">
      <c r="H134" s="542" t="str">
        <f>input_names!$F$3</f>
        <v>range-extender</v>
      </c>
      <c r="I134" s="542" t="s">
        <v>534</v>
      </c>
      <c r="J134" s="543">
        <f t="shared" si="63"/>
        <v>117.5</v>
      </c>
      <c r="K134" s="543">
        <f t="shared" si="64"/>
        <v>117.5</v>
      </c>
      <c r="L134" s="543">
        <f t="shared" si="64"/>
        <v>117.5</v>
      </c>
      <c r="M134" s="543">
        <f t="shared" si="64"/>
        <v>117.5</v>
      </c>
      <c r="N134" s="543">
        <f t="shared" si="64"/>
        <v>117.5</v>
      </c>
      <c r="O134" s="543">
        <f t="shared" si="64"/>
        <v>117.5</v>
      </c>
      <c r="P134" s="543">
        <f t="shared" si="64"/>
        <v>117.5</v>
      </c>
      <c r="Q134" s="543">
        <f t="shared" si="64"/>
        <v>117.5</v>
      </c>
      <c r="R134" s="543">
        <f t="shared" si="64"/>
        <v>117.5</v>
      </c>
      <c r="S134" s="543">
        <f t="shared" si="64"/>
        <v>117.5</v>
      </c>
      <c r="T134" s="543">
        <f t="shared" si="64"/>
        <v>176.25</v>
      </c>
      <c r="U134" s="543">
        <f t="shared" si="64"/>
        <v>236.11607506968141</v>
      </c>
      <c r="V134" s="543">
        <f t="shared" si="64"/>
        <v>237.23745066515502</v>
      </c>
      <c r="W134" s="543">
        <f t="shared" si="64"/>
        <v>238.3641519599727</v>
      </c>
      <c r="X134" s="543">
        <f t="shared" si="64"/>
        <v>239.49620424724199</v>
      </c>
      <c r="Y134" s="543">
        <f t="shared" si="64"/>
        <v>240.63363294019382</v>
      </c>
      <c r="Z134" s="543">
        <f t="shared" si="64"/>
        <v>241.77646357275307</v>
      </c>
      <c r="AA134" s="543">
        <f t="shared" si="64"/>
        <v>242.92472180011174</v>
      </c>
      <c r="AB134" s="543">
        <f t="shared" si="64"/>
        <v>244.07843339930494</v>
      </c>
      <c r="AC134" s="543">
        <f t="shared" si="64"/>
        <v>245.23762426978945</v>
      </c>
      <c r="AD134" s="543">
        <f t="shared" si="64"/>
        <v>246.40232043402526</v>
      </c>
      <c r="AE134" s="543">
        <f t="shared" si="64"/>
        <v>247.57254803805961</v>
      </c>
      <c r="AF134" s="543">
        <f t="shared" si="64"/>
        <v>248.748333352114</v>
      </c>
      <c r="AG134" s="543">
        <f t="shared" si="64"/>
        <v>249.92970277117399</v>
      </c>
      <c r="AH134" s="543">
        <f t="shared" si="64"/>
        <v>251.11668281558164</v>
      </c>
      <c r="AI134" s="543">
        <f t="shared" si="64"/>
        <v>252.30930013163086</v>
      </c>
      <c r="AJ134" s="543">
        <f t="shared" si="64"/>
        <v>253.50758149216568</v>
      </c>
      <c r="AK134" s="543">
        <f t="shared" si="64"/>
        <v>254.71155379718115</v>
      </c>
      <c r="AL134" s="543">
        <f t="shared" si="64"/>
        <v>255.92124407442734</v>
      </c>
      <c r="AM134" s="543">
        <f t="shared" si="64"/>
        <v>257.13667948001597</v>
      </c>
      <c r="AN134" s="543">
        <f t="shared" si="64"/>
        <v>258.35788729903004</v>
      </c>
      <c r="AO134" s="543">
        <f t="shared" si="64"/>
        <v>259.58489494613644</v>
      </c>
      <c r="AP134" s="543">
        <f t="shared" si="64"/>
        <v>260.81772996620134</v>
      </c>
      <c r="AQ134" s="543">
        <f t="shared" si="64"/>
        <v>262.05642003490851</v>
      </c>
      <c r="AR134" s="543">
        <f t="shared" si="64"/>
        <v>263.30099295938055</v>
      </c>
      <c r="AS134" s="543">
        <f t="shared" si="64"/>
        <v>264.55147667880323</v>
      </c>
      <c r="AT134" s="543">
        <f t="shared" si="64"/>
        <v>265.8078992650527</v>
      </c>
      <c r="AU134" s="543">
        <f t="shared" si="64"/>
        <v>267.07028892332551</v>
      </c>
      <c r="AV134" s="543">
        <f t="shared" si="64"/>
        <v>268.33867399277204</v>
      </c>
      <c r="AW134" s="543">
        <f t="shared" si="64"/>
        <v>269.61308294713251</v>
      </c>
      <c r="AX134" s="543">
        <f t="shared" si="64"/>
        <v>270.89354439537613</v>
      </c>
      <c r="AY134" s="543">
        <f t="shared" si="64"/>
        <v>272.18008708234345</v>
      </c>
      <c r="AZ134" s="543">
        <f t="shared" si="64"/>
        <v>273.47273988939162</v>
      </c>
      <c r="BA134" s="543">
        <f t="shared" si="64"/>
        <v>274.77153183504277</v>
      </c>
      <c r="BB134" s="543">
        <f t="shared" si="64"/>
        <v>276.07649207563537</v>
      </c>
      <c r="BC134" s="543">
        <f t="shared" si="64"/>
        <v>277.38764990597883</v>
      </c>
    </row>
    <row r="135" spans="8:55" x14ac:dyDescent="0.3">
      <c r="H135" s="542" t="str">
        <f>input_names!$F$3</f>
        <v>range-extender</v>
      </c>
      <c r="I135" s="542" t="s">
        <v>535</v>
      </c>
      <c r="J135" s="543">
        <f t="shared" si="63"/>
        <v>132</v>
      </c>
      <c r="K135" s="543">
        <f t="shared" si="64"/>
        <v>132</v>
      </c>
      <c r="L135" s="543">
        <f t="shared" si="64"/>
        <v>132</v>
      </c>
      <c r="M135" s="543">
        <f t="shared" si="64"/>
        <v>132</v>
      </c>
      <c r="N135" s="543">
        <f t="shared" si="64"/>
        <v>132</v>
      </c>
      <c r="O135" s="543">
        <f t="shared" si="64"/>
        <v>132</v>
      </c>
      <c r="P135" s="543">
        <f t="shared" si="64"/>
        <v>132</v>
      </c>
      <c r="Q135" s="543">
        <f t="shared" si="64"/>
        <v>132</v>
      </c>
      <c r="R135" s="543">
        <f t="shared" si="64"/>
        <v>132</v>
      </c>
      <c r="S135" s="543">
        <f t="shared" si="64"/>
        <v>132</v>
      </c>
      <c r="T135" s="543">
        <f t="shared" si="64"/>
        <v>198</v>
      </c>
      <c r="U135" s="543">
        <f t="shared" si="64"/>
        <v>265.25380348253572</v>
      </c>
      <c r="V135" s="543">
        <f t="shared" si="64"/>
        <v>266.51356159830181</v>
      </c>
      <c r="W135" s="543">
        <f t="shared" si="64"/>
        <v>267.77930262737357</v>
      </c>
      <c r="X135" s="543">
        <f t="shared" si="64"/>
        <v>269.05105498413565</v>
      </c>
      <c r="Y135" s="543">
        <f t="shared" si="64"/>
        <v>270.32884721791982</v>
      </c>
      <c r="Z135" s="543">
        <f t="shared" si="64"/>
        <v>271.61270801364594</v>
      </c>
      <c r="AA135" s="543">
        <f t="shared" si="64"/>
        <v>272.90266619246592</v>
      </c>
      <c r="AB135" s="543">
        <f t="shared" si="64"/>
        <v>274.19875071241063</v>
      </c>
      <c r="AC135" s="543">
        <f t="shared" si="64"/>
        <v>275.50099066904005</v>
      </c>
      <c r="AD135" s="543">
        <f t="shared" si="64"/>
        <v>276.80941529609646</v>
      </c>
      <c r="AE135" s="543">
        <f t="shared" si="64"/>
        <v>278.12405396616055</v>
      </c>
      <c r="AF135" s="543">
        <f t="shared" si="64"/>
        <v>279.444936191311</v>
      </c>
      <c r="AG135" s="543">
        <f t="shared" si="64"/>
        <v>280.77209162378693</v>
      </c>
      <c r="AH135" s="543">
        <f t="shared" si="64"/>
        <v>282.10555005665339</v>
      </c>
      <c r="AI135" s="543">
        <f t="shared" si="64"/>
        <v>283.44534142447037</v>
      </c>
      <c r="AJ135" s="543">
        <f t="shared" si="64"/>
        <v>284.79149580396478</v>
      </c>
      <c r="AK135" s="543">
        <f t="shared" si="64"/>
        <v>286.14404341470555</v>
      </c>
      <c r="AL135" s="543">
        <f t="shared" si="64"/>
        <v>287.50301461978211</v>
      </c>
      <c r="AM135" s="543">
        <f t="shared" si="64"/>
        <v>288.86843992648591</v>
      </c>
      <c r="AN135" s="543">
        <f t="shared" si="64"/>
        <v>290.24034998699534</v>
      </c>
      <c r="AO135" s="543">
        <f t="shared" si="64"/>
        <v>291.61877559906384</v>
      </c>
      <c r="AP135" s="543">
        <f t="shared" si="64"/>
        <v>293.00374770671124</v>
      </c>
      <c r="AQ135" s="543">
        <f t="shared" si="64"/>
        <v>294.39529740091842</v>
      </c>
      <c r="AR135" s="543">
        <f t="shared" si="64"/>
        <v>295.7934559203253</v>
      </c>
      <c r="AS135" s="543">
        <f t="shared" si="64"/>
        <v>297.19825465193207</v>
      </c>
      <c r="AT135" s="543">
        <f t="shared" si="64"/>
        <v>298.60972513180377</v>
      </c>
      <c r="AU135" s="543">
        <f t="shared" si="64"/>
        <v>300.02789904577838</v>
      </c>
      <c r="AV135" s="543">
        <f t="shared" si="64"/>
        <v>301.45280823017794</v>
      </c>
      <c r="AW135" s="543">
        <f t="shared" si="64"/>
        <v>302.88448467252329</v>
      </c>
      <c r="AX135" s="543">
        <f t="shared" si="64"/>
        <v>304.32296051225228</v>
      </c>
      <c r="AY135" s="543">
        <f t="shared" si="64"/>
        <v>305.7682680414411</v>
      </c>
      <c r="AZ135" s="543">
        <f t="shared" si="64"/>
        <v>307.22043970552926</v>
      </c>
      <c r="BA135" s="543">
        <f t="shared" si="64"/>
        <v>308.67950810404801</v>
      </c>
      <c r="BB135" s="543">
        <f t="shared" si="64"/>
        <v>310.14550599135208</v>
      </c>
      <c r="BC135" s="543">
        <f t="shared" si="64"/>
        <v>311.61846627735497</v>
      </c>
    </row>
    <row r="136" spans="8:55" x14ac:dyDescent="0.3">
      <c r="H136" s="542" t="str">
        <f>input_names!$F$3</f>
        <v>range-extender</v>
      </c>
      <c r="I136" s="542" t="s">
        <v>536</v>
      </c>
      <c r="J136" s="543">
        <f t="shared" si="63"/>
        <v>146</v>
      </c>
      <c r="K136" s="543">
        <f t="shared" si="64"/>
        <v>146</v>
      </c>
      <c r="L136" s="543">
        <f t="shared" si="64"/>
        <v>146</v>
      </c>
      <c r="M136" s="543">
        <f t="shared" si="64"/>
        <v>146</v>
      </c>
      <c r="N136" s="543">
        <f t="shared" si="64"/>
        <v>146</v>
      </c>
      <c r="O136" s="543">
        <f t="shared" si="64"/>
        <v>146</v>
      </c>
      <c r="P136" s="543">
        <f t="shared" si="64"/>
        <v>146</v>
      </c>
      <c r="Q136" s="543">
        <f t="shared" si="64"/>
        <v>146</v>
      </c>
      <c r="R136" s="543">
        <f t="shared" si="64"/>
        <v>146</v>
      </c>
      <c r="S136" s="543">
        <f t="shared" si="64"/>
        <v>146</v>
      </c>
      <c r="T136" s="543">
        <f t="shared" si="64"/>
        <v>219</v>
      </c>
      <c r="U136" s="543">
        <f t="shared" si="64"/>
        <v>293.38678263977437</v>
      </c>
      <c r="V136" s="543">
        <f t="shared" si="64"/>
        <v>294.78015146478839</v>
      </c>
      <c r="W136" s="543">
        <f t="shared" si="64"/>
        <v>296.18013775451931</v>
      </c>
      <c r="X136" s="543">
        <f t="shared" si="64"/>
        <v>297.58677293699856</v>
      </c>
      <c r="Y136" s="543">
        <f t="shared" si="64"/>
        <v>299.00008858951742</v>
      </c>
      <c r="Z136" s="543">
        <f t="shared" si="64"/>
        <v>300.42011643933569</v>
      </c>
      <c r="AA136" s="543">
        <f t="shared" si="64"/>
        <v>301.84688836439415</v>
      </c>
      <c r="AB136" s="543">
        <f t="shared" si="64"/>
        <v>303.28043639402995</v>
      </c>
      <c r="AC136" s="543">
        <f t="shared" si="64"/>
        <v>304.72079270969584</v>
      </c>
      <c r="AD136" s="543">
        <f t="shared" si="64"/>
        <v>306.16798964568244</v>
      </c>
      <c r="AE136" s="543">
        <f t="shared" si="64"/>
        <v>307.62205968984426</v>
      </c>
      <c r="AF136" s="543">
        <f t="shared" si="64"/>
        <v>309.08303548432889</v>
      </c>
      <c r="AG136" s="543">
        <f t="shared" si="64"/>
        <v>310.55094982630982</v>
      </c>
      <c r="AH136" s="543">
        <f t="shared" si="64"/>
        <v>312.02583566872272</v>
      </c>
      <c r="AI136" s="543">
        <f t="shared" si="64"/>
        <v>313.50772612100519</v>
      </c>
      <c r="AJ136" s="543">
        <f t="shared" si="64"/>
        <v>314.99665444983992</v>
      </c>
      <c r="AK136" s="543">
        <f t="shared" si="64"/>
        <v>316.49265407990174</v>
      </c>
      <c r="AL136" s="543">
        <f t="shared" si="64"/>
        <v>317.99575859460765</v>
      </c>
      <c r="AM136" s="543">
        <f t="shared" si="64"/>
        <v>319.50600173687093</v>
      </c>
      <c r="AN136" s="543">
        <f t="shared" si="64"/>
        <v>321.02341740985861</v>
      </c>
      <c r="AO136" s="543">
        <f t="shared" ref="K136:BC142" si="65">AO106</f>
        <v>322.54803967775257</v>
      </c>
      <c r="AP136" s="543">
        <f t="shared" si="65"/>
        <v>324.07990276651407</v>
      </c>
      <c r="AQ136" s="543">
        <f t="shared" si="65"/>
        <v>325.61904106465232</v>
      </c>
      <c r="AR136" s="543">
        <f t="shared" si="65"/>
        <v>327.16548912399628</v>
      </c>
      <c r="AS136" s="543">
        <f t="shared" si="65"/>
        <v>328.71928166047041</v>
      </c>
      <c r="AT136" s="543">
        <f t="shared" si="65"/>
        <v>330.28045355487399</v>
      </c>
      <c r="AU136" s="543">
        <f t="shared" si="65"/>
        <v>331.84903985366407</v>
      </c>
      <c r="AV136" s="543">
        <f t="shared" si="65"/>
        <v>333.42507576974231</v>
      </c>
      <c r="AW136" s="543">
        <f t="shared" si="65"/>
        <v>335.00859668324551</v>
      </c>
      <c r="AX136" s="543">
        <f t="shared" si="65"/>
        <v>336.5996381423397</v>
      </c>
      <c r="AY136" s="543">
        <f t="shared" si="65"/>
        <v>338.19823586401822</v>
      </c>
      <c r="AZ136" s="543">
        <f t="shared" si="65"/>
        <v>339.80442573490359</v>
      </c>
      <c r="BA136" s="543">
        <f t="shared" si="65"/>
        <v>341.41824381205311</v>
      </c>
      <c r="BB136" s="543">
        <f t="shared" si="65"/>
        <v>343.03972632376821</v>
      </c>
      <c r="BC136" s="543">
        <f t="shared" si="65"/>
        <v>344.66890967040774</v>
      </c>
    </row>
    <row r="137" spans="8:55" x14ac:dyDescent="0.3">
      <c r="H137" s="542" t="str">
        <f>input_names!$F$3</f>
        <v>range-extender</v>
      </c>
      <c r="I137" s="542" t="s">
        <v>537</v>
      </c>
      <c r="J137" s="543">
        <f t="shared" si="63"/>
        <v>160</v>
      </c>
      <c r="K137" s="543">
        <f t="shared" si="65"/>
        <v>160</v>
      </c>
      <c r="L137" s="543">
        <f t="shared" si="65"/>
        <v>160</v>
      </c>
      <c r="M137" s="543">
        <f t="shared" si="65"/>
        <v>160</v>
      </c>
      <c r="N137" s="543">
        <f t="shared" si="65"/>
        <v>160</v>
      </c>
      <c r="O137" s="543">
        <f t="shared" si="65"/>
        <v>160</v>
      </c>
      <c r="P137" s="543">
        <f t="shared" si="65"/>
        <v>160</v>
      </c>
      <c r="Q137" s="543">
        <f t="shared" si="65"/>
        <v>160</v>
      </c>
      <c r="R137" s="543">
        <f t="shared" si="65"/>
        <v>160</v>
      </c>
      <c r="S137" s="543">
        <f t="shared" si="65"/>
        <v>160</v>
      </c>
      <c r="T137" s="543">
        <f t="shared" si="65"/>
        <v>240</v>
      </c>
      <c r="U137" s="543">
        <f t="shared" si="65"/>
        <v>321.51976179701302</v>
      </c>
      <c r="V137" s="543">
        <f t="shared" si="65"/>
        <v>323.04674133127497</v>
      </c>
      <c r="W137" s="543">
        <f t="shared" si="65"/>
        <v>324.58097288166499</v>
      </c>
      <c r="X137" s="543">
        <f t="shared" si="65"/>
        <v>326.12249088986147</v>
      </c>
      <c r="Y137" s="543">
        <f t="shared" si="65"/>
        <v>327.67132996111502</v>
      </c>
      <c r="Z137" s="543">
        <f t="shared" si="65"/>
        <v>329.22752486502549</v>
      </c>
      <c r="AA137" s="543">
        <f t="shared" si="65"/>
        <v>330.79111053632244</v>
      </c>
      <c r="AB137" s="543">
        <f t="shared" si="65"/>
        <v>332.36212207564932</v>
      </c>
      <c r="AC137" s="543">
        <f t="shared" si="65"/>
        <v>333.94059475035164</v>
      </c>
      <c r="AD137" s="543">
        <f t="shared" si="65"/>
        <v>335.52656399526848</v>
      </c>
      <c r="AE137" s="543">
        <f t="shared" si="65"/>
        <v>337.12006541352798</v>
      </c>
      <c r="AF137" s="543">
        <f t="shared" si="65"/>
        <v>338.72113477734672</v>
      </c>
      <c r="AG137" s="543">
        <f t="shared" si="65"/>
        <v>340.32980802883264</v>
      </c>
      <c r="AH137" s="543">
        <f t="shared" si="65"/>
        <v>341.946121280792</v>
      </c>
      <c r="AI137" s="543">
        <f t="shared" si="65"/>
        <v>343.5701108175399</v>
      </c>
      <c r="AJ137" s="543">
        <f t="shared" si="65"/>
        <v>345.20181309571495</v>
      </c>
      <c r="AK137" s="543">
        <f t="shared" si="65"/>
        <v>346.84126474509776</v>
      </c>
      <c r="AL137" s="543">
        <f t="shared" si="65"/>
        <v>348.48850256943297</v>
      </c>
      <c r="AM137" s="543">
        <f t="shared" si="65"/>
        <v>350.14356354725578</v>
      </c>
      <c r="AN137" s="543">
        <f t="shared" si="65"/>
        <v>351.80648483272176</v>
      </c>
      <c r="AO137" s="543">
        <f t="shared" si="65"/>
        <v>353.47730375644113</v>
      </c>
      <c r="AP137" s="543">
        <f t="shared" si="65"/>
        <v>355.15605782631678</v>
      </c>
      <c r="AQ137" s="543">
        <f t="shared" si="65"/>
        <v>356.84278472838611</v>
      </c>
      <c r="AR137" s="543">
        <f t="shared" si="65"/>
        <v>358.53752232766715</v>
      </c>
      <c r="AS137" s="543">
        <f t="shared" si="65"/>
        <v>360.24030866900864</v>
      </c>
      <c r="AT137" s="543">
        <f t="shared" si="65"/>
        <v>361.95118197794403</v>
      </c>
      <c r="AU137" s="543">
        <f t="shared" si="65"/>
        <v>363.67018066154958</v>
      </c>
      <c r="AV137" s="543">
        <f t="shared" si="65"/>
        <v>365.39734330930656</v>
      </c>
      <c r="AW137" s="543">
        <f t="shared" si="65"/>
        <v>367.13270869396757</v>
      </c>
      <c r="AX137" s="543">
        <f t="shared" si="65"/>
        <v>368.87631577242695</v>
      </c>
      <c r="AY137" s="543">
        <f t="shared" si="65"/>
        <v>370.62820368659521</v>
      </c>
      <c r="AZ137" s="543">
        <f t="shared" si="65"/>
        <v>372.38841176427786</v>
      </c>
      <c r="BA137" s="543">
        <f t="shared" si="65"/>
        <v>374.15697952005814</v>
      </c>
      <c r="BB137" s="543">
        <f t="shared" si="65"/>
        <v>375.93394665618428</v>
      </c>
      <c r="BC137" s="543">
        <f t="shared" si="65"/>
        <v>377.71935306346052</v>
      </c>
    </row>
    <row r="138" spans="8:55" x14ac:dyDescent="0.3">
      <c r="H138" s="542" t="str">
        <f>input_names!$F$3</f>
        <v>range-extender</v>
      </c>
      <c r="I138" s="542" t="s">
        <v>538</v>
      </c>
      <c r="J138" s="543">
        <f t="shared" si="63"/>
        <v>174</v>
      </c>
      <c r="K138" s="543">
        <f t="shared" si="65"/>
        <v>174</v>
      </c>
      <c r="L138" s="543">
        <f t="shared" si="65"/>
        <v>174</v>
      </c>
      <c r="M138" s="543">
        <f t="shared" si="65"/>
        <v>174</v>
      </c>
      <c r="N138" s="543">
        <f t="shared" si="65"/>
        <v>174</v>
      </c>
      <c r="O138" s="543">
        <f t="shared" si="65"/>
        <v>174</v>
      </c>
      <c r="P138" s="543">
        <f t="shared" si="65"/>
        <v>174</v>
      </c>
      <c r="Q138" s="543">
        <f t="shared" si="65"/>
        <v>174</v>
      </c>
      <c r="R138" s="543">
        <f t="shared" si="65"/>
        <v>174</v>
      </c>
      <c r="S138" s="543">
        <f t="shared" si="65"/>
        <v>174</v>
      </c>
      <c r="T138" s="543">
        <f t="shared" si="65"/>
        <v>261</v>
      </c>
      <c r="U138" s="543">
        <f t="shared" si="65"/>
        <v>349.65274095425167</v>
      </c>
      <c r="V138" s="543">
        <f t="shared" si="65"/>
        <v>351.31333119776156</v>
      </c>
      <c r="W138" s="543">
        <f t="shared" si="65"/>
        <v>352.98180800881073</v>
      </c>
      <c r="X138" s="543">
        <f t="shared" si="65"/>
        <v>354.65820884272438</v>
      </c>
      <c r="Y138" s="543">
        <f t="shared" si="65"/>
        <v>356.34257133271262</v>
      </c>
      <c r="Z138" s="543">
        <f t="shared" si="65"/>
        <v>358.03493329071523</v>
      </c>
      <c r="AA138" s="543">
        <f t="shared" si="65"/>
        <v>359.73533270825061</v>
      </c>
      <c r="AB138" s="543">
        <f t="shared" si="65"/>
        <v>361.44380775726864</v>
      </c>
      <c r="AC138" s="543">
        <f t="shared" si="65"/>
        <v>363.16039679100743</v>
      </c>
      <c r="AD138" s="543">
        <f t="shared" si="65"/>
        <v>364.88513834485445</v>
      </c>
      <c r="AE138" s="543">
        <f t="shared" si="65"/>
        <v>366.6180711372117</v>
      </c>
      <c r="AF138" s="543">
        <f t="shared" si="65"/>
        <v>368.35923407036461</v>
      </c>
      <c r="AG138" s="543">
        <f t="shared" si="65"/>
        <v>370.10866623135558</v>
      </c>
      <c r="AH138" s="543">
        <f t="shared" si="65"/>
        <v>371.86640689286139</v>
      </c>
      <c r="AI138" s="543">
        <f t="shared" si="65"/>
        <v>373.63249551407472</v>
      </c>
      <c r="AJ138" s="543">
        <f t="shared" si="65"/>
        <v>375.4069717415901</v>
      </c>
      <c r="AK138" s="543">
        <f t="shared" si="65"/>
        <v>377.18987541029389</v>
      </c>
      <c r="AL138" s="543">
        <f t="shared" si="65"/>
        <v>378.98124654425845</v>
      </c>
      <c r="AM138" s="543">
        <f t="shared" si="65"/>
        <v>380.78112535764075</v>
      </c>
      <c r="AN138" s="543">
        <f t="shared" si="65"/>
        <v>382.58955225558498</v>
      </c>
      <c r="AO138" s="543">
        <f t="shared" si="65"/>
        <v>384.40656783512981</v>
      </c>
      <c r="AP138" s="543">
        <f t="shared" si="65"/>
        <v>386.23221288611956</v>
      </c>
      <c r="AQ138" s="543">
        <f t="shared" si="65"/>
        <v>388.06652839211995</v>
      </c>
      <c r="AR138" s="543">
        <f t="shared" si="65"/>
        <v>389.90955553133807</v>
      </c>
      <c r="AS138" s="543">
        <f t="shared" si="65"/>
        <v>391.76133567754698</v>
      </c>
      <c r="AT138" s="543">
        <f t="shared" si="65"/>
        <v>393.62191040101425</v>
      </c>
      <c r="AU138" s="543">
        <f t="shared" si="65"/>
        <v>395.49132146943532</v>
      </c>
      <c r="AV138" s="543">
        <f t="shared" si="65"/>
        <v>397.36961084887105</v>
      </c>
      <c r="AW138" s="543">
        <f t="shared" si="65"/>
        <v>399.25682070468991</v>
      </c>
      <c r="AX138" s="543">
        <f t="shared" si="65"/>
        <v>401.15299340251448</v>
      </c>
      <c r="AY138" s="543">
        <f t="shared" si="65"/>
        <v>403.05817150917244</v>
      </c>
      <c r="AZ138" s="543">
        <f t="shared" si="65"/>
        <v>404.97239779365231</v>
      </c>
      <c r="BA138" s="543">
        <f t="shared" si="65"/>
        <v>406.89571522806341</v>
      </c>
      <c r="BB138" s="543">
        <f t="shared" si="65"/>
        <v>408.82816698860057</v>
      </c>
      <c r="BC138" s="543">
        <f t="shared" si="65"/>
        <v>410.76979645651346</v>
      </c>
    </row>
    <row r="139" spans="8:55" x14ac:dyDescent="0.3">
      <c r="H139" s="542" t="str">
        <f>input_names!$F$3</f>
        <v>range-extender</v>
      </c>
      <c r="I139" s="542" t="s">
        <v>539</v>
      </c>
      <c r="J139" s="543">
        <f t="shared" si="63"/>
        <v>188</v>
      </c>
      <c r="K139" s="543">
        <f t="shared" si="65"/>
        <v>188</v>
      </c>
      <c r="L139" s="543">
        <f t="shared" si="65"/>
        <v>188</v>
      </c>
      <c r="M139" s="543">
        <f t="shared" si="65"/>
        <v>188</v>
      </c>
      <c r="N139" s="543">
        <f t="shared" si="65"/>
        <v>188</v>
      </c>
      <c r="O139" s="543">
        <f t="shared" si="65"/>
        <v>188</v>
      </c>
      <c r="P139" s="543">
        <f t="shared" si="65"/>
        <v>188</v>
      </c>
      <c r="Q139" s="543">
        <f t="shared" si="65"/>
        <v>188</v>
      </c>
      <c r="R139" s="543">
        <f t="shared" si="65"/>
        <v>188</v>
      </c>
      <c r="S139" s="543">
        <f t="shared" si="65"/>
        <v>188</v>
      </c>
      <c r="T139" s="543">
        <f t="shared" si="65"/>
        <v>282</v>
      </c>
      <c r="U139" s="543">
        <f t="shared" si="65"/>
        <v>377.78572011149026</v>
      </c>
      <c r="V139" s="543">
        <f t="shared" si="65"/>
        <v>379.57992106424803</v>
      </c>
      <c r="W139" s="543">
        <f t="shared" si="65"/>
        <v>381.3826431359563</v>
      </c>
      <c r="X139" s="543">
        <f t="shared" si="65"/>
        <v>383.19392679558712</v>
      </c>
      <c r="Y139" s="543">
        <f t="shared" si="65"/>
        <v>385.01381270431</v>
      </c>
      <c r="Z139" s="543">
        <f t="shared" si="65"/>
        <v>386.8423417164048</v>
      </c>
      <c r="AA139" s="543">
        <f t="shared" si="65"/>
        <v>388.67955488017867</v>
      </c>
      <c r="AB139" s="543">
        <f t="shared" si="65"/>
        <v>390.52549343888779</v>
      </c>
      <c r="AC139" s="543">
        <f t="shared" si="65"/>
        <v>392.38019883166305</v>
      </c>
      <c r="AD139" s="543">
        <f t="shared" si="65"/>
        <v>394.24371269444032</v>
      </c>
      <c r="AE139" s="543">
        <f t="shared" si="65"/>
        <v>396.11607686089525</v>
      </c>
      <c r="AF139" s="543">
        <f t="shared" si="65"/>
        <v>397.99733336338227</v>
      </c>
      <c r="AG139" s="543">
        <f t="shared" si="65"/>
        <v>399.88752443387824</v>
      </c>
      <c r="AH139" s="543">
        <f t="shared" si="65"/>
        <v>401.78669250493044</v>
      </c>
      <c r="AI139" s="543">
        <f t="shared" si="65"/>
        <v>403.6948802106092</v>
      </c>
      <c r="AJ139" s="543">
        <f t="shared" si="65"/>
        <v>405.6121303874649</v>
      </c>
      <c r="AK139" s="543">
        <f t="shared" si="65"/>
        <v>407.53848607548969</v>
      </c>
      <c r="AL139" s="543">
        <f t="shared" si="65"/>
        <v>409.4739905190836</v>
      </c>
      <c r="AM139" s="543">
        <f t="shared" si="65"/>
        <v>411.41868716802537</v>
      </c>
      <c r="AN139" s="543">
        <f t="shared" si="65"/>
        <v>413.3726196784479</v>
      </c>
      <c r="AO139" s="543">
        <f t="shared" si="65"/>
        <v>415.3358319138182</v>
      </c>
      <c r="AP139" s="543">
        <f t="shared" si="65"/>
        <v>417.30836794592204</v>
      </c>
      <c r="AQ139" s="543">
        <f t="shared" si="65"/>
        <v>419.29027205585345</v>
      </c>
      <c r="AR139" s="543">
        <f t="shared" si="65"/>
        <v>421.28158873500871</v>
      </c>
      <c r="AS139" s="543">
        <f t="shared" si="65"/>
        <v>423.28236268608498</v>
      </c>
      <c r="AT139" s="543">
        <f t="shared" si="65"/>
        <v>425.29263882408407</v>
      </c>
      <c r="AU139" s="543">
        <f t="shared" si="65"/>
        <v>427.31246227732061</v>
      </c>
      <c r="AV139" s="543">
        <f t="shared" si="65"/>
        <v>429.34187838843508</v>
      </c>
      <c r="AW139" s="543">
        <f t="shared" si="65"/>
        <v>431.3809327154118</v>
      </c>
      <c r="AX139" s="543">
        <f t="shared" si="65"/>
        <v>433.42967103260156</v>
      </c>
      <c r="AY139" s="543">
        <f t="shared" si="65"/>
        <v>435.48813933174927</v>
      </c>
      <c r="AZ139" s="543">
        <f t="shared" si="65"/>
        <v>437.55638382302635</v>
      </c>
      <c r="BA139" s="543">
        <f t="shared" si="65"/>
        <v>439.63445093606822</v>
      </c>
      <c r="BB139" s="543">
        <f t="shared" si="65"/>
        <v>441.72238732101641</v>
      </c>
      <c r="BC139" s="543">
        <f t="shared" si="65"/>
        <v>443.82023984956601</v>
      </c>
    </row>
    <row r="140" spans="8:55" x14ac:dyDescent="0.3">
      <c r="H140" s="542" t="str">
        <f>input_names!$F$3</f>
        <v>range-extender</v>
      </c>
      <c r="I140" s="542" t="s">
        <v>540</v>
      </c>
      <c r="J140" s="543">
        <f t="shared" si="63"/>
        <v>202</v>
      </c>
      <c r="K140" s="543">
        <f t="shared" si="65"/>
        <v>202</v>
      </c>
      <c r="L140" s="543">
        <f t="shared" si="65"/>
        <v>202</v>
      </c>
      <c r="M140" s="543">
        <f t="shared" si="65"/>
        <v>202</v>
      </c>
      <c r="N140" s="543">
        <f t="shared" si="65"/>
        <v>202</v>
      </c>
      <c r="O140" s="543">
        <f t="shared" si="65"/>
        <v>202</v>
      </c>
      <c r="P140" s="543">
        <f t="shared" si="65"/>
        <v>202</v>
      </c>
      <c r="Q140" s="543">
        <f t="shared" si="65"/>
        <v>202</v>
      </c>
      <c r="R140" s="543">
        <f t="shared" si="65"/>
        <v>202</v>
      </c>
      <c r="S140" s="543">
        <f t="shared" si="65"/>
        <v>202</v>
      </c>
      <c r="T140" s="543">
        <f t="shared" si="65"/>
        <v>303</v>
      </c>
      <c r="U140" s="543">
        <f t="shared" si="65"/>
        <v>405.91869926872891</v>
      </c>
      <c r="V140" s="543">
        <f t="shared" si="65"/>
        <v>407.84651093073461</v>
      </c>
      <c r="W140" s="543">
        <f t="shared" si="65"/>
        <v>409.78347826310204</v>
      </c>
      <c r="X140" s="543">
        <f t="shared" si="65"/>
        <v>411.72964474845008</v>
      </c>
      <c r="Y140" s="543">
        <f t="shared" si="65"/>
        <v>413.68505407590766</v>
      </c>
      <c r="Z140" s="543">
        <f t="shared" si="65"/>
        <v>415.6497501420946</v>
      </c>
      <c r="AA140" s="543">
        <f t="shared" si="65"/>
        <v>417.62377705210696</v>
      </c>
      <c r="AB140" s="543">
        <f t="shared" si="65"/>
        <v>419.60717912050717</v>
      </c>
      <c r="AC140" s="543">
        <f t="shared" si="65"/>
        <v>421.60000087231884</v>
      </c>
      <c r="AD140" s="543">
        <f t="shared" si="65"/>
        <v>423.60228704402635</v>
      </c>
      <c r="AE140" s="543">
        <f t="shared" si="65"/>
        <v>425.61408258457902</v>
      </c>
      <c r="AF140" s="543">
        <f t="shared" si="65"/>
        <v>427.63543265640021</v>
      </c>
      <c r="AG140" s="543">
        <f t="shared" si="65"/>
        <v>429.66638263640124</v>
      </c>
      <c r="AH140" s="543">
        <f t="shared" si="65"/>
        <v>431.70697811699989</v>
      </c>
      <c r="AI140" s="543">
        <f t="shared" si="65"/>
        <v>433.75726490714408</v>
      </c>
      <c r="AJ140" s="543">
        <f t="shared" si="65"/>
        <v>435.8172890333401</v>
      </c>
      <c r="AK140" s="543">
        <f t="shared" si="65"/>
        <v>437.88709674068588</v>
      </c>
      <c r="AL140" s="543">
        <f t="shared" si="65"/>
        <v>439.96673449390909</v>
      </c>
      <c r="AM140" s="543">
        <f t="shared" si="65"/>
        <v>442.05624897841034</v>
      </c>
      <c r="AN140" s="543">
        <f t="shared" si="65"/>
        <v>444.15568710131112</v>
      </c>
      <c r="AO140" s="543">
        <f t="shared" si="65"/>
        <v>446.26509599250687</v>
      </c>
      <c r="AP140" s="543">
        <f t="shared" si="65"/>
        <v>448.38452300572487</v>
      </c>
      <c r="AQ140" s="543">
        <f t="shared" si="65"/>
        <v>450.51401571958735</v>
      </c>
      <c r="AR140" s="543">
        <f t="shared" si="65"/>
        <v>452.65362193867969</v>
      </c>
      <c r="AS140" s="543">
        <f t="shared" si="65"/>
        <v>454.80338969462338</v>
      </c>
      <c r="AT140" s="543">
        <f t="shared" si="65"/>
        <v>456.96336724715434</v>
      </c>
      <c r="AU140" s="543">
        <f t="shared" si="65"/>
        <v>459.13360308520635</v>
      </c>
      <c r="AV140" s="543">
        <f t="shared" si="65"/>
        <v>461.31414592799956</v>
      </c>
      <c r="AW140" s="543">
        <f t="shared" si="65"/>
        <v>463.50504472613409</v>
      </c>
      <c r="AX140" s="543">
        <f t="shared" si="65"/>
        <v>465.70634866268904</v>
      </c>
      <c r="AY140" s="543">
        <f t="shared" si="65"/>
        <v>467.91810715432644</v>
      </c>
      <c r="AZ140" s="543">
        <f t="shared" si="65"/>
        <v>470.14036985240074</v>
      </c>
      <c r="BA140" s="543">
        <f t="shared" si="65"/>
        <v>472.37318664407337</v>
      </c>
      <c r="BB140" s="543">
        <f t="shared" si="65"/>
        <v>474.6166076534326</v>
      </c>
      <c r="BC140" s="543">
        <f t="shared" si="65"/>
        <v>476.87068324261884</v>
      </c>
    </row>
    <row r="141" spans="8:55" x14ac:dyDescent="0.3">
      <c r="H141" s="542" t="str">
        <f>input_names!$F$3</f>
        <v>range-extender</v>
      </c>
      <c r="I141" s="542" t="s">
        <v>541</v>
      </c>
      <c r="J141" s="543">
        <f t="shared" si="63"/>
        <v>216</v>
      </c>
      <c r="K141" s="543">
        <f t="shared" si="65"/>
        <v>216</v>
      </c>
      <c r="L141" s="543">
        <f t="shared" si="65"/>
        <v>216</v>
      </c>
      <c r="M141" s="543">
        <f t="shared" si="65"/>
        <v>216</v>
      </c>
      <c r="N141" s="543">
        <f t="shared" si="65"/>
        <v>216</v>
      </c>
      <c r="O141" s="543">
        <f t="shared" si="65"/>
        <v>216</v>
      </c>
      <c r="P141" s="543">
        <f t="shared" si="65"/>
        <v>216</v>
      </c>
      <c r="Q141" s="543">
        <f t="shared" si="65"/>
        <v>216</v>
      </c>
      <c r="R141" s="543">
        <f t="shared" si="65"/>
        <v>216</v>
      </c>
      <c r="S141" s="543">
        <f t="shared" si="65"/>
        <v>216</v>
      </c>
      <c r="T141" s="543">
        <f t="shared" si="65"/>
        <v>324</v>
      </c>
      <c r="U141" s="543">
        <f t="shared" si="65"/>
        <v>434.05167842596757</v>
      </c>
      <c r="V141" s="543">
        <f t="shared" si="65"/>
        <v>436.11310079722119</v>
      </c>
      <c r="W141" s="543">
        <f t="shared" si="65"/>
        <v>438.18431339024772</v>
      </c>
      <c r="X141" s="543">
        <f t="shared" si="65"/>
        <v>440.26536270131294</v>
      </c>
      <c r="Y141" s="543">
        <f t="shared" si="65"/>
        <v>442.3562954475052</v>
      </c>
      <c r="Z141" s="543">
        <f t="shared" si="65"/>
        <v>444.45715856778429</v>
      </c>
      <c r="AA141" s="543">
        <f t="shared" si="65"/>
        <v>446.56799922403513</v>
      </c>
      <c r="AB141" s="543">
        <f t="shared" si="65"/>
        <v>448.68886480212643</v>
      </c>
      <c r="AC141" s="543">
        <f t="shared" si="65"/>
        <v>450.81980291297458</v>
      </c>
      <c r="AD141" s="543">
        <f t="shared" si="65"/>
        <v>452.96086139361228</v>
      </c>
      <c r="AE141" s="543">
        <f t="shared" si="65"/>
        <v>455.11208830826263</v>
      </c>
      <c r="AF141" s="543">
        <f t="shared" si="65"/>
        <v>457.27353194941799</v>
      </c>
      <c r="AG141" s="543">
        <f t="shared" si="65"/>
        <v>459.44524083892401</v>
      </c>
      <c r="AH141" s="543">
        <f t="shared" si="65"/>
        <v>461.62726372906911</v>
      </c>
      <c r="AI141" s="543">
        <f t="shared" si="65"/>
        <v>463.81964960367878</v>
      </c>
      <c r="AJ141" s="543">
        <f t="shared" si="65"/>
        <v>466.02244767921513</v>
      </c>
      <c r="AK141" s="543">
        <f t="shared" si="65"/>
        <v>468.2357074058819</v>
      </c>
      <c r="AL141" s="543">
        <f t="shared" si="65"/>
        <v>470.45947846873446</v>
      </c>
      <c r="AM141" s="543">
        <f t="shared" si="65"/>
        <v>472.69381078879525</v>
      </c>
      <c r="AN141" s="543">
        <f t="shared" si="65"/>
        <v>474.93875452417433</v>
      </c>
      <c r="AO141" s="543">
        <f t="shared" si="65"/>
        <v>477.19436007119549</v>
      </c>
      <c r="AP141" s="543">
        <f t="shared" si="65"/>
        <v>479.46067806552759</v>
      </c>
      <c r="AQ141" s="543">
        <f t="shared" si="65"/>
        <v>481.73775938332113</v>
      </c>
      <c r="AR141" s="543">
        <f t="shared" si="65"/>
        <v>484.02565514235056</v>
      </c>
      <c r="AS141" s="543">
        <f t="shared" si="65"/>
        <v>486.3244167031616</v>
      </c>
      <c r="AT141" s="543">
        <f t="shared" si="65"/>
        <v>488.63409567022438</v>
      </c>
      <c r="AU141" s="543">
        <f t="shared" si="65"/>
        <v>490.95474389309192</v>
      </c>
      <c r="AV141" s="543">
        <f t="shared" si="65"/>
        <v>493.28641346756388</v>
      </c>
      <c r="AW141" s="543">
        <f t="shared" si="65"/>
        <v>495.62915673685626</v>
      </c>
      <c r="AX141" s="543">
        <f t="shared" si="65"/>
        <v>497.9830262927764</v>
      </c>
      <c r="AY141" s="543">
        <f t="shared" si="65"/>
        <v>500.34807497690355</v>
      </c>
      <c r="AZ141" s="543">
        <f t="shared" si="65"/>
        <v>502.72435588177512</v>
      </c>
      <c r="BA141" s="543">
        <f t="shared" si="65"/>
        <v>505.11192235207852</v>
      </c>
      <c r="BB141" s="543">
        <f t="shared" si="65"/>
        <v>507.51082798584878</v>
      </c>
      <c r="BC141" s="543">
        <f t="shared" si="65"/>
        <v>509.92112663567167</v>
      </c>
    </row>
    <row r="142" spans="8:55" x14ac:dyDescent="0.3">
      <c r="H142" s="542" t="str">
        <f>input_names!$F$3</f>
        <v>range-extender</v>
      </c>
      <c r="I142" s="542" t="s">
        <v>1199</v>
      </c>
      <c r="J142" s="543">
        <f t="shared" si="63"/>
        <v>230</v>
      </c>
      <c r="K142" s="543">
        <f t="shared" si="65"/>
        <v>230</v>
      </c>
      <c r="L142" s="543">
        <f t="shared" si="65"/>
        <v>230</v>
      </c>
      <c r="M142" s="543">
        <f t="shared" si="65"/>
        <v>230</v>
      </c>
      <c r="N142" s="543">
        <f t="shared" si="65"/>
        <v>230</v>
      </c>
      <c r="O142" s="543">
        <f t="shared" si="65"/>
        <v>230</v>
      </c>
      <c r="P142" s="543">
        <f t="shared" si="65"/>
        <v>230</v>
      </c>
      <c r="Q142" s="543">
        <f t="shared" si="65"/>
        <v>230</v>
      </c>
      <c r="R142" s="543">
        <f t="shared" si="65"/>
        <v>230</v>
      </c>
      <c r="S142" s="543">
        <f t="shared" si="65"/>
        <v>230</v>
      </c>
      <c r="T142" s="543">
        <f t="shared" si="65"/>
        <v>345</v>
      </c>
      <c r="U142" s="543">
        <f t="shared" si="65"/>
        <v>462.18465758320622</v>
      </c>
      <c r="V142" s="543">
        <f t="shared" si="65"/>
        <v>464.37969066370778</v>
      </c>
      <c r="W142" s="543">
        <f t="shared" si="65"/>
        <v>466.58514851739346</v>
      </c>
      <c r="X142" s="543">
        <f t="shared" si="65"/>
        <v>468.80108065417591</v>
      </c>
      <c r="Y142" s="543">
        <f t="shared" si="65"/>
        <v>471.02753681910286</v>
      </c>
      <c r="Z142" s="543">
        <f t="shared" ref="K142:BC147" si="66">Z112</f>
        <v>473.26456699347415</v>
      </c>
      <c r="AA142" s="543">
        <f t="shared" si="66"/>
        <v>475.51222139596348</v>
      </c>
      <c r="AB142" s="543">
        <f t="shared" si="66"/>
        <v>477.77055048374592</v>
      </c>
      <c r="AC142" s="543">
        <f t="shared" si="66"/>
        <v>480.03960495363049</v>
      </c>
      <c r="AD142" s="543">
        <f t="shared" si="66"/>
        <v>482.31943574319843</v>
      </c>
      <c r="AE142" s="543">
        <f t="shared" si="66"/>
        <v>484.61009403194652</v>
      </c>
      <c r="AF142" s="543">
        <f t="shared" si="66"/>
        <v>486.91163124243599</v>
      </c>
      <c r="AG142" s="543">
        <f t="shared" si="66"/>
        <v>489.22409904144706</v>
      </c>
      <c r="AH142" s="543">
        <f t="shared" si="66"/>
        <v>491.54754934113862</v>
      </c>
      <c r="AI142" s="543">
        <f t="shared" si="66"/>
        <v>493.88203430021372</v>
      </c>
      <c r="AJ142" s="543">
        <f t="shared" si="66"/>
        <v>496.22760632509039</v>
      </c>
      <c r="AK142" s="543">
        <f t="shared" si="66"/>
        <v>498.58431807107814</v>
      </c>
      <c r="AL142" s="543">
        <f t="shared" si="66"/>
        <v>500.95222244356006</v>
      </c>
      <c r="AM142" s="543">
        <f t="shared" si="66"/>
        <v>503.33137259918033</v>
      </c>
      <c r="AN142" s="543">
        <f t="shared" si="66"/>
        <v>505.72182194703765</v>
      </c>
      <c r="AO142" s="543">
        <f t="shared" si="66"/>
        <v>508.12362414988428</v>
      </c>
      <c r="AP142" s="543">
        <f t="shared" si="66"/>
        <v>510.53683312533047</v>
      </c>
      <c r="AQ142" s="543">
        <f t="shared" si="66"/>
        <v>512.96150304705509</v>
      </c>
      <c r="AR142" s="543">
        <f t="shared" si="66"/>
        <v>515.3976883460216</v>
      </c>
      <c r="AS142" s="543">
        <f t="shared" si="66"/>
        <v>517.8454437117</v>
      </c>
      <c r="AT142" s="543">
        <f t="shared" si="66"/>
        <v>520.30482409329466</v>
      </c>
      <c r="AU142" s="543">
        <f t="shared" si="66"/>
        <v>522.77588470097771</v>
      </c>
      <c r="AV142" s="543">
        <f t="shared" si="66"/>
        <v>525.25868100712842</v>
      </c>
      <c r="AW142" s="543">
        <f t="shared" si="66"/>
        <v>527.75326874757866</v>
      </c>
      <c r="AX142" s="543">
        <f t="shared" si="66"/>
        <v>530.25970392286399</v>
      </c>
      <c r="AY142" s="543">
        <f t="shared" si="66"/>
        <v>532.77804279948089</v>
      </c>
      <c r="AZ142" s="543">
        <f t="shared" si="66"/>
        <v>535.30834191114968</v>
      </c>
      <c r="BA142" s="543">
        <f t="shared" si="66"/>
        <v>537.8506580600839</v>
      </c>
      <c r="BB142" s="543">
        <f t="shared" si="66"/>
        <v>540.40504831826524</v>
      </c>
      <c r="BC142" s="543">
        <f t="shared" si="66"/>
        <v>542.97157002872484</v>
      </c>
    </row>
    <row r="143" spans="8:55" x14ac:dyDescent="0.3">
      <c r="H143" s="542" t="str">
        <f>input_names!$F$3</f>
        <v>range-extender</v>
      </c>
      <c r="I143" s="542" t="s">
        <v>1200</v>
      </c>
      <c r="J143" s="543">
        <f t="shared" si="63"/>
        <v>244</v>
      </c>
      <c r="K143" s="543">
        <f t="shared" si="66"/>
        <v>244</v>
      </c>
      <c r="L143" s="543">
        <f t="shared" si="66"/>
        <v>244</v>
      </c>
      <c r="M143" s="543">
        <f t="shared" si="66"/>
        <v>244</v>
      </c>
      <c r="N143" s="543">
        <f t="shared" si="66"/>
        <v>244</v>
      </c>
      <c r="O143" s="543">
        <f t="shared" si="66"/>
        <v>244</v>
      </c>
      <c r="P143" s="543">
        <f t="shared" si="66"/>
        <v>244</v>
      </c>
      <c r="Q143" s="543">
        <f t="shared" si="66"/>
        <v>244</v>
      </c>
      <c r="R143" s="543">
        <f t="shared" si="66"/>
        <v>244</v>
      </c>
      <c r="S143" s="543">
        <f t="shared" si="66"/>
        <v>244</v>
      </c>
      <c r="T143" s="543">
        <f t="shared" si="66"/>
        <v>366</v>
      </c>
      <c r="U143" s="543">
        <f t="shared" si="66"/>
        <v>490.31763674044481</v>
      </c>
      <c r="V143" s="543">
        <f t="shared" si="66"/>
        <v>492.64628053019425</v>
      </c>
      <c r="W143" s="543">
        <f t="shared" si="66"/>
        <v>494.98598364453903</v>
      </c>
      <c r="X143" s="543">
        <f t="shared" si="66"/>
        <v>497.33679860703865</v>
      </c>
      <c r="Y143" s="543">
        <f t="shared" si="66"/>
        <v>499.6987781907003</v>
      </c>
      <c r="Z143" s="543">
        <f t="shared" si="66"/>
        <v>502.07197541916372</v>
      </c>
      <c r="AA143" s="543">
        <f t="shared" si="66"/>
        <v>504.45644356789154</v>
      </c>
      <c r="AB143" s="543">
        <f t="shared" si="66"/>
        <v>506.85223616536507</v>
      </c>
      <c r="AC143" s="543">
        <f t="shared" si="66"/>
        <v>509.25940699428611</v>
      </c>
      <c r="AD143" s="543">
        <f t="shared" si="66"/>
        <v>511.67801009278429</v>
      </c>
      <c r="AE143" s="543">
        <f t="shared" si="66"/>
        <v>514.10809975563006</v>
      </c>
      <c r="AF143" s="543">
        <f t="shared" si="66"/>
        <v>516.5497305354537</v>
      </c>
      <c r="AG143" s="543">
        <f t="shared" si="66"/>
        <v>519.00295724396983</v>
      </c>
      <c r="AH143" s="543">
        <f t="shared" si="66"/>
        <v>521.46783495320778</v>
      </c>
      <c r="AI143" s="543">
        <f t="shared" si="66"/>
        <v>523.94441899674825</v>
      </c>
      <c r="AJ143" s="543">
        <f t="shared" si="66"/>
        <v>526.4327649709652</v>
      </c>
      <c r="AK143" s="543">
        <f t="shared" si="66"/>
        <v>528.93292873627399</v>
      </c>
      <c r="AL143" s="543">
        <f t="shared" si="66"/>
        <v>531.44496641838521</v>
      </c>
      <c r="AM143" s="543">
        <f t="shared" si="66"/>
        <v>533.96893440956501</v>
      </c>
      <c r="AN143" s="543">
        <f t="shared" si="66"/>
        <v>536.50488936990064</v>
      </c>
      <c r="AO143" s="543">
        <f t="shared" si="66"/>
        <v>539.05288822857267</v>
      </c>
      <c r="AP143" s="543">
        <f t="shared" si="66"/>
        <v>541.61298818513296</v>
      </c>
      <c r="AQ143" s="543">
        <f t="shared" si="66"/>
        <v>544.18524671078865</v>
      </c>
      <c r="AR143" s="543">
        <f t="shared" si="66"/>
        <v>546.76972154969224</v>
      </c>
      <c r="AS143" s="543">
        <f t="shared" si="66"/>
        <v>549.366470720238</v>
      </c>
      <c r="AT143" s="543">
        <f t="shared" si="66"/>
        <v>551.97555251636447</v>
      </c>
      <c r="AU143" s="543">
        <f t="shared" si="66"/>
        <v>554.597025508863</v>
      </c>
      <c r="AV143" s="543">
        <f t="shared" si="66"/>
        <v>557.23094854669239</v>
      </c>
      <c r="AW143" s="543">
        <f t="shared" si="66"/>
        <v>559.87738075830043</v>
      </c>
      <c r="AX143" s="543">
        <f t="shared" si="66"/>
        <v>562.53638155295096</v>
      </c>
      <c r="AY143" s="543">
        <f t="shared" si="66"/>
        <v>565.20801062205749</v>
      </c>
      <c r="AZ143" s="543">
        <f t="shared" si="66"/>
        <v>567.8923279405235</v>
      </c>
      <c r="BA143" s="543">
        <f t="shared" si="66"/>
        <v>570.58939376808848</v>
      </c>
      <c r="BB143" s="543">
        <f t="shared" si="66"/>
        <v>573.2992686506808</v>
      </c>
      <c r="BC143" s="543">
        <f t="shared" si="66"/>
        <v>576.02201342177705</v>
      </c>
    </row>
    <row r="144" spans="8:55" x14ac:dyDescent="0.3">
      <c r="H144" s="542" t="str">
        <f>input_names!$F$3</f>
        <v>range-extender</v>
      </c>
      <c r="I144" s="542" t="s">
        <v>1495</v>
      </c>
      <c r="J144" s="543">
        <f t="shared" si="63"/>
        <v>258.5</v>
      </c>
      <c r="K144" s="543">
        <f t="shared" si="66"/>
        <v>258.5</v>
      </c>
      <c r="L144" s="543">
        <f t="shared" si="66"/>
        <v>258.5</v>
      </c>
      <c r="M144" s="543">
        <f t="shared" si="66"/>
        <v>258.5</v>
      </c>
      <c r="N144" s="543">
        <f t="shared" si="66"/>
        <v>258.5</v>
      </c>
      <c r="O144" s="543">
        <f t="shared" si="66"/>
        <v>258.5</v>
      </c>
      <c r="P144" s="543">
        <f t="shared" si="66"/>
        <v>258.5</v>
      </c>
      <c r="Q144" s="543">
        <f t="shared" si="66"/>
        <v>258.5</v>
      </c>
      <c r="R144" s="543">
        <f t="shared" si="66"/>
        <v>258.5</v>
      </c>
      <c r="S144" s="543">
        <f t="shared" si="66"/>
        <v>258.5</v>
      </c>
      <c r="T144" s="543">
        <f t="shared" si="66"/>
        <v>387.75</v>
      </c>
      <c r="U144" s="543">
        <f t="shared" si="66"/>
        <v>519.45536515329911</v>
      </c>
      <c r="V144" s="543">
        <f t="shared" si="66"/>
        <v>521.92239146334111</v>
      </c>
      <c r="W144" s="543">
        <f t="shared" si="66"/>
        <v>524.40113431194004</v>
      </c>
      <c r="X144" s="543">
        <f t="shared" si="66"/>
        <v>526.8916493439325</v>
      </c>
      <c r="Y144" s="543">
        <f t="shared" si="66"/>
        <v>529.39399246842652</v>
      </c>
      <c r="Z144" s="543">
        <f t="shared" si="66"/>
        <v>531.90821986005687</v>
      </c>
      <c r="AA144" s="543">
        <f t="shared" si="66"/>
        <v>534.434387960246</v>
      </c>
      <c r="AB144" s="543">
        <f t="shared" si="66"/>
        <v>536.97255347847101</v>
      </c>
      <c r="AC144" s="543">
        <f t="shared" si="66"/>
        <v>539.52277339353691</v>
      </c>
      <c r="AD144" s="543">
        <f t="shared" si="66"/>
        <v>542.08510495485564</v>
      </c>
      <c r="AE144" s="543">
        <f t="shared" si="66"/>
        <v>544.65960568373123</v>
      </c>
      <c r="AF144" s="543">
        <f t="shared" si="66"/>
        <v>547.24633337465093</v>
      </c>
      <c r="AG144" s="543">
        <f t="shared" si="66"/>
        <v>549.84534609658294</v>
      </c>
      <c r="AH144" s="543">
        <f t="shared" si="66"/>
        <v>552.45670219427973</v>
      </c>
      <c r="AI144" s="543">
        <f t="shared" si="66"/>
        <v>555.08046028958802</v>
      </c>
      <c r="AJ144" s="543">
        <f t="shared" si="66"/>
        <v>557.71667928276463</v>
      </c>
      <c r="AK144" s="543">
        <f t="shared" si="66"/>
        <v>560.36541835379865</v>
      </c>
      <c r="AL144" s="543">
        <f t="shared" si="66"/>
        <v>563.02673696374029</v>
      </c>
      <c r="AM144" s="543">
        <f t="shared" si="66"/>
        <v>565.70069485603528</v>
      </c>
      <c r="AN144" s="543">
        <f t="shared" si="66"/>
        <v>568.38735205786622</v>
      </c>
      <c r="AO144" s="543">
        <f t="shared" si="66"/>
        <v>571.08676888150035</v>
      </c>
      <c r="AP144" s="543">
        <f t="shared" si="66"/>
        <v>573.7990059256432</v>
      </c>
      <c r="AQ144" s="543">
        <f t="shared" si="66"/>
        <v>576.5241240767989</v>
      </c>
      <c r="AR144" s="543">
        <f t="shared" si="66"/>
        <v>579.26218451063733</v>
      </c>
      <c r="AS144" s="543">
        <f t="shared" si="66"/>
        <v>582.01324869336725</v>
      </c>
      <c r="AT144" s="543">
        <f t="shared" si="66"/>
        <v>584.777378383116</v>
      </c>
      <c r="AU144" s="543">
        <f t="shared" si="66"/>
        <v>587.55463563131627</v>
      </c>
      <c r="AV144" s="543">
        <f t="shared" si="66"/>
        <v>590.34508278409874</v>
      </c>
      <c r="AW144" s="543">
        <f t="shared" si="66"/>
        <v>593.14878248369166</v>
      </c>
      <c r="AX144" s="543">
        <f t="shared" si="66"/>
        <v>595.96579766982757</v>
      </c>
      <c r="AY144" s="543">
        <f t="shared" si="66"/>
        <v>598.79619158115565</v>
      </c>
      <c r="AZ144" s="543">
        <f t="shared" si="66"/>
        <v>601.64002775666165</v>
      </c>
      <c r="BA144" s="543">
        <f t="shared" si="66"/>
        <v>604.49737003709424</v>
      </c>
      <c r="BB144" s="543">
        <f t="shared" si="66"/>
        <v>607.36828256639797</v>
      </c>
      <c r="BC144" s="543">
        <f t="shared" si="66"/>
        <v>610.25282979315364</v>
      </c>
    </row>
    <row r="145" spans="8:55" x14ac:dyDescent="0.3">
      <c r="H145" s="542" t="str">
        <f>input_names!$F$3</f>
        <v>range-extender</v>
      </c>
      <c r="I145" s="542" t="s">
        <v>1496</v>
      </c>
      <c r="J145" s="543">
        <f t="shared" si="63"/>
        <v>272.5</v>
      </c>
      <c r="K145" s="543">
        <f t="shared" si="66"/>
        <v>272.5</v>
      </c>
      <c r="L145" s="543">
        <f t="shared" si="66"/>
        <v>272.5</v>
      </c>
      <c r="M145" s="543">
        <f t="shared" si="66"/>
        <v>272.5</v>
      </c>
      <c r="N145" s="543">
        <f t="shared" si="66"/>
        <v>272.5</v>
      </c>
      <c r="O145" s="543">
        <f t="shared" si="66"/>
        <v>272.5</v>
      </c>
      <c r="P145" s="543">
        <f t="shared" si="66"/>
        <v>272.5</v>
      </c>
      <c r="Q145" s="543">
        <f t="shared" si="66"/>
        <v>272.5</v>
      </c>
      <c r="R145" s="543">
        <f t="shared" si="66"/>
        <v>272.5</v>
      </c>
      <c r="S145" s="543">
        <f t="shared" si="66"/>
        <v>272.5</v>
      </c>
      <c r="T145" s="543">
        <f t="shared" si="66"/>
        <v>408.75</v>
      </c>
      <c r="U145" s="543">
        <f t="shared" si="66"/>
        <v>547.58834431053776</v>
      </c>
      <c r="V145" s="543">
        <f t="shared" si="66"/>
        <v>550.18898132982758</v>
      </c>
      <c r="W145" s="543">
        <f t="shared" si="66"/>
        <v>552.80196943908561</v>
      </c>
      <c r="X145" s="543">
        <f t="shared" si="66"/>
        <v>555.42736729679518</v>
      </c>
      <c r="Y145" s="543">
        <f t="shared" si="66"/>
        <v>558.06523384002389</v>
      </c>
      <c r="Z145" s="543">
        <f t="shared" si="66"/>
        <v>560.71562828574633</v>
      </c>
      <c r="AA145" s="543">
        <f t="shared" si="66"/>
        <v>563.37861013217389</v>
      </c>
      <c r="AB145" s="543">
        <f t="shared" si="66"/>
        <v>566.05423916008999</v>
      </c>
      <c r="AC145" s="543">
        <f t="shared" si="66"/>
        <v>568.74257543419242</v>
      </c>
      <c r="AD145" s="543">
        <f t="shared" si="66"/>
        <v>571.44367930444139</v>
      </c>
      <c r="AE145" s="543">
        <f t="shared" si="66"/>
        <v>574.15761140741461</v>
      </c>
      <c r="AF145" s="543">
        <f t="shared" si="66"/>
        <v>576.88443266766842</v>
      </c>
      <c r="AG145" s="543">
        <f t="shared" si="66"/>
        <v>579.62420429910549</v>
      </c>
      <c r="AH145" s="543">
        <f t="shared" si="66"/>
        <v>582.37698780634878</v>
      </c>
      <c r="AI145" s="543">
        <f t="shared" si="66"/>
        <v>585.14284498612255</v>
      </c>
      <c r="AJ145" s="543">
        <f t="shared" si="66"/>
        <v>587.92183792863943</v>
      </c>
      <c r="AK145" s="543">
        <f t="shared" si="66"/>
        <v>590.71402901899444</v>
      </c>
      <c r="AL145" s="543">
        <f t="shared" si="66"/>
        <v>593.51948093856538</v>
      </c>
      <c r="AM145" s="543">
        <f t="shared" si="66"/>
        <v>596.33825666641985</v>
      </c>
      <c r="AN145" s="543">
        <f t="shared" si="66"/>
        <v>599.17041948072915</v>
      </c>
      <c r="AO145" s="543">
        <f t="shared" si="66"/>
        <v>602.0160329601888</v>
      </c>
      <c r="AP145" s="543">
        <f t="shared" si="66"/>
        <v>604.87516098544575</v>
      </c>
      <c r="AQ145" s="543">
        <f t="shared" si="66"/>
        <v>607.74786774053257</v>
      </c>
      <c r="AR145" s="543">
        <f t="shared" si="66"/>
        <v>610.63421771430808</v>
      </c>
      <c r="AS145" s="543">
        <f t="shared" si="66"/>
        <v>613.53427570190536</v>
      </c>
      <c r="AT145" s="543">
        <f t="shared" si="66"/>
        <v>616.44810680618593</v>
      </c>
      <c r="AU145" s="543">
        <f t="shared" si="66"/>
        <v>619.37577643920167</v>
      </c>
      <c r="AV145" s="543">
        <f t="shared" si="66"/>
        <v>622.31735032366282</v>
      </c>
      <c r="AW145" s="543">
        <f t="shared" si="66"/>
        <v>625.27289449441366</v>
      </c>
      <c r="AX145" s="543">
        <f t="shared" si="66"/>
        <v>628.24247529991476</v>
      </c>
      <c r="AY145" s="543">
        <f t="shared" si="66"/>
        <v>631.22615940373259</v>
      </c>
      <c r="AZ145" s="543">
        <f t="shared" si="66"/>
        <v>634.22401378603581</v>
      </c>
      <c r="BA145" s="543">
        <f t="shared" si="66"/>
        <v>637.23610574509917</v>
      </c>
      <c r="BB145" s="543">
        <f t="shared" si="66"/>
        <v>640.26250289881398</v>
      </c>
      <c r="BC145" s="543">
        <f t="shared" si="66"/>
        <v>643.3032731862063</v>
      </c>
    </row>
    <row r="146" spans="8:55" x14ac:dyDescent="0.3">
      <c r="H146" s="542" t="str">
        <f>input_names!$F$3</f>
        <v>range-extender</v>
      </c>
      <c r="I146" s="542" t="s">
        <v>1497</v>
      </c>
      <c r="J146" s="543">
        <f t="shared" si="63"/>
        <v>286.5</v>
      </c>
      <c r="K146" s="543">
        <f t="shared" si="66"/>
        <v>286.5</v>
      </c>
      <c r="L146" s="543">
        <f t="shared" si="66"/>
        <v>286.5</v>
      </c>
      <c r="M146" s="543">
        <f t="shared" si="66"/>
        <v>286.5</v>
      </c>
      <c r="N146" s="543">
        <f t="shared" si="66"/>
        <v>286.5</v>
      </c>
      <c r="O146" s="543">
        <f t="shared" si="66"/>
        <v>286.5</v>
      </c>
      <c r="P146" s="543">
        <f t="shared" si="66"/>
        <v>286.5</v>
      </c>
      <c r="Q146" s="543">
        <f t="shared" si="66"/>
        <v>286.5</v>
      </c>
      <c r="R146" s="543">
        <f t="shared" si="66"/>
        <v>286.5</v>
      </c>
      <c r="S146" s="543">
        <f t="shared" si="66"/>
        <v>286.5</v>
      </c>
      <c r="T146" s="543">
        <f t="shared" si="66"/>
        <v>429.75</v>
      </c>
      <c r="U146" s="543">
        <f t="shared" si="66"/>
        <v>575.72132346777641</v>
      </c>
      <c r="V146" s="543">
        <f t="shared" si="66"/>
        <v>578.45557119631417</v>
      </c>
      <c r="W146" s="543">
        <f t="shared" si="66"/>
        <v>581.20280456623129</v>
      </c>
      <c r="X146" s="543">
        <f t="shared" si="66"/>
        <v>583.96308524965809</v>
      </c>
      <c r="Y146" s="543">
        <f t="shared" si="66"/>
        <v>586.7364752116215</v>
      </c>
      <c r="Z146" s="543">
        <f t="shared" si="66"/>
        <v>589.52303671143613</v>
      </c>
      <c r="AA146" s="543">
        <f t="shared" si="66"/>
        <v>592.32283230410223</v>
      </c>
      <c r="AB146" s="543">
        <f t="shared" si="66"/>
        <v>595.13592484170942</v>
      </c>
      <c r="AC146" s="543">
        <f t="shared" si="66"/>
        <v>597.96237747484827</v>
      </c>
      <c r="AD146" s="543">
        <f t="shared" si="66"/>
        <v>600.80225365402748</v>
      </c>
      <c r="AE146" s="543">
        <f t="shared" si="66"/>
        <v>603.65561713109844</v>
      </c>
      <c r="AF146" s="543">
        <f t="shared" si="66"/>
        <v>606.52253196068636</v>
      </c>
      <c r="AG146" s="543">
        <f t="shared" si="66"/>
        <v>609.40306250162837</v>
      </c>
      <c r="AH146" s="543">
        <f t="shared" si="66"/>
        <v>612.29727341841806</v>
      </c>
      <c r="AI146" s="543">
        <f t="shared" si="66"/>
        <v>615.2052296826572</v>
      </c>
      <c r="AJ146" s="543">
        <f t="shared" si="66"/>
        <v>618.12699657451446</v>
      </c>
      <c r="AK146" s="543">
        <f t="shared" si="66"/>
        <v>621.06263968419046</v>
      </c>
      <c r="AL146" s="543">
        <f t="shared" si="66"/>
        <v>624.0122249133907</v>
      </c>
      <c r="AM146" s="543">
        <f t="shared" si="66"/>
        <v>626.97581847680465</v>
      </c>
      <c r="AN146" s="543">
        <f t="shared" si="66"/>
        <v>629.95348690359219</v>
      </c>
      <c r="AO146" s="543">
        <f t="shared" si="66"/>
        <v>632.94529703887724</v>
      </c>
      <c r="AP146" s="543">
        <f t="shared" si="66"/>
        <v>635.95131604524829</v>
      </c>
      <c r="AQ146" s="543">
        <f t="shared" si="66"/>
        <v>638.97161140426613</v>
      </c>
      <c r="AR146" s="543">
        <f t="shared" si="66"/>
        <v>642.00625091797872</v>
      </c>
      <c r="AS146" s="543">
        <f t="shared" si="66"/>
        <v>645.05530271044336</v>
      </c>
      <c r="AT146" s="543">
        <f t="shared" si="66"/>
        <v>648.11883522925586</v>
      </c>
      <c r="AU146" s="543">
        <f t="shared" si="66"/>
        <v>651.19691724708707</v>
      </c>
      <c r="AV146" s="543">
        <f t="shared" si="66"/>
        <v>654.28961786322691</v>
      </c>
      <c r="AW146" s="543">
        <f t="shared" si="66"/>
        <v>657.39700650513555</v>
      </c>
      <c r="AX146" s="543">
        <f t="shared" si="66"/>
        <v>660.51915293000184</v>
      </c>
      <c r="AY146" s="543">
        <f t="shared" si="66"/>
        <v>663.65612722630931</v>
      </c>
      <c r="AZ146" s="543">
        <f t="shared" si="66"/>
        <v>666.80799981540974</v>
      </c>
      <c r="BA146" s="543">
        <f t="shared" si="66"/>
        <v>669.97484145310386</v>
      </c>
      <c r="BB146" s="543">
        <f t="shared" si="66"/>
        <v>673.15672323122976</v>
      </c>
      <c r="BC146" s="543">
        <f t="shared" si="66"/>
        <v>676.35371657925873</v>
      </c>
    </row>
    <row r="147" spans="8:55" x14ac:dyDescent="0.3">
      <c r="H147" s="542" t="str">
        <f>input_names!$F$3</f>
        <v>range-extender</v>
      </c>
      <c r="I147" s="542" t="s">
        <v>1498</v>
      </c>
      <c r="J147" s="543">
        <f t="shared" si="63"/>
        <v>300.5</v>
      </c>
      <c r="K147" s="543">
        <f t="shared" si="66"/>
        <v>300.5</v>
      </c>
      <c r="L147" s="543">
        <f t="shared" si="66"/>
        <v>300.5</v>
      </c>
      <c r="M147" s="543">
        <f t="shared" si="66"/>
        <v>300.5</v>
      </c>
      <c r="N147" s="543">
        <f t="shared" si="66"/>
        <v>300.5</v>
      </c>
      <c r="O147" s="543">
        <f t="shared" si="66"/>
        <v>300.5</v>
      </c>
      <c r="P147" s="543">
        <f t="shared" si="66"/>
        <v>300.5</v>
      </c>
      <c r="Q147" s="543">
        <f t="shared" si="66"/>
        <v>300.5</v>
      </c>
      <c r="R147" s="543">
        <f t="shared" si="66"/>
        <v>300.5</v>
      </c>
      <c r="S147" s="543">
        <f t="shared" si="66"/>
        <v>300.5</v>
      </c>
      <c r="T147" s="543">
        <f t="shared" si="66"/>
        <v>450.75</v>
      </c>
      <c r="U147" s="543">
        <f t="shared" si="66"/>
        <v>603.85430262501507</v>
      </c>
      <c r="V147" s="543">
        <f t="shared" si="66"/>
        <v>606.72216106280075</v>
      </c>
      <c r="W147" s="543">
        <f t="shared" si="66"/>
        <v>609.60363969337709</v>
      </c>
      <c r="X147" s="543">
        <f t="shared" si="66"/>
        <v>612.49880320252112</v>
      </c>
      <c r="Y147" s="543">
        <f t="shared" si="66"/>
        <v>615.40771658321921</v>
      </c>
      <c r="Z147" s="543">
        <f t="shared" si="66"/>
        <v>618.33044513712605</v>
      </c>
      <c r="AA147" s="543">
        <f t="shared" si="66"/>
        <v>621.26705447603058</v>
      </c>
      <c r="AB147" s="543">
        <f t="shared" si="66"/>
        <v>624.21761052332897</v>
      </c>
      <c r="AC147" s="543">
        <f t="shared" si="66"/>
        <v>627.18217951550423</v>
      </c>
      <c r="AD147" s="543">
        <f t="shared" si="66"/>
        <v>630.16082800361369</v>
      </c>
      <c r="AE147" s="543">
        <f t="shared" si="66"/>
        <v>633.15362285478238</v>
      </c>
      <c r="AF147" s="543">
        <f t="shared" si="66"/>
        <v>636.16063125370454</v>
      </c>
      <c r="AG147" s="543">
        <f t="shared" si="66"/>
        <v>639.18192070415159</v>
      </c>
      <c r="AH147" s="543">
        <f t="shared" si="66"/>
        <v>642.21755903048768</v>
      </c>
      <c r="AI147" s="543">
        <f t="shared" si="66"/>
        <v>645.26761437919231</v>
      </c>
      <c r="AJ147" s="543">
        <f t="shared" si="66"/>
        <v>648.33215522038984</v>
      </c>
      <c r="AK147" s="543">
        <f t="shared" si="66"/>
        <v>651.41125034938693</v>
      </c>
      <c r="AL147" s="543">
        <f t="shared" si="66"/>
        <v>654.50496888821658</v>
      </c>
      <c r="AM147" s="543">
        <f t="shared" si="66"/>
        <v>657.61338028719001</v>
      </c>
      <c r="AN147" s="543">
        <f t="shared" si="66"/>
        <v>660.7365543264558</v>
      </c>
      <c r="AO147" s="543">
        <f t="shared" si="66"/>
        <v>663.87456111756626</v>
      </c>
      <c r="AP147" s="543">
        <f t="shared" si="66"/>
        <v>667.0274711050514</v>
      </c>
      <c r="AQ147" s="543">
        <f t="shared" si="66"/>
        <v>670.19535506800037</v>
      </c>
      <c r="AR147" s="543">
        <f t="shared" si="66"/>
        <v>673.37828412165004</v>
      </c>
      <c r="AS147" s="543">
        <f t="shared" si="66"/>
        <v>676.57632971898204</v>
      </c>
      <c r="AT147" s="543">
        <f t="shared" si="66"/>
        <v>679.78956365232636</v>
      </c>
      <c r="AU147" s="543">
        <f t="shared" si="66"/>
        <v>683.01805805497304</v>
      </c>
      <c r="AV147" s="543">
        <f t="shared" si="66"/>
        <v>686.26188540279168</v>
      </c>
      <c r="AW147" s="543">
        <f t="shared" si="66"/>
        <v>689.52111851585812</v>
      </c>
      <c r="AX147" s="543">
        <f t="shared" si="66"/>
        <v>692.7958305600896</v>
      </c>
      <c r="AY147" s="543">
        <f t="shared" si="66"/>
        <v>696.08609504888682</v>
      </c>
      <c r="AZ147" s="543">
        <f t="shared" si="66"/>
        <v>699.39198584478447</v>
      </c>
      <c r="BA147" s="543">
        <f t="shared" si="66"/>
        <v>702.71357716110936</v>
      </c>
      <c r="BB147" s="543">
        <f t="shared" si="66"/>
        <v>706.05094356364623</v>
      </c>
      <c r="BC147" s="543">
        <f t="shared" si="66"/>
        <v>709.40415997231185</v>
      </c>
    </row>
    <row r="148" spans="8:55" x14ac:dyDescent="0.3">
      <c r="H148" s="542" t="str">
        <f>input_names!$F$3</f>
        <v>range-extender</v>
      </c>
      <c r="I148" s="542" t="s">
        <v>1499</v>
      </c>
      <c r="J148" s="543">
        <f t="shared" si="63"/>
        <v>314.5</v>
      </c>
      <c r="K148" s="543">
        <f t="shared" ref="K148:BC153" si="67">K118</f>
        <v>314.5</v>
      </c>
      <c r="L148" s="543">
        <f t="shared" si="67"/>
        <v>314.5</v>
      </c>
      <c r="M148" s="543">
        <f t="shared" si="67"/>
        <v>314.5</v>
      </c>
      <c r="N148" s="543">
        <f t="shared" si="67"/>
        <v>314.5</v>
      </c>
      <c r="O148" s="543">
        <f t="shared" si="67"/>
        <v>314.5</v>
      </c>
      <c r="P148" s="543">
        <f t="shared" si="67"/>
        <v>314.5</v>
      </c>
      <c r="Q148" s="543">
        <f t="shared" si="67"/>
        <v>314.5</v>
      </c>
      <c r="R148" s="543">
        <f t="shared" si="67"/>
        <v>314.5</v>
      </c>
      <c r="S148" s="543">
        <f t="shared" si="67"/>
        <v>314.5</v>
      </c>
      <c r="T148" s="543">
        <f t="shared" si="67"/>
        <v>471.75</v>
      </c>
      <c r="U148" s="543">
        <f t="shared" si="67"/>
        <v>631.98728178225372</v>
      </c>
      <c r="V148" s="543">
        <f t="shared" si="67"/>
        <v>634.98875092928733</v>
      </c>
      <c r="W148" s="543">
        <f t="shared" si="67"/>
        <v>638.00447482052277</v>
      </c>
      <c r="X148" s="543">
        <f t="shared" si="67"/>
        <v>641.03452115538391</v>
      </c>
      <c r="Y148" s="543">
        <f t="shared" si="67"/>
        <v>644.0789579548167</v>
      </c>
      <c r="Z148" s="543">
        <f t="shared" si="67"/>
        <v>647.13785356281574</v>
      </c>
      <c r="AA148" s="543">
        <f t="shared" si="67"/>
        <v>650.2112766479587</v>
      </c>
      <c r="AB148" s="543">
        <f t="shared" si="67"/>
        <v>653.29929620494818</v>
      </c>
      <c r="AC148" s="543">
        <f t="shared" si="67"/>
        <v>656.40198155615997</v>
      </c>
      <c r="AD148" s="543">
        <f t="shared" si="67"/>
        <v>659.51940235319967</v>
      </c>
      <c r="AE148" s="543">
        <f t="shared" si="67"/>
        <v>662.65162857846599</v>
      </c>
      <c r="AF148" s="543">
        <f t="shared" si="67"/>
        <v>665.79873054672225</v>
      </c>
      <c r="AG148" s="543">
        <f t="shared" si="67"/>
        <v>668.96077890667436</v>
      </c>
      <c r="AH148" s="543">
        <f t="shared" si="67"/>
        <v>672.13784464255696</v>
      </c>
      <c r="AI148" s="543">
        <f t="shared" si="67"/>
        <v>675.32999907572707</v>
      </c>
      <c r="AJ148" s="543">
        <f t="shared" si="67"/>
        <v>678.53731386626498</v>
      </c>
      <c r="AK148" s="543">
        <f t="shared" si="67"/>
        <v>681.75986101458307</v>
      </c>
      <c r="AL148" s="543">
        <f t="shared" si="67"/>
        <v>684.99771286304201</v>
      </c>
      <c r="AM148" s="543">
        <f t="shared" si="67"/>
        <v>688.25094209757492</v>
      </c>
      <c r="AN148" s="543">
        <f t="shared" si="67"/>
        <v>691.51962174931896</v>
      </c>
      <c r="AO148" s="543">
        <f t="shared" si="67"/>
        <v>694.80382519625493</v>
      </c>
      <c r="AP148" s="543">
        <f t="shared" si="67"/>
        <v>698.10362616485418</v>
      </c>
      <c r="AQ148" s="543">
        <f t="shared" si="67"/>
        <v>701.41909873173415</v>
      </c>
      <c r="AR148" s="543">
        <f t="shared" si="67"/>
        <v>704.75031732532102</v>
      </c>
      <c r="AS148" s="543">
        <f t="shared" si="67"/>
        <v>708.09735672752049</v>
      </c>
      <c r="AT148" s="543">
        <f t="shared" si="67"/>
        <v>711.46029207539664</v>
      </c>
      <c r="AU148" s="543">
        <f t="shared" si="67"/>
        <v>714.83919886285878</v>
      </c>
      <c r="AV148" s="543">
        <f t="shared" si="67"/>
        <v>718.2341529423561</v>
      </c>
      <c r="AW148" s="543">
        <f t="shared" si="67"/>
        <v>721.64523052658046</v>
      </c>
      <c r="AX148" s="543">
        <f t="shared" si="67"/>
        <v>725.07250819017713</v>
      </c>
      <c r="AY148" s="543">
        <f t="shared" si="67"/>
        <v>728.5160628714641</v>
      </c>
      <c r="AZ148" s="543">
        <f t="shared" si="67"/>
        <v>731.97597187415897</v>
      </c>
      <c r="BA148" s="543">
        <f t="shared" si="67"/>
        <v>735.45231286911462</v>
      </c>
      <c r="BB148" s="543">
        <f t="shared" si="67"/>
        <v>738.94516389606258</v>
      </c>
      <c r="BC148" s="543">
        <f t="shared" si="67"/>
        <v>742.45460336536496</v>
      </c>
    </row>
    <row r="149" spans="8:55" x14ac:dyDescent="0.3">
      <c r="H149" s="542" t="str">
        <f>input_names!$F$3</f>
        <v>range-extender</v>
      </c>
      <c r="I149" s="542" t="s">
        <v>1500</v>
      </c>
      <c r="J149" s="543">
        <f t="shared" si="63"/>
        <v>328.5</v>
      </c>
      <c r="K149" s="543">
        <f t="shared" si="67"/>
        <v>328.5</v>
      </c>
      <c r="L149" s="543">
        <f t="shared" si="67"/>
        <v>328.5</v>
      </c>
      <c r="M149" s="543">
        <f t="shared" si="67"/>
        <v>328.5</v>
      </c>
      <c r="N149" s="543">
        <f t="shared" si="67"/>
        <v>328.5</v>
      </c>
      <c r="O149" s="543">
        <f t="shared" si="67"/>
        <v>328.5</v>
      </c>
      <c r="P149" s="543">
        <f t="shared" si="67"/>
        <v>328.5</v>
      </c>
      <c r="Q149" s="543">
        <f t="shared" si="67"/>
        <v>328.5</v>
      </c>
      <c r="R149" s="543">
        <f t="shared" si="67"/>
        <v>328.5</v>
      </c>
      <c r="S149" s="543">
        <f t="shared" si="67"/>
        <v>328.5</v>
      </c>
      <c r="T149" s="543">
        <f t="shared" si="67"/>
        <v>492.75</v>
      </c>
      <c r="U149" s="543">
        <f t="shared" si="67"/>
        <v>660.12026093949237</v>
      </c>
      <c r="V149" s="543">
        <f t="shared" si="67"/>
        <v>663.25534079577392</v>
      </c>
      <c r="W149" s="543">
        <f t="shared" si="67"/>
        <v>666.40530994766846</v>
      </c>
      <c r="X149" s="543">
        <f t="shared" si="67"/>
        <v>669.57023910824682</v>
      </c>
      <c r="Y149" s="543">
        <f t="shared" si="67"/>
        <v>672.7501993264143</v>
      </c>
      <c r="Z149" s="543">
        <f t="shared" si="67"/>
        <v>675.94526198850542</v>
      </c>
      <c r="AA149" s="543">
        <f t="shared" si="67"/>
        <v>679.15549881988693</v>
      </c>
      <c r="AB149" s="543">
        <f t="shared" si="67"/>
        <v>682.3809818865675</v>
      </c>
      <c r="AC149" s="543">
        <f t="shared" si="67"/>
        <v>685.6217835968157</v>
      </c>
      <c r="AD149" s="543">
        <f t="shared" si="67"/>
        <v>688.87797670278553</v>
      </c>
      <c r="AE149" s="543">
        <f t="shared" si="67"/>
        <v>692.14963430214959</v>
      </c>
      <c r="AF149" s="543">
        <f t="shared" si="67"/>
        <v>695.43682983973997</v>
      </c>
      <c r="AG149" s="543">
        <f t="shared" si="67"/>
        <v>698.73963710919702</v>
      </c>
      <c r="AH149" s="543">
        <f t="shared" si="67"/>
        <v>702.05813025462601</v>
      </c>
      <c r="AI149" s="543">
        <f t="shared" si="67"/>
        <v>705.3923837722615</v>
      </c>
      <c r="AJ149" s="543">
        <f t="shared" si="67"/>
        <v>708.74247251213967</v>
      </c>
      <c r="AK149" s="543">
        <f t="shared" si="67"/>
        <v>712.10847167977875</v>
      </c>
      <c r="AL149" s="543">
        <f t="shared" si="67"/>
        <v>715.49045683786699</v>
      </c>
      <c r="AM149" s="543">
        <f t="shared" si="67"/>
        <v>718.88850390795938</v>
      </c>
      <c r="AN149" s="543">
        <f t="shared" si="67"/>
        <v>722.30268917218177</v>
      </c>
      <c r="AO149" s="543">
        <f t="shared" si="67"/>
        <v>725.73308927494315</v>
      </c>
      <c r="AP149" s="543">
        <f t="shared" si="67"/>
        <v>729.17978122465649</v>
      </c>
      <c r="AQ149" s="543">
        <f t="shared" si="67"/>
        <v>732.64284239546748</v>
      </c>
      <c r="AR149" s="543">
        <f t="shared" si="67"/>
        <v>736.12235052899143</v>
      </c>
      <c r="AS149" s="543">
        <f t="shared" si="67"/>
        <v>739.61838373605826</v>
      </c>
      <c r="AT149" s="543">
        <f t="shared" si="67"/>
        <v>743.13102049846623</v>
      </c>
      <c r="AU149" s="543">
        <f t="shared" si="67"/>
        <v>746.66033967074395</v>
      </c>
      <c r="AV149" s="543">
        <f t="shared" si="67"/>
        <v>750.20642048192008</v>
      </c>
      <c r="AW149" s="543">
        <f t="shared" si="67"/>
        <v>753.76934253730224</v>
      </c>
      <c r="AX149" s="543">
        <f t="shared" si="67"/>
        <v>757.3491858202641</v>
      </c>
      <c r="AY149" s="543">
        <f t="shared" si="67"/>
        <v>760.94603069404081</v>
      </c>
      <c r="AZ149" s="543">
        <f t="shared" si="67"/>
        <v>764.55995790353302</v>
      </c>
      <c r="BA149" s="543">
        <f t="shared" si="67"/>
        <v>768.19104857711943</v>
      </c>
      <c r="BB149" s="543">
        <f t="shared" si="67"/>
        <v>771.83938422847837</v>
      </c>
      <c r="BC149" s="543">
        <f t="shared" si="67"/>
        <v>775.50504675841739</v>
      </c>
    </row>
    <row r="150" spans="8:55" x14ac:dyDescent="0.3">
      <c r="H150" s="542" t="str">
        <f>input_names!$F$3</f>
        <v>range-extender</v>
      </c>
      <c r="I150" s="542" t="s">
        <v>1501</v>
      </c>
      <c r="J150" s="543">
        <f t="shared" si="63"/>
        <v>342.5</v>
      </c>
      <c r="K150" s="543">
        <f t="shared" si="67"/>
        <v>342.5</v>
      </c>
      <c r="L150" s="543">
        <f t="shared" si="67"/>
        <v>342.5</v>
      </c>
      <c r="M150" s="543">
        <f t="shared" si="67"/>
        <v>342.5</v>
      </c>
      <c r="N150" s="543">
        <f t="shared" si="67"/>
        <v>342.5</v>
      </c>
      <c r="O150" s="543">
        <f t="shared" si="67"/>
        <v>342.5</v>
      </c>
      <c r="P150" s="543">
        <f t="shared" si="67"/>
        <v>342.5</v>
      </c>
      <c r="Q150" s="543">
        <f t="shared" si="67"/>
        <v>342.5</v>
      </c>
      <c r="R150" s="543">
        <f t="shared" si="67"/>
        <v>342.5</v>
      </c>
      <c r="S150" s="543">
        <f t="shared" si="67"/>
        <v>342.5</v>
      </c>
      <c r="T150" s="543">
        <f t="shared" si="67"/>
        <v>513.75</v>
      </c>
      <c r="U150" s="543">
        <f t="shared" si="67"/>
        <v>688.25324009673091</v>
      </c>
      <c r="V150" s="543">
        <f t="shared" si="67"/>
        <v>691.52193066226039</v>
      </c>
      <c r="W150" s="543">
        <f t="shared" si="67"/>
        <v>694.80614507481403</v>
      </c>
      <c r="X150" s="543">
        <f t="shared" si="67"/>
        <v>698.10595706110962</v>
      </c>
      <c r="Y150" s="543">
        <f t="shared" si="67"/>
        <v>701.42144069801168</v>
      </c>
      <c r="Z150" s="543">
        <f t="shared" si="67"/>
        <v>704.75267041419499</v>
      </c>
      <c r="AA150" s="543">
        <f t="shared" si="67"/>
        <v>708.09972099181493</v>
      </c>
      <c r="AB150" s="543">
        <f t="shared" si="67"/>
        <v>711.46266756818659</v>
      </c>
      <c r="AC150" s="543">
        <f t="shared" si="67"/>
        <v>714.84158563747121</v>
      </c>
      <c r="AD150" s="543">
        <f t="shared" si="67"/>
        <v>718.23655105237128</v>
      </c>
      <c r="AE150" s="543">
        <f t="shared" si="67"/>
        <v>721.64764002583308</v>
      </c>
      <c r="AF150" s="543">
        <f t="shared" si="67"/>
        <v>725.07492913275757</v>
      </c>
      <c r="AG150" s="543">
        <f t="shared" si="67"/>
        <v>728.51849531171968</v>
      </c>
      <c r="AH150" s="543">
        <f t="shared" si="67"/>
        <v>731.97841586669517</v>
      </c>
      <c r="AI150" s="543">
        <f t="shared" si="67"/>
        <v>735.45476846879615</v>
      </c>
      <c r="AJ150" s="543">
        <f t="shared" si="67"/>
        <v>738.9476311580147</v>
      </c>
      <c r="AK150" s="543">
        <f t="shared" si="67"/>
        <v>742.45708234497476</v>
      </c>
      <c r="AL150" s="543">
        <f t="shared" si="67"/>
        <v>745.98320081269242</v>
      </c>
      <c r="AM150" s="543">
        <f t="shared" si="67"/>
        <v>749.52606571834428</v>
      </c>
      <c r="AN150" s="543">
        <f t="shared" si="67"/>
        <v>753.08575659504493</v>
      </c>
      <c r="AO150" s="543">
        <f t="shared" si="67"/>
        <v>756.66235335363172</v>
      </c>
      <c r="AP150" s="543">
        <f t="shared" si="67"/>
        <v>760.25593628445927</v>
      </c>
      <c r="AQ150" s="543">
        <f t="shared" si="67"/>
        <v>763.86658605920138</v>
      </c>
      <c r="AR150" s="543">
        <f t="shared" si="67"/>
        <v>767.49438373266241</v>
      </c>
      <c r="AS150" s="543">
        <f t="shared" si="67"/>
        <v>771.1394107445966</v>
      </c>
      <c r="AT150" s="543">
        <f t="shared" si="67"/>
        <v>774.8017489215365</v>
      </c>
      <c r="AU150" s="543">
        <f t="shared" si="67"/>
        <v>778.48148047862969</v>
      </c>
      <c r="AV150" s="543">
        <f t="shared" si="67"/>
        <v>782.1786880214845</v>
      </c>
      <c r="AW150" s="543">
        <f t="shared" si="67"/>
        <v>785.89345454802447</v>
      </c>
      <c r="AX150" s="543">
        <f t="shared" si="67"/>
        <v>789.62586345035152</v>
      </c>
      <c r="AY150" s="543">
        <f t="shared" si="67"/>
        <v>793.37599851661798</v>
      </c>
      <c r="AZ150" s="543">
        <f t="shared" si="67"/>
        <v>797.1439439329074</v>
      </c>
      <c r="BA150" s="543">
        <f t="shared" si="67"/>
        <v>800.92978428512458</v>
      </c>
      <c r="BB150" s="543">
        <f t="shared" si="67"/>
        <v>804.73360456089461</v>
      </c>
      <c r="BC150" s="543">
        <f t="shared" si="67"/>
        <v>808.55549015147028</v>
      </c>
    </row>
    <row r="151" spans="8:55" x14ac:dyDescent="0.3">
      <c r="H151" s="542" t="str">
        <f>input_names!$F$3</f>
        <v>range-extender</v>
      </c>
      <c r="I151" s="542" t="s">
        <v>1502</v>
      </c>
      <c r="J151" s="543">
        <f t="shared" si="63"/>
        <v>356.5</v>
      </c>
      <c r="K151" s="543">
        <f t="shared" si="67"/>
        <v>356.5</v>
      </c>
      <c r="L151" s="543">
        <f t="shared" si="67"/>
        <v>356.5</v>
      </c>
      <c r="M151" s="543">
        <f t="shared" si="67"/>
        <v>356.5</v>
      </c>
      <c r="N151" s="543">
        <f t="shared" si="67"/>
        <v>356.5</v>
      </c>
      <c r="O151" s="543">
        <f t="shared" si="67"/>
        <v>356.5</v>
      </c>
      <c r="P151" s="543">
        <f t="shared" si="67"/>
        <v>356.5</v>
      </c>
      <c r="Q151" s="543">
        <f t="shared" si="67"/>
        <v>356.5</v>
      </c>
      <c r="R151" s="543">
        <f t="shared" si="67"/>
        <v>356.5</v>
      </c>
      <c r="S151" s="543">
        <f t="shared" si="67"/>
        <v>356.5</v>
      </c>
      <c r="T151" s="543">
        <f t="shared" si="67"/>
        <v>534.75</v>
      </c>
      <c r="U151" s="543">
        <f t="shared" si="67"/>
        <v>716.38621925396956</v>
      </c>
      <c r="V151" s="543">
        <f t="shared" si="67"/>
        <v>719.78852052874697</v>
      </c>
      <c r="W151" s="543">
        <f t="shared" si="67"/>
        <v>723.20698020195982</v>
      </c>
      <c r="X151" s="543">
        <f t="shared" si="67"/>
        <v>726.64167501397253</v>
      </c>
      <c r="Y151" s="543">
        <f t="shared" si="67"/>
        <v>730.09268206960928</v>
      </c>
      <c r="Z151" s="543">
        <f t="shared" si="67"/>
        <v>733.5600788398848</v>
      </c>
      <c r="AA151" s="543">
        <f t="shared" si="67"/>
        <v>737.04394316374328</v>
      </c>
      <c r="AB151" s="543">
        <f t="shared" si="67"/>
        <v>740.54435324980602</v>
      </c>
      <c r="AC151" s="543">
        <f t="shared" si="67"/>
        <v>744.06138767812718</v>
      </c>
      <c r="AD151" s="543">
        <f t="shared" si="67"/>
        <v>747.59512540195749</v>
      </c>
      <c r="AE151" s="543">
        <f t="shared" si="67"/>
        <v>751.14564574951703</v>
      </c>
      <c r="AF151" s="543">
        <f t="shared" si="67"/>
        <v>754.71302842577575</v>
      </c>
      <c r="AG151" s="543">
        <f t="shared" si="67"/>
        <v>758.2973535142429</v>
      </c>
      <c r="AH151" s="543">
        <f t="shared" si="67"/>
        <v>761.89870147876479</v>
      </c>
      <c r="AI151" s="543">
        <f t="shared" si="67"/>
        <v>765.51715316533114</v>
      </c>
      <c r="AJ151" s="543">
        <f t="shared" si="67"/>
        <v>769.15278980388996</v>
      </c>
      <c r="AK151" s="543">
        <f t="shared" si="67"/>
        <v>772.80569301017101</v>
      </c>
      <c r="AL151" s="543">
        <f t="shared" si="67"/>
        <v>776.47594478751796</v>
      </c>
      <c r="AM151" s="543">
        <f t="shared" si="67"/>
        <v>780.16362752872931</v>
      </c>
      <c r="AN151" s="543">
        <f t="shared" si="67"/>
        <v>783.8688240179082</v>
      </c>
      <c r="AO151" s="543">
        <f t="shared" si="67"/>
        <v>787.5916174323205</v>
      </c>
      <c r="AP151" s="543">
        <f t="shared" si="67"/>
        <v>791.33209134426215</v>
      </c>
      <c r="AQ151" s="543">
        <f t="shared" si="67"/>
        <v>795.09032972293528</v>
      </c>
      <c r="AR151" s="543">
        <f t="shared" si="67"/>
        <v>798.86641693633339</v>
      </c>
      <c r="AS151" s="543">
        <f t="shared" si="67"/>
        <v>802.66043775313494</v>
      </c>
      <c r="AT151" s="543">
        <f t="shared" si="67"/>
        <v>806.47247734460666</v>
      </c>
      <c r="AU151" s="543">
        <f t="shared" si="67"/>
        <v>810.30262128651532</v>
      </c>
      <c r="AV151" s="543">
        <f t="shared" si="67"/>
        <v>814.15095556104893</v>
      </c>
      <c r="AW151" s="543">
        <f t="shared" si="67"/>
        <v>818.01756655874681</v>
      </c>
      <c r="AX151" s="543">
        <f t="shared" si="67"/>
        <v>821.90254108043905</v>
      </c>
      <c r="AY151" s="543">
        <f t="shared" si="67"/>
        <v>825.80596633919515</v>
      </c>
      <c r="AZ151" s="543">
        <f t="shared" si="67"/>
        <v>829.72792996228179</v>
      </c>
      <c r="BA151" s="543">
        <f t="shared" si="67"/>
        <v>833.66851999312973</v>
      </c>
      <c r="BB151" s="543">
        <f t="shared" si="67"/>
        <v>837.62782489331073</v>
      </c>
      <c r="BC151" s="543">
        <f t="shared" si="67"/>
        <v>841.60593354452305</v>
      </c>
    </row>
    <row r="152" spans="8:55" x14ac:dyDescent="0.3">
      <c r="H152" s="542" t="str">
        <f>input_names!$F$3</f>
        <v>range-extender</v>
      </c>
      <c r="I152" s="542" t="s">
        <v>1503</v>
      </c>
      <c r="J152" s="543">
        <f t="shared" si="63"/>
        <v>370.5</v>
      </c>
      <c r="K152" s="543">
        <f t="shared" si="67"/>
        <v>370.5</v>
      </c>
      <c r="L152" s="543">
        <f t="shared" si="67"/>
        <v>370.5</v>
      </c>
      <c r="M152" s="543">
        <f t="shared" si="67"/>
        <v>370.5</v>
      </c>
      <c r="N152" s="543">
        <f t="shared" si="67"/>
        <v>370.5</v>
      </c>
      <c r="O152" s="543">
        <f t="shared" si="67"/>
        <v>370.5</v>
      </c>
      <c r="P152" s="543">
        <f t="shared" si="67"/>
        <v>370.5</v>
      </c>
      <c r="Q152" s="543">
        <f t="shared" si="67"/>
        <v>370.5</v>
      </c>
      <c r="R152" s="543">
        <f t="shared" si="67"/>
        <v>370.5</v>
      </c>
      <c r="S152" s="543">
        <f t="shared" si="67"/>
        <v>370.5</v>
      </c>
      <c r="T152" s="543">
        <f t="shared" si="67"/>
        <v>555.75</v>
      </c>
      <c r="U152" s="543">
        <f t="shared" si="67"/>
        <v>744.51919841120821</v>
      </c>
      <c r="V152" s="543">
        <f t="shared" si="67"/>
        <v>748.05511039523356</v>
      </c>
      <c r="W152" s="543">
        <f t="shared" si="67"/>
        <v>751.60781532910551</v>
      </c>
      <c r="X152" s="543">
        <f t="shared" si="67"/>
        <v>755.17739296683544</v>
      </c>
      <c r="Y152" s="543">
        <f t="shared" si="67"/>
        <v>758.76392344120688</v>
      </c>
      <c r="Z152" s="543">
        <f t="shared" si="67"/>
        <v>762.36748726557448</v>
      </c>
      <c r="AA152" s="543">
        <f t="shared" si="67"/>
        <v>765.9881653356714</v>
      </c>
      <c r="AB152" s="543">
        <f t="shared" si="67"/>
        <v>769.62603893142523</v>
      </c>
      <c r="AC152" s="543">
        <f t="shared" si="67"/>
        <v>773.2811897187828</v>
      </c>
      <c r="AD152" s="543">
        <f t="shared" si="67"/>
        <v>776.95369975154335</v>
      </c>
      <c r="AE152" s="543">
        <f t="shared" si="67"/>
        <v>780.64365147320052</v>
      </c>
      <c r="AF152" s="543">
        <f t="shared" si="67"/>
        <v>784.35112771879335</v>
      </c>
      <c r="AG152" s="543">
        <f t="shared" si="67"/>
        <v>788.07621171676556</v>
      </c>
      <c r="AH152" s="543">
        <f t="shared" si="67"/>
        <v>791.81898709083396</v>
      </c>
      <c r="AI152" s="543">
        <f t="shared" si="67"/>
        <v>795.57953786186579</v>
      </c>
      <c r="AJ152" s="543">
        <f t="shared" si="67"/>
        <v>799.35794844976488</v>
      </c>
      <c r="AK152" s="543">
        <f t="shared" si="67"/>
        <v>803.15430367536692</v>
      </c>
      <c r="AL152" s="543">
        <f t="shared" si="67"/>
        <v>806.96868876234316</v>
      </c>
      <c r="AM152" s="543">
        <f t="shared" si="67"/>
        <v>810.8011893391141</v>
      </c>
      <c r="AN152" s="543">
        <f t="shared" si="67"/>
        <v>814.65189144077124</v>
      </c>
      <c r="AO152" s="543">
        <f t="shared" si="67"/>
        <v>818.52088151100895</v>
      </c>
      <c r="AP152" s="543">
        <f t="shared" si="67"/>
        <v>822.4082464040647</v>
      </c>
      <c r="AQ152" s="543">
        <f t="shared" si="67"/>
        <v>826.31407338666895</v>
      </c>
      <c r="AR152" s="543">
        <f t="shared" si="67"/>
        <v>830.23845014000415</v>
      </c>
      <c r="AS152" s="543">
        <f t="shared" si="67"/>
        <v>834.18146476167306</v>
      </c>
      <c r="AT152" s="543">
        <f t="shared" si="67"/>
        <v>838.14320576767659</v>
      </c>
      <c r="AU152" s="543">
        <f t="shared" si="67"/>
        <v>842.12376209440072</v>
      </c>
      <c r="AV152" s="543">
        <f t="shared" si="67"/>
        <v>846.12322310061302</v>
      </c>
      <c r="AW152" s="543">
        <f t="shared" si="67"/>
        <v>850.1416785694687</v>
      </c>
      <c r="AX152" s="543">
        <f t="shared" si="67"/>
        <v>854.17921871052613</v>
      </c>
      <c r="AY152" s="543">
        <f t="shared" si="67"/>
        <v>858.23593416177198</v>
      </c>
      <c r="AZ152" s="543">
        <f t="shared" si="67"/>
        <v>862.31191599165584</v>
      </c>
      <c r="BA152" s="543">
        <f t="shared" si="67"/>
        <v>866.40725570113466</v>
      </c>
      <c r="BB152" s="543">
        <f t="shared" si="67"/>
        <v>870.52204522572674</v>
      </c>
      <c r="BC152" s="543">
        <f t="shared" si="67"/>
        <v>874.65637693757571</v>
      </c>
    </row>
    <row r="153" spans="8:55" x14ac:dyDescent="0.3">
      <c r="H153" s="542" t="str">
        <f>input_names!$F$3</f>
        <v>range-extender</v>
      </c>
      <c r="I153" s="542" t="s">
        <v>1504</v>
      </c>
      <c r="J153" s="543">
        <f t="shared" si="63"/>
        <v>382.5</v>
      </c>
      <c r="K153" s="543">
        <f t="shared" si="67"/>
        <v>382.5</v>
      </c>
      <c r="L153" s="543">
        <f t="shared" si="67"/>
        <v>382.5</v>
      </c>
      <c r="M153" s="543">
        <f t="shared" si="67"/>
        <v>382.5</v>
      </c>
      <c r="N153" s="543">
        <f t="shared" si="67"/>
        <v>382.5</v>
      </c>
      <c r="O153" s="543">
        <f t="shared" si="67"/>
        <v>382.5</v>
      </c>
      <c r="P153" s="543">
        <f t="shared" si="67"/>
        <v>382.5</v>
      </c>
      <c r="Q153" s="543">
        <f t="shared" si="67"/>
        <v>382.5</v>
      </c>
      <c r="R153" s="543">
        <f t="shared" si="67"/>
        <v>382.5</v>
      </c>
      <c r="S153" s="543">
        <f t="shared" si="67"/>
        <v>382.5</v>
      </c>
      <c r="T153" s="543">
        <f t="shared" si="67"/>
        <v>573.75</v>
      </c>
      <c r="U153" s="543">
        <f t="shared" si="67"/>
        <v>768.63318054598426</v>
      </c>
      <c r="V153" s="543">
        <f t="shared" si="67"/>
        <v>772.28361599507923</v>
      </c>
      <c r="W153" s="543">
        <f t="shared" si="67"/>
        <v>775.95138829523046</v>
      </c>
      <c r="X153" s="543">
        <f t="shared" si="67"/>
        <v>779.63657978357514</v>
      </c>
      <c r="Y153" s="543">
        <f t="shared" si="67"/>
        <v>783.33927318829069</v>
      </c>
      <c r="Z153" s="543">
        <f t="shared" si="67"/>
        <v>787.05955163045167</v>
      </c>
      <c r="AA153" s="543">
        <f t="shared" si="67"/>
        <v>790.79749862589586</v>
      </c>
      <c r="AB153" s="543">
        <f t="shared" si="67"/>
        <v>794.55319808709919</v>
      </c>
      <c r="AC153" s="543">
        <f t="shared" si="67"/>
        <v>798.32673432505942</v>
      </c>
      <c r="AD153" s="543">
        <f t="shared" si="67"/>
        <v>802.11819205118877</v>
      </c>
      <c r="AE153" s="543">
        <f t="shared" si="67"/>
        <v>805.92765637921548</v>
      </c>
      <c r="AF153" s="543">
        <f t="shared" si="67"/>
        <v>809.75521282709474</v>
      </c>
      <c r="AG153" s="543">
        <f t="shared" si="67"/>
        <v>813.60094731892832</v>
      </c>
      <c r="AH153" s="543">
        <f t="shared" si="67"/>
        <v>817.4649461868936</v>
      </c>
      <c r="AI153" s="543">
        <f t="shared" si="67"/>
        <v>821.34729617318146</v>
      </c>
      <c r="AJ153" s="543">
        <f t="shared" si="67"/>
        <v>825.24808443194377</v>
      </c>
      <c r="AK153" s="543">
        <f t="shared" si="67"/>
        <v>829.16739853124943</v>
      </c>
      <c r="AL153" s="543">
        <f t="shared" si="67"/>
        <v>833.10532645505089</v>
      </c>
      <c r="AM153" s="543">
        <f t="shared" si="67"/>
        <v>837.06195660515846</v>
      </c>
      <c r="AN153" s="543">
        <f t="shared" si="67"/>
        <v>841.03737780322558</v>
      </c>
      <c r="AO153" s="543">
        <f t="shared" ref="K153:BC154" si="68">AO123</f>
        <v>845.0316792927423</v>
      </c>
      <c r="AP153" s="543">
        <f t="shared" si="68"/>
        <v>849.04495074103875</v>
      </c>
      <c r="AQ153" s="543">
        <f t="shared" si="68"/>
        <v>853.07728224129824</v>
      </c>
      <c r="AR153" s="543">
        <f t="shared" si="68"/>
        <v>857.12876431457948</v>
      </c>
      <c r="AS153" s="543">
        <f t="shared" si="68"/>
        <v>861.19948791184902</v>
      </c>
      <c r="AT153" s="543">
        <f t="shared" si="68"/>
        <v>865.28954441602275</v>
      </c>
      <c r="AU153" s="543">
        <f t="shared" si="68"/>
        <v>869.39902564401734</v>
      </c>
      <c r="AV153" s="543">
        <f t="shared" si="68"/>
        <v>873.52802384881147</v>
      </c>
      <c r="AW153" s="543">
        <f t="shared" si="68"/>
        <v>877.67663172151674</v>
      </c>
      <c r="AX153" s="543">
        <f t="shared" si="68"/>
        <v>881.84494239345861</v>
      </c>
      <c r="AY153" s="543">
        <f t="shared" si="68"/>
        <v>886.03304943826708</v>
      </c>
      <c r="AZ153" s="543">
        <f t="shared" si="68"/>
        <v>890.2410468739771</v>
      </c>
      <c r="BA153" s="543">
        <f t="shared" si="68"/>
        <v>894.46902916513943</v>
      </c>
      <c r="BB153" s="543">
        <f t="shared" si="68"/>
        <v>898.71709122494099</v>
      </c>
      <c r="BC153" s="543">
        <f t="shared" si="68"/>
        <v>902.98532841733572</v>
      </c>
    </row>
    <row r="154" spans="8:55" x14ac:dyDescent="0.3">
      <c r="H154" s="542" t="str">
        <f>input_names!$F$3</f>
        <v>range-extender</v>
      </c>
      <c r="I154" s="542" t="s">
        <v>1505</v>
      </c>
      <c r="J154" s="543">
        <f t="shared" si="63"/>
        <v>394</v>
      </c>
      <c r="K154" s="543">
        <f t="shared" si="68"/>
        <v>394</v>
      </c>
      <c r="L154" s="543">
        <f t="shared" si="68"/>
        <v>394</v>
      </c>
      <c r="M154" s="543">
        <f t="shared" si="68"/>
        <v>394</v>
      </c>
      <c r="N154" s="543">
        <f t="shared" si="68"/>
        <v>394</v>
      </c>
      <c r="O154" s="543">
        <f t="shared" si="68"/>
        <v>394</v>
      </c>
      <c r="P154" s="543">
        <f t="shared" si="68"/>
        <v>394</v>
      </c>
      <c r="Q154" s="543">
        <f t="shared" si="68"/>
        <v>394</v>
      </c>
      <c r="R154" s="543">
        <f t="shared" si="68"/>
        <v>394</v>
      </c>
      <c r="S154" s="543">
        <f t="shared" si="68"/>
        <v>394</v>
      </c>
      <c r="T154" s="543">
        <f t="shared" si="68"/>
        <v>591</v>
      </c>
      <c r="U154" s="543">
        <f t="shared" si="68"/>
        <v>791.74241342514449</v>
      </c>
      <c r="V154" s="543">
        <f t="shared" si="68"/>
        <v>795.50260052826457</v>
      </c>
      <c r="W154" s="543">
        <f t="shared" si="68"/>
        <v>799.28064572110009</v>
      </c>
      <c r="X154" s="543">
        <f t="shared" si="68"/>
        <v>803.0766338162839</v>
      </c>
      <c r="Y154" s="543">
        <f t="shared" si="68"/>
        <v>806.89065002924576</v>
      </c>
      <c r="Z154" s="543">
        <f t="shared" si="68"/>
        <v>810.72277998012521</v>
      </c>
      <c r="AA154" s="543">
        <f t="shared" si="68"/>
        <v>814.57310969569392</v>
      </c>
      <c r="AB154" s="543">
        <f t="shared" si="68"/>
        <v>818.44172561128642</v>
      </c>
      <c r="AC154" s="543">
        <f t="shared" si="68"/>
        <v>822.32871457274086</v>
      </c>
      <c r="AD154" s="543">
        <f t="shared" si="68"/>
        <v>826.23416383834854</v>
      </c>
      <c r="AE154" s="543">
        <f t="shared" si="68"/>
        <v>830.15816108081265</v>
      </c>
      <c r="AF154" s="543">
        <f t="shared" si="68"/>
        <v>834.10079438921639</v>
      </c>
      <c r="AG154" s="543">
        <f t="shared" si="68"/>
        <v>838.06215227100051</v>
      </c>
      <c r="AH154" s="543">
        <f t="shared" si="68"/>
        <v>842.04232365395035</v>
      </c>
      <c r="AI154" s="543">
        <f t="shared" si="68"/>
        <v>846.04139788819202</v>
      </c>
      <c r="AJ154" s="543">
        <f t="shared" si="68"/>
        <v>850.05946474819814</v>
      </c>
      <c r="AK154" s="543">
        <f t="shared" si="68"/>
        <v>854.0966144348032</v>
      </c>
      <c r="AL154" s="543">
        <f t="shared" si="68"/>
        <v>858.15293757722873</v>
      </c>
      <c r="AM154" s="543">
        <f t="shared" si="68"/>
        <v>862.22852523511733</v>
      </c>
      <c r="AN154" s="543">
        <f t="shared" si="68"/>
        <v>866.32346890057727</v>
      </c>
      <c r="AO154" s="543">
        <f t="shared" si="68"/>
        <v>870.4378605002363</v>
      </c>
      <c r="AP154" s="543">
        <f t="shared" si="68"/>
        <v>874.57179239730499</v>
      </c>
      <c r="AQ154" s="543">
        <f t="shared" si="68"/>
        <v>878.7253573936506</v>
      </c>
      <c r="AR154" s="543">
        <f t="shared" si="68"/>
        <v>882.89864873188014</v>
      </c>
      <c r="AS154" s="543">
        <f t="shared" si="68"/>
        <v>887.09176009743362</v>
      </c>
      <c r="AT154" s="543">
        <f t="shared" si="68"/>
        <v>891.30478562068708</v>
      </c>
      <c r="AU154" s="543">
        <f t="shared" si="68"/>
        <v>895.53781987906575</v>
      </c>
      <c r="AV154" s="543">
        <f t="shared" si="68"/>
        <v>899.79095789916732</v>
      </c>
      <c r="AW154" s="543">
        <f t="shared" si="68"/>
        <v>904.06429515889511</v>
      </c>
      <c r="AX154" s="543">
        <f t="shared" si="68"/>
        <v>908.35792758960133</v>
      </c>
      <c r="AY154" s="543">
        <f t="shared" si="68"/>
        <v>912.67195157824062</v>
      </c>
      <c r="AZ154" s="543">
        <f t="shared" si="68"/>
        <v>917.00646396953414</v>
      </c>
      <c r="BA154" s="543">
        <f t="shared" si="68"/>
        <v>921.36156206814314</v>
      </c>
      <c r="BB154" s="543">
        <f t="shared" si="68"/>
        <v>925.73734364085374</v>
      </c>
      <c r="BC154" s="543">
        <f t="shared" si="68"/>
        <v>930.13390691877146</v>
      </c>
    </row>
    <row r="203" spans="2:4" ht="15.75" x14ac:dyDescent="0.35">
      <c r="B203" s="339"/>
      <c r="C203" s="339"/>
      <c r="D203" s="340"/>
    </row>
  </sheetData>
  <hyperlinks>
    <hyperlink ref="B44" r:id="rId1" xr:uid="{06B86FBA-97CE-4C25-8101-D9B110A505BF}"/>
    <hyperlink ref="B37" r:id="rId2" display="../../../../:x:/s/220058/EbqUbD9eGelLmyFpLPCkaDQB_Qfv30omcJ2HgDVNs_WR_A?e=3pNhFK" xr:uid="{D2DCE4C3-7135-4FF5-88A6-11D1A8476CCA}"/>
    <hyperlink ref="I1" r:id="rId3" display="https://www.anwb.nl/auto/elektrisch-rijden/kosten/wegenbelasting-elektrische-auto" xr:uid="{CD8DE6CA-6782-487F-B4AC-CFB15E70E17A}"/>
    <hyperlink ref="I2" r:id="rId4" display="https://www.anwb.nl/auto/elektrisch-rijden/kosten/wegenbelasting-elektrische-auto" xr:uid="{91B80235-D71B-4822-ABE9-AE0532D18A6A}"/>
  </hyperlinks>
  <pageMargins left="0.7" right="0.7" top="0.75" bottom="0.75" header="0.3" footer="0.3"/>
  <pageSetup paperSize="9" orientation="portrait"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2">
    <tabColor rgb="FFFF0000"/>
  </sheetPr>
  <dimension ref="B1:BS128"/>
  <sheetViews>
    <sheetView topLeftCell="A46" zoomScaleNormal="100" workbookViewId="0">
      <selection activeCell="D34" sqref="D34:BB36"/>
    </sheetView>
  </sheetViews>
  <sheetFormatPr defaultRowHeight="15" x14ac:dyDescent="0.3"/>
  <cols>
    <col min="3" max="3" width="40" bestFit="1" customWidth="1"/>
    <col min="11" max="11" width="12" bestFit="1" customWidth="1"/>
    <col min="12" max="12" width="12.7109375" bestFit="1" customWidth="1"/>
    <col min="13" max="14" width="9.28515625" bestFit="1" customWidth="1"/>
    <col min="70" max="70" width="11.85546875" customWidth="1"/>
  </cols>
  <sheetData>
    <row r="1" spans="2:70" x14ac:dyDescent="0.3">
      <c r="AW1" s="273" t="s">
        <v>1028</v>
      </c>
      <c r="AX1" s="273"/>
      <c r="AY1" s="273"/>
      <c r="AZ1" s="273"/>
      <c r="BK1" s="273" t="s">
        <v>1027</v>
      </c>
      <c r="BL1" s="273"/>
      <c r="BM1" s="273"/>
      <c r="BN1" s="273"/>
    </row>
    <row r="2" spans="2:70" ht="15.75" thickBot="1" x14ac:dyDescent="0.35">
      <c r="AW2" s="273" t="s">
        <v>1011</v>
      </c>
      <c r="AX2" s="273"/>
      <c r="AY2" s="273"/>
      <c r="AZ2" s="273"/>
      <c r="BD2" t="s">
        <v>1013</v>
      </c>
      <c r="BK2" s="273" t="s">
        <v>1025</v>
      </c>
      <c r="BL2" s="273"/>
      <c r="BM2" s="273" t="s">
        <v>1627</v>
      </c>
      <c r="BN2" s="273"/>
    </row>
    <row r="3" spans="2:70" ht="15.75" thickBot="1" x14ac:dyDescent="0.35">
      <c r="AU3" s="286" t="s">
        <v>1032</v>
      </c>
      <c r="AV3" s="286" t="s">
        <v>1026</v>
      </c>
      <c r="AW3" s="286" t="str">
        <f t="array" ref="AW3:BA3">list_brandstoftype</f>
        <v>benzine</v>
      </c>
      <c r="AX3" s="286" t="str">
        <v>diesel</v>
      </c>
      <c r="AY3" s="286" t="str">
        <v>Elektrisch</v>
      </c>
      <c r="AZ3" s="286" t="str">
        <v>plug-in</v>
      </c>
      <c r="BA3" s="286" t="str">
        <v>range-extender</v>
      </c>
      <c r="BD3" s="286" t="str">
        <f t="array" ref="BD3:BH3">list_brandstoftype</f>
        <v>benzine</v>
      </c>
      <c r="BE3" s="286" t="str">
        <v>diesel</v>
      </c>
      <c r="BF3" s="286" t="str">
        <v>Elektrisch</v>
      </c>
      <c r="BG3" s="286" t="str">
        <v>plug-in</v>
      </c>
      <c r="BH3" s="286" t="str">
        <v>range-extender</v>
      </c>
      <c r="BK3" s="286" t="str">
        <f t="array" ref="BK3:BO3">list_brandstoftype</f>
        <v>benzine</v>
      </c>
      <c r="BL3" s="286" t="str">
        <v>diesel</v>
      </c>
      <c r="BM3" s="286" t="str">
        <v>Elektrisch</v>
      </c>
      <c r="BN3" s="286" t="str">
        <v>plug-in</v>
      </c>
      <c r="BO3" s="286" t="str">
        <v>range-extender</v>
      </c>
    </row>
    <row r="4" spans="2:70" ht="16.5" thickTop="1" thickBot="1" x14ac:dyDescent="0.35">
      <c r="E4" t="s">
        <v>11</v>
      </c>
      <c r="F4" t="s">
        <v>222</v>
      </c>
      <c r="G4" t="s">
        <v>223</v>
      </c>
      <c r="H4" t="s">
        <v>1023</v>
      </c>
      <c r="J4">
        <v>0</v>
      </c>
      <c r="K4">
        <v>1</v>
      </c>
      <c r="L4">
        <v>2</v>
      </c>
      <c r="M4">
        <v>3</v>
      </c>
      <c r="N4">
        <v>4</v>
      </c>
      <c r="O4">
        <v>5</v>
      </c>
      <c r="P4">
        <v>6</v>
      </c>
      <c r="Q4">
        <v>7</v>
      </c>
      <c r="R4">
        <v>8</v>
      </c>
      <c r="S4">
        <v>9</v>
      </c>
      <c r="T4">
        <v>10</v>
      </c>
      <c r="U4">
        <v>11</v>
      </c>
      <c r="V4">
        <v>12</v>
      </c>
      <c r="W4">
        <v>13</v>
      </c>
      <c r="X4">
        <v>14</v>
      </c>
      <c r="Y4">
        <v>15</v>
      </c>
      <c r="Z4">
        <v>16</v>
      </c>
      <c r="AA4">
        <v>17</v>
      </c>
      <c r="AB4">
        <v>18</v>
      </c>
      <c r="AC4">
        <v>19</v>
      </c>
      <c r="AD4">
        <v>20</v>
      </c>
      <c r="AU4" s="283">
        <v>1</v>
      </c>
      <c r="AV4" s="350">
        <v>0</v>
      </c>
      <c r="AW4" s="351">
        <f>AW5</f>
        <v>0.182</v>
      </c>
      <c r="AX4" s="352">
        <f>AX5</f>
        <v>0.21</v>
      </c>
      <c r="AY4" s="352">
        <f>$AX4</f>
        <v>0.21</v>
      </c>
      <c r="AZ4" s="352">
        <f t="shared" ref="AZ4:BA23" si="0">$AW4</f>
        <v>0.182</v>
      </c>
      <c r="BA4" s="353">
        <f t="shared" si="0"/>
        <v>0.182</v>
      </c>
      <c r="BD4" s="285">
        <f>BD5</f>
        <v>0.51622009068963415</v>
      </c>
      <c r="BE4" s="285">
        <f t="shared" ref="BE4:BE14" si="1">BE5</f>
        <v>0.5552732948416057</v>
      </c>
      <c r="BF4" s="285">
        <f>$BE4</f>
        <v>0.5552732948416057</v>
      </c>
      <c r="BG4" s="285">
        <f t="shared" ref="BG4:BH23" si="2">$BD4</f>
        <v>0.51622009068963415</v>
      </c>
      <c r="BH4" s="285">
        <f t="shared" si="2"/>
        <v>0.51622009068963415</v>
      </c>
      <c r="BK4" s="345">
        <v>2.0439308216535938E-2</v>
      </c>
      <c r="BL4" s="345">
        <v>1.3907164507488298E-2</v>
      </c>
      <c r="BM4" s="345">
        <f>BL4*(1-$B$15)</f>
        <v>1.3907164507488298E-2</v>
      </c>
      <c r="BN4" s="345">
        <f t="shared" ref="BN4:BO23" si="3">$BK4</f>
        <v>2.0439308216535938E-2</v>
      </c>
      <c r="BO4" s="345">
        <f t="shared" si="3"/>
        <v>2.0439308216535938E-2</v>
      </c>
      <c r="BR4" s="634"/>
    </row>
    <row r="5" spans="2:70" ht="15.75" thickBot="1" x14ac:dyDescent="0.35">
      <c r="E5">
        <v>22000</v>
      </c>
      <c r="F5" s="47">
        <v>0.35</v>
      </c>
      <c r="G5">
        <f>-LN(1-F5)</f>
        <v>0.43078291609245423</v>
      </c>
      <c r="I5">
        <v>0.1</v>
      </c>
      <c r="J5" s="47">
        <f t="shared" ref="J5:AD5" si="4">EXP(-$G5*J$4^$I5)</f>
        <v>1</v>
      </c>
      <c r="K5" s="47">
        <f t="shared" si="4"/>
        <v>0.65</v>
      </c>
      <c r="L5" s="47">
        <f t="shared" si="4"/>
        <v>0.63021030516322574</v>
      </c>
      <c r="M5" s="47">
        <f t="shared" si="4"/>
        <v>0.61828436140536702</v>
      </c>
      <c r="N5" s="47">
        <f t="shared" si="4"/>
        <v>0.60966867380429957</v>
      </c>
      <c r="O5" s="47">
        <f t="shared" si="4"/>
        <v>0.60289889059622004</v>
      </c>
      <c r="P5" s="47">
        <f t="shared" si="4"/>
        <v>0.59731183566570145</v>
      </c>
      <c r="Q5" s="47">
        <f t="shared" si="4"/>
        <v>0.5925493392753951</v>
      </c>
      <c r="R5" s="47">
        <f t="shared" si="4"/>
        <v>0.58839547507029644</v>
      </c>
      <c r="S5" s="47">
        <f t="shared" si="4"/>
        <v>0.58470980957451013</v>
      </c>
      <c r="T5" s="47">
        <f t="shared" si="4"/>
        <v>0.58139577371514162</v>
      </c>
      <c r="U5" s="47">
        <f t="shared" si="4"/>
        <v>0.57838406046274171</v>
      </c>
      <c r="V5" s="47">
        <f t="shared" si="4"/>
        <v>0.57562321370168146</v>
      </c>
      <c r="W5" s="47">
        <f t="shared" si="4"/>
        <v>0.57307396340982708</v>
      </c>
      <c r="X5" s="47">
        <f t="shared" si="4"/>
        <v>0.57070564713886118</v>
      </c>
      <c r="Y5" s="47">
        <f t="shared" si="4"/>
        <v>0.56849385777762285</v>
      </c>
      <c r="Z5" s="47">
        <f t="shared" si="4"/>
        <v>0.56641884500382622</v>
      </c>
      <c r="AA5" s="47">
        <f t="shared" si="4"/>
        <v>0.56446439770065071</v>
      </c>
      <c r="AB5" s="47">
        <f t="shared" si="4"/>
        <v>0.56261704331126761</v>
      </c>
      <c r="AC5" s="47">
        <f t="shared" si="4"/>
        <v>0.56086546192013897</v>
      </c>
      <c r="AD5" s="47">
        <f t="shared" si="4"/>
        <v>0.55920004938194112</v>
      </c>
      <c r="AU5" s="283">
        <v>2</v>
      </c>
      <c r="AV5" s="350">
        <v>8500</v>
      </c>
      <c r="AW5" s="354">
        <f t="shared" ref="AW5:AW49" si="5">F9</f>
        <v>0.182</v>
      </c>
      <c r="AX5" s="284">
        <f t="shared" ref="AX5:AX14" si="6">AX6</f>
        <v>0.21</v>
      </c>
      <c r="AY5" s="280">
        <f t="shared" ref="AY5:AY62" si="7">$AX5</f>
        <v>0.21</v>
      </c>
      <c r="AZ5" s="280">
        <f t="shared" si="0"/>
        <v>0.182</v>
      </c>
      <c r="BA5" s="355">
        <f t="shared" si="0"/>
        <v>0.182</v>
      </c>
      <c r="BD5" s="281">
        <f t="shared" ref="BD5:BD49" si="8">I9</f>
        <v>0.51622009068963415</v>
      </c>
      <c r="BE5" s="285">
        <f t="shared" si="1"/>
        <v>0.5552732948416057</v>
      </c>
      <c r="BF5" s="281">
        <f t="shared" ref="BF5:BF62" si="9">$BE5</f>
        <v>0.5552732948416057</v>
      </c>
      <c r="BG5" s="281">
        <f t="shared" si="2"/>
        <v>0.51622009068963415</v>
      </c>
      <c r="BH5" s="285">
        <f t="shared" si="2"/>
        <v>0.51622009068963415</v>
      </c>
      <c r="BK5" s="344">
        <v>2.0439308216535938E-2</v>
      </c>
      <c r="BL5" s="345">
        <v>1.3907164507488298E-2</v>
      </c>
      <c r="BM5" s="341">
        <f t="shared" ref="BM5:BM62" si="10">BL5*(1-$B$15)</f>
        <v>1.3907164507488298E-2</v>
      </c>
      <c r="BN5" s="341">
        <f t="shared" si="3"/>
        <v>2.0439308216535938E-2</v>
      </c>
      <c r="BO5" s="345">
        <f t="shared" si="3"/>
        <v>2.0439308216535938E-2</v>
      </c>
      <c r="BR5" s="634"/>
    </row>
    <row r="6" spans="2:70" ht="15.75" thickBot="1" x14ac:dyDescent="0.35">
      <c r="H6">
        <v>1</v>
      </c>
      <c r="AU6" s="283">
        <v>3</v>
      </c>
      <c r="AV6" s="350">
        <v>9000</v>
      </c>
      <c r="AW6" s="354">
        <f t="shared" si="5"/>
        <v>0.182</v>
      </c>
      <c r="AX6" s="284">
        <f t="shared" si="6"/>
        <v>0.21</v>
      </c>
      <c r="AY6" s="280">
        <f t="shared" si="7"/>
        <v>0.21</v>
      </c>
      <c r="AZ6" s="280">
        <f t="shared" si="0"/>
        <v>0.182</v>
      </c>
      <c r="BA6" s="355">
        <f t="shared" si="0"/>
        <v>0.182</v>
      </c>
      <c r="BD6" s="281">
        <f t="shared" si="8"/>
        <v>0.51622009068963448</v>
      </c>
      <c r="BE6" s="285">
        <f t="shared" si="1"/>
        <v>0.5552732948416057</v>
      </c>
      <c r="BF6" s="281">
        <f t="shared" si="9"/>
        <v>0.5552732948416057</v>
      </c>
      <c r="BG6" s="281">
        <f t="shared" si="2"/>
        <v>0.51622009068963448</v>
      </c>
      <c r="BH6" s="285">
        <f t="shared" si="2"/>
        <v>0.51622009068963448</v>
      </c>
      <c r="BK6" s="344">
        <v>2.0439308216535938E-2</v>
      </c>
      <c r="BL6" s="345">
        <v>1.3907164507488298E-2</v>
      </c>
      <c r="BM6" s="341">
        <f t="shared" si="10"/>
        <v>1.3907164507488298E-2</v>
      </c>
      <c r="BN6" s="341">
        <f t="shared" si="3"/>
        <v>2.0439308216535938E-2</v>
      </c>
      <c r="BO6" s="345">
        <f t="shared" si="3"/>
        <v>2.0439308216535938E-2</v>
      </c>
      <c r="BR6" s="634"/>
    </row>
    <row r="7" spans="2:70" ht="15.75" thickBot="1" x14ac:dyDescent="0.35">
      <c r="F7" s="343" t="s">
        <v>1193</v>
      </c>
      <c r="AU7" s="283">
        <v>4</v>
      </c>
      <c r="AV7" s="350">
        <v>9500</v>
      </c>
      <c r="AW7" s="354">
        <f t="shared" si="5"/>
        <v>0.182</v>
      </c>
      <c r="AX7" s="284">
        <f t="shared" si="6"/>
        <v>0.21</v>
      </c>
      <c r="AY7" s="280">
        <f t="shared" si="7"/>
        <v>0.21</v>
      </c>
      <c r="AZ7" s="280">
        <f t="shared" si="0"/>
        <v>0.182</v>
      </c>
      <c r="BA7" s="355">
        <f t="shared" si="0"/>
        <v>0.182</v>
      </c>
      <c r="BD7" s="281">
        <f t="shared" si="8"/>
        <v>0.51765188231008141</v>
      </c>
      <c r="BE7" s="285">
        <f t="shared" si="1"/>
        <v>0.5552732948416057</v>
      </c>
      <c r="BF7" s="281">
        <f t="shared" si="9"/>
        <v>0.5552732948416057</v>
      </c>
      <c r="BG7" s="281">
        <f t="shared" si="2"/>
        <v>0.51765188231008141</v>
      </c>
      <c r="BH7" s="285">
        <f t="shared" si="2"/>
        <v>0.51765188231008141</v>
      </c>
      <c r="BK7" s="344">
        <v>2.0439308216535938E-2</v>
      </c>
      <c r="BL7" s="345">
        <v>1.3907164507488298E-2</v>
      </c>
      <c r="BM7" s="341">
        <f t="shared" si="10"/>
        <v>1.3907164507488298E-2</v>
      </c>
      <c r="BN7" s="341">
        <f t="shared" si="3"/>
        <v>2.0439308216535938E-2</v>
      </c>
      <c r="BO7" s="345">
        <f t="shared" si="3"/>
        <v>2.0439308216535938E-2</v>
      </c>
      <c r="BR7" s="634"/>
    </row>
    <row r="8" spans="2:70" ht="15.75" thickBot="1" x14ac:dyDescent="0.35">
      <c r="B8" t="s">
        <v>11</v>
      </c>
      <c r="C8" t="s">
        <v>1019</v>
      </c>
      <c r="E8" t="s">
        <v>11</v>
      </c>
      <c r="F8" t="s">
        <v>222</v>
      </c>
      <c r="G8" t="s">
        <v>223</v>
      </c>
      <c r="H8" t="s">
        <v>1023</v>
      </c>
      <c r="J8" t="s">
        <v>1024</v>
      </c>
      <c r="R8">
        <v>1</v>
      </c>
      <c r="S8">
        <v>2</v>
      </c>
      <c r="T8">
        <v>3</v>
      </c>
      <c r="U8">
        <v>4</v>
      </c>
      <c r="V8">
        <v>5</v>
      </c>
      <c r="W8">
        <v>6</v>
      </c>
      <c r="X8">
        <v>7</v>
      </c>
      <c r="Y8">
        <v>8</v>
      </c>
      <c r="Z8">
        <v>9</v>
      </c>
      <c r="AA8">
        <v>10</v>
      </c>
      <c r="AB8">
        <v>11</v>
      </c>
      <c r="AC8">
        <v>12</v>
      </c>
      <c r="AD8">
        <v>13</v>
      </c>
      <c r="AE8">
        <v>14</v>
      </c>
      <c r="AF8">
        <v>15</v>
      </c>
      <c r="AG8">
        <v>16</v>
      </c>
      <c r="AH8">
        <v>17</v>
      </c>
      <c r="AI8">
        <v>18</v>
      </c>
      <c r="AJ8">
        <v>19</v>
      </c>
      <c r="AK8">
        <v>20</v>
      </c>
      <c r="AU8" s="283">
        <v>5</v>
      </c>
      <c r="AV8" s="350">
        <v>10000</v>
      </c>
      <c r="AW8" s="354">
        <f t="shared" si="5"/>
        <v>0.182</v>
      </c>
      <c r="AX8" s="284">
        <f t="shared" si="6"/>
        <v>0.21</v>
      </c>
      <c r="AY8" s="280">
        <f t="shared" si="7"/>
        <v>0.21</v>
      </c>
      <c r="AZ8" s="280">
        <f t="shared" si="0"/>
        <v>0.182</v>
      </c>
      <c r="BA8" s="355">
        <f t="shared" si="0"/>
        <v>0.182</v>
      </c>
      <c r="BD8" s="281">
        <f t="shared" si="8"/>
        <v>0.51928652682990739</v>
      </c>
      <c r="BE8" s="285">
        <f t="shared" si="1"/>
        <v>0.5552732948416057</v>
      </c>
      <c r="BF8" s="281">
        <f t="shared" si="9"/>
        <v>0.5552732948416057</v>
      </c>
      <c r="BG8" s="281">
        <f t="shared" si="2"/>
        <v>0.51928652682990739</v>
      </c>
      <c r="BH8" s="285">
        <f t="shared" si="2"/>
        <v>0.51928652682990739</v>
      </c>
      <c r="BK8" s="344">
        <v>2.0439308216535938E-2</v>
      </c>
      <c r="BL8" s="345">
        <v>1.3907164507488298E-2</v>
      </c>
      <c r="BM8" s="341">
        <f t="shared" si="10"/>
        <v>1.3907164507488298E-2</v>
      </c>
      <c r="BN8" s="341">
        <f t="shared" si="3"/>
        <v>2.0439308216535938E-2</v>
      </c>
      <c r="BO8" s="345">
        <f t="shared" si="3"/>
        <v>2.0439308216535938E-2</v>
      </c>
      <c r="BR8" s="634"/>
    </row>
    <row r="9" spans="2:70" ht="15.75" thickBot="1" x14ac:dyDescent="0.35">
      <c r="B9" t="s">
        <v>222</v>
      </c>
      <c r="C9" t="s">
        <v>1020</v>
      </c>
      <c r="D9" s="342">
        <v>0.26</v>
      </c>
      <c r="E9">
        <v>8750</v>
      </c>
      <c r="F9" s="342">
        <f>D9*$B$14</f>
        <v>0.182</v>
      </c>
      <c r="G9">
        <f t="shared" ref="G9:G49" si="11">-LN(1-F9)</f>
        <v>0.20089294237938993</v>
      </c>
      <c r="H9">
        <f>I9*$B$13</f>
        <v>0.51622009068963415</v>
      </c>
      <c r="I9" cm="1">
        <f t="array" ref="I9">_xlfn.SINGLE(INDEX(LINEST(LN(K9:Q9),LN(K$4:Q$4),,),1))</f>
        <v>0.51622009068963415</v>
      </c>
      <c r="J9" s="44">
        <f t="shared" ref="J9:J49" si="12">INDEX(LINEST(LN(K9:Q9),LN(K$4:Q$4),,1),3)</f>
        <v>0.973663100050144</v>
      </c>
      <c r="K9" s="342">
        <v>1</v>
      </c>
      <c r="L9" s="342">
        <v>1.2808235066576701</v>
      </c>
      <c r="M9" s="342">
        <v>1.5344657751375979</v>
      </c>
      <c r="N9" s="342">
        <v>1.8090931986745831</v>
      </c>
      <c r="O9" s="342">
        <v>2.1084939698830318</v>
      </c>
      <c r="P9" s="342">
        <v>2.4375847259644647</v>
      </c>
      <c r="Q9" s="342">
        <v>2.7265581743546949</v>
      </c>
      <c r="R9" s="47">
        <f>EXP(-$G9*R$8^$H9)</f>
        <v>0.81800000000000006</v>
      </c>
      <c r="S9" s="47">
        <f t="shared" ref="S9:AK9" si="13">EXP(-$G9*S$8^$H9)</f>
        <v>0.75027331416515608</v>
      </c>
      <c r="T9" s="47">
        <f t="shared" si="13"/>
        <v>0.70172562077222411</v>
      </c>
      <c r="U9" s="47">
        <f t="shared" si="13"/>
        <v>0.66303817618925809</v>
      </c>
      <c r="V9" s="47">
        <f t="shared" si="13"/>
        <v>0.63059502723693384</v>
      </c>
      <c r="W9" s="47">
        <f t="shared" si="13"/>
        <v>0.60254298540494866</v>
      </c>
      <c r="X9" s="47">
        <f t="shared" si="13"/>
        <v>0.57778331101748315</v>
      </c>
      <c r="Y9" s="47">
        <f t="shared" si="13"/>
        <v>0.55560206276357083</v>
      </c>
      <c r="Z9" s="47">
        <f t="shared" si="13"/>
        <v>0.53550495191461145</v>
      </c>
      <c r="AA9" s="47">
        <f t="shared" si="13"/>
        <v>0.5171334054415202</v>
      </c>
      <c r="AB9" s="47">
        <f t="shared" si="13"/>
        <v>0.50021780119086756</v>
      </c>
      <c r="AC9" s="47">
        <f t="shared" si="13"/>
        <v>0.4845495487501103</v>
      </c>
      <c r="AD9" s="47">
        <f t="shared" si="13"/>
        <v>0.46996349525708409</v>
      </c>
      <c r="AE9" s="47">
        <f t="shared" si="13"/>
        <v>0.4563263443014775</v>
      </c>
      <c r="AF9" s="47">
        <f t="shared" si="13"/>
        <v>0.44352875445107104</v>
      </c>
      <c r="AG9" s="47">
        <f t="shared" si="13"/>
        <v>0.43147978365009365</v>
      </c>
      <c r="AH9" s="47">
        <f t="shared" si="13"/>
        <v>0.42010288170513777</v>
      </c>
      <c r="AI9" s="47">
        <f t="shared" si="13"/>
        <v>0.40933293496709289</v>
      </c>
      <c r="AJ9" s="47">
        <f t="shared" si="13"/>
        <v>0.39911404464270217</v>
      </c>
      <c r="AK9" s="47">
        <f t="shared" si="13"/>
        <v>0.38939782814966423</v>
      </c>
      <c r="AL9" s="47"/>
      <c r="AM9" s="47"/>
      <c r="AN9" s="47"/>
      <c r="AO9" s="47"/>
      <c r="AP9" s="47"/>
      <c r="AQ9" s="47"/>
      <c r="AR9" s="47"/>
      <c r="AS9" s="47"/>
      <c r="AT9" s="47"/>
      <c r="AU9" s="283">
        <v>6</v>
      </c>
      <c r="AV9" s="350">
        <v>10500</v>
      </c>
      <c r="AW9" s="354">
        <f t="shared" si="5"/>
        <v>0.182</v>
      </c>
      <c r="AX9" s="284">
        <f t="shared" si="6"/>
        <v>0.21</v>
      </c>
      <c r="AY9" s="280">
        <f t="shared" si="7"/>
        <v>0.21</v>
      </c>
      <c r="AZ9" s="280">
        <f t="shared" si="0"/>
        <v>0.182</v>
      </c>
      <c r="BA9" s="355">
        <f t="shared" si="0"/>
        <v>0.182</v>
      </c>
      <c r="BD9" s="281">
        <f t="shared" si="8"/>
        <v>0.52030728940960946</v>
      </c>
      <c r="BE9" s="285">
        <f t="shared" si="1"/>
        <v>0.5552732948416057</v>
      </c>
      <c r="BF9" s="281">
        <f t="shared" si="9"/>
        <v>0.5552732948416057</v>
      </c>
      <c r="BG9" s="281">
        <f t="shared" si="2"/>
        <v>0.52030728940960946</v>
      </c>
      <c r="BH9" s="285">
        <f t="shared" si="2"/>
        <v>0.52030728940960946</v>
      </c>
      <c r="BK9" s="344">
        <v>2.0439308216535938E-2</v>
      </c>
      <c r="BL9" s="345">
        <v>1.3907164507488298E-2</v>
      </c>
      <c r="BM9" s="341">
        <f t="shared" si="10"/>
        <v>1.3907164507488298E-2</v>
      </c>
      <c r="BN9" s="341">
        <f t="shared" si="3"/>
        <v>2.0439308216535938E-2</v>
      </c>
      <c r="BO9" s="345">
        <f t="shared" si="3"/>
        <v>2.0439308216535938E-2</v>
      </c>
      <c r="BQ9" s="47"/>
      <c r="BR9" s="634"/>
    </row>
    <row r="10" spans="2:70" ht="15.75" thickBot="1" x14ac:dyDescent="0.35">
      <c r="B10" t="s">
        <v>223</v>
      </c>
      <c r="C10" s="279" t="s">
        <v>1021</v>
      </c>
      <c r="D10" s="342">
        <v>0.26</v>
      </c>
      <c r="E10">
        <v>9250</v>
      </c>
      <c r="F10" s="342">
        <f t="shared" ref="F10:F66" si="14">D10*$B$14</f>
        <v>0.182</v>
      </c>
      <c r="G10">
        <f t="shared" si="11"/>
        <v>0.20089294237938993</v>
      </c>
      <c r="H10">
        <f t="shared" ref="H10:H66" si="15">I10*$B$13</f>
        <v>0.51622009068963448</v>
      </c>
      <c r="I10">
        <f t="shared" ref="I10:I48" si="16">INDEX(LINEST(LN(K10:Q10),LN(K$4:Q$4),,),1)</f>
        <v>0.51622009068963448</v>
      </c>
      <c r="J10" s="44">
        <f t="shared" si="12"/>
        <v>0.97366310005014378</v>
      </c>
      <c r="K10" s="342">
        <v>1</v>
      </c>
      <c r="L10" s="342">
        <v>1.2808235066576672</v>
      </c>
      <c r="M10" s="342">
        <v>1.5344657751375974</v>
      </c>
      <c r="N10" s="342">
        <v>1.8090931986745831</v>
      </c>
      <c r="O10" s="342">
        <v>2.1084939698830318</v>
      </c>
      <c r="P10" s="342">
        <v>2.4375847259644647</v>
      </c>
      <c r="Q10" s="342">
        <v>2.7265581743546949</v>
      </c>
      <c r="R10" s="47">
        <f t="shared" ref="R10:AG25" si="17">EXP(-$G10*R$8^$H10)</f>
        <v>0.81800000000000006</v>
      </c>
      <c r="S10" s="47">
        <f t="shared" si="17"/>
        <v>0.75027331416515597</v>
      </c>
      <c r="T10" s="47">
        <f t="shared" si="17"/>
        <v>0.701725620772224</v>
      </c>
      <c r="U10" s="47">
        <f t="shared" si="17"/>
        <v>0.66303817618925798</v>
      </c>
      <c r="V10" s="47">
        <f t="shared" si="17"/>
        <v>0.63059502723693373</v>
      </c>
      <c r="W10" s="47">
        <f t="shared" si="17"/>
        <v>0.60254298540494855</v>
      </c>
      <c r="X10" s="47">
        <f t="shared" si="17"/>
        <v>0.57778331101748293</v>
      </c>
      <c r="Y10" s="47">
        <f t="shared" si="17"/>
        <v>0.55560206276357049</v>
      </c>
      <c r="Z10" s="47">
        <f t="shared" si="17"/>
        <v>0.53550495191461112</v>
      </c>
      <c r="AA10" s="47">
        <f t="shared" si="17"/>
        <v>0.51713340544151998</v>
      </c>
      <c r="AB10" s="47">
        <f t="shared" si="17"/>
        <v>0.50021780119086723</v>
      </c>
      <c r="AC10" s="47">
        <f t="shared" si="17"/>
        <v>0.48454954875010997</v>
      </c>
      <c r="AD10" s="47">
        <f t="shared" si="17"/>
        <v>0.46996349525708386</v>
      </c>
      <c r="AE10" s="47">
        <f t="shared" si="17"/>
        <v>0.45632634430147723</v>
      </c>
      <c r="AF10" s="47">
        <f t="shared" si="17"/>
        <v>0.44352875445107071</v>
      </c>
      <c r="AG10" s="47">
        <f t="shared" si="17"/>
        <v>0.43147978365009332</v>
      </c>
      <c r="AH10" s="47">
        <f t="shared" ref="AH10:AK24" si="18">EXP(-$G10*AH$8^$H10)</f>
        <v>0.42010288170513727</v>
      </c>
      <c r="AI10" s="47">
        <f t="shared" si="18"/>
        <v>0.40933293496709244</v>
      </c>
      <c r="AJ10" s="47">
        <f t="shared" si="18"/>
        <v>0.39911404464270178</v>
      </c>
      <c r="AK10" s="47">
        <f t="shared" si="18"/>
        <v>0.38939782814966389</v>
      </c>
      <c r="AL10" s="47"/>
      <c r="AM10" s="47"/>
      <c r="AN10" s="47"/>
      <c r="AO10" s="47"/>
      <c r="AP10" s="47"/>
      <c r="AQ10" s="47"/>
      <c r="AR10" s="47"/>
      <c r="AS10" s="47"/>
      <c r="AT10" s="47"/>
      <c r="AU10" s="283">
        <v>7</v>
      </c>
      <c r="AV10" s="350">
        <v>11000</v>
      </c>
      <c r="AW10" s="354">
        <f t="shared" si="5"/>
        <v>0.182</v>
      </c>
      <c r="AX10" s="284">
        <f t="shared" si="6"/>
        <v>0.21</v>
      </c>
      <c r="AY10" s="280">
        <f t="shared" si="7"/>
        <v>0.21</v>
      </c>
      <c r="AZ10" s="280">
        <f t="shared" si="0"/>
        <v>0.182</v>
      </c>
      <c r="BA10" s="355">
        <f t="shared" si="0"/>
        <v>0.182</v>
      </c>
      <c r="BD10" s="281">
        <f t="shared" si="8"/>
        <v>0.52093204517580538</v>
      </c>
      <c r="BE10" s="285">
        <f t="shared" si="1"/>
        <v>0.5552732948416057</v>
      </c>
      <c r="BF10" s="281">
        <f t="shared" si="9"/>
        <v>0.5552732948416057</v>
      </c>
      <c r="BG10" s="281">
        <f t="shared" si="2"/>
        <v>0.52093204517580538</v>
      </c>
      <c r="BH10" s="285">
        <f t="shared" si="2"/>
        <v>0.52093204517580538</v>
      </c>
      <c r="BK10" s="344">
        <v>2.0460323059332961E-2</v>
      </c>
      <c r="BL10" s="345">
        <v>1.3907164507488298E-2</v>
      </c>
      <c r="BM10" s="341">
        <f t="shared" si="10"/>
        <v>1.3907164507488298E-2</v>
      </c>
      <c r="BN10" s="341">
        <f t="shared" si="3"/>
        <v>2.0460323059332961E-2</v>
      </c>
      <c r="BO10" s="345">
        <f t="shared" si="3"/>
        <v>2.0460323059332961E-2</v>
      </c>
      <c r="BQ10" s="47"/>
      <c r="BR10" s="634"/>
    </row>
    <row r="11" spans="2:70" ht="15.75" thickBot="1" x14ac:dyDescent="0.35">
      <c r="B11" t="s">
        <v>1023</v>
      </c>
      <c r="C11" t="s">
        <v>1022</v>
      </c>
      <c r="D11" s="342">
        <v>0.26</v>
      </c>
      <c r="E11">
        <v>9750</v>
      </c>
      <c r="F11" s="342">
        <f t="shared" si="14"/>
        <v>0.182</v>
      </c>
      <c r="G11">
        <f t="shared" si="11"/>
        <v>0.20089294237938993</v>
      </c>
      <c r="H11">
        <f t="shared" si="15"/>
        <v>0.51765188231008141</v>
      </c>
      <c r="I11">
        <f t="shared" si="16"/>
        <v>0.51765188231008141</v>
      </c>
      <c r="J11" s="44">
        <f t="shared" si="12"/>
        <v>0.97282158336310431</v>
      </c>
      <c r="K11" s="342">
        <v>1</v>
      </c>
      <c r="L11" s="342">
        <v>1.2808235066576672</v>
      </c>
      <c r="M11" s="342">
        <v>1.5344657751375979</v>
      </c>
      <c r="N11" s="342">
        <v>1.8090931986745837</v>
      </c>
      <c r="O11" s="342">
        <v>2.1084939698830318</v>
      </c>
      <c r="P11" s="342">
        <v>2.4375847259644647</v>
      </c>
      <c r="Q11" s="342">
        <v>2.7416884947811582</v>
      </c>
      <c r="R11" s="47">
        <f t="shared" si="17"/>
        <v>0.81800000000000006</v>
      </c>
      <c r="S11" s="47">
        <f t="shared" si="17"/>
        <v>0.75005930086480666</v>
      </c>
      <c r="T11" s="47">
        <f t="shared" si="17"/>
        <v>0.70133444099450237</v>
      </c>
      <c r="U11" s="47">
        <f t="shared" si="17"/>
        <v>0.66249706345078785</v>
      </c>
      <c r="V11" s="47">
        <f t="shared" si="17"/>
        <v>0.62992458535096585</v>
      </c>
      <c r="W11" s="47">
        <f t="shared" si="17"/>
        <v>0.60175940386009941</v>
      </c>
      <c r="X11" s="47">
        <f t="shared" si="17"/>
        <v>0.57689969881674774</v>
      </c>
      <c r="Y11" s="47">
        <f t="shared" si="17"/>
        <v>0.55462928314302085</v>
      </c>
      <c r="Z11" s="47">
        <f t="shared" si="17"/>
        <v>0.53445217184365212</v>
      </c>
      <c r="AA11" s="47">
        <f t="shared" si="17"/>
        <v>0.51600847371076763</v>
      </c>
      <c r="AB11" s="47">
        <f t="shared" si="17"/>
        <v>0.49902751828229075</v>
      </c>
      <c r="AC11" s="47">
        <f t="shared" si="17"/>
        <v>0.48329986541051889</v>
      </c>
      <c r="AD11" s="47">
        <f t="shared" si="17"/>
        <v>0.46865966237200113</v>
      </c>
      <c r="AE11" s="47">
        <f t="shared" si="17"/>
        <v>0.45497302846985094</v>
      </c>
      <c r="AF11" s="47">
        <f t="shared" si="17"/>
        <v>0.44213012876279395</v>
      </c>
      <c r="AG11" s="47">
        <f t="shared" si="17"/>
        <v>0.43003960012728554</v>
      </c>
      <c r="AH11" s="47">
        <f t="shared" si="18"/>
        <v>0.41862452991647964</v>
      </c>
      <c r="AI11" s="47">
        <f t="shared" si="18"/>
        <v>0.40781949003500978</v>
      </c>
      <c r="AJ11" s="47">
        <f t="shared" si="18"/>
        <v>0.39756830698910101</v>
      </c>
      <c r="AK11" s="47">
        <f t="shared" si="18"/>
        <v>0.38782235671986481</v>
      </c>
      <c r="AL11" s="47"/>
      <c r="AM11" s="47"/>
      <c r="AN11" s="47"/>
      <c r="AO11" s="47"/>
      <c r="AP11" s="47"/>
      <c r="AQ11" s="47"/>
      <c r="AR11" s="47"/>
      <c r="AS11" s="47"/>
      <c r="AT11" s="47"/>
      <c r="AU11" s="283">
        <v>8</v>
      </c>
      <c r="AV11" s="350">
        <v>11500</v>
      </c>
      <c r="AW11" s="354">
        <f t="shared" si="5"/>
        <v>0.182</v>
      </c>
      <c r="AX11" s="284">
        <f t="shared" si="6"/>
        <v>0.21</v>
      </c>
      <c r="AY11" s="280">
        <f t="shared" si="7"/>
        <v>0.21</v>
      </c>
      <c r="AZ11" s="280">
        <f t="shared" si="0"/>
        <v>0.182</v>
      </c>
      <c r="BA11" s="355">
        <f t="shared" si="0"/>
        <v>0.182</v>
      </c>
      <c r="BD11" s="281">
        <f t="shared" si="8"/>
        <v>0.52214950697080109</v>
      </c>
      <c r="BE11" s="285">
        <f t="shared" si="1"/>
        <v>0.5552732948416057</v>
      </c>
      <c r="BF11" s="281">
        <f t="shared" si="9"/>
        <v>0.5552732948416057</v>
      </c>
      <c r="BG11" s="281">
        <f t="shared" si="2"/>
        <v>0.52214950697080109</v>
      </c>
      <c r="BH11" s="285">
        <f t="shared" si="2"/>
        <v>0.52214950697080109</v>
      </c>
      <c r="BK11" s="344">
        <v>2.0304934339587806E-2</v>
      </c>
      <c r="BL11" s="345">
        <v>1.3907164507488298E-2</v>
      </c>
      <c r="BM11" s="341">
        <f t="shared" si="10"/>
        <v>1.3907164507488298E-2</v>
      </c>
      <c r="BN11" s="341">
        <f t="shared" si="3"/>
        <v>2.0304934339587806E-2</v>
      </c>
      <c r="BO11" s="345">
        <f t="shared" si="3"/>
        <v>2.0304934339587806E-2</v>
      </c>
      <c r="BQ11" s="47"/>
      <c r="BR11" s="634"/>
    </row>
    <row r="12" spans="2:70" ht="15.75" thickBot="1" x14ac:dyDescent="0.35">
      <c r="D12" s="342">
        <v>0.26</v>
      </c>
      <c r="E12">
        <v>10250</v>
      </c>
      <c r="F12" s="342">
        <f t="shared" si="14"/>
        <v>0.182</v>
      </c>
      <c r="G12">
        <f t="shared" si="11"/>
        <v>0.20089294237938993</v>
      </c>
      <c r="H12">
        <f t="shared" si="15"/>
        <v>0.51928652682990739</v>
      </c>
      <c r="I12">
        <f t="shared" si="16"/>
        <v>0.51928652682990739</v>
      </c>
      <c r="J12" s="44">
        <f t="shared" si="12"/>
        <v>0.97181205746042976</v>
      </c>
      <c r="K12" s="342">
        <v>1</v>
      </c>
      <c r="L12" s="342">
        <v>1.2808235066576672</v>
      </c>
      <c r="M12" s="342">
        <v>1.5344657751375985</v>
      </c>
      <c r="N12" s="342">
        <v>1.8090931986745831</v>
      </c>
      <c r="O12" s="342">
        <v>2.1084939698830309</v>
      </c>
      <c r="P12" s="342">
        <v>2.4375847259644647</v>
      </c>
      <c r="Q12" s="342">
        <v>2.759065118278047</v>
      </c>
      <c r="R12" s="47">
        <f t="shared" si="17"/>
        <v>0.81800000000000006</v>
      </c>
      <c r="S12" s="47">
        <f t="shared" si="17"/>
        <v>0.74981478160617065</v>
      </c>
      <c r="T12" s="47">
        <f t="shared" si="17"/>
        <v>0.70088735414719705</v>
      </c>
      <c r="U12" s="47">
        <f t="shared" si="17"/>
        <v>0.66187851424553323</v>
      </c>
      <c r="V12" s="47">
        <f t="shared" si="17"/>
        <v>0.62915814035395468</v>
      </c>
      <c r="W12" s="47">
        <f t="shared" si="17"/>
        <v>0.60086359623385022</v>
      </c>
      <c r="X12" s="47">
        <f t="shared" si="17"/>
        <v>0.57588954365893319</v>
      </c>
      <c r="Y12" s="47">
        <f t="shared" si="17"/>
        <v>0.55351722801623648</v>
      </c>
      <c r="Z12" s="47">
        <f t="shared" si="17"/>
        <v>0.53324872346443619</v>
      </c>
      <c r="AA12" s="47">
        <f t="shared" si="17"/>
        <v>0.51472262962189708</v>
      </c>
      <c r="AB12" s="47">
        <f t="shared" si="17"/>
        <v>0.4976670752324085</v>
      </c>
      <c r="AC12" s="47">
        <f t="shared" si="17"/>
        <v>0.4818716464192242</v>
      </c>
      <c r="AD12" s="47">
        <f t="shared" si="17"/>
        <v>0.4671696882056664</v>
      </c>
      <c r="AE12" s="47">
        <f t="shared" si="17"/>
        <v>0.45342664993862042</v>
      </c>
      <c r="AF12" s="47">
        <f t="shared" si="17"/>
        <v>0.44053213067585573</v>
      </c>
      <c r="AG12" s="47">
        <f t="shared" si="17"/>
        <v>0.42839428428024745</v>
      </c>
      <c r="AH12" s="47">
        <f t="shared" si="18"/>
        <v>0.41693578226028388</v>
      </c>
      <c r="AI12" s="47">
        <f t="shared" si="18"/>
        <v>0.40609083570514687</v>
      </c>
      <c r="AJ12" s="47">
        <f t="shared" si="18"/>
        <v>0.39580295587641356</v>
      </c>
      <c r="AK12" s="47">
        <f t="shared" si="18"/>
        <v>0.38602324157226015</v>
      </c>
      <c r="AL12" s="47"/>
      <c r="AM12" s="47"/>
      <c r="AN12" s="47"/>
      <c r="AO12" s="47"/>
      <c r="AP12" s="47"/>
      <c r="AQ12" s="47"/>
      <c r="AR12" s="47"/>
      <c r="AS12" s="47"/>
      <c r="AT12" s="47"/>
      <c r="AU12" s="283">
        <v>9</v>
      </c>
      <c r="AV12" s="350">
        <v>12000</v>
      </c>
      <c r="AW12" s="354">
        <f t="shared" si="5"/>
        <v>0.182</v>
      </c>
      <c r="AX12" s="284">
        <f t="shared" si="6"/>
        <v>0.21</v>
      </c>
      <c r="AY12" s="280">
        <f t="shared" si="7"/>
        <v>0.21</v>
      </c>
      <c r="AZ12" s="280">
        <f t="shared" si="0"/>
        <v>0.182</v>
      </c>
      <c r="BA12" s="355">
        <f t="shared" si="0"/>
        <v>0.182</v>
      </c>
      <c r="BD12" s="281">
        <f t="shared" si="8"/>
        <v>0.5236387755320927</v>
      </c>
      <c r="BE12" s="285">
        <f t="shared" si="1"/>
        <v>0.5552732948416057</v>
      </c>
      <c r="BF12" s="281">
        <f t="shared" si="9"/>
        <v>0.5552732948416057</v>
      </c>
      <c r="BG12" s="281">
        <f t="shared" si="2"/>
        <v>0.5236387755320927</v>
      </c>
      <c r="BH12" s="285">
        <f t="shared" si="2"/>
        <v>0.5236387755320927</v>
      </c>
      <c r="BK12" s="344">
        <v>2.006361001953854E-2</v>
      </c>
      <c r="BL12" s="345">
        <v>1.3907164507488298E-2</v>
      </c>
      <c r="BM12" s="341">
        <f t="shared" si="10"/>
        <v>1.3907164507488298E-2</v>
      </c>
      <c r="BN12" s="341">
        <f t="shared" si="3"/>
        <v>2.006361001953854E-2</v>
      </c>
      <c r="BO12" s="345">
        <f t="shared" si="3"/>
        <v>2.006361001953854E-2</v>
      </c>
      <c r="BQ12" s="47"/>
      <c r="BR12" s="634"/>
    </row>
    <row r="13" spans="2:70" ht="15.75" thickBot="1" x14ac:dyDescent="0.35">
      <c r="B13" s="633">
        <v>1</v>
      </c>
      <c r="C13" t="s">
        <v>1626</v>
      </c>
      <c r="D13" s="342">
        <v>0.26</v>
      </c>
      <c r="E13">
        <v>10750</v>
      </c>
      <c r="F13" s="342">
        <f t="shared" si="14"/>
        <v>0.182</v>
      </c>
      <c r="G13">
        <f t="shared" si="11"/>
        <v>0.20089294237938993</v>
      </c>
      <c r="H13">
        <f t="shared" si="15"/>
        <v>0.52030728940960946</v>
      </c>
      <c r="I13">
        <f t="shared" si="16"/>
        <v>0.52030728940960946</v>
      </c>
      <c r="J13" s="44">
        <f t="shared" si="12"/>
        <v>0.97115586429097134</v>
      </c>
      <c r="K13" s="342">
        <v>1</v>
      </c>
      <c r="L13" s="342">
        <v>1.2808235066576672</v>
      </c>
      <c r="M13" s="342">
        <v>1.5344657751375985</v>
      </c>
      <c r="N13" s="342">
        <v>1.8090931986745831</v>
      </c>
      <c r="O13" s="342">
        <v>2.1084939698830309</v>
      </c>
      <c r="P13" s="342">
        <v>2.4375847259644647</v>
      </c>
      <c r="Q13" s="342">
        <v>2.7699718590801576</v>
      </c>
      <c r="R13" s="47">
        <f t="shared" si="17"/>
        <v>0.81800000000000006</v>
      </c>
      <c r="S13" s="47">
        <f t="shared" si="17"/>
        <v>0.74966199014048784</v>
      </c>
      <c r="T13" s="47">
        <f t="shared" si="17"/>
        <v>0.70060790571292486</v>
      </c>
      <c r="U13" s="47">
        <f t="shared" si="17"/>
        <v>0.66149184001594985</v>
      </c>
      <c r="V13" s="47">
        <f t="shared" si="17"/>
        <v>0.62867898037785985</v>
      </c>
      <c r="W13" s="47">
        <f t="shared" si="17"/>
        <v>0.60030355085040177</v>
      </c>
      <c r="X13" s="47">
        <f t="shared" si="17"/>
        <v>0.57525801570175028</v>
      </c>
      <c r="Y13" s="47">
        <f t="shared" si="17"/>
        <v>0.55282201504663875</v>
      </c>
      <c r="Z13" s="47">
        <f t="shared" si="17"/>
        <v>0.53249640875097548</v>
      </c>
      <c r="AA13" s="47">
        <f t="shared" si="17"/>
        <v>0.51391885171069829</v>
      </c>
      <c r="AB13" s="47">
        <f t="shared" si="17"/>
        <v>0.49681672066652194</v>
      </c>
      <c r="AC13" s="47">
        <f t="shared" si="17"/>
        <v>0.48097899172595815</v>
      </c>
      <c r="AD13" s="47">
        <f t="shared" si="17"/>
        <v>0.46623850717632237</v>
      </c>
      <c r="AE13" s="47">
        <f t="shared" si="17"/>
        <v>0.45246029643178082</v>
      </c>
      <c r="AF13" s="47">
        <f t="shared" si="17"/>
        <v>0.43953360370546324</v>
      </c>
      <c r="AG13" s="47">
        <f t="shared" si="17"/>
        <v>0.42736627999173693</v>
      </c>
      <c r="AH13" s="47">
        <f t="shared" si="18"/>
        <v>0.41588073601105591</v>
      </c>
      <c r="AI13" s="47">
        <f t="shared" si="18"/>
        <v>0.40501095654812069</v>
      </c>
      <c r="AJ13" s="47">
        <f t="shared" si="18"/>
        <v>0.39470025512277745</v>
      </c>
      <c r="AK13" s="47">
        <f t="shared" si="18"/>
        <v>0.38489955667740611</v>
      </c>
      <c r="AL13" s="47"/>
      <c r="AM13" s="47"/>
      <c r="AN13" s="47"/>
      <c r="AO13" s="47"/>
      <c r="AP13" s="47"/>
      <c r="AQ13" s="47"/>
      <c r="AR13" s="47"/>
      <c r="AS13" s="47"/>
      <c r="AT13" s="47"/>
      <c r="AU13" s="283">
        <v>10</v>
      </c>
      <c r="AV13" s="350">
        <v>12500</v>
      </c>
      <c r="AW13" s="354">
        <f t="shared" si="5"/>
        <v>0.182</v>
      </c>
      <c r="AX13" s="284">
        <f t="shared" si="6"/>
        <v>0.21</v>
      </c>
      <c r="AY13" s="280">
        <f t="shared" si="7"/>
        <v>0.21</v>
      </c>
      <c r="AZ13" s="280">
        <f t="shared" si="0"/>
        <v>0.182</v>
      </c>
      <c r="BA13" s="355">
        <f t="shared" si="0"/>
        <v>0.182</v>
      </c>
      <c r="BD13" s="281">
        <f t="shared" si="8"/>
        <v>0.52411076981400595</v>
      </c>
      <c r="BE13" s="285">
        <f t="shared" si="1"/>
        <v>0.5552732948416057</v>
      </c>
      <c r="BF13" s="281">
        <f t="shared" si="9"/>
        <v>0.5552732948416057</v>
      </c>
      <c r="BG13" s="281">
        <f t="shared" si="2"/>
        <v>0.52411076981400595</v>
      </c>
      <c r="BH13" s="285">
        <f t="shared" si="2"/>
        <v>0.52411076981400595</v>
      </c>
      <c r="BK13" s="344">
        <v>2.006361001953854E-2</v>
      </c>
      <c r="BL13" s="345">
        <v>1.3907164507488298E-2</v>
      </c>
      <c r="BM13" s="341">
        <f t="shared" si="10"/>
        <v>1.3907164507488298E-2</v>
      </c>
      <c r="BN13" s="341">
        <f t="shared" si="3"/>
        <v>2.006361001953854E-2</v>
      </c>
      <c r="BO13" s="345">
        <f t="shared" si="3"/>
        <v>2.006361001953854E-2</v>
      </c>
      <c r="BQ13" s="47"/>
      <c r="BR13" s="634"/>
    </row>
    <row r="14" spans="2:70" ht="15.75" thickBot="1" x14ac:dyDescent="0.35">
      <c r="B14" s="632">
        <v>0.7</v>
      </c>
      <c r="C14" t="s">
        <v>1637</v>
      </c>
      <c r="D14" s="342">
        <v>0.26</v>
      </c>
      <c r="E14">
        <v>11250</v>
      </c>
      <c r="F14" s="342">
        <f t="shared" si="14"/>
        <v>0.182</v>
      </c>
      <c r="G14">
        <f t="shared" si="11"/>
        <v>0.20089294237938993</v>
      </c>
      <c r="H14">
        <f t="shared" si="15"/>
        <v>0.52093204517580538</v>
      </c>
      <c r="I14">
        <f t="shared" si="16"/>
        <v>0.52093204517580538</v>
      </c>
      <c r="J14" s="44">
        <f t="shared" si="12"/>
        <v>0.97147703261305418</v>
      </c>
      <c r="K14" s="342">
        <v>1</v>
      </c>
      <c r="L14" s="342">
        <v>1.2878079458025999</v>
      </c>
      <c r="M14" s="342">
        <v>1.5420051645034507</v>
      </c>
      <c r="N14" s="342">
        <v>1.8090931986745831</v>
      </c>
      <c r="O14" s="342">
        <v>2.1084939698830309</v>
      </c>
      <c r="P14" s="342">
        <v>2.4474836888500806</v>
      </c>
      <c r="Q14" s="342">
        <v>2.780914536490191</v>
      </c>
      <c r="R14" s="47">
        <f t="shared" si="17"/>
        <v>0.81800000000000006</v>
      </c>
      <c r="S14" s="47">
        <f t="shared" si="17"/>
        <v>0.74956843644554771</v>
      </c>
      <c r="T14" s="47">
        <f t="shared" si="17"/>
        <v>0.70043677021250283</v>
      </c>
      <c r="U14" s="47">
        <f t="shared" si="17"/>
        <v>0.66125501834888656</v>
      </c>
      <c r="V14" s="47">
        <f t="shared" si="17"/>
        <v>0.62838550323494247</v>
      </c>
      <c r="W14" s="47">
        <f t="shared" si="17"/>
        <v>0.59996052856941717</v>
      </c>
      <c r="X14" s="47">
        <f t="shared" si="17"/>
        <v>0.57487121339820413</v>
      </c>
      <c r="Y14" s="47">
        <f t="shared" si="17"/>
        <v>0.55239621458280252</v>
      </c>
      <c r="Z14" s="47">
        <f t="shared" si="17"/>
        <v>0.53203564789732272</v>
      </c>
      <c r="AA14" s="47">
        <f t="shared" si="17"/>
        <v>0.5134265891399904</v>
      </c>
      <c r="AB14" s="47">
        <f t="shared" si="17"/>
        <v>0.49629595396464266</v>
      </c>
      <c r="AC14" s="47">
        <f t="shared" si="17"/>
        <v>0.48043234436956433</v>
      </c>
      <c r="AD14" s="47">
        <f t="shared" si="17"/>
        <v>0.46566829426984285</v>
      </c>
      <c r="AE14" s="47">
        <f t="shared" si="17"/>
        <v>0.45186857545944586</v>
      </c>
      <c r="AF14" s="47">
        <f t="shared" si="17"/>
        <v>0.43892221443426194</v>
      </c>
      <c r="AG14" s="47">
        <f t="shared" si="17"/>
        <v>0.42673687634220242</v>
      </c>
      <c r="AH14" s="47">
        <f t="shared" si="18"/>
        <v>0.41523481186465921</v>
      </c>
      <c r="AI14" s="47">
        <f t="shared" si="18"/>
        <v>0.40434986689879665</v>
      </c>
      <c r="AJ14" s="47">
        <f t="shared" si="18"/>
        <v>0.39402523359911518</v>
      </c>
      <c r="AK14" s="47">
        <f t="shared" si="18"/>
        <v>0.38421173019755628</v>
      </c>
      <c r="AL14" s="47"/>
      <c r="AM14" s="47"/>
      <c r="AN14" s="47"/>
      <c r="AO14" s="47"/>
      <c r="AP14" s="47"/>
      <c r="AQ14" s="47"/>
      <c r="AR14" s="47"/>
      <c r="AS14" s="47"/>
      <c r="AT14" s="47"/>
      <c r="AU14" s="283">
        <v>11</v>
      </c>
      <c r="AV14" s="350">
        <v>13000</v>
      </c>
      <c r="AW14" s="354">
        <f t="shared" si="5"/>
        <v>0.182</v>
      </c>
      <c r="AX14" s="284">
        <f t="shared" si="6"/>
        <v>0.21</v>
      </c>
      <c r="AY14" s="280">
        <f t="shared" si="7"/>
        <v>0.21</v>
      </c>
      <c r="AZ14" s="280">
        <f t="shared" si="0"/>
        <v>0.182</v>
      </c>
      <c r="BA14" s="355">
        <f t="shared" si="0"/>
        <v>0.182</v>
      </c>
      <c r="BD14" s="281">
        <f t="shared" si="8"/>
        <v>0.52458427967402543</v>
      </c>
      <c r="BE14" s="285">
        <f t="shared" si="1"/>
        <v>0.5552732948416057</v>
      </c>
      <c r="BF14" s="281">
        <f t="shared" si="9"/>
        <v>0.5552732948416057</v>
      </c>
      <c r="BG14" s="281">
        <f t="shared" si="2"/>
        <v>0.52458427967402543</v>
      </c>
      <c r="BH14" s="285">
        <f t="shared" si="2"/>
        <v>0.52458427967402543</v>
      </c>
      <c r="BK14" s="344">
        <v>2.0016641199003624E-2</v>
      </c>
      <c r="BL14" s="345">
        <v>1.3907164507488298E-2</v>
      </c>
      <c r="BM14" s="341">
        <f t="shared" si="10"/>
        <v>1.3907164507488298E-2</v>
      </c>
      <c r="BN14" s="341">
        <f t="shared" si="3"/>
        <v>2.0016641199003624E-2</v>
      </c>
      <c r="BO14" s="345">
        <f t="shared" si="3"/>
        <v>2.0016641199003624E-2</v>
      </c>
      <c r="BQ14" s="47"/>
      <c r="BR14" s="634"/>
    </row>
    <row r="15" spans="2:70" ht="15.75" thickBot="1" x14ac:dyDescent="0.35">
      <c r="B15" s="632">
        <v>0</v>
      </c>
      <c r="C15" t="s">
        <v>1621</v>
      </c>
      <c r="D15" s="342">
        <v>0.26</v>
      </c>
      <c r="E15">
        <v>11750</v>
      </c>
      <c r="F15" s="342">
        <f t="shared" si="14"/>
        <v>0.182</v>
      </c>
      <c r="G15">
        <f t="shared" si="11"/>
        <v>0.20089294237938993</v>
      </c>
      <c r="H15">
        <f t="shared" si="15"/>
        <v>0.52214950697080109</v>
      </c>
      <c r="I15">
        <f t="shared" si="16"/>
        <v>0.52214950697080109</v>
      </c>
      <c r="J15" s="44">
        <f t="shared" si="12"/>
        <v>0.97200066075808211</v>
      </c>
      <c r="K15" s="342">
        <v>1</v>
      </c>
      <c r="L15" s="342">
        <v>1.2948071045351202</v>
      </c>
      <c r="M15" s="342">
        <v>1.5495617083536344</v>
      </c>
      <c r="N15" s="342">
        <v>1.8090931986745831</v>
      </c>
      <c r="O15" s="342">
        <v>2.1174578068749939</v>
      </c>
      <c r="P15" s="342">
        <v>2.4574122450917759</v>
      </c>
      <c r="Q15" s="342">
        <v>2.7918933881061996</v>
      </c>
      <c r="R15" s="47">
        <f t="shared" si="17"/>
        <v>0.81800000000000006</v>
      </c>
      <c r="S15" s="47">
        <f t="shared" si="17"/>
        <v>0.74938604546423004</v>
      </c>
      <c r="T15" s="47">
        <f t="shared" si="17"/>
        <v>0.70010306103049347</v>
      </c>
      <c r="U15" s="47">
        <f t="shared" si="17"/>
        <v>0.66079317824796158</v>
      </c>
      <c r="V15" s="47">
        <f t="shared" si="17"/>
        <v>0.62781315022037987</v>
      </c>
      <c r="W15" s="47">
        <f t="shared" si="17"/>
        <v>0.59929154129173268</v>
      </c>
      <c r="X15" s="47">
        <f t="shared" si="17"/>
        <v>0.57411684853446121</v>
      </c>
      <c r="Y15" s="47">
        <f t="shared" si="17"/>
        <v>0.5515658110984103</v>
      </c>
      <c r="Z15" s="47">
        <f t="shared" si="17"/>
        <v>0.53113709280080235</v>
      </c>
      <c r="AA15" s="47">
        <f t="shared" si="17"/>
        <v>0.51246663901628309</v>
      </c>
      <c r="AB15" s="47">
        <f t="shared" si="17"/>
        <v>0.49528046506874601</v>
      </c>
      <c r="AC15" s="47">
        <f t="shared" si="17"/>
        <v>0.47936644228358111</v>
      </c>
      <c r="AD15" s="47">
        <f t="shared" si="17"/>
        <v>0.46455650217287875</v>
      </c>
      <c r="AE15" s="47">
        <f t="shared" si="17"/>
        <v>0.45071491318706786</v>
      </c>
      <c r="AF15" s="47">
        <f t="shared" si="17"/>
        <v>0.43773027638208584</v>
      </c>
      <c r="AG15" s="47">
        <f t="shared" si="17"/>
        <v>0.42550989370175341</v>
      </c>
      <c r="AH15" s="47">
        <f t="shared" si="18"/>
        <v>0.41397570302865422</v>
      </c>
      <c r="AI15" s="47">
        <f t="shared" si="18"/>
        <v>0.40306127877994763</v>
      </c>
      <c r="AJ15" s="47">
        <f t="shared" si="18"/>
        <v>0.39270957586434607</v>
      </c>
      <c r="AK15" s="47">
        <f t="shared" si="18"/>
        <v>0.38287120390409868</v>
      </c>
      <c r="AL15" s="47"/>
      <c r="AM15" s="47"/>
      <c r="AN15" s="47"/>
      <c r="AO15" s="47"/>
      <c r="AP15" s="47"/>
      <c r="AQ15" s="47"/>
      <c r="AR15" s="47"/>
      <c r="AS15" s="47"/>
      <c r="AT15" s="47"/>
      <c r="AU15" s="283">
        <v>12</v>
      </c>
      <c r="AV15" s="350">
        <v>13500</v>
      </c>
      <c r="AW15" s="354">
        <f t="shared" si="5"/>
        <v>0.182</v>
      </c>
      <c r="AX15" s="284">
        <f>AX16</f>
        <v>0.21</v>
      </c>
      <c r="AY15" s="280">
        <f t="shared" si="7"/>
        <v>0.21</v>
      </c>
      <c r="AZ15" s="280">
        <f t="shared" si="0"/>
        <v>0.182</v>
      </c>
      <c r="BA15" s="355">
        <f t="shared" si="0"/>
        <v>0.182</v>
      </c>
      <c r="BD15" s="281">
        <f t="shared" si="8"/>
        <v>0.52505929397856876</v>
      </c>
      <c r="BE15" s="285">
        <f>BE16</f>
        <v>0.5552732948416057</v>
      </c>
      <c r="BF15" s="281">
        <f t="shared" si="9"/>
        <v>0.5552732948416057</v>
      </c>
      <c r="BG15" s="281">
        <f t="shared" si="2"/>
        <v>0.52505929397856876</v>
      </c>
      <c r="BH15" s="285">
        <f t="shared" si="2"/>
        <v>0.52505929397856876</v>
      </c>
      <c r="BK15" s="344">
        <v>2.0007450745074509E-2</v>
      </c>
      <c r="BL15" s="345">
        <v>1.3907164507488298E-2</v>
      </c>
      <c r="BM15" s="341">
        <f t="shared" si="10"/>
        <v>1.3907164507488298E-2</v>
      </c>
      <c r="BN15" s="341">
        <f t="shared" si="3"/>
        <v>2.0007450745074509E-2</v>
      </c>
      <c r="BO15" s="345">
        <f t="shared" si="3"/>
        <v>2.0007450745074509E-2</v>
      </c>
      <c r="BQ15" s="47"/>
      <c r="BR15" s="634"/>
    </row>
    <row r="16" spans="2:70" ht="15.75" thickBot="1" x14ac:dyDescent="0.35">
      <c r="D16" s="342">
        <v>0.26</v>
      </c>
      <c r="E16">
        <v>12250</v>
      </c>
      <c r="F16" s="342">
        <f t="shared" si="14"/>
        <v>0.182</v>
      </c>
      <c r="G16">
        <f t="shared" si="11"/>
        <v>0.20089294237938993</v>
      </c>
      <c r="H16">
        <f t="shared" si="15"/>
        <v>0.5236387755320927</v>
      </c>
      <c r="I16">
        <f t="shared" si="16"/>
        <v>0.5236387755320927</v>
      </c>
      <c r="J16" s="44">
        <f t="shared" si="12"/>
        <v>0.97317927849149088</v>
      </c>
      <c r="K16" s="342">
        <v>1</v>
      </c>
      <c r="L16" s="342">
        <v>1.3018210450288432</v>
      </c>
      <c r="M16" s="342">
        <v>1.5571354849299137</v>
      </c>
      <c r="N16" s="342">
        <v>1.8172833374477038</v>
      </c>
      <c r="O16" s="342">
        <v>2.1264459032659286</v>
      </c>
      <c r="P16" s="342">
        <v>2.4673705721613497</v>
      </c>
      <c r="Q16" s="342">
        <v>2.8029086538904102</v>
      </c>
      <c r="R16" s="47">
        <f t="shared" si="17"/>
        <v>0.81800000000000006</v>
      </c>
      <c r="S16" s="47">
        <f t="shared" si="17"/>
        <v>0.74916278547317106</v>
      </c>
      <c r="T16" s="47">
        <f t="shared" si="17"/>
        <v>0.69969445824535015</v>
      </c>
      <c r="U16" s="47">
        <f t="shared" si="17"/>
        <v>0.66022760806353176</v>
      </c>
      <c r="V16" s="47">
        <f t="shared" si="17"/>
        <v>0.62711219995507905</v>
      </c>
      <c r="W16" s="47">
        <f t="shared" si="17"/>
        <v>0.5984722291753477</v>
      </c>
      <c r="X16" s="47">
        <f t="shared" si="17"/>
        <v>0.57319298446610956</v>
      </c>
      <c r="Y16" s="47">
        <f t="shared" si="17"/>
        <v>0.55054885614266624</v>
      </c>
      <c r="Z16" s="47">
        <f t="shared" si="17"/>
        <v>0.53003672838620008</v>
      </c>
      <c r="AA16" s="47">
        <f t="shared" si="17"/>
        <v>0.51129116027061527</v>
      </c>
      <c r="AB16" s="47">
        <f t="shared" si="17"/>
        <v>0.49403706251065749</v>
      </c>
      <c r="AC16" s="47">
        <f t="shared" si="17"/>
        <v>0.47806140965292132</v>
      </c>
      <c r="AD16" s="47">
        <f t="shared" si="17"/>
        <v>0.46319539364208373</v>
      </c>
      <c r="AE16" s="47">
        <f t="shared" si="17"/>
        <v>0.44930266482398257</v>
      </c>
      <c r="AF16" s="47">
        <f t="shared" si="17"/>
        <v>0.43627130170789691</v>
      </c>
      <c r="AG16" s="47">
        <f t="shared" si="17"/>
        <v>0.42400816005536657</v>
      </c>
      <c r="AH16" s="47">
        <f t="shared" si="18"/>
        <v>0.41243479343237111</v>
      </c>
      <c r="AI16" s="47">
        <f t="shared" si="18"/>
        <v>0.40148444266547434</v>
      </c>
      <c r="AJ16" s="47">
        <f t="shared" si="18"/>
        <v>0.39109977111062777</v>
      </c>
      <c r="AK16" s="47">
        <f t="shared" si="18"/>
        <v>0.38123113200795672</v>
      </c>
      <c r="AL16" s="47"/>
      <c r="AM16" s="47"/>
      <c r="AN16" s="47"/>
      <c r="AO16" s="47"/>
      <c r="AP16" s="47"/>
      <c r="AQ16" s="47"/>
      <c r="AR16" s="47"/>
      <c r="AS16" s="47"/>
      <c r="AT16" s="47"/>
      <c r="AU16" s="283">
        <v>13</v>
      </c>
      <c r="AV16" s="350">
        <v>14000</v>
      </c>
      <c r="AW16" s="354">
        <f t="shared" si="5"/>
        <v>0.182</v>
      </c>
      <c r="AX16" s="280">
        <f t="shared" ref="AX16:AX49" si="19">F82</f>
        <v>0.21</v>
      </c>
      <c r="AY16" s="280">
        <f t="shared" si="7"/>
        <v>0.21</v>
      </c>
      <c r="AZ16" s="280">
        <f t="shared" si="0"/>
        <v>0.182</v>
      </c>
      <c r="BA16" s="356">
        <f t="shared" si="0"/>
        <v>0.182</v>
      </c>
      <c r="BD16" s="281">
        <f t="shared" si="8"/>
        <v>0.52553580191217519</v>
      </c>
      <c r="BE16" s="281">
        <f t="shared" ref="BE16:BE49" si="20">I82</f>
        <v>0.5552732948416057</v>
      </c>
      <c r="BF16" s="281">
        <f t="shared" si="9"/>
        <v>0.5552732948416057</v>
      </c>
      <c r="BG16" s="281">
        <f t="shared" si="2"/>
        <v>0.52553580191217519</v>
      </c>
      <c r="BH16" s="281">
        <f t="shared" si="2"/>
        <v>0.52553580191217519</v>
      </c>
      <c r="BK16" s="344">
        <v>2.0037009020050942E-2</v>
      </c>
      <c r="BL16" s="344">
        <v>1.3907164507488298E-2</v>
      </c>
      <c r="BM16" s="341">
        <f t="shared" si="10"/>
        <v>1.3907164507488298E-2</v>
      </c>
      <c r="BN16" s="341">
        <f t="shared" si="3"/>
        <v>2.0037009020050942E-2</v>
      </c>
      <c r="BO16" s="341">
        <f t="shared" si="3"/>
        <v>2.0037009020050942E-2</v>
      </c>
      <c r="BQ16" s="47"/>
      <c r="BR16" s="634"/>
    </row>
    <row r="17" spans="4:70" ht="15.75" thickBot="1" x14ac:dyDescent="0.35">
      <c r="D17" s="342">
        <v>0.26</v>
      </c>
      <c r="E17">
        <v>12750</v>
      </c>
      <c r="F17" s="342">
        <f t="shared" si="14"/>
        <v>0.182</v>
      </c>
      <c r="G17">
        <f t="shared" si="11"/>
        <v>0.20089294237938993</v>
      </c>
      <c r="H17">
        <f t="shared" si="15"/>
        <v>0.52411076981400595</v>
      </c>
      <c r="I17">
        <f t="shared" si="16"/>
        <v>0.52411076981400595</v>
      </c>
      <c r="J17" s="44">
        <f t="shared" si="12"/>
        <v>0.97495814050642216</v>
      </c>
      <c r="K17" s="342">
        <v>1</v>
      </c>
      <c r="L17" s="342">
        <v>1.3088498298521423</v>
      </c>
      <c r="M17" s="342">
        <v>1.5647265730105668</v>
      </c>
      <c r="N17" s="342">
        <v>1.8254937238032849</v>
      </c>
      <c r="O17" s="342">
        <v>2.1354583907217406</v>
      </c>
      <c r="P17" s="342">
        <v>2.4773588491318543</v>
      </c>
      <c r="Q17" s="342">
        <v>2.8029086538904102</v>
      </c>
      <c r="R17" s="47">
        <f t="shared" si="17"/>
        <v>0.81800000000000006</v>
      </c>
      <c r="S17" s="47">
        <f t="shared" si="17"/>
        <v>0.74909199340893629</v>
      </c>
      <c r="T17" s="47">
        <f t="shared" si="17"/>
        <v>0.69956486992011191</v>
      </c>
      <c r="U17" s="47">
        <f t="shared" si="17"/>
        <v>0.6600482191514232</v>
      </c>
      <c r="V17" s="47">
        <f t="shared" si="17"/>
        <v>0.6268898604385732</v>
      </c>
      <c r="W17" s="47">
        <f t="shared" si="17"/>
        <v>0.59821234212682506</v>
      </c>
      <c r="X17" s="47">
        <f t="shared" si="17"/>
        <v>0.57289993591145361</v>
      </c>
      <c r="Y17" s="47">
        <f t="shared" si="17"/>
        <v>0.55022628700154741</v>
      </c>
      <c r="Z17" s="47">
        <f t="shared" si="17"/>
        <v>0.5296877147441591</v>
      </c>
      <c r="AA17" s="47">
        <f t="shared" si="17"/>
        <v>0.51091833804310671</v>
      </c>
      <c r="AB17" s="47">
        <f t="shared" si="17"/>
        <v>0.49364271677237292</v>
      </c>
      <c r="AC17" s="47">
        <f t="shared" si="17"/>
        <v>0.47764754057398662</v>
      </c>
      <c r="AD17" s="47">
        <f t="shared" si="17"/>
        <v>0.46276376638344957</v>
      </c>
      <c r="AE17" s="47">
        <f t="shared" si="17"/>
        <v>0.44885484809916021</v>
      </c>
      <c r="AF17" s="47">
        <f t="shared" si="17"/>
        <v>0.43580869812868356</v>
      </c>
      <c r="AG17" s="47">
        <f t="shared" si="17"/>
        <v>0.42353203038810816</v>
      </c>
      <c r="AH17" s="47">
        <f t="shared" si="18"/>
        <v>0.41194627625293995</v>
      </c>
      <c r="AI17" s="47">
        <f t="shared" si="18"/>
        <v>0.40098457047807035</v>
      </c>
      <c r="AJ17" s="47">
        <f t="shared" si="18"/>
        <v>0.39058948370797303</v>
      </c>
      <c r="AK17" s="47">
        <f t="shared" si="18"/>
        <v>0.38071128765061479</v>
      </c>
      <c r="AL17" s="47"/>
      <c r="AM17" s="47"/>
      <c r="AN17" s="47"/>
      <c r="AO17" s="47"/>
      <c r="AP17" s="47"/>
      <c r="AQ17" s="47"/>
      <c r="AR17" s="47"/>
      <c r="AS17" s="47"/>
      <c r="AT17" s="47"/>
      <c r="AU17" s="283">
        <v>14</v>
      </c>
      <c r="AV17" s="350">
        <v>14500</v>
      </c>
      <c r="AW17" s="354">
        <f t="shared" si="5"/>
        <v>0.182</v>
      </c>
      <c r="AX17" s="280">
        <f t="shared" si="19"/>
        <v>0.21</v>
      </c>
      <c r="AY17" s="280">
        <f t="shared" si="7"/>
        <v>0.21</v>
      </c>
      <c r="AZ17" s="280">
        <f t="shared" si="0"/>
        <v>0.182</v>
      </c>
      <c r="BA17" s="356">
        <f t="shared" si="0"/>
        <v>0.182</v>
      </c>
      <c r="BD17" s="281">
        <f t="shared" si="8"/>
        <v>0.52638848002377614</v>
      </c>
      <c r="BE17" s="281">
        <f t="shared" si="20"/>
        <v>0.55527329484160581</v>
      </c>
      <c r="BF17" s="281">
        <f t="shared" si="9"/>
        <v>0.55527329484160581</v>
      </c>
      <c r="BG17" s="281">
        <f t="shared" si="2"/>
        <v>0.52638848002377614</v>
      </c>
      <c r="BH17" s="281">
        <f t="shared" si="2"/>
        <v>0.52638848002377614</v>
      </c>
      <c r="BK17" s="344">
        <v>2.0053224710226129E-2</v>
      </c>
      <c r="BL17" s="344">
        <v>1.3907164507488298E-2</v>
      </c>
      <c r="BM17" s="341">
        <f t="shared" si="10"/>
        <v>1.3907164507488298E-2</v>
      </c>
      <c r="BN17" s="341">
        <f t="shared" si="3"/>
        <v>2.0053224710226129E-2</v>
      </c>
      <c r="BO17" s="341">
        <f t="shared" si="3"/>
        <v>2.0053224710226129E-2</v>
      </c>
      <c r="BQ17" s="47"/>
      <c r="BR17" s="634"/>
    </row>
    <row r="18" spans="4:70" ht="15.75" thickBot="1" x14ac:dyDescent="0.35">
      <c r="D18" s="342">
        <v>0.26</v>
      </c>
      <c r="E18">
        <v>13250</v>
      </c>
      <c r="F18" s="342">
        <f t="shared" si="14"/>
        <v>0.182</v>
      </c>
      <c r="G18">
        <f t="shared" si="11"/>
        <v>0.20089294237938993</v>
      </c>
      <c r="H18">
        <f t="shared" si="15"/>
        <v>0.52458427967402543</v>
      </c>
      <c r="I18">
        <f t="shared" si="16"/>
        <v>0.52458427967402543</v>
      </c>
      <c r="J18" s="44">
        <f t="shared" si="12"/>
        <v>0.97665698351587271</v>
      </c>
      <c r="K18" s="342">
        <v>1</v>
      </c>
      <c r="L18" s="342">
        <v>1.31589352197149</v>
      </c>
      <c r="M18" s="342">
        <v>1.5723350519153054</v>
      </c>
      <c r="N18" s="342">
        <v>1.8337244581012453</v>
      </c>
      <c r="O18" s="342">
        <v>2.1444954019831659</v>
      </c>
      <c r="P18" s="342">
        <v>2.4873772566969179</v>
      </c>
      <c r="Q18" s="342">
        <v>2.8029086538904102</v>
      </c>
      <c r="R18" s="47">
        <f t="shared" si="17"/>
        <v>0.81800000000000006</v>
      </c>
      <c r="S18" s="47">
        <f t="shared" si="17"/>
        <v>0.7490209574798371</v>
      </c>
      <c r="T18" s="47">
        <f t="shared" si="17"/>
        <v>0.69943482208261609</v>
      </c>
      <c r="U18" s="47">
        <f t="shared" si="17"/>
        <v>0.65986818526143132</v>
      </c>
      <c r="V18" s="47">
        <f t="shared" si="17"/>
        <v>0.62666671650950323</v>
      </c>
      <c r="W18" s="47">
        <f t="shared" si="17"/>
        <v>0.59795151318315842</v>
      </c>
      <c r="X18" s="47">
        <f t="shared" si="17"/>
        <v>0.57260582655315428</v>
      </c>
      <c r="Y18" s="47">
        <f t="shared" si="17"/>
        <v>0.5499025539945106</v>
      </c>
      <c r="Z18" s="47">
        <f t="shared" si="17"/>
        <v>0.52933744781098679</v>
      </c>
      <c r="AA18" s="47">
        <f t="shared" si="17"/>
        <v>0.51054418492953968</v>
      </c>
      <c r="AB18" s="47">
        <f t="shared" si="17"/>
        <v>0.49324697288909392</v>
      </c>
      <c r="AC18" s="47">
        <f t="shared" si="17"/>
        <v>0.47723221517782222</v>
      </c>
      <c r="AD18" s="47">
        <f t="shared" si="17"/>
        <v>0.46233063266716684</v>
      </c>
      <c r="AE18" s="47">
        <f t="shared" si="17"/>
        <v>0.4484054819093431</v>
      </c>
      <c r="AF18" s="47">
        <f t="shared" si="17"/>
        <v>0.43534450843831984</v>
      </c>
      <c r="AG18" s="47">
        <f t="shared" si="17"/>
        <v>0.42305428365702707</v>
      </c>
      <c r="AH18" s="47">
        <f t="shared" si="18"/>
        <v>0.41145611616917582</v>
      </c>
      <c r="AI18" s="47">
        <f t="shared" si="18"/>
        <v>0.40048303414893427</v>
      </c>
      <c r="AJ18" s="47">
        <f t="shared" si="18"/>
        <v>0.39007751508119931</v>
      </c>
      <c r="AK18" s="47">
        <f t="shared" si="18"/>
        <v>0.38018974874546702</v>
      </c>
      <c r="AL18" s="47"/>
      <c r="AM18" s="47"/>
      <c r="AN18" s="47"/>
      <c r="AO18" s="47"/>
      <c r="AP18" s="47"/>
      <c r="AQ18" s="47"/>
      <c r="AR18" s="47"/>
      <c r="AS18" s="47"/>
      <c r="AT18" s="47"/>
      <c r="AU18" s="283">
        <v>15</v>
      </c>
      <c r="AV18" s="350">
        <v>15000</v>
      </c>
      <c r="AW18" s="354">
        <f t="shared" si="5"/>
        <v>0.182</v>
      </c>
      <c r="AX18" s="280">
        <f t="shared" si="19"/>
        <v>0.21</v>
      </c>
      <c r="AY18" s="280">
        <f t="shared" si="7"/>
        <v>0.21</v>
      </c>
      <c r="AZ18" s="280">
        <f t="shared" si="0"/>
        <v>0.182</v>
      </c>
      <c r="BA18" s="356">
        <f t="shared" si="0"/>
        <v>0.182</v>
      </c>
      <c r="BD18" s="281">
        <f t="shared" si="8"/>
        <v>0.52665559734989276</v>
      </c>
      <c r="BE18" s="281">
        <f t="shared" si="20"/>
        <v>0.55500907909221686</v>
      </c>
      <c r="BF18" s="281">
        <f t="shared" si="9"/>
        <v>0.55500907909221686</v>
      </c>
      <c r="BG18" s="281">
        <f t="shared" si="2"/>
        <v>0.52665559734989276</v>
      </c>
      <c r="BH18" s="281">
        <f t="shared" si="2"/>
        <v>0.52665559734989276</v>
      </c>
      <c r="BK18" s="344">
        <v>2.014401440144014E-2</v>
      </c>
      <c r="BL18" s="344">
        <v>1.3907164507488298E-2</v>
      </c>
      <c r="BM18" s="341">
        <f t="shared" si="10"/>
        <v>1.3907164507488298E-2</v>
      </c>
      <c r="BN18" s="341">
        <f t="shared" si="3"/>
        <v>2.014401440144014E-2</v>
      </c>
      <c r="BO18" s="341">
        <f t="shared" si="3"/>
        <v>2.014401440144014E-2</v>
      </c>
      <c r="BQ18" s="47"/>
      <c r="BR18" s="634"/>
    </row>
    <row r="19" spans="4:70" ht="15.75" thickBot="1" x14ac:dyDescent="0.35">
      <c r="D19" s="342">
        <v>0.26</v>
      </c>
      <c r="E19">
        <v>13750</v>
      </c>
      <c r="F19" s="342">
        <f t="shared" si="14"/>
        <v>0.182</v>
      </c>
      <c r="G19">
        <f t="shared" si="11"/>
        <v>0.20089294237938993</v>
      </c>
      <c r="H19">
        <f t="shared" si="15"/>
        <v>0.52505929397856876</v>
      </c>
      <c r="I19">
        <f t="shared" si="16"/>
        <v>0.52505929397856876</v>
      </c>
      <c r="J19" s="44">
        <f t="shared" si="12"/>
        <v>0.9782759855329255</v>
      </c>
      <c r="K19" s="342">
        <v>1</v>
      </c>
      <c r="L19" s="342">
        <v>1.3229521847548484</v>
      </c>
      <c r="M19" s="342">
        <v>1.5799610015102465</v>
      </c>
      <c r="N19" s="342">
        <v>1.8419756414495276</v>
      </c>
      <c r="O19" s="342">
        <v>2.1535570708774938</v>
      </c>
      <c r="P19" s="342">
        <v>2.4974259771903582</v>
      </c>
      <c r="Q19" s="342">
        <v>2.8029086538904102</v>
      </c>
      <c r="R19" s="47">
        <f t="shared" si="17"/>
        <v>0.81800000000000006</v>
      </c>
      <c r="S19" s="47">
        <f t="shared" si="17"/>
        <v>0.74894967919587363</v>
      </c>
      <c r="T19" s="47">
        <f t="shared" si="17"/>
        <v>0.69930431737280307</v>
      </c>
      <c r="U19" s="47">
        <f t="shared" si="17"/>
        <v>0.65968750997167025</v>
      </c>
      <c r="V19" s="47">
        <f t="shared" si="17"/>
        <v>0.62644277257150827</v>
      </c>
      <c r="W19" s="47">
        <f t="shared" si="17"/>
        <v>0.59768974750052173</v>
      </c>
      <c r="X19" s="47">
        <f t="shared" si="17"/>
        <v>0.57231066224906446</v>
      </c>
      <c r="Y19" s="47">
        <f t="shared" si="17"/>
        <v>0.54957766364349958</v>
      </c>
      <c r="Z19" s="47">
        <f t="shared" si="17"/>
        <v>0.52898593474350175</v>
      </c>
      <c r="AA19" s="47">
        <f t="shared" si="17"/>
        <v>0.51016870869788067</v>
      </c>
      <c r="AB19" s="47">
        <f t="shared" si="17"/>
        <v>0.4928498392199207</v>
      </c>
      <c r="AC19" s="47">
        <f t="shared" si="17"/>
        <v>0.47681544239722184</v>
      </c>
      <c r="AD19" s="47">
        <f t="shared" si="17"/>
        <v>0.4618960019841068</v>
      </c>
      <c r="AE19" s="47">
        <f t="shared" si="17"/>
        <v>0.44795457628918312</v>
      </c>
      <c r="AF19" s="47">
        <f t="shared" si="17"/>
        <v>0.43487874320191305</v>
      </c>
      <c r="AG19" s="47">
        <f t="shared" si="17"/>
        <v>0.42257493094509191</v>
      </c>
      <c r="AH19" s="47">
        <f t="shared" si="18"/>
        <v>0.41096432476987371</v>
      </c>
      <c r="AI19" s="47">
        <f t="shared" si="18"/>
        <v>0.39997984576109119</v>
      </c>
      <c r="AJ19" s="47">
        <f t="shared" si="18"/>
        <v>0.38956387779631774</v>
      </c>
      <c r="AK19" s="47">
        <f t="shared" si="18"/>
        <v>0.37966652833055481</v>
      </c>
      <c r="AL19" s="47"/>
      <c r="AM19" s="47"/>
      <c r="AN19" s="47"/>
      <c r="AO19" s="47"/>
      <c r="AP19" s="47"/>
      <c r="AQ19" s="47"/>
      <c r="AR19" s="47"/>
      <c r="AS19" s="47"/>
      <c r="AT19" s="47"/>
      <c r="AU19" s="283">
        <v>16</v>
      </c>
      <c r="AV19" s="350">
        <v>15500</v>
      </c>
      <c r="AW19" s="354">
        <f t="shared" si="5"/>
        <v>0.182</v>
      </c>
      <c r="AX19" s="280">
        <f t="shared" si="19"/>
        <v>0.21</v>
      </c>
      <c r="AY19" s="280">
        <f t="shared" si="7"/>
        <v>0.21</v>
      </c>
      <c r="AZ19" s="280">
        <f t="shared" si="0"/>
        <v>0.182</v>
      </c>
      <c r="BA19" s="356">
        <f t="shared" si="0"/>
        <v>0.182</v>
      </c>
      <c r="BD19" s="281">
        <f t="shared" si="8"/>
        <v>0.52665559734989276</v>
      </c>
      <c r="BE19" s="281">
        <f t="shared" si="20"/>
        <v>0.55470799131425841</v>
      </c>
      <c r="BF19" s="281">
        <f t="shared" si="9"/>
        <v>0.55470799131425841</v>
      </c>
      <c r="BG19" s="281">
        <f t="shared" si="2"/>
        <v>0.52665559734989276</v>
      </c>
      <c r="BH19" s="281">
        <f t="shared" si="2"/>
        <v>0.52665559734989276</v>
      </c>
      <c r="BK19" s="344">
        <v>2.014401440144014E-2</v>
      </c>
      <c r="BL19" s="344">
        <v>1.3907164507488298E-2</v>
      </c>
      <c r="BM19" s="341">
        <f t="shared" si="10"/>
        <v>1.3907164507488298E-2</v>
      </c>
      <c r="BN19" s="341">
        <f t="shared" si="3"/>
        <v>2.014401440144014E-2</v>
      </c>
      <c r="BO19" s="341">
        <f t="shared" si="3"/>
        <v>2.014401440144014E-2</v>
      </c>
      <c r="BQ19" s="47"/>
      <c r="BR19" s="634"/>
    </row>
    <row r="20" spans="4:70" ht="15.75" thickBot="1" x14ac:dyDescent="0.35">
      <c r="D20" s="342">
        <v>0.26</v>
      </c>
      <c r="E20">
        <v>14250</v>
      </c>
      <c r="F20" s="342">
        <f t="shared" si="14"/>
        <v>0.182</v>
      </c>
      <c r="G20">
        <f t="shared" si="11"/>
        <v>0.20089294237938993</v>
      </c>
      <c r="H20">
        <f t="shared" si="15"/>
        <v>0.52553580191217519</v>
      </c>
      <c r="I20">
        <f t="shared" si="16"/>
        <v>0.52553580191217519</v>
      </c>
      <c r="J20" s="44">
        <f t="shared" si="12"/>
        <v>0.97981536156376237</v>
      </c>
      <c r="K20" s="342">
        <v>1</v>
      </c>
      <c r="L20" s="342">
        <v>1.3300258819750856</v>
      </c>
      <c r="M20" s="342">
        <v>1.5876045022129421</v>
      </c>
      <c r="N20" s="342">
        <v>1.8502473757115558</v>
      </c>
      <c r="O20" s="342">
        <v>2.1626435323304665</v>
      </c>
      <c r="P20" s="342">
        <v>2.5075051946060927</v>
      </c>
      <c r="Q20" s="342">
        <v>2.8029086538904102</v>
      </c>
      <c r="R20" s="47">
        <f t="shared" si="17"/>
        <v>0.81800000000000006</v>
      </c>
      <c r="S20" s="47">
        <f t="shared" si="17"/>
        <v>0.7488781600203227</v>
      </c>
      <c r="T20" s="47">
        <f t="shared" si="17"/>
        <v>0.69917335834592464</v>
      </c>
      <c r="U20" s="47">
        <f t="shared" si="17"/>
        <v>0.6595061967437571</v>
      </c>
      <c r="V20" s="47">
        <f t="shared" si="17"/>
        <v>0.62621803288450972</v>
      </c>
      <c r="W20" s="47">
        <f t="shared" si="17"/>
        <v>0.59742705006772889</v>
      </c>
      <c r="X20" s="47">
        <f t="shared" si="17"/>
        <v>0.57201444866891504</v>
      </c>
      <c r="Y20" s="47">
        <f t="shared" si="17"/>
        <v>0.54925162226394808</v>
      </c>
      <c r="Z20" s="47">
        <f t="shared" si="17"/>
        <v>0.52863318247561586</v>
      </c>
      <c r="AA20" s="47">
        <f t="shared" si="17"/>
        <v>0.50979191687848646</v>
      </c>
      <c r="AB20" s="47">
        <f t="shared" si="17"/>
        <v>0.49245132387309709</v>
      </c>
      <c r="AC20" s="47">
        <f t="shared" si="17"/>
        <v>0.47639723090213987</v>
      </c>
      <c r="AD20" s="47">
        <f t="shared" si="17"/>
        <v>0.46145988355142309</v>
      </c>
      <c r="AE20" s="47">
        <f t="shared" si="17"/>
        <v>0.44750214098970909</v>
      </c>
      <c r="AF20" s="47">
        <f t="shared" si="17"/>
        <v>0.43441141269190309</v>
      </c>
      <c r="AG20" s="47">
        <f t="shared" si="17"/>
        <v>0.42209398303432416</v>
      </c>
      <c r="AH20" s="47">
        <f t="shared" si="18"/>
        <v>0.41047091333528551</v>
      </c>
      <c r="AI20" s="47">
        <f t="shared" si="18"/>
        <v>0.39947501708203992</v>
      </c>
      <c r="AJ20" s="47">
        <f t="shared" si="18"/>
        <v>0.3890485840973803</v>
      </c>
      <c r="AK20" s="47">
        <f t="shared" si="18"/>
        <v>0.37914163911602533</v>
      </c>
      <c r="AL20" s="47"/>
      <c r="AM20" s="47"/>
      <c r="AN20" s="47"/>
      <c r="AO20" s="47"/>
      <c r="AP20" s="47"/>
      <c r="AQ20" s="47"/>
      <c r="AR20" s="47"/>
      <c r="AS20" s="47"/>
      <c r="AT20" s="47"/>
      <c r="AU20" s="283">
        <v>17</v>
      </c>
      <c r="AV20" s="350">
        <v>16000</v>
      </c>
      <c r="AW20" s="354">
        <f t="shared" si="5"/>
        <v>0.182</v>
      </c>
      <c r="AX20" s="280">
        <f t="shared" si="19"/>
        <v>0.21</v>
      </c>
      <c r="AY20" s="280">
        <f t="shared" si="7"/>
        <v>0.21</v>
      </c>
      <c r="AZ20" s="280">
        <f t="shared" si="0"/>
        <v>0.182</v>
      </c>
      <c r="BA20" s="356">
        <f t="shared" si="0"/>
        <v>0.182</v>
      </c>
      <c r="BD20" s="281">
        <f t="shared" si="8"/>
        <v>0.52665559734989276</v>
      </c>
      <c r="BE20" s="281">
        <f t="shared" si="20"/>
        <v>0.55372781702377305</v>
      </c>
      <c r="BF20" s="281">
        <f t="shared" si="9"/>
        <v>0.55372781702377305</v>
      </c>
      <c r="BG20" s="281">
        <f t="shared" si="2"/>
        <v>0.52665559734989276</v>
      </c>
      <c r="BH20" s="281">
        <f t="shared" si="2"/>
        <v>0.52665559734989276</v>
      </c>
      <c r="BK20" s="344">
        <v>2.0150213134520995E-2</v>
      </c>
      <c r="BL20" s="344">
        <v>1.3907164507488298E-2</v>
      </c>
      <c r="BM20" s="341">
        <f t="shared" si="10"/>
        <v>1.3907164507488298E-2</v>
      </c>
      <c r="BN20" s="341">
        <f t="shared" si="3"/>
        <v>2.0150213134520995E-2</v>
      </c>
      <c r="BO20" s="341">
        <f t="shared" si="3"/>
        <v>2.0150213134520995E-2</v>
      </c>
      <c r="BQ20" s="47"/>
      <c r="BR20" s="634"/>
    </row>
    <row r="21" spans="4:70" ht="15.75" thickBot="1" x14ac:dyDescent="0.35">
      <c r="D21" s="342">
        <v>0.26</v>
      </c>
      <c r="E21">
        <v>14750</v>
      </c>
      <c r="F21" s="342">
        <f t="shared" si="14"/>
        <v>0.182</v>
      </c>
      <c r="G21">
        <f t="shared" si="11"/>
        <v>0.20089294237938993</v>
      </c>
      <c r="H21">
        <f t="shared" si="15"/>
        <v>0.52638848002377614</v>
      </c>
      <c r="I21">
        <f t="shared" si="16"/>
        <v>0.52638848002377614</v>
      </c>
      <c r="J21" s="44">
        <f t="shared" si="12"/>
        <v>0.98065810415237598</v>
      </c>
      <c r="K21" s="342">
        <v>1</v>
      </c>
      <c r="L21" s="342">
        <v>1.3300258819750856</v>
      </c>
      <c r="M21" s="342">
        <v>1.5876045022129421</v>
      </c>
      <c r="N21" s="342">
        <v>1.8585397635137741</v>
      </c>
      <c r="O21" s="342">
        <v>2.1717549223783248</v>
      </c>
      <c r="P21" s="342">
        <v>2.5075051946060927</v>
      </c>
      <c r="Q21" s="342">
        <v>2.8029086538904102</v>
      </c>
      <c r="R21" s="47">
        <f t="shared" si="17"/>
        <v>0.81800000000000006</v>
      </c>
      <c r="S21" s="47">
        <f t="shared" si="17"/>
        <v>0.74875013947168101</v>
      </c>
      <c r="T21" s="47">
        <f t="shared" si="17"/>
        <v>0.69893890630090305</v>
      </c>
      <c r="U21" s="47">
        <f t="shared" si="17"/>
        <v>0.65918157469609773</v>
      </c>
      <c r="V21" s="47">
        <f t="shared" si="17"/>
        <v>0.62581564785263888</v>
      </c>
      <c r="W21" s="47">
        <f t="shared" si="17"/>
        <v>0.59695669967555853</v>
      </c>
      <c r="X21" s="47">
        <f t="shared" si="17"/>
        <v>0.57148409229839248</v>
      </c>
      <c r="Y21" s="47">
        <f t="shared" si="17"/>
        <v>0.54866787054922384</v>
      </c>
      <c r="Z21" s="47">
        <f t="shared" si="17"/>
        <v>0.52800162249307347</v>
      </c>
      <c r="AA21" s="47">
        <f t="shared" si="17"/>
        <v>0.50911733737488862</v>
      </c>
      <c r="AB21" s="47">
        <f t="shared" si="17"/>
        <v>0.49173787684792397</v>
      </c>
      <c r="AC21" s="47">
        <f t="shared" si="17"/>
        <v>0.47564855099016662</v>
      </c>
      <c r="AD21" s="47">
        <f t="shared" si="17"/>
        <v>0.46067917843413658</v>
      </c>
      <c r="AE21" s="47">
        <f t="shared" si="17"/>
        <v>0.44669226131702472</v>
      </c>
      <c r="AF21" s="47">
        <f t="shared" si="17"/>
        <v>0.43357490713815355</v>
      </c>
      <c r="AG21" s="47">
        <f t="shared" si="17"/>
        <v>0.42123314232835279</v>
      </c>
      <c r="AH21" s="47">
        <f t="shared" si="18"/>
        <v>0.40958780595402344</v>
      </c>
      <c r="AI21" s="47">
        <f t="shared" si="18"/>
        <v>0.39857151853377915</v>
      </c>
      <c r="AJ21" s="47">
        <f t="shared" si="18"/>
        <v>0.38812640120184139</v>
      </c>
      <c r="AK21" s="47">
        <f t="shared" si="18"/>
        <v>0.37820233032729028</v>
      </c>
      <c r="AL21" s="47"/>
      <c r="AM21" s="47"/>
      <c r="AN21" s="47"/>
      <c r="AO21" s="47"/>
      <c r="AP21" s="47"/>
      <c r="AQ21" s="47"/>
      <c r="AR21" s="47"/>
      <c r="AS21" s="47"/>
      <c r="AT21" s="47"/>
      <c r="AU21" s="283">
        <v>18</v>
      </c>
      <c r="AV21" s="350">
        <v>16500</v>
      </c>
      <c r="AW21" s="354">
        <f t="shared" si="5"/>
        <v>0.182</v>
      </c>
      <c r="AX21" s="280">
        <f t="shared" si="19"/>
        <v>0.21</v>
      </c>
      <c r="AY21" s="280">
        <f t="shared" si="7"/>
        <v>0.21</v>
      </c>
      <c r="AZ21" s="280">
        <f t="shared" si="0"/>
        <v>0.182</v>
      </c>
      <c r="BA21" s="356">
        <f t="shared" si="0"/>
        <v>0.182</v>
      </c>
      <c r="BD21" s="281">
        <f t="shared" si="8"/>
        <v>0.52618100577539151</v>
      </c>
      <c r="BE21" s="281">
        <f t="shared" si="20"/>
        <v>0.55274788632083838</v>
      </c>
      <c r="BF21" s="281">
        <f t="shared" si="9"/>
        <v>0.55274788632083838</v>
      </c>
      <c r="BG21" s="281">
        <f t="shared" si="2"/>
        <v>0.52618100577539151</v>
      </c>
      <c r="BH21" s="281">
        <f t="shared" si="2"/>
        <v>0.52618100577539151</v>
      </c>
      <c r="BK21" s="344">
        <v>2.0171508059896905E-2</v>
      </c>
      <c r="BL21" s="344">
        <v>1.3907164507488298E-2</v>
      </c>
      <c r="BM21" s="341">
        <f t="shared" si="10"/>
        <v>1.3907164507488298E-2</v>
      </c>
      <c r="BN21" s="341">
        <f t="shared" si="3"/>
        <v>2.0171508059896905E-2</v>
      </c>
      <c r="BO21" s="341">
        <f t="shared" si="3"/>
        <v>2.0171508059896905E-2</v>
      </c>
      <c r="BQ21" s="47"/>
      <c r="BR21" s="634"/>
    </row>
    <row r="22" spans="4:70" ht="15.75" thickBot="1" x14ac:dyDescent="0.35">
      <c r="D22" s="342">
        <v>0.26</v>
      </c>
      <c r="E22">
        <v>15250</v>
      </c>
      <c r="F22" s="342">
        <f t="shared" si="14"/>
        <v>0.182</v>
      </c>
      <c r="G22">
        <f t="shared" si="11"/>
        <v>0.20089294237938993</v>
      </c>
      <c r="H22">
        <f t="shared" si="15"/>
        <v>0.52665559734989276</v>
      </c>
      <c r="I22">
        <f t="shared" si="16"/>
        <v>0.52665559734989276</v>
      </c>
      <c r="J22" s="44">
        <f t="shared" si="12"/>
        <v>0.98124566788615397</v>
      </c>
      <c r="K22" s="342">
        <v>1</v>
      </c>
      <c r="L22" s="342">
        <v>1.3300258819750856</v>
      </c>
      <c r="M22" s="342">
        <v>1.5876045022129421</v>
      </c>
      <c r="N22" s="342">
        <v>1.8668529082532916</v>
      </c>
      <c r="O22" s="342">
        <v>2.1717549223783248</v>
      </c>
      <c r="P22" s="342">
        <v>2.5075051946060927</v>
      </c>
      <c r="Q22" s="342">
        <v>2.8029086538904102</v>
      </c>
      <c r="R22" s="47">
        <f t="shared" si="17"/>
        <v>0.81800000000000006</v>
      </c>
      <c r="S22" s="47">
        <f t="shared" si="17"/>
        <v>0.74871002358378347</v>
      </c>
      <c r="T22" s="47">
        <f t="shared" si="17"/>
        <v>0.69886543082022845</v>
      </c>
      <c r="U22" s="47">
        <f t="shared" si="17"/>
        <v>0.65907983472874598</v>
      </c>
      <c r="V22" s="47">
        <f t="shared" si="17"/>
        <v>0.62568953285516204</v>
      </c>
      <c r="W22" s="47">
        <f t="shared" si="17"/>
        <v>0.59680928204225114</v>
      </c>
      <c r="X22" s="47">
        <f t="shared" si="17"/>
        <v>0.57131786848264132</v>
      </c>
      <c r="Y22" s="47">
        <f t="shared" si="17"/>
        <v>0.54848491425674051</v>
      </c>
      <c r="Z22" s="47">
        <f t="shared" si="17"/>
        <v>0.5278036865133412</v>
      </c>
      <c r="AA22" s="47">
        <f t="shared" si="17"/>
        <v>0.50890592413959279</v>
      </c>
      <c r="AB22" s="47">
        <f t="shared" si="17"/>
        <v>0.49151428906701361</v>
      </c>
      <c r="AC22" s="47">
        <f t="shared" si="17"/>
        <v>0.47541392907320279</v>
      </c>
      <c r="AD22" s="47">
        <f t="shared" si="17"/>
        <v>0.46043452883649361</v>
      </c>
      <c r="AE22" s="47">
        <f t="shared" si="17"/>
        <v>0.4464384784660454</v>
      </c>
      <c r="AF22" s="47">
        <f t="shared" si="17"/>
        <v>0.43331279070037881</v>
      </c>
      <c r="AG22" s="47">
        <f t="shared" si="17"/>
        <v>0.42096341102056545</v>
      </c>
      <c r="AH22" s="47">
        <f t="shared" si="18"/>
        <v>0.40931110874068477</v>
      </c>
      <c r="AI22" s="47">
        <f t="shared" si="18"/>
        <v>0.398288443814449</v>
      </c>
      <c r="AJ22" s="47">
        <f t="shared" si="18"/>
        <v>0.38783748442958843</v>
      </c>
      <c r="AK22" s="47">
        <f t="shared" si="18"/>
        <v>0.37790806038598923</v>
      </c>
      <c r="AL22" s="47"/>
      <c r="AM22" s="47"/>
      <c r="AN22" s="47"/>
      <c r="AO22" s="47"/>
      <c r="AP22" s="47"/>
      <c r="AQ22" s="47"/>
      <c r="AR22" s="47"/>
      <c r="AS22" s="47"/>
      <c r="AT22" s="47"/>
      <c r="AU22" s="283">
        <v>19</v>
      </c>
      <c r="AV22" s="350">
        <v>17000</v>
      </c>
      <c r="AW22" s="354">
        <f t="shared" si="5"/>
        <v>0.182</v>
      </c>
      <c r="AX22" s="280">
        <f t="shared" si="19"/>
        <v>0.21099999999999999</v>
      </c>
      <c r="AY22" s="280">
        <f t="shared" si="7"/>
        <v>0.21099999999999999</v>
      </c>
      <c r="AZ22" s="280">
        <f t="shared" si="0"/>
        <v>0.182</v>
      </c>
      <c r="BA22" s="356">
        <f t="shared" si="0"/>
        <v>0.182</v>
      </c>
      <c r="BD22" s="281">
        <f t="shared" si="8"/>
        <v>0.5257079273195695</v>
      </c>
      <c r="BE22" s="281">
        <f t="shared" si="20"/>
        <v>0.54838223105761275</v>
      </c>
      <c r="BF22" s="281">
        <f t="shared" si="9"/>
        <v>0.54838223105761275</v>
      </c>
      <c r="BG22" s="281">
        <f t="shared" si="2"/>
        <v>0.5257079273195695</v>
      </c>
      <c r="BH22" s="281">
        <f t="shared" si="2"/>
        <v>0.5257079273195695</v>
      </c>
      <c r="BK22" s="344">
        <v>2.0058071596633351E-2</v>
      </c>
      <c r="BL22" s="344">
        <v>1.3907164507488298E-2</v>
      </c>
      <c r="BM22" s="341">
        <f t="shared" si="10"/>
        <v>1.3907164507488298E-2</v>
      </c>
      <c r="BN22" s="341">
        <f t="shared" si="3"/>
        <v>2.0058071596633351E-2</v>
      </c>
      <c r="BO22" s="341">
        <f t="shared" si="3"/>
        <v>2.0058071596633351E-2</v>
      </c>
      <c r="BQ22" s="47"/>
      <c r="BR22" s="634"/>
    </row>
    <row r="23" spans="4:70" ht="15.75" thickBot="1" x14ac:dyDescent="0.35">
      <c r="D23" s="342">
        <v>0.26</v>
      </c>
      <c r="E23">
        <v>15750</v>
      </c>
      <c r="F23" s="342">
        <f t="shared" si="14"/>
        <v>0.182</v>
      </c>
      <c r="G23">
        <f t="shared" si="11"/>
        <v>0.20089294237938993</v>
      </c>
      <c r="H23">
        <f t="shared" si="15"/>
        <v>0.52665559734989276</v>
      </c>
      <c r="I23">
        <f t="shared" si="16"/>
        <v>0.52665559734989276</v>
      </c>
      <c r="J23" s="44">
        <f t="shared" si="12"/>
        <v>0.98124566788615397</v>
      </c>
      <c r="K23" s="342">
        <v>1</v>
      </c>
      <c r="L23" s="342">
        <v>1.3300258819750856</v>
      </c>
      <c r="M23" s="342">
        <v>1.5876045022129421</v>
      </c>
      <c r="N23" s="342">
        <v>1.8668529082532916</v>
      </c>
      <c r="O23" s="342">
        <v>2.1717549223783248</v>
      </c>
      <c r="P23" s="342">
        <v>2.5075051946060927</v>
      </c>
      <c r="Q23" s="342">
        <v>2.8029086538904102</v>
      </c>
      <c r="R23" s="47">
        <f t="shared" si="17"/>
        <v>0.81800000000000006</v>
      </c>
      <c r="S23" s="47">
        <f t="shared" si="17"/>
        <v>0.74871002358378347</v>
      </c>
      <c r="T23" s="47">
        <f t="shared" si="17"/>
        <v>0.69886543082022845</v>
      </c>
      <c r="U23" s="47">
        <f t="shared" si="17"/>
        <v>0.65907983472874598</v>
      </c>
      <c r="V23" s="47">
        <f t="shared" si="17"/>
        <v>0.62568953285516204</v>
      </c>
      <c r="W23" s="47">
        <f t="shared" si="17"/>
        <v>0.59680928204225114</v>
      </c>
      <c r="X23" s="47">
        <f t="shared" si="17"/>
        <v>0.57131786848264132</v>
      </c>
      <c r="Y23" s="47">
        <f t="shared" si="17"/>
        <v>0.54848491425674051</v>
      </c>
      <c r="Z23" s="47">
        <f t="shared" si="17"/>
        <v>0.5278036865133412</v>
      </c>
      <c r="AA23" s="47">
        <f t="shared" si="17"/>
        <v>0.50890592413959279</v>
      </c>
      <c r="AB23" s="47">
        <f t="shared" si="17"/>
        <v>0.49151428906701361</v>
      </c>
      <c r="AC23" s="47">
        <f t="shared" si="17"/>
        <v>0.47541392907320279</v>
      </c>
      <c r="AD23" s="47">
        <f t="shared" si="17"/>
        <v>0.46043452883649361</v>
      </c>
      <c r="AE23" s="47">
        <f t="shared" si="17"/>
        <v>0.4464384784660454</v>
      </c>
      <c r="AF23" s="47">
        <f t="shared" si="17"/>
        <v>0.43331279070037881</v>
      </c>
      <c r="AG23" s="47">
        <f t="shared" si="17"/>
        <v>0.42096341102056545</v>
      </c>
      <c r="AH23" s="47">
        <f t="shared" si="18"/>
        <v>0.40931110874068477</v>
      </c>
      <c r="AI23" s="47">
        <f t="shared" si="18"/>
        <v>0.398288443814449</v>
      </c>
      <c r="AJ23" s="47">
        <f t="shared" si="18"/>
        <v>0.38783748442958843</v>
      </c>
      <c r="AK23" s="47">
        <f t="shared" si="18"/>
        <v>0.37790806038598923</v>
      </c>
      <c r="AL23" s="47"/>
      <c r="AM23" s="47"/>
      <c r="AN23" s="47"/>
      <c r="AO23" s="47"/>
      <c r="AP23" s="47"/>
      <c r="AQ23" s="47"/>
      <c r="AR23" s="47"/>
      <c r="AS23" s="47"/>
      <c r="AT23" s="47"/>
      <c r="AU23" s="283">
        <v>20</v>
      </c>
      <c r="AV23" s="350">
        <v>17500</v>
      </c>
      <c r="AW23" s="354">
        <f t="shared" si="5"/>
        <v>0.182</v>
      </c>
      <c r="AX23" s="280">
        <f t="shared" si="19"/>
        <v>0.21199999999999999</v>
      </c>
      <c r="AY23" s="280">
        <f t="shared" si="7"/>
        <v>0.21199999999999999</v>
      </c>
      <c r="AZ23" s="280">
        <f t="shared" si="0"/>
        <v>0.182</v>
      </c>
      <c r="BA23" s="356">
        <f t="shared" si="0"/>
        <v>0.182</v>
      </c>
      <c r="BD23" s="281">
        <f t="shared" si="8"/>
        <v>0.52421757161823945</v>
      </c>
      <c r="BE23" s="281">
        <f t="shared" si="20"/>
        <v>0.54384189001706618</v>
      </c>
      <c r="BF23" s="281">
        <f t="shared" si="9"/>
        <v>0.54384189001706618</v>
      </c>
      <c r="BG23" s="281">
        <f t="shared" si="2"/>
        <v>0.52421757161823945</v>
      </c>
      <c r="BH23" s="281">
        <f t="shared" si="2"/>
        <v>0.52421757161823945</v>
      </c>
      <c r="BK23" s="344">
        <v>1.9886687821324509E-2</v>
      </c>
      <c r="BL23" s="344">
        <v>1.4060336949672708E-2</v>
      </c>
      <c r="BM23" s="341">
        <f t="shared" si="10"/>
        <v>1.4060336949672708E-2</v>
      </c>
      <c r="BN23" s="341">
        <f t="shared" si="3"/>
        <v>1.9886687821324509E-2</v>
      </c>
      <c r="BO23" s="341">
        <f t="shared" si="3"/>
        <v>1.9886687821324509E-2</v>
      </c>
      <c r="BQ23" s="47"/>
      <c r="BR23" s="634"/>
    </row>
    <row r="24" spans="4:70" ht="15.75" thickBot="1" x14ac:dyDescent="0.35">
      <c r="D24" s="342">
        <v>0.26</v>
      </c>
      <c r="E24">
        <v>16250</v>
      </c>
      <c r="F24" s="342">
        <f t="shared" si="14"/>
        <v>0.182</v>
      </c>
      <c r="G24">
        <f t="shared" si="11"/>
        <v>0.20089294237938993</v>
      </c>
      <c r="H24">
        <f t="shared" si="15"/>
        <v>0.52665559734989276</v>
      </c>
      <c r="I24">
        <f t="shared" si="16"/>
        <v>0.52665559734989276</v>
      </c>
      <c r="J24" s="44">
        <f t="shared" si="12"/>
        <v>0.98124566788615397</v>
      </c>
      <c r="K24" s="342">
        <v>1</v>
      </c>
      <c r="L24" s="342">
        <v>1.3300258819750856</v>
      </c>
      <c r="M24" s="342">
        <v>1.5876045022129421</v>
      </c>
      <c r="N24" s="342">
        <v>1.8668529082532916</v>
      </c>
      <c r="O24" s="342">
        <v>2.1717549223783248</v>
      </c>
      <c r="P24" s="342">
        <v>2.5075051946060927</v>
      </c>
      <c r="Q24" s="342">
        <v>2.8029086538904102</v>
      </c>
      <c r="R24" s="47">
        <f t="shared" si="17"/>
        <v>0.81800000000000006</v>
      </c>
      <c r="S24" s="47">
        <f t="shared" si="17"/>
        <v>0.74871002358378347</v>
      </c>
      <c r="T24" s="47">
        <f t="shared" si="17"/>
        <v>0.69886543082022845</v>
      </c>
      <c r="U24" s="47">
        <f t="shared" si="17"/>
        <v>0.65907983472874598</v>
      </c>
      <c r="V24" s="47">
        <f t="shared" si="17"/>
        <v>0.62568953285516204</v>
      </c>
      <c r="W24" s="47">
        <f t="shared" si="17"/>
        <v>0.59680928204225114</v>
      </c>
      <c r="X24" s="47">
        <f t="shared" si="17"/>
        <v>0.57131786848264132</v>
      </c>
      <c r="Y24" s="47">
        <f t="shared" si="17"/>
        <v>0.54848491425674051</v>
      </c>
      <c r="Z24" s="47">
        <f t="shared" si="17"/>
        <v>0.5278036865133412</v>
      </c>
      <c r="AA24" s="47">
        <f t="shared" si="17"/>
        <v>0.50890592413959279</v>
      </c>
      <c r="AB24" s="47">
        <f t="shared" si="17"/>
        <v>0.49151428906701361</v>
      </c>
      <c r="AC24" s="47">
        <f t="shared" si="17"/>
        <v>0.47541392907320279</v>
      </c>
      <c r="AD24" s="47">
        <f t="shared" si="17"/>
        <v>0.46043452883649361</v>
      </c>
      <c r="AE24" s="47">
        <f t="shared" si="17"/>
        <v>0.4464384784660454</v>
      </c>
      <c r="AF24" s="47">
        <f t="shared" si="17"/>
        <v>0.43331279070037881</v>
      </c>
      <c r="AG24" s="47">
        <f t="shared" si="17"/>
        <v>0.42096341102056545</v>
      </c>
      <c r="AH24" s="47">
        <f t="shared" si="18"/>
        <v>0.40931110874068477</v>
      </c>
      <c r="AI24" s="47">
        <f t="shared" si="18"/>
        <v>0.398288443814449</v>
      </c>
      <c r="AJ24" s="47">
        <f t="shared" si="18"/>
        <v>0.38783748442958843</v>
      </c>
      <c r="AK24" s="47">
        <f t="shared" si="18"/>
        <v>0.37790806038598923</v>
      </c>
      <c r="AL24" s="47"/>
      <c r="AM24" s="47"/>
      <c r="AN24" s="47"/>
      <c r="AO24" s="47"/>
      <c r="AP24" s="47"/>
      <c r="AQ24" s="47"/>
      <c r="AR24" s="47"/>
      <c r="AS24" s="47"/>
      <c r="AT24" s="47"/>
      <c r="AU24" s="283">
        <v>21</v>
      </c>
      <c r="AV24" s="350">
        <v>18000</v>
      </c>
      <c r="AW24" s="354">
        <f t="shared" si="5"/>
        <v>0.182</v>
      </c>
      <c r="AX24" s="280">
        <f t="shared" si="19"/>
        <v>0.21299999999999997</v>
      </c>
      <c r="AY24" s="280">
        <f t="shared" si="7"/>
        <v>0.21299999999999997</v>
      </c>
      <c r="AZ24" s="280">
        <f t="shared" ref="AZ24:BA43" si="21">$AW24</f>
        <v>0.182</v>
      </c>
      <c r="BA24" s="356">
        <f t="shared" si="21"/>
        <v>0.182</v>
      </c>
      <c r="BD24" s="281">
        <f t="shared" si="8"/>
        <v>0.52272811160378185</v>
      </c>
      <c r="BE24" s="281">
        <f t="shared" si="20"/>
        <v>0.53949970028318195</v>
      </c>
      <c r="BF24" s="281">
        <f t="shared" si="9"/>
        <v>0.53949970028318195</v>
      </c>
      <c r="BG24" s="281">
        <f t="shared" ref="BG24:BH43" si="22">$BD24</f>
        <v>0.52272811160378185</v>
      </c>
      <c r="BH24" s="281">
        <f t="shared" si="22"/>
        <v>0.52272811160378185</v>
      </c>
      <c r="BK24" s="344">
        <v>1.9831786457334254E-2</v>
      </c>
      <c r="BL24" s="344">
        <v>1.3831825712903796E-2</v>
      </c>
      <c r="BM24" s="341">
        <f t="shared" si="10"/>
        <v>1.3831825712903796E-2</v>
      </c>
      <c r="BN24" s="341">
        <f t="shared" ref="BN24:BO43" si="23">$BK24</f>
        <v>1.9831786457334254E-2</v>
      </c>
      <c r="BO24" s="341">
        <f t="shared" si="23"/>
        <v>1.9831786457334254E-2</v>
      </c>
      <c r="BQ24" s="47"/>
      <c r="BR24" s="634"/>
    </row>
    <row r="25" spans="4:70" ht="15.75" thickBot="1" x14ac:dyDescent="0.35">
      <c r="D25" s="342">
        <v>0.26</v>
      </c>
      <c r="E25">
        <v>16750</v>
      </c>
      <c r="F25" s="342">
        <f t="shared" si="14"/>
        <v>0.182</v>
      </c>
      <c r="G25">
        <f t="shared" si="11"/>
        <v>0.20089294237938993</v>
      </c>
      <c r="H25">
        <f t="shared" si="15"/>
        <v>0.52618100577539151</v>
      </c>
      <c r="I25">
        <f t="shared" si="16"/>
        <v>0.52618100577539151</v>
      </c>
      <c r="J25" s="44">
        <f t="shared" si="12"/>
        <v>0.97974623135936434</v>
      </c>
      <c r="K25" s="342">
        <v>1</v>
      </c>
      <c r="L25" s="342">
        <v>1.3229521847548484</v>
      </c>
      <c r="M25" s="342">
        <v>1.5799610015102465</v>
      </c>
      <c r="N25" s="342">
        <v>1.8585397635137741</v>
      </c>
      <c r="O25" s="342">
        <v>2.1626435323304665</v>
      </c>
      <c r="P25" s="342">
        <v>2.4974259771903582</v>
      </c>
      <c r="Q25" s="342">
        <v>2.8029086538904102</v>
      </c>
      <c r="R25" s="47">
        <f t="shared" si="17"/>
        <v>0.81800000000000006</v>
      </c>
      <c r="S25" s="47">
        <f t="shared" si="17"/>
        <v>0.74878129447389397</v>
      </c>
      <c r="T25" s="47">
        <f t="shared" si="17"/>
        <v>0.69899596632004046</v>
      </c>
      <c r="U25" s="47">
        <f t="shared" si="17"/>
        <v>0.65926058257645459</v>
      </c>
      <c r="V25" s="47">
        <f t="shared" si="17"/>
        <v>0.6259135834904348</v>
      </c>
      <c r="W25" s="47">
        <f t="shared" si="17"/>
        <v>0.59707117771703655</v>
      </c>
      <c r="X25" s="47">
        <f t="shared" si="17"/>
        <v>0.57161317470666884</v>
      </c>
      <c r="Y25" s="47">
        <f t="shared" si="17"/>
        <v>0.54880994756729029</v>
      </c>
      <c r="Z25" s="47">
        <f t="shared" si="17"/>
        <v>0.52815533353639899</v>
      </c>
      <c r="AA25" s="47">
        <f t="shared" si="17"/>
        <v>0.50928151622807294</v>
      </c>
      <c r="AB25" s="47">
        <f t="shared" si="17"/>
        <v>0.49191151234059738</v>
      </c>
      <c r="AC25" s="47">
        <f t="shared" si="17"/>
        <v>0.47583075793866436</v>
      </c>
      <c r="AD25" s="47">
        <f t="shared" si="17"/>
        <v>0.46086917563218316</v>
      </c>
      <c r="AE25" s="47">
        <f t="shared" si="17"/>
        <v>0.44688935451255185</v>
      </c>
      <c r="AF25" s="47">
        <f t="shared" si="17"/>
        <v>0.43377847562813532</v>
      </c>
      <c r="AG25" s="47">
        <f t="shared" ref="AG25:AK40" si="24">EXP(-$G25*AG$8^$H25)</f>
        <v>0.42144262823741507</v>
      </c>
      <c r="AH25" s="47">
        <f t="shared" si="24"/>
        <v>0.40980270554241272</v>
      </c>
      <c r="AI25" s="47">
        <f t="shared" si="24"/>
        <v>0.39879137506592593</v>
      </c>
      <c r="AJ25" s="47">
        <f t="shared" si="24"/>
        <v>0.38835079903305153</v>
      </c>
      <c r="AK25" s="47">
        <f t="shared" si="24"/>
        <v>0.37843088995394347</v>
      </c>
      <c r="AL25" s="47"/>
      <c r="AM25" s="47"/>
      <c r="AN25" s="47"/>
      <c r="AO25" s="47"/>
      <c r="AP25" s="47"/>
      <c r="AQ25" s="47"/>
      <c r="AR25" s="47"/>
      <c r="AS25" s="47"/>
      <c r="AT25" s="47"/>
      <c r="AU25" s="283">
        <v>22</v>
      </c>
      <c r="AV25" s="350">
        <v>18500</v>
      </c>
      <c r="AW25" s="354">
        <f t="shared" si="5"/>
        <v>0.182</v>
      </c>
      <c r="AX25" s="280">
        <f t="shared" si="19"/>
        <v>0.214</v>
      </c>
      <c r="AY25" s="280">
        <f t="shared" si="7"/>
        <v>0.214</v>
      </c>
      <c r="AZ25" s="280">
        <f t="shared" si="21"/>
        <v>0.182</v>
      </c>
      <c r="BA25" s="356">
        <f t="shared" si="21"/>
        <v>0.182</v>
      </c>
      <c r="BD25" s="281">
        <f t="shared" si="8"/>
        <v>0.52123954477354695</v>
      </c>
      <c r="BE25" s="281">
        <f t="shared" si="20"/>
        <v>0.5351688735388529</v>
      </c>
      <c r="BF25" s="281">
        <f t="shared" si="9"/>
        <v>0.5351688735388529</v>
      </c>
      <c r="BG25" s="281">
        <f t="shared" si="22"/>
        <v>0.52123954477354695</v>
      </c>
      <c r="BH25" s="281">
        <f t="shared" si="22"/>
        <v>0.52123954477354695</v>
      </c>
      <c r="BK25" s="344">
        <v>1.9831786457334254E-2</v>
      </c>
      <c r="BL25" s="344">
        <v>1.3831825712903796E-2</v>
      </c>
      <c r="BM25" s="341">
        <f t="shared" si="10"/>
        <v>1.3831825712903796E-2</v>
      </c>
      <c r="BN25" s="341">
        <f t="shared" si="23"/>
        <v>1.9831786457334254E-2</v>
      </c>
      <c r="BO25" s="341">
        <f t="shared" si="23"/>
        <v>1.9831786457334254E-2</v>
      </c>
      <c r="BQ25" s="47"/>
      <c r="BR25" s="634"/>
    </row>
    <row r="26" spans="4:70" ht="15.75" thickBot="1" x14ac:dyDescent="0.35">
      <c r="D26" s="342">
        <v>0.26</v>
      </c>
      <c r="E26">
        <v>17250</v>
      </c>
      <c r="F26" s="342">
        <f t="shared" si="14"/>
        <v>0.182</v>
      </c>
      <c r="G26">
        <f t="shared" si="11"/>
        <v>0.20089294237938993</v>
      </c>
      <c r="H26">
        <f t="shared" si="15"/>
        <v>0.5257079273195695</v>
      </c>
      <c r="I26">
        <f t="shared" si="16"/>
        <v>0.5257079273195695</v>
      </c>
      <c r="J26" s="44">
        <f t="shared" si="12"/>
        <v>0.9781673707442492</v>
      </c>
      <c r="K26" s="342">
        <v>1</v>
      </c>
      <c r="L26" s="342">
        <v>1.31589352197149</v>
      </c>
      <c r="M26" s="342">
        <v>1.5723350519153061</v>
      </c>
      <c r="N26" s="342">
        <v>1.8502473757115552</v>
      </c>
      <c r="O26" s="342">
        <v>2.1535570708774938</v>
      </c>
      <c r="P26" s="342">
        <v>2.4873772566969179</v>
      </c>
      <c r="Q26" s="342">
        <v>2.8029086538904102</v>
      </c>
      <c r="R26" s="47">
        <f t="shared" ref="R26:AG41" si="25">EXP(-$G26*R$8^$H26)</f>
        <v>0.81800000000000006</v>
      </c>
      <c r="S26" s="47">
        <f t="shared" si="25"/>
        <v>0.74885232155336179</v>
      </c>
      <c r="T26" s="47">
        <f t="shared" si="25"/>
        <v>0.69912604216831986</v>
      </c>
      <c r="U26" s="47">
        <f t="shared" si="25"/>
        <v>0.65944068512611631</v>
      </c>
      <c r="V26" s="47">
        <f t="shared" si="25"/>
        <v>0.62613682929695125</v>
      </c>
      <c r="W26" s="47">
        <f t="shared" si="25"/>
        <v>0.59733213108784722</v>
      </c>
      <c r="X26" s="47">
        <f t="shared" si="25"/>
        <v>0.5719074198287224</v>
      </c>
      <c r="Y26" s="47">
        <f t="shared" si="25"/>
        <v>0.54913381692001739</v>
      </c>
      <c r="Z26" s="47">
        <f t="shared" si="25"/>
        <v>0.52850572746919977</v>
      </c>
      <c r="AA26" s="47">
        <f t="shared" si="25"/>
        <v>0.50965577800049011</v>
      </c>
      <c r="AB26" s="47">
        <f t="shared" si="25"/>
        <v>0.49230733847501834</v>
      </c>
      <c r="AC26" s="47">
        <f t="shared" si="25"/>
        <v>0.4762461319863639</v>
      </c>
      <c r="AD26" s="47">
        <f t="shared" si="25"/>
        <v>0.46130231801303051</v>
      </c>
      <c r="AE26" s="47">
        <f t="shared" si="25"/>
        <v>0.44733868372263635</v>
      </c>
      <c r="AF26" s="47">
        <f t="shared" si="25"/>
        <v>0.43424257769500679</v>
      </c>
      <c r="AG26" s="47">
        <f t="shared" si="25"/>
        <v>0.42192023229253678</v>
      </c>
      <c r="AH26" s="47">
        <f t="shared" si="24"/>
        <v>0.41029266401872194</v>
      </c>
      <c r="AI26" s="47">
        <f t="shared" si="24"/>
        <v>0.39929264745182075</v>
      </c>
      <c r="AJ26" s="47">
        <f t="shared" si="24"/>
        <v>0.38886243840213752</v>
      </c>
      <c r="AK26" s="47">
        <f t="shared" si="24"/>
        <v>0.37895203169017433</v>
      </c>
      <c r="AL26" s="47"/>
      <c r="AM26" s="47"/>
      <c r="AN26" s="47"/>
      <c r="AO26" s="47"/>
      <c r="AP26" s="47"/>
      <c r="AQ26" s="47"/>
      <c r="AR26" s="47"/>
      <c r="AS26" s="47"/>
      <c r="AT26" s="47"/>
      <c r="AU26" s="283">
        <v>23</v>
      </c>
      <c r="AV26" s="350">
        <v>19000</v>
      </c>
      <c r="AW26" s="354">
        <f t="shared" si="5"/>
        <v>0.182</v>
      </c>
      <c r="AX26" s="280">
        <f t="shared" si="19"/>
        <v>0.21499999999999997</v>
      </c>
      <c r="AY26" s="280">
        <f t="shared" si="7"/>
        <v>0.21499999999999997</v>
      </c>
      <c r="AZ26" s="280">
        <f t="shared" si="21"/>
        <v>0.182</v>
      </c>
      <c r="BA26" s="356">
        <f t="shared" si="21"/>
        <v>0.182</v>
      </c>
      <c r="BD26" s="281">
        <f t="shared" si="8"/>
        <v>0.51975186894735437</v>
      </c>
      <c r="BE26" s="281">
        <f t="shared" si="20"/>
        <v>0.53084928135753295</v>
      </c>
      <c r="BF26" s="281">
        <f t="shared" si="9"/>
        <v>0.53084928135753295</v>
      </c>
      <c r="BG26" s="281">
        <f t="shared" si="22"/>
        <v>0.51975186894735437</v>
      </c>
      <c r="BH26" s="281">
        <f t="shared" si="22"/>
        <v>0.51975186894735437</v>
      </c>
      <c r="BK26" s="344">
        <v>1.9838412412669842E-2</v>
      </c>
      <c r="BL26" s="344">
        <v>1.3764673710269027E-2</v>
      </c>
      <c r="BM26" s="341">
        <f t="shared" si="10"/>
        <v>1.3764673710269027E-2</v>
      </c>
      <c r="BN26" s="341">
        <f t="shared" si="23"/>
        <v>1.9838412412669842E-2</v>
      </c>
      <c r="BO26" s="341">
        <f t="shared" si="23"/>
        <v>1.9838412412669842E-2</v>
      </c>
      <c r="BQ26" s="47"/>
      <c r="BR26" s="634"/>
    </row>
    <row r="27" spans="4:70" ht="15.75" thickBot="1" x14ac:dyDescent="0.35">
      <c r="D27" s="342">
        <v>0.26</v>
      </c>
      <c r="E27">
        <v>17750</v>
      </c>
      <c r="F27" s="342">
        <f t="shared" si="14"/>
        <v>0.182</v>
      </c>
      <c r="G27">
        <f t="shared" si="11"/>
        <v>0.20089294237938993</v>
      </c>
      <c r="H27">
        <f t="shared" si="15"/>
        <v>0.52421757161823945</v>
      </c>
      <c r="I27">
        <f t="shared" si="16"/>
        <v>0.52421757161823945</v>
      </c>
      <c r="J27" s="44">
        <f t="shared" si="12"/>
        <v>0.97711398147506257</v>
      </c>
      <c r="K27" s="342">
        <v>1</v>
      </c>
      <c r="L27" s="342">
        <v>1.3088498298521423</v>
      </c>
      <c r="M27" s="342">
        <v>1.5647265730105673</v>
      </c>
      <c r="N27" s="342">
        <v>1.8419756414495276</v>
      </c>
      <c r="O27" s="342">
        <v>2.1444954019831641</v>
      </c>
      <c r="P27" s="342">
        <v>2.4773588491318534</v>
      </c>
      <c r="Q27" s="342">
        <v>2.7918933881062005</v>
      </c>
      <c r="R27" s="47">
        <f t="shared" si="25"/>
        <v>0.81800000000000006</v>
      </c>
      <c r="S27" s="47">
        <f t="shared" si="25"/>
        <v>0.74907597245472135</v>
      </c>
      <c r="T27" s="47">
        <f t="shared" si="25"/>
        <v>0.69953554097267856</v>
      </c>
      <c r="U27" s="47">
        <f t="shared" si="25"/>
        <v>0.66000761791041496</v>
      </c>
      <c r="V27" s="47">
        <f t="shared" si="25"/>
        <v>0.62683953745945586</v>
      </c>
      <c r="W27" s="47">
        <f t="shared" si="25"/>
        <v>0.59815352063981553</v>
      </c>
      <c r="X27" s="47">
        <f t="shared" si="25"/>
        <v>0.5728336089963012</v>
      </c>
      <c r="Y27" s="47">
        <f t="shared" si="25"/>
        <v>0.55015327909078482</v>
      </c>
      <c r="Z27" s="47">
        <f t="shared" si="25"/>
        <v>0.52960872240635926</v>
      </c>
      <c r="AA27" s="47">
        <f t="shared" si="25"/>
        <v>0.51083395819186983</v>
      </c>
      <c r="AB27" s="47">
        <f t="shared" si="25"/>
        <v>0.49355346688310209</v>
      </c>
      <c r="AC27" s="47">
        <f t="shared" si="25"/>
        <v>0.47755387360837426</v>
      </c>
      <c r="AD27" s="47">
        <f t="shared" si="25"/>
        <v>0.46266608208441162</v>
      </c>
      <c r="AE27" s="47">
        <f t="shared" si="25"/>
        <v>0.44875350172095774</v>
      </c>
      <c r="AF27" s="47">
        <f t="shared" si="25"/>
        <v>0.43570400730754444</v>
      </c>
      <c r="AG27" s="47">
        <f t="shared" si="25"/>
        <v>0.42342428063450688</v>
      </c>
      <c r="AH27" s="47">
        <f t="shared" si="24"/>
        <v>0.41183572540229219</v>
      </c>
      <c r="AI27" s="47">
        <f t="shared" si="24"/>
        <v>0.40087145234088956</v>
      </c>
      <c r="AJ27" s="47">
        <f t="shared" si="24"/>
        <v>0.39047401109547536</v>
      </c>
      <c r="AK27" s="47">
        <f t="shared" si="24"/>
        <v>0.38059365490654284</v>
      </c>
      <c r="AL27" s="47"/>
      <c r="AM27" s="47"/>
      <c r="AN27" s="47"/>
      <c r="AO27" s="47"/>
      <c r="AP27" s="47"/>
      <c r="AQ27" s="47"/>
      <c r="AR27" s="47"/>
      <c r="AS27" s="47"/>
      <c r="AT27" s="47"/>
      <c r="AU27" s="283">
        <v>24</v>
      </c>
      <c r="AV27" s="350">
        <v>19500</v>
      </c>
      <c r="AW27" s="354">
        <f t="shared" si="5"/>
        <v>0.182</v>
      </c>
      <c r="AX27" s="280">
        <f t="shared" si="19"/>
        <v>0.21600000000000003</v>
      </c>
      <c r="AY27" s="280">
        <f t="shared" si="7"/>
        <v>0.21600000000000003</v>
      </c>
      <c r="AZ27" s="280">
        <f t="shared" si="21"/>
        <v>0.182</v>
      </c>
      <c r="BA27" s="356">
        <f t="shared" si="21"/>
        <v>0.182</v>
      </c>
      <c r="BD27" s="281">
        <f t="shared" si="8"/>
        <v>0.51826508227189316</v>
      </c>
      <c r="BE27" s="281">
        <f t="shared" si="20"/>
        <v>0.52733427921666998</v>
      </c>
      <c r="BF27" s="281">
        <f t="shared" si="9"/>
        <v>0.52733427921666998</v>
      </c>
      <c r="BG27" s="281">
        <f t="shared" si="22"/>
        <v>0.51826508227189316</v>
      </c>
      <c r="BH27" s="281">
        <f t="shared" si="22"/>
        <v>0.51826508227189316</v>
      </c>
      <c r="BK27" s="344">
        <v>1.9870283182164369E-2</v>
      </c>
      <c r="BL27" s="344">
        <v>1.379741497255622E-2</v>
      </c>
      <c r="BM27" s="341">
        <f t="shared" si="10"/>
        <v>1.379741497255622E-2</v>
      </c>
      <c r="BN27" s="341">
        <f t="shared" si="23"/>
        <v>1.9870283182164369E-2</v>
      </c>
      <c r="BO27" s="341">
        <f t="shared" si="23"/>
        <v>1.9870283182164369E-2</v>
      </c>
      <c r="BQ27" s="47"/>
      <c r="BR27" s="634"/>
    </row>
    <row r="28" spans="4:70" ht="15.75" thickBot="1" x14ac:dyDescent="0.35">
      <c r="D28" s="342">
        <v>0.26</v>
      </c>
      <c r="E28">
        <v>18250</v>
      </c>
      <c r="F28" s="342">
        <f t="shared" si="14"/>
        <v>0.182</v>
      </c>
      <c r="G28">
        <f t="shared" si="11"/>
        <v>0.20089294237938993</v>
      </c>
      <c r="H28">
        <f t="shared" si="15"/>
        <v>0.52272811160378185</v>
      </c>
      <c r="I28">
        <f t="shared" si="16"/>
        <v>0.52272811160378185</v>
      </c>
      <c r="J28" s="44">
        <f t="shared" si="12"/>
        <v>0.97601629944171764</v>
      </c>
      <c r="K28" s="342">
        <v>1</v>
      </c>
      <c r="L28" s="342">
        <v>1.3018210450288432</v>
      </c>
      <c r="M28" s="342">
        <v>1.5571354849299142</v>
      </c>
      <c r="N28" s="342">
        <v>1.8337244581012446</v>
      </c>
      <c r="O28" s="342">
        <v>2.1354583907217406</v>
      </c>
      <c r="P28" s="342">
        <v>2.4673705721613497</v>
      </c>
      <c r="Q28" s="342">
        <v>2.780914536490191</v>
      </c>
      <c r="R28" s="47">
        <f t="shared" si="25"/>
        <v>0.81800000000000006</v>
      </c>
      <c r="S28" s="47">
        <f t="shared" si="25"/>
        <v>0.7492993248640899</v>
      </c>
      <c r="T28" s="47">
        <f t="shared" si="25"/>
        <v>0.69994436339500843</v>
      </c>
      <c r="U28" s="47">
        <f t="shared" si="25"/>
        <v>0.66057352637057765</v>
      </c>
      <c r="V28" s="47">
        <f t="shared" si="25"/>
        <v>0.62754092640208292</v>
      </c>
      <c r="W28" s="47">
        <f t="shared" si="25"/>
        <v>0.59897335200236979</v>
      </c>
      <c r="X28" s="47">
        <f t="shared" si="25"/>
        <v>0.57375805388584411</v>
      </c>
      <c r="Y28" s="47">
        <f t="shared" si="25"/>
        <v>0.55117085903379581</v>
      </c>
      <c r="Z28" s="47">
        <f t="shared" si="25"/>
        <v>0.53070974030819462</v>
      </c>
      <c r="AA28" s="47">
        <f t="shared" si="25"/>
        <v>0.51201010494314425</v>
      </c>
      <c r="AB28" s="47">
        <f t="shared" si="25"/>
        <v>0.49479753953376165</v>
      </c>
      <c r="AC28" s="47">
        <f t="shared" si="25"/>
        <v>0.47885956738321223</v>
      </c>
      <c r="AD28" s="47">
        <f t="shared" si="25"/>
        <v>0.46402783302056838</v>
      </c>
      <c r="AE28" s="47">
        <f t="shared" si="25"/>
        <v>0.45016636506574853</v>
      </c>
      <c r="AF28" s="47">
        <f t="shared" si="25"/>
        <v>0.4371635618356115</v>
      </c>
      <c r="AG28" s="47">
        <f t="shared" si="25"/>
        <v>0.4249265521729873</v>
      </c>
      <c r="AH28" s="47">
        <f t="shared" si="24"/>
        <v>0.41337712486810291</v>
      </c>
      <c r="AI28" s="47">
        <f t="shared" si="24"/>
        <v>0.40244872492967998</v>
      </c>
      <c r="AJ28" s="47">
        <f t="shared" si="24"/>
        <v>0.39208419416929119</v>
      </c>
      <c r="AK28" s="47">
        <f t="shared" si="24"/>
        <v>0.38223404275785361</v>
      </c>
      <c r="AL28" s="47"/>
      <c r="AM28" s="47"/>
      <c r="AN28" s="47"/>
      <c r="AO28" s="47"/>
      <c r="AP28" s="47"/>
      <c r="AQ28" s="47"/>
      <c r="AR28" s="47"/>
      <c r="AS28" s="47"/>
      <c r="AT28" s="47"/>
      <c r="AU28" s="283">
        <v>25</v>
      </c>
      <c r="AV28" s="350">
        <v>20000</v>
      </c>
      <c r="AW28" s="354">
        <f t="shared" si="5"/>
        <v>0.182</v>
      </c>
      <c r="AX28" s="280">
        <f t="shared" si="19"/>
        <v>0.217</v>
      </c>
      <c r="AY28" s="280">
        <f t="shared" si="7"/>
        <v>0.217</v>
      </c>
      <c r="AZ28" s="280">
        <f t="shared" si="21"/>
        <v>0.182</v>
      </c>
      <c r="BA28" s="356">
        <f t="shared" si="21"/>
        <v>0.182</v>
      </c>
      <c r="BD28" s="281">
        <f t="shared" si="8"/>
        <v>0.51724294160593021</v>
      </c>
      <c r="BE28" s="281">
        <f t="shared" si="20"/>
        <v>0.52383045084562985</v>
      </c>
      <c r="BF28" s="281">
        <f t="shared" si="9"/>
        <v>0.52383045084562985</v>
      </c>
      <c r="BG28" s="281">
        <f t="shared" si="22"/>
        <v>0.51724294160593021</v>
      </c>
      <c r="BH28" s="281">
        <f t="shared" si="22"/>
        <v>0.51724294160593021</v>
      </c>
      <c r="BK28" s="344">
        <v>1.9780720609374372E-2</v>
      </c>
      <c r="BL28" s="344">
        <v>1.3614309702793839E-2</v>
      </c>
      <c r="BM28" s="341">
        <f t="shared" si="10"/>
        <v>1.3614309702793839E-2</v>
      </c>
      <c r="BN28" s="341">
        <f t="shared" si="23"/>
        <v>1.9780720609374372E-2</v>
      </c>
      <c r="BO28" s="341">
        <f t="shared" si="23"/>
        <v>1.9780720609374372E-2</v>
      </c>
      <c r="BQ28" s="47"/>
      <c r="BR28" s="634"/>
    </row>
    <row r="29" spans="4:70" ht="15.75" thickBot="1" x14ac:dyDescent="0.35">
      <c r="D29" s="342">
        <v>0.26</v>
      </c>
      <c r="E29">
        <v>18750</v>
      </c>
      <c r="F29" s="342">
        <f t="shared" si="14"/>
        <v>0.182</v>
      </c>
      <c r="G29">
        <f t="shared" si="11"/>
        <v>0.20089294237938993</v>
      </c>
      <c r="H29">
        <f t="shared" si="15"/>
        <v>0.52123954477354695</v>
      </c>
      <c r="I29">
        <f t="shared" si="16"/>
        <v>0.52123954477354695</v>
      </c>
      <c r="J29" s="44">
        <f t="shared" si="12"/>
        <v>0.97487346875619851</v>
      </c>
      <c r="K29" s="342">
        <v>1</v>
      </c>
      <c r="L29" s="342">
        <v>1.2948071045351202</v>
      </c>
      <c r="M29" s="342">
        <v>1.5495617083536348</v>
      </c>
      <c r="N29" s="342">
        <v>1.8254937238032842</v>
      </c>
      <c r="O29" s="342">
        <v>2.1264459032659286</v>
      </c>
      <c r="P29" s="342">
        <v>2.4574122450917759</v>
      </c>
      <c r="Q29" s="342">
        <v>2.7699718590801585</v>
      </c>
      <c r="R29" s="47">
        <f t="shared" si="25"/>
        <v>0.81800000000000006</v>
      </c>
      <c r="S29" s="47">
        <f t="shared" si="25"/>
        <v>0.749522379503895</v>
      </c>
      <c r="T29" s="47">
        <f t="shared" si="25"/>
        <v>0.70035251095877493</v>
      </c>
      <c r="U29" s="47">
        <f t="shared" si="25"/>
        <v>0.66113841251280192</v>
      </c>
      <c r="V29" s="47">
        <f t="shared" si="25"/>
        <v>0.62824099818618118</v>
      </c>
      <c r="W29" s="47">
        <f t="shared" si="25"/>
        <v>0.59979162685853793</v>
      </c>
      <c r="X29" s="47">
        <f t="shared" si="25"/>
        <v>0.57468075540004293</v>
      </c>
      <c r="Y29" s="47">
        <f t="shared" si="25"/>
        <v>0.55218655651321291</v>
      </c>
      <c r="Z29" s="47">
        <f t="shared" si="25"/>
        <v>0.53180877948823246</v>
      </c>
      <c r="AA29" s="47">
        <f t="shared" si="25"/>
        <v>0.51318421484928911</v>
      </c>
      <c r="AB29" s="47">
        <f t="shared" si="25"/>
        <v>0.49603955107619063</v>
      </c>
      <c r="AC29" s="47">
        <f t="shared" si="25"/>
        <v>0.48016320582374944</v>
      </c>
      <c r="AD29" s="47">
        <f t="shared" si="25"/>
        <v>0.4653875610402417</v>
      </c>
      <c r="AE29" s="47">
        <f t="shared" si="25"/>
        <v>0.45157726155283084</v>
      </c>
      <c r="AF29" s="47">
        <f t="shared" si="25"/>
        <v>0.43862122654896335</v>
      </c>
      <c r="AG29" s="47">
        <f t="shared" si="25"/>
        <v>0.42642702957113188</v>
      </c>
      <c r="AH29" s="47">
        <f t="shared" si="24"/>
        <v>0.41491684241208976</v>
      </c>
      <c r="AI29" s="47">
        <f t="shared" si="24"/>
        <v>0.40402444250382874</v>
      </c>
      <c r="AJ29" s="47">
        <f t="shared" si="24"/>
        <v>0.39369296217127092</v>
      </c>
      <c r="AK29" s="47">
        <f t="shared" si="24"/>
        <v>0.38387316703976204</v>
      </c>
      <c r="AL29" s="47"/>
      <c r="AM29" s="47"/>
      <c r="AN29" s="47"/>
      <c r="AO29" s="47"/>
      <c r="AP29" s="47"/>
      <c r="AQ29" s="47"/>
      <c r="AR29" s="47"/>
      <c r="AS29" s="47"/>
      <c r="AT29" s="47"/>
      <c r="AU29" s="283">
        <v>26</v>
      </c>
      <c r="AV29" s="350">
        <v>21000</v>
      </c>
      <c r="AW29" s="354">
        <f t="shared" si="5"/>
        <v>0.183</v>
      </c>
      <c r="AX29" s="280">
        <f t="shared" si="19"/>
        <v>0.217</v>
      </c>
      <c r="AY29" s="280">
        <f t="shared" si="7"/>
        <v>0.217</v>
      </c>
      <c r="AZ29" s="280">
        <f t="shared" si="21"/>
        <v>0.183</v>
      </c>
      <c r="BA29" s="356">
        <f t="shared" si="21"/>
        <v>0.183</v>
      </c>
      <c r="BD29" s="281">
        <f t="shared" si="8"/>
        <v>0.51493952039477164</v>
      </c>
      <c r="BE29" s="281">
        <f t="shared" si="20"/>
        <v>0.52364613612736577</v>
      </c>
      <c r="BF29" s="281">
        <f t="shared" si="9"/>
        <v>0.52364613612736577</v>
      </c>
      <c r="BG29" s="281">
        <f t="shared" si="22"/>
        <v>0.51493952039477164</v>
      </c>
      <c r="BH29" s="281">
        <f t="shared" si="22"/>
        <v>0.51493952039477164</v>
      </c>
      <c r="BK29" s="344">
        <v>1.9812882696720376E-2</v>
      </c>
      <c r="BL29" s="344">
        <v>1.3765348595724453E-2</v>
      </c>
      <c r="BM29" s="341">
        <f t="shared" si="10"/>
        <v>1.3765348595724453E-2</v>
      </c>
      <c r="BN29" s="341">
        <f t="shared" si="23"/>
        <v>1.9812882696720376E-2</v>
      </c>
      <c r="BO29" s="341">
        <f t="shared" si="23"/>
        <v>1.9812882696720376E-2</v>
      </c>
      <c r="BQ29" s="47"/>
      <c r="BR29" s="634"/>
    </row>
    <row r="30" spans="4:70" ht="15.75" thickBot="1" x14ac:dyDescent="0.35">
      <c r="D30" s="342">
        <v>0.26</v>
      </c>
      <c r="E30">
        <v>19250</v>
      </c>
      <c r="F30" s="342">
        <f t="shared" si="14"/>
        <v>0.182</v>
      </c>
      <c r="G30">
        <f t="shared" si="11"/>
        <v>0.20089294237938993</v>
      </c>
      <c r="H30">
        <f t="shared" si="15"/>
        <v>0.51975186894735437</v>
      </c>
      <c r="I30">
        <f t="shared" si="16"/>
        <v>0.51975186894735437</v>
      </c>
      <c r="J30" s="44">
        <f t="shared" si="12"/>
        <v>0.97368462785856347</v>
      </c>
      <c r="K30" s="342">
        <v>1</v>
      </c>
      <c r="L30" s="342">
        <v>1.2878079458025999</v>
      </c>
      <c r="M30" s="342">
        <v>1.5420051645034507</v>
      </c>
      <c r="N30" s="342">
        <v>1.8172833374477033</v>
      </c>
      <c r="O30" s="342">
        <v>2.1174578068749947</v>
      </c>
      <c r="P30" s="342">
        <v>2.4474836888500806</v>
      </c>
      <c r="Q30" s="342">
        <v>2.759065118278047</v>
      </c>
      <c r="R30" s="47">
        <f t="shared" si="25"/>
        <v>0.81800000000000006</v>
      </c>
      <c r="S30" s="47">
        <f t="shared" si="25"/>
        <v>0.74974513704696566</v>
      </c>
      <c r="T30" s="47">
        <f t="shared" si="25"/>
        <v>0.70075998509698123</v>
      </c>
      <c r="U30" s="47">
        <f t="shared" si="25"/>
        <v>0.66170227822111538</v>
      </c>
      <c r="V30" s="47">
        <f t="shared" si="25"/>
        <v>0.62893975472757835</v>
      </c>
      <c r="W30" s="47">
        <f t="shared" si="25"/>
        <v>0.60060834672971763</v>
      </c>
      <c r="X30" s="47">
        <f t="shared" si="25"/>
        <v>0.57560171426995332</v>
      </c>
      <c r="Y30" s="47">
        <f t="shared" si="25"/>
        <v>0.55320037111660458</v>
      </c>
      <c r="Z30" s="47">
        <f t="shared" si="25"/>
        <v>0.53290583808255276</v>
      </c>
      <c r="AA30" s="47">
        <f t="shared" si="25"/>
        <v>0.51435628433026004</v>
      </c>
      <c r="AB30" s="47">
        <f t="shared" si="25"/>
        <v>0.49727949598954807</v>
      </c>
      <c r="AC30" s="47">
        <f t="shared" si="25"/>
        <v>0.48146478127974818</v>
      </c>
      <c r="AD30" s="47">
        <f t="shared" si="25"/>
        <v>0.46674525620739477</v>
      </c>
      <c r="AE30" s="47">
        <f t="shared" si="25"/>
        <v>0.45298617883252673</v>
      </c>
      <c r="AF30" s="47">
        <f t="shared" si="25"/>
        <v>0.44007698658168753</v>
      </c>
      <c r="AG30" s="47">
        <f t="shared" si="25"/>
        <v>0.42792569536647662</v>
      </c>
      <c r="AH30" s="47">
        <f t="shared" si="24"/>
        <v>0.41645485791455178</v>
      </c>
      <c r="AI30" s="47">
        <f t="shared" si="24"/>
        <v>0.40559858224300233</v>
      </c>
      <c r="AJ30" s="47">
        <f t="shared" si="24"/>
        <v>0.39530028955227681</v>
      </c>
      <c r="AK30" s="47">
        <f t="shared" si="24"/>
        <v>0.38551099945955031</v>
      </c>
      <c r="AL30" s="47"/>
      <c r="AM30" s="47"/>
      <c r="AN30" s="47"/>
      <c r="AO30" s="47"/>
      <c r="AP30" s="47"/>
      <c r="AQ30" s="47"/>
      <c r="AR30" s="47"/>
      <c r="AS30" s="47"/>
      <c r="AT30" s="47"/>
      <c r="AU30" s="283">
        <v>27</v>
      </c>
      <c r="AV30" s="350">
        <v>22000</v>
      </c>
      <c r="AW30" s="354">
        <f t="shared" si="5"/>
        <v>0.18399999999999997</v>
      </c>
      <c r="AX30" s="280">
        <f t="shared" si="19"/>
        <v>0.218</v>
      </c>
      <c r="AY30" s="280">
        <f t="shared" si="7"/>
        <v>0.218</v>
      </c>
      <c r="AZ30" s="280">
        <f t="shared" si="21"/>
        <v>0.18399999999999997</v>
      </c>
      <c r="BA30" s="356">
        <f t="shared" si="21"/>
        <v>0.18399999999999997</v>
      </c>
      <c r="BD30" s="281">
        <f t="shared" si="8"/>
        <v>0.51266465618228851</v>
      </c>
      <c r="BE30" s="281">
        <f t="shared" si="20"/>
        <v>0.520337683579284</v>
      </c>
      <c r="BF30" s="281">
        <f t="shared" si="9"/>
        <v>0.520337683579284</v>
      </c>
      <c r="BG30" s="281">
        <f t="shared" si="22"/>
        <v>0.51266465618228851</v>
      </c>
      <c r="BH30" s="281">
        <f t="shared" si="22"/>
        <v>0.51266465618228851</v>
      </c>
      <c r="BK30" s="344">
        <v>1.9795383647953836E-2</v>
      </c>
      <c r="BL30" s="344">
        <v>1.3674265551055274E-2</v>
      </c>
      <c r="BM30" s="341">
        <f t="shared" si="10"/>
        <v>1.3674265551055274E-2</v>
      </c>
      <c r="BN30" s="341">
        <f t="shared" si="23"/>
        <v>1.9795383647953836E-2</v>
      </c>
      <c r="BO30" s="341">
        <f t="shared" si="23"/>
        <v>1.9795383647953836E-2</v>
      </c>
      <c r="BQ30" s="47"/>
      <c r="BR30" s="634"/>
    </row>
    <row r="31" spans="4:70" ht="15.75" thickBot="1" x14ac:dyDescent="0.35">
      <c r="D31" s="342">
        <v>0.26</v>
      </c>
      <c r="E31">
        <v>19750</v>
      </c>
      <c r="F31" s="342">
        <f t="shared" si="14"/>
        <v>0.182</v>
      </c>
      <c r="G31">
        <f t="shared" si="11"/>
        <v>0.20089294237938993</v>
      </c>
      <c r="H31">
        <f t="shared" si="15"/>
        <v>0.51826508227189316</v>
      </c>
      <c r="I31">
        <f t="shared" si="16"/>
        <v>0.51826508227189316</v>
      </c>
      <c r="J31" s="44">
        <f t="shared" si="12"/>
        <v>0.97244890996647404</v>
      </c>
      <c r="K31" s="342">
        <v>1</v>
      </c>
      <c r="L31" s="342">
        <v>1.2808235066576672</v>
      </c>
      <c r="M31" s="342">
        <v>1.5344657751375985</v>
      </c>
      <c r="N31" s="342">
        <v>1.8090931986745831</v>
      </c>
      <c r="O31" s="342">
        <v>2.1084939698830309</v>
      </c>
      <c r="P31" s="342">
        <v>2.4375847259644647</v>
      </c>
      <c r="Q31" s="342">
        <v>2.748194078819016</v>
      </c>
      <c r="R31" s="47">
        <f t="shared" si="25"/>
        <v>0.81800000000000006</v>
      </c>
      <c r="S31" s="47">
        <f t="shared" si="25"/>
        <v>0.7499675981160534</v>
      </c>
      <c r="T31" s="47">
        <f t="shared" si="25"/>
        <v>0.70116678715142122</v>
      </c>
      <c r="U31" s="47">
        <f t="shared" si="25"/>
        <v>0.66226512525640846</v>
      </c>
      <c r="V31" s="47">
        <f t="shared" si="25"/>
        <v>0.62963719779538707</v>
      </c>
      <c r="W31" s="47">
        <f t="shared" si="25"/>
        <v>0.60142351297423147</v>
      </c>
      <c r="X31" s="47">
        <f t="shared" si="25"/>
        <v>0.57652093105327673</v>
      </c>
      <c r="Y31" s="47">
        <f t="shared" si="25"/>
        <v>0.55421230225293461</v>
      </c>
      <c r="Z31" s="47">
        <f t="shared" si="25"/>
        <v>0.53400091404747241</v>
      </c>
      <c r="AA31" s="47">
        <f t="shared" si="25"/>
        <v>0.51552630962836288</v>
      </c>
      <c r="AB31" s="47">
        <f t="shared" si="25"/>
        <v>0.49851736858001672</v>
      </c>
      <c r="AC31" s="47">
        <f t="shared" si="25"/>
        <v>0.48276428593461329</v>
      </c>
      <c r="AD31" s="47">
        <f t="shared" si="25"/>
        <v>0.46810090842766794</v>
      </c>
      <c r="AE31" s="47">
        <f t="shared" si="25"/>
        <v>0.45439310440583336</v>
      </c>
      <c r="AF31" s="47">
        <f t="shared" si="25"/>
        <v>0.44153082692811807</v>
      </c>
      <c r="AG31" s="47">
        <f t="shared" si="25"/>
        <v>0.42942253196661417</v>
      </c>
      <c r="AH31" s="47">
        <f t="shared" si="24"/>
        <v>0.41799115113560986</v>
      </c>
      <c r="AI31" s="47">
        <f t="shared" si="24"/>
        <v>0.40717112121616877</v>
      </c>
      <c r="AJ31" s="47">
        <f t="shared" si="24"/>
        <v>0.39690615066145857</v>
      </c>
      <c r="AK31" s="47">
        <f t="shared" si="24"/>
        <v>0.38714751163110722</v>
      </c>
      <c r="AL31" s="47"/>
      <c r="AM31" s="47"/>
      <c r="AN31" s="47"/>
      <c r="AO31" s="47"/>
      <c r="AP31" s="47"/>
      <c r="AQ31" s="47"/>
      <c r="AR31" s="47"/>
      <c r="AS31" s="47"/>
      <c r="AT31" s="47"/>
      <c r="AU31" s="283">
        <v>28</v>
      </c>
      <c r="AV31" s="350">
        <v>23000</v>
      </c>
      <c r="AW31" s="354">
        <f t="shared" si="5"/>
        <v>0.185</v>
      </c>
      <c r="AX31" s="280">
        <f t="shared" si="19"/>
        <v>0.21899999999999997</v>
      </c>
      <c r="AY31" s="280">
        <f t="shared" si="7"/>
        <v>0.21899999999999997</v>
      </c>
      <c r="AZ31" s="280">
        <f t="shared" si="21"/>
        <v>0.185</v>
      </c>
      <c r="BA31" s="356">
        <f t="shared" si="21"/>
        <v>0.185</v>
      </c>
      <c r="BD31" s="281">
        <f t="shared" si="8"/>
        <v>0.51047524366185126</v>
      </c>
      <c r="BE31" s="281">
        <f t="shared" si="20"/>
        <v>0.51703985909655015</v>
      </c>
      <c r="BF31" s="281">
        <f t="shared" si="9"/>
        <v>0.51703985909655015</v>
      </c>
      <c r="BG31" s="281">
        <f t="shared" si="22"/>
        <v>0.51047524366185126</v>
      </c>
      <c r="BH31" s="281">
        <f t="shared" si="22"/>
        <v>0.51047524366185126</v>
      </c>
      <c r="BK31" s="344">
        <v>1.9317772686359539E-2</v>
      </c>
      <c r="BL31" s="344">
        <v>1.3718677221502081E-2</v>
      </c>
      <c r="BM31" s="341">
        <f t="shared" si="10"/>
        <v>1.3718677221502081E-2</v>
      </c>
      <c r="BN31" s="341">
        <f t="shared" si="23"/>
        <v>1.9317772686359539E-2</v>
      </c>
      <c r="BO31" s="341">
        <f t="shared" si="23"/>
        <v>1.9317772686359539E-2</v>
      </c>
      <c r="BQ31" s="47"/>
      <c r="BR31" s="634"/>
    </row>
    <row r="32" spans="4:70" ht="15.75" thickBot="1" x14ac:dyDescent="0.35">
      <c r="D32" s="342">
        <v>0.26</v>
      </c>
      <c r="E32">
        <v>20500</v>
      </c>
      <c r="F32" s="342">
        <f t="shared" si="14"/>
        <v>0.182</v>
      </c>
      <c r="G32">
        <f t="shared" si="11"/>
        <v>0.20089294237938993</v>
      </c>
      <c r="H32">
        <f t="shared" si="15"/>
        <v>0.51724294160593021</v>
      </c>
      <c r="I32">
        <f t="shared" si="16"/>
        <v>0.51724294160593021</v>
      </c>
      <c r="J32" s="44">
        <f t="shared" si="12"/>
        <v>0.97306604973695654</v>
      </c>
      <c r="K32" s="342">
        <v>1</v>
      </c>
      <c r="L32" s="342">
        <v>1.2808235066576672</v>
      </c>
      <c r="M32" s="342">
        <v>1.5344657751375985</v>
      </c>
      <c r="N32" s="342">
        <v>1.8090931986745831</v>
      </c>
      <c r="O32" s="342">
        <v>2.1084939698830309</v>
      </c>
      <c r="P32" s="342">
        <v>2.4375847259644647</v>
      </c>
      <c r="Q32" s="342">
        <v>2.7373585077409888</v>
      </c>
      <c r="R32" s="47">
        <f t="shared" si="25"/>
        <v>0.81800000000000006</v>
      </c>
      <c r="S32" s="47">
        <f t="shared" si="25"/>
        <v>0.75012044164491254</v>
      </c>
      <c r="T32" s="47">
        <f t="shared" si="25"/>
        <v>0.70144620820312142</v>
      </c>
      <c r="U32" s="47">
        <f t="shared" si="25"/>
        <v>0.66265167769353717</v>
      </c>
      <c r="V32" s="47">
        <f t="shared" si="25"/>
        <v>0.63011615824700329</v>
      </c>
      <c r="W32" s="47">
        <f t="shared" si="25"/>
        <v>0.60198330729626703</v>
      </c>
      <c r="X32" s="47">
        <f t="shared" si="25"/>
        <v>0.57715218460621742</v>
      </c>
      <c r="Y32" s="47">
        <f t="shared" si="25"/>
        <v>0.55490724482140852</v>
      </c>
      <c r="Z32" s="47">
        <f t="shared" si="25"/>
        <v>0.53475298777892299</v>
      </c>
      <c r="AA32" s="47">
        <f t="shared" si="25"/>
        <v>0.51632989911435012</v>
      </c>
      <c r="AB32" s="47">
        <f t="shared" si="25"/>
        <v>0.49936760810736702</v>
      </c>
      <c r="AC32" s="47">
        <f t="shared" si="25"/>
        <v>0.48365691760675711</v>
      </c>
      <c r="AD32" s="47">
        <f t="shared" si="25"/>
        <v>0.46903217504878236</v>
      </c>
      <c r="AE32" s="47">
        <f t="shared" si="25"/>
        <v>0.45535966685752077</v>
      </c>
      <c r="AF32" s="47">
        <f t="shared" si="25"/>
        <v>0.44252969925896091</v>
      </c>
      <c r="AG32" s="47">
        <f t="shared" si="25"/>
        <v>0.4304510295830305</v>
      </c>
      <c r="AH32" s="47">
        <f t="shared" si="24"/>
        <v>0.41904684887444843</v>
      </c>
      <c r="AI32" s="47">
        <f t="shared" si="24"/>
        <v>0.40825181899953805</v>
      </c>
      <c r="AJ32" s="47">
        <f t="shared" si="24"/>
        <v>0.39800984505813075</v>
      </c>
      <c r="AK32" s="47">
        <f t="shared" si="24"/>
        <v>0.38827237208152038</v>
      </c>
      <c r="AL32" s="47"/>
      <c r="AM32" s="47"/>
      <c r="AN32" s="47"/>
      <c r="AO32" s="47"/>
      <c r="AP32" s="47"/>
      <c r="AQ32" s="47"/>
      <c r="AR32" s="47"/>
      <c r="AS32" s="47"/>
      <c r="AT32" s="47"/>
      <c r="AU32" s="283">
        <v>29</v>
      </c>
      <c r="AV32" s="350">
        <v>24000</v>
      </c>
      <c r="AW32" s="354">
        <f t="shared" si="5"/>
        <v>0.18700000000000003</v>
      </c>
      <c r="AX32" s="280">
        <f t="shared" si="19"/>
        <v>0.22000000000000003</v>
      </c>
      <c r="AY32" s="280">
        <f t="shared" si="7"/>
        <v>0.22000000000000003</v>
      </c>
      <c r="AZ32" s="280">
        <f t="shared" si="21"/>
        <v>0.18700000000000003</v>
      </c>
      <c r="BA32" s="356">
        <f t="shared" si="21"/>
        <v>0.18700000000000003</v>
      </c>
      <c r="BD32" s="281">
        <f t="shared" si="8"/>
        <v>0.50617462895304088</v>
      </c>
      <c r="BE32" s="281">
        <f t="shared" si="20"/>
        <v>0.51375255596453462</v>
      </c>
      <c r="BF32" s="281">
        <f t="shared" si="9"/>
        <v>0.51375255596453462</v>
      </c>
      <c r="BG32" s="281">
        <f t="shared" si="22"/>
        <v>0.50617462895304088</v>
      </c>
      <c r="BH32" s="281">
        <f t="shared" si="22"/>
        <v>0.50617462895304088</v>
      </c>
      <c r="BK32" s="344">
        <v>1.9324273890803708E-2</v>
      </c>
      <c r="BL32" s="344">
        <v>1.3629599007854487E-2</v>
      </c>
      <c r="BM32" s="341">
        <f t="shared" si="10"/>
        <v>1.3629599007854487E-2</v>
      </c>
      <c r="BN32" s="341">
        <f t="shared" si="23"/>
        <v>1.9324273890803708E-2</v>
      </c>
      <c r="BO32" s="341">
        <f t="shared" si="23"/>
        <v>1.9324273890803708E-2</v>
      </c>
      <c r="BQ32" s="47"/>
      <c r="BR32" s="634"/>
    </row>
    <row r="33" spans="4:70" ht="15.75" thickBot="1" x14ac:dyDescent="0.35">
      <c r="D33" s="342">
        <v>0.26142857142857145</v>
      </c>
      <c r="E33">
        <v>21500</v>
      </c>
      <c r="F33" s="342">
        <f t="shared" si="14"/>
        <v>0.183</v>
      </c>
      <c r="G33">
        <f t="shared" si="11"/>
        <v>0.20211618412213422</v>
      </c>
      <c r="H33">
        <f t="shared" si="15"/>
        <v>0.51493952039477164</v>
      </c>
      <c r="I33">
        <f t="shared" si="16"/>
        <v>0.51493952039477164</v>
      </c>
      <c r="J33" s="44">
        <f t="shared" si="12"/>
        <v>0.97349142375226572</v>
      </c>
      <c r="K33" s="342">
        <v>1</v>
      </c>
      <c r="L33" s="342">
        <v>1.2795960285708927</v>
      </c>
      <c r="M33" s="342">
        <v>1.5321723172819066</v>
      </c>
      <c r="N33" s="342">
        <v>1.8056951340961702</v>
      </c>
      <c r="O33" s="342">
        <v>2.1039554921017669</v>
      </c>
      <c r="P33" s="342">
        <v>2.4318769102583673</v>
      </c>
      <c r="Q33" s="342">
        <v>2.7199032951276907</v>
      </c>
      <c r="R33" s="47">
        <f t="shared" si="25"/>
        <v>0.81699999999999995</v>
      </c>
      <c r="S33" s="47">
        <f t="shared" si="25"/>
        <v>0.74915398054537263</v>
      </c>
      <c r="T33" s="47">
        <f t="shared" si="25"/>
        <v>0.70056466229956837</v>
      </c>
      <c r="U33" s="47">
        <f t="shared" si="25"/>
        <v>0.66186640600740498</v>
      </c>
      <c r="V33" s="47">
        <f t="shared" si="25"/>
        <v>0.62942794030626892</v>
      </c>
      <c r="W33" s="47">
        <f t="shared" si="25"/>
        <v>0.60138927716168111</v>
      </c>
      <c r="X33" s="47">
        <f t="shared" si="25"/>
        <v>0.57664814313407287</v>
      </c>
      <c r="Y33" s="47">
        <f t="shared" si="25"/>
        <v>0.55448857289504372</v>
      </c>
      <c r="Z33" s="47">
        <f t="shared" si="25"/>
        <v>0.53441504001682283</v>
      </c>
      <c r="AA33" s="47">
        <f t="shared" si="25"/>
        <v>0.51606817880981093</v>
      </c>
      <c r="AB33" s="47">
        <f t="shared" si="25"/>
        <v>0.49917784226908524</v>
      </c>
      <c r="AC33" s="47">
        <f t="shared" si="25"/>
        <v>0.48353508403642786</v>
      </c>
      <c r="AD33" s="47">
        <f t="shared" si="25"/>
        <v>0.46897450583777667</v>
      </c>
      <c r="AE33" s="47">
        <f t="shared" si="25"/>
        <v>0.45536264035470531</v>
      </c>
      <c r="AF33" s="47">
        <f t="shared" si="25"/>
        <v>0.44259002668131603</v>
      </c>
      <c r="AG33" s="47">
        <f t="shared" si="25"/>
        <v>0.43056563949508381</v>
      </c>
      <c r="AH33" s="47">
        <f t="shared" si="24"/>
        <v>0.41921287123056333</v>
      </c>
      <c r="AI33" s="47">
        <f t="shared" si="24"/>
        <v>0.4084665696240104</v>
      </c>
      <c r="AJ33" s="47">
        <f t="shared" si="24"/>
        <v>0.39827081099202893</v>
      </c>
      <c r="AK33" s="47">
        <f t="shared" si="24"/>
        <v>0.38857719798024526</v>
      </c>
      <c r="AL33" s="47"/>
      <c r="AM33" s="47"/>
      <c r="AN33" s="47"/>
      <c r="AO33" s="47"/>
      <c r="AP33" s="47"/>
      <c r="AQ33" s="47"/>
      <c r="AR33" s="47"/>
      <c r="AS33" s="47"/>
      <c r="AT33" s="47"/>
      <c r="AU33" s="283">
        <v>30</v>
      </c>
      <c r="AV33" s="350">
        <v>25000</v>
      </c>
      <c r="AW33" s="354">
        <f t="shared" si="5"/>
        <v>0.189</v>
      </c>
      <c r="AX33" s="280">
        <f t="shared" si="19"/>
        <v>0.221</v>
      </c>
      <c r="AY33" s="280">
        <f t="shared" si="7"/>
        <v>0.221</v>
      </c>
      <c r="AZ33" s="280">
        <f t="shared" si="21"/>
        <v>0.189</v>
      </c>
      <c r="BA33" s="356">
        <f t="shared" si="21"/>
        <v>0.189</v>
      </c>
      <c r="BD33" s="281">
        <f t="shared" si="8"/>
        <v>0.50284783310563719</v>
      </c>
      <c r="BE33" s="281">
        <f t="shared" si="20"/>
        <v>0.51047566878885964</v>
      </c>
      <c r="BF33" s="281">
        <f t="shared" si="9"/>
        <v>0.51047566878885964</v>
      </c>
      <c r="BG33" s="281">
        <f t="shared" si="22"/>
        <v>0.50284783310563719</v>
      </c>
      <c r="BH33" s="281">
        <f t="shared" si="22"/>
        <v>0.50284783310563719</v>
      </c>
      <c r="BK33" s="344">
        <v>1.9324273890803708E-2</v>
      </c>
      <c r="BL33" s="344">
        <v>1.3629599007854487E-2</v>
      </c>
      <c r="BM33" s="341">
        <f t="shared" si="10"/>
        <v>1.3629599007854487E-2</v>
      </c>
      <c r="BN33" s="341">
        <f t="shared" si="23"/>
        <v>1.9324273890803708E-2</v>
      </c>
      <c r="BO33" s="341">
        <f t="shared" si="23"/>
        <v>1.9324273890803708E-2</v>
      </c>
      <c r="BQ33" s="47"/>
      <c r="BR33" s="634"/>
    </row>
    <row r="34" spans="4:70" ht="15.75" thickBot="1" x14ac:dyDescent="0.35">
      <c r="D34" s="342">
        <v>0.26285714285714284</v>
      </c>
      <c r="E34">
        <v>22500</v>
      </c>
      <c r="F34" s="342">
        <f t="shared" si="14"/>
        <v>0.18399999999999997</v>
      </c>
      <c r="G34">
        <f t="shared" si="11"/>
        <v>0.20334092401802997</v>
      </c>
      <c r="H34">
        <f t="shared" si="15"/>
        <v>0.51266465618228851</v>
      </c>
      <c r="I34">
        <f t="shared" si="16"/>
        <v>0.51266465618228851</v>
      </c>
      <c r="J34" s="44">
        <f t="shared" si="12"/>
        <v>0.97374364675930758</v>
      </c>
      <c r="K34" s="342">
        <v>1</v>
      </c>
      <c r="L34" s="342">
        <v>1.2853079272234627</v>
      </c>
      <c r="M34" s="342">
        <v>1.5299060919888035</v>
      </c>
      <c r="N34" s="342">
        <v>1.80233801201843</v>
      </c>
      <c r="O34" s="342">
        <v>2.0994727245471743</v>
      </c>
      <c r="P34" s="342">
        <v>2.426240880905782</v>
      </c>
      <c r="Q34" s="342">
        <v>2.713334254768021</v>
      </c>
      <c r="R34" s="47">
        <f t="shared" si="25"/>
        <v>0.81600000000000006</v>
      </c>
      <c r="S34" s="47">
        <f t="shared" si="25"/>
        <v>0.74818649438594198</v>
      </c>
      <c r="T34" s="47">
        <f t="shared" si="25"/>
        <v>0.69968057640816994</v>
      </c>
      <c r="U34" s="47">
        <f t="shared" si="25"/>
        <v>0.66107698070861609</v>
      </c>
      <c r="V34" s="47">
        <f t="shared" si="25"/>
        <v>0.62873397618043458</v>
      </c>
      <c r="W34" s="47">
        <f t="shared" si="25"/>
        <v>0.60078797391267524</v>
      </c>
      <c r="X34" s="47">
        <f t="shared" si="25"/>
        <v>0.57613538411839915</v>
      </c>
      <c r="Y34" s="47">
        <f t="shared" si="25"/>
        <v>0.55405982654286756</v>
      </c>
      <c r="Z34" s="47">
        <f t="shared" si="25"/>
        <v>0.53406574812556107</v>
      </c>
      <c r="AA34" s="47">
        <f t="shared" si="25"/>
        <v>0.51579392894318932</v>
      </c>
      <c r="AB34" s="47">
        <f t="shared" si="25"/>
        <v>0.49897444164666616</v>
      </c>
      <c r="AC34" s="47">
        <f t="shared" si="25"/>
        <v>0.48339858616393522</v>
      </c>
      <c r="AD34" s="47">
        <f t="shared" si="25"/>
        <v>0.4689012139216332</v>
      </c>
      <c r="AE34" s="47">
        <f t="shared" si="25"/>
        <v>0.45534909937725332</v>
      </c>
      <c r="AF34" s="47">
        <f t="shared" si="25"/>
        <v>0.44263301021410967</v>
      </c>
      <c r="AG34" s="47">
        <f t="shared" si="25"/>
        <v>0.43066213442451878</v>
      </c>
      <c r="AH34" s="47">
        <f t="shared" si="24"/>
        <v>0.41936006206117449</v>
      </c>
      <c r="AI34" s="47">
        <f t="shared" si="24"/>
        <v>0.40866182321854266</v>
      </c>
      <c r="AJ34" s="47">
        <f t="shared" si="24"/>
        <v>0.3985116621686749</v>
      </c>
      <c r="AK34" s="47">
        <f t="shared" si="24"/>
        <v>0.38886133614670976</v>
      </c>
      <c r="AL34" s="47"/>
      <c r="AM34" s="47"/>
      <c r="AN34" s="47"/>
      <c r="AO34" s="47"/>
      <c r="AP34" s="47"/>
      <c r="AQ34" s="47"/>
      <c r="AR34" s="47"/>
      <c r="AS34" s="47"/>
      <c r="AT34" s="47"/>
      <c r="AU34" s="283">
        <v>31</v>
      </c>
      <c r="AV34" s="350">
        <v>26000</v>
      </c>
      <c r="AW34" s="354">
        <f t="shared" si="5"/>
        <v>0.192</v>
      </c>
      <c r="AX34" s="280">
        <f t="shared" si="19"/>
        <v>0.222</v>
      </c>
      <c r="AY34" s="280">
        <f t="shared" si="7"/>
        <v>0.222</v>
      </c>
      <c r="AZ34" s="280">
        <f t="shared" si="21"/>
        <v>0.192</v>
      </c>
      <c r="BA34" s="356">
        <f t="shared" si="21"/>
        <v>0.192</v>
      </c>
      <c r="BD34" s="281">
        <f t="shared" si="8"/>
        <v>0.49574775085823108</v>
      </c>
      <c r="BE34" s="281">
        <f t="shared" si="20"/>
        <v>0.50720909347158905</v>
      </c>
      <c r="BF34" s="281">
        <f t="shared" si="9"/>
        <v>0.50720909347158905</v>
      </c>
      <c r="BG34" s="281">
        <f t="shared" si="22"/>
        <v>0.49574775085823108</v>
      </c>
      <c r="BH34" s="281">
        <f t="shared" si="22"/>
        <v>0.49574775085823108</v>
      </c>
      <c r="BK34" s="344">
        <v>1.8954011680237786E-2</v>
      </c>
      <c r="BL34" s="344">
        <v>1.3126112141134266E-2</v>
      </c>
      <c r="BM34" s="341">
        <f t="shared" si="10"/>
        <v>1.3126112141134266E-2</v>
      </c>
      <c r="BN34" s="341">
        <f t="shared" si="23"/>
        <v>1.8954011680237786E-2</v>
      </c>
      <c r="BO34" s="341">
        <f t="shared" si="23"/>
        <v>1.8954011680237786E-2</v>
      </c>
      <c r="BQ34" s="47"/>
      <c r="BR34" s="634"/>
    </row>
    <row r="35" spans="4:70" ht="15.75" thickBot="1" x14ac:dyDescent="0.35">
      <c r="D35" s="342">
        <v>0.26428571428571429</v>
      </c>
      <c r="E35">
        <v>23500</v>
      </c>
      <c r="F35" s="342">
        <f t="shared" si="14"/>
        <v>0.185</v>
      </c>
      <c r="G35">
        <f t="shared" si="11"/>
        <v>0.2045671657412744</v>
      </c>
      <c r="H35">
        <f t="shared" si="15"/>
        <v>0.51047524366185126</v>
      </c>
      <c r="I35">
        <f t="shared" si="16"/>
        <v>0.51047524366185126</v>
      </c>
      <c r="J35" s="44">
        <f t="shared" si="12"/>
        <v>0.97542328875425355</v>
      </c>
      <c r="K35" s="342">
        <v>1</v>
      </c>
      <c r="L35" s="342">
        <v>1.2909902162732918</v>
      </c>
      <c r="M35" s="342">
        <v>1.5351140978891789</v>
      </c>
      <c r="N35" s="342">
        <v>1.8071162233266027</v>
      </c>
      <c r="O35" s="342">
        <v>2.0950448069309706</v>
      </c>
      <c r="P35" s="342">
        <v>2.4206755450916715</v>
      </c>
      <c r="Q35" s="342">
        <v>2.7068497673135008</v>
      </c>
      <c r="R35" s="47">
        <f t="shared" si="25"/>
        <v>0.81499999999999995</v>
      </c>
      <c r="S35" s="47">
        <f t="shared" si="25"/>
        <v>0.74720934084242685</v>
      </c>
      <c r="T35" s="47">
        <f t="shared" si="25"/>
        <v>0.69877821030816589</v>
      </c>
      <c r="U35" s="47">
        <f t="shared" si="25"/>
        <v>0.66026168129997531</v>
      </c>
      <c r="V35" s="47">
        <f t="shared" si="25"/>
        <v>0.62800740177931569</v>
      </c>
      <c r="W35" s="47">
        <f t="shared" si="25"/>
        <v>0.60014804271489908</v>
      </c>
      <c r="X35" s="47">
        <f t="shared" si="25"/>
        <v>0.57557858787733518</v>
      </c>
      <c r="Y35" s="47">
        <f t="shared" si="25"/>
        <v>0.55358215526797194</v>
      </c>
      <c r="Z35" s="47">
        <f t="shared" si="25"/>
        <v>0.53366309583996463</v>
      </c>
      <c r="AA35" s="47">
        <f t="shared" si="25"/>
        <v>0.51546227917190357</v>
      </c>
      <c r="AB35" s="47">
        <f t="shared" si="25"/>
        <v>0.49870995124789025</v>
      </c>
      <c r="AC35" s="47">
        <f t="shared" si="25"/>
        <v>0.48319761963578134</v>
      </c>
      <c r="AD35" s="47">
        <f t="shared" si="25"/>
        <v>0.46876035284105833</v>
      </c>
      <c r="AE35" s="47">
        <f t="shared" si="25"/>
        <v>0.45526513927500806</v>
      </c>
      <c r="AF35" s="47">
        <f t="shared" si="25"/>
        <v>0.44260295126463872</v>
      </c>
      <c r="AG35" s="47">
        <f t="shared" si="25"/>
        <v>0.43068316934128364</v>
      </c>
      <c r="AH35" s="47">
        <f t="shared" si="24"/>
        <v>0.41942956302033418</v>
      </c>
      <c r="AI35" s="47">
        <f t="shared" si="24"/>
        <v>0.4087773287868271</v>
      </c>
      <c r="AJ35" s="47">
        <f t="shared" si="24"/>
        <v>0.39867086474360797</v>
      </c>
      <c r="AK35" s="47">
        <f t="shared" si="24"/>
        <v>0.38906207015574179</v>
      </c>
      <c r="AL35" s="47"/>
      <c r="AM35" s="47"/>
      <c r="AN35" s="47"/>
      <c r="AO35" s="47"/>
      <c r="AP35" s="47"/>
      <c r="AQ35" s="47"/>
      <c r="AR35" s="47"/>
      <c r="AS35" s="47"/>
      <c r="AT35" s="47"/>
      <c r="AU35" s="283">
        <v>32</v>
      </c>
      <c r="AV35" s="350">
        <v>27000</v>
      </c>
      <c r="AW35" s="354">
        <f t="shared" si="5"/>
        <v>0.19600000000000001</v>
      </c>
      <c r="AX35" s="280">
        <f t="shared" si="19"/>
        <v>0.22299999999999998</v>
      </c>
      <c r="AY35" s="280">
        <f t="shared" si="7"/>
        <v>0.22299999999999998</v>
      </c>
      <c r="AZ35" s="280">
        <f t="shared" si="21"/>
        <v>0.19600000000000001</v>
      </c>
      <c r="BA35" s="356">
        <f t="shared" si="21"/>
        <v>0.19600000000000001</v>
      </c>
      <c r="BD35" s="281">
        <f t="shared" si="8"/>
        <v>0.48846945277871945</v>
      </c>
      <c r="BE35" s="281">
        <f t="shared" si="20"/>
        <v>0.50550757715942007</v>
      </c>
      <c r="BF35" s="281">
        <f t="shared" si="9"/>
        <v>0.50550757715942007</v>
      </c>
      <c r="BG35" s="281">
        <f t="shared" si="22"/>
        <v>0.48846945277871945</v>
      </c>
      <c r="BH35" s="281">
        <f t="shared" si="22"/>
        <v>0.48846945277871945</v>
      </c>
      <c r="BK35" s="344">
        <v>1.8722147214721478E-2</v>
      </c>
      <c r="BL35" s="344">
        <v>1.2492168670030147E-2</v>
      </c>
      <c r="BM35" s="341">
        <f t="shared" si="10"/>
        <v>1.2492168670030147E-2</v>
      </c>
      <c r="BN35" s="341">
        <f t="shared" si="23"/>
        <v>1.8722147214721478E-2</v>
      </c>
      <c r="BO35" s="341">
        <f t="shared" si="23"/>
        <v>1.8722147214721478E-2</v>
      </c>
      <c r="BQ35" s="47"/>
      <c r="BR35" s="634"/>
    </row>
    <row r="36" spans="4:70" ht="15.75" thickBot="1" x14ac:dyDescent="0.35">
      <c r="D36" s="342">
        <v>0.26714285714285718</v>
      </c>
      <c r="E36">
        <v>24500</v>
      </c>
      <c r="F36" s="342">
        <f t="shared" si="14"/>
        <v>0.18700000000000003</v>
      </c>
      <c r="G36">
        <f t="shared" si="11"/>
        <v>0.20702416943432653</v>
      </c>
      <c r="H36">
        <f t="shared" si="15"/>
        <v>0.50617462895304088</v>
      </c>
      <c r="I36">
        <f t="shared" si="16"/>
        <v>0.50617462895304088</v>
      </c>
      <c r="J36" s="44">
        <f t="shared" si="12"/>
        <v>0.97597421596244371</v>
      </c>
      <c r="K36" s="342">
        <v>1</v>
      </c>
      <c r="L36" s="342">
        <v>1.2885192448836165</v>
      </c>
      <c r="M36" s="342">
        <v>1.5306545415404786</v>
      </c>
      <c r="N36" s="342">
        <v>1.8005395873294763</v>
      </c>
      <c r="O36" s="342">
        <v>2.0863501743741413</v>
      </c>
      <c r="P36" s="342">
        <v>2.4000469440856471</v>
      </c>
      <c r="Q36" s="342">
        <v>2.6835282655632486</v>
      </c>
      <c r="R36" s="47">
        <f t="shared" si="25"/>
        <v>0.81299999999999994</v>
      </c>
      <c r="S36" s="47">
        <f t="shared" si="25"/>
        <v>0.74525254240204808</v>
      </c>
      <c r="T36" s="47">
        <f t="shared" si="25"/>
        <v>0.69696710817011309</v>
      </c>
      <c r="U36" s="47">
        <f t="shared" si="25"/>
        <v>0.65862052550413286</v>
      </c>
      <c r="V36" s="47">
        <f t="shared" si="25"/>
        <v>0.62653953440220944</v>
      </c>
      <c r="W36" s="47">
        <f t="shared" si="25"/>
        <v>0.59884945236368825</v>
      </c>
      <c r="X36" s="47">
        <f t="shared" si="25"/>
        <v>0.57444246015091605</v>
      </c>
      <c r="Y36" s="47">
        <f t="shared" si="25"/>
        <v>0.55260068911763738</v>
      </c>
      <c r="Z36" s="47">
        <f t="shared" si="25"/>
        <v>0.53282829973570178</v>
      </c>
      <c r="AA36" s="47">
        <f t="shared" si="25"/>
        <v>0.51476633472003919</v>
      </c>
      <c r="AB36" s="47">
        <f t="shared" si="25"/>
        <v>0.49814537738601133</v>
      </c>
      <c r="AC36" s="47">
        <f t="shared" si="25"/>
        <v>0.48275733976879959</v>
      </c>
      <c r="AD36" s="47">
        <f t="shared" si="25"/>
        <v>0.4684377132888895</v>
      </c>
      <c r="AE36" s="47">
        <f t="shared" si="25"/>
        <v>0.45505390314755301</v>
      </c>
      <c r="AF36" s="47">
        <f t="shared" si="25"/>
        <v>0.44249728025578905</v>
      </c>
      <c r="AG36" s="47">
        <f t="shared" si="25"/>
        <v>0.43067760007527139</v>
      </c>
      <c r="AH36" s="47">
        <f t="shared" si="24"/>
        <v>0.41951898151326106</v>
      </c>
      <c r="AI36" s="47">
        <f t="shared" si="24"/>
        <v>0.40895694492825457</v>
      </c>
      <c r="AJ36" s="47">
        <f t="shared" si="24"/>
        <v>0.3989361877885258</v>
      </c>
      <c r="AK36" s="47">
        <f t="shared" si="24"/>
        <v>0.38940888570615967</v>
      </c>
      <c r="AL36" s="47"/>
      <c r="AM36" s="47"/>
      <c r="AN36" s="47"/>
      <c r="AO36" s="47"/>
      <c r="AP36" s="47"/>
      <c r="AQ36" s="47"/>
      <c r="AR36" s="47"/>
      <c r="AS36" s="47"/>
      <c r="AT36" s="47"/>
      <c r="AU36" s="283">
        <v>33</v>
      </c>
      <c r="AV36" s="350">
        <v>28000</v>
      </c>
      <c r="AW36" s="354">
        <f t="shared" si="5"/>
        <v>0.19900000000000001</v>
      </c>
      <c r="AX36" s="280">
        <f t="shared" si="19"/>
        <v>0.22500000000000001</v>
      </c>
      <c r="AY36" s="280">
        <f t="shared" si="7"/>
        <v>0.22500000000000001</v>
      </c>
      <c r="AZ36" s="280">
        <f t="shared" si="21"/>
        <v>0.19900000000000001</v>
      </c>
      <c r="BA36" s="356">
        <f t="shared" si="21"/>
        <v>0.19900000000000001</v>
      </c>
      <c r="BD36" s="281">
        <f t="shared" si="8"/>
        <v>0.48391402953181673</v>
      </c>
      <c r="BE36" s="281">
        <f t="shared" si="20"/>
        <v>0.5015268278292494</v>
      </c>
      <c r="BF36" s="281">
        <f t="shared" si="9"/>
        <v>0.5015268278292494</v>
      </c>
      <c r="BG36" s="281">
        <f t="shared" si="22"/>
        <v>0.48391402953181673</v>
      </c>
      <c r="BH36" s="281">
        <f t="shared" si="22"/>
        <v>0.48391402953181673</v>
      </c>
      <c r="BK36" s="344">
        <v>1.8432837964647526E-2</v>
      </c>
      <c r="BL36" s="344">
        <v>1.2309409220896978E-2</v>
      </c>
      <c r="BM36" s="341">
        <f t="shared" si="10"/>
        <v>1.2309409220896978E-2</v>
      </c>
      <c r="BN36" s="341">
        <f t="shared" si="23"/>
        <v>1.8432837964647526E-2</v>
      </c>
      <c r="BO36" s="341">
        <f t="shared" si="23"/>
        <v>1.8432837964647526E-2</v>
      </c>
      <c r="BQ36" s="47"/>
      <c r="BR36" s="634"/>
    </row>
    <row r="37" spans="4:70" ht="15.75" thickBot="1" x14ac:dyDescent="0.35">
      <c r="D37" s="342">
        <v>0.27</v>
      </c>
      <c r="E37">
        <v>25500</v>
      </c>
      <c r="F37" s="342">
        <f t="shared" si="14"/>
        <v>0.189</v>
      </c>
      <c r="G37">
        <f t="shared" si="11"/>
        <v>0.20948722486672419</v>
      </c>
      <c r="H37">
        <f t="shared" si="15"/>
        <v>0.50284783310563719</v>
      </c>
      <c r="I37">
        <f t="shared" si="16"/>
        <v>0.50284783310563719</v>
      </c>
      <c r="J37" s="44">
        <f t="shared" si="12"/>
        <v>0.97742486204066248</v>
      </c>
      <c r="K37" s="342">
        <v>1</v>
      </c>
      <c r="L37" s="342">
        <v>1.2929164561096032</v>
      </c>
      <c r="M37" s="342">
        <v>1.5336455927017598</v>
      </c>
      <c r="N37" s="342">
        <v>1.8021121415638106</v>
      </c>
      <c r="O37" s="342">
        <v>2.0778650812820048</v>
      </c>
      <c r="P37" s="342">
        <v>2.3894566452311885</v>
      </c>
      <c r="Q37" s="342">
        <v>2.6711935688650432</v>
      </c>
      <c r="R37" s="47">
        <f t="shared" si="25"/>
        <v>0.81099999999999994</v>
      </c>
      <c r="S37" s="47">
        <f t="shared" si="25"/>
        <v>0.74315914919618964</v>
      </c>
      <c r="T37" s="47">
        <f t="shared" si="25"/>
        <v>0.69490543516126391</v>
      </c>
      <c r="U37" s="47">
        <f t="shared" si="25"/>
        <v>0.65663182675657472</v>
      </c>
      <c r="V37" s="47">
        <f t="shared" si="25"/>
        <v>0.6246401223118706</v>
      </c>
      <c r="W37" s="47">
        <f t="shared" si="25"/>
        <v>0.59704556308200474</v>
      </c>
      <c r="X37" s="47">
        <f t="shared" si="25"/>
        <v>0.57273561189306743</v>
      </c>
      <c r="Y37" s="47">
        <f t="shared" si="25"/>
        <v>0.55099000984719493</v>
      </c>
      <c r="Z37" s="47">
        <f t="shared" si="25"/>
        <v>0.5313116623663392</v>
      </c>
      <c r="AA37" s="47">
        <f t="shared" si="25"/>
        <v>0.51334095521963852</v>
      </c>
      <c r="AB37" s="47">
        <f t="shared" si="25"/>
        <v>0.49680814701748044</v>
      </c>
      <c r="AC37" s="47">
        <f t="shared" si="25"/>
        <v>0.48150501628395753</v>
      </c>
      <c r="AD37" s="47">
        <f t="shared" si="25"/>
        <v>0.46726703327073804</v>
      </c>
      <c r="AE37" s="47">
        <f t="shared" si="25"/>
        <v>0.45396164846770876</v>
      </c>
      <c r="AF37" s="47">
        <f t="shared" si="25"/>
        <v>0.44148031700091633</v>
      </c>
      <c r="AG37" s="47">
        <f t="shared" si="25"/>
        <v>0.42973290057424623</v>
      </c>
      <c r="AH37" s="47">
        <f t="shared" si="24"/>
        <v>0.41864363582594877</v>
      </c>
      <c r="AI37" s="47">
        <f t="shared" si="24"/>
        <v>0.40814816570332613</v>
      </c>
      <c r="AJ37" s="47">
        <f t="shared" si="24"/>
        <v>0.39819131094255339</v>
      </c>
      <c r="AK37" s="47">
        <f t="shared" si="24"/>
        <v>0.38872536848944111</v>
      </c>
      <c r="AL37" s="47"/>
      <c r="AM37" s="47"/>
      <c r="AN37" s="47"/>
      <c r="AO37" s="47"/>
      <c r="AP37" s="47"/>
      <c r="AQ37" s="47"/>
      <c r="AR37" s="47"/>
      <c r="AS37" s="47"/>
      <c r="AT37" s="47"/>
      <c r="AU37" s="283">
        <v>34</v>
      </c>
      <c r="AV37" s="350">
        <v>29000</v>
      </c>
      <c r="AW37" s="354">
        <f t="shared" si="5"/>
        <v>0.20300000000000001</v>
      </c>
      <c r="AX37" s="280">
        <f t="shared" si="19"/>
        <v>0.22600000000000001</v>
      </c>
      <c r="AY37" s="280">
        <f t="shared" si="7"/>
        <v>0.22600000000000001</v>
      </c>
      <c r="AZ37" s="280">
        <f t="shared" si="21"/>
        <v>0.20300000000000001</v>
      </c>
      <c r="BA37" s="356">
        <f t="shared" si="21"/>
        <v>0.20300000000000001</v>
      </c>
      <c r="BD37" s="281">
        <f t="shared" si="8"/>
        <v>0.4794515006458</v>
      </c>
      <c r="BE37" s="281">
        <f t="shared" si="20"/>
        <v>0.50196349290873488</v>
      </c>
      <c r="BF37" s="281">
        <f t="shared" si="9"/>
        <v>0.50196349290873488</v>
      </c>
      <c r="BG37" s="281">
        <f t="shared" si="22"/>
        <v>0.4794515006458</v>
      </c>
      <c r="BH37" s="281">
        <f t="shared" si="22"/>
        <v>0.4794515006458</v>
      </c>
      <c r="BK37" s="344">
        <v>1.7561169382244345E-2</v>
      </c>
      <c r="BL37" s="344">
        <v>1.221706929266789E-2</v>
      </c>
      <c r="BM37" s="341">
        <f t="shared" si="10"/>
        <v>1.221706929266789E-2</v>
      </c>
      <c r="BN37" s="341">
        <f t="shared" si="23"/>
        <v>1.7561169382244345E-2</v>
      </c>
      <c r="BO37" s="341">
        <f t="shared" si="23"/>
        <v>1.7561169382244345E-2</v>
      </c>
      <c r="BQ37" s="47"/>
      <c r="BR37" s="634"/>
    </row>
    <row r="38" spans="4:70" ht="15.75" thickBot="1" x14ac:dyDescent="0.35">
      <c r="D38" s="342">
        <v>0.2742857142857143</v>
      </c>
      <c r="E38">
        <v>26500</v>
      </c>
      <c r="F38" s="342">
        <f t="shared" si="14"/>
        <v>0.192</v>
      </c>
      <c r="G38">
        <f t="shared" si="11"/>
        <v>0.21319322046104161</v>
      </c>
      <c r="H38">
        <f t="shared" si="15"/>
        <v>0.49574775085823108</v>
      </c>
      <c r="I38">
        <f t="shared" si="16"/>
        <v>0.49574775085823108</v>
      </c>
      <c r="J38" s="44">
        <f t="shared" si="12"/>
        <v>0.9786894607356692</v>
      </c>
      <c r="K38" s="342">
        <v>1</v>
      </c>
      <c r="L38" s="342">
        <v>1.2960601555647258</v>
      </c>
      <c r="M38" s="342">
        <v>1.5344942190899953</v>
      </c>
      <c r="N38" s="342">
        <v>1.7926744234518071</v>
      </c>
      <c r="O38" s="342">
        <v>2.0568883704868863</v>
      </c>
      <c r="P38" s="342">
        <v>2.3645332416888136</v>
      </c>
      <c r="Q38" s="342">
        <v>2.6428596402409781</v>
      </c>
      <c r="R38" s="47">
        <f t="shared" si="25"/>
        <v>0.80800000000000005</v>
      </c>
      <c r="S38" s="47">
        <f t="shared" si="25"/>
        <v>0.74036394329236621</v>
      </c>
      <c r="T38" s="47">
        <f t="shared" si="25"/>
        <v>0.69243529601550358</v>
      </c>
      <c r="U38" s="47">
        <f t="shared" si="25"/>
        <v>0.65450219330373727</v>
      </c>
      <c r="V38" s="47">
        <f t="shared" si="25"/>
        <v>0.62284152552645289</v>
      </c>
      <c r="W38" s="47">
        <f t="shared" si="25"/>
        <v>0.59556129312100026</v>
      </c>
      <c r="X38" s="47">
        <f t="shared" si="25"/>
        <v>0.57154719475094595</v>
      </c>
      <c r="Y38" s="47">
        <f t="shared" si="25"/>
        <v>0.55007916799607015</v>
      </c>
      <c r="Z38" s="47">
        <f t="shared" si="25"/>
        <v>0.53066104009428605</v>
      </c>
      <c r="AA38" s="47">
        <f t="shared" si="25"/>
        <v>0.51293435835814516</v>
      </c>
      <c r="AB38" s="47">
        <f t="shared" si="25"/>
        <v>0.49663058044036157</v>
      </c>
      <c r="AC38" s="47">
        <f t="shared" si="25"/>
        <v>0.48154263661978586</v>
      </c>
      <c r="AD38" s="47">
        <f t="shared" si="25"/>
        <v>0.46750706846074253</v>
      </c>
      <c r="AE38" s="47">
        <f t="shared" si="25"/>
        <v>0.45439230758842153</v>
      </c>
      <c r="AF38" s="47">
        <f t="shared" si="25"/>
        <v>0.44209070098363595</v>
      </c>
      <c r="AG38" s="47">
        <f t="shared" si="25"/>
        <v>0.43051291843645112</v>
      </c>
      <c r="AH38" s="47">
        <f t="shared" si="24"/>
        <v>0.41958392814124978</v>
      </c>
      <c r="AI38" s="47">
        <f t="shared" si="24"/>
        <v>0.40924003565006617</v>
      </c>
      <c r="AJ38" s="47">
        <f t="shared" si="24"/>
        <v>0.39942666262526361</v>
      </c>
      <c r="AK38" s="47">
        <f t="shared" si="24"/>
        <v>0.39009665195191767</v>
      </c>
      <c r="AL38" s="47"/>
      <c r="AM38" s="47"/>
      <c r="AN38" s="47"/>
      <c r="AO38" s="47"/>
      <c r="AP38" s="47"/>
      <c r="AQ38" s="47"/>
      <c r="AR38" s="47"/>
      <c r="AS38" s="47"/>
      <c r="AT38" s="47"/>
      <c r="AU38" s="283">
        <v>35</v>
      </c>
      <c r="AV38" s="350">
        <v>30000</v>
      </c>
      <c r="AW38" s="354">
        <f t="shared" si="5"/>
        <v>0.20700000000000002</v>
      </c>
      <c r="AX38" s="280">
        <f t="shared" si="19"/>
        <v>0.22699999999999998</v>
      </c>
      <c r="AY38" s="280">
        <f t="shared" si="7"/>
        <v>0.22699999999999998</v>
      </c>
      <c r="AZ38" s="280">
        <f t="shared" si="21"/>
        <v>0.20700000000000002</v>
      </c>
      <c r="BA38" s="356">
        <f t="shared" si="21"/>
        <v>0.20700000000000002</v>
      </c>
      <c r="BD38" s="281">
        <f t="shared" si="8"/>
        <v>0.47509144740454667</v>
      </c>
      <c r="BE38" s="281">
        <f t="shared" si="20"/>
        <v>0.50240861288777949</v>
      </c>
      <c r="BF38" s="281">
        <f t="shared" si="9"/>
        <v>0.50240861288777949</v>
      </c>
      <c r="BG38" s="281">
        <f t="shared" si="22"/>
        <v>0.47509144740454667</v>
      </c>
      <c r="BH38" s="281">
        <f t="shared" si="22"/>
        <v>0.47509144740454667</v>
      </c>
      <c r="BK38" s="344">
        <v>1.7312812163569297E-2</v>
      </c>
      <c r="BL38" s="344">
        <v>1.1706786362449003E-2</v>
      </c>
      <c r="BM38" s="341">
        <f t="shared" si="10"/>
        <v>1.1706786362449003E-2</v>
      </c>
      <c r="BN38" s="341">
        <f t="shared" si="23"/>
        <v>1.7312812163569297E-2</v>
      </c>
      <c r="BO38" s="341">
        <f t="shared" si="23"/>
        <v>1.7312812163569297E-2</v>
      </c>
      <c r="BQ38" s="47"/>
      <c r="BR38" s="634"/>
    </row>
    <row r="39" spans="4:70" ht="15.75" thickBot="1" x14ac:dyDescent="0.35">
      <c r="D39" s="342">
        <v>0.28000000000000003</v>
      </c>
      <c r="E39">
        <v>27500</v>
      </c>
      <c r="F39" s="342">
        <f t="shared" si="14"/>
        <v>0.19600000000000001</v>
      </c>
      <c r="G39">
        <f t="shared" si="11"/>
        <v>0.21815600980317063</v>
      </c>
      <c r="H39">
        <f t="shared" si="15"/>
        <v>0.48846945277871945</v>
      </c>
      <c r="I39">
        <f t="shared" si="16"/>
        <v>0.48846945277871945</v>
      </c>
      <c r="J39" s="44">
        <f t="shared" si="12"/>
        <v>0.97926060938067849</v>
      </c>
      <c r="K39" s="342">
        <v>1</v>
      </c>
      <c r="L39" s="342">
        <v>1.2979959367915439</v>
      </c>
      <c r="M39" s="342">
        <v>1.5261512115590465</v>
      </c>
      <c r="N39" s="342">
        <v>1.780597729919444</v>
      </c>
      <c r="O39" s="342">
        <v>2.0412147551883573</v>
      </c>
      <c r="P39" s="342">
        <v>2.3356032081605238</v>
      </c>
      <c r="Q39" s="342">
        <v>2.609855653061631</v>
      </c>
      <c r="R39" s="47">
        <f t="shared" si="25"/>
        <v>0.80400000000000005</v>
      </c>
      <c r="S39" s="47">
        <f t="shared" si="25"/>
        <v>0.73634006877378544</v>
      </c>
      <c r="T39" s="47">
        <f t="shared" si="25"/>
        <v>0.68859572455308915</v>
      </c>
      <c r="U39" s="47">
        <f t="shared" si="25"/>
        <v>0.65090398623524548</v>
      </c>
      <c r="V39" s="47">
        <f t="shared" si="25"/>
        <v>0.61950005681431686</v>
      </c>
      <c r="W39" s="47">
        <f t="shared" si="25"/>
        <v>0.59247649036031635</v>
      </c>
      <c r="X39" s="47">
        <f t="shared" si="25"/>
        <v>0.56871253328876481</v>
      </c>
      <c r="Y39" s="47">
        <f t="shared" si="25"/>
        <v>0.54748536713460261</v>
      </c>
      <c r="Z39" s="47">
        <f t="shared" si="25"/>
        <v>0.52829775214622854</v>
      </c>
      <c r="AA39" s="47">
        <f t="shared" si="25"/>
        <v>0.51079098975759607</v>
      </c>
      <c r="AB39" s="47">
        <f t="shared" si="25"/>
        <v>0.49469670228696055</v>
      </c>
      <c r="AC39" s="47">
        <f t="shared" si="25"/>
        <v>0.47980818847337398</v>
      </c>
      <c r="AD39" s="47">
        <f t="shared" si="25"/>
        <v>0.46596245346848725</v>
      </c>
      <c r="AE39" s="47">
        <f t="shared" si="25"/>
        <v>0.45302842896681078</v>
      </c>
      <c r="AF39" s="47">
        <f t="shared" si="25"/>
        <v>0.44089896652067256</v>
      </c>
      <c r="AG39" s="47">
        <f t="shared" si="25"/>
        <v>0.42948522770850178</v>
      </c>
      <c r="AH39" s="47">
        <f t="shared" si="24"/>
        <v>0.41871265073660191</v>
      </c>
      <c r="AI39" s="47">
        <f t="shared" si="24"/>
        <v>0.40851798514763465</v>
      </c>
      <c r="AJ39" s="47">
        <f t="shared" si="24"/>
        <v>0.39884706906125483</v>
      </c>
      <c r="AK39" s="47">
        <f t="shared" si="24"/>
        <v>0.38965313433619719</v>
      </c>
      <c r="AL39" s="47"/>
      <c r="AM39" s="47"/>
      <c r="AN39" s="47"/>
      <c r="AO39" s="47"/>
      <c r="AP39" s="47"/>
      <c r="AQ39" s="47"/>
      <c r="AR39" s="47"/>
      <c r="AS39" s="47"/>
      <c r="AT39" s="47"/>
      <c r="AU39" s="283">
        <v>36</v>
      </c>
      <c r="AV39" s="350">
        <v>32500</v>
      </c>
      <c r="AW39" s="354">
        <f t="shared" si="5"/>
        <v>0.21100000000000002</v>
      </c>
      <c r="AX39" s="280">
        <f t="shared" si="19"/>
        <v>0.22800000000000001</v>
      </c>
      <c r="AY39" s="280">
        <f t="shared" si="7"/>
        <v>0.22800000000000001</v>
      </c>
      <c r="AZ39" s="280">
        <f t="shared" si="21"/>
        <v>0.21100000000000002</v>
      </c>
      <c r="BA39" s="356">
        <f t="shared" si="21"/>
        <v>0.21100000000000002</v>
      </c>
      <c r="BD39" s="281">
        <f t="shared" si="8"/>
        <v>0.4694103939537998</v>
      </c>
      <c r="BE39" s="281">
        <f t="shared" si="20"/>
        <v>0.50286225959958397</v>
      </c>
      <c r="BF39" s="281">
        <f t="shared" si="9"/>
        <v>0.50286225959958397</v>
      </c>
      <c r="BG39" s="281">
        <f t="shared" si="22"/>
        <v>0.4694103939537998</v>
      </c>
      <c r="BH39" s="281">
        <f t="shared" si="22"/>
        <v>0.4694103939537998</v>
      </c>
      <c r="BK39" s="344">
        <v>1.6261701170117018E-2</v>
      </c>
      <c r="BL39" s="344">
        <v>1.1316517339116214E-2</v>
      </c>
      <c r="BM39" s="341">
        <f t="shared" si="10"/>
        <v>1.1316517339116214E-2</v>
      </c>
      <c r="BN39" s="341">
        <f t="shared" si="23"/>
        <v>1.6261701170117018E-2</v>
      </c>
      <c r="BO39" s="341">
        <f t="shared" si="23"/>
        <v>1.6261701170117018E-2</v>
      </c>
      <c r="BQ39" s="47"/>
      <c r="BR39" s="634"/>
    </row>
    <row r="40" spans="4:70" ht="15.75" thickBot="1" x14ac:dyDescent="0.35">
      <c r="D40" s="342">
        <v>0.28428571428571431</v>
      </c>
      <c r="E40">
        <v>28500</v>
      </c>
      <c r="F40" s="342">
        <f t="shared" si="14"/>
        <v>0.19900000000000001</v>
      </c>
      <c r="G40">
        <f t="shared" si="11"/>
        <v>0.22189433191377791</v>
      </c>
      <c r="H40">
        <f t="shared" si="15"/>
        <v>0.48391402953181673</v>
      </c>
      <c r="I40">
        <f t="shared" si="16"/>
        <v>0.48391402953181673</v>
      </c>
      <c r="J40" s="44">
        <f t="shared" si="12"/>
        <v>0.98129812360601409</v>
      </c>
      <c r="K40" s="342">
        <v>1</v>
      </c>
      <c r="L40" s="342">
        <v>1.3011113125512532</v>
      </c>
      <c r="M40" s="342">
        <v>1.5272495513938769</v>
      </c>
      <c r="N40" s="342">
        <v>1.7796377273484025</v>
      </c>
      <c r="O40" s="342">
        <v>2.0383735208558438</v>
      </c>
      <c r="P40" s="342">
        <v>2.3216400866180078</v>
      </c>
      <c r="Q40" s="342">
        <v>2.5834724800078201</v>
      </c>
      <c r="R40" s="47">
        <f t="shared" si="25"/>
        <v>0.80099999999999993</v>
      </c>
      <c r="S40" s="47">
        <f t="shared" si="25"/>
        <v>0.73320753344737188</v>
      </c>
      <c r="T40" s="47">
        <f t="shared" si="25"/>
        <v>0.68550471203659158</v>
      </c>
      <c r="U40" s="47">
        <f t="shared" si="25"/>
        <v>0.6479111187596861</v>
      </c>
      <c r="V40" s="47">
        <f t="shared" si="25"/>
        <v>0.61662753040230955</v>
      </c>
      <c r="W40" s="47">
        <f t="shared" si="25"/>
        <v>0.58973273756507638</v>
      </c>
      <c r="X40" s="47">
        <f t="shared" si="25"/>
        <v>0.56609959806112331</v>
      </c>
      <c r="Y40" s="47">
        <f t="shared" si="25"/>
        <v>0.54500208238921122</v>
      </c>
      <c r="Z40" s="47">
        <f t="shared" si="25"/>
        <v>0.52594127823066184</v>
      </c>
      <c r="AA40" s="47">
        <f t="shared" si="25"/>
        <v>0.50855761956102707</v>
      </c>
      <c r="AB40" s="47">
        <f t="shared" si="25"/>
        <v>0.49258230553456495</v>
      </c>
      <c r="AC40" s="47">
        <f t="shared" si="25"/>
        <v>0.47780846569180913</v>
      </c>
      <c r="AD40" s="47">
        <f t="shared" si="25"/>
        <v>0.46407308413548637</v>
      </c>
      <c r="AE40" s="47">
        <f t="shared" si="25"/>
        <v>0.45124515842164881</v>
      </c>
      <c r="AF40" s="47">
        <f t="shared" si="25"/>
        <v>0.43921765633556431</v>
      </c>
      <c r="AG40" s="47">
        <f t="shared" si="25"/>
        <v>0.42790188376229077</v>
      </c>
      <c r="AH40" s="47">
        <f t="shared" si="24"/>
        <v>0.41722343747167762</v>
      </c>
      <c r="AI40" s="47">
        <f t="shared" si="24"/>
        <v>0.40711923119527432</v>
      </c>
      <c r="AJ40" s="47">
        <f t="shared" si="24"/>
        <v>0.39753526747365925</v>
      </c>
      <c r="AK40" s="47">
        <f t="shared" si="24"/>
        <v>0.38842493948180817</v>
      </c>
      <c r="AL40" s="47"/>
      <c r="AM40" s="47"/>
      <c r="AN40" s="47"/>
      <c r="AO40" s="47"/>
      <c r="AP40" s="47"/>
      <c r="AQ40" s="47"/>
      <c r="AR40" s="47"/>
      <c r="AS40" s="47"/>
      <c r="AT40" s="47"/>
      <c r="AU40" s="283">
        <v>37</v>
      </c>
      <c r="AV40" s="350">
        <v>35000</v>
      </c>
      <c r="AW40" s="354">
        <f t="shared" si="5"/>
        <v>0.21499999999999997</v>
      </c>
      <c r="AX40" s="280">
        <f t="shared" si="19"/>
        <v>0.22899999999999998</v>
      </c>
      <c r="AY40" s="280">
        <f t="shared" si="7"/>
        <v>0.22899999999999998</v>
      </c>
      <c r="AZ40" s="280">
        <f t="shared" si="21"/>
        <v>0.21499999999999997</v>
      </c>
      <c r="BA40" s="356">
        <f t="shared" si="21"/>
        <v>0.21499999999999997</v>
      </c>
      <c r="BD40" s="281">
        <f t="shared" si="8"/>
        <v>0.46430368837252245</v>
      </c>
      <c r="BE40" s="281">
        <f t="shared" si="20"/>
        <v>0.50379093990746815</v>
      </c>
      <c r="BF40" s="281">
        <f t="shared" si="9"/>
        <v>0.50379093990746815</v>
      </c>
      <c r="BG40" s="281">
        <f t="shared" si="22"/>
        <v>0.46430368837252245</v>
      </c>
      <c r="BH40" s="281">
        <f t="shared" si="22"/>
        <v>0.46430368837252245</v>
      </c>
      <c r="BK40" s="344">
        <v>1.5229179697630784E-2</v>
      </c>
      <c r="BL40" s="344">
        <v>1.0590341690281042E-2</v>
      </c>
      <c r="BM40" s="341">
        <f t="shared" si="10"/>
        <v>1.0590341690281042E-2</v>
      </c>
      <c r="BN40" s="341">
        <f t="shared" si="23"/>
        <v>1.5229179697630784E-2</v>
      </c>
      <c r="BO40" s="341">
        <f t="shared" si="23"/>
        <v>1.5229179697630784E-2</v>
      </c>
      <c r="BQ40" s="47"/>
      <c r="BR40" s="634"/>
    </row>
    <row r="41" spans="4:70" ht="15.75" thickBot="1" x14ac:dyDescent="0.35">
      <c r="D41" s="342">
        <v>0.29000000000000004</v>
      </c>
      <c r="E41">
        <v>29500</v>
      </c>
      <c r="F41" s="342">
        <f t="shared" si="14"/>
        <v>0.20300000000000001</v>
      </c>
      <c r="G41">
        <f t="shared" si="11"/>
        <v>0.2269006001919221</v>
      </c>
      <c r="H41">
        <f t="shared" si="15"/>
        <v>0.4794515006458</v>
      </c>
      <c r="I41">
        <f t="shared" si="16"/>
        <v>0.4794515006458</v>
      </c>
      <c r="J41" s="44">
        <f t="shared" si="12"/>
        <v>0.98408853120967443</v>
      </c>
      <c r="K41" s="342">
        <v>1</v>
      </c>
      <c r="L41" s="342">
        <v>1.2965547803869633</v>
      </c>
      <c r="M41" s="342">
        <v>1.5335159784030858</v>
      </c>
      <c r="N41" s="342">
        <v>1.7837266233945042</v>
      </c>
      <c r="O41" s="342">
        <v>2.0321988525203478</v>
      </c>
      <c r="P41" s="342">
        <v>2.303799353300374</v>
      </c>
      <c r="Q41" s="342">
        <v>2.5528504309037121</v>
      </c>
      <c r="R41" s="47">
        <f t="shared" si="25"/>
        <v>0.79699999999999993</v>
      </c>
      <c r="S41" s="47">
        <f t="shared" si="25"/>
        <v>0.72880586937153302</v>
      </c>
      <c r="T41" s="47">
        <f t="shared" si="25"/>
        <v>0.68097425753541041</v>
      </c>
      <c r="U41" s="47">
        <f t="shared" si="25"/>
        <v>0.64335636624456982</v>
      </c>
      <c r="V41" s="47">
        <f t="shared" si="25"/>
        <v>0.61209961038281446</v>
      </c>
      <c r="W41" s="47">
        <f t="shared" si="25"/>
        <v>0.58525962173487678</v>
      </c>
      <c r="X41" s="47">
        <f t="shared" si="25"/>
        <v>0.5616974494132011</v>
      </c>
      <c r="Y41" s="47">
        <f t="shared" si="25"/>
        <v>0.54068041571640502</v>
      </c>
      <c r="Z41" s="47">
        <f t="shared" si="25"/>
        <v>0.52170560864091764</v>
      </c>
      <c r="AA41" s="47">
        <f t="shared" si="25"/>
        <v>0.50441094144317755</v>
      </c>
      <c r="AB41" s="47">
        <f t="shared" si="25"/>
        <v>0.48852597136559101</v>
      </c>
      <c r="AC41" s="47">
        <f t="shared" si="25"/>
        <v>0.47384273360754897</v>
      </c>
      <c r="AD41" s="47">
        <f t="shared" si="25"/>
        <v>0.46019747203618716</v>
      </c>
      <c r="AE41" s="47">
        <f t="shared" si="25"/>
        <v>0.44745867984756466</v>
      </c>
      <c r="AF41" s="47">
        <f t="shared" si="25"/>
        <v>0.43551898137031092</v>
      </c>
      <c r="AG41" s="47">
        <f t="shared" ref="AG41:AK56" si="26">EXP(-$G41*AG$8^$H41)</f>
        <v>0.42428945091504117</v>
      </c>
      <c r="AH41" s="47">
        <f t="shared" si="26"/>
        <v>0.41369553267111264</v>
      </c>
      <c r="AI41" s="47">
        <f t="shared" si="26"/>
        <v>0.40367404423263725</v>
      </c>
      <c r="AJ41" s="47">
        <f t="shared" si="26"/>
        <v>0.39417093269307646</v>
      </c>
      <c r="AK41" s="47">
        <f t="shared" si="26"/>
        <v>0.38513956529038218</v>
      </c>
      <c r="AL41" s="47"/>
      <c r="AM41" s="47"/>
      <c r="AN41" s="47"/>
      <c r="AO41" s="47"/>
      <c r="AP41" s="47"/>
      <c r="AQ41" s="47"/>
      <c r="AR41" s="47"/>
      <c r="AS41" s="47"/>
      <c r="AT41" s="47"/>
      <c r="AU41" s="283">
        <v>38</v>
      </c>
      <c r="AV41" s="350">
        <v>37500</v>
      </c>
      <c r="AW41" s="354">
        <f t="shared" si="5"/>
        <v>0.218</v>
      </c>
      <c r="AX41" s="280">
        <f t="shared" si="19"/>
        <v>0.23099999999999998</v>
      </c>
      <c r="AY41" s="280">
        <f t="shared" si="7"/>
        <v>0.23099999999999998</v>
      </c>
      <c r="AZ41" s="280">
        <f t="shared" si="21"/>
        <v>0.218</v>
      </c>
      <c r="BA41" s="356">
        <f t="shared" si="21"/>
        <v>0.218</v>
      </c>
      <c r="BD41" s="281">
        <f t="shared" si="8"/>
        <v>0.46365374941874909</v>
      </c>
      <c r="BE41" s="281">
        <f t="shared" si="20"/>
        <v>0.50242491329895078</v>
      </c>
      <c r="BF41" s="281">
        <f t="shared" si="9"/>
        <v>0.50242491329895078</v>
      </c>
      <c r="BG41" s="281">
        <f t="shared" si="22"/>
        <v>0.46365374941874909</v>
      </c>
      <c r="BH41" s="281">
        <f t="shared" si="22"/>
        <v>0.46365374941874909</v>
      </c>
      <c r="BK41" s="344">
        <v>1.5000648064806483E-2</v>
      </c>
      <c r="BL41" s="344">
        <v>1.0103279626142155E-2</v>
      </c>
      <c r="BM41" s="341">
        <f t="shared" si="10"/>
        <v>1.0103279626142155E-2</v>
      </c>
      <c r="BN41" s="341">
        <f t="shared" si="23"/>
        <v>1.5000648064806483E-2</v>
      </c>
      <c r="BO41" s="341">
        <f t="shared" si="23"/>
        <v>1.5000648064806483E-2</v>
      </c>
      <c r="BQ41" s="47"/>
      <c r="BR41" s="634"/>
    </row>
    <row r="42" spans="4:70" ht="15.75" thickBot="1" x14ac:dyDescent="0.35">
      <c r="D42" s="342">
        <v>0.29571428571428576</v>
      </c>
      <c r="E42">
        <v>31250</v>
      </c>
      <c r="F42" s="342">
        <f t="shared" si="14"/>
        <v>0.20700000000000002</v>
      </c>
      <c r="G42">
        <f t="shared" si="11"/>
        <v>0.23193205734728917</v>
      </c>
      <c r="H42">
        <f t="shared" si="15"/>
        <v>0.47509144740454667</v>
      </c>
      <c r="I42">
        <f t="shared" si="16"/>
        <v>0.47509144740454667</v>
      </c>
      <c r="J42" s="44">
        <f t="shared" si="12"/>
        <v>0.98549069918658549</v>
      </c>
      <c r="K42" s="342">
        <v>1</v>
      </c>
      <c r="L42" s="342">
        <v>1.2921942911220841</v>
      </c>
      <c r="M42" s="342">
        <v>1.5328276788845943</v>
      </c>
      <c r="N42" s="342">
        <v>1.7803926235441865</v>
      </c>
      <c r="O42" s="342">
        <v>2.0265177421954514</v>
      </c>
      <c r="P42" s="342">
        <v>2.2868034747830182</v>
      </c>
      <c r="Q42" s="342">
        <v>2.5234638365737361</v>
      </c>
      <c r="R42" s="47">
        <f t="shared" ref="R42:AG57" si="27">EXP(-$G42*R$8^$H42)</f>
        <v>0.79299999999999993</v>
      </c>
      <c r="S42" s="47">
        <f t="shared" si="27"/>
        <v>0.72441776711256578</v>
      </c>
      <c r="T42" s="47">
        <f t="shared" si="27"/>
        <v>0.67646524848484468</v>
      </c>
      <c r="U42" s="47">
        <f t="shared" si="27"/>
        <v>0.63882801624043739</v>
      </c>
      <c r="V42" s="47">
        <f t="shared" si="27"/>
        <v>0.60760128199339714</v>
      </c>
      <c r="W42" s="47">
        <f t="shared" si="27"/>
        <v>0.58081812249993958</v>
      </c>
      <c r="X42" s="47">
        <f t="shared" si="27"/>
        <v>0.55732813324469177</v>
      </c>
      <c r="Y42" s="47">
        <f t="shared" si="27"/>
        <v>0.5363922142199703</v>
      </c>
      <c r="Z42" s="47">
        <f t="shared" si="27"/>
        <v>0.51750360564182818</v>
      </c>
      <c r="AA42" s="47">
        <f t="shared" si="27"/>
        <v>0.5002978064941036</v>
      </c>
      <c r="AB42" s="47">
        <f t="shared" si="27"/>
        <v>0.48450280910736598</v>
      </c>
      <c r="AC42" s="47">
        <f t="shared" si="27"/>
        <v>0.46990961145895987</v>
      </c>
      <c r="AD42" s="47">
        <f t="shared" si="27"/>
        <v>0.45635376042253695</v>
      </c>
      <c r="AE42" s="47">
        <f t="shared" si="27"/>
        <v>0.44370327812157612</v>
      </c>
      <c r="AF42" s="47">
        <f t="shared" si="27"/>
        <v>0.43185047140945881</v>
      </c>
      <c r="AG42" s="47">
        <f t="shared" si="27"/>
        <v>0.42070620353688309</v>
      </c>
      <c r="AH42" s="47">
        <f t="shared" si="26"/>
        <v>0.41019578246815958</v>
      </c>
      <c r="AI42" s="47">
        <f t="shared" si="26"/>
        <v>0.4002559428055526</v>
      </c>
      <c r="AJ42" s="47">
        <f t="shared" si="26"/>
        <v>0.39083258683254735</v>
      </c>
      <c r="AK42" s="47">
        <f t="shared" si="26"/>
        <v>0.38187906450526599</v>
      </c>
      <c r="AL42" s="47"/>
      <c r="AM42" s="47"/>
      <c r="AN42" s="47"/>
      <c r="AO42" s="47"/>
      <c r="AP42" s="47"/>
      <c r="AQ42" s="47"/>
      <c r="AR42" s="47"/>
      <c r="AS42" s="47"/>
      <c r="AT42" s="47"/>
      <c r="AU42" s="283">
        <v>39</v>
      </c>
      <c r="AV42" s="350">
        <v>40000</v>
      </c>
      <c r="AW42" s="354">
        <f t="shared" si="5"/>
        <v>0.221</v>
      </c>
      <c r="AX42" s="280">
        <f t="shared" si="19"/>
        <v>0.23299999999999998</v>
      </c>
      <c r="AY42" s="280">
        <f t="shared" si="7"/>
        <v>0.23299999999999998</v>
      </c>
      <c r="AZ42" s="280">
        <f t="shared" si="21"/>
        <v>0.221</v>
      </c>
      <c r="BA42" s="356">
        <f t="shared" si="21"/>
        <v>0.221</v>
      </c>
      <c r="BD42" s="281">
        <f t="shared" si="8"/>
        <v>0.46150802367635102</v>
      </c>
      <c r="BE42" s="281">
        <f t="shared" si="20"/>
        <v>0.49954184109819627</v>
      </c>
      <c r="BF42" s="281">
        <f t="shared" si="9"/>
        <v>0.49954184109819627</v>
      </c>
      <c r="BG42" s="281">
        <f t="shared" si="22"/>
        <v>0.46150802367635102</v>
      </c>
      <c r="BH42" s="281">
        <f t="shared" si="22"/>
        <v>0.46150802367635102</v>
      </c>
      <c r="BK42" s="344">
        <v>1.4796896356302294E-2</v>
      </c>
      <c r="BL42" s="344">
        <v>9.7729108057628671E-3</v>
      </c>
      <c r="BM42" s="341">
        <f t="shared" si="10"/>
        <v>9.7729108057628671E-3</v>
      </c>
      <c r="BN42" s="341">
        <f t="shared" si="23"/>
        <v>1.4796896356302294E-2</v>
      </c>
      <c r="BO42" s="341">
        <f t="shared" si="23"/>
        <v>1.4796896356302294E-2</v>
      </c>
      <c r="BQ42" s="47"/>
      <c r="BR42" s="634"/>
    </row>
    <row r="43" spans="4:70" ht="15.75" thickBot="1" x14ac:dyDescent="0.35">
      <c r="D43" s="342">
        <v>0.30142857142857149</v>
      </c>
      <c r="E43">
        <v>33750</v>
      </c>
      <c r="F43" s="342">
        <f t="shared" si="14"/>
        <v>0.21100000000000002</v>
      </c>
      <c r="G43">
        <f t="shared" si="11"/>
        <v>0.23698895813626292</v>
      </c>
      <c r="H43">
        <f t="shared" si="15"/>
        <v>0.4694103939537998</v>
      </c>
      <c r="I43">
        <f t="shared" si="16"/>
        <v>0.4694103939537998</v>
      </c>
      <c r="J43" s="44">
        <f t="shared" si="12"/>
        <v>0.98696703563123112</v>
      </c>
      <c r="K43" s="342">
        <v>1</v>
      </c>
      <c r="L43" s="342">
        <v>1.2943476714831927</v>
      </c>
      <c r="M43" s="342">
        <v>1.532305860644007</v>
      </c>
      <c r="N43" s="342">
        <v>1.7773783414500526</v>
      </c>
      <c r="O43" s="342">
        <v>2.0130995052356115</v>
      </c>
      <c r="P43" s="342">
        <v>2.2706091922282181</v>
      </c>
      <c r="Q43" s="342">
        <v>2.4952439229916878</v>
      </c>
      <c r="R43" s="47">
        <f t="shared" si="27"/>
        <v>0.78899999999999992</v>
      </c>
      <c r="S43" s="47">
        <f t="shared" si="27"/>
        <v>0.72027548333653957</v>
      </c>
      <c r="T43" s="47">
        <f t="shared" si="27"/>
        <v>0.67239346491846552</v>
      </c>
      <c r="U43" s="47">
        <f t="shared" si="27"/>
        <v>0.63489317171207116</v>
      </c>
      <c r="V43" s="47">
        <f t="shared" si="27"/>
        <v>0.60382793640162147</v>
      </c>
      <c r="W43" s="47">
        <f t="shared" si="27"/>
        <v>0.57721447419901095</v>
      </c>
      <c r="X43" s="47">
        <f t="shared" si="27"/>
        <v>0.55389497924628983</v>
      </c>
      <c r="Y43" s="47">
        <f t="shared" si="27"/>
        <v>0.53312674950653749</v>
      </c>
      <c r="Z43" s="47">
        <f t="shared" si="27"/>
        <v>0.51440123190341758</v>
      </c>
      <c r="AA43" s="47">
        <f t="shared" si="27"/>
        <v>0.49735306109158567</v>
      </c>
      <c r="AB43" s="47">
        <f t="shared" si="27"/>
        <v>0.481709866612199</v>
      </c>
      <c r="AC43" s="47">
        <f t="shared" si="27"/>
        <v>0.46726256273232164</v>
      </c>
      <c r="AD43" s="47">
        <f t="shared" si="27"/>
        <v>0.45384676981691158</v>
      </c>
      <c r="AE43" s="47">
        <f t="shared" si="27"/>
        <v>0.44133067130298559</v>
      </c>
      <c r="AF43" s="47">
        <f t="shared" si="27"/>
        <v>0.42960678256710449</v>
      </c>
      <c r="AG43" s="47">
        <f t="shared" si="27"/>
        <v>0.41858619836776229</v>
      </c>
      <c r="AH43" s="47">
        <f t="shared" si="26"/>
        <v>0.40819446656737934</v>
      </c>
      <c r="AI43" s="47">
        <f t="shared" si="26"/>
        <v>0.39836856126393921</v>
      </c>
      <c r="AJ43" s="47">
        <f t="shared" si="26"/>
        <v>0.38905461860409352</v>
      </c>
      <c r="AK43" s="47">
        <f t="shared" si="26"/>
        <v>0.38020621376288299</v>
      </c>
      <c r="AL43" s="47"/>
      <c r="AM43" s="47"/>
      <c r="AN43" s="47"/>
      <c r="AO43" s="47"/>
      <c r="AP43" s="47"/>
      <c r="AQ43" s="47"/>
      <c r="AR43" s="47"/>
      <c r="AS43" s="47"/>
      <c r="AT43" s="47"/>
      <c r="AU43" s="283">
        <v>40</v>
      </c>
      <c r="AV43" s="350">
        <v>42500</v>
      </c>
      <c r="AW43" s="354">
        <f t="shared" si="5"/>
        <v>0.22399999999999998</v>
      </c>
      <c r="AX43" s="280">
        <f t="shared" si="19"/>
        <v>0.23500000000000001</v>
      </c>
      <c r="AY43" s="280">
        <f t="shared" si="7"/>
        <v>0.23500000000000001</v>
      </c>
      <c r="AZ43" s="280">
        <f t="shared" si="21"/>
        <v>0.22399999999999998</v>
      </c>
      <c r="BA43" s="356">
        <f t="shared" si="21"/>
        <v>0.22399999999999998</v>
      </c>
      <c r="BD43" s="281">
        <f t="shared" si="8"/>
        <v>0.45783329030435932</v>
      </c>
      <c r="BE43" s="281">
        <f t="shared" si="20"/>
        <v>0.49637996711770194</v>
      </c>
      <c r="BF43" s="281">
        <f t="shared" si="9"/>
        <v>0.49637996711770194</v>
      </c>
      <c r="BG43" s="281">
        <f t="shared" si="22"/>
        <v>0.45783329030435932</v>
      </c>
      <c r="BH43" s="281">
        <f t="shared" si="22"/>
        <v>0.45783329030435932</v>
      </c>
      <c r="BK43" s="344">
        <v>1.4638396598280517E-2</v>
      </c>
      <c r="BL43" s="344">
        <v>9.6456864683372931E-3</v>
      </c>
      <c r="BM43" s="341">
        <f t="shared" si="10"/>
        <v>9.6456864683372931E-3</v>
      </c>
      <c r="BN43" s="341">
        <f t="shared" si="23"/>
        <v>1.4638396598280517E-2</v>
      </c>
      <c r="BO43" s="341">
        <f t="shared" si="23"/>
        <v>1.4638396598280517E-2</v>
      </c>
      <c r="BQ43" s="47"/>
      <c r="BR43" s="634"/>
    </row>
    <row r="44" spans="4:70" ht="15.75" thickBot="1" x14ac:dyDescent="0.35">
      <c r="D44" s="342">
        <v>0.30714285714285711</v>
      </c>
      <c r="E44">
        <v>36250</v>
      </c>
      <c r="F44" s="342">
        <f t="shared" si="14"/>
        <v>0.21499999999999997</v>
      </c>
      <c r="G44">
        <f t="shared" si="11"/>
        <v>0.24207156119972859</v>
      </c>
      <c r="H44">
        <f t="shared" si="15"/>
        <v>0.46430368837252245</v>
      </c>
      <c r="I44">
        <f t="shared" si="16"/>
        <v>0.46430368837252245</v>
      </c>
      <c r="J44" s="44">
        <f t="shared" si="12"/>
        <v>0.98763878837934926</v>
      </c>
      <c r="K44" s="342">
        <v>1</v>
      </c>
      <c r="L44" s="342">
        <v>1.2902630703889848</v>
      </c>
      <c r="M44" s="342">
        <v>1.5251235535264711</v>
      </c>
      <c r="N44" s="342">
        <v>1.7672156803624932</v>
      </c>
      <c r="O44" s="342">
        <v>2.0084127840665631</v>
      </c>
      <c r="P44" s="342">
        <v>2.2551766723272482</v>
      </c>
      <c r="Q44" s="342">
        <v>2.4585140122845104</v>
      </c>
      <c r="R44" s="47">
        <f t="shared" si="27"/>
        <v>0.78500000000000003</v>
      </c>
      <c r="S44" s="47">
        <f t="shared" si="27"/>
        <v>0.71607215192572216</v>
      </c>
      <c r="T44" s="47">
        <f t="shared" si="27"/>
        <v>0.66820797366899809</v>
      </c>
      <c r="U44" s="47">
        <f t="shared" si="27"/>
        <v>0.63079891499502339</v>
      </c>
      <c r="V44" s="47">
        <f t="shared" si="27"/>
        <v>0.59985499192877634</v>
      </c>
      <c r="W44" s="47">
        <f t="shared" si="27"/>
        <v>0.57337550269849846</v>
      </c>
      <c r="X44" s="47">
        <f t="shared" si="27"/>
        <v>0.55019446604114508</v>
      </c>
      <c r="Y44" s="47">
        <f t="shared" si="27"/>
        <v>0.52956499538070489</v>
      </c>
      <c r="Z44" s="47">
        <f t="shared" si="27"/>
        <v>0.51097629423779467</v>
      </c>
      <c r="AA44" s="47">
        <f t="shared" si="27"/>
        <v>0.49406177696368475</v>
      </c>
      <c r="AB44" s="47">
        <f t="shared" si="27"/>
        <v>0.4785484231676575</v>
      </c>
      <c r="AC44" s="47">
        <f t="shared" si="27"/>
        <v>0.46422682787042352</v>
      </c>
      <c r="AD44" s="47">
        <f t="shared" si="27"/>
        <v>0.45093248893921883</v>
      </c>
      <c r="AE44" s="47">
        <f t="shared" si="27"/>
        <v>0.43853358602226555</v>
      </c>
      <c r="AF44" s="47">
        <f t="shared" si="27"/>
        <v>0.42692270244204344</v>
      </c>
      <c r="AG44" s="47">
        <f t="shared" si="27"/>
        <v>0.41601104364526587</v>
      </c>
      <c r="AH44" s="47">
        <f t="shared" si="26"/>
        <v>0.40572429269416133</v>
      </c>
      <c r="AI44" s="47">
        <f t="shared" si="26"/>
        <v>0.39599957178778256</v>
      </c>
      <c r="AJ44" s="47">
        <f t="shared" si="26"/>
        <v>0.3867831706309684</v>
      </c>
      <c r="AK44" s="47">
        <f t="shared" si="26"/>
        <v>0.37802881864073906</v>
      </c>
      <c r="AL44" s="47"/>
      <c r="AM44" s="47"/>
      <c r="AN44" s="47"/>
      <c r="AO44" s="47"/>
      <c r="AP44" s="47"/>
      <c r="AQ44" s="47"/>
      <c r="AR44" s="47"/>
      <c r="AS44" s="47"/>
      <c r="AT44" s="47"/>
      <c r="AU44" s="283">
        <v>41</v>
      </c>
      <c r="AV44" s="350">
        <v>45000</v>
      </c>
      <c r="AW44" s="354">
        <f t="shared" si="5"/>
        <v>0.22699999999999998</v>
      </c>
      <c r="AX44" s="280">
        <f t="shared" si="19"/>
        <v>0.23699999999999999</v>
      </c>
      <c r="AY44" s="280">
        <f t="shared" si="7"/>
        <v>0.23699999999999999</v>
      </c>
      <c r="AZ44" s="280">
        <f t="shared" ref="AZ44:BA62" si="28">$AW44</f>
        <v>0.22699999999999998</v>
      </c>
      <c r="BA44" s="356">
        <f t="shared" si="28"/>
        <v>0.22699999999999998</v>
      </c>
      <c r="BD44" s="281">
        <f t="shared" si="8"/>
        <v>0.45237175083759218</v>
      </c>
      <c r="BE44" s="281">
        <f t="shared" si="20"/>
        <v>0.4912820384713304</v>
      </c>
      <c r="BF44" s="281">
        <f t="shared" si="9"/>
        <v>0.4912820384713304</v>
      </c>
      <c r="BG44" s="281">
        <f t="shared" ref="BG44:BH62" si="29">$BD44</f>
        <v>0.45237175083759218</v>
      </c>
      <c r="BH44" s="281">
        <f t="shared" si="29"/>
        <v>0.45237175083759218</v>
      </c>
      <c r="BK44" s="344">
        <v>1.4518974478092972E-2</v>
      </c>
      <c r="BL44" s="344">
        <v>9.6737293760560915E-3</v>
      </c>
      <c r="BM44" s="341">
        <f t="shared" si="10"/>
        <v>9.6737293760560915E-3</v>
      </c>
      <c r="BN44" s="341">
        <f t="shared" ref="BN44:BO62" si="30">$BK44</f>
        <v>1.4518974478092972E-2</v>
      </c>
      <c r="BO44" s="341">
        <f t="shared" si="30"/>
        <v>1.4518974478092972E-2</v>
      </c>
      <c r="BQ44" s="47"/>
      <c r="BR44" s="634"/>
    </row>
    <row r="45" spans="4:70" ht="15.75" thickBot="1" x14ac:dyDescent="0.35">
      <c r="D45" s="342">
        <v>0.31142857142857144</v>
      </c>
      <c r="E45">
        <v>38750</v>
      </c>
      <c r="F45" s="342">
        <f t="shared" si="14"/>
        <v>0.218</v>
      </c>
      <c r="G45">
        <f t="shared" si="11"/>
        <v>0.24590053843682594</v>
      </c>
      <c r="H45">
        <f t="shared" si="15"/>
        <v>0.46365374941874909</v>
      </c>
      <c r="I45">
        <f t="shared" si="16"/>
        <v>0.46365374941874909</v>
      </c>
      <c r="J45" s="44">
        <f t="shared" si="12"/>
        <v>0.98830845722972649</v>
      </c>
      <c r="K45" s="342">
        <v>1</v>
      </c>
      <c r="L45" s="342">
        <v>1.2873116572893037</v>
      </c>
      <c r="M45" s="342">
        <v>1.5266974679467253</v>
      </c>
      <c r="N45" s="342">
        <v>1.767279846119121</v>
      </c>
      <c r="O45" s="342">
        <v>2.0153167617500749</v>
      </c>
      <c r="P45" s="342">
        <v>2.2529394638553368</v>
      </c>
      <c r="Q45" s="342">
        <v>2.446092376883616</v>
      </c>
      <c r="R45" s="47">
        <f t="shared" si="27"/>
        <v>0.78200000000000003</v>
      </c>
      <c r="S45" s="47">
        <f t="shared" si="27"/>
        <v>0.71240821391374587</v>
      </c>
      <c r="T45" s="47">
        <f t="shared" si="27"/>
        <v>0.66415452666245733</v>
      </c>
      <c r="U45" s="47">
        <f t="shared" si="27"/>
        <v>0.62648225334948149</v>
      </c>
      <c r="V45" s="47">
        <f t="shared" si="27"/>
        <v>0.59534846146830611</v>
      </c>
      <c r="W45" s="47">
        <f t="shared" si="27"/>
        <v>0.56872697004890893</v>
      </c>
      <c r="X45" s="47">
        <f t="shared" si="27"/>
        <v>0.54543747993913971</v>
      </c>
      <c r="Y45" s="47">
        <f t="shared" si="27"/>
        <v>0.52472423529464207</v>
      </c>
      <c r="Z45" s="47">
        <f t="shared" si="27"/>
        <v>0.50607056224060598</v>
      </c>
      <c r="AA45" s="47">
        <f t="shared" si="27"/>
        <v>0.489105782177094</v>
      </c>
      <c r="AB45" s="47">
        <f t="shared" si="27"/>
        <v>0.47355391366353511</v>
      </c>
      <c r="AC45" s="47">
        <f t="shared" si="27"/>
        <v>0.45920334379310845</v>
      </c>
      <c r="AD45" s="47">
        <f t="shared" si="27"/>
        <v>0.44588788312177952</v>
      </c>
      <c r="AE45" s="47">
        <f t="shared" si="27"/>
        <v>0.43347439531407173</v>
      </c>
      <c r="AF45" s="47">
        <f t="shared" si="27"/>
        <v>0.42185441956084391</v>
      </c>
      <c r="AG45" s="47">
        <f t="shared" si="27"/>
        <v>0.41093832065316516</v>
      </c>
      <c r="AH45" s="47">
        <f t="shared" si="26"/>
        <v>0.40065109621411582</v>
      </c>
      <c r="AI45" s="47">
        <f t="shared" si="26"/>
        <v>0.3909293033732264</v>
      </c>
      <c r="AJ45" s="47">
        <f t="shared" si="26"/>
        <v>0.38171876146871203</v>
      </c>
      <c r="AK45" s="47">
        <f t="shared" si="26"/>
        <v>0.3729728050158948</v>
      </c>
      <c r="AL45" s="47"/>
      <c r="AM45" s="47"/>
      <c r="AN45" s="47"/>
      <c r="AO45" s="47"/>
      <c r="AP45" s="47"/>
      <c r="AQ45" s="47"/>
      <c r="AR45" s="47"/>
      <c r="AS45" s="47"/>
      <c r="AT45" s="47"/>
      <c r="AU45" s="283">
        <v>42</v>
      </c>
      <c r="AV45" s="350">
        <v>47500</v>
      </c>
      <c r="AW45" s="354">
        <f t="shared" si="5"/>
        <v>0.23099999999999998</v>
      </c>
      <c r="AX45" s="280">
        <f t="shared" si="19"/>
        <v>0.24</v>
      </c>
      <c r="AY45" s="280">
        <f t="shared" si="7"/>
        <v>0.24</v>
      </c>
      <c r="AZ45" s="280">
        <f t="shared" si="28"/>
        <v>0.23099999999999998</v>
      </c>
      <c r="BA45" s="356">
        <f t="shared" si="28"/>
        <v>0.23099999999999998</v>
      </c>
      <c r="BD45" s="281">
        <f t="shared" si="8"/>
        <v>0.44642066749038023</v>
      </c>
      <c r="BE45" s="281">
        <f t="shared" si="20"/>
        <v>0.48398998366203549</v>
      </c>
      <c r="BF45" s="281">
        <f t="shared" si="9"/>
        <v>0.48398998366203549</v>
      </c>
      <c r="BG45" s="281">
        <f t="shared" si="29"/>
        <v>0.44642066749038023</v>
      </c>
      <c r="BH45" s="281">
        <f t="shared" si="29"/>
        <v>0.44642066749038023</v>
      </c>
      <c r="BK45" s="344">
        <v>1.4518974478092972E-2</v>
      </c>
      <c r="BL45" s="344">
        <v>9.6737293760560915E-3</v>
      </c>
      <c r="BM45" s="341">
        <f t="shared" si="10"/>
        <v>9.6737293760560915E-3</v>
      </c>
      <c r="BN45" s="341">
        <f t="shared" si="30"/>
        <v>1.4518974478092972E-2</v>
      </c>
      <c r="BO45" s="341">
        <f t="shared" si="30"/>
        <v>1.4518974478092972E-2</v>
      </c>
      <c r="BQ45" s="47"/>
      <c r="BR45" s="634"/>
    </row>
    <row r="46" spans="4:70" ht="15.75" thickBot="1" x14ac:dyDescent="0.35">
      <c r="D46" s="342">
        <v>0.31571428571428573</v>
      </c>
      <c r="E46">
        <v>41250</v>
      </c>
      <c r="F46" s="342">
        <f t="shared" si="14"/>
        <v>0.221</v>
      </c>
      <c r="G46">
        <f t="shared" si="11"/>
        <v>0.24974423311138874</v>
      </c>
      <c r="H46">
        <f t="shared" si="15"/>
        <v>0.46150802367635102</v>
      </c>
      <c r="I46">
        <f t="shared" si="16"/>
        <v>0.46150802367635102</v>
      </c>
      <c r="J46" s="44">
        <f t="shared" si="12"/>
        <v>0.98916037779647337</v>
      </c>
      <c r="K46" s="342">
        <v>1</v>
      </c>
      <c r="L46" s="342">
        <v>1.2844521676269549</v>
      </c>
      <c r="M46" s="342">
        <v>1.5283327962407436</v>
      </c>
      <c r="N46" s="342">
        <v>1.7674832947780492</v>
      </c>
      <c r="O46" s="342">
        <v>2.0142956459550616</v>
      </c>
      <c r="P46" s="342">
        <v>2.2510080634967098</v>
      </c>
      <c r="Q46" s="342">
        <v>2.424664424522136</v>
      </c>
      <c r="R46" s="47">
        <f t="shared" si="27"/>
        <v>0.77900000000000003</v>
      </c>
      <c r="S46" s="47">
        <f t="shared" si="27"/>
        <v>0.70900484856660995</v>
      </c>
      <c r="T46" s="47">
        <f t="shared" si="27"/>
        <v>0.66056570959967498</v>
      </c>
      <c r="U46" s="47">
        <f t="shared" si="27"/>
        <v>0.62279753191152942</v>
      </c>
      <c r="V46" s="47">
        <f t="shared" si="27"/>
        <v>0.59161512264850968</v>
      </c>
      <c r="W46" s="47">
        <f t="shared" si="27"/>
        <v>0.56497326451006846</v>
      </c>
      <c r="X46" s="47">
        <f t="shared" si="27"/>
        <v>0.54168156994727634</v>
      </c>
      <c r="Y46" s="47">
        <f t="shared" si="27"/>
        <v>0.52097836514165441</v>
      </c>
      <c r="Z46" s="47">
        <f t="shared" si="27"/>
        <v>0.50234325347053654</v>
      </c>
      <c r="AA46" s="47">
        <f t="shared" si="27"/>
        <v>0.48540309201316856</v>
      </c>
      <c r="AB46" s="47">
        <f t="shared" si="27"/>
        <v>0.46988020361640687</v>
      </c>
      <c r="AC46" s="47">
        <f t="shared" si="27"/>
        <v>0.45556177269251097</v>
      </c>
      <c r="AD46" s="47">
        <f t="shared" si="27"/>
        <v>0.44228073597483103</v>
      </c>
      <c r="AE46" s="47">
        <f t="shared" si="27"/>
        <v>0.42990330975304858</v>
      </c>
      <c r="AF46" s="47">
        <f t="shared" si="27"/>
        <v>0.41832054594511436</v>
      </c>
      <c r="AG46" s="47">
        <f t="shared" si="27"/>
        <v>0.40744243780720718</v>
      </c>
      <c r="AH46" s="47">
        <f t="shared" si="26"/>
        <v>0.39719369669230764</v>
      </c>
      <c r="AI46" s="47">
        <f t="shared" si="26"/>
        <v>0.3875106573037434</v>
      </c>
      <c r="AJ46" s="47">
        <f t="shared" si="26"/>
        <v>0.37833896503484182</v>
      </c>
      <c r="AK46" s="47">
        <f t="shared" si="26"/>
        <v>0.36963181772453985</v>
      </c>
      <c r="AL46" s="47"/>
      <c r="AM46" s="47"/>
      <c r="AN46" s="47"/>
      <c r="AO46" s="47"/>
      <c r="AP46" s="47"/>
      <c r="AQ46" s="47"/>
      <c r="AR46" s="47"/>
      <c r="AS46" s="47"/>
      <c r="AT46" s="47"/>
      <c r="AU46" s="283">
        <v>43</v>
      </c>
      <c r="AV46" s="350">
        <v>50000</v>
      </c>
      <c r="AW46" s="354">
        <f t="shared" si="5"/>
        <v>0.23400000000000004</v>
      </c>
      <c r="AX46" s="280">
        <f t="shared" si="19"/>
        <v>0.24399999999999999</v>
      </c>
      <c r="AY46" s="280">
        <f t="shared" si="7"/>
        <v>0.24399999999999999</v>
      </c>
      <c r="AZ46" s="280">
        <f t="shared" si="28"/>
        <v>0.23400000000000004</v>
      </c>
      <c r="BA46" s="356">
        <f t="shared" si="28"/>
        <v>0.23400000000000004</v>
      </c>
      <c r="BD46" s="281">
        <f t="shared" si="8"/>
        <v>0.44295006365931766</v>
      </c>
      <c r="BE46" s="281">
        <f t="shared" si="20"/>
        <v>0.47552153386571738</v>
      </c>
      <c r="BF46" s="281">
        <f t="shared" si="9"/>
        <v>0.47552153386571738</v>
      </c>
      <c r="BG46" s="281">
        <f t="shared" si="29"/>
        <v>0.44295006365931766</v>
      </c>
      <c r="BH46" s="281">
        <f t="shared" si="29"/>
        <v>0.44295006365931766</v>
      </c>
      <c r="BK46" s="344">
        <v>1.4535785396721488E-2</v>
      </c>
      <c r="BL46" s="344">
        <v>9.5155784672419953E-3</v>
      </c>
      <c r="BM46" s="341">
        <f t="shared" si="10"/>
        <v>9.5155784672419953E-3</v>
      </c>
      <c r="BN46" s="341">
        <f t="shared" si="30"/>
        <v>1.4535785396721488E-2</v>
      </c>
      <c r="BO46" s="341">
        <f t="shared" si="30"/>
        <v>1.4535785396721488E-2</v>
      </c>
      <c r="BQ46" s="47"/>
      <c r="BR46" s="634"/>
    </row>
    <row r="47" spans="4:70" ht="15.75" thickBot="1" x14ac:dyDescent="0.35">
      <c r="D47" s="342">
        <v>0.32</v>
      </c>
      <c r="E47">
        <v>43750</v>
      </c>
      <c r="F47" s="342">
        <f t="shared" si="14"/>
        <v>0.22399999999999998</v>
      </c>
      <c r="G47">
        <f t="shared" si="11"/>
        <v>0.25360275879891825</v>
      </c>
      <c r="H47">
        <f t="shared" si="15"/>
        <v>0.45783329030435932</v>
      </c>
      <c r="I47">
        <f t="shared" si="16"/>
        <v>0.45783329030435932</v>
      </c>
      <c r="J47" s="44">
        <f t="shared" si="12"/>
        <v>0.98976753837122122</v>
      </c>
      <c r="K47" s="342">
        <v>1</v>
      </c>
      <c r="L47" s="342">
        <v>1.2816811238004655</v>
      </c>
      <c r="M47" s="342">
        <v>1.5300295589495005</v>
      </c>
      <c r="N47" s="342">
        <v>1.7605097185976761</v>
      </c>
      <c r="O47" s="342">
        <v>2.0054530847604117</v>
      </c>
      <c r="P47" s="342">
        <v>2.2405730961546313</v>
      </c>
      <c r="Q47" s="342">
        <v>2.4038190775109922</v>
      </c>
      <c r="R47" s="47">
        <f t="shared" si="27"/>
        <v>0.77600000000000002</v>
      </c>
      <c r="S47" s="47">
        <f t="shared" si="27"/>
        <v>0.70587459380900364</v>
      </c>
      <c r="T47" s="47">
        <f t="shared" si="27"/>
        <v>0.65746177346833601</v>
      </c>
      <c r="U47" s="47">
        <f t="shared" si="27"/>
        <v>0.61977020318073717</v>
      </c>
      <c r="V47" s="47">
        <f t="shared" si="27"/>
        <v>0.58868409393445409</v>
      </c>
      <c r="W47" s="47">
        <f t="shared" si="27"/>
        <v>0.56214614499357851</v>
      </c>
      <c r="X47" s="47">
        <f t="shared" si="27"/>
        <v>0.53896041095354896</v>
      </c>
      <c r="Y47" s="47">
        <f t="shared" si="27"/>
        <v>0.51836244372219797</v>
      </c>
      <c r="Z47" s="47">
        <f t="shared" si="27"/>
        <v>0.4998304086676299</v>
      </c>
      <c r="AA47" s="47">
        <f t="shared" si="27"/>
        <v>0.48299041891211447</v>
      </c>
      <c r="AB47" s="47">
        <f t="shared" si="27"/>
        <v>0.4675644337559639</v>
      </c>
      <c r="AC47" s="47">
        <f t="shared" si="27"/>
        <v>0.45333949014526576</v>
      </c>
      <c r="AD47" s="47">
        <f t="shared" si="27"/>
        <v>0.44014850264166311</v>
      </c>
      <c r="AE47" s="47">
        <f t="shared" si="27"/>
        <v>0.42785773843202562</v>
      </c>
      <c r="AF47" s="47">
        <f t="shared" si="27"/>
        <v>0.41635834242090813</v>
      </c>
      <c r="AG47" s="47">
        <f t="shared" si="27"/>
        <v>0.4055604241447931</v>
      </c>
      <c r="AH47" s="47">
        <f t="shared" si="26"/>
        <v>0.3953888229524854</v>
      </c>
      <c r="AI47" s="47">
        <f t="shared" si="26"/>
        <v>0.38578000607041074</v>
      </c>
      <c r="AJ47" s="47">
        <f t="shared" si="26"/>
        <v>0.37667975148144134</v>
      </c>
      <c r="AK47" s="47">
        <f t="shared" si="26"/>
        <v>0.36804138694270078</v>
      </c>
      <c r="AL47" s="47"/>
      <c r="AM47" s="47"/>
      <c r="AN47" s="47"/>
      <c r="AO47" s="47"/>
      <c r="AP47" s="47"/>
      <c r="AQ47" s="47"/>
      <c r="AR47" s="47"/>
      <c r="AS47" s="47"/>
      <c r="AT47" s="47"/>
      <c r="AU47" s="283">
        <v>44</v>
      </c>
      <c r="AV47" s="350">
        <v>55000</v>
      </c>
      <c r="AW47" s="354">
        <f t="shared" si="5"/>
        <v>0.23699999999999999</v>
      </c>
      <c r="AX47" s="280">
        <f t="shared" si="19"/>
        <v>0.24799999999999997</v>
      </c>
      <c r="AY47" s="280">
        <f t="shared" si="7"/>
        <v>0.24799999999999997</v>
      </c>
      <c r="AZ47" s="280">
        <f t="shared" si="28"/>
        <v>0.23699999999999999</v>
      </c>
      <c r="BA47" s="356">
        <f t="shared" si="28"/>
        <v>0.23699999999999999</v>
      </c>
      <c r="BD47" s="281">
        <f t="shared" si="8"/>
        <v>0.43821696312321856</v>
      </c>
      <c r="BE47" s="281">
        <f t="shared" si="20"/>
        <v>0.46669027991068202</v>
      </c>
      <c r="BF47" s="281">
        <f t="shared" si="9"/>
        <v>0.46669027991068202</v>
      </c>
      <c r="BG47" s="281">
        <f t="shared" si="29"/>
        <v>0.43821696312321856</v>
      </c>
      <c r="BH47" s="281">
        <f t="shared" si="29"/>
        <v>0.43821696312321856</v>
      </c>
      <c r="BK47" s="344">
        <v>1.4344479042498845E-2</v>
      </c>
      <c r="BL47" s="344">
        <v>9.3390113277118936E-3</v>
      </c>
      <c r="BM47" s="341">
        <f t="shared" si="10"/>
        <v>9.3390113277118936E-3</v>
      </c>
      <c r="BN47" s="341">
        <f t="shared" si="30"/>
        <v>1.4344479042498845E-2</v>
      </c>
      <c r="BO47" s="341">
        <f t="shared" si="30"/>
        <v>1.4344479042498845E-2</v>
      </c>
      <c r="BQ47" s="47"/>
      <c r="BR47" s="634"/>
    </row>
    <row r="48" spans="4:70" ht="15.75" thickBot="1" x14ac:dyDescent="0.35">
      <c r="D48" s="342">
        <v>0.32428571428571429</v>
      </c>
      <c r="E48">
        <v>46250</v>
      </c>
      <c r="F48" s="342">
        <f t="shared" si="14"/>
        <v>0.22699999999999998</v>
      </c>
      <c r="G48">
        <f t="shared" si="11"/>
        <v>0.25747623039471507</v>
      </c>
      <c r="H48">
        <f t="shared" si="15"/>
        <v>0.45237175083759218</v>
      </c>
      <c r="I48">
        <f t="shared" si="16"/>
        <v>0.45237175083759218</v>
      </c>
      <c r="J48" s="44">
        <f t="shared" si="12"/>
        <v>0.98999384684631297</v>
      </c>
      <c r="K48" s="342">
        <v>1</v>
      </c>
      <c r="L48" s="342">
        <v>1.2789952375010785</v>
      </c>
      <c r="M48" s="342">
        <v>1.5251529580795227</v>
      </c>
      <c r="N48" s="342">
        <v>1.7465269626628663</v>
      </c>
      <c r="O48" s="342">
        <v>1.9969117338204931</v>
      </c>
      <c r="P48" s="342">
        <v>2.221788703082193</v>
      </c>
      <c r="Q48" s="342">
        <v>2.3742734957400886</v>
      </c>
      <c r="R48" s="47">
        <f t="shared" si="27"/>
        <v>0.77300000000000002</v>
      </c>
      <c r="S48" s="47">
        <f t="shared" si="27"/>
        <v>0.70306804877778506</v>
      </c>
      <c r="T48" s="47">
        <f t="shared" si="27"/>
        <v>0.65492997677458142</v>
      </c>
      <c r="U48" s="47">
        <f t="shared" si="27"/>
        <v>0.61751619384522172</v>
      </c>
      <c r="V48" s="47">
        <f t="shared" si="27"/>
        <v>0.58669470337888696</v>
      </c>
      <c r="W48" s="47">
        <f t="shared" si="27"/>
        <v>0.56040457869816163</v>
      </c>
      <c r="X48" s="47">
        <f t="shared" si="27"/>
        <v>0.53744977677740569</v>
      </c>
      <c r="Y48" s="47">
        <f t="shared" si="27"/>
        <v>0.51706683805714226</v>
      </c>
      <c r="Z48" s="47">
        <f t="shared" si="27"/>
        <v>0.4987352096393623</v>
      </c>
      <c r="AA48" s="47">
        <f t="shared" si="27"/>
        <v>0.482082299322313</v>
      </c>
      <c r="AB48" s="47">
        <f t="shared" si="27"/>
        <v>0.46683127537627145</v>
      </c>
      <c r="AC48" s="47">
        <f t="shared" si="27"/>
        <v>0.45277026868888448</v>
      </c>
      <c r="AD48" s="47">
        <f t="shared" si="27"/>
        <v>0.4397331705974068</v>
      </c>
      <c r="AE48" s="47">
        <f t="shared" si="27"/>
        <v>0.42758711605055916</v>
      </c>
      <c r="AF48" s="47">
        <f t="shared" si="27"/>
        <v>0.4162240201207919</v>
      </c>
      <c r="AG48" s="47">
        <f t="shared" si="27"/>
        <v>0.40555467667893791</v>
      </c>
      <c r="AH48" s="47">
        <f t="shared" si="26"/>
        <v>0.39550453451335577</v>
      </c>
      <c r="AI48" s="47">
        <f t="shared" si="26"/>
        <v>0.38601060512382945</v>
      </c>
      <c r="AJ48" s="47">
        <f t="shared" si="26"/>
        <v>0.3770191540664744</v>
      </c>
      <c r="AK48" s="47">
        <f t="shared" si="26"/>
        <v>0.36848394726096617</v>
      </c>
      <c r="AL48" s="47"/>
      <c r="AM48" s="47"/>
      <c r="AN48" s="47"/>
      <c r="AO48" s="47"/>
      <c r="AP48" s="47"/>
      <c r="AQ48" s="47"/>
      <c r="AR48" s="47"/>
      <c r="AS48" s="47"/>
      <c r="AT48" s="47"/>
      <c r="AU48" s="283">
        <v>45</v>
      </c>
      <c r="AV48" s="350">
        <v>60000</v>
      </c>
      <c r="AW48" s="354">
        <f t="shared" si="5"/>
        <v>0.24080000000000001</v>
      </c>
      <c r="AX48" s="280">
        <f t="shared" si="19"/>
        <v>0.252</v>
      </c>
      <c r="AY48" s="280">
        <f t="shared" si="7"/>
        <v>0.252</v>
      </c>
      <c r="AZ48" s="280">
        <f t="shared" si="28"/>
        <v>0.24080000000000001</v>
      </c>
      <c r="BA48" s="356">
        <f t="shared" si="28"/>
        <v>0.24080000000000001</v>
      </c>
      <c r="BD48" s="281">
        <f t="shared" si="8"/>
        <v>0.43114000006689773</v>
      </c>
      <c r="BE48" s="281">
        <f t="shared" si="20"/>
        <v>0.45712026803408873</v>
      </c>
      <c r="BF48" s="281">
        <f t="shared" si="9"/>
        <v>0.45712026803408873</v>
      </c>
      <c r="BG48" s="281">
        <f t="shared" si="29"/>
        <v>0.43114000006689773</v>
      </c>
      <c r="BH48" s="281">
        <f t="shared" si="29"/>
        <v>0.43114000006689773</v>
      </c>
      <c r="BK48" s="344">
        <v>1.401070464189276E-2</v>
      </c>
      <c r="BL48" s="344">
        <v>9.2688382041803252E-3</v>
      </c>
      <c r="BM48" s="341">
        <f t="shared" si="10"/>
        <v>9.2688382041803252E-3</v>
      </c>
      <c r="BN48" s="341">
        <f t="shared" si="30"/>
        <v>1.401070464189276E-2</v>
      </c>
      <c r="BO48" s="341">
        <f t="shared" si="30"/>
        <v>1.401070464189276E-2</v>
      </c>
      <c r="BQ48" s="47"/>
      <c r="BR48" s="634"/>
    </row>
    <row r="49" spans="3:71" ht="15.75" thickBot="1" x14ac:dyDescent="0.35">
      <c r="D49" s="342">
        <v>0.33</v>
      </c>
      <c r="E49">
        <v>48750</v>
      </c>
      <c r="F49" s="342">
        <f t="shared" si="14"/>
        <v>0.23099999999999998</v>
      </c>
      <c r="G49">
        <f t="shared" si="11"/>
        <v>0.26266430947649305</v>
      </c>
      <c r="H49">
        <f t="shared" si="15"/>
        <v>0.44642066749038023</v>
      </c>
      <c r="I49" cm="1">
        <f t="array" ref="I49">_xlfn.SINGLE(INDEX(LINEST(LN(K49:Q49),LN(K$4:Q$4),,),1))</f>
        <v>0.44642066749038023</v>
      </c>
      <c r="J49" s="44">
        <f t="shared" si="12"/>
        <v>0.98953770176599565</v>
      </c>
      <c r="K49" s="342">
        <v>1</v>
      </c>
      <c r="L49" s="342">
        <v>1.2755411697751193</v>
      </c>
      <c r="M49" s="342">
        <v>1.5123437040010637</v>
      </c>
      <c r="N49" s="342">
        <v>1.7308015189206374</v>
      </c>
      <c r="O49" s="342">
        <v>1.9859742162701242</v>
      </c>
      <c r="P49" s="342">
        <v>2.200371470368423</v>
      </c>
      <c r="Q49" s="342">
        <v>2.3420843185428675</v>
      </c>
      <c r="R49" s="47">
        <f t="shared" si="27"/>
        <v>0.76900000000000002</v>
      </c>
      <c r="S49" s="47">
        <f t="shared" si="27"/>
        <v>0.69912836340835982</v>
      </c>
      <c r="T49" s="47">
        <f t="shared" si="27"/>
        <v>0.65119815937768588</v>
      </c>
      <c r="U49" s="47">
        <f t="shared" si="27"/>
        <v>0.61402303585316509</v>
      </c>
      <c r="V49" s="47">
        <f t="shared" si="27"/>
        <v>0.58344208209891579</v>
      </c>
      <c r="W49" s="47">
        <f t="shared" si="27"/>
        <v>0.55738497164674961</v>
      </c>
      <c r="X49" s="47">
        <f t="shared" si="27"/>
        <v>0.53465246649964182</v>
      </c>
      <c r="Y49" s="47">
        <f t="shared" si="27"/>
        <v>0.51448025199318437</v>
      </c>
      <c r="Z49" s="47">
        <f t="shared" si="27"/>
        <v>0.4963478778745436</v>
      </c>
      <c r="AA49" s="47">
        <f t="shared" si="27"/>
        <v>0.47988325172195351</v>
      </c>
      <c r="AB49" s="47">
        <f t="shared" si="27"/>
        <v>0.46481019281205066</v>
      </c>
      <c r="AC49" s="47">
        <f t="shared" si="27"/>
        <v>0.45091752162983662</v>
      </c>
      <c r="AD49" s="47">
        <f t="shared" si="27"/>
        <v>0.43803980561125611</v>
      </c>
      <c r="AE49" s="47">
        <f t="shared" si="27"/>
        <v>0.4260448190746049</v>
      </c>
      <c r="AF49" s="47">
        <f t="shared" si="27"/>
        <v>0.41482507066307323</v>
      </c>
      <c r="AG49" s="47">
        <f t="shared" si="27"/>
        <v>0.40429189996393272</v>
      </c>
      <c r="AH49" s="47">
        <f t="shared" si="26"/>
        <v>0.39437125499143799</v>
      </c>
      <c r="AI49" s="47">
        <f t="shared" si="26"/>
        <v>0.38500060291479976</v>
      </c>
      <c r="AJ49" s="47">
        <f t="shared" si="26"/>
        <v>0.37612662494750865</v>
      </c>
      <c r="AK49" s="47">
        <f t="shared" si="26"/>
        <v>0.3677034663139811</v>
      </c>
      <c r="AL49" s="47"/>
      <c r="AM49" s="47"/>
      <c r="AN49" s="47"/>
      <c r="AO49" s="47"/>
      <c r="AP49" s="47"/>
      <c r="AQ49" s="47"/>
      <c r="AR49" s="47"/>
      <c r="AS49" s="47"/>
      <c r="AT49" s="47"/>
      <c r="AU49" s="283">
        <v>46</v>
      </c>
      <c r="AV49" s="350">
        <v>65000</v>
      </c>
      <c r="AW49" s="354">
        <f t="shared" si="5"/>
        <v>0.24499999999999994</v>
      </c>
      <c r="AX49" s="280">
        <f t="shared" si="19"/>
        <v>0.25666666666666665</v>
      </c>
      <c r="AY49" s="280">
        <f t="shared" si="7"/>
        <v>0.25666666666666665</v>
      </c>
      <c r="AZ49" s="280">
        <f t="shared" si="28"/>
        <v>0.24499999999999994</v>
      </c>
      <c r="BA49" s="356">
        <f t="shared" si="28"/>
        <v>0.24499999999999994</v>
      </c>
      <c r="BD49" s="281">
        <f t="shared" si="8"/>
        <v>0.42494033080626281</v>
      </c>
      <c r="BE49" s="281">
        <f t="shared" si="20"/>
        <v>0.44793775994357748</v>
      </c>
      <c r="BF49" s="281">
        <f t="shared" si="9"/>
        <v>0.44793775994357748</v>
      </c>
      <c r="BG49" s="281">
        <f t="shared" si="29"/>
        <v>0.42494033080626281</v>
      </c>
      <c r="BH49" s="281">
        <f t="shared" si="29"/>
        <v>0.42494033080626281</v>
      </c>
      <c r="BK49" s="344">
        <v>1.401070464189276E-2</v>
      </c>
      <c r="BL49" s="344">
        <v>9.2688382041803252E-3</v>
      </c>
      <c r="BM49" s="341">
        <f t="shared" si="10"/>
        <v>9.2688382041803252E-3</v>
      </c>
      <c r="BN49" s="341">
        <f t="shared" si="30"/>
        <v>1.401070464189276E-2</v>
      </c>
      <c r="BO49" s="341">
        <f t="shared" si="30"/>
        <v>1.401070464189276E-2</v>
      </c>
      <c r="BQ49" s="47"/>
      <c r="BR49" s="634"/>
    </row>
    <row r="50" spans="3:71" ht="15.75" thickBot="1" x14ac:dyDescent="0.35">
      <c r="D50" s="342">
        <v>0.33428571428571435</v>
      </c>
      <c r="E50">
        <v>52500</v>
      </c>
      <c r="F50" s="342">
        <f t="shared" si="14"/>
        <v>0.23400000000000004</v>
      </c>
      <c r="G50">
        <f>-LN(1-F50)</f>
        <v>0.26657310924154576</v>
      </c>
      <c r="H50">
        <f t="shared" si="15"/>
        <v>0.44295006365931766</v>
      </c>
      <c r="I50" cm="1">
        <f t="array" ref="I50">_xlfn.SINGLE(INDEX(LINEST(LN(K50:Q50),LN(K$4:Q$4),,),1))</f>
        <v>0.44295006365931766</v>
      </c>
      <c r="J50" s="44">
        <f>INDEX(LINEST(LN(K50:Q50),LN(K$4:Q$4),,1),3)</f>
        <v>0.9908136789717793</v>
      </c>
      <c r="K50" s="342">
        <v>1</v>
      </c>
      <c r="L50" s="342">
        <v>1.2789428655826194</v>
      </c>
      <c r="M50" s="342">
        <v>1.5143626545983448</v>
      </c>
      <c r="N50" s="342">
        <v>1.7317540837871512</v>
      </c>
      <c r="O50" s="342">
        <v>1.9859613443264037</v>
      </c>
      <c r="P50" s="342">
        <v>2.1912256838753783</v>
      </c>
      <c r="Q50" s="342">
        <v>2.3231520750093666</v>
      </c>
      <c r="R50" s="47">
        <f t="shared" si="27"/>
        <v>0.76600000000000001</v>
      </c>
      <c r="S50" s="47">
        <f t="shared" si="27"/>
        <v>0.69602167975015072</v>
      </c>
      <c r="T50" s="47">
        <f t="shared" si="27"/>
        <v>0.64812749478234999</v>
      </c>
      <c r="U50" s="47">
        <f t="shared" si="27"/>
        <v>0.61103255617208585</v>
      </c>
      <c r="V50" s="47">
        <f t="shared" si="27"/>
        <v>0.58054822994501831</v>
      </c>
      <c r="W50" s="47">
        <f t="shared" si="27"/>
        <v>0.55459347095065448</v>
      </c>
      <c r="X50" s="47">
        <f t="shared" si="27"/>
        <v>0.5319642243117646</v>
      </c>
      <c r="Y50" s="47">
        <f t="shared" si="27"/>
        <v>0.51189383868484195</v>
      </c>
      <c r="Z50" s="47">
        <f t="shared" si="27"/>
        <v>0.49386069945144073</v>
      </c>
      <c r="AA50" s="47">
        <f t="shared" si="27"/>
        <v>0.47749214843217946</v>
      </c>
      <c r="AB50" s="47">
        <f t="shared" si="27"/>
        <v>0.46251176083413603</v>
      </c>
      <c r="AC50" s="47">
        <f t="shared" si="27"/>
        <v>0.44870829145278557</v>
      </c>
      <c r="AD50" s="47">
        <f t="shared" si="27"/>
        <v>0.43591634229875392</v>
      </c>
      <c r="AE50" s="47">
        <f t="shared" si="27"/>
        <v>0.42400377826253094</v>
      </c>
      <c r="AF50" s="47">
        <f t="shared" si="27"/>
        <v>0.41286322874951903</v>
      </c>
      <c r="AG50" s="47">
        <f t="shared" si="27"/>
        <v>0.40240616896077758</v>
      </c>
      <c r="AH50" s="47">
        <f t="shared" si="26"/>
        <v>0.39255868816449796</v>
      </c>
      <c r="AI50" s="47">
        <f t="shared" si="26"/>
        <v>0.3832583948890983</v>
      </c>
      <c r="AJ50" s="47">
        <f t="shared" si="26"/>
        <v>0.37445210852694177</v>
      </c>
      <c r="AK50" s="47">
        <f t="shared" si="26"/>
        <v>0.36609410741108112</v>
      </c>
      <c r="AL50" s="47"/>
      <c r="AM50" s="47"/>
      <c r="AN50" s="47"/>
      <c r="AO50" s="47"/>
      <c r="AP50" s="47"/>
      <c r="AQ50" s="47"/>
      <c r="AR50" s="47"/>
      <c r="AS50" s="47"/>
      <c r="AT50" s="47"/>
      <c r="AU50" s="283">
        <v>47</v>
      </c>
      <c r="AV50" s="350">
        <v>70000</v>
      </c>
      <c r="AW50" s="354">
        <f t="shared" ref="AW50:AW62" si="31">F54</f>
        <v>0.24499999999999997</v>
      </c>
      <c r="AX50" s="280">
        <f t="shared" ref="AX50:AX62" si="32">F116</f>
        <v>0.25900000000000001</v>
      </c>
      <c r="AY50" s="280">
        <f t="shared" si="7"/>
        <v>0.25900000000000001</v>
      </c>
      <c r="AZ50" s="280">
        <f t="shared" si="28"/>
        <v>0.24499999999999997</v>
      </c>
      <c r="BA50" s="356">
        <f t="shared" si="28"/>
        <v>0.24499999999999997</v>
      </c>
      <c r="BD50" s="281">
        <f t="shared" ref="BD50:BD62" si="33">I54</f>
        <v>0.42314248139744814</v>
      </c>
      <c r="BE50" s="281">
        <f t="shared" ref="BE50:BE62" si="34">I116</f>
        <v>0.4452438815849824</v>
      </c>
      <c r="BF50" s="281">
        <f t="shared" si="9"/>
        <v>0.4452438815849824</v>
      </c>
      <c r="BG50" s="281">
        <f t="shared" si="29"/>
        <v>0.42314248139744814</v>
      </c>
      <c r="BH50" s="281">
        <f t="shared" si="29"/>
        <v>0.42314248139744814</v>
      </c>
      <c r="BK50" s="344">
        <v>1.3977527100536144E-2</v>
      </c>
      <c r="BL50" s="344">
        <v>9.2206240466291244E-3</v>
      </c>
      <c r="BM50" s="341">
        <f t="shared" si="10"/>
        <v>9.2206240466291244E-3</v>
      </c>
      <c r="BN50" s="341">
        <f t="shared" si="30"/>
        <v>1.3977527100536144E-2</v>
      </c>
      <c r="BO50" s="341">
        <f t="shared" si="30"/>
        <v>1.3977527100536144E-2</v>
      </c>
      <c r="BQ50" s="47"/>
      <c r="BR50" s="634"/>
    </row>
    <row r="51" spans="3:71" ht="15.75" thickBot="1" x14ac:dyDescent="0.35">
      <c r="D51" s="342">
        <v>0.33857142857142858</v>
      </c>
      <c r="E51">
        <v>57500</v>
      </c>
      <c r="F51" s="342">
        <f t="shared" si="14"/>
        <v>0.23699999999999999</v>
      </c>
      <c r="G51">
        <f>-LN(1-F51)</f>
        <v>0.27049724769768002</v>
      </c>
      <c r="H51">
        <f t="shared" si="15"/>
        <v>0.43821696312321856</v>
      </c>
      <c r="I51" cm="1">
        <f t="array" ref="I51">_xlfn.SINGLE(INDEX(LINEST(LN(K51:Q51),LN(K$4:Q$4),,),1))</f>
        <v>0.43821696312321856</v>
      </c>
      <c r="J51" s="44">
        <f>INDEX(LINEST(LN(K51:Q51),LN(K$4:Q$4),,1),3)</f>
        <v>0.99239992630542495</v>
      </c>
      <c r="K51" s="342">
        <v>1</v>
      </c>
      <c r="L51" s="342">
        <v>1.2823340472016238</v>
      </c>
      <c r="M51" s="342">
        <v>1.5164377942697909</v>
      </c>
      <c r="N51" s="342">
        <v>1.7328266908204744</v>
      </c>
      <c r="O51" s="342">
        <v>1.9783054733521972</v>
      </c>
      <c r="P51" s="342">
        <v>2.173905944798491</v>
      </c>
      <c r="Q51" s="342">
        <v>2.3047074256651157</v>
      </c>
      <c r="R51" s="47">
        <f t="shared" si="27"/>
        <v>0.76300000000000001</v>
      </c>
      <c r="S51" s="47">
        <f t="shared" si="27"/>
        <v>0.69315302331603124</v>
      </c>
      <c r="T51" s="47">
        <f t="shared" si="27"/>
        <v>0.64547456228625844</v>
      </c>
      <c r="U51" s="47">
        <f t="shared" si="27"/>
        <v>0.60860400333587406</v>
      </c>
      <c r="V51" s="47">
        <f t="shared" si="27"/>
        <v>0.57833620852320444</v>
      </c>
      <c r="W51" s="47">
        <f t="shared" si="27"/>
        <v>0.55258586813522348</v>
      </c>
      <c r="X51" s="47">
        <f t="shared" si="27"/>
        <v>0.5301482180655569</v>
      </c>
      <c r="Y51" s="47">
        <f t="shared" si="27"/>
        <v>0.51025707095148343</v>
      </c>
      <c r="Z51" s="47">
        <f t="shared" si="27"/>
        <v>0.49239165502485327</v>
      </c>
      <c r="AA51" s="47">
        <f t="shared" si="27"/>
        <v>0.47618024038002371</v>
      </c>
      <c r="AB51" s="47">
        <f t="shared" si="27"/>
        <v>0.46134730373879512</v>
      </c>
      <c r="AC51" s="47">
        <f t="shared" si="27"/>
        <v>0.44768243391482476</v>
      </c>
      <c r="AD51" s="47">
        <f t="shared" si="27"/>
        <v>0.43502098819173651</v>
      </c>
      <c r="AE51" s="47">
        <f t="shared" si="27"/>
        <v>0.42323150898201478</v>
      </c>
      <c r="AF51" s="47">
        <f t="shared" si="27"/>
        <v>0.41220723126519071</v>
      </c>
      <c r="AG51" s="47">
        <f t="shared" si="27"/>
        <v>0.4018601712004724</v>
      </c>
      <c r="AH51" s="47">
        <f t="shared" si="26"/>
        <v>0.39211690181942238</v>
      </c>
      <c r="AI51" s="47">
        <f t="shared" si="26"/>
        <v>0.38291546513031205</v>
      </c>
      <c r="AJ51" s="47">
        <f t="shared" si="26"/>
        <v>0.37420306991205854</v>
      </c>
      <c r="AK51" s="47">
        <f t="shared" si="26"/>
        <v>0.36593434522650159</v>
      </c>
      <c r="AL51" s="47"/>
      <c r="AM51" s="47"/>
      <c r="AN51" s="47"/>
      <c r="AO51" s="47"/>
      <c r="AP51" s="47"/>
      <c r="AQ51" s="47"/>
      <c r="AR51" s="47"/>
      <c r="AS51" s="47"/>
      <c r="AT51" s="47"/>
      <c r="AU51" s="283">
        <v>48</v>
      </c>
      <c r="AV51" s="350">
        <v>75000</v>
      </c>
      <c r="AW51" s="354">
        <f t="shared" si="31"/>
        <v>0.24971463258785936</v>
      </c>
      <c r="AX51" s="280">
        <f t="shared" si="32"/>
        <v>0.26362111904501245</v>
      </c>
      <c r="AY51" s="280">
        <f t="shared" si="7"/>
        <v>0.26362111904501245</v>
      </c>
      <c r="AZ51" s="280">
        <f t="shared" si="28"/>
        <v>0.24971463258785936</v>
      </c>
      <c r="BA51" s="356">
        <f t="shared" si="28"/>
        <v>0.24971463258785936</v>
      </c>
      <c r="BD51" s="281">
        <f t="shared" si="33"/>
        <v>0.41517402209808735</v>
      </c>
      <c r="BE51" s="281">
        <f t="shared" si="34"/>
        <v>0.43815430600311406</v>
      </c>
      <c r="BF51" s="281">
        <f t="shared" si="9"/>
        <v>0.43815430600311406</v>
      </c>
      <c r="BG51" s="281">
        <f t="shared" si="29"/>
        <v>0.41517402209808735</v>
      </c>
      <c r="BH51" s="281">
        <f t="shared" si="29"/>
        <v>0.41517402209808735</v>
      </c>
      <c r="BK51" s="344">
        <v>1.3945661566156616E-2</v>
      </c>
      <c r="BL51" s="344">
        <v>9.1775629490130455E-3</v>
      </c>
      <c r="BM51" s="341">
        <f t="shared" si="10"/>
        <v>9.1775629490130455E-3</v>
      </c>
      <c r="BN51" s="341">
        <f t="shared" si="30"/>
        <v>1.3945661566156616E-2</v>
      </c>
      <c r="BO51" s="341">
        <f t="shared" si="30"/>
        <v>1.3945661566156616E-2</v>
      </c>
      <c r="BQ51" s="47"/>
      <c r="BR51" s="634"/>
    </row>
    <row r="52" spans="3:71" ht="15.75" thickBot="1" x14ac:dyDescent="0.35">
      <c r="D52" s="342">
        <v>0.34400000000000003</v>
      </c>
      <c r="E52">
        <v>62500</v>
      </c>
      <c r="F52" s="342">
        <f t="shared" si="14"/>
        <v>0.24080000000000001</v>
      </c>
      <c r="G52">
        <f>-LN(1-F52)</f>
        <v>0.27549003168641895</v>
      </c>
      <c r="H52">
        <f t="shared" si="15"/>
        <v>0.43114000006689773</v>
      </c>
      <c r="I52" cm="1">
        <f t="array" ref="I52">_xlfn.SINGLE(INDEX(LINEST(LN(K52:Q52),LN(K$4:Q$4),,),1))</f>
        <v>0.43114000006689773</v>
      </c>
      <c r="J52" s="44">
        <f>INDEX(LINEST(LN(K52:Q52),LN(K$4:Q$4),,1),3)</f>
        <v>0.993861982157492</v>
      </c>
      <c r="K52" s="342">
        <v>1</v>
      </c>
      <c r="L52" s="342">
        <v>1.2838992065618531</v>
      </c>
      <c r="M52" s="342">
        <v>1.5148656122574984</v>
      </c>
      <c r="N52" s="342">
        <v>1.7310737739140583</v>
      </c>
      <c r="O52" s="342">
        <v>1.9689845461646958</v>
      </c>
      <c r="P52" s="342">
        <v>2.1497918555320572</v>
      </c>
      <c r="Q52" s="342">
        <v>2.2702211461730264</v>
      </c>
      <c r="R52" s="47">
        <f t="shared" si="27"/>
        <v>0.75919999999999999</v>
      </c>
      <c r="S52" s="47">
        <f t="shared" si="27"/>
        <v>0.68973844778161353</v>
      </c>
      <c r="T52" s="47">
        <f t="shared" si="27"/>
        <v>0.64249466271645639</v>
      </c>
      <c r="U52" s="47">
        <f t="shared" si="27"/>
        <v>0.60603604544654244</v>
      </c>
      <c r="V52" s="47">
        <f t="shared" si="27"/>
        <v>0.57614772606813802</v>
      </c>
      <c r="W52" s="47">
        <f t="shared" si="27"/>
        <v>0.55074524375258405</v>
      </c>
      <c r="X52" s="47">
        <f t="shared" si="27"/>
        <v>0.52862683852123071</v>
      </c>
      <c r="Y52" s="47">
        <f t="shared" si="27"/>
        <v>0.50902953270443307</v>
      </c>
      <c r="Z52" s="47">
        <f t="shared" si="27"/>
        <v>0.49143547907672697</v>
      </c>
      <c r="AA52" s="47">
        <f t="shared" si="27"/>
        <v>0.47547549196314626</v>
      </c>
      <c r="AB52" s="47">
        <f t="shared" si="27"/>
        <v>0.46087623026649127</v>
      </c>
      <c r="AC52" s="47">
        <f t="shared" si="27"/>
        <v>0.44742915005769252</v>
      </c>
      <c r="AD52" s="47">
        <f t="shared" si="27"/>
        <v>0.4349712104494059</v>
      </c>
      <c r="AE52" s="47">
        <f t="shared" si="27"/>
        <v>0.42337233429832671</v>
      </c>
      <c r="AF52" s="47">
        <f t="shared" si="27"/>
        <v>0.41252695265135847</v>
      </c>
      <c r="AG52" s="47">
        <f t="shared" si="27"/>
        <v>0.40234812377136109</v>
      </c>
      <c r="AH52" s="47">
        <f t="shared" si="26"/>
        <v>0.39276333363448002</v>
      </c>
      <c r="AI52" s="47">
        <f t="shared" si="26"/>
        <v>0.38371142825087623</v>
      </c>
      <c r="AJ52" s="47">
        <f t="shared" si="26"/>
        <v>0.37514032798075059</v>
      </c>
      <c r="AK52" s="47">
        <f t="shared" si="26"/>
        <v>0.36700529461018677</v>
      </c>
      <c r="AL52" s="47"/>
      <c r="AM52" s="47"/>
      <c r="AN52" s="47"/>
      <c r="AO52" s="47"/>
      <c r="AP52" s="47"/>
      <c r="AQ52" s="47"/>
      <c r="AR52" s="47"/>
      <c r="AS52" s="47"/>
      <c r="AT52" s="47"/>
      <c r="AU52" s="283">
        <v>49</v>
      </c>
      <c r="AV52" s="350">
        <v>80000</v>
      </c>
      <c r="AW52" s="354">
        <f t="shared" si="31"/>
        <v>0.25287067092651749</v>
      </c>
      <c r="AX52" s="280">
        <f t="shared" si="32"/>
        <v>0.26768520928874678</v>
      </c>
      <c r="AY52" s="280">
        <f t="shared" si="7"/>
        <v>0.26768520928874678</v>
      </c>
      <c r="AZ52" s="280">
        <f t="shared" si="28"/>
        <v>0.25287067092651749</v>
      </c>
      <c r="BA52" s="356">
        <f t="shared" si="28"/>
        <v>0.25287067092651749</v>
      </c>
      <c r="BD52" s="281">
        <f t="shared" si="33"/>
        <v>0.40230804646961754</v>
      </c>
      <c r="BE52" s="281">
        <f t="shared" si="34"/>
        <v>0.43028276039746233</v>
      </c>
      <c r="BF52" s="281">
        <f t="shared" si="9"/>
        <v>0.43028276039746233</v>
      </c>
      <c r="BG52" s="281">
        <f t="shared" si="29"/>
        <v>0.40230804646961754</v>
      </c>
      <c r="BH52" s="281">
        <f t="shared" si="29"/>
        <v>0.40230804646961754</v>
      </c>
      <c r="BK52" s="344">
        <v>1.383055805580558E-2</v>
      </c>
      <c r="BL52" s="344">
        <v>9.170584269140452E-3</v>
      </c>
      <c r="BM52" s="341">
        <f t="shared" si="10"/>
        <v>9.170584269140452E-3</v>
      </c>
      <c r="BN52" s="341">
        <f t="shared" si="30"/>
        <v>1.383055805580558E-2</v>
      </c>
      <c r="BO52" s="341">
        <f t="shared" si="30"/>
        <v>1.383055805580558E-2</v>
      </c>
      <c r="BQ52" s="47"/>
      <c r="BR52" s="634"/>
    </row>
    <row r="53" spans="3:71" ht="15.75" thickBot="1" x14ac:dyDescent="0.35">
      <c r="D53" s="342">
        <v>0.34999999999999992</v>
      </c>
      <c r="E53">
        <v>67500</v>
      </c>
      <c r="F53" s="342">
        <f t="shared" si="14"/>
        <v>0.24499999999999994</v>
      </c>
      <c r="G53">
        <f>-LN(1-F53)</f>
        <v>0.28103752973311219</v>
      </c>
      <c r="H53">
        <f t="shared" si="15"/>
        <v>0.42494033080626281</v>
      </c>
      <c r="I53" cm="1">
        <f t="array" ref="I53">_xlfn.SINGLE(INDEX(LINEST(LN(K53:Q53),LN(K$4:Q$4),,),1))</f>
        <v>0.42494033080626281</v>
      </c>
      <c r="J53" s="44">
        <f>INDEX(LINEST(LN(K53:Q53),LN(K$4:Q$4),,1),3)</f>
        <v>0.99468112838320766</v>
      </c>
      <c r="K53" s="342">
        <v>1</v>
      </c>
      <c r="L53" s="342">
        <v>1.2913418268503443</v>
      </c>
      <c r="M53" s="342">
        <v>1.503162370461598</v>
      </c>
      <c r="N53" s="342">
        <v>1.7362699148784611</v>
      </c>
      <c r="O53" s="342">
        <v>1.9591539932688442</v>
      </c>
      <c r="P53" s="342">
        <v>2.1270359098397997</v>
      </c>
      <c r="Q53" s="342">
        <v>2.2461058461613739</v>
      </c>
      <c r="R53" s="47">
        <f t="shared" si="27"/>
        <v>0.75500000000000012</v>
      </c>
      <c r="S53" s="47">
        <f t="shared" si="27"/>
        <v>0.68571193827840993</v>
      </c>
      <c r="T53" s="47">
        <f t="shared" si="27"/>
        <v>0.63875019591287141</v>
      </c>
      <c r="U53" s="47">
        <f t="shared" si="27"/>
        <v>0.6025838181284332</v>
      </c>
      <c r="V53" s="47">
        <f t="shared" si="27"/>
        <v>0.57297694129091714</v>
      </c>
      <c r="W53" s="47">
        <f t="shared" si="27"/>
        <v>0.54783985670755864</v>
      </c>
      <c r="X53" s="47">
        <f t="shared" si="27"/>
        <v>0.52597005930748375</v>
      </c>
      <c r="Y53" s="47">
        <f t="shared" si="27"/>
        <v>0.50660528047855491</v>
      </c>
      <c r="Z53" s="47">
        <f t="shared" si="27"/>
        <v>0.48922883236407022</v>
      </c>
      <c r="AA53" s="47">
        <f t="shared" si="27"/>
        <v>0.47347277404690585</v>
      </c>
      <c r="AB53" s="47">
        <f t="shared" si="27"/>
        <v>0.459064958435559</v>
      </c>
      <c r="AC53" s="47">
        <f t="shared" si="27"/>
        <v>0.44579793773675264</v>
      </c>
      <c r="AD53" s="47">
        <f t="shared" si="27"/>
        <v>0.43350965832327232</v>
      </c>
      <c r="AE53" s="47">
        <f t="shared" si="27"/>
        <v>0.4220709250244627</v>
      </c>
      <c r="AF53" s="47">
        <f t="shared" si="27"/>
        <v>0.41137695460374846</v>
      </c>
      <c r="AG53" s="47">
        <f t="shared" si="27"/>
        <v>0.40134150529570684</v>
      </c>
      <c r="AH53" s="47">
        <f t="shared" si="26"/>
        <v>0.39189268760510565</v>
      </c>
      <c r="AI53" s="47">
        <f t="shared" si="26"/>
        <v>0.38296990605318665</v>
      </c>
      <c r="AJ53" s="47">
        <f t="shared" si="26"/>
        <v>0.37452158183992623</v>
      </c>
      <c r="AK53" s="47">
        <f t="shared" si="26"/>
        <v>0.36650342718914636</v>
      </c>
      <c r="AL53" s="47"/>
      <c r="AM53" s="47"/>
      <c r="AN53" s="47"/>
      <c r="AO53" s="47"/>
      <c r="AP53" s="47"/>
      <c r="AQ53" s="47"/>
      <c r="AR53" s="47"/>
      <c r="AS53" s="47"/>
      <c r="AT53" s="47"/>
      <c r="AU53" s="283">
        <v>50</v>
      </c>
      <c r="AV53" s="350">
        <v>85000</v>
      </c>
      <c r="AW53" s="354">
        <f t="shared" si="31"/>
        <v>0.25602670926517562</v>
      </c>
      <c r="AX53" s="280">
        <f t="shared" si="32"/>
        <v>0.27174929953248106</v>
      </c>
      <c r="AY53" s="280">
        <f t="shared" si="7"/>
        <v>0.27174929953248106</v>
      </c>
      <c r="AZ53" s="280">
        <f t="shared" si="28"/>
        <v>0.25602670926517562</v>
      </c>
      <c r="BA53" s="356">
        <f t="shared" si="28"/>
        <v>0.25602670926517562</v>
      </c>
      <c r="BD53" s="281">
        <f t="shared" si="33"/>
        <v>0.39470243893848028</v>
      </c>
      <c r="BE53" s="281">
        <f t="shared" si="34"/>
        <v>0.42231186004304228</v>
      </c>
      <c r="BF53" s="281">
        <f t="shared" si="9"/>
        <v>0.42231186004304228</v>
      </c>
      <c r="BG53" s="281">
        <f t="shared" si="29"/>
        <v>0.39470243893848028</v>
      </c>
      <c r="BH53" s="281">
        <f t="shared" si="29"/>
        <v>0.39470243893848028</v>
      </c>
      <c r="BK53" s="344">
        <v>1.3715454545454499E-2</v>
      </c>
      <c r="BL53" s="344">
        <v>9.1636055892678602E-3</v>
      </c>
      <c r="BM53" s="341">
        <f t="shared" si="10"/>
        <v>9.1636055892678602E-3</v>
      </c>
      <c r="BN53" s="341">
        <f t="shared" si="30"/>
        <v>1.3715454545454499E-2</v>
      </c>
      <c r="BO53" s="341">
        <f t="shared" si="30"/>
        <v>1.3715454545454499E-2</v>
      </c>
      <c r="BQ53" s="47"/>
      <c r="BR53" s="634"/>
    </row>
    <row r="54" spans="3:71" ht="15.75" thickBot="1" x14ac:dyDescent="0.35">
      <c r="D54" s="342">
        <v>0.35</v>
      </c>
      <c r="E54">
        <v>72500</v>
      </c>
      <c r="F54" s="342">
        <f t="shared" si="14"/>
        <v>0.24499999999999997</v>
      </c>
      <c r="G54">
        <f>-LN(1-F54)</f>
        <v>0.28103752973311236</v>
      </c>
      <c r="H54">
        <f t="shared" si="15"/>
        <v>0.42314248139744814</v>
      </c>
      <c r="I54" cm="1">
        <f t="array" ref="I54">_xlfn.SINGLE(INDEX(LINEST(LN(K54:Q54),LN(K$4:Q$4),,),1))</f>
        <v>0.42314248139744814</v>
      </c>
      <c r="J54" s="44">
        <f>INDEX(LINEST(LN(K54:Q54),LN(K$4:Q$4),,1),3)</f>
        <v>0.99673651289325227</v>
      </c>
      <c r="K54" s="342">
        <v>1</v>
      </c>
      <c r="L54" s="342">
        <v>1.3048774618371812</v>
      </c>
      <c r="M54" s="342">
        <v>1.5179953590971069</v>
      </c>
      <c r="N54" s="342">
        <v>1.7526753175977634</v>
      </c>
      <c r="O54" s="342">
        <v>1.9591539932688433</v>
      </c>
      <c r="P54" s="342">
        <v>2.1270359098397988</v>
      </c>
      <c r="Q54" s="342">
        <v>2.2461058461613725</v>
      </c>
      <c r="R54" s="47">
        <f t="shared" si="27"/>
        <v>0.755</v>
      </c>
      <c r="S54" s="47">
        <f t="shared" si="27"/>
        <v>0.68603422027970729</v>
      </c>
      <c r="T54" s="47">
        <f t="shared" si="27"/>
        <v>0.63931539889144073</v>
      </c>
      <c r="U54" s="47">
        <f t="shared" si="27"/>
        <v>0.60334407937664036</v>
      </c>
      <c r="V54" s="47">
        <f t="shared" si="27"/>
        <v>0.57389966321071606</v>
      </c>
      <c r="W54" s="47">
        <f t="shared" si="27"/>
        <v>0.54890116078425655</v>
      </c>
      <c r="X54" s="47">
        <f t="shared" si="27"/>
        <v>0.52715159150349322</v>
      </c>
      <c r="Y54" s="47">
        <f t="shared" si="27"/>
        <v>0.50789244184241988</v>
      </c>
      <c r="Z54" s="47">
        <f t="shared" si="27"/>
        <v>0.49060970916106073</v>
      </c>
      <c r="AA54" s="47">
        <f t="shared" si="27"/>
        <v>0.47493744787445491</v>
      </c>
      <c r="AB54" s="47">
        <f t="shared" si="27"/>
        <v>0.46060503890852467</v>
      </c>
      <c r="AC54" s="47">
        <f t="shared" si="27"/>
        <v>0.44740623336332469</v>
      </c>
      <c r="AD54" s="47">
        <f t="shared" si="27"/>
        <v>0.4351799372628109</v>
      </c>
      <c r="AE54" s="47">
        <f t="shared" si="27"/>
        <v>0.42379773656777125</v>
      </c>
      <c r="AF54" s="47">
        <f t="shared" si="27"/>
        <v>0.41315549299348053</v>
      </c>
      <c r="AG54" s="47">
        <f t="shared" si="27"/>
        <v>0.40316750386960359</v>
      </c>
      <c r="AH54" s="47">
        <f t="shared" si="26"/>
        <v>0.39376233515938136</v>
      </c>
      <c r="AI54" s="47">
        <f t="shared" si="26"/>
        <v>0.38487977981563792</v>
      </c>
      <c r="AJ54" s="47">
        <f t="shared" si="26"/>
        <v>0.37646859307711028</v>
      </c>
      <c r="AK54" s="47">
        <f t="shared" si="26"/>
        <v>0.36848477657258977</v>
      </c>
      <c r="AL54" s="47"/>
      <c r="AM54" s="47"/>
      <c r="AN54" s="47"/>
      <c r="AO54" s="47"/>
      <c r="AP54" s="47"/>
      <c r="AQ54" s="47"/>
      <c r="AR54" s="47"/>
      <c r="AS54" s="47"/>
      <c r="AT54" s="47"/>
      <c r="AU54" s="283">
        <v>51</v>
      </c>
      <c r="AV54" s="350">
        <v>90000</v>
      </c>
      <c r="AW54" s="354">
        <f t="shared" si="31"/>
        <v>0.25918274760383375</v>
      </c>
      <c r="AX54" s="280">
        <f t="shared" si="32"/>
        <v>0.27581338977621539</v>
      </c>
      <c r="AY54" s="280">
        <f t="shared" si="7"/>
        <v>0.27581338977621539</v>
      </c>
      <c r="AZ54" s="280">
        <f t="shared" si="28"/>
        <v>0.25918274760383375</v>
      </c>
      <c r="BA54" s="356">
        <f t="shared" si="28"/>
        <v>0.25918274760383375</v>
      </c>
      <c r="BD54" s="281">
        <f t="shared" si="33"/>
        <v>0.3869821172374252</v>
      </c>
      <c r="BE54" s="281">
        <f t="shared" si="34"/>
        <v>0.41423878622055277</v>
      </c>
      <c r="BF54" s="281">
        <f t="shared" si="9"/>
        <v>0.41423878622055277</v>
      </c>
      <c r="BG54" s="281">
        <f t="shared" si="29"/>
        <v>0.3869821172374252</v>
      </c>
      <c r="BH54" s="281">
        <f t="shared" si="29"/>
        <v>0.3869821172374252</v>
      </c>
      <c r="BK54" s="344">
        <v>1.36003510351035E-2</v>
      </c>
      <c r="BL54" s="344">
        <v>9.1566269093952598E-3</v>
      </c>
      <c r="BM54" s="341">
        <f t="shared" si="10"/>
        <v>9.1566269093952598E-3</v>
      </c>
      <c r="BN54" s="341">
        <f t="shared" si="30"/>
        <v>1.36003510351035E-2</v>
      </c>
      <c r="BO54" s="341">
        <f t="shared" si="30"/>
        <v>1.36003510351035E-2</v>
      </c>
      <c r="BQ54" s="47"/>
      <c r="BR54" s="634"/>
    </row>
    <row r="55" spans="3:71" ht="15.75" thickBot="1" x14ac:dyDescent="0.35">
      <c r="C55" s="545" t="s">
        <v>1511</v>
      </c>
      <c r="D55" s="547" cm="1">
        <f t="array" ref="D55">TREND($D$49:$D$54,$E$49:$E$54,E55)</f>
        <v>0.35673518941122767</v>
      </c>
      <c r="E55" s="546">
        <v>77500</v>
      </c>
      <c r="F55" s="547">
        <f t="shared" si="14"/>
        <v>0.24971463258785936</v>
      </c>
      <c r="G55" s="548">
        <f t="shared" ref="G55:G66" si="35">-LN(1-F55)</f>
        <v>0.28730165493684606</v>
      </c>
      <c r="H55">
        <f t="shared" si="15"/>
        <v>0.41517402209808735</v>
      </c>
      <c r="I55" s="548" cm="1">
        <f t="array" ref="I55">_xlfn.SINGLE(INDEX(LINEST(LN(K55:Q55),LN(K$4:Q$4),,),1))</f>
        <v>0.41517402209808735</v>
      </c>
      <c r="J55" s="549">
        <f t="shared" ref="J55:J66" si="36">INDEX(LINEST(LN(K55:Q55),LN(L$4:R$4),,1),3)</f>
        <v>0.99688091536729118</v>
      </c>
      <c r="K55" s="547">
        <f>K54</f>
        <v>1</v>
      </c>
      <c r="L55" s="547" cm="1">
        <f t="array" ref="L55">TREND(L$48:L$54,$E$48:$E$54,$E55)</f>
        <v>1.3031252169877541</v>
      </c>
      <c r="M55" s="547" cm="1">
        <f t="array" ref="M55">TREND(M$48:M$54,$E$48:$E$54,$E55)</f>
        <v>1.5094844965988317</v>
      </c>
      <c r="N55" s="547" cm="1">
        <f t="array" ref="N55">TREND(N$48:N$54,$E$48:$E$54,$E55)</f>
        <v>1.7431042799277852</v>
      </c>
      <c r="O55" s="547" cm="1">
        <f t="array" ref="O55">TREND(O$48:O$54,$E$48:$E$54,$E55)</f>
        <v>1.9484787093338856</v>
      </c>
      <c r="P55" s="547" cm="1">
        <f t="array" ref="P55">TREND(P$48:P$54,$E$48:$E$54,$E55)</f>
        <v>2.0986527880653036</v>
      </c>
      <c r="Q55" s="547" cm="1">
        <f t="array" ref="Q55">TREND(Q$48:Q$54,$E$48:$E$54,$E55)</f>
        <v>2.2062734385121119</v>
      </c>
      <c r="R55" s="550">
        <f t="shared" si="27"/>
        <v>0.75028536741214058</v>
      </c>
      <c r="S55" s="550">
        <f t="shared" si="27"/>
        <v>0.68174122752146782</v>
      </c>
      <c r="T55" s="550">
        <f t="shared" si="27"/>
        <v>0.63550040908635219</v>
      </c>
      <c r="U55" s="550">
        <f t="shared" si="27"/>
        <v>0.59998227049177599</v>
      </c>
      <c r="V55" s="550">
        <f t="shared" si="27"/>
        <v>0.57095543580997055</v>
      </c>
      <c r="W55" s="550">
        <f t="shared" si="27"/>
        <v>0.5463399221757046</v>
      </c>
      <c r="X55" s="550">
        <f t="shared" si="27"/>
        <v>0.52494210923142393</v>
      </c>
      <c r="Y55" s="550">
        <f t="shared" si="27"/>
        <v>0.50600704300739008</v>
      </c>
      <c r="Z55" s="550">
        <f t="shared" si="27"/>
        <v>0.48902394763527585</v>
      </c>
      <c r="AA55" s="550">
        <f t="shared" si="27"/>
        <v>0.4736296740255555</v>
      </c>
      <c r="AB55" s="550">
        <f t="shared" si="27"/>
        <v>0.4595559943214062</v>
      </c>
      <c r="AC55" s="550">
        <f t="shared" si="27"/>
        <v>0.44659870052155881</v>
      </c>
      <c r="AD55" s="550">
        <f t="shared" si="27"/>
        <v>0.43459844561482025</v>
      </c>
      <c r="AE55" s="550">
        <f t="shared" si="27"/>
        <v>0.42342831823369775</v>
      </c>
      <c r="AF55" s="550">
        <f t="shared" si="27"/>
        <v>0.41298547990630619</v>
      </c>
      <c r="AG55" s="550">
        <f t="shared" si="27"/>
        <v>0.40318535880330664</v>
      </c>
      <c r="AH55" s="550">
        <f t="shared" si="26"/>
        <v>0.39395751029071868</v>
      </c>
      <c r="AI55" s="550">
        <f t="shared" si="26"/>
        <v>0.38524259765647417</v>
      </c>
      <c r="AJ55" s="550">
        <f t="shared" si="26"/>
        <v>0.37699014564063182</v>
      </c>
      <c r="AK55" s="551">
        <f t="shared" si="26"/>
        <v>0.36915683947347577</v>
      </c>
      <c r="AL55" s="47"/>
      <c r="AM55" s="47"/>
      <c r="AN55" s="47"/>
      <c r="AO55" s="47"/>
      <c r="AP55" s="47"/>
      <c r="AQ55" s="47"/>
      <c r="AR55" s="47"/>
      <c r="AS55" s="47"/>
      <c r="AT55" s="47"/>
      <c r="AU55" s="283">
        <v>52</v>
      </c>
      <c r="AV55" s="350">
        <v>95000</v>
      </c>
      <c r="AW55" s="354">
        <f t="shared" si="31"/>
        <v>0.26233878594249188</v>
      </c>
      <c r="AX55" s="280">
        <f t="shared" si="32"/>
        <v>0.27987748001994972</v>
      </c>
      <c r="AY55" s="280">
        <f t="shared" si="7"/>
        <v>0.27987748001994972</v>
      </c>
      <c r="AZ55" s="280">
        <f t="shared" si="28"/>
        <v>0.26233878594249188</v>
      </c>
      <c r="BA55" s="356">
        <f t="shared" si="28"/>
        <v>0.26233878594249188</v>
      </c>
      <c r="BD55" s="281">
        <f t="shared" si="33"/>
        <v>0.37914320704072912</v>
      </c>
      <c r="BE55" s="281">
        <f t="shared" si="34"/>
        <v>0.40606059706863334</v>
      </c>
      <c r="BF55" s="281">
        <f t="shared" si="9"/>
        <v>0.40606059706863334</v>
      </c>
      <c r="BG55" s="281">
        <f t="shared" si="29"/>
        <v>0.37914320704072912</v>
      </c>
      <c r="BH55" s="281">
        <f t="shared" si="29"/>
        <v>0.37914320704072912</v>
      </c>
      <c r="BK55" s="344">
        <v>1.36003510351035E-2</v>
      </c>
      <c r="BL55" s="344">
        <v>9.1566269093952598E-3</v>
      </c>
      <c r="BM55" s="341">
        <f t="shared" si="10"/>
        <v>9.1566269093952598E-3</v>
      </c>
      <c r="BN55" s="341">
        <f t="shared" si="30"/>
        <v>1.36003510351035E-2</v>
      </c>
      <c r="BO55" s="341">
        <f t="shared" si="30"/>
        <v>1.36003510351035E-2</v>
      </c>
      <c r="BQ55" s="47"/>
      <c r="BR55" s="634"/>
    </row>
    <row r="56" spans="3:71" ht="15.75" thickBot="1" x14ac:dyDescent="0.35">
      <c r="D56" s="547" cm="1">
        <f t="array" ref="D56">TREND($D$49:$D$54,$E$49:$E$54,E56)</f>
        <v>0.36124381560931074</v>
      </c>
      <c r="E56" s="552">
        <v>82500</v>
      </c>
      <c r="F56" s="342">
        <f t="shared" si="14"/>
        <v>0.25287067092651749</v>
      </c>
      <c r="G56">
        <f t="shared" si="35"/>
        <v>0.29151697754500933</v>
      </c>
      <c r="H56">
        <f t="shared" si="15"/>
        <v>0.40230804646961754</v>
      </c>
      <c r="I56" cm="1">
        <f t="array" ref="I56">_xlfn.SINGLE(INDEX(LINEST(LN(K56:Q56),LN(K$4:Q$4),,),1))</f>
        <v>0.40230804646961754</v>
      </c>
      <c r="J56" s="44">
        <f t="shared" si="36"/>
        <v>0.99345591272072353</v>
      </c>
      <c r="K56" s="342" cm="1">
        <f t="array" ref="K56">TREND(K$32:K$54,$E$32:$E$54,$E56)</f>
        <v>1</v>
      </c>
      <c r="L56" s="342" cm="1">
        <f t="array" ref="L56">TREND(L$40:L$54,$E$40:$E$54,$E56)</f>
        <v>1.2855222441488607</v>
      </c>
      <c r="M56" s="342" cm="1">
        <f t="array" ref="M56">TREND(M$40:M$54,$E$40:$E$54,$E56)</f>
        <v>1.5034095552435487</v>
      </c>
      <c r="N56" s="342" cm="1">
        <f t="array" ref="N56">TREND(N$40:N$54,$E$40:$E$54,$E56)</f>
        <v>1.7142084963096023</v>
      </c>
      <c r="O56" s="342" cm="1">
        <f t="array" ref="O56">TREND(O$40:O$54,$E$40:$E$54,$E56)</f>
        <v>1.9342689162168809</v>
      </c>
      <c r="P56" s="342" cm="1">
        <f t="array" ref="P56">TREND(P$40:P$54,$E$40:$E$54,$E56)</f>
        <v>2.0660725339827692</v>
      </c>
      <c r="Q56" s="342" cm="1">
        <f t="array" ref="Q56">TREND(Q$40:Q$54,$E$40:$E$54,$E56)</f>
        <v>2.1196507200850383</v>
      </c>
      <c r="R56" s="47">
        <f t="shared" si="27"/>
        <v>0.74712932907348251</v>
      </c>
      <c r="S56" s="47">
        <f t="shared" si="27"/>
        <v>0.68026365091270546</v>
      </c>
      <c r="T56" s="47">
        <f t="shared" si="27"/>
        <v>0.63537628100575039</v>
      </c>
      <c r="U56" s="47">
        <f t="shared" si="27"/>
        <v>0.60098389263239083</v>
      </c>
      <c r="V56" s="47">
        <f t="shared" si="27"/>
        <v>0.57291797895552821</v>
      </c>
      <c r="W56" s="47">
        <f t="shared" si="27"/>
        <v>0.54913827572667429</v>
      </c>
      <c r="X56" s="47">
        <f t="shared" si="27"/>
        <v>0.52847774111308987</v>
      </c>
      <c r="Y56" s="47">
        <f t="shared" si="27"/>
        <v>0.51020013646498974</v>
      </c>
      <c r="Z56" s="47">
        <f t="shared" si="27"/>
        <v>0.49380841097880473</v>
      </c>
      <c r="AA56" s="47">
        <f t="shared" si="27"/>
        <v>0.47894981241386908</v>
      </c>
      <c r="AB56" s="47">
        <f t="shared" si="27"/>
        <v>0.46536419787000011</v>
      </c>
      <c r="AC56" s="47">
        <f t="shared" si="27"/>
        <v>0.45285378371538848</v>
      </c>
      <c r="AD56" s="47">
        <f t="shared" si="27"/>
        <v>0.44126442082628975</v>
      </c>
      <c r="AE56" s="47">
        <f t="shared" si="27"/>
        <v>0.43047346831497019</v>
      </c>
      <c r="AF56" s="47">
        <f t="shared" si="27"/>
        <v>0.42038164271120582</v>
      </c>
      <c r="AG56" s="47">
        <f t="shared" si="27"/>
        <v>0.41090736556468715</v>
      </c>
      <c r="AH56" s="47">
        <f t="shared" si="26"/>
        <v>0.40198273806287649</v>
      </c>
      <c r="AI56" s="47">
        <f t="shared" si="26"/>
        <v>0.39355060789143154</v>
      </c>
      <c r="AJ56" s="47">
        <f t="shared" si="26"/>
        <v>0.3855623888699749</v>
      </c>
      <c r="AK56" s="553">
        <f t="shared" si="26"/>
        <v>0.37797641146096916</v>
      </c>
      <c r="AL56" s="47"/>
      <c r="AM56" s="47"/>
      <c r="AN56" s="47"/>
      <c r="AO56" s="47"/>
      <c r="AP56" s="47"/>
      <c r="AQ56" s="47"/>
      <c r="AR56" s="47"/>
      <c r="AS56" s="47"/>
      <c r="AT56" s="47"/>
      <c r="AU56" s="283">
        <v>53</v>
      </c>
      <c r="AV56" s="350">
        <v>100000</v>
      </c>
      <c r="AW56" s="354">
        <f t="shared" si="31"/>
        <v>0.26549482428115001</v>
      </c>
      <c r="AX56" s="280">
        <f t="shared" si="32"/>
        <v>0.28394157026368405</v>
      </c>
      <c r="AY56" s="280">
        <f t="shared" si="7"/>
        <v>0.28394157026368405</v>
      </c>
      <c r="AZ56" s="280">
        <f t="shared" si="28"/>
        <v>0.26549482428115001</v>
      </c>
      <c r="BA56" s="356">
        <f t="shared" si="28"/>
        <v>0.26549482428115001</v>
      </c>
      <c r="BD56" s="281">
        <f t="shared" si="33"/>
        <v>0.37118162327147097</v>
      </c>
      <c r="BE56" s="281">
        <f t="shared" si="34"/>
        <v>0.39777422015084041</v>
      </c>
      <c r="BF56" s="281">
        <f t="shared" si="9"/>
        <v>0.39777422015084041</v>
      </c>
      <c r="BG56" s="281">
        <f t="shared" si="29"/>
        <v>0.37118162327147097</v>
      </c>
      <c r="BH56" s="281">
        <f t="shared" si="29"/>
        <v>0.37118162327147097</v>
      </c>
      <c r="BK56" s="344">
        <v>1.3485247524752501E-2</v>
      </c>
      <c r="BL56" s="344">
        <v>9.1496482295226698E-3</v>
      </c>
      <c r="BM56" s="341">
        <f t="shared" si="10"/>
        <v>9.1496482295226698E-3</v>
      </c>
      <c r="BN56" s="341">
        <f t="shared" si="30"/>
        <v>1.3485247524752501E-2</v>
      </c>
      <c r="BO56" s="341">
        <f t="shared" si="30"/>
        <v>1.3485247524752501E-2</v>
      </c>
      <c r="BQ56" s="47"/>
      <c r="BR56" s="634"/>
    </row>
    <row r="57" spans="3:71" ht="15.75" thickBot="1" x14ac:dyDescent="0.35">
      <c r="D57" s="547" cm="1">
        <f t="array" ref="D57">TREND($D$49:$D$54,$E$49:$E$54,E57)</f>
        <v>0.36575244180739375</v>
      </c>
      <c r="E57" s="552">
        <v>87500</v>
      </c>
      <c r="F57" s="342">
        <f t="shared" si="14"/>
        <v>0.25602670926517562</v>
      </c>
      <c r="G57">
        <f t="shared" si="35"/>
        <v>0.29575014434341662</v>
      </c>
      <c r="H57">
        <f t="shared" si="15"/>
        <v>0.39470243893848028</v>
      </c>
      <c r="I57" cm="1">
        <f t="array" ref="I57">_xlfn.SINGLE(INDEX(LINEST(LN(K57:Q57),LN(K$4:Q$4),,),1))</f>
        <v>0.39470243893848028</v>
      </c>
      <c r="J57" s="44">
        <f t="shared" si="36"/>
        <v>0.99083097151039279</v>
      </c>
      <c r="K57" s="342" cm="1">
        <f t="array" ref="K57">TREND(K$32:K$54,$E$32:$E$54,$E57)</f>
        <v>1</v>
      </c>
      <c r="L57" s="342" cm="1">
        <f t="array" ref="L57">TREND(L$40:L$54,$E$40:$E$54,$E57)</f>
        <v>1.2851473426157152</v>
      </c>
      <c r="M57" s="342" cm="1">
        <f t="array" ref="M57">TREND(M$40:M$54,$E$40:$E$54,$E57)</f>
        <v>1.5007655006722445</v>
      </c>
      <c r="N57" s="342" cm="1">
        <f t="array" ref="N57">TREND(N$40:N$54,$E$40:$E$54,$E57)</f>
        <v>1.708427649202364</v>
      </c>
      <c r="O57" s="342" cm="1">
        <f t="array" ref="O57">TREND(O$40:O$54,$E$40:$E$54,$E57)</f>
        <v>1.9253650820801556</v>
      </c>
      <c r="P57" s="342" cm="1">
        <f t="array" ref="P57">TREND(P$40:P$54,$E$40:$E$54,$E57)</f>
        <v>2.0442935863560949</v>
      </c>
      <c r="Q57" s="342" cm="1">
        <f t="array" ref="Q57">TREND(Q$40:Q$54,$E$40:$E$54,$E57)</f>
        <v>2.0812594046018953</v>
      </c>
      <c r="R57" s="47">
        <f t="shared" si="27"/>
        <v>0.74397329073482443</v>
      </c>
      <c r="S57" s="47">
        <f t="shared" si="27"/>
        <v>0.6778601311869612</v>
      </c>
      <c r="T57" s="47">
        <f t="shared" si="27"/>
        <v>0.6336267708992851</v>
      </c>
      <c r="U57" s="47">
        <f t="shared" si="27"/>
        <v>0.59979753647221212</v>
      </c>
      <c r="V57" s="47">
        <f t="shared" si="27"/>
        <v>0.57222323634085126</v>
      </c>
      <c r="W57" s="47">
        <f t="shared" si="27"/>
        <v>0.54887842325674474</v>
      </c>
      <c r="X57" s="47">
        <f t="shared" si="27"/>
        <v>0.52860684646491185</v>
      </c>
      <c r="Y57" s="47">
        <f t="shared" si="27"/>
        <v>0.51068024682219648</v>
      </c>
      <c r="Z57" s="47">
        <f t="shared" si="27"/>
        <v>0.49460761871044545</v>
      </c>
      <c r="AA57" s="47">
        <f t="shared" si="27"/>
        <v>0.48004089810740075</v>
      </c>
      <c r="AB57" s="47">
        <f t="shared" si="27"/>
        <v>0.46672365409884875</v>
      </c>
      <c r="AC57" s="47">
        <f t="shared" si="27"/>
        <v>0.45446109536339413</v>
      </c>
      <c r="AD57" s="47">
        <f t="shared" si="27"/>
        <v>0.44310152270312386</v>
      </c>
      <c r="AE57" s="47">
        <f t="shared" si="27"/>
        <v>0.43252432831223586</v>
      </c>
      <c r="AF57" s="47">
        <f t="shared" si="27"/>
        <v>0.42263193586656084</v>
      </c>
      <c r="AG57" s="47">
        <f t="shared" ref="AG57:AK66" si="37">EXP(-$G57*AG$8^$H57)</f>
        <v>0.41334421529560283</v>
      </c>
      <c r="AH57" s="47">
        <f t="shared" si="37"/>
        <v>0.40459450793420515</v>
      </c>
      <c r="AI57" s="47">
        <f t="shared" si="37"/>
        <v>0.39632673202045549</v>
      </c>
      <c r="AJ57" s="47">
        <f t="shared" si="37"/>
        <v>0.38849323230465221</v>
      </c>
      <c r="AK57" s="553">
        <f t="shared" si="37"/>
        <v>0.38105315411556923</v>
      </c>
      <c r="AL57" s="47"/>
      <c r="AM57" s="47"/>
      <c r="AN57" s="47"/>
      <c r="AO57" s="47"/>
      <c r="AP57" s="47"/>
      <c r="AQ57" s="47"/>
      <c r="AR57" s="47"/>
      <c r="AS57" s="47"/>
      <c r="AT57" s="47"/>
      <c r="AU57" s="283">
        <v>54</v>
      </c>
      <c r="AV57" s="350">
        <v>105000</v>
      </c>
      <c r="AW57" s="354">
        <f t="shared" si="31"/>
        <v>0.26865086261980814</v>
      </c>
      <c r="AX57" s="280">
        <f t="shared" si="32"/>
        <v>0.28800566050741833</v>
      </c>
      <c r="AY57" s="280">
        <f t="shared" si="7"/>
        <v>0.28800566050741833</v>
      </c>
      <c r="AZ57" s="280">
        <f t="shared" si="28"/>
        <v>0.26865086261980814</v>
      </c>
      <c r="BA57" s="356">
        <f t="shared" si="28"/>
        <v>0.26865086261980814</v>
      </c>
      <c r="BD57" s="281">
        <f t="shared" si="33"/>
        <v>0.36309305407165238</v>
      </c>
      <c r="BE57" s="281">
        <f t="shared" si="34"/>
        <v>0.38937644444400243</v>
      </c>
      <c r="BF57" s="281">
        <f t="shared" si="9"/>
        <v>0.38937644444400243</v>
      </c>
      <c r="BG57" s="281">
        <f t="shared" si="29"/>
        <v>0.36309305407165238</v>
      </c>
      <c r="BH57" s="281">
        <f t="shared" si="29"/>
        <v>0.36309305407165238</v>
      </c>
      <c r="BK57" s="344">
        <v>1.3370144014401401E-2</v>
      </c>
      <c r="BL57" s="344">
        <v>9.1426695496500798E-3</v>
      </c>
      <c r="BM57" s="341">
        <f t="shared" si="10"/>
        <v>9.1426695496500798E-3</v>
      </c>
      <c r="BN57" s="341">
        <f t="shared" si="30"/>
        <v>1.3370144014401401E-2</v>
      </c>
      <c r="BO57" s="341">
        <f t="shared" si="30"/>
        <v>1.3370144014401401E-2</v>
      </c>
      <c r="BQ57" s="47"/>
      <c r="BR57" s="634"/>
    </row>
    <row r="58" spans="3:71" ht="15.75" thickBot="1" x14ac:dyDescent="0.35">
      <c r="D58" s="547" cm="1">
        <f t="array" ref="D58">TREND($D$49:$D$54,$E$49:$E$54,E58)</f>
        <v>0.37026106800547681</v>
      </c>
      <c r="E58" s="552">
        <v>92500</v>
      </c>
      <c r="F58" s="342">
        <f t="shared" si="14"/>
        <v>0.25918274760383375</v>
      </c>
      <c r="G58">
        <f t="shared" si="35"/>
        <v>0.30000130704963429</v>
      </c>
      <c r="H58">
        <f t="shared" si="15"/>
        <v>0.3869821172374252</v>
      </c>
      <c r="I58" cm="1">
        <f t="array" ref="I58">_xlfn.SINGLE(INDEX(LINEST(LN(K58:Q58),LN(K$4:Q$4),,),1))</f>
        <v>0.3869821172374252</v>
      </c>
      <c r="J58" s="44">
        <f t="shared" si="36"/>
        <v>0.98751906714592885</v>
      </c>
      <c r="K58" s="342" cm="1">
        <f t="array" ref="K58">TREND(K$32:K$54,$E$32:$E$54,$E58)</f>
        <v>1</v>
      </c>
      <c r="L58" s="342" cm="1">
        <f t="array" ref="L58">TREND(L$40:L$54,$E$40:$E$54,$E58)</f>
        <v>1.2847724410825696</v>
      </c>
      <c r="M58" s="342" cm="1">
        <f t="array" ref="M58">TREND(M$40:M$54,$E$40:$E$54,$E58)</f>
        <v>1.49812144610094</v>
      </c>
      <c r="N58" s="342" cm="1">
        <f t="array" ref="N58">TREND(N$40:N$54,$E$40:$E$54,$E58)</f>
        <v>1.702646802095126</v>
      </c>
      <c r="O58" s="342" cm="1">
        <f t="array" ref="O58">TREND(O$40:O$54,$E$40:$E$54,$E58)</f>
        <v>1.9164612479434302</v>
      </c>
      <c r="P58" s="342" cm="1">
        <f t="array" ref="P58">TREND(P$40:P$54,$E$40:$E$54,$E58)</f>
        <v>2.0225146387294211</v>
      </c>
      <c r="Q58" s="342" cm="1">
        <f t="array" ref="Q58">TREND(Q$40:Q$54,$E$40:$E$54,$E58)</f>
        <v>2.0428680891187523</v>
      </c>
      <c r="R58" s="47">
        <f t="shared" ref="R58:AG66" si="38">EXP(-$G58*R$8^$H58)</f>
        <v>0.74081725239616625</v>
      </c>
      <c r="S58" s="47">
        <f t="shared" si="38"/>
        <v>0.67550261456027738</v>
      </c>
      <c r="T58" s="47">
        <f t="shared" si="38"/>
        <v>0.63195006969952849</v>
      </c>
      <c r="U58" s="47">
        <f t="shared" si="38"/>
        <v>0.59870228515350388</v>
      </c>
      <c r="V58" s="47">
        <f t="shared" si="38"/>
        <v>0.57163318061678547</v>
      </c>
      <c r="W58" s="47">
        <f t="shared" si="38"/>
        <v>0.54873390448149173</v>
      </c>
      <c r="X58" s="47">
        <f t="shared" si="38"/>
        <v>0.52885996459120466</v>
      </c>
      <c r="Y58" s="47">
        <f t="shared" si="38"/>
        <v>0.51129166030104967</v>
      </c>
      <c r="Z58" s="47">
        <f t="shared" si="38"/>
        <v>0.49554440162803565</v>
      </c>
      <c r="AA58" s="47">
        <f t="shared" si="38"/>
        <v>0.48127506186973207</v>
      </c>
      <c r="AB58" s="47">
        <f t="shared" si="38"/>
        <v>0.46823109617795511</v>
      </c>
      <c r="AC58" s="47">
        <f t="shared" si="38"/>
        <v>0.45622083099618366</v>
      </c>
      <c r="AD58" s="47">
        <f t="shared" si="38"/>
        <v>0.44509510976978683</v>
      </c>
      <c r="AE58" s="47">
        <f t="shared" si="38"/>
        <v>0.43473542775336621</v>
      </c>
      <c r="AF58" s="47">
        <f t="shared" si="38"/>
        <v>0.4250459695346579</v>
      </c>
      <c r="AG58" s="47">
        <f t="shared" si="38"/>
        <v>0.41594809536980853</v>
      </c>
      <c r="AH58" s="47">
        <f t="shared" si="37"/>
        <v>0.40737641990550438</v>
      </c>
      <c r="AI58" s="47">
        <f t="shared" si="37"/>
        <v>0.39927595846139152</v>
      </c>
      <c r="AJ58" s="47">
        <f t="shared" si="37"/>
        <v>0.39160000816066454</v>
      </c>
      <c r="AK58" s="553">
        <f t="shared" si="37"/>
        <v>0.38430854669009984</v>
      </c>
      <c r="AL58" s="47"/>
      <c r="AM58" s="47"/>
      <c r="AN58" s="47"/>
      <c r="AO58" s="47"/>
      <c r="AP58" s="47"/>
      <c r="AQ58" s="47"/>
      <c r="AR58" s="47"/>
      <c r="AS58" s="47"/>
      <c r="AT58" s="47"/>
      <c r="AU58" s="283">
        <v>55</v>
      </c>
      <c r="AV58" s="350">
        <v>110000</v>
      </c>
      <c r="AW58" s="354">
        <f t="shared" si="31"/>
        <v>0.27180690095846627</v>
      </c>
      <c r="AX58" s="280">
        <f t="shared" si="32"/>
        <v>0.29206975075115266</v>
      </c>
      <c r="AY58" s="280">
        <f t="shared" si="7"/>
        <v>0.29206975075115266</v>
      </c>
      <c r="AZ58" s="280">
        <f t="shared" si="28"/>
        <v>0.27180690095846627</v>
      </c>
      <c r="BA58" s="356">
        <f t="shared" si="28"/>
        <v>0.27180690095846627</v>
      </c>
      <c r="BD58" s="281">
        <f t="shared" si="33"/>
        <v>0.35487294319287344</v>
      </c>
      <c r="BE58" s="281">
        <f t="shared" si="34"/>
        <v>0.38086391169230899</v>
      </c>
      <c r="BF58" s="281">
        <f t="shared" si="9"/>
        <v>0.38086391169230899</v>
      </c>
      <c r="BG58" s="281">
        <f t="shared" si="29"/>
        <v>0.35487294319287344</v>
      </c>
      <c r="BH58" s="281">
        <f t="shared" si="29"/>
        <v>0.35487294319287344</v>
      </c>
      <c r="BK58" s="344">
        <v>1.32550405040504E-2</v>
      </c>
      <c r="BL58" s="344">
        <v>9.1356908697774793E-3</v>
      </c>
      <c r="BM58" s="341">
        <f t="shared" si="10"/>
        <v>9.1356908697774793E-3</v>
      </c>
      <c r="BN58" s="341">
        <f t="shared" si="30"/>
        <v>1.32550405040504E-2</v>
      </c>
      <c r="BO58" s="341">
        <f t="shared" si="30"/>
        <v>1.32550405040504E-2</v>
      </c>
      <c r="BQ58" s="47"/>
      <c r="BR58" s="634"/>
    </row>
    <row r="59" spans="3:71" ht="15.75" thickBot="1" x14ac:dyDescent="0.35">
      <c r="D59" s="547" cm="1">
        <f t="array" ref="D59">TREND($D$49:$D$54,$E$49:$E$54,E59)</f>
        <v>0.37476969420355988</v>
      </c>
      <c r="E59" s="552">
        <v>97500</v>
      </c>
      <c r="F59" s="342">
        <f t="shared" si="14"/>
        <v>0.26233878594249188</v>
      </c>
      <c r="G59">
        <f t="shared" si="35"/>
        <v>0.30427061932442628</v>
      </c>
      <c r="H59">
        <f t="shared" si="15"/>
        <v>0.37914320704072912</v>
      </c>
      <c r="I59" cm="1">
        <f t="array" ref="I59">_xlfn.SINGLE(INDEX(LINEST(LN(K59:Q59),LN(K$4:Q$4),,),1))</f>
        <v>0.37914320704072912</v>
      </c>
      <c r="J59" s="44">
        <f t="shared" si="36"/>
        <v>0.98340968744600044</v>
      </c>
      <c r="K59" s="342" cm="1">
        <f t="array" ref="K59">TREND(K$32:K$54,$E$32:$E$54,$E59)</f>
        <v>1</v>
      </c>
      <c r="L59" s="342" cm="1">
        <f t="array" ref="L59">TREND(L$40:L$54,$E$40:$E$54,$E59)</f>
        <v>1.284397539549424</v>
      </c>
      <c r="M59" s="342" cm="1">
        <f t="array" ref="M59">TREND(M$40:M$54,$E$40:$E$54,$E59)</f>
        <v>1.4954773915296358</v>
      </c>
      <c r="N59" s="342" cm="1">
        <f t="array" ref="N59">TREND(N$40:N$54,$E$40:$E$54,$E59)</f>
        <v>1.6968659549878877</v>
      </c>
      <c r="O59" s="342" cm="1">
        <f t="array" ref="O59">TREND(O$40:O$54,$E$40:$E$54,$E59)</f>
        <v>1.9075574138067048</v>
      </c>
      <c r="P59" s="342" cm="1">
        <f t="array" ref="P59">TREND(P$40:P$54,$E$40:$E$54,$E59)</f>
        <v>2.0007356911027467</v>
      </c>
      <c r="Q59" s="342" cm="1">
        <f t="array" ref="Q59">TREND(Q$40:Q$54,$E$40:$E$54,$E59)</f>
        <v>2.0044767736356093</v>
      </c>
      <c r="R59" s="47">
        <f t="shared" si="38"/>
        <v>0.73766121405750806</v>
      </c>
      <c r="S59" s="47">
        <f t="shared" si="38"/>
        <v>0.67319179290636366</v>
      </c>
      <c r="T59" s="47">
        <f t="shared" si="38"/>
        <v>0.63034707808410373</v>
      </c>
      <c r="U59" s="47">
        <f t="shared" si="38"/>
        <v>0.59769913372930816</v>
      </c>
      <c r="V59" s="47">
        <f t="shared" si="38"/>
        <v>0.57114887057164265</v>
      </c>
      <c r="W59" s="47">
        <f t="shared" si="38"/>
        <v>0.54870583704377629</v>
      </c>
      <c r="X59" s="47">
        <f t="shared" si="38"/>
        <v>0.52923827582295768</v>
      </c>
      <c r="Y59" s="47">
        <f t="shared" si="38"/>
        <v>0.5120356265038517</v>
      </c>
      <c r="Z59" s="47">
        <f t="shared" si="38"/>
        <v>0.49662008566717192</v>
      </c>
      <c r="AA59" s="47">
        <f t="shared" si="38"/>
        <v>0.48265371263513113</v>
      </c>
      <c r="AB59" s="47">
        <f t="shared" si="38"/>
        <v>0.46988802200142299</v>
      </c>
      <c r="AC59" s="47">
        <f t="shared" si="38"/>
        <v>0.45813458265614504</v>
      </c>
      <c r="AD59" s="47">
        <f t="shared" si="38"/>
        <v>0.44724687266385449</v>
      </c>
      <c r="AE59" s="47">
        <f t="shared" si="38"/>
        <v>0.43710855964576079</v>
      </c>
      <c r="AF59" s="47">
        <f t="shared" si="38"/>
        <v>0.42762564227486966</v>
      </c>
      <c r="AG59" s="47">
        <f t="shared" si="38"/>
        <v>0.4187210125664258</v>
      </c>
      <c r="AH59" s="47">
        <f t="shared" si="37"/>
        <v>0.41033059120052323</v>
      </c>
      <c r="AI59" s="47">
        <f t="shared" si="37"/>
        <v>0.40240051672782617</v>
      </c>
      <c r="AJ59" s="47">
        <f t="shared" si="37"/>
        <v>0.3948850597619063</v>
      </c>
      <c r="AK59" s="553">
        <f t="shared" si="37"/>
        <v>0.387745047561735</v>
      </c>
      <c r="AL59" s="47"/>
      <c r="AM59" s="47"/>
      <c r="AN59" s="47"/>
      <c r="AO59" s="47"/>
      <c r="AP59" s="47"/>
      <c r="AQ59" s="47"/>
      <c r="AR59" s="47"/>
      <c r="AS59" s="47"/>
      <c r="AT59" s="47"/>
      <c r="AU59" s="283">
        <v>56</v>
      </c>
      <c r="AV59" s="350">
        <v>115000</v>
      </c>
      <c r="AW59" s="354">
        <f t="shared" si="31"/>
        <v>0.27496293929712445</v>
      </c>
      <c r="AX59" s="280">
        <f t="shared" si="32"/>
        <v>0.29613384099488699</v>
      </c>
      <c r="AY59" s="280">
        <f t="shared" si="7"/>
        <v>0.29613384099488699</v>
      </c>
      <c r="AZ59" s="280">
        <f t="shared" si="28"/>
        <v>0.27496293929712445</v>
      </c>
      <c r="BA59" s="356">
        <f t="shared" si="28"/>
        <v>0.27496293929712445</v>
      </c>
      <c r="BD59" s="281">
        <f t="shared" si="33"/>
        <v>0.34651647061523805</v>
      </c>
      <c r="BE59" s="281">
        <f t="shared" si="34"/>
        <v>0.37223310706507712</v>
      </c>
      <c r="BF59" s="281">
        <f t="shared" si="9"/>
        <v>0.37223310706507712</v>
      </c>
      <c r="BG59" s="281">
        <f t="shared" si="29"/>
        <v>0.34651647061523805</v>
      </c>
      <c r="BH59" s="281">
        <f t="shared" si="29"/>
        <v>0.34651647061523805</v>
      </c>
      <c r="BK59" s="344">
        <v>1.31399369936994E-2</v>
      </c>
      <c r="BL59" s="344">
        <v>9.1287121899048893E-3</v>
      </c>
      <c r="BM59" s="341">
        <f t="shared" si="10"/>
        <v>9.1287121899048893E-3</v>
      </c>
      <c r="BN59" s="341">
        <f t="shared" si="30"/>
        <v>1.31399369936994E-2</v>
      </c>
      <c r="BO59" s="341">
        <f t="shared" si="30"/>
        <v>1.31399369936994E-2</v>
      </c>
      <c r="BQ59" s="47"/>
      <c r="BR59" s="634"/>
    </row>
    <row r="60" spans="3:71" ht="15.75" thickBot="1" x14ac:dyDescent="0.35">
      <c r="D60" s="547" cm="1">
        <f t="array" ref="D60">TREND($D$49:$D$54,$E$49:$E$54,E60)</f>
        <v>0.37927832040164289</v>
      </c>
      <c r="E60" s="552">
        <v>102500</v>
      </c>
      <c r="F60" s="342">
        <f t="shared" si="14"/>
        <v>0.26549482428115001</v>
      </c>
      <c r="G60">
        <f t="shared" si="35"/>
        <v>0.30855823680508115</v>
      </c>
      <c r="H60">
        <f t="shared" si="15"/>
        <v>0.37118162327147097</v>
      </c>
      <c r="I60" cm="1">
        <f t="array" ref="I60">_xlfn.SINGLE(INDEX(LINEST(LN(K60:Q60),LN(K$4:Q$4),,),1))</f>
        <v>0.37118162327147097</v>
      </c>
      <c r="J60" s="44">
        <f t="shared" si="36"/>
        <v>0.97837587015651295</v>
      </c>
      <c r="K60" s="342" cm="1">
        <f t="array" ref="K60">TREND(K$32:K$54,$E$32:$E$54,$E60)</f>
        <v>1</v>
      </c>
      <c r="L60" s="342" cm="1">
        <f t="array" ref="L60">TREND(L$40:L$54,$E$40:$E$54,$E60)</f>
        <v>1.2840226380162787</v>
      </c>
      <c r="M60" s="342" cm="1">
        <f t="array" ref="M60">TREND(M$40:M$54,$E$40:$E$54,$E60)</f>
        <v>1.4928333369583313</v>
      </c>
      <c r="N60" s="342" cm="1">
        <f t="array" ref="N60">TREND(N$40:N$54,$E$40:$E$54,$E60)</f>
        <v>1.6910851078806495</v>
      </c>
      <c r="O60" s="342" cm="1">
        <f t="array" ref="O60">TREND(O$40:O$54,$E$40:$E$54,$E60)</f>
        <v>1.8986535796699797</v>
      </c>
      <c r="P60" s="342" cm="1">
        <f t="array" ref="P60">TREND(P$40:P$54,$E$40:$E$54,$E60)</f>
        <v>1.9789567434760726</v>
      </c>
      <c r="Q60" s="342" cm="1">
        <f t="array" ref="Q60">TREND(Q$40:Q$54,$E$40:$E$54,$E60)</f>
        <v>1.9660854581524665</v>
      </c>
      <c r="R60" s="47">
        <f t="shared" si="38"/>
        <v>0.73450517571884999</v>
      </c>
      <c r="S60" s="47">
        <f t="shared" si="38"/>
        <v>0.67092840311362101</v>
      </c>
      <c r="T60" s="47">
        <f t="shared" si="38"/>
        <v>0.62881876755686461</v>
      </c>
      <c r="U60" s="47">
        <f t="shared" si="38"/>
        <v>0.59678916739693844</v>
      </c>
      <c r="V60" s="47">
        <f t="shared" si="38"/>
        <v>0.57077147070121481</v>
      </c>
      <c r="W60" s="47">
        <f t="shared" si="38"/>
        <v>0.54879545717710743</v>
      </c>
      <c r="X60" s="47">
        <f t="shared" si="38"/>
        <v>0.52974308987610397</v>
      </c>
      <c r="Y60" s="47">
        <f t="shared" si="38"/>
        <v>0.51291353351486968</v>
      </c>
      <c r="Z60" s="47">
        <f t="shared" si="38"/>
        <v>0.49783614293167616</v>
      </c>
      <c r="AA60" s="47">
        <f t="shared" si="38"/>
        <v>0.48417841200305833</v>
      </c>
      <c r="AB60" s="47">
        <f t="shared" si="38"/>
        <v>0.47169608761311332</v>
      </c>
      <c r="AC60" s="47">
        <f t="shared" si="38"/>
        <v>0.46020410515191523</v>
      </c>
      <c r="AD60" s="47">
        <f t="shared" si="38"/>
        <v>0.4495586686571259</v>
      </c>
      <c r="AE60" s="47">
        <f t="shared" si="38"/>
        <v>0.43964568685067362</v>
      </c>
      <c r="AF60" s="47">
        <f t="shared" si="38"/>
        <v>0.4303730251564144</v>
      </c>
      <c r="AG60" s="47">
        <f t="shared" si="38"/>
        <v>0.42166514833894769</v>
      </c>
      <c r="AH60" s="47">
        <f t="shared" si="37"/>
        <v>0.41345931545234221</v>
      </c>
      <c r="AI60" s="47">
        <f t="shared" si="37"/>
        <v>0.40570281410146414</v>
      </c>
      <c r="AJ60" s="47">
        <f t="shared" si="37"/>
        <v>0.3983509092292925</v>
      </c>
      <c r="AK60" s="553">
        <f t="shared" si="37"/>
        <v>0.39136529464399961</v>
      </c>
      <c r="AL60" s="47"/>
      <c r="AM60" s="47"/>
      <c r="AN60" s="47"/>
      <c r="AO60" s="47"/>
      <c r="AP60" s="47"/>
      <c r="AQ60" s="47"/>
      <c r="AR60" s="47"/>
      <c r="AS60" s="47"/>
      <c r="AT60" s="47"/>
      <c r="AU60" s="283">
        <v>57</v>
      </c>
      <c r="AV60" s="350">
        <v>120000</v>
      </c>
      <c r="AW60" s="354">
        <f t="shared" si="31"/>
        <v>0.27811897763578253</v>
      </c>
      <c r="AX60" s="280">
        <f t="shared" si="32"/>
        <v>0.30019793123862126</v>
      </c>
      <c r="AY60" s="280">
        <f t="shared" si="7"/>
        <v>0.30019793123862126</v>
      </c>
      <c r="AZ60" s="280">
        <f t="shared" si="28"/>
        <v>0.27811897763578253</v>
      </c>
      <c r="BA60" s="356">
        <f t="shared" si="28"/>
        <v>0.27811897763578253</v>
      </c>
      <c r="BD60" s="281">
        <f t="shared" si="33"/>
        <v>0.33801853117413433</v>
      </c>
      <c r="BE60" s="281">
        <f t="shared" si="34"/>
        <v>0.36348034904885701</v>
      </c>
      <c r="BF60" s="281">
        <f t="shared" si="9"/>
        <v>0.36348034904885701</v>
      </c>
      <c r="BG60" s="281">
        <f t="shared" si="29"/>
        <v>0.33801853117413433</v>
      </c>
      <c r="BH60" s="281">
        <f t="shared" si="29"/>
        <v>0.33801853117413433</v>
      </c>
      <c r="BK60" s="344">
        <v>1.30248334833483E-2</v>
      </c>
      <c r="BL60" s="344">
        <v>9.1217335100322993E-3</v>
      </c>
      <c r="BM60" s="341">
        <f t="shared" si="10"/>
        <v>9.1217335100322993E-3</v>
      </c>
      <c r="BN60" s="341">
        <f t="shared" si="30"/>
        <v>1.30248334833483E-2</v>
      </c>
      <c r="BO60" s="341">
        <f t="shared" si="30"/>
        <v>1.30248334833483E-2</v>
      </c>
      <c r="BQ60" s="47"/>
      <c r="BR60" s="634"/>
    </row>
    <row r="61" spans="3:71" ht="15.75" thickBot="1" x14ac:dyDescent="0.35">
      <c r="D61" s="547" cm="1">
        <f t="array" ref="D61">TREND($D$49:$D$54,$E$49:$E$54,E61)</f>
        <v>0.38378694659972595</v>
      </c>
      <c r="E61" s="552">
        <v>107500</v>
      </c>
      <c r="F61" s="342">
        <f t="shared" si="14"/>
        <v>0.26865086261980814</v>
      </c>
      <c r="G61">
        <f t="shared" si="35"/>
        <v>0.31286431713945717</v>
      </c>
      <c r="H61">
        <f t="shared" si="15"/>
        <v>0.36309305407165238</v>
      </c>
      <c r="I61" cm="1">
        <f t="array" ref="I61">_xlfn.SINGLE(INDEX(LINEST(LN(K61:Q61),LN(K$4:Q$4),,),1))</f>
        <v>0.36309305407165238</v>
      </c>
      <c r="J61" s="44">
        <f t="shared" si="36"/>
        <v>0.97227216371787228</v>
      </c>
      <c r="K61" s="342" cm="1">
        <f t="array" ref="K61">TREND(K$32:K$54,$E$32:$E$54,$E61)</f>
        <v>1</v>
      </c>
      <c r="L61" s="342" cm="1">
        <f t="array" ref="L61">TREND(L$40:L$54,$E$40:$E$54,$E61)</f>
        <v>1.2836477364831331</v>
      </c>
      <c r="M61" s="342" cm="1">
        <f t="array" ref="M61">TREND(M$40:M$54,$E$40:$E$54,$E61)</f>
        <v>1.4901892823870271</v>
      </c>
      <c r="N61" s="342" cm="1">
        <f t="array" ref="N61">TREND(N$40:N$54,$E$40:$E$54,$E61)</f>
        <v>1.6853042607734112</v>
      </c>
      <c r="O61" s="342" cm="1">
        <f t="array" ref="O61">TREND(O$40:O$54,$E$40:$E$54,$E61)</f>
        <v>1.8897497455332544</v>
      </c>
      <c r="P61" s="342" cm="1">
        <f t="array" ref="P61">TREND(P$40:P$54,$E$40:$E$54,$E61)</f>
        <v>1.9571777958493985</v>
      </c>
      <c r="Q61" s="342" cm="1">
        <f t="array" ref="Q61">TREND(Q$40:Q$54,$E$40:$E$54,$E61)</f>
        <v>1.9276941426693237</v>
      </c>
      <c r="R61" s="47">
        <f t="shared" si="38"/>
        <v>0.73134913738019192</v>
      </c>
      <c r="S61" s="47">
        <f t="shared" si="38"/>
        <v>0.66871323033753705</v>
      </c>
      <c r="T61" s="47">
        <f t="shared" si="38"/>
        <v>0.62736618511252695</v>
      </c>
      <c r="U61" s="47">
        <f t="shared" si="38"/>
        <v>0.59597356684818459</v>
      </c>
      <c r="V61" s="47">
        <f t="shared" si="38"/>
        <v>0.57050225685509948</v>
      </c>
      <c r="W61" s="47">
        <f t="shared" si="38"/>
        <v>0.5490041254125908</v>
      </c>
      <c r="X61" s="47">
        <f t="shared" si="38"/>
        <v>0.53037585146705679</v>
      </c>
      <c r="Y61" s="47">
        <f t="shared" si="38"/>
        <v>0.51392691332213758</v>
      </c>
      <c r="Z61" s="47">
        <f t="shared" si="38"/>
        <v>0.49919419685076621</v>
      </c>
      <c r="AA61" s="47">
        <f t="shared" si="38"/>
        <v>0.48585087908052232</v>
      </c>
      <c r="AB61" s="47">
        <f t="shared" si="38"/>
        <v>0.47365711169807123</v>
      </c>
      <c r="AC61" s="47">
        <f t="shared" si="38"/>
        <v>0.46243132017254746</v>
      </c>
      <c r="AD61" s="47">
        <f t="shared" si="38"/>
        <v>0.45203252537311978</v>
      </c>
      <c r="AE61" s="47">
        <f t="shared" si="38"/>
        <v>0.44234894538958819</v>
      </c>
      <c r="AF61" s="47">
        <f t="shared" si="38"/>
        <v>0.43329036464275966</v>
      </c>
      <c r="AG61" s="47">
        <f t="shared" si="38"/>
        <v>0.42478286126944848</v>
      </c>
      <c r="AH61" s="47">
        <f t="shared" si="37"/>
        <v>0.41676506472109626</v>
      </c>
      <c r="AI61" s="47">
        <f t="shared" si="37"/>
        <v>0.40918543720849382</v>
      </c>
      <c r="AJ61" s="47">
        <f t="shared" si="37"/>
        <v>0.4020002586119415</v>
      </c>
      <c r="AK61" s="553">
        <f t="shared" si="37"/>
        <v>0.39517210606971698</v>
      </c>
      <c r="AL61" s="47"/>
      <c r="AM61" s="47"/>
      <c r="AN61" s="47"/>
      <c r="AO61" s="47"/>
      <c r="AP61" s="47"/>
      <c r="AQ61" s="47"/>
      <c r="AR61" s="47"/>
      <c r="AS61" s="47"/>
      <c r="AT61" s="47"/>
      <c r="AU61" s="283">
        <v>58</v>
      </c>
      <c r="AV61" s="350">
        <v>125000</v>
      </c>
      <c r="AW61" s="354">
        <f t="shared" si="31"/>
        <v>0.28127501597444071</v>
      </c>
      <c r="AX61" s="280">
        <f t="shared" si="32"/>
        <v>0.30426202148235559</v>
      </c>
      <c r="AY61" s="280">
        <f t="shared" si="7"/>
        <v>0.30426202148235559</v>
      </c>
      <c r="AZ61" s="280">
        <f t="shared" si="28"/>
        <v>0.28127501597444071</v>
      </c>
      <c r="BA61" s="356">
        <f t="shared" si="28"/>
        <v>0.28127501597444071</v>
      </c>
      <c r="BD61" s="281">
        <f t="shared" si="33"/>
        <v>0.32937371094170315</v>
      </c>
      <c r="BE61" s="281">
        <f t="shared" si="34"/>
        <v>0.35460177849626262</v>
      </c>
      <c r="BF61" s="281">
        <f t="shared" si="9"/>
        <v>0.35460177849626262</v>
      </c>
      <c r="BG61" s="281">
        <f t="shared" si="29"/>
        <v>0.32937371094170315</v>
      </c>
      <c r="BH61" s="281">
        <f t="shared" si="29"/>
        <v>0.32937371094170315</v>
      </c>
      <c r="BK61" s="344">
        <v>1.30248334833483E-2</v>
      </c>
      <c r="BL61" s="344">
        <v>9.1217335100322993E-3</v>
      </c>
      <c r="BM61" s="341">
        <f t="shared" si="10"/>
        <v>9.1217335100322993E-3</v>
      </c>
      <c r="BN61" s="341">
        <f t="shared" si="30"/>
        <v>1.30248334833483E-2</v>
      </c>
      <c r="BO61" s="341">
        <f t="shared" si="30"/>
        <v>1.30248334833483E-2</v>
      </c>
      <c r="BQ61" s="47"/>
      <c r="BR61" s="634"/>
    </row>
    <row r="62" spans="3:71" ht="15.75" thickBot="1" x14ac:dyDescent="0.35">
      <c r="D62" s="547" cm="1">
        <f t="array" ref="D62">TREND($D$49:$D$54,$E$49:$E$54,E62)</f>
        <v>0.38829557279780902</v>
      </c>
      <c r="E62" s="552">
        <v>112500</v>
      </c>
      <c r="F62" s="342">
        <f t="shared" si="14"/>
        <v>0.27180690095846627</v>
      </c>
      <c r="G62">
        <f t="shared" si="35"/>
        <v>0.31718902002076244</v>
      </c>
      <c r="H62">
        <f t="shared" si="15"/>
        <v>0.35487294319287344</v>
      </c>
      <c r="I62" cm="1">
        <f t="array" ref="I62">_xlfn.SINGLE(INDEX(LINEST(LN(K62:Q62),LN(K$4:Q$4),,),1))</f>
        <v>0.35487294319287344</v>
      </c>
      <c r="J62" s="44">
        <f t="shared" si="36"/>
        <v>0.96493255161564551</v>
      </c>
      <c r="K62" s="342" cm="1">
        <f t="array" ref="K62">TREND(K$32:K$54,$E$32:$E$54,$E62)</f>
        <v>1</v>
      </c>
      <c r="L62" s="342" cm="1">
        <f t="array" ref="L62">TREND(L$40:L$54,$E$40:$E$54,$E62)</f>
        <v>1.2832728349499876</v>
      </c>
      <c r="M62" s="342" cm="1">
        <f t="array" ref="M62">TREND(M$40:M$54,$E$40:$E$54,$E62)</f>
        <v>1.4875452278157226</v>
      </c>
      <c r="N62" s="342" cm="1">
        <f t="array" ref="N62">TREND(N$40:N$54,$E$40:$E$54,$E62)</f>
        <v>1.679523413666173</v>
      </c>
      <c r="O62" s="342" cm="1">
        <f t="array" ref="O62">TREND(O$40:O$54,$E$40:$E$54,$E62)</f>
        <v>1.880845911396529</v>
      </c>
      <c r="P62" s="342" cm="1">
        <f t="array" ref="P62">TREND(P$40:P$54,$E$40:$E$54,$E62)</f>
        <v>1.9353988482227242</v>
      </c>
      <c r="Q62" s="342" cm="1">
        <f t="array" ref="Q62">TREND(Q$40:Q$54,$E$40:$E$54,$E62)</f>
        <v>1.8893028271861807</v>
      </c>
      <c r="R62" s="47">
        <f t="shared" si="38"/>
        <v>0.72819309904153373</v>
      </c>
      <c r="S62" s="47">
        <f t="shared" si="38"/>
        <v>0.66654711156425761</v>
      </c>
      <c r="T62" s="47">
        <f t="shared" si="38"/>
        <v>0.62599045834141143</v>
      </c>
      <c r="U62" s="47">
        <f t="shared" si="38"/>
        <v>0.59525361412391142</v>
      </c>
      <c r="V62" s="47">
        <f t="shared" si="38"/>
        <v>0.5703426224203324</v>
      </c>
      <c r="W62" s="47">
        <f t="shared" si="38"/>
        <v>0.5493333328381953</v>
      </c>
      <c r="X62" s="47">
        <f t="shared" si="38"/>
        <v>0.53113814648417079</v>
      </c>
      <c r="Y62" s="47">
        <f t="shared" si="38"/>
        <v>0.51507744779089171</v>
      </c>
      <c r="Z62" s="47">
        <f t="shared" si="38"/>
        <v>0.50069602787773704</v>
      </c>
      <c r="AA62" s="47">
        <f t="shared" si="38"/>
        <v>0.48767299585128254</v>
      </c>
      <c r="AB62" s="47">
        <f t="shared" si="38"/>
        <v>0.47577308058245266</v>
      </c>
      <c r="AC62" s="47">
        <f t="shared" si="38"/>
        <v>0.46481832088873831</v>
      </c>
      <c r="AD62" s="47">
        <f t="shared" si="38"/>
        <v>0.45467064496753062</v>
      </c>
      <c r="AE62" s="47">
        <f t="shared" si="38"/>
        <v>0.44522064818712037</v>
      </c>
      <c r="AF62" s="47">
        <f t="shared" si="38"/>
        <v>0.43638008588403959</v>
      </c>
      <c r="AG62" s="47">
        <f t="shared" si="38"/>
        <v>0.42807668990041092</v>
      </c>
      <c r="AH62" s="47">
        <f t="shared" si="37"/>
        <v>0.42025049185720365</v>
      </c>
      <c r="AI62" s="47">
        <f t="shared" si="37"/>
        <v>0.41285115390776661</v>
      </c>
      <c r="AJ62" s="47">
        <f t="shared" si="37"/>
        <v>0.40583599129502262</v>
      </c>
      <c r="AK62" s="553">
        <f t="shared" si="37"/>
        <v>0.39916848111411091</v>
      </c>
      <c r="AL62" s="47"/>
      <c r="AM62" s="47"/>
      <c r="AN62" s="47"/>
      <c r="AO62" s="47"/>
      <c r="AP62" s="47"/>
      <c r="AQ62" s="47"/>
      <c r="AR62" s="47"/>
      <c r="AS62" s="47"/>
      <c r="AT62" s="47"/>
      <c r="AU62" s="283">
        <v>59</v>
      </c>
      <c r="AV62" s="350">
        <v>130000</v>
      </c>
      <c r="AW62" s="354">
        <f t="shared" si="31"/>
        <v>0.28443105431309884</v>
      </c>
      <c r="AX62" s="280">
        <f t="shared" si="32"/>
        <v>0.30832611172608987</v>
      </c>
      <c r="AY62" s="280">
        <f t="shared" si="7"/>
        <v>0.30832611172608987</v>
      </c>
      <c r="AZ62" s="280">
        <f t="shared" si="28"/>
        <v>0.28443105431309884</v>
      </c>
      <c r="BA62" s="356">
        <f t="shared" si="28"/>
        <v>0.28443105431309884</v>
      </c>
      <c r="BD62" s="281">
        <f t="shared" si="33"/>
        <v>0.32057626107126375</v>
      </c>
      <c r="BE62" s="281">
        <f t="shared" si="34"/>
        <v>0.34559334674447334</v>
      </c>
      <c r="BF62" s="281">
        <f t="shared" si="9"/>
        <v>0.34559334674447334</v>
      </c>
      <c r="BG62" s="281">
        <f t="shared" si="29"/>
        <v>0.32057626107126375</v>
      </c>
      <c r="BH62" s="281">
        <f t="shared" si="29"/>
        <v>0.32057626107126375</v>
      </c>
      <c r="BK62" s="344">
        <v>1.2909729972997301E-2</v>
      </c>
      <c r="BL62" s="344">
        <v>9.1147548301597006E-3</v>
      </c>
      <c r="BM62" s="341">
        <f t="shared" si="10"/>
        <v>9.1147548301597006E-3</v>
      </c>
      <c r="BN62" s="341">
        <f t="shared" si="30"/>
        <v>1.2909729972997301E-2</v>
      </c>
      <c r="BO62" s="341">
        <f t="shared" si="30"/>
        <v>1.2909729972997301E-2</v>
      </c>
      <c r="BQ62" s="47"/>
      <c r="BR62" s="634"/>
    </row>
    <row r="63" spans="3:71" x14ac:dyDescent="0.3">
      <c r="D63" s="547" cm="1">
        <f t="array" ref="D63">TREND($D$49:$D$54,$E$49:$E$54,E63)</f>
        <v>0.39280419899589208</v>
      </c>
      <c r="E63" s="552">
        <v>117500</v>
      </c>
      <c r="F63" s="342">
        <f t="shared" si="14"/>
        <v>0.27496293929712445</v>
      </c>
      <c r="G63">
        <f t="shared" si="35"/>
        <v>0.32153250722309068</v>
      </c>
      <c r="H63">
        <f t="shared" si="15"/>
        <v>0.34651647061523805</v>
      </c>
      <c r="I63" cm="1">
        <f t="array" ref="I63">_xlfn.SINGLE(INDEX(LINEST(LN(K63:Q63),LN(K$4:Q$4),,),1))</f>
        <v>0.34651647061523805</v>
      </c>
      <c r="J63" s="44">
        <f t="shared" si="36"/>
        <v>0.95616846151195956</v>
      </c>
      <c r="K63" s="342" cm="1">
        <f t="array" ref="K63">TREND(K$32:K$54,$E$32:$E$54,$E63)</f>
        <v>1</v>
      </c>
      <c r="L63" s="342" cm="1">
        <f t="array" ref="L63">TREND(L$40:L$54,$E$40:$E$54,$E63)</f>
        <v>1.282897933416842</v>
      </c>
      <c r="M63" s="342" cm="1">
        <f t="array" ref="M63">TREND(M$40:M$54,$E$40:$E$54,$E63)</f>
        <v>1.4849011732444182</v>
      </c>
      <c r="N63" s="342" cm="1">
        <f t="array" ref="N63">TREND(N$40:N$54,$E$40:$E$54,$E63)</f>
        <v>1.6737425665589347</v>
      </c>
      <c r="O63" s="342" cm="1">
        <f t="array" ref="O63">TREND(O$40:O$54,$E$40:$E$54,$E63)</f>
        <v>1.8719420772598037</v>
      </c>
      <c r="P63" s="342" cm="1">
        <f t="array" ref="P63">TREND(P$40:P$54,$E$40:$E$54,$E63)</f>
        <v>1.9136199005960501</v>
      </c>
      <c r="Q63" s="342" cm="1">
        <f t="array" ref="Q63">TREND(Q$40:Q$54,$E$40:$E$54,$E63)</f>
        <v>1.8509115117030377</v>
      </c>
      <c r="R63" s="47">
        <f t="shared" si="38"/>
        <v>0.72503706070287555</v>
      </c>
      <c r="S63" s="47">
        <f t="shared" si="38"/>
        <v>0.66443093952225307</v>
      </c>
      <c r="T63" s="47">
        <f t="shared" si="38"/>
        <v>0.62469280102541191</v>
      </c>
      <c r="U63" s="47">
        <f t="shared" si="38"/>
        <v>0.59463069903028498</v>
      </c>
      <c r="V63" s="47">
        <f t="shared" si="38"/>
        <v>0.57029408510171398</v>
      </c>
      <c r="W63" s="47">
        <f t="shared" si="38"/>
        <v>0.54978470796959344</v>
      </c>
      <c r="X63" s="47">
        <f t="shared" si="38"/>
        <v>0.53203170877281625</v>
      </c>
      <c r="Y63" s="47">
        <f t="shared" si="38"/>
        <v>0.51636697524380826</v>
      </c>
      <c r="Z63" s="47">
        <f t="shared" si="38"/>
        <v>0.50234357978213928</v>
      </c>
      <c r="AA63" s="47">
        <f t="shared" si="38"/>
        <v>0.48964681312023556</v>
      </c>
      <c r="AB63" s="47">
        <f t="shared" si="38"/>
        <v>0.47804615378630155</v>
      </c>
      <c r="AC63" s="47">
        <f t="shared" si="38"/>
        <v>0.46736737708124693</v>
      </c>
      <c r="AD63" s="47">
        <f t="shared" si="38"/>
        <v>0.45747540880739218</v>
      </c>
      <c r="AE63" s="47">
        <f t="shared" si="38"/>
        <v>0.44826328928169379</v>
      </c>
      <c r="AF63" s="47">
        <f t="shared" si="38"/>
        <v>0.43964479644414806</v>
      </c>
      <c r="AG63" s="47">
        <f t="shared" si="38"/>
        <v>0.43154935596620736</v>
      </c>
      <c r="AH63" s="47">
        <f t="shared" si="37"/>
        <v>0.42391843322748685</v>
      </c>
      <c r="AI63" s="47">
        <f t="shared" si="37"/>
        <v>0.41670291550352634</v>
      </c>
      <c r="AJ63" s="47">
        <f t="shared" si="37"/>
        <v>0.40986117369235503</v>
      </c>
      <c r="AK63" s="553">
        <f t="shared" si="37"/>
        <v>0.40335760136152421</v>
      </c>
      <c r="AL63" s="47"/>
      <c r="AM63" s="47"/>
      <c r="AN63" s="47"/>
      <c r="AO63" s="47"/>
      <c r="AP63" s="47"/>
      <c r="AQ63" s="47"/>
      <c r="AR63" s="47"/>
      <c r="AS63" s="47"/>
      <c r="AT63" s="47"/>
      <c r="AV63" s="39"/>
      <c r="AW63" s="47"/>
      <c r="AX63" s="47"/>
      <c r="AY63" s="47"/>
      <c r="AZ63" s="47"/>
      <c r="BA63" s="47"/>
      <c r="BD63" s="466"/>
      <c r="BE63" s="466"/>
      <c r="BF63" s="466"/>
      <c r="BG63" s="466"/>
      <c r="BH63" s="466"/>
      <c r="BK63" s="48"/>
      <c r="BL63" s="48"/>
      <c r="BM63" s="48"/>
      <c r="BN63" s="48"/>
      <c r="BO63" s="48"/>
      <c r="BQ63" s="47"/>
      <c r="BR63" s="47"/>
      <c r="BS63" s="47"/>
    </row>
    <row r="64" spans="3:71" x14ac:dyDescent="0.3">
      <c r="D64" s="547" cm="1">
        <f t="array" ref="D64">TREND($D$49:$D$54,$E$49:$E$54,E64)</f>
        <v>0.39731282519397509</v>
      </c>
      <c r="E64" s="552">
        <v>122500</v>
      </c>
      <c r="F64" s="342">
        <f t="shared" si="14"/>
        <v>0.27811897763578253</v>
      </c>
      <c r="G64">
        <f t="shared" si="35"/>
        <v>0.32589494263773272</v>
      </c>
      <c r="H64">
        <f t="shared" si="15"/>
        <v>0.33801853117413433</v>
      </c>
      <c r="I64" cm="1">
        <f t="array" ref="I64">_xlfn.SINGLE(INDEX(LINEST(LN(K64:Q64),LN(K$4:Q$4),,),1))</f>
        <v>0.33801853117413433</v>
      </c>
      <c r="J64" s="44">
        <f t="shared" si="36"/>
        <v>0.94576704745735696</v>
      </c>
      <c r="K64" s="342" cm="1">
        <f t="array" ref="K64">TREND(K$32:K$54,$E$32:$E$54,$E64)</f>
        <v>1</v>
      </c>
      <c r="L64" s="342" cm="1">
        <f t="array" ref="L64">TREND(L$40:L$54,$E$40:$E$54,$E64)</f>
        <v>1.2825230318836967</v>
      </c>
      <c r="M64" s="342" cm="1">
        <f t="array" ref="M64">TREND(M$40:M$54,$E$40:$E$54,$E64)</f>
        <v>1.4822571186731139</v>
      </c>
      <c r="N64" s="342" cm="1">
        <f t="array" ref="N64">TREND(N$40:N$54,$E$40:$E$54,$E64)</f>
        <v>1.6679617194516965</v>
      </c>
      <c r="O64" s="342" cm="1">
        <f t="array" ref="O64">TREND(O$40:O$54,$E$40:$E$54,$E64)</f>
        <v>1.8630382431230783</v>
      </c>
      <c r="P64" s="342" cm="1">
        <f t="array" ref="P64">TREND(P$40:P$54,$E$40:$E$54,$E64)</f>
        <v>1.891840952969376</v>
      </c>
      <c r="Q64" s="342" cm="1">
        <f t="array" ref="Q64">TREND(Q$40:Q$54,$E$40:$E$54,$E64)</f>
        <v>1.8125201962198947</v>
      </c>
      <c r="R64" s="47">
        <f t="shared" si="38"/>
        <v>0.72188102236421747</v>
      </c>
      <c r="S64" s="47">
        <f t="shared" si="38"/>
        <v>0.66236566698426536</v>
      </c>
      <c r="T64" s="47">
        <f t="shared" si="38"/>
        <v>0.62347451928348629</v>
      </c>
      <c r="U64" s="47">
        <f t="shared" si="38"/>
        <v>0.59410632618180481</v>
      </c>
      <c r="V64" s="47">
        <f t="shared" si="38"/>
        <v>0.5703582943663873</v>
      </c>
      <c r="W64" s="47">
        <f t="shared" si="38"/>
        <v>0.55036002429995357</v>
      </c>
      <c r="X64" s="47">
        <f t="shared" si="38"/>
        <v>0.53305842759966315</v>
      </c>
      <c r="Y64" s="47">
        <f t="shared" si="38"/>
        <v>0.51779749771080597</v>
      </c>
      <c r="Z64" s="47">
        <f t="shared" si="38"/>
        <v>0.50413896659466351</v>
      </c>
      <c r="AA64" s="47">
        <f t="shared" si="38"/>
        <v>0.49177455708814211</v>
      </c>
      <c r="AB64" s="47">
        <f t="shared" si="38"/>
        <v>0.48047867017993662</v>
      </c>
      <c r="AC64" s="47">
        <f t="shared" si="38"/>
        <v>0.47008094084261853</v>
      </c>
      <c r="AD64" s="47">
        <f t="shared" si="38"/>
        <v>0.46044938269024571</v>
      </c>
      <c r="AE64" s="47">
        <f t="shared" si="38"/>
        <v>0.45147954854035682</v>
      </c>
      <c r="AF64" s="47">
        <f t="shared" si="38"/>
        <v>0.44308729049388745</v>
      </c>
      <c r="AG64" s="47">
        <f t="shared" si="38"/>
        <v>0.43520376805058447</v>
      </c>
      <c r="AH64" s="47">
        <f t="shared" si="37"/>
        <v>0.42777191182549368</v>
      </c>
      <c r="AI64" s="47">
        <f t="shared" si="37"/>
        <v>0.42074385929895758</v>
      </c>
      <c r="AJ64" s="47">
        <f t="shared" si="37"/>
        <v>0.41407905723501942</v>
      </c>
      <c r="AK64" s="553">
        <f t="shared" si="37"/>
        <v>0.40774283212203438</v>
      </c>
      <c r="AL64" s="47"/>
      <c r="AM64" s="47"/>
      <c r="AN64" s="47"/>
      <c r="AO64" s="47"/>
      <c r="AP64" s="47"/>
      <c r="AQ64" s="47"/>
      <c r="AR64" s="47"/>
      <c r="AS64" s="47"/>
      <c r="AT64" s="47"/>
      <c r="AV64" s="39"/>
      <c r="AW64" s="47"/>
      <c r="AX64" s="47"/>
      <c r="AY64" s="47"/>
      <c r="AZ64" s="47"/>
      <c r="BA64" s="47"/>
      <c r="BD64" s="466"/>
      <c r="BE64" s="466"/>
      <c r="BF64" s="466"/>
      <c r="BG64" s="466"/>
      <c r="BH64" s="466"/>
      <c r="BK64" s="48"/>
      <c r="BL64" s="48"/>
      <c r="BM64" s="48"/>
      <c r="BN64" s="48"/>
      <c r="BO64" s="48"/>
      <c r="BQ64" s="47"/>
      <c r="BR64" s="47"/>
      <c r="BS64" s="47"/>
    </row>
    <row r="65" spans="4:71" x14ac:dyDescent="0.3">
      <c r="D65" s="547" cm="1">
        <f t="array" ref="D65">TREND($D$49:$D$54,$E$49:$E$54,E65)</f>
        <v>0.40182145139205816</v>
      </c>
      <c r="E65" s="552">
        <v>127500</v>
      </c>
      <c r="F65" s="342">
        <f t="shared" si="14"/>
        <v>0.28127501597444071</v>
      </c>
      <c r="G65">
        <f t="shared" si="35"/>
        <v>0.33027649231028361</v>
      </c>
      <c r="H65">
        <f t="shared" si="15"/>
        <v>0.32937371094170315</v>
      </c>
      <c r="I65" cm="1">
        <f t="array" ref="I65">_xlfn.SINGLE(INDEX(LINEST(LN(K65:Q65),LN(K$4:Q$4),,),1))</f>
        <v>0.32937371094170315</v>
      </c>
      <c r="J65" s="44">
        <f t="shared" si="36"/>
        <v>0.93349002467854814</v>
      </c>
      <c r="K65" s="342" cm="1">
        <f t="array" ref="K65">TREND(K$32:K$54,$E$32:$E$54,$E65)</f>
        <v>1</v>
      </c>
      <c r="L65" s="342" cm="1">
        <f t="array" ref="L65">TREND(L$40:L$54,$E$40:$E$54,$E65)</f>
        <v>1.2821481303505511</v>
      </c>
      <c r="M65" s="342" cm="1">
        <f t="array" ref="M65">TREND(M$40:M$54,$E$40:$E$54,$E65)</f>
        <v>1.4796130641018095</v>
      </c>
      <c r="N65" s="342" cm="1">
        <f t="array" ref="N65">TREND(N$40:N$54,$E$40:$E$54,$E65)</f>
        <v>1.6621808723444582</v>
      </c>
      <c r="O65" s="342" cm="1">
        <f t="array" ref="O65">TREND(O$40:O$54,$E$40:$E$54,$E65)</f>
        <v>1.854134408986353</v>
      </c>
      <c r="P65" s="342" cm="1">
        <f t="array" ref="P65">TREND(P$40:P$54,$E$40:$E$54,$E65)</f>
        <v>1.8700620053427017</v>
      </c>
      <c r="Q65" s="342" cm="1">
        <f t="array" ref="Q65">TREND(Q$40:Q$54,$E$40:$E$54,$E65)</f>
        <v>1.7741288807367517</v>
      </c>
      <c r="R65" s="47">
        <f t="shared" si="38"/>
        <v>0.71872498402555929</v>
      </c>
      <c r="S65" s="47">
        <f t="shared" si="38"/>
        <v>0.66035231150787366</v>
      </c>
      <c r="T65" s="47">
        <f t="shared" si="38"/>
        <v>0.62233701833333477</v>
      </c>
      <c r="U65" s="47">
        <f t="shared" si="38"/>
        <v>0.59368212274556875</v>
      </c>
      <c r="V65" s="47">
        <f t="shared" si="38"/>
        <v>0.57053703962973501</v>
      </c>
      <c r="W65" s="47">
        <f t="shared" si="38"/>
        <v>0.55106120860549557</v>
      </c>
      <c r="X65" s="47">
        <f t="shared" si="38"/>
        <v>0.53422035587095151</v>
      </c>
      <c r="Y65" s="47">
        <f t="shared" si="38"/>
        <v>0.51937118891998846</v>
      </c>
      <c r="Z65" s="47">
        <f t="shared" si="38"/>
        <v>0.50608448027232456</v>
      </c>
      <c r="AA65" s="47">
        <f t="shared" si="38"/>
        <v>0.49405863661977067</v>
      </c>
      <c r="AB65" s="47">
        <f t="shared" si="38"/>
        <v>0.48307315480213342</v>
      </c>
      <c r="AC65" s="47">
        <f t="shared" si="38"/>
        <v>0.4729616529052601</v>
      </c>
      <c r="AD65" s="47">
        <f t="shared" si="38"/>
        <v>0.46359532265105524</v>
      </c>
      <c r="AE65" s="47">
        <f t="shared" si="38"/>
        <v>0.45487229692007702</v>
      </c>
      <c r="AF65" s="47">
        <f t="shared" si="38"/>
        <v>0.44671055350703376</v>
      </c>
      <c r="AG65" s="47">
        <f t="shared" si="38"/>
        <v>0.43904302570151654</v>
      </c>
      <c r="AH65" s="47">
        <f t="shared" si="37"/>
        <v>0.43181414079189229</v>
      </c>
      <c r="AI65" s="47">
        <f t="shared" si="37"/>
        <v>0.42497731151096052</v>
      </c>
      <c r="AJ65" s="47">
        <f t="shared" si="37"/>
        <v>0.41849308067095314</v>
      </c>
      <c r="AK65" s="553">
        <f t="shared" si="37"/>
        <v>0.41232772410755508</v>
      </c>
      <c r="AL65" s="47"/>
      <c r="AM65" s="47"/>
      <c r="AN65" s="47"/>
      <c r="AO65" s="47"/>
      <c r="AP65" s="47"/>
      <c r="AQ65" s="47"/>
      <c r="AR65" s="47"/>
      <c r="AS65" s="47"/>
      <c r="AT65" s="47"/>
      <c r="AV65" s="39"/>
      <c r="AW65" s="47"/>
      <c r="AX65" s="47"/>
      <c r="AY65" s="47"/>
      <c r="AZ65" s="47"/>
      <c r="BA65" s="47"/>
      <c r="BD65" s="466"/>
      <c r="BE65" s="466"/>
      <c r="BF65" s="466"/>
      <c r="BG65" s="466"/>
      <c r="BH65" s="466"/>
      <c r="BK65" s="48"/>
      <c r="BL65" s="48"/>
      <c r="BM65" s="48"/>
      <c r="BN65" s="48"/>
      <c r="BO65" s="48"/>
      <c r="BQ65" s="47"/>
      <c r="BR65" s="47"/>
      <c r="BS65" s="47"/>
    </row>
    <row r="66" spans="4:71" x14ac:dyDescent="0.3">
      <c r="D66" s="547" cm="1">
        <f t="array" ref="D66">TREND($D$49:$D$54,$E$49:$E$54,E66)</f>
        <v>0.40633007759014123</v>
      </c>
      <c r="E66" s="554">
        <v>132500</v>
      </c>
      <c r="F66" s="555">
        <f t="shared" si="14"/>
        <v>0.28443105431309884</v>
      </c>
      <c r="G66" s="556">
        <f t="shared" si="35"/>
        <v>0.33467732447856474</v>
      </c>
      <c r="H66">
        <f t="shared" si="15"/>
        <v>0.32057626107126375</v>
      </c>
      <c r="I66" s="556" cm="1">
        <f t="array" ref="I66">_xlfn.SINGLE(INDEX(LINEST(LN(K66:Q66),LN(K$4:Q$4),,),1))</f>
        <v>0.32057626107126375</v>
      </c>
      <c r="J66" s="557">
        <f t="shared" si="36"/>
        <v>0.91907345605440915</v>
      </c>
      <c r="K66" s="555" cm="1">
        <f t="array" ref="K66">TREND(K$32:K$54,$E$32:$E$54,$E66)</f>
        <v>1</v>
      </c>
      <c r="L66" s="555" cm="1">
        <f t="array" ref="L66">TREND(L$40:L$54,$E$40:$E$54,$E66)</f>
        <v>1.2817732288174055</v>
      </c>
      <c r="M66" s="555" cm="1">
        <f t="array" ref="M66">TREND(M$40:M$54,$E$40:$E$54,$E66)</f>
        <v>1.4769690095305053</v>
      </c>
      <c r="N66" s="555" cm="1">
        <f t="array" ref="N66">TREND(N$40:N$54,$E$40:$E$54,$E66)</f>
        <v>1.65640002523722</v>
      </c>
      <c r="O66" s="555" cm="1">
        <f t="array" ref="O66">TREND(O$40:O$54,$E$40:$E$54,$E66)</f>
        <v>1.8452305748496278</v>
      </c>
      <c r="P66" s="555" cm="1">
        <f t="array" ref="P66">TREND(P$40:P$54,$E$40:$E$54,$E66)</f>
        <v>1.8482830577160276</v>
      </c>
      <c r="Q66" s="555" cm="1">
        <f t="array" ref="Q66">TREND(Q$40:Q$54,$E$40:$E$54,$E66)</f>
        <v>1.7357375652536089</v>
      </c>
      <c r="R66" s="558">
        <f t="shared" si="38"/>
        <v>0.71556894568690121</v>
      </c>
      <c r="S66" s="558">
        <f t="shared" si="38"/>
        <v>0.65839196067021855</v>
      </c>
      <c r="T66" s="558">
        <f t="shared" si="38"/>
        <v>0.62128180994572002</v>
      </c>
      <c r="U66" s="558">
        <f t="shared" si="38"/>
        <v>0.59335984697198751</v>
      </c>
      <c r="V66" s="558">
        <f t="shared" si="38"/>
        <v>0.57083225927073777</v>
      </c>
      <c r="W66" s="558">
        <f t="shared" si="38"/>
        <v>0.55189035009460641</v>
      </c>
      <c r="X66" s="558">
        <f t="shared" si="38"/>
        <v>0.53551971919019581</v>
      </c>
      <c r="Y66" s="558">
        <f t="shared" si="38"/>
        <v>0.52109040311154253</v>
      </c>
      <c r="Z66" s="558">
        <f t="shared" si="38"/>
        <v>0.50818259916127273</v>
      </c>
      <c r="AA66" s="558">
        <f t="shared" si="38"/>
        <v>0.496501651277719</v>
      </c>
      <c r="AB66" s="558">
        <f t="shared" si="38"/>
        <v>0.48583232640691038</v>
      </c>
      <c r="AC66" s="558">
        <f t="shared" si="38"/>
        <v>0.47601234965696348</v>
      </c>
      <c r="AD66" s="558">
        <f t="shared" si="38"/>
        <v>0.46691618141208785</v>
      </c>
      <c r="AE66" s="558">
        <f t="shared" si="38"/>
        <v>0.45844460232475132</v>
      </c>
      <c r="AF66" s="558">
        <f t="shared" si="38"/>
        <v>0.45051776750253864</v>
      </c>
      <c r="AG66" s="558">
        <f t="shared" si="38"/>
        <v>0.44307042404061958</v>
      </c>
      <c r="AH66" s="558">
        <f t="shared" si="37"/>
        <v>0.43604852737612032</v>
      </c>
      <c r="AI66" s="558">
        <f t="shared" si="37"/>
        <v>0.42940679057136033</v>
      </c>
      <c r="AJ66" s="558">
        <f t="shared" si="37"/>
        <v>0.42310687269482949</v>
      </c>
      <c r="AK66" s="559">
        <f t="shared" si="37"/>
        <v>0.41711601538088428</v>
      </c>
      <c r="AL66" s="47"/>
      <c r="AM66" s="47"/>
      <c r="AN66" s="47"/>
      <c r="AO66" s="47"/>
      <c r="AP66" s="47"/>
      <c r="AQ66" s="47"/>
      <c r="AR66" s="47"/>
      <c r="AS66" s="47"/>
      <c r="AT66" s="47"/>
      <c r="AV66" s="39"/>
      <c r="AW66" s="47"/>
      <c r="AX66" s="47"/>
      <c r="AY66" s="47"/>
      <c r="AZ66" s="47"/>
      <c r="BA66" s="47"/>
      <c r="BD66" s="466"/>
      <c r="BE66" s="466"/>
      <c r="BF66" s="466"/>
      <c r="BG66" s="466"/>
      <c r="BH66" s="466"/>
      <c r="BK66" s="48"/>
      <c r="BL66" s="48"/>
      <c r="BM66" s="48"/>
      <c r="BN66" s="48"/>
      <c r="BO66" s="48"/>
      <c r="BQ66" s="47"/>
      <c r="BR66" s="47"/>
      <c r="BS66" s="47"/>
    </row>
    <row r="67" spans="4:71" x14ac:dyDescent="0.3">
      <c r="D67" s="547"/>
      <c r="AM67" s="47"/>
      <c r="AN67" s="47"/>
      <c r="AO67" s="47"/>
      <c r="AP67" s="47"/>
      <c r="AQ67" s="47"/>
      <c r="AR67" s="47"/>
      <c r="AS67" s="47"/>
      <c r="AT67" s="47"/>
      <c r="AV67" s="39"/>
      <c r="AW67" s="47"/>
      <c r="AX67" s="47"/>
      <c r="AY67" s="47"/>
      <c r="AZ67" s="47"/>
      <c r="BA67" s="47"/>
      <c r="BD67" s="466"/>
      <c r="BE67" s="466"/>
      <c r="BF67" s="466"/>
      <c r="BG67" s="466"/>
      <c r="BH67" s="466"/>
      <c r="BK67" s="48"/>
      <c r="BL67" s="48"/>
      <c r="BM67" s="48"/>
      <c r="BN67" s="48"/>
      <c r="BO67" s="48"/>
      <c r="BQ67" s="47"/>
      <c r="BR67" s="47"/>
      <c r="BS67" s="47"/>
    </row>
    <row r="68" spans="4:71" x14ac:dyDescent="0.3">
      <c r="D68" s="547"/>
      <c r="AM68" s="47"/>
      <c r="AN68" s="47"/>
      <c r="AO68" s="47"/>
      <c r="AP68" s="47"/>
      <c r="AQ68" s="47"/>
      <c r="AR68" s="47"/>
      <c r="AS68" s="47"/>
      <c r="AT68" s="47"/>
      <c r="AV68" s="39"/>
      <c r="AW68" s="47"/>
      <c r="AX68" s="47"/>
      <c r="AY68" s="47"/>
      <c r="AZ68" s="47"/>
      <c r="BA68" s="47"/>
      <c r="BD68" s="466"/>
      <c r="BE68" s="466"/>
      <c r="BF68" s="466"/>
      <c r="BG68" s="466"/>
      <c r="BH68" s="466"/>
      <c r="BK68" s="48"/>
      <c r="BL68" s="48"/>
      <c r="BM68" s="48"/>
      <c r="BN68" s="48"/>
      <c r="BO68" s="48"/>
      <c r="BQ68" s="47"/>
      <c r="BR68" s="47"/>
      <c r="BS68" s="47"/>
    </row>
    <row r="69" spans="4:71" x14ac:dyDescent="0.3">
      <c r="AM69" s="47"/>
      <c r="AN69" s="47"/>
      <c r="AO69" s="47"/>
      <c r="AP69" s="47"/>
      <c r="AQ69" s="47"/>
      <c r="AR69" s="47"/>
      <c r="AS69" s="47"/>
      <c r="AT69" s="47"/>
      <c r="AV69" s="39"/>
      <c r="AW69" s="47"/>
      <c r="AX69" s="47"/>
      <c r="AY69" s="47"/>
      <c r="AZ69" s="47"/>
      <c r="BA69" s="47"/>
      <c r="BD69" s="466"/>
      <c r="BE69" s="466"/>
      <c r="BF69" s="466"/>
      <c r="BG69" s="466"/>
      <c r="BH69" s="466"/>
      <c r="BK69" s="48"/>
      <c r="BL69" s="48"/>
      <c r="BM69" s="48"/>
      <c r="BN69" s="48"/>
      <c r="BO69" s="48"/>
      <c r="BQ69" s="47"/>
      <c r="BR69" s="47"/>
      <c r="BS69" s="47"/>
    </row>
    <row r="70" spans="4:71" x14ac:dyDescent="0.3">
      <c r="AM70" s="47"/>
      <c r="AN70" s="47"/>
      <c r="AO70" s="47"/>
      <c r="AP70" s="47"/>
      <c r="AQ70" s="47"/>
      <c r="AR70" s="47"/>
      <c r="AS70" s="47"/>
      <c r="AT70" s="47"/>
      <c r="AV70" s="39"/>
      <c r="AW70" s="47"/>
      <c r="AX70" s="47"/>
      <c r="AY70" s="47"/>
      <c r="AZ70" s="47"/>
      <c r="BA70" s="47"/>
      <c r="BD70" s="466"/>
      <c r="BE70" s="466"/>
      <c r="BF70" s="466"/>
      <c r="BG70" s="466"/>
      <c r="BH70" s="466"/>
      <c r="BK70" s="48"/>
      <c r="BL70" s="48"/>
      <c r="BM70" s="48"/>
      <c r="BN70" s="48"/>
      <c r="BO70" s="48"/>
      <c r="BQ70" s="47"/>
      <c r="BR70" s="47"/>
      <c r="BS70" s="47"/>
    </row>
    <row r="71" spans="4:71" x14ac:dyDescent="0.3">
      <c r="AM71" s="47"/>
      <c r="AN71" s="47"/>
      <c r="AO71" s="47"/>
      <c r="AP71" s="47"/>
      <c r="AQ71" s="47"/>
      <c r="AR71" s="47"/>
      <c r="AS71" s="47"/>
      <c r="AT71" s="47"/>
      <c r="AV71" s="39"/>
      <c r="AW71" s="47"/>
      <c r="AX71" s="47"/>
      <c r="AY71" s="47"/>
      <c r="AZ71" s="47"/>
      <c r="BA71" s="47"/>
      <c r="BD71" s="466"/>
      <c r="BE71" s="466"/>
      <c r="BF71" s="466"/>
      <c r="BG71" s="466"/>
      <c r="BH71" s="466"/>
      <c r="BK71" s="48"/>
      <c r="BL71" s="48"/>
      <c r="BM71" s="48"/>
      <c r="BN71" s="48"/>
      <c r="BO71" s="48"/>
      <c r="BQ71" s="47"/>
      <c r="BR71" s="47"/>
      <c r="BS71" s="47"/>
    </row>
    <row r="72" spans="4:71" x14ac:dyDescent="0.3">
      <c r="AM72" s="47"/>
      <c r="AN72" s="47"/>
      <c r="AO72" s="47"/>
      <c r="AP72" s="47"/>
      <c r="AQ72" s="47"/>
      <c r="AR72" s="47"/>
      <c r="AS72" s="47"/>
      <c r="AT72" s="47"/>
      <c r="AV72" s="39"/>
      <c r="AW72" s="47"/>
      <c r="AX72" s="47"/>
      <c r="AY72" s="47"/>
      <c r="AZ72" s="47"/>
      <c r="BA72" s="47"/>
      <c r="BD72" s="466"/>
      <c r="BE72" s="466"/>
      <c r="BF72" s="466"/>
      <c r="BG72" s="466"/>
      <c r="BH72" s="466"/>
      <c r="BK72" s="48"/>
      <c r="BL72" s="48"/>
      <c r="BM72" s="48"/>
      <c r="BN72" s="48"/>
      <c r="BO72" s="48"/>
      <c r="BQ72" s="47"/>
      <c r="BR72" s="47"/>
      <c r="BS72" s="47"/>
    </row>
    <row r="73" spans="4:71" x14ac:dyDescent="0.3">
      <c r="AM73" s="47"/>
      <c r="AN73" s="47"/>
      <c r="AO73" s="47"/>
      <c r="AP73" s="47"/>
      <c r="AQ73" s="47"/>
      <c r="AR73" s="47"/>
      <c r="AS73" s="47"/>
      <c r="AT73" s="47"/>
      <c r="AV73" s="39"/>
      <c r="AW73" s="47"/>
      <c r="AX73" s="47"/>
      <c r="AY73" s="47"/>
      <c r="AZ73" s="47"/>
      <c r="BA73" s="47"/>
      <c r="BD73" s="466"/>
      <c r="BE73" s="466"/>
      <c r="BF73" s="466"/>
      <c r="BG73" s="466"/>
      <c r="BH73" s="466"/>
      <c r="BK73" s="48"/>
      <c r="BL73" s="48"/>
      <c r="BM73" s="48"/>
      <c r="BN73" s="48"/>
      <c r="BO73" s="48"/>
      <c r="BQ73" s="47"/>
      <c r="BR73" s="47"/>
      <c r="BS73" s="47"/>
    </row>
    <row r="74" spans="4:71" x14ac:dyDescent="0.3">
      <c r="AM74" s="47"/>
      <c r="AN74" s="47"/>
      <c r="AO74" s="47"/>
      <c r="AP74" s="47"/>
      <c r="AQ74" s="47"/>
      <c r="AR74" s="47"/>
      <c r="AS74" s="47"/>
      <c r="AT74" s="47"/>
      <c r="AV74" s="39"/>
      <c r="AW74" s="47"/>
      <c r="AX74" s="47"/>
      <c r="AY74" s="47"/>
      <c r="AZ74" s="47"/>
      <c r="BA74" s="47"/>
      <c r="BD74" s="466"/>
      <c r="BE74" s="466"/>
      <c r="BF74" s="466"/>
      <c r="BG74" s="466"/>
      <c r="BH74" s="466"/>
      <c r="BK74" s="48"/>
      <c r="BL74" s="48"/>
      <c r="BM74" s="48"/>
      <c r="BN74" s="48"/>
      <c r="BO74" s="48"/>
      <c r="BQ74" s="47"/>
      <c r="BR74" s="47"/>
      <c r="BS74" s="47"/>
    </row>
    <row r="75" spans="4:71" x14ac:dyDescent="0.3">
      <c r="AM75" s="47"/>
      <c r="AN75" s="47"/>
      <c r="AO75" s="47"/>
      <c r="AP75" s="47"/>
      <c r="AQ75" s="47"/>
      <c r="AR75" s="47"/>
      <c r="AS75" s="47"/>
      <c r="AT75" s="47"/>
      <c r="BQ75" s="47"/>
      <c r="BR75" s="47"/>
      <c r="BS75" s="47"/>
    </row>
    <row r="76" spans="4:71" x14ac:dyDescent="0.3">
      <c r="AM76" s="47"/>
      <c r="AN76" s="47"/>
      <c r="AO76" s="47"/>
      <c r="AP76" s="47"/>
      <c r="AQ76" s="47"/>
      <c r="AR76" s="47"/>
      <c r="AS76" s="47"/>
      <c r="AT76" s="47"/>
      <c r="BQ76" s="47"/>
      <c r="BR76" s="47"/>
      <c r="BS76" s="47"/>
    </row>
    <row r="77" spans="4:71" x14ac:dyDescent="0.3">
      <c r="AM77" s="47"/>
      <c r="AN77" s="47"/>
      <c r="AO77" s="47"/>
      <c r="AP77" s="47"/>
      <c r="AQ77" s="47"/>
      <c r="AR77" s="47"/>
      <c r="AS77" s="47"/>
      <c r="AT77" s="47"/>
      <c r="BQ77" s="47"/>
      <c r="BR77" s="47"/>
      <c r="BS77" s="47"/>
    </row>
    <row r="78" spans="4:71" x14ac:dyDescent="0.3">
      <c r="AM78" s="47"/>
      <c r="AN78" s="47"/>
      <c r="AO78" s="47"/>
      <c r="AP78" s="47"/>
      <c r="AQ78" s="47"/>
      <c r="AR78" s="47"/>
      <c r="AS78" s="47"/>
      <c r="AT78" s="47"/>
      <c r="BQ78" s="47"/>
      <c r="BR78" s="47"/>
      <c r="BS78" s="47"/>
    </row>
    <row r="80" spans="4:71" x14ac:dyDescent="0.3">
      <c r="F80" s="342">
        <v>0.184</v>
      </c>
      <c r="G80">
        <f>-LN(1-F80)</f>
        <v>0.20334092401802997</v>
      </c>
      <c r="I80">
        <f>INDEX(LINEST(LN(K80:Q80),LN(K$4:Q$4),,),1)</f>
        <v>0.53225188285295766</v>
      </c>
      <c r="J80" s="44">
        <f>INDEX(LINEST(LN(K80:Q80),LN(K$4:Q$4),,1),3)</f>
        <v>0.98419414867883459</v>
      </c>
      <c r="K80" s="342">
        <v>1</v>
      </c>
      <c r="L80" s="342">
        <v>1.2969570667152248</v>
      </c>
      <c r="M80" s="342">
        <v>1.6006304946859586</v>
      </c>
      <c r="N80" s="342">
        <v>1.9052088148216733</v>
      </c>
      <c r="O80" s="342">
        <v>2.210450509533203</v>
      </c>
      <c r="P80" s="342">
        <v>2.5054893539826839</v>
      </c>
      <c r="Q80" s="342">
        <v>2.7784963355372545</v>
      </c>
    </row>
    <row r="81" spans="4:37" x14ac:dyDescent="0.3">
      <c r="F81" s="343"/>
      <c r="K81" s="47"/>
      <c r="L81" s="47"/>
      <c r="M81" s="47"/>
      <c r="N81" s="47"/>
      <c r="O81" s="47"/>
      <c r="P81" s="47"/>
      <c r="Q81" s="47"/>
    </row>
    <row r="82" spans="4:37" x14ac:dyDescent="0.3">
      <c r="D82" s="342">
        <v>0.3</v>
      </c>
      <c r="E82">
        <v>14250</v>
      </c>
      <c r="F82" s="342">
        <f>D82*$B$14</f>
        <v>0.21</v>
      </c>
      <c r="G82">
        <f t="shared" ref="G82:G116" si="39">-LN(1-F82)</f>
        <v>0.23572233352106983</v>
      </c>
      <c r="I82">
        <f t="shared" ref="I82:I116" si="40">INDEX(LINEST(LN(K82:Q82),LN(K$4:Q$4),,),1)</f>
        <v>0.5552732948416057</v>
      </c>
      <c r="J82" s="44">
        <f t="shared" ref="J82:J116" si="41">INDEX(LINEST(LN(K82:Q82),LN(K$4:Q$4),,1),3)</f>
        <v>0.97212168494234297</v>
      </c>
      <c r="K82" s="342">
        <v>1</v>
      </c>
      <c r="L82" s="342">
        <v>1.2953964595727938</v>
      </c>
      <c r="M82" s="342">
        <v>1.5759977753023737</v>
      </c>
      <c r="N82" s="342">
        <v>1.8878381134039761</v>
      </c>
      <c r="O82" s="342">
        <v>2.3017612142972781</v>
      </c>
      <c r="P82" s="342">
        <v>2.7127894535476864</v>
      </c>
      <c r="Q82" s="342">
        <v>2.7875585045711926</v>
      </c>
      <c r="R82" s="47">
        <f t="shared" ref="R82:AA91" si="42">EXP(-$G82*R$8^$I82)</f>
        <v>0.79</v>
      </c>
      <c r="S82" s="47">
        <f t="shared" si="42"/>
        <v>0.7072426447597685</v>
      </c>
      <c r="T82" s="47">
        <f t="shared" si="42"/>
        <v>0.64801344949788187</v>
      </c>
      <c r="U82" s="47">
        <f t="shared" si="42"/>
        <v>0.60110286700169702</v>
      </c>
      <c r="V82" s="47">
        <f t="shared" si="42"/>
        <v>0.56206965565902589</v>
      </c>
      <c r="W82" s="47">
        <f t="shared" si="42"/>
        <v>0.5286067552058874</v>
      </c>
      <c r="X82" s="47">
        <f t="shared" si="42"/>
        <v>0.49933294692736596</v>
      </c>
      <c r="Y82" s="47">
        <f t="shared" si="42"/>
        <v>0.47334411625844841</v>
      </c>
      <c r="Z82" s="47">
        <f t="shared" si="42"/>
        <v>0.45001074960959714</v>
      </c>
      <c r="AA82" s="47">
        <f t="shared" si="42"/>
        <v>0.42887415870287299</v>
      </c>
      <c r="AB82" s="47">
        <f t="shared" ref="AB82:AK91" si="43">EXP(-$G82*AB$8^$I82)</f>
        <v>0.40958825881055089</v>
      </c>
      <c r="AC82" s="47">
        <f t="shared" si="43"/>
        <v>0.3918846006986117</v>
      </c>
      <c r="AD82" s="47">
        <f t="shared" si="43"/>
        <v>0.37555021877173855</v>
      </c>
      <c r="AE82" s="47">
        <f t="shared" si="43"/>
        <v>0.36041298266798644</v>
      </c>
      <c r="AF82" s="47">
        <f t="shared" si="43"/>
        <v>0.34633156217037248</v>
      </c>
      <c r="AG82" s="47">
        <f t="shared" si="43"/>
        <v>0.3331883457465607</v>
      </c>
      <c r="AH82" s="47">
        <f t="shared" si="43"/>
        <v>0.32088431574208676</v>
      </c>
      <c r="AI82" s="47">
        <f t="shared" si="43"/>
        <v>0.3093352581105131</v>
      </c>
      <c r="AJ82" s="47">
        <f t="shared" si="43"/>
        <v>0.29846890559885669</v>
      </c>
      <c r="AK82" s="47">
        <f t="shared" si="43"/>
        <v>0.28822274838412487</v>
      </c>
    </row>
    <row r="83" spans="4:37" x14ac:dyDescent="0.3">
      <c r="D83" s="342">
        <v>0.3</v>
      </c>
      <c r="E83">
        <v>14750</v>
      </c>
      <c r="F83" s="342">
        <f t="shared" ref="F83:F128" si="44">D83*$B$14</f>
        <v>0.21</v>
      </c>
      <c r="G83">
        <f t="shared" si="39"/>
        <v>0.23572233352106983</v>
      </c>
      <c r="I83">
        <f t="shared" si="40"/>
        <v>0.55527329484160581</v>
      </c>
      <c r="J83" s="44">
        <f t="shared" si="41"/>
        <v>0.97212168494234286</v>
      </c>
      <c r="K83" s="342">
        <v>1</v>
      </c>
      <c r="L83" s="342">
        <v>1.2953964595727931</v>
      </c>
      <c r="M83" s="342">
        <v>1.5759977753023737</v>
      </c>
      <c r="N83" s="342">
        <v>1.8878381134039761</v>
      </c>
      <c r="O83" s="342">
        <v>2.3017612142972781</v>
      </c>
      <c r="P83" s="342">
        <v>2.7127894535476864</v>
      </c>
      <c r="Q83" s="342">
        <v>2.7875585045711926</v>
      </c>
      <c r="R83" s="47">
        <f t="shared" si="42"/>
        <v>0.79</v>
      </c>
      <c r="S83" s="47">
        <f t="shared" si="42"/>
        <v>0.7072426447597685</v>
      </c>
      <c r="T83" s="47">
        <f t="shared" si="42"/>
        <v>0.64801344949788175</v>
      </c>
      <c r="U83" s="47">
        <f t="shared" si="42"/>
        <v>0.60110286700169702</v>
      </c>
      <c r="V83" s="47">
        <f t="shared" si="42"/>
        <v>0.56206965565902578</v>
      </c>
      <c r="W83" s="47">
        <f t="shared" si="42"/>
        <v>0.5286067552058874</v>
      </c>
      <c r="X83" s="47">
        <f t="shared" si="42"/>
        <v>0.49933294692736591</v>
      </c>
      <c r="Y83" s="47">
        <f t="shared" si="42"/>
        <v>0.4733441162584483</v>
      </c>
      <c r="Z83" s="47">
        <f t="shared" si="42"/>
        <v>0.45001074960959703</v>
      </c>
      <c r="AA83" s="47">
        <f t="shared" si="42"/>
        <v>0.42887415870287293</v>
      </c>
      <c r="AB83" s="47">
        <f t="shared" si="43"/>
        <v>0.40958825881055078</v>
      </c>
      <c r="AC83" s="47">
        <f t="shared" si="43"/>
        <v>0.39188460069861153</v>
      </c>
      <c r="AD83" s="47">
        <f t="shared" si="43"/>
        <v>0.37555021877173839</v>
      </c>
      <c r="AE83" s="47">
        <f t="shared" si="43"/>
        <v>0.36041298266798638</v>
      </c>
      <c r="AF83" s="47">
        <f t="shared" si="43"/>
        <v>0.34633156217037225</v>
      </c>
      <c r="AG83" s="47">
        <f t="shared" si="43"/>
        <v>0.33318834574656064</v>
      </c>
      <c r="AH83" s="47">
        <f t="shared" si="43"/>
        <v>0.32088431574208665</v>
      </c>
      <c r="AI83" s="47">
        <f t="shared" si="43"/>
        <v>0.30933525811051293</v>
      </c>
      <c r="AJ83" s="47">
        <f t="shared" si="43"/>
        <v>0.29846890559885658</v>
      </c>
      <c r="AK83" s="47">
        <f t="shared" si="43"/>
        <v>0.28822274838412471</v>
      </c>
    </row>
    <row r="84" spans="4:37" x14ac:dyDescent="0.3">
      <c r="D84" s="342">
        <v>0.3</v>
      </c>
      <c r="E84">
        <v>15250</v>
      </c>
      <c r="F84" s="342">
        <f t="shared" si="44"/>
        <v>0.21</v>
      </c>
      <c r="G84">
        <f t="shared" si="39"/>
        <v>0.23572233352106983</v>
      </c>
      <c r="I84">
        <f t="shared" si="40"/>
        <v>0.55500907909221686</v>
      </c>
      <c r="J84" s="44">
        <f t="shared" si="41"/>
        <v>0.97314468003303745</v>
      </c>
      <c r="K84" s="342">
        <v>1</v>
      </c>
      <c r="L84" s="342">
        <v>1.2953964595727938</v>
      </c>
      <c r="M84" s="342">
        <v>1.5858525244715456</v>
      </c>
      <c r="N84" s="342">
        <v>1.8878381134039761</v>
      </c>
      <c r="O84" s="342">
        <v>2.3017612142972781</v>
      </c>
      <c r="P84" s="342">
        <v>2.7127894535476864</v>
      </c>
      <c r="Q84" s="342">
        <v>2.7875585045711926</v>
      </c>
      <c r="R84" s="47">
        <f t="shared" si="42"/>
        <v>0.79</v>
      </c>
      <c r="S84" s="47">
        <f t="shared" si="42"/>
        <v>0.70728750703106769</v>
      </c>
      <c r="T84" s="47">
        <f t="shared" si="42"/>
        <v>0.64809504851147937</v>
      </c>
      <c r="U84" s="47">
        <f t="shared" si="42"/>
        <v>0.60121492231818763</v>
      </c>
      <c r="V84" s="47">
        <f t="shared" si="42"/>
        <v>0.56220734617609958</v>
      </c>
      <c r="W84" s="47">
        <f t="shared" si="42"/>
        <v>0.52876627742605509</v>
      </c>
      <c r="X84" s="47">
        <f t="shared" si="42"/>
        <v>0.49951122531186765</v>
      </c>
      <c r="Y84" s="47">
        <f t="shared" si="42"/>
        <v>0.47353861410434017</v>
      </c>
      <c r="Z84" s="47">
        <f t="shared" si="42"/>
        <v>0.45021934116805784</v>
      </c>
      <c r="AA84" s="47">
        <f t="shared" si="42"/>
        <v>0.42909503952339567</v>
      </c>
      <c r="AB84" s="47">
        <f t="shared" si="43"/>
        <v>0.4098198808545705</v>
      </c>
      <c r="AC84" s="47">
        <f t="shared" si="43"/>
        <v>0.39212562409081064</v>
      </c>
      <c r="AD84" s="47">
        <f t="shared" si="43"/>
        <v>0.37579947508857575</v>
      </c>
      <c r="AE84" s="47">
        <f t="shared" si="43"/>
        <v>0.36066944645092675</v>
      </c>
      <c r="AF84" s="47">
        <f t="shared" si="43"/>
        <v>0.34659432844455756</v>
      </c>
      <c r="AG84" s="47">
        <f t="shared" si="43"/>
        <v>0.33345661201681981</v>
      </c>
      <c r="AH84" s="47">
        <f t="shared" si="43"/>
        <v>0.32115736738842837</v>
      </c>
      <c r="AI84" s="47">
        <f t="shared" si="43"/>
        <v>0.30961245640648882</v>
      </c>
      <c r="AJ84" s="47">
        <f t="shared" si="43"/>
        <v>0.29874967778259381</v>
      </c>
      <c r="AK84" s="47">
        <f t="shared" si="43"/>
        <v>0.28850657935628377</v>
      </c>
    </row>
    <row r="85" spans="4:37" x14ac:dyDescent="0.3">
      <c r="D85" s="342">
        <v>0.3</v>
      </c>
      <c r="E85">
        <v>15750</v>
      </c>
      <c r="F85" s="342">
        <f t="shared" si="44"/>
        <v>0.21</v>
      </c>
      <c r="G85">
        <f t="shared" si="39"/>
        <v>0.23572233352106983</v>
      </c>
      <c r="I85">
        <f t="shared" si="40"/>
        <v>0.55470799131425841</v>
      </c>
      <c r="J85" s="44">
        <f t="shared" si="41"/>
        <v>0.97422696472090642</v>
      </c>
      <c r="K85" s="342">
        <v>1</v>
      </c>
      <c r="L85" s="342">
        <v>1.2953964595727943</v>
      </c>
      <c r="M85" s="342">
        <v>1.5971576738700717</v>
      </c>
      <c r="N85" s="342">
        <v>1.8878381134039768</v>
      </c>
      <c r="O85" s="342">
        <v>2.3017612142972781</v>
      </c>
      <c r="P85" s="342">
        <v>2.7127894535476864</v>
      </c>
      <c r="Q85" s="342">
        <v>2.7875585045711926</v>
      </c>
      <c r="R85" s="47">
        <f t="shared" si="42"/>
        <v>0.79</v>
      </c>
      <c r="S85" s="47">
        <f t="shared" si="42"/>
        <v>0.70733862340784681</v>
      </c>
      <c r="T85" s="47">
        <f t="shared" si="42"/>
        <v>0.64818801854016439</v>
      </c>
      <c r="U85" s="47">
        <f t="shared" si="42"/>
        <v>0.60134259068468854</v>
      </c>
      <c r="V85" s="47">
        <f t="shared" si="42"/>
        <v>0.56236422151008936</v>
      </c>
      <c r="W85" s="47">
        <f t="shared" si="42"/>
        <v>0.52894802800925023</v>
      </c>
      <c r="X85" s="47">
        <f t="shared" si="42"/>
        <v>0.49971434875396437</v>
      </c>
      <c r="Y85" s="47">
        <f t="shared" si="42"/>
        <v>0.47376022176461979</v>
      </c>
      <c r="Z85" s="47">
        <f t="shared" si="42"/>
        <v>0.45045701242918285</v>
      </c>
      <c r="AA85" s="47">
        <f t="shared" si="42"/>
        <v>0.42934671964704874</v>
      </c>
      <c r="AB85" s="47">
        <f t="shared" si="43"/>
        <v>0.41008380706883252</v>
      </c>
      <c r="AC85" s="47">
        <f t="shared" si="43"/>
        <v>0.39240027063676153</v>
      </c>
      <c r="AD85" s="47">
        <f t="shared" si="43"/>
        <v>0.37608351141174551</v>
      </c>
      <c r="AE85" s="47">
        <f t="shared" si="43"/>
        <v>0.36096170476221012</v>
      </c>
      <c r="AF85" s="47">
        <f t="shared" si="43"/>
        <v>0.34689377812165278</v>
      </c>
      <c r="AG85" s="47">
        <f t="shared" si="43"/>
        <v>0.33376233910510011</v>
      </c>
      <c r="AH85" s="47">
        <f t="shared" si="43"/>
        <v>0.32146855797330054</v>
      </c>
      <c r="AI85" s="47">
        <f t="shared" si="43"/>
        <v>0.30992838297257808</v>
      </c>
      <c r="AJ85" s="47">
        <f t="shared" si="43"/>
        <v>0.29906968791027472</v>
      </c>
      <c r="AK85" s="47">
        <f t="shared" si="43"/>
        <v>0.28883008627066481</v>
      </c>
    </row>
    <row r="86" spans="4:37" x14ac:dyDescent="0.3">
      <c r="D86" s="342">
        <v>0.3</v>
      </c>
      <c r="E86">
        <v>16250</v>
      </c>
      <c r="F86" s="342">
        <f t="shared" si="44"/>
        <v>0.21</v>
      </c>
      <c r="G86">
        <f t="shared" si="39"/>
        <v>0.23572233352106983</v>
      </c>
      <c r="I86">
        <f t="shared" si="40"/>
        <v>0.55372781702377305</v>
      </c>
      <c r="J86" s="44">
        <f t="shared" si="41"/>
        <v>0.97542780471300006</v>
      </c>
      <c r="K86" s="342">
        <v>1</v>
      </c>
      <c r="L86" s="342">
        <v>1.2953964595727943</v>
      </c>
      <c r="M86" s="342">
        <v>1.6042466112802449</v>
      </c>
      <c r="N86" s="342">
        <v>1.8878381134039768</v>
      </c>
      <c r="O86" s="342">
        <v>2.3017612142972781</v>
      </c>
      <c r="P86" s="342">
        <v>2.7022690912897893</v>
      </c>
      <c r="Q86" s="342">
        <v>2.7875585045711926</v>
      </c>
      <c r="R86" s="47">
        <f t="shared" si="42"/>
        <v>0.79</v>
      </c>
      <c r="S86" s="47">
        <f t="shared" si="42"/>
        <v>0.70750498158763742</v>
      </c>
      <c r="T86" s="47">
        <f t="shared" si="42"/>
        <v>0.64849055657783539</v>
      </c>
      <c r="U86" s="47">
        <f t="shared" si="42"/>
        <v>0.60175802645895382</v>
      </c>
      <c r="V86" s="47">
        <f t="shared" si="42"/>
        <v>0.56287469679619739</v>
      </c>
      <c r="W86" s="47">
        <f t="shared" si="42"/>
        <v>0.52953946004620112</v>
      </c>
      <c r="X86" s="47">
        <f t="shared" si="42"/>
        <v>0.50037535299901359</v>
      </c>
      <c r="Y86" s="47">
        <f t="shared" si="42"/>
        <v>0.47448140962660268</v>
      </c>
      <c r="Z86" s="47">
        <f t="shared" si="42"/>
        <v>0.45123051687744248</v>
      </c>
      <c r="AA86" s="47">
        <f t="shared" si="42"/>
        <v>0.43016586285644465</v>
      </c>
      <c r="AB86" s="47">
        <f t="shared" si="43"/>
        <v>0.41094286001327013</v>
      </c>
      <c r="AC86" s="47">
        <f t="shared" si="43"/>
        <v>0.39329427440130188</v>
      </c>
      <c r="AD86" s="47">
        <f t="shared" si="43"/>
        <v>0.37700814127922111</v>
      </c>
      <c r="AE86" s="47">
        <f t="shared" si="43"/>
        <v>0.36191316477940461</v>
      </c>
      <c r="AF86" s="47">
        <f t="shared" si="43"/>
        <v>0.34786871791242135</v>
      </c>
      <c r="AG86" s="47">
        <f t="shared" si="43"/>
        <v>0.33475778726432248</v>
      </c>
      <c r="AH86" s="47">
        <f t="shared" si="43"/>
        <v>0.32248186804657525</v>
      </c>
      <c r="AI86" s="47">
        <f t="shared" si="43"/>
        <v>0.31095718914410314</v>
      </c>
      <c r="AJ86" s="47">
        <f t="shared" si="43"/>
        <v>0.30011186828677183</v>
      </c>
      <c r="AK86" s="47">
        <f t="shared" si="43"/>
        <v>0.28988373218472024</v>
      </c>
    </row>
    <row r="87" spans="4:37" x14ac:dyDescent="0.3">
      <c r="D87" s="342">
        <v>0.3</v>
      </c>
      <c r="E87">
        <v>16750</v>
      </c>
      <c r="F87" s="342">
        <f t="shared" si="44"/>
        <v>0.21</v>
      </c>
      <c r="G87">
        <f t="shared" si="39"/>
        <v>0.23572233352106983</v>
      </c>
      <c r="I87">
        <f t="shared" si="40"/>
        <v>0.55274788632083838</v>
      </c>
      <c r="J87" s="44">
        <f t="shared" si="41"/>
        <v>0.97656839242776139</v>
      </c>
      <c r="K87" s="342">
        <v>1</v>
      </c>
      <c r="L87" s="342">
        <v>1.2953964595727943</v>
      </c>
      <c r="M87" s="342">
        <v>1.6113535181327305</v>
      </c>
      <c r="N87" s="342">
        <v>1.8878381134039768</v>
      </c>
      <c r="O87" s="342">
        <v>2.3017612142972781</v>
      </c>
      <c r="P87" s="342">
        <v>2.6917880575807072</v>
      </c>
      <c r="Q87" s="342">
        <v>2.7875585045711926</v>
      </c>
      <c r="R87" s="47">
        <f t="shared" si="42"/>
        <v>0.79</v>
      </c>
      <c r="S87" s="47">
        <f t="shared" si="42"/>
        <v>0.70767122455208953</v>
      </c>
      <c r="T87" s="47">
        <f t="shared" si="42"/>
        <v>0.64879283487206663</v>
      </c>
      <c r="U87" s="47">
        <f t="shared" si="42"/>
        <v>0.6021730813981383</v>
      </c>
      <c r="V87" s="47">
        <f t="shared" si="42"/>
        <v>0.56338470297322873</v>
      </c>
      <c r="W87" s="47">
        <f t="shared" si="42"/>
        <v>0.53013036701898086</v>
      </c>
      <c r="X87" s="47">
        <f t="shared" si="42"/>
        <v>0.50103580542161752</v>
      </c>
      <c r="Y87" s="47">
        <f t="shared" si="42"/>
        <v>0.47520204444949932</v>
      </c>
      <c r="Z87" s="47">
        <f t="shared" si="42"/>
        <v>0.45200348909239879</v>
      </c>
      <c r="AA87" s="47">
        <f t="shared" si="42"/>
        <v>0.43098451348296674</v>
      </c>
      <c r="AB87" s="47">
        <f t="shared" si="43"/>
        <v>0.41180147607431422</v>
      </c>
      <c r="AC87" s="47">
        <f t="shared" si="43"/>
        <v>0.39418791059907538</v>
      </c>
      <c r="AD87" s="47">
        <f t="shared" si="43"/>
        <v>0.37793248440775584</v>
      </c>
      <c r="AE87" s="47">
        <f t="shared" si="43"/>
        <v>0.36286442857534051</v>
      </c>
      <c r="AF87" s="47">
        <f t="shared" si="43"/>
        <v>0.34884356011371859</v>
      </c>
      <c r="AG87" s="47">
        <f t="shared" si="43"/>
        <v>0.33575324321511563</v>
      </c>
      <c r="AH87" s="47">
        <f t="shared" si="43"/>
        <v>0.32349529685776246</v>
      </c>
      <c r="AI87" s="47">
        <f t="shared" si="43"/>
        <v>0.31198622953649158</v>
      </c>
      <c r="AJ87" s="47">
        <f t="shared" si="43"/>
        <v>0.30115440200850763</v>
      </c>
      <c r="AK87" s="47">
        <f t="shared" si="43"/>
        <v>0.29093785342969242</v>
      </c>
    </row>
    <row r="88" spans="4:37" x14ac:dyDescent="0.3">
      <c r="D88" s="342">
        <v>0.30142857142857143</v>
      </c>
      <c r="E88">
        <v>17250</v>
      </c>
      <c r="F88" s="342">
        <f t="shared" si="44"/>
        <v>0.21099999999999999</v>
      </c>
      <c r="G88">
        <f t="shared" si="39"/>
        <v>0.23698895813626278</v>
      </c>
      <c r="I88">
        <f t="shared" si="40"/>
        <v>0.54838223105761275</v>
      </c>
      <c r="J88" s="44">
        <f t="shared" si="41"/>
        <v>0.97708279325826053</v>
      </c>
      <c r="K88" s="342">
        <v>1</v>
      </c>
      <c r="L88" s="342">
        <v>1.2943476714831932</v>
      </c>
      <c r="M88" s="342">
        <v>1.6092612349943896</v>
      </c>
      <c r="N88" s="342">
        <v>1.8770868569323078</v>
      </c>
      <c r="O88" s="342">
        <v>2.2886526617282077</v>
      </c>
      <c r="P88" s="342">
        <v>2.6660757675041631</v>
      </c>
      <c r="Q88" s="342">
        <v>2.7716833316950669</v>
      </c>
      <c r="R88" s="47">
        <f t="shared" si="42"/>
        <v>0.78900000000000003</v>
      </c>
      <c r="S88" s="47">
        <f t="shared" si="42"/>
        <v>0.7070999268174385</v>
      </c>
      <c r="T88" s="47">
        <f t="shared" si="42"/>
        <v>0.64863482671508088</v>
      </c>
      <c r="U88" s="47">
        <f t="shared" si="42"/>
        <v>0.60238473549702942</v>
      </c>
      <c r="V88" s="47">
        <f t="shared" si="42"/>
        <v>0.5639234799949544</v>
      </c>
      <c r="W88" s="47">
        <f t="shared" si="42"/>
        <v>0.53095871205789569</v>
      </c>
      <c r="X88" s="47">
        <f t="shared" si="42"/>
        <v>0.50212119616776729</v>
      </c>
      <c r="Y88" s="47">
        <f t="shared" si="42"/>
        <v>0.47651634452821984</v>
      </c>
      <c r="Z88" s="47">
        <f t="shared" si="42"/>
        <v>0.45352225319442102</v>
      </c>
      <c r="AA88" s="47">
        <f t="shared" si="42"/>
        <v>0.43268638250695901</v>
      </c>
      <c r="AB88" s="47">
        <f t="shared" si="43"/>
        <v>0.41366767871371685</v>
      </c>
      <c r="AC88" s="47">
        <f t="shared" si="43"/>
        <v>0.39620185864004864</v>
      </c>
      <c r="AD88" s="47">
        <f t="shared" si="43"/>
        <v>0.3800794443440384</v>
      </c>
      <c r="AE88" s="47">
        <f t="shared" si="43"/>
        <v>0.36513125386529222</v>
      </c>
      <c r="AF88" s="47">
        <f t="shared" si="43"/>
        <v>0.35121847135912754</v>
      </c>
      <c r="AG88" s="47">
        <f t="shared" si="43"/>
        <v>0.33822564630044388</v>
      </c>
      <c r="AH88" s="47">
        <f t="shared" si="43"/>
        <v>0.3260556313356085</v>
      </c>
      <c r="AI88" s="47">
        <f t="shared" si="43"/>
        <v>0.31462584128942606</v>
      </c>
      <c r="AJ88" s="47">
        <f t="shared" si="43"/>
        <v>0.30386543554825063</v>
      </c>
      <c r="AK88" s="47">
        <f t="shared" si="43"/>
        <v>0.29371316020561655</v>
      </c>
    </row>
    <row r="89" spans="4:37" x14ac:dyDescent="0.3">
      <c r="D89" s="342">
        <v>0.30285714285714288</v>
      </c>
      <c r="E89">
        <v>17750</v>
      </c>
      <c r="F89" s="342">
        <f t="shared" si="44"/>
        <v>0.21199999999999999</v>
      </c>
      <c r="G89">
        <f t="shared" si="39"/>
        <v>0.23825718912425789</v>
      </c>
      <c r="I89">
        <f t="shared" si="40"/>
        <v>0.54384189001706618</v>
      </c>
      <c r="J89" s="44">
        <f t="shared" si="41"/>
        <v>0.97809812187270173</v>
      </c>
      <c r="K89" s="342">
        <v>1</v>
      </c>
      <c r="L89" s="342">
        <v>1.2933100870294714</v>
      </c>
      <c r="M89" s="342">
        <v>1.6142721421541268</v>
      </c>
      <c r="N89" s="342">
        <v>1.8664357280379162</v>
      </c>
      <c r="O89" s="342">
        <v>2.2756661904818012</v>
      </c>
      <c r="P89" s="342">
        <v>2.6406623786388717</v>
      </c>
      <c r="Q89" s="342">
        <v>2.7559560059662154</v>
      </c>
      <c r="R89" s="47">
        <f t="shared" si="42"/>
        <v>0.78800000000000003</v>
      </c>
      <c r="S89" s="47">
        <f t="shared" si="42"/>
        <v>0.70656283125749164</v>
      </c>
      <c r="T89" s="47">
        <f t="shared" si="42"/>
        <v>0.64853679725824753</v>
      </c>
      <c r="U89" s="47">
        <f t="shared" si="42"/>
        <v>0.60267688680755571</v>
      </c>
      <c r="V89" s="47">
        <f t="shared" si="42"/>
        <v>0.56455966741019981</v>
      </c>
      <c r="W89" s="47">
        <f t="shared" si="42"/>
        <v>0.53189874398826942</v>
      </c>
      <c r="X89" s="47">
        <f t="shared" si="42"/>
        <v>0.50333053362808078</v>
      </c>
      <c r="Y89" s="47">
        <f t="shared" si="42"/>
        <v>0.47796525709391291</v>
      </c>
      <c r="Z89" s="47">
        <f t="shared" si="42"/>
        <v>0.45518500337073453</v>
      </c>
      <c r="AA89" s="47">
        <f t="shared" si="42"/>
        <v>0.43454054253624186</v>
      </c>
      <c r="AB89" s="47">
        <f t="shared" si="43"/>
        <v>0.4156935789782561</v>
      </c>
      <c r="AC89" s="47">
        <f t="shared" si="43"/>
        <v>0.39838214551003009</v>
      </c>
      <c r="AD89" s="47">
        <f t="shared" si="43"/>
        <v>0.38239872462152547</v>
      </c>
      <c r="AE89" s="47">
        <f t="shared" si="43"/>
        <v>0.36757580682998692</v>
      </c>
      <c r="AF89" s="47">
        <f t="shared" si="43"/>
        <v>0.35377601359118421</v>
      </c>
      <c r="AG89" s="47">
        <f t="shared" si="43"/>
        <v>0.3408851379383423</v>
      </c>
      <c r="AH89" s="47">
        <f t="shared" si="43"/>
        <v>0.32880711512196586</v>
      </c>
      <c r="AI89" s="47">
        <f t="shared" si="43"/>
        <v>0.31746030778835216</v>
      </c>
      <c r="AJ89" s="47">
        <f t="shared" si="43"/>
        <v>0.30677470943707247</v>
      </c>
      <c r="AK89" s="47">
        <f t="shared" si="43"/>
        <v>0.29668980368191228</v>
      </c>
    </row>
    <row r="90" spans="4:37" x14ac:dyDescent="0.3">
      <c r="D90" s="342">
        <v>0.30428571428571427</v>
      </c>
      <c r="E90">
        <v>18250</v>
      </c>
      <c r="F90" s="342">
        <f t="shared" si="44"/>
        <v>0.21299999999999997</v>
      </c>
      <c r="G90">
        <f t="shared" si="39"/>
        <v>0.23952703056473379</v>
      </c>
      <c r="I90">
        <f t="shared" si="40"/>
        <v>0.53949970028318195</v>
      </c>
      <c r="J90" s="44">
        <f t="shared" si="41"/>
        <v>0.97854834066770713</v>
      </c>
      <c r="K90" s="342">
        <v>1</v>
      </c>
      <c r="L90" s="342">
        <v>1.2922835562750343</v>
      </c>
      <c r="M90" s="342">
        <v>1.6122035803154442</v>
      </c>
      <c r="N90" s="342">
        <v>1.8558833124482566</v>
      </c>
      <c r="O90" s="342">
        <v>2.2628000761953233</v>
      </c>
      <c r="P90" s="342">
        <v>2.6155433050665176</v>
      </c>
      <c r="Q90" s="342">
        <v>2.7403744390872173</v>
      </c>
      <c r="R90" s="47">
        <f t="shared" si="42"/>
        <v>0.78700000000000003</v>
      </c>
      <c r="S90" s="47">
        <f t="shared" si="42"/>
        <v>0.70599652155107062</v>
      </c>
      <c r="T90" s="47">
        <f t="shared" si="42"/>
        <v>0.64838366709257</v>
      </c>
      <c r="U90" s="47">
        <f t="shared" si="42"/>
        <v>0.6028916952287916</v>
      </c>
      <c r="V90" s="47">
        <f t="shared" si="42"/>
        <v>0.5650994349263182</v>
      </c>
      <c r="W90" s="47">
        <f t="shared" si="42"/>
        <v>0.53272595381488452</v>
      </c>
      <c r="X90" s="47">
        <f t="shared" si="42"/>
        <v>0.50441290908751413</v>
      </c>
      <c r="Y90" s="47">
        <f t="shared" si="42"/>
        <v>0.47927499409144037</v>
      </c>
      <c r="Z90" s="47">
        <f t="shared" si="42"/>
        <v>0.45669801724318165</v>
      </c>
      <c r="AA90" s="47">
        <f t="shared" si="42"/>
        <v>0.43623583399285193</v>
      </c>
      <c r="AB90" s="47">
        <f t="shared" si="43"/>
        <v>0.41755272101137825</v>
      </c>
      <c r="AC90" s="47">
        <f t="shared" si="43"/>
        <v>0.4003888716359163</v>
      </c>
      <c r="AD90" s="47">
        <f t="shared" si="43"/>
        <v>0.38453859755910286</v>
      </c>
      <c r="AE90" s="47">
        <f t="shared" si="43"/>
        <v>0.36983595008265385</v>
      </c>
      <c r="AF90" s="47">
        <f t="shared" si="43"/>
        <v>0.35614489218524747</v>
      </c>
      <c r="AG90" s="47">
        <f t="shared" si="43"/>
        <v>0.34335237777593725</v>
      </c>
      <c r="AH90" s="47">
        <f t="shared" si="43"/>
        <v>0.3313633528998437</v>
      </c>
      <c r="AI90" s="47">
        <f t="shared" si="43"/>
        <v>0.32009706531878729</v>
      </c>
      <c r="AJ90" s="47">
        <f t="shared" si="43"/>
        <v>0.30948428761990421</v>
      </c>
      <c r="AK90" s="47">
        <f t="shared" si="43"/>
        <v>0.29946519243634051</v>
      </c>
    </row>
    <row r="91" spans="4:37" x14ac:dyDescent="0.3">
      <c r="D91" s="342">
        <v>0.30571428571428572</v>
      </c>
      <c r="E91">
        <v>18750</v>
      </c>
      <c r="F91" s="342">
        <f t="shared" si="44"/>
        <v>0.214</v>
      </c>
      <c r="G91">
        <f t="shared" si="39"/>
        <v>0.24079848655293046</v>
      </c>
      <c r="I91">
        <f t="shared" si="40"/>
        <v>0.5351688735388529</v>
      </c>
      <c r="J91" s="44">
        <f t="shared" si="41"/>
        <v>0.97897108635583452</v>
      </c>
      <c r="K91" s="342">
        <v>1</v>
      </c>
      <c r="L91" s="342">
        <v>1.2912679321507561</v>
      </c>
      <c r="M91" s="342">
        <v>1.6101576896292997</v>
      </c>
      <c r="N91" s="342">
        <v>1.8454282223047818</v>
      </c>
      <c r="O91" s="342">
        <v>2.2500526267115109</v>
      </c>
      <c r="P91" s="342">
        <v>2.5907140506630451</v>
      </c>
      <c r="Q91" s="342">
        <v>2.7249365817632376</v>
      </c>
      <c r="R91" s="47">
        <f t="shared" si="42"/>
        <v>0.78600000000000003</v>
      </c>
      <c r="S91" s="47">
        <f t="shared" si="42"/>
        <v>0.70543268920047464</v>
      </c>
      <c r="T91" s="47">
        <f t="shared" si="42"/>
        <v>0.64823299548183799</v>
      </c>
      <c r="U91" s="47">
        <f t="shared" si="42"/>
        <v>0.60310815152609387</v>
      </c>
      <c r="V91" s="47">
        <f t="shared" si="42"/>
        <v>0.56563981822673282</v>
      </c>
      <c r="W91" s="47">
        <f t="shared" si="42"/>
        <v>0.5335527580781162</v>
      </c>
      <c r="X91" s="47">
        <f t="shared" si="42"/>
        <v>0.50549396935362056</v>
      </c>
      <c r="Y91" s="47">
        <f t="shared" si="42"/>
        <v>0.48058266054485876</v>
      </c>
      <c r="Z91" s="47">
        <f t="shared" si="42"/>
        <v>0.45820837391923969</v>
      </c>
      <c r="AA91" s="47">
        <f t="shared" si="42"/>
        <v>0.43792805060634948</v>
      </c>
      <c r="AB91" s="47">
        <f t="shared" si="43"/>
        <v>0.41940853275110568</v>
      </c>
      <c r="AC91" s="47">
        <f t="shared" si="43"/>
        <v>0.40239216395566108</v>
      </c>
      <c r="AD91" s="47">
        <f t="shared" si="43"/>
        <v>0.38667507338973051</v>
      </c>
      <c r="AE91" s="47">
        <f t="shared" si="43"/>
        <v>0.3720928610363623</v>
      </c>
      <c r="AF91" s="47">
        <f t="shared" si="43"/>
        <v>0.35851081951301789</v>
      </c>
      <c r="AG91" s="47">
        <f t="shared" si="43"/>
        <v>0.34581705225726156</v>
      </c>
      <c r="AH91" s="47">
        <f t="shared" si="43"/>
        <v>0.3339175054555894</v>
      </c>
      <c r="AI91" s="47">
        <f t="shared" si="43"/>
        <v>0.32273230209028569</v>
      </c>
      <c r="AJ91" s="47">
        <f t="shared" si="43"/>
        <v>0.31219298470935919</v>
      </c>
      <c r="AK91" s="47">
        <f t="shared" si="43"/>
        <v>0.3022404065865501</v>
      </c>
    </row>
    <row r="92" spans="4:37" x14ac:dyDescent="0.3">
      <c r="D92" s="342">
        <v>0.30714285714285711</v>
      </c>
      <c r="E92">
        <v>19250</v>
      </c>
      <c r="F92" s="342">
        <f t="shared" si="44"/>
        <v>0.21499999999999997</v>
      </c>
      <c r="G92">
        <f t="shared" si="39"/>
        <v>0.24207156119972859</v>
      </c>
      <c r="I92" cm="1">
        <f t="array" ref="I92">_xlfn.SINGLE(INDEX(LINEST(LN(K92:Q92),LN(K$4:Q$4),,),1))</f>
        <v>0.53084928135753295</v>
      </c>
      <c r="J92" s="44">
        <f t="shared" si="41"/>
        <v>0.979364678085343</v>
      </c>
      <c r="K92" s="342">
        <v>1</v>
      </c>
      <c r="L92" s="342">
        <v>1.2902630703889844</v>
      </c>
      <c r="M92" s="342">
        <v>1.6081341757393657</v>
      </c>
      <c r="N92" s="342">
        <v>1.8350690955485203</v>
      </c>
      <c r="O92" s="342">
        <v>2.2374221813294342</v>
      </c>
      <c r="P92" s="342">
        <v>2.5661702069518801</v>
      </c>
      <c r="Q92" s="342">
        <v>2.7096404227947759</v>
      </c>
      <c r="R92" s="47">
        <f t="shared" ref="R92:AA101" si="45">EXP(-$G92*R$8^$I92)</f>
        <v>0.78500000000000003</v>
      </c>
      <c r="S92" s="47">
        <f t="shared" si="45"/>
        <v>0.704871319803274</v>
      </c>
      <c r="T92" s="47">
        <f t="shared" si="45"/>
        <v>0.64808476619269462</v>
      </c>
      <c r="U92" s="47">
        <f t="shared" si="45"/>
        <v>0.60332624503386678</v>
      </c>
      <c r="V92" s="47">
        <f t="shared" si="45"/>
        <v>0.56618081446456836</v>
      </c>
      <c r="W92" s="47">
        <f t="shared" si="45"/>
        <v>0.53437916109453243</v>
      </c>
      <c r="X92" s="47">
        <f t="shared" si="45"/>
        <v>0.50657372375663468</v>
      </c>
      <c r="Y92" s="47">
        <f t="shared" si="45"/>
        <v>0.4818882679604104</v>
      </c>
      <c r="Z92" s="47">
        <f t="shared" si="45"/>
        <v>0.45971608401231639</v>
      </c>
      <c r="AA92" s="47">
        <f t="shared" si="45"/>
        <v>0.43961719905476954</v>
      </c>
      <c r="AB92" s="47">
        <f t="shared" ref="AB92:AK101" si="46">EXP(-$G92*AB$8^$I92)</f>
        <v>0.42126101406626143</v>
      </c>
      <c r="AC92" s="47">
        <f t="shared" si="46"/>
        <v>0.40439201289849519</v>
      </c>
      <c r="AD92" s="47">
        <f t="shared" si="46"/>
        <v>0.38880813075066822</v>
      </c>
      <c r="AE92" s="47">
        <f t="shared" si="46"/>
        <v>0.37434650447256013</v>
      </c>
      <c r="AF92" s="47">
        <f t="shared" si="46"/>
        <v>0.36087374472114064</v>
      </c>
      <c r="AG92" s="47">
        <f t="shared" si="46"/>
        <v>0.34827909338810226</v>
      </c>
      <c r="AH92" s="47">
        <f t="shared" si="46"/>
        <v>0.33646948640458685</v>
      </c>
      <c r="AI92" s="47">
        <f t="shared" si="46"/>
        <v>0.32536591231616829</v>
      </c>
      <c r="AJ92" s="47">
        <f t="shared" si="46"/>
        <v>0.3149006747235385</v>
      </c>
      <c r="AK92" s="47">
        <f t="shared" si="46"/>
        <v>0.30501529936151073</v>
      </c>
    </row>
    <row r="93" spans="4:37" x14ac:dyDescent="0.3">
      <c r="D93" s="342">
        <v>0.30857142857142861</v>
      </c>
      <c r="E93">
        <v>19750</v>
      </c>
      <c r="F93" s="342">
        <f t="shared" si="44"/>
        <v>0.21600000000000003</v>
      </c>
      <c r="G93">
        <f t="shared" si="39"/>
        <v>0.24334625863172918</v>
      </c>
      <c r="I93">
        <f t="shared" si="40"/>
        <v>0.52733427921666998</v>
      </c>
      <c r="J93" s="44">
        <f t="shared" si="41"/>
        <v>0.97927993439437411</v>
      </c>
      <c r="K93" s="342">
        <v>1</v>
      </c>
      <c r="L93" s="342">
        <v>1.2892688294593782</v>
      </c>
      <c r="M93" s="342">
        <v>1.6061327499396065</v>
      </c>
      <c r="N93" s="342">
        <v>1.8248045953227066</v>
      </c>
      <c r="O93" s="342">
        <v>2.2249071100761464</v>
      </c>
      <c r="P93" s="342">
        <v>2.5518162762292551</v>
      </c>
      <c r="Q93" s="342">
        <v>2.6944839881955995</v>
      </c>
      <c r="R93" s="47">
        <f t="shared" si="45"/>
        <v>0.78400000000000003</v>
      </c>
      <c r="S93" s="47">
        <f t="shared" si="45"/>
        <v>0.70417658817246831</v>
      </c>
      <c r="T93" s="47">
        <f t="shared" si="45"/>
        <v>0.64769379093958768</v>
      </c>
      <c r="U93" s="47">
        <f t="shared" si="45"/>
        <v>0.60321064865120155</v>
      </c>
      <c r="V93" s="47">
        <f t="shared" si="45"/>
        <v>0.5663113066241624</v>
      </c>
      <c r="W93" s="47">
        <f t="shared" si="45"/>
        <v>0.53472938740341747</v>
      </c>
      <c r="X93" s="47">
        <f t="shared" si="45"/>
        <v>0.50712063973630006</v>
      </c>
      <c r="Y93" s="47">
        <f t="shared" si="45"/>
        <v>0.48261181237015455</v>
      </c>
      <c r="Z93" s="47">
        <f t="shared" si="45"/>
        <v>0.46059874506223875</v>
      </c>
      <c r="AA93" s="47">
        <f t="shared" si="45"/>
        <v>0.44064361473418501</v>
      </c>
      <c r="AB93" s="47">
        <f t="shared" si="46"/>
        <v>0.42241763445864849</v>
      </c>
      <c r="AC93" s="47">
        <f t="shared" si="46"/>
        <v>0.40566682228213252</v>
      </c>
      <c r="AD93" s="47">
        <f t="shared" si="46"/>
        <v>0.39019042028942752</v>
      </c>
      <c r="AE93" s="47">
        <f t="shared" si="46"/>
        <v>0.37582668592988744</v>
      </c>
      <c r="AF93" s="47">
        <f t="shared" si="46"/>
        <v>0.36244319698668298</v>
      </c>
      <c r="AG93" s="47">
        <f t="shared" si="46"/>
        <v>0.34993003519858501</v>
      </c>
      <c r="AH93" s="47">
        <f t="shared" si="46"/>
        <v>0.33819487004476462</v>
      </c>
      <c r="AI93" s="47">
        <f t="shared" si="46"/>
        <v>0.32715933421987886</v>
      </c>
      <c r="AJ93" s="47">
        <f t="shared" si="46"/>
        <v>0.31675629978055991</v>
      </c>
      <c r="AK93" s="47">
        <f t="shared" si="46"/>
        <v>0.3069277964188904</v>
      </c>
    </row>
    <row r="94" spans="4:37" x14ac:dyDescent="0.3">
      <c r="D94" s="342">
        <v>0.31</v>
      </c>
      <c r="E94">
        <v>20500</v>
      </c>
      <c r="F94" s="342">
        <f t="shared" si="44"/>
        <v>0.217</v>
      </c>
      <c r="G94">
        <f t="shared" si="39"/>
        <v>0.24462258299133391</v>
      </c>
      <c r="I94">
        <f t="shared" si="40"/>
        <v>0.52383045084562985</v>
      </c>
      <c r="J94" s="44">
        <f t="shared" si="41"/>
        <v>0.97917700620457904</v>
      </c>
      <c r="K94" s="342">
        <v>1</v>
      </c>
      <c r="L94" s="342">
        <v>1.2882850705065272</v>
      </c>
      <c r="M94" s="342">
        <v>1.6041531290463844</v>
      </c>
      <c r="N94" s="342">
        <v>1.8146334093919283</v>
      </c>
      <c r="O94" s="342">
        <v>2.2125058129984758</v>
      </c>
      <c r="P94" s="342">
        <v>2.5375928367041456</v>
      </c>
      <c r="Q94" s="342">
        <v>2.6794653403350623</v>
      </c>
      <c r="R94" s="47">
        <f t="shared" si="45"/>
        <v>0.78300000000000003</v>
      </c>
      <c r="S94" s="47">
        <f t="shared" si="45"/>
        <v>0.70348381258608816</v>
      </c>
      <c r="T94" s="47">
        <f t="shared" si="45"/>
        <v>0.64730490473439228</v>
      </c>
      <c r="U94" s="47">
        <f t="shared" si="45"/>
        <v>0.60309664641301663</v>
      </c>
      <c r="V94" s="47">
        <f t="shared" si="45"/>
        <v>0.56644267902077394</v>
      </c>
      <c r="W94" s="47">
        <f t="shared" si="45"/>
        <v>0.53507973358424032</v>
      </c>
      <c r="X94" s="47">
        <f t="shared" si="45"/>
        <v>0.50766694842068338</v>
      </c>
      <c r="Y94" s="47">
        <f t="shared" si="45"/>
        <v>0.48333409299042529</v>
      </c>
      <c r="Z94" s="47">
        <f t="shared" si="45"/>
        <v>0.46147957308471321</v>
      </c>
      <c r="AA94" s="47">
        <f t="shared" si="45"/>
        <v>0.44166772108613866</v>
      </c>
      <c r="AB94" s="47">
        <f t="shared" si="46"/>
        <v>0.42357156200584956</v>
      </c>
      <c r="AC94" s="47">
        <f t="shared" si="46"/>
        <v>0.4069386448032466</v>
      </c>
      <c r="AD94" s="47">
        <f t="shared" si="46"/>
        <v>0.39156951354908354</v>
      </c>
      <c r="AE94" s="47">
        <f t="shared" si="46"/>
        <v>0.37730354063587523</v>
      </c>
      <c r="AF94" s="47">
        <f t="shared" si="46"/>
        <v>0.36400926505774683</v>
      </c>
      <c r="AG94" s="47">
        <f t="shared" si="46"/>
        <v>0.35157760251454306</v>
      </c>
      <c r="AH94" s="47">
        <f t="shared" si="46"/>
        <v>0.33991695034056579</v>
      </c>
      <c r="AI94" s="47">
        <f t="shared" si="46"/>
        <v>0.32894957996891439</v>
      </c>
      <c r="AJ94" s="47">
        <f t="shared" si="46"/>
        <v>0.31860892682756786</v>
      </c>
      <c r="AK94" s="47">
        <f t="shared" si="46"/>
        <v>0.30883751982352758</v>
      </c>
    </row>
    <row r="95" spans="4:37" x14ac:dyDescent="0.3">
      <c r="D95" s="342">
        <v>0.31</v>
      </c>
      <c r="E95">
        <v>21500</v>
      </c>
      <c r="F95" s="342">
        <f t="shared" si="44"/>
        <v>0.217</v>
      </c>
      <c r="G95">
        <f t="shared" si="39"/>
        <v>0.24462258299133391</v>
      </c>
      <c r="I95">
        <f t="shared" si="40"/>
        <v>0.52364613612736577</v>
      </c>
      <c r="J95" s="44">
        <f t="shared" si="41"/>
        <v>0.97958627322098735</v>
      </c>
      <c r="K95" s="342">
        <v>1</v>
      </c>
      <c r="L95" s="342">
        <v>1.2882850705065272</v>
      </c>
      <c r="M95" s="342">
        <v>1.6111439376518606</v>
      </c>
      <c r="N95" s="342">
        <v>1.8146334093919283</v>
      </c>
      <c r="O95" s="342">
        <v>2.2125058129984758</v>
      </c>
      <c r="P95" s="342">
        <v>2.5375928367041456</v>
      </c>
      <c r="Q95" s="342">
        <v>2.6794653403350623</v>
      </c>
      <c r="R95" s="47">
        <f t="shared" si="45"/>
        <v>0.78300000000000003</v>
      </c>
      <c r="S95" s="47">
        <f t="shared" si="45"/>
        <v>0.70351542130010325</v>
      </c>
      <c r="T95" s="47">
        <f t="shared" si="45"/>
        <v>0.64736191009662447</v>
      </c>
      <c r="U95" s="47">
        <f t="shared" si="45"/>
        <v>0.60317456639834499</v>
      </c>
      <c r="V95" s="47">
        <f t="shared" si="45"/>
        <v>0.56653817843906928</v>
      </c>
      <c r="W95" s="47">
        <f t="shared" si="45"/>
        <v>0.53519022975370378</v>
      </c>
      <c r="X95" s="47">
        <f t="shared" si="45"/>
        <v>0.50779037856447762</v>
      </c>
      <c r="Y95" s="47">
        <f t="shared" si="45"/>
        <v>0.48346877017250789</v>
      </c>
      <c r="Z95" s="47">
        <f t="shared" si="45"/>
        <v>0.4616240920472186</v>
      </c>
      <c r="AA95" s="47">
        <f t="shared" si="45"/>
        <v>0.44182089383527889</v>
      </c>
      <c r="AB95" s="47">
        <f t="shared" si="46"/>
        <v>0.42373237207147896</v>
      </c>
      <c r="AC95" s="47">
        <f t="shared" si="46"/>
        <v>0.40710621374480938</v>
      </c>
      <c r="AD95" s="47">
        <f t="shared" si="46"/>
        <v>0.39174307579341533</v>
      </c>
      <c r="AE95" s="47">
        <f t="shared" si="46"/>
        <v>0.37748242416197825</v>
      </c>
      <c r="AF95" s="47">
        <f t="shared" si="46"/>
        <v>0.36419287629437863</v>
      </c>
      <c r="AG95" s="47">
        <f t="shared" si="46"/>
        <v>0.35176541434276204</v>
      </c>
      <c r="AH95" s="47">
        <f t="shared" si="46"/>
        <v>0.34010849243015046</v>
      </c>
      <c r="AI95" s="47">
        <f t="shared" si="46"/>
        <v>0.32914443089950979</v>
      </c>
      <c r="AJ95" s="47">
        <f t="shared" si="46"/>
        <v>0.31880670759549429</v>
      </c>
      <c r="AK95" s="47">
        <f t="shared" si="46"/>
        <v>0.30903788843901703</v>
      </c>
    </row>
    <row r="96" spans="4:37" x14ac:dyDescent="0.3">
      <c r="D96" s="342">
        <v>0.31142857142857144</v>
      </c>
      <c r="E96">
        <v>22500</v>
      </c>
      <c r="F96" s="342">
        <f t="shared" si="44"/>
        <v>0.218</v>
      </c>
      <c r="G96">
        <f t="shared" si="39"/>
        <v>0.24590053843682594</v>
      </c>
      <c r="I96">
        <f t="shared" si="40"/>
        <v>0.520337683579284</v>
      </c>
      <c r="J96" s="44">
        <f t="shared" si="41"/>
        <v>0.97905523750385881</v>
      </c>
      <c r="K96" s="342">
        <v>1</v>
      </c>
      <c r="L96" s="342">
        <v>1.2873116572893037</v>
      </c>
      <c r="M96" s="342">
        <v>1.602195035274127</v>
      </c>
      <c r="N96" s="342">
        <v>1.8045542495772631</v>
      </c>
      <c r="O96" s="342">
        <v>2.2002167194743132</v>
      </c>
      <c r="P96" s="342">
        <v>2.5234980869804198</v>
      </c>
      <c r="Q96" s="342">
        <v>2.6645825771040341</v>
      </c>
      <c r="R96" s="47">
        <f t="shared" si="45"/>
        <v>0.78200000000000003</v>
      </c>
      <c r="S96" s="47">
        <f t="shared" si="45"/>
        <v>0.70279298038886207</v>
      </c>
      <c r="T96" s="47">
        <f t="shared" si="45"/>
        <v>0.64691809220263163</v>
      </c>
      <c r="U96" s="47">
        <f t="shared" si="45"/>
        <v>0.60298422629040282</v>
      </c>
      <c r="V96" s="47">
        <f t="shared" si="45"/>
        <v>0.56657492561770351</v>
      </c>
      <c r="W96" s="47">
        <f t="shared" si="45"/>
        <v>0.53543020025086208</v>
      </c>
      <c r="X96" s="47">
        <f t="shared" si="45"/>
        <v>0.50821265662950132</v>
      </c>
      <c r="Y96" s="47">
        <f t="shared" si="45"/>
        <v>0.48405512181159543</v>
      </c>
      <c r="Z96" s="47">
        <f t="shared" si="45"/>
        <v>0.46235858391379747</v>
      </c>
      <c r="AA96" s="47">
        <f t="shared" si="45"/>
        <v>0.44268953634588371</v>
      </c>
      <c r="AB96" s="47">
        <f t="shared" si="46"/>
        <v>0.42472281589080313</v>
      </c>
      <c r="AC96" s="47">
        <f t="shared" si="46"/>
        <v>0.40820749918935978</v>
      </c>
      <c r="AD96" s="47">
        <f t="shared" si="46"/>
        <v>0.39294542748411609</v>
      </c>
      <c r="AE96" s="47">
        <f t="shared" si="46"/>
        <v>0.37877708255849735</v>
      </c>
      <c r="AF96" s="47">
        <f t="shared" si="46"/>
        <v>0.36557195881493948</v>
      </c>
      <c r="AG96" s="47">
        <f t="shared" si="46"/>
        <v>0.35322180014297944</v>
      </c>
      <c r="AH96" s="47">
        <f t="shared" si="46"/>
        <v>0.3416357261518152</v>
      </c>
      <c r="AI96" s="47">
        <f t="shared" si="46"/>
        <v>0.33073664171064066</v>
      </c>
      <c r="AJ96" s="47">
        <f t="shared" si="46"/>
        <v>0.32045854063671664</v>
      </c>
      <c r="AK96" s="47">
        <f t="shared" si="46"/>
        <v>0.31074444640564841</v>
      </c>
    </row>
    <row r="97" spans="4:37" x14ac:dyDescent="0.3">
      <c r="D97" s="342">
        <v>0.31285714285714283</v>
      </c>
      <c r="E97">
        <v>23500</v>
      </c>
      <c r="F97" s="342">
        <f t="shared" si="44"/>
        <v>0.21899999999999997</v>
      </c>
      <c r="G97">
        <f t="shared" si="39"/>
        <v>0.24718012914245105</v>
      </c>
      <c r="I97">
        <f t="shared" si="40"/>
        <v>0.51703985909655015</v>
      </c>
      <c r="J97" s="44">
        <f t="shared" si="41"/>
        <v>0.97849493641626195</v>
      </c>
      <c r="K97" s="342">
        <v>1</v>
      </c>
      <c r="L97" s="342">
        <v>1.2863484561218748</v>
      </c>
      <c r="M97" s="342">
        <v>1.5933267165283143</v>
      </c>
      <c r="N97" s="342">
        <v>1.7945658512068836</v>
      </c>
      <c r="O97" s="342">
        <v>2.188038287542756</v>
      </c>
      <c r="P97" s="342">
        <v>2.5095302585343893</v>
      </c>
      <c r="Q97" s="342">
        <v>2.6498338311036727</v>
      </c>
      <c r="R97" s="47">
        <f t="shared" si="45"/>
        <v>0.78100000000000003</v>
      </c>
      <c r="S97" s="47">
        <f t="shared" si="45"/>
        <v>0.7020724090342122</v>
      </c>
      <c r="T97" s="47">
        <f t="shared" si="45"/>
        <v>0.64647633781373004</v>
      </c>
      <c r="U97" s="47">
        <f t="shared" si="45"/>
        <v>0.60279555455493183</v>
      </c>
      <c r="V97" s="47">
        <f t="shared" si="45"/>
        <v>0.56661272956053987</v>
      </c>
      <c r="W97" s="47">
        <f t="shared" si="45"/>
        <v>0.53567055789911378</v>
      </c>
      <c r="X97" s="47">
        <f t="shared" si="45"/>
        <v>0.50863466844700878</v>
      </c>
      <c r="Y97" s="47">
        <f t="shared" si="45"/>
        <v>0.48464060584533558</v>
      </c>
      <c r="Z97" s="47">
        <f t="shared" si="45"/>
        <v>0.46309167555222569</v>
      </c>
      <c r="AA97" s="47">
        <f t="shared" si="45"/>
        <v>0.44355632135843354</v>
      </c>
      <c r="AB97" s="47">
        <f t="shared" si="46"/>
        <v>0.4257110214411543</v>
      </c>
      <c r="AC97" s="47">
        <f t="shared" si="46"/>
        <v>0.4093062402439262</v>
      </c>
      <c r="AD97" s="47">
        <f t="shared" si="46"/>
        <v>0.39414499985637724</v>
      </c>
      <c r="AE97" s="47">
        <f t="shared" si="46"/>
        <v>0.38006879363362495</v>
      </c>
      <c r="AF97" s="47">
        <f t="shared" si="46"/>
        <v>0.36694798832749803</v>
      </c>
      <c r="AG97" s="47">
        <f t="shared" si="46"/>
        <v>0.35467508488895028</v>
      </c>
      <c r="AH97" s="47">
        <f t="shared" si="46"/>
        <v>0.34315986383136132</v>
      </c>
      <c r="AI97" s="47">
        <f t="shared" si="46"/>
        <v>0.33232581015349583</v>
      </c>
      <c r="AJ97" s="47">
        <f t="shared" si="46"/>
        <v>0.32210742948264792</v>
      </c>
      <c r="AK97" s="47">
        <f t="shared" si="46"/>
        <v>0.31244819894308545</v>
      </c>
    </row>
    <row r="98" spans="4:37" x14ac:dyDescent="0.3">
      <c r="D98" s="342">
        <v>0.31428571428571433</v>
      </c>
      <c r="E98">
        <v>24500</v>
      </c>
      <c r="F98" s="342">
        <f t="shared" si="44"/>
        <v>0.22000000000000003</v>
      </c>
      <c r="G98">
        <f t="shared" si="39"/>
        <v>0.24846135929849961</v>
      </c>
      <c r="I98">
        <f t="shared" si="40"/>
        <v>0.51375255596453462</v>
      </c>
      <c r="J98" s="44">
        <f t="shared" si="41"/>
        <v>0.97790463296402597</v>
      </c>
      <c r="K98" s="342">
        <v>1</v>
      </c>
      <c r="L98" s="342">
        <v>1.2853953358163448</v>
      </c>
      <c r="M98" s="342">
        <v>1.5845378789570177</v>
      </c>
      <c r="N98" s="342">
        <v>1.784666972581652</v>
      </c>
      <c r="O98" s="342">
        <v>2.175969003252531</v>
      </c>
      <c r="P98" s="342">
        <v>2.4956876149674945</v>
      </c>
      <c r="Q98" s="342">
        <v>2.6352172688563265</v>
      </c>
      <c r="R98" s="47">
        <f t="shared" si="45"/>
        <v>0.78</v>
      </c>
      <c r="S98" s="47">
        <f t="shared" si="45"/>
        <v>0.70135369538456638</v>
      </c>
      <c r="T98" s="47">
        <f t="shared" si="45"/>
        <v>0.64603663212869911</v>
      </c>
      <c r="U98" s="47">
        <f t="shared" si="45"/>
        <v>0.6026085389724668</v>
      </c>
      <c r="V98" s="47">
        <f t="shared" si="45"/>
        <v>0.56665158319576658</v>
      </c>
      <c r="W98" s="47">
        <f t="shared" si="45"/>
        <v>0.53591130159935119</v>
      </c>
      <c r="X98" s="47">
        <f t="shared" si="45"/>
        <v>0.50905641873330476</v>
      </c>
      <c r="Y98" s="47">
        <f t="shared" si="45"/>
        <v>0.48522523210671364</v>
      </c>
      <c r="Z98" s="47">
        <f t="shared" si="45"/>
        <v>0.46382338093069159</v>
      </c>
      <c r="AA98" s="47">
        <f t="shared" si="45"/>
        <v>0.44442126586627223</v>
      </c>
      <c r="AB98" s="47">
        <f t="shared" si="46"/>
        <v>0.42669700759515455</v>
      </c>
      <c r="AC98" s="47">
        <f t="shared" si="46"/>
        <v>0.41040245653440366</v>
      </c>
      <c r="AD98" s="47">
        <f t="shared" si="46"/>
        <v>0.39534181221611497</v>
      </c>
      <c r="AE98" s="47">
        <f t="shared" si="46"/>
        <v>0.3813575753713882</v>
      </c>
      <c r="AF98" s="47">
        <f t="shared" si="46"/>
        <v>0.36832098057316481</v>
      </c>
      <c r="AG98" s="47">
        <f t="shared" si="46"/>
        <v>0.35612528124251358</v>
      </c>
      <c r="AH98" s="47">
        <f t="shared" si="46"/>
        <v>0.34468091429981906</v>
      </c>
      <c r="AI98" s="47">
        <f t="shared" si="46"/>
        <v>0.33391194055944512</v>
      </c>
      <c r="AJ98" s="47">
        <f t="shared" si="46"/>
        <v>0.32375337337531712</v>
      </c>
      <c r="AK98" s="47">
        <f t="shared" si="46"/>
        <v>0.31414913968919822</v>
      </c>
    </row>
    <row r="99" spans="4:37" x14ac:dyDescent="0.3">
      <c r="D99" s="342">
        <v>0.31571428571428573</v>
      </c>
      <c r="E99">
        <v>25500</v>
      </c>
      <c r="F99" s="342">
        <f t="shared" si="44"/>
        <v>0.221</v>
      </c>
      <c r="G99">
        <f t="shared" si="39"/>
        <v>0.24974423311138874</v>
      </c>
      <c r="I99">
        <f t="shared" si="40"/>
        <v>0.51047566878885964</v>
      </c>
      <c r="J99" s="44">
        <f t="shared" si="41"/>
        <v>0.97728357410008915</v>
      </c>
      <c r="K99" s="342">
        <v>1</v>
      </c>
      <c r="L99" s="342">
        <v>1.2844521676269554</v>
      </c>
      <c r="M99" s="342">
        <v>1.5758274400378067</v>
      </c>
      <c r="N99" s="342">
        <v>1.7748563944552154</v>
      </c>
      <c r="O99" s="342">
        <v>2.1640073800280968</v>
      </c>
      <c r="P99" s="342">
        <v>2.4819684512792679</v>
      </c>
      <c r="Q99" s="342">
        <v>2.620731090037848</v>
      </c>
      <c r="R99" s="47">
        <f t="shared" si="45"/>
        <v>0.77900000000000003</v>
      </c>
      <c r="S99" s="47">
        <f t="shared" si="45"/>
        <v>0.70063682773085767</v>
      </c>
      <c r="T99" s="47">
        <f t="shared" si="45"/>
        <v>0.64559896055829125</v>
      </c>
      <c r="U99" s="47">
        <f t="shared" si="45"/>
        <v>0.60242316752751635</v>
      </c>
      <c r="V99" s="47">
        <f t="shared" si="45"/>
        <v>0.56669147960247668</v>
      </c>
      <c r="W99" s="47">
        <f t="shared" si="45"/>
        <v>0.53615243033137994</v>
      </c>
      <c r="X99" s="47">
        <f t="shared" si="45"/>
        <v>0.50947791221001093</v>
      </c>
      <c r="Y99" s="47">
        <f t="shared" si="45"/>
        <v>0.48580901036943513</v>
      </c>
      <c r="Z99" s="47">
        <f t="shared" si="45"/>
        <v>0.46455371390852995</v>
      </c>
      <c r="AA99" s="47">
        <f t="shared" si="45"/>
        <v>0.44528438672232196</v>
      </c>
      <c r="AB99" s="47">
        <f t="shared" si="46"/>
        <v>0.4276807930724455</v>
      </c>
      <c r="AC99" s="47">
        <f t="shared" si="46"/>
        <v>0.41149616753989032</v>
      </c>
      <c r="AD99" s="47">
        <f t="shared" si="46"/>
        <v>0.39653588374631238</v>
      </c>
      <c r="AE99" s="47">
        <f t="shared" si="46"/>
        <v>0.38264344567288638</v>
      </c>
      <c r="AF99" s="47">
        <f t="shared" si="46"/>
        <v>0.36969095126446816</v>
      </c>
      <c r="AG99" s="47">
        <f t="shared" si="46"/>
        <v>0.35757240190369072</v>
      </c>
      <c r="AH99" s="47">
        <f t="shared" si="46"/>
        <v>0.34619888650364072</v>
      </c>
      <c r="AI99" s="47">
        <f t="shared" si="46"/>
        <v>0.33549503746108933</v>
      </c>
      <c r="AJ99" s="47">
        <f t="shared" si="46"/>
        <v>0.32539637185053422</v>
      </c>
      <c r="AK99" s="47">
        <f t="shared" si="46"/>
        <v>0.31584726267320729</v>
      </c>
    </row>
    <row r="100" spans="4:37" x14ac:dyDescent="0.3">
      <c r="D100" s="342">
        <v>0.31714285714285717</v>
      </c>
      <c r="E100">
        <v>26500</v>
      </c>
      <c r="F100" s="342">
        <f t="shared" si="44"/>
        <v>0.222</v>
      </c>
      <c r="G100">
        <f t="shared" si="39"/>
        <v>0.25102875480374542</v>
      </c>
      <c r="I100">
        <f t="shared" si="40"/>
        <v>0.50720909347158905</v>
      </c>
      <c r="J100" s="44">
        <f t="shared" si="41"/>
        <v>0.97663099047410773</v>
      </c>
      <c r="K100" s="342">
        <v>1</v>
      </c>
      <c r="L100" s="342">
        <v>1.2835188251958047</v>
      </c>
      <c r="M100" s="342">
        <v>1.5671943367340961</v>
      </c>
      <c r="N100" s="342">
        <v>1.765132919528154</v>
      </c>
      <c r="O100" s="342">
        <v>2.1521519580528796</v>
      </c>
      <c r="P100" s="342">
        <v>2.4683710931599485</v>
      </c>
      <c r="Q100" s="342">
        <v>2.6063735267306627</v>
      </c>
      <c r="R100" s="47">
        <f t="shared" si="45"/>
        <v>0.77800000000000002</v>
      </c>
      <c r="S100" s="47">
        <f t="shared" si="45"/>
        <v>0.69992179450445313</v>
      </c>
      <c r="T100" s="47">
        <f t="shared" si="45"/>
        <v>0.64516330872178418</v>
      </c>
      <c r="U100" s="47">
        <f t="shared" si="45"/>
        <v>0.60223942840501221</v>
      </c>
      <c r="V100" s="47">
        <f t="shared" si="45"/>
        <v>0.56673241200788327</v>
      </c>
      <c r="W100" s="47">
        <f t="shared" si="45"/>
        <v>0.53639394315232136</v>
      </c>
      <c r="X100" s="47">
        <f t="shared" si="45"/>
        <v>0.50989915360372529</v>
      </c>
      <c r="Y100" s="47">
        <f t="shared" si="45"/>
        <v>0.48639195034868821</v>
      </c>
      <c r="Z100" s="47">
        <f t="shared" si="45"/>
        <v>0.46528268823779489</v>
      </c>
      <c r="AA100" s="47">
        <f t="shared" si="45"/>
        <v>0.44614570064110759</v>
      </c>
      <c r="AB100" s="47">
        <f t="shared" si="46"/>
        <v>0.42866239644178461</v>
      </c>
      <c r="AC100" s="47">
        <f t="shared" si="46"/>
        <v>0.41258739259448768</v>
      </c>
      <c r="AD100" s="47">
        <f t="shared" si="46"/>
        <v>0.39772723350818623</v>
      </c>
      <c r="AE100" s="47">
        <f t="shared" si="46"/>
        <v>0.38392642235653152</v>
      </c>
      <c r="AF100" s="47">
        <f t="shared" si="46"/>
        <v>0.3710579160844264</v>
      </c>
      <c r="AG100" s="47">
        <f t="shared" si="46"/>
        <v>0.35901645960840145</v>
      </c>
      <c r="AH100" s="47">
        <f t="shared" si="46"/>
        <v>0.34771378950092507</v>
      </c>
      <c r="AI100" s="47">
        <f t="shared" si="46"/>
        <v>0.33707510558690995</v>
      </c>
      <c r="AJ100" s="47">
        <f t="shared" si="46"/>
        <v>0.32703642473093408</v>
      </c>
      <c r="AK100" s="47">
        <f t="shared" si="46"/>
        <v>0.31754256230713301</v>
      </c>
    </row>
    <row r="101" spans="4:37" x14ac:dyDescent="0.3">
      <c r="D101" s="342">
        <v>0.31857142857142856</v>
      </c>
      <c r="E101">
        <v>27500</v>
      </c>
      <c r="F101" s="342">
        <f t="shared" si="44"/>
        <v>0.22299999999999998</v>
      </c>
      <c r="G101">
        <f t="shared" si="39"/>
        <v>0.25231492861448956</v>
      </c>
      <c r="I101">
        <f t="shared" si="40"/>
        <v>0.50550757715942007</v>
      </c>
      <c r="J101" s="44">
        <f t="shared" si="41"/>
        <v>0.97561150004910091</v>
      </c>
      <c r="K101" s="342">
        <v>1</v>
      </c>
      <c r="L101" s="342">
        <v>1.2825951845000401</v>
      </c>
      <c r="M101" s="342">
        <v>1.5586375250581048</v>
      </c>
      <c r="N101" s="342">
        <v>1.7554953719557385</v>
      </c>
      <c r="O101" s="342">
        <v>2.1488797758607174</v>
      </c>
      <c r="P101" s="342">
        <v>2.4548938963021261</v>
      </c>
      <c r="Q101" s="342">
        <v>2.6022284564399065</v>
      </c>
      <c r="R101" s="47">
        <f t="shared" si="45"/>
        <v>0.77700000000000002</v>
      </c>
      <c r="S101" s="47">
        <f t="shared" si="45"/>
        <v>0.6989388607624375</v>
      </c>
      <c r="T101" s="47">
        <f t="shared" si="45"/>
        <v>0.64424603811472447</v>
      </c>
      <c r="U101" s="47">
        <f t="shared" si="45"/>
        <v>0.601398492807795</v>
      </c>
      <c r="V101" s="47">
        <f t="shared" si="45"/>
        <v>0.56596862746011445</v>
      </c>
      <c r="W101" s="47">
        <f t="shared" si="45"/>
        <v>0.53570479490066913</v>
      </c>
      <c r="X101" s="47">
        <f t="shared" si="45"/>
        <v>0.50928094320574002</v>
      </c>
      <c r="Y101" s="47">
        <f t="shared" si="45"/>
        <v>0.48584063088234208</v>
      </c>
      <c r="Z101" s="47">
        <f t="shared" si="45"/>
        <v>0.46479421750096661</v>
      </c>
      <c r="AA101" s="47">
        <f t="shared" si="45"/>
        <v>0.44571619377986554</v>
      </c>
      <c r="AB101" s="47">
        <f t="shared" si="46"/>
        <v>0.42828818826850895</v>
      </c>
      <c r="AC101" s="47">
        <f t="shared" si="46"/>
        <v>0.41226505730764818</v>
      </c>
      <c r="AD101" s="47">
        <f t="shared" si="46"/>
        <v>0.39745358396800623</v>
      </c>
      <c r="AE101" s="47">
        <f t="shared" si="46"/>
        <v>0.38369849972637177</v>
      </c>
      <c r="AF101" s="47">
        <f t="shared" si="46"/>
        <v>0.3708729752857543</v>
      </c>
      <c r="AG101" s="47">
        <f t="shared" si="46"/>
        <v>0.35887195337856881</v>
      </c>
      <c r="AH101" s="47">
        <f t="shared" si="46"/>
        <v>0.34760735247665603</v>
      </c>
      <c r="AI101" s="47">
        <f t="shared" si="46"/>
        <v>0.33700453911632944</v>
      </c>
      <c r="AJ101" s="47">
        <f t="shared" si="46"/>
        <v>0.32699968273186131</v>
      </c>
      <c r="AK101" s="47">
        <f t="shared" si="46"/>
        <v>0.31753773828282561</v>
      </c>
    </row>
    <row r="102" spans="4:37" x14ac:dyDescent="0.3">
      <c r="D102" s="342">
        <v>0.32142857142857145</v>
      </c>
      <c r="E102">
        <v>28500</v>
      </c>
      <c r="F102" s="342">
        <f t="shared" si="44"/>
        <v>0.22500000000000001</v>
      </c>
      <c r="G102">
        <f t="shared" si="39"/>
        <v>0.25489224962879004</v>
      </c>
      <c r="I102">
        <f t="shared" si="40"/>
        <v>0.5015268278292494</v>
      </c>
      <c r="J102" s="44">
        <f t="shared" si="41"/>
        <v>0.97481255248108978</v>
      </c>
      <c r="K102" s="342">
        <v>1</v>
      </c>
      <c r="L102" s="342">
        <v>1.2747299135353249</v>
      </c>
      <c r="M102" s="342">
        <v>1.5484557920701525</v>
      </c>
      <c r="N102" s="342">
        <v>1.7437073440550179</v>
      </c>
      <c r="O102" s="342">
        <v>2.1340092579614112</v>
      </c>
      <c r="P102" s="342">
        <v>2.4282935551514115</v>
      </c>
      <c r="Q102" s="342">
        <v>2.5840467241672895</v>
      </c>
      <c r="R102" s="47">
        <f t="shared" ref="R102:AA111" si="47">EXP(-$G102*R$8^$I102)</f>
        <v>0.77500000000000002</v>
      </c>
      <c r="S102" s="47">
        <f t="shared" si="47"/>
        <v>0.69708092388760545</v>
      </c>
      <c r="T102" s="47">
        <f t="shared" si="47"/>
        <v>0.64260343052695623</v>
      </c>
      <c r="U102" s="47">
        <f t="shared" si="47"/>
        <v>0.59997657354946432</v>
      </c>
      <c r="V102" s="47">
        <f t="shared" si="47"/>
        <v>0.56475758504161988</v>
      </c>
      <c r="W102" s="47">
        <f t="shared" si="47"/>
        <v>0.53469095928108112</v>
      </c>
      <c r="X102" s="47">
        <f t="shared" si="47"/>
        <v>0.50845014195541105</v>
      </c>
      <c r="Y102" s="47">
        <f t="shared" si="47"/>
        <v>0.4851793069458471</v>
      </c>
      <c r="Z102" s="47">
        <f t="shared" si="47"/>
        <v>0.46428978651425601</v>
      </c>
      <c r="AA102" s="47">
        <f t="shared" si="47"/>
        <v>0.44535711661475713</v>
      </c>
      <c r="AB102" s="47">
        <f t="shared" ref="AB102:AK111" si="48">EXP(-$G102*AB$8^$I102)</f>
        <v>0.42806393379875213</v>
      </c>
      <c r="AC102" s="47">
        <f t="shared" si="48"/>
        <v>0.41216602533493241</v>
      </c>
      <c r="AD102" s="47">
        <f t="shared" si="48"/>
        <v>0.39747101751689984</v>
      </c>
      <c r="AE102" s="47">
        <f t="shared" si="48"/>
        <v>0.38382439895351428</v>
      </c>
      <c r="AF102" s="47">
        <f t="shared" si="48"/>
        <v>0.37110001784736329</v>
      </c>
      <c r="AG102" s="47">
        <f t="shared" si="48"/>
        <v>0.35919342279675909</v>
      </c>
      <c r="AH102" s="47">
        <f t="shared" si="48"/>
        <v>0.34801707457870923</v>
      </c>
      <c r="AI102" s="47">
        <f t="shared" si="48"/>
        <v>0.33749682600286152</v>
      </c>
      <c r="AJ102" s="47">
        <f t="shared" si="48"/>
        <v>0.32756928350810377</v>
      </c>
      <c r="AK102" s="47">
        <f t="shared" si="48"/>
        <v>0.31817979574912503</v>
      </c>
    </row>
    <row r="103" spans="4:37" x14ac:dyDescent="0.3">
      <c r="D103" s="342">
        <v>0.3228571428571429</v>
      </c>
      <c r="E103">
        <v>29500</v>
      </c>
      <c r="F103" s="342">
        <f t="shared" si="44"/>
        <v>0.22600000000000001</v>
      </c>
      <c r="G103">
        <f t="shared" si="39"/>
        <v>0.25618340539240991</v>
      </c>
      <c r="I103">
        <f t="shared" si="40"/>
        <v>0.50196349290873488</v>
      </c>
      <c r="J103" s="44">
        <f t="shared" si="41"/>
        <v>0.97522885371721124</v>
      </c>
      <c r="K103" s="342">
        <v>1</v>
      </c>
      <c r="L103" s="342">
        <v>1.2738532080195948</v>
      </c>
      <c r="M103" s="342">
        <v>1.546773757649067</v>
      </c>
      <c r="N103" s="342">
        <v>1.7487320193164979</v>
      </c>
      <c r="O103" s="342">
        <v>2.1308696164967715</v>
      </c>
      <c r="P103" s="342">
        <v>2.4245798923837216</v>
      </c>
      <c r="Q103" s="342">
        <v>2.5901171799823128</v>
      </c>
      <c r="R103" s="47">
        <f t="shared" si="47"/>
        <v>0.77400000000000002</v>
      </c>
      <c r="S103" s="47">
        <f t="shared" si="47"/>
        <v>0.69573150210292511</v>
      </c>
      <c r="T103" s="47">
        <f t="shared" si="47"/>
        <v>0.64102881542419721</v>
      </c>
      <c r="U103" s="47">
        <f t="shared" si="47"/>
        <v>0.59823994338484143</v>
      </c>
      <c r="V103" s="47">
        <f t="shared" si="47"/>
        <v>0.56289811982303117</v>
      </c>
      <c r="W103" s="47">
        <f t="shared" si="47"/>
        <v>0.53273551929088281</v>
      </c>
      <c r="X103" s="47">
        <f t="shared" si="47"/>
        <v>0.5064183106503739</v>
      </c>
      <c r="Y103" s="47">
        <f t="shared" si="47"/>
        <v>0.48308597269540182</v>
      </c>
      <c r="Z103" s="47">
        <f t="shared" si="47"/>
        <v>0.46214661720509109</v>
      </c>
      <c r="AA103" s="47">
        <f t="shared" si="47"/>
        <v>0.4431734693278897</v>
      </c>
      <c r="AB103" s="47">
        <f t="shared" si="48"/>
        <v>0.42584744914171996</v>
      </c>
      <c r="AC103" s="47">
        <f t="shared" si="48"/>
        <v>0.40992303343377862</v>
      </c>
      <c r="AD103" s="47">
        <f t="shared" si="48"/>
        <v>0.39520682540971325</v>
      </c>
      <c r="AE103" s="47">
        <f t="shared" si="48"/>
        <v>0.38154350005093174</v>
      </c>
      <c r="AF103" s="47">
        <f t="shared" si="48"/>
        <v>0.36880624835266373</v>
      </c>
      <c r="AG103" s="47">
        <f t="shared" si="48"/>
        <v>0.35689008094895736</v>
      </c>
      <c r="AH103" s="47">
        <f t="shared" si="48"/>
        <v>0.34570701317661551</v>
      </c>
      <c r="AI103" s="47">
        <f t="shared" si="48"/>
        <v>0.33518252530720138</v>
      </c>
      <c r="AJ103" s="47">
        <f t="shared" si="48"/>
        <v>0.32525290946021174</v>
      </c>
      <c r="AK103" s="47">
        <f t="shared" si="48"/>
        <v>0.31586324701872964</v>
      </c>
    </row>
    <row r="104" spans="4:37" x14ac:dyDescent="0.3">
      <c r="D104" s="342">
        <v>0.32428571428571429</v>
      </c>
      <c r="E104">
        <v>31250</v>
      </c>
      <c r="F104" s="342">
        <f t="shared" si="44"/>
        <v>0.22699999999999998</v>
      </c>
      <c r="G104">
        <f t="shared" si="39"/>
        <v>0.25747623039471507</v>
      </c>
      <c r="I104">
        <f t="shared" si="40"/>
        <v>0.50240861288777949</v>
      </c>
      <c r="J104" s="44">
        <f t="shared" si="41"/>
        <v>0.97558971854875076</v>
      </c>
      <c r="K104" s="342">
        <v>1</v>
      </c>
      <c r="L104" s="342">
        <v>1.2729855330132303</v>
      </c>
      <c r="M104" s="342">
        <v>1.5451096573100165</v>
      </c>
      <c r="N104" s="342">
        <v>1.7537641827657235</v>
      </c>
      <c r="O104" s="342">
        <v>2.127766999663756</v>
      </c>
      <c r="P104" s="342">
        <v>2.4209131562635031</v>
      </c>
      <c r="Q104" s="342">
        <v>2.5962498184410543</v>
      </c>
      <c r="R104" s="47">
        <f t="shared" si="47"/>
        <v>0.77300000000000002</v>
      </c>
      <c r="S104" s="47">
        <f t="shared" si="47"/>
        <v>0.69438077471091064</v>
      </c>
      <c r="T104" s="47">
        <f t="shared" si="47"/>
        <v>0.63945210869354263</v>
      </c>
      <c r="U104" s="47">
        <f t="shared" si="47"/>
        <v>0.59650074717718671</v>
      </c>
      <c r="V104" s="47">
        <f t="shared" si="47"/>
        <v>0.56103581907576472</v>
      </c>
      <c r="W104" s="47">
        <f t="shared" si="47"/>
        <v>0.53077711716372722</v>
      </c>
      <c r="X104" s="47">
        <f t="shared" si="47"/>
        <v>0.50438349408150462</v>
      </c>
      <c r="Y104" s="47">
        <f t="shared" si="47"/>
        <v>0.48098970695801502</v>
      </c>
      <c r="Z104" s="47">
        <f t="shared" si="47"/>
        <v>0.46000062835016953</v>
      </c>
      <c r="AA104" s="47">
        <f t="shared" si="47"/>
        <v>0.44098715893925472</v>
      </c>
      <c r="AB104" s="47">
        <f t="shared" si="48"/>
        <v>0.42362849210777903</v>
      </c>
      <c r="AC104" s="47">
        <f t="shared" si="48"/>
        <v>0.40767778635300245</v>
      </c>
      <c r="AD104" s="47">
        <f t="shared" si="48"/>
        <v>0.39294061572691619</v>
      </c>
      <c r="AE104" s="47">
        <f t="shared" si="48"/>
        <v>0.37926083680634243</v>
      </c>
      <c r="AF104" s="47">
        <f t="shared" si="48"/>
        <v>0.36651097957391465</v>
      </c>
      <c r="AG104" s="47">
        <f t="shared" si="48"/>
        <v>0.35458551363972413</v>
      </c>
      <c r="AH104" s="47">
        <f t="shared" si="48"/>
        <v>0.34339600642095369</v>
      </c>
      <c r="AI104" s="47">
        <f t="shared" si="48"/>
        <v>0.3328675636290343</v>
      </c>
      <c r="AJ104" s="47">
        <f t="shared" si="48"/>
        <v>0.32293616140649412</v>
      </c>
      <c r="AK104" s="47">
        <f t="shared" si="48"/>
        <v>0.31354661250049104</v>
      </c>
    </row>
    <row r="105" spans="4:37" x14ac:dyDescent="0.3">
      <c r="D105" s="342">
        <v>0.32571428571428573</v>
      </c>
      <c r="E105">
        <v>33750</v>
      </c>
      <c r="F105" s="342">
        <f t="shared" si="44"/>
        <v>0.22800000000000001</v>
      </c>
      <c r="G105">
        <f t="shared" si="39"/>
        <v>0.25877072895736086</v>
      </c>
      <c r="I105">
        <f t="shared" si="40"/>
        <v>0.50286225959958397</v>
      </c>
      <c r="J105" s="44">
        <f t="shared" si="41"/>
        <v>0.97589568498900414</v>
      </c>
      <c r="K105" s="342">
        <v>1</v>
      </c>
      <c r="L105" s="342">
        <v>1.2721267777974656</v>
      </c>
      <c r="M105" s="342">
        <v>1.5434632760164193</v>
      </c>
      <c r="N105" s="342">
        <v>1.7588043824602029</v>
      </c>
      <c r="O105" s="342">
        <v>2.1247009955331122</v>
      </c>
      <c r="P105" s="342">
        <v>2.4172928546313446</v>
      </c>
      <c r="Q105" s="342">
        <v>2.6024457853862684</v>
      </c>
      <c r="R105" s="47">
        <f t="shared" si="47"/>
        <v>0.77200000000000002</v>
      </c>
      <c r="S105" s="47">
        <f t="shared" si="47"/>
        <v>0.69302871701161461</v>
      </c>
      <c r="T105" s="47">
        <f t="shared" si="47"/>
        <v>0.63787326981571868</v>
      </c>
      <c r="U105" s="47">
        <f t="shared" si="47"/>
        <v>0.59475893425231219</v>
      </c>
      <c r="V105" s="47">
        <f t="shared" si="47"/>
        <v>0.55917062577888099</v>
      </c>
      <c r="W105" s="47">
        <f t="shared" si="47"/>
        <v>0.52881569220627722</v>
      </c>
      <c r="X105" s="47">
        <f t="shared" si="47"/>
        <v>0.50234562981825415</v>
      </c>
      <c r="Y105" s="47">
        <f t="shared" si="47"/>
        <v>0.47889044699470501</v>
      </c>
      <c r="Z105" s="47">
        <f t="shared" si="47"/>
        <v>0.45785175797068367</v>
      </c>
      <c r="AA105" s="47">
        <f t="shared" si="47"/>
        <v>0.4387981250351819</v>
      </c>
      <c r="AB105" s="47">
        <f t="shared" si="48"/>
        <v>0.4214070044559719</v>
      </c>
      <c r="AC105" s="47">
        <f t="shared" si="48"/>
        <v>0.40543022848147869</v>
      </c>
      <c r="AD105" s="47">
        <f t="shared" si="48"/>
        <v>0.39067233582798871</v>
      </c>
      <c r="AE105" s="47">
        <f t="shared" si="48"/>
        <v>0.37697635979958549</v>
      </c>
      <c r="AF105" s="47">
        <f t="shared" si="48"/>
        <v>0.36421416548919572</v>
      </c>
      <c r="AG105" s="47">
        <f t="shared" si="48"/>
        <v>0.35227967836608726</v>
      </c>
      <c r="AH105" s="47">
        <f t="shared" si="48"/>
        <v>0.34108401540266753</v>
      </c>
      <c r="AI105" s="47">
        <f t="shared" si="48"/>
        <v>0.33055190569143916</v>
      </c>
      <c r="AJ105" s="47">
        <f t="shared" si="48"/>
        <v>0.32061900771078228</v>
      </c>
      <c r="AK105" s="47">
        <f t="shared" si="48"/>
        <v>0.31122986418373128</v>
      </c>
    </row>
    <row r="106" spans="4:37" x14ac:dyDescent="0.3">
      <c r="D106" s="342">
        <v>0.32714285714285712</v>
      </c>
      <c r="E106">
        <v>36250</v>
      </c>
      <c r="F106" s="342">
        <f t="shared" si="44"/>
        <v>0.22899999999999998</v>
      </c>
      <c r="G106">
        <f t="shared" si="39"/>
        <v>0.26006690541880756</v>
      </c>
      <c r="I106">
        <f t="shared" si="40"/>
        <v>0.50379093990746815</v>
      </c>
      <c r="J106" s="44">
        <f t="shared" si="41"/>
        <v>0.97614946812644687</v>
      </c>
      <c r="K106" s="342">
        <v>1</v>
      </c>
      <c r="L106" s="342">
        <v>1.2772504130400992</v>
      </c>
      <c r="M106" s="342">
        <v>1.541834402681509</v>
      </c>
      <c r="N106" s="342">
        <v>1.7638531685083503</v>
      </c>
      <c r="O106" s="342">
        <v>2.1300421402569509</v>
      </c>
      <c r="P106" s="342">
        <v>2.4231182783784102</v>
      </c>
      <c r="Q106" s="342">
        <v>2.6087062551046847</v>
      </c>
      <c r="R106" s="47">
        <f t="shared" si="47"/>
        <v>0.77100000000000002</v>
      </c>
      <c r="S106" s="47">
        <f t="shared" si="47"/>
        <v>0.69159285926624681</v>
      </c>
      <c r="T106" s="47">
        <f t="shared" si="47"/>
        <v>0.6361448284511364</v>
      </c>
      <c r="U106" s="47">
        <f t="shared" si="47"/>
        <v>0.59281405493551731</v>
      </c>
      <c r="V106" s="47">
        <f t="shared" si="47"/>
        <v>0.55705784843905792</v>
      </c>
      <c r="W106" s="47">
        <f t="shared" si="47"/>
        <v>0.52656897447145068</v>
      </c>
      <c r="X106" s="47">
        <f t="shared" si="47"/>
        <v>0.49999013265546854</v>
      </c>
      <c r="Y106" s="47">
        <f t="shared" si="47"/>
        <v>0.47644555990554682</v>
      </c>
      <c r="Z106" s="47">
        <f t="shared" si="47"/>
        <v>0.45533285626002451</v>
      </c>
      <c r="AA106" s="47">
        <f t="shared" si="47"/>
        <v>0.43621766919666261</v>
      </c>
      <c r="AB106" s="47">
        <f t="shared" si="48"/>
        <v>0.41877526715398211</v>
      </c>
      <c r="AC106" s="47">
        <f t="shared" si="48"/>
        <v>0.40275579642456394</v>
      </c>
      <c r="AD106" s="47">
        <f t="shared" si="48"/>
        <v>0.38796246838739062</v>
      </c>
      <c r="AE106" s="47">
        <f t="shared" si="48"/>
        <v>0.37423725260344337</v>
      </c>
      <c r="AF106" s="47">
        <f t="shared" si="48"/>
        <v>0.3614511487933374</v>
      </c>
      <c r="AG106" s="47">
        <f t="shared" si="48"/>
        <v>0.34949736935385078</v>
      </c>
      <c r="AH106" s="47">
        <f t="shared" si="48"/>
        <v>0.33828643713765871</v>
      </c>
      <c r="AI106" s="47">
        <f t="shared" si="48"/>
        <v>0.32774258141941787</v>
      </c>
      <c r="AJ106" s="47">
        <f t="shared" si="48"/>
        <v>0.31780103660171122</v>
      </c>
      <c r="AK106" s="47">
        <f t="shared" si="48"/>
        <v>0.30840598287274712</v>
      </c>
    </row>
    <row r="107" spans="4:37" x14ac:dyDescent="0.3">
      <c r="D107" s="342">
        <v>0.33</v>
      </c>
      <c r="E107">
        <v>38750</v>
      </c>
      <c r="F107" s="342">
        <f t="shared" si="44"/>
        <v>0.23099999999999998</v>
      </c>
      <c r="G107">
        <f t="shared" si="39"/>
        <v>0.26266430947649305</v>
      </c>
      <c r="I107">
        <f t="shared" si="40"/>
        <v>0.50242491329895078</v>
      </c>
      <c r="J107" s="44">
        <f t="shared" si="41"/>
        <v>0.9752211155139503</v>
      </c>
      <c r="K107" s="342">
        <v>1</v>
      </c>
      <c r="L107" s="342">
        <v>1.2755411697751198</v>
      </c>
      <c r="M107" s="342">
        <v>1.5320312075762159</v>
      </c>
      <c r="N107" s="342">
        <v>1.7595032000744733</v>
      </c>
      <c r="O107" s="342">
        <v>2.1240559586910552</v>
      </c>
      <c r="P107" s="342">
        <v>2.4160754732988101</v>
      </c>
      <c r="Q107" s="342">
        <v>2.6011244706332186</v>
      </c>
      <c r="R107" s="47">
        <f t="shared" si="47"/>
        <v>0.76900000000000002</v>
      </c>
      <c r="S107" s="47">
        <f t="shared" si="47"/>
        <v>0.68929336305598066</v>
      </c>
      <c r="T107" s="47">
        <f t="shared" si="47"/>
        <v>0.63371145625015435</v>
      </c>
      <c r="U107" s="47">
        <f t="shared" si="47"/>
        <v>0.59031584302037698</v>
      </c>
      <c r="V107" s="47">
        <f t="shared" si="47"/>
        <v>0.5545313417864195</v>
      </c>
      <c r="W107" s="47">
        <f t="shared" si="47"/>
        <v>0.52403590852167337</v>
      </c>
      <c r="X107" s="47">
        <f t="shared" si="47"/>
        <v>0.49746434216565216</v>
      </c>
      <c r="Y107" s="47">
        <f t="shared" si="47"/>
        <v>0.47393623031829379</v>
      </c>
      <c r="Z107" s="47">
        <f t="shared" si="47"/>
        <v>0.45284624690752351</v>
      </c>
      <c r="AA107" s="47">
        <f t="shared" si="47"/>
        <v>0.43375810584929164</v>
      </c>
      <c r="AB107" s="47">
        <f t="shared" si="48"/>
        <v>0.41634575012416619</v>
      </c>
      <c r="AC107" s="47">
        <f t="shared" si="48"/>
        <v>0.40035839131410395</v>
      </c>
      <c r="AD107" s="47">
        <f t="shared" si="48"/>
        <v>0.38559856685527738</v>
      </c>
      <c r="AE107" s="47">
        <f t="shared" si="48"/>
        <v>0.37190775182373892</v>
      </c>
      <c r="AF107" s="47">
        <f t="shared" si="48"/>
        <v>0.35915657813215063</v>
      </c>
      <c r="AG107" s="47">
        <f t="shared" si="48"/>
        <v>0.34723798170907044</v>
      </c>
      <c r="AH107" s="47">
        <f t="shared" si="48"/>
        <v>0.33606227599224447</v>
      </c>
      <c r="AI107" s="47">
        <f t="shared" si="48"/>
        <v>0.325553530824084</v>
      </c>
      <c r="AJ107" s="47">
        <f t="shared" si="48"/>
        <v>0.31564685892331051</v>
      </c>
      <c r="AK107" s="47">
        <f t="shared" si="48"/>
        <v>0.30628634762439499</v>
      </c>
    </row>
    <row r="108" spans="4:37" x14ac:dyDescent="0.3">
      <c r="D108" s="342">
        <v>0.33285714285714285</v>
      </c>
      <c r="E108">
        <v>41250</v>
      </c>
      <c r="F108" s="342">
        <f t="shared" si="44"/>
        <v>0.23299999999999998</v>
      </c>
      <c r="G108">
        <f t="shared" si="39"/>
        <v>0.26526847761488087</v>
      </c>
      <c r="I108">
        <f t="shared" si="40"/>
        <v>0.49954184109819627</v>
      </c>
      <c r="J108" s="44">
        <f t="shared" si="41"/>
        <v>0.97464365597239666</v>
      </c>
      <c r="K108" s="342">
        <v>1</v>
      </c>
      <c r="L108" s="342">
        <v>1.2738666586465337</v>
      </c>
      <c r="M108" s="342">
        <v>1.5223829505799518</v>
      </c>
      <c r="N108" s="342">
        <v>1.7552483918718587</v>
      </c>
      <c r="O108" s="342">
        <v>2.1099063011210335</v>
      </c>
      <c r="P108" s="342">
        <v>2.4092121958574082</v>
      </c>
      <c r="Q108" s="342">
        <v>2.5836837937393144</v>
      </c>
      <c r="R108" s="47">
        <f t="shared" si="47"/>
        <v>0.76700000000000002</v>
      </c>
      <c r="S108" s="47">
        <f t="shared" si="47"/>
        <v>0.68727061100135767</v>
      </c>
      <c r="T108" s="47">
        <f t="shared" si="47"/>
        <v>0.63177164224207094</v>
      </c>
      <c r="U108" s="47">
        <f t="shared" si="47"/>
        <v>0.58848720435483393</v>
      </c>
      <c r="V108" s="47">
        <f t="shared" si="47"/>
        <v>0.55282094000387605</v>
      </c>
      <c r="W108" s="47">
        <f t="shared" si="47"/>
        <v>0.52244308523855565</v>
      </c>
      <c r="X108" s="47">
        <f t="shared" si="47"/>
        <v>0.4959852996102122</v>
      </c>
      <c r="Y108" s="47">
        <f t="shared" si="47"/>
        <v>0.47256589421694178</v>
      </c>
      <c r="Z108" s="47">
        <f t="shared" si="47"/>
        <v>0.45157910521487815</v>
      </c>
      <c r="AA108" s="47">
        <f t="shared" si="47"/>
        <v>0.4325886078633821</v>
      </c>
      <c r="AB108" s="47">
        <f t="shared" si="48"/>
        <v>0.41526849967321883</v>
      </c>
      <c r="AC108" s="47">
        <f t="shared" si="48"/>
        <v>0.39936823756665085</v>
      </c>
      <c r="AD108" s="47">
        <f t="shared" si="48"/>
        <v>0.3846906422317502</v>
      </c>
      <c r="AE108" s="47">
        <f t="shared" si="48"/>
        <v>0.37107748202033619</v>
      </c>
      <c r="AF108" s="47">
        <f t="shared" si="48"/>
        <v>0.3583996774420703</v>
      </c>
      <c r="AG108" s="47">
        <f t="shared" si="48"/>
        <v>0.34655044080572722</v>
      </c>
      <c r="AH108" s="47">
        <f t="shared" si="48"/>
        <v>0.33544034614498097</v>
      </c>
      <c r="AI108" s="47">
        <f t="shared" si="48"/>
        <v>0.32499370676613298</v>
      </c>
      <c r="AJ108" s="47">
        <f t="shared" si="48"/>
        <v>0.31514586160766633</v>
      </c>
      <c r="AK108" s="47">
        <f t="shared" si="48"/>
        <v>0.30584110753982652</v>
      </c>
    </row>
    <row r="109" spans="4:37" x14ac:dyDescent="0.3">
      <c r="D109" s="342">
        <v>0.33571428571428574</v>
      </c>
      <c r="E109">
        <v>43750</v>
      </c>
      <c r="F109" s="342">
        <f t="shared" si="44"/>
        <v>0.23500000000000001</v>
      </c>
      <c r="G109">
        <f t="shared" si="39"/>
        <v>0.26787944515560119</v>
      </c>
      <c r="I109">
        <f t="shared" si="40"/>
        <v>0.49637996711770194</v>
      </c>
      <c r="J109" s="44">
        <f t="shared" si="41"/>
        <v>0.97433909481953829</v>
      </c>
      <c r="K109" s="342">
        <v>1</v>
      </c>
      <c r="L109" s="342">
        <v>1.2781098930323433</v>
      </c>
      <c r="M109" s="342">
        <v>1.5128855751603643</v>
      </c>
      <c r="N109" s="342">
        <v>1.751086613166265</v>
      </c>
      <c r="O109" s="342">
        <v>2.1042311667969527</v>
      </c>
      <c r="P109" s="342">
        <v>2.4025249197906073</v>
      </c>
      <c r="Q109" s="342">
        <v>2.5665328719769032</v>
      </c>
      <c r="R109" s="47">
        <f t="shared" si="47"/>
        <v>0.76500000000000001</v>
      </c>
      <c r="S109" s="47">
        <f t="shared" si="47"/>
        <v>0.68530632701625294</v>
      </c>
      <c r="T109" s="47">
        <f t="shared" si="47"/>
        <v>0.62993463671176675</v>
      </c>
      <c r="U109" s="47">
        <f t="shared" si="47"/>
        <v>0.58679664136519094</v>
      </c>
      <c r="V109" s="47">
        <f t="shared" si="47"/>
        <v>0.55127753095879861</v>
      </c>
      <c r="W109" s="47">
        <f t="shared" si="47"/>
        <v>0.52104145554523851</v>
      </c>
      <c r="X109" s="47">
        <f t="shared" si="47"/>
        <v>0.49471800199880706</v>
      </c>
      <c r="Y109" s="47">
        <f t="shared" si="47"/>
        <v>0.47142494470739182</v>
      </c>
      <c r="Z109" s="47">
        <f t="shared" si="47"/>
        <v>0.45055661862390545</v>
      </c>
      <c r="AA109" s="47">
        <f t="shared" si="47"/>
        <v>0.4316770631501527</v>
      </c>
      <c r="AB109" s="47">
        <f t="shared" si="48"/>
        <v>0.41446084106020104</v>
      </c>
      <c r="AC109" s="47">
        <f t="shared" si="48"/>
        <v>0.39865789968682802</v>
      </c>
      <c r="AD109" s="47">
        <f t="shared" si="48"/>
        <v>0.38407153982367431</v>
      </c>
      <c r="AE109" s="47">
        <f t="shared" si="48"/>
        <v>0.37054398367674929</v>
      </c>
      <c r="AF109" s="47">
        <f t="shared" si="48"/>
        <v>0.35794657307396943</v>
      </c>
      <c r="AG109" s="47">
        <f t="shared" si="48"/>
        <v>0.34617290765348974</v>
      </c>
      <c r="AH109" s="47">
        <f t="shared" si="48"/>
        <v>0.33513391571658946</v>
      </c>
      <c r="AI109" s="47">
        <f t="shared" si="48"/>
        <v>0.32475423381038232</v>
      </c>
      <c r="AJ109" s="47">
        <f t="shared" si="48"/>
        <v>0.31496949556348253</v>
      </c>
      <c r="AK109" s="47">
        <f t="shared" si="48"/>
        <v>0.30572426655509183</v>
      </c>
    </row>
    <row r="110" spans="4:37" x14ac:dyDescent="0.3">
      <c r="D110" s="342">
        <v>0.33857142857142858</v>
      </c>
      <c r="E110">
        <v>46250</v>
      </c>
      <c r="F110" s="342">
        <f t="shared" si="44"/>
        <v>0.23699999999999999</v>
      </c>
      <c r="G110">
        <f t="shared" si="39"/>
        <v>0.27049724769768002</v>
      </c>
      <c r="I110">
        <f t="shared" si="40"/>
        <v>0.4912820384713304</v>
      </c>
      <c r="J110" s="44">
        <f t="shared" si="41"/>
        <v>0.97550627729735928</v>
      </c>
      <c r="K110" s="342">
        <v>1</v>
      </c>
      <c r="L110" s="342">
        <v>1.2823340472016238</v>
      </c>
      <c r="M110" s="342">
        <v>1.5099778756507938</v>
      </c>
      <c r="N110" s="342">
        <v>1.7470158111748997</v>
      </c>
      <c r="O110" s="342">
        <v>2.0986904124624783</v>
      </c>
      <c r="P110" s="342">
        <v>2.3867233506317165</v>
      </c>
      <c r="Q110" s="342">
        <v>2.5397696664404963</v>
      </c>
      <c r="R110" s="47">
        <f t="shared" si="47"/>
        <v>0.76300000000000001</v>
      </c>
      <c r="S110" s="47">
        <f t="shared" si="47"/>
        <v>0.68369988862184294</v>
      </c>
      <c r="T110" s="47">
        <f t="shared" si="47"/>
        <v>0.62873267055264226</v>
      </c>
      <c r="U110" s="47">
        <f t="shared" si="47"/>
        <v>0.58596479360786913</v>
      </c>
      <c r="V110" s="47">
        <f t="shared" si="47"/>
        <v>0.55077834416052807</v>
      </c>
      <c r="W110" s="47">
        <f t="shared" si="47"/>
        <v>0.52084081511054348</v>
      </c>
      <c r="X110" s="47">
        <f t="shared" si="47"/>
        <v>0.49478597448031658</v>
      </c>
      <c r="Y110" s="47">
        <f t="shared" si="47"/>
        <v>0.47173545018625795</v>
      </c>
      <c r="Z110" s="47">
        <f t="shared" si="47"/>
        <v>0.45108689222089915</v>
      </c>
      <c r="AA110" s="47">
        <f t="shared" si="47"/>
        <v>0.43240713935811215</v>
      </c>
      <c r="AB110" s="47">
        <f t="shared" si="48"/>
        <v>0.41537311253423953</v>
      </c>
      <c r="AC110" s="47">
        <f t="shared" si="48"/>
        <v>0.39973675259517871</v>
      </c>
      <c r="AD110" s="47">
        <f t="shared" si="48"/>
        <v>0.3853030553435644</v>
      </c>
      <c r="AE110" s="47">
        <f t="shared" si="48"/>
        <v>0.37191569357019089</v>
      </c>
      <c r="AF110" s="47">
        <f t="shared" si="48"/>
        <v>0.35944725865352362</v>
      </c>
      <c r="AG110" s="47">
        <f t="shared" si="48"/>
        <v>0.34779243340677946</v>
      </c>
      <c r="AH110" s="47">
        <f t="shared" si="48"/>
        <v>0.3368630906702193</v>
      </c>
      <c r="AI110" s="47">
        <f t="shared" si="48"/>
        <v>0.32658469520604638</v>
      </c>
      <c r="AJ110" s="47">
        <f t="shared" si="48"/>
        <v>0.31689361059493365</v>
      </c>
      <c r="AK110" s="47">
        <f t="shared" si="48"/>
        <v>0.30773504882547131</v>
      </c>
    </row>
    <row r="111" spans="4:37" x14ac:dyDescent="0.3">
      <c r="D111" s="342">
        <v>0.34285714285714286</v>
      </c>
      <c r="E111">
        <v>48750</v>
      </c>
      <c r="F111" s="342">
        <f t="shared" si="44"/>
        <v>0.24</v>
      </c>
      <c r="G111">
        <f t="shared" si="39"/>
        <v>0.2744368457017603</v>
      </c>
      <c r="I111">
        <f t="shared" si="40"/>
        <v>0.48398998366203549</v>
      </c>
      <c r="J111" s="44">
        <f t="shared" si="41"/>
        <v>0.97683169138681725</v>
      </c>
      <c r="K111" s="342">
        <v>1</v>
      </c>
      <c r="L111" s="342">
        <v>1.2857168425333871</v>
      </c>
      <c r="M111" s="342">
        <v>1.5057298806603809</v>
      </c>
      <c r="N111" s="342">
        <v>1.7410758825266466</v>
      </c>
      <c r="O111" s="342">
        <v>2.0824545065400049</v>
      </c>
      <c r="P111" s="342">
        <v>2.3680913819358032</v>
      </c>
      <c r="Q111" s="342">
        <v>2.5004466092188999</v>
      </c>
      <c r="R111" s="47">
        <f t="shared" si="47"/>
        <v>0.76</v>
      </c>
      <c r="S111" s="47">
        <f t="shared" si="47"/>
        <v>0.68124782801965422</v>
      </c>
      <c r="T111" s="47">
        <f t="shared" si="47"/>
        <v>0.62684810617160658</v>
      </c>
      <c r="U111" s="47">
        <f t="shared" si="47"/>
        <v>0.58460091864350061</v>
      </c>
      <c r="V111" s="47">
        <f t="shared" si="47"/>
        <v>0.54988331322023898</v>
      </c>
      <c r="W111" s="47">
        <f t="shared" si="47"/>
        <v>0.52036721367765526</v>
      </c>
      <c r="X111" s="47">
        <f t="shared" si="47"/>
        <v>0.4946921253523503</v>
      </c>
      <c r="Y111" s="47">
        <f t="shared" si="47"/>
        <v>0.47198500566091761</v>
      </c>
      <c r="Z111" s="47">
        <f t="shared" si="47"/>
        <v>0.45164810345042328</v>
      </c>
      <c r="AA111" s="47">
        <f t="shared" si="47"/>
        <v>0.43325214664132766</v>
      </c>
      <c r="AB111" s="47">
        <f t="shared" si="48"/>
        <v>0.41647733485039318</v>
      </c>
      <c r="AC111" s="47">
        <f t="shared" si="48"/>
        <v>0.40107838179503363</v>
      </c>
      <c r="AD111" s="47">
        <f t="shared" si="48"/>
        <v>0.3868626415400333</v>
      </c>
      <c r="AE111" s="47">
        <f t="shared" si="48"/>
        <v>0.37367580539454476</v>
      </c>
      <c r="AF111" s="47">
        <f t="shared" si="48"/>
        <v>0.36139220370924668</v>
      </c>
      <c r="AG111" s="47">
        <f t="shared" si="48"/>
        <v>0.3499080268680636</v>
      </c>
      <c r="AH111" s="47">
        <f t="shared" si="48"/>
        <v>0.33913646244213641</v>
      </c>
      <c r="AI111" s="47">
        <f t="shared" si="48"/>
        <v>0.32900412811547525</v>
      </c>
      <c r="AJ111" s="47">
        <f t="shared" si="48"/>
        <v>0.31944840370598054</v>
      </c>
      <c r="AK111" s="47">
        <f t="shared" si="48"/>
        <v>0.31041540123499756</v>
      </c>
    </row>
    <row r="112" spans="4:37" x14ac:dyDescent="0.3">
      <c r="D112" s="342">
        <v>0.34857142857142859</v>
      </c>
      <c r="E112">
        <v>52500</v>
      </c>
      <c r="F112" s="342">
        <f t="shared" si="44"/>
        <v>0.24399999999999999</v>
      </c>
      <c r="G112">
        <f t="shared" si="39"/>
        <v>0.27971390280260405</v>
      </c>
      <c r="I112">
        <f t="shared" si="40"/>
        <v>0.47552153386571738</v>
      </c>
      <c r="J112" s="44">
        <f t="shared" si="41"/>
        <v>0.9776433839057409</v>
      </c>
      <c r="K112" s="342">
        <v>1</v>
      </c>
      <c r="L112" s="342">
        <v>1.2882870830530919</v>
      </c>
      <c r="M112" s="342">
        <v>1.4939391672974058</v>
      </c>
      <c r="N112" s="342">
        <v>1.7334565306023084</v>
      </c>
      <c r="O112" s="342">
        <v>2.0641143155975379</v>
      </c>
      <c r="P112" s="342">
        <v>2.3379221056688024</v>
      </c>
      <c r="Q112" s="342">
        <v>2.4590358957585785</v>
      </c>
      <c r="R112" s="47">
        <f t="shared" ref="R112:AA121" si="49">EXP(-$G112*R$8^$I112)</f>
        <v>0.75600000000000001</v>
      </c>
      <c r="S112" s="47">
        <f t="shared" si="49"/>
        <v>0.67778847810031062</v>
      </c>
      <c r="T112" s="47">
        <f t="shared" si="49"/>
        <v>0.62398836856463835</v>
      </c>
      <c r="U112" s="47">
        <f t="shared" si="49"/>
        <v>0.58230409336414346</v>
      </c>
      <c r="V112" s="47">
        <f t="shared" si="49"/>
        <v>0.54810005776959136</v>
      </c>
      <c r="W112" s="47">
        <f t="shared" si="49"/>
        <v>0.51904993903945584</v>
      </c>
      <c r="X112" s="47">
        <f t="shared" si="49"/>
        <v>0.49379791938901513</v>
      </c>
      <c r="Y112" s="47">
        <f t="shared" si="49"/>
        <v>0.47147586386121165</v>
      </c>
      <c r="Z112" s="47">
        <f t="shared" si="49"/>
        <v>0.45149047855995839</v>
      </c>
      <c r="AA112" s="47">
        <f t="shared" si="49"/>
        <v>0.43341636922186033</v>
      </c>
      <c r="AB112" s="47">
        <f t="shared" ref="AB112:AK121" si="50">EXP(-$G112*AB$8^$I112)</f>
        <v>0.41693706438364686</v>
      </c>
      <c r="AC112" s="47">
        <f t="shared" si="50"/>
        <v>0.40181012901423846</v>
      </c>
      <c r="AD112" s="47">
        <f t="shared" si="50"/>
        <v>0.38784536505061973</v>
      </c>
      <c r="AE112" s="47">
        <f t="shared" si="50"/>
        <v>0.37489057444292223</v>
      </c>
      <c r="AF112" s="47">
        <f t="shared" si="50"/>
        <v>0.36282191667066083</v>
      </c>
      <c r="AG112" s="47">
        <f t="shared" si="50"/>
        <v>0.35153717566032899</v>
      </c>
      <c r="AH112" s="47">
        <f t="shared" si="50"/>
        <v>0.34095093450941499</v>
      </c>
      <c r="AI112" s="47">
        <f t="shared" si="50"/>
        <v>0.33099103912167549</v>
      </c>
      <c r="AJ112" s="47">
        <f t="shared" si="50"/>
        <v>0.32159595539446895</v>
      </c>
      <c r="AK112" s="47">
        <f t="shared" si="50"/>
        <v>0.31271276000031467</v>
      </c>
    </row>
    <row r="113" spans="3:37" x14ac:dyDescent="0.3">
      <c r="D113" s="342">
        <v>0.35428571428571426</v>
      </c>
      <c r="E113">
        <v>57500</v>
      </c>
      <c r="F113" s="342">
        <f t="shared" si="44"/>
        <v>0.24799999999999997</v>
      </c>
      <c r="G113">
        <f t="shared" si="39"/>
        <v>0.28501895503229724</v>
      </c>
      <c r="I113">
        <f t="shared" si="40"/>
        <v>0.46669027991068202</v>
      </c>
      <c r="J113" s="44">
        <f t="shared" si="41"/>
        <v>0.97877389973683759</v>
      </c>
      <c r="K113" s="342">
        <v>1</v>
      </c>
      <c r="L113" s="342">
        <v>1.2851424073385798</v>
      </c>
      <c r="M113" s="342">
        <v>1.4825096857781028</v>
      </c>
      <c r="N113" s="342">
        <v>1.7261677382098513</v>
      </c>
      <c r="O113" s="342">
        <v>2.0384130766471218</v>
      </c>
      <c r="P113" s="342">
        <v>2.2997419595384385</v>
      </c>
      <c r="Q113" s="342">
        <v>2.4188919845627841</v>
      </c>
      <c r="R113" s="47">
        <f t="shared" si="49"/>
        <v>0.752</v>
      </c>
      <c r="S113" s="47">
        <f t="shared" si="49"/>
        <v>0.67443645943821673</v>
      </c>
      <c r="T113" s="47">
        <f t="shared" si="49"/>
        <v>0.62130798383871488</v>
      </c>
      <c r="U113" s="47">
        <f t="shared" si="49"/>
        <v>0.58023984787469629</v>
      </c>
      <c r="V113" s="47">
        <f t="shared" si="49"/>
        <v>0.54659088804735956</v>
      </c>
      <c r="W113" s="47">
        <f t="shared" si="49"/>
        <v>0.51804026311164486</v>
      </c>
      <c r="X113" s="47">
        <f t="shared" si="49"/>
        <v>0.49323904797044321</v>
      </c>
      <c r="Y113" s="47">
        <f t="shared" si="49"/>
        <v>0.47132544102490209</v>
      </c>
      <c r="Z113" s="47">
        <f t="shared" si="49"/>
        <v>0.45171157645391113</v>
      </c>
      <c r="AA113" s="47">
        <f t="shared" si="49"/>
        <v>0.43397662766291734</v>
      </c>
      <c r="AB113" s="47">
        <f t="shared" si="50"/>
        <v>0.41780795894261324</v>
      </c>
      <c r="AC113" s="47">
        <f t="shared" si="50"/>
        <v>0.4029663690306462</v>
      </c>
      <c r="AD113" s="47">
        <f t="shared" si="50"/>
        <v>0.38926440290014258</v>
      </c>
      <c r="AE113" s="47">
        <f t="shared" si="50"/>
        <v>0.37655220518225335</v>
      </c>
      <c r="AF113" s="47">
        <f t="shared" si="50"/>
        <v>0.36470794982237276</v>
      </c>
      <c r="AG113" s="47">
        <f t="shared" si="50"/>
        <v>0.35363116437035835</v>
      </c>
      <c r="AH113" s="47">
        <f t="shared" si="50"/>
        <v>0.34323795044868027</v>
      </c>
      <c r="AI113" s="47">
        <f t="shared" si="50"/>
        <v>0.33345748405762687</v>
      </c>
      <c r="AJ113" s="47">
        <f t="shared" si="50"/>
        <v>0.32422940235523501</v>
      </c>
      <c r="AK113" s="47">
        <f t="shared" si="50"/>
        <v>0.315501818491421</v>
      </c>
    </row>
    <row r="114" spans="3:37" x14ac:dyDescent="0.3">
      <c r="D114" s="342">
        <v>0.36000000000000004</v>
      </c>
      <c r="E114">
        <v>62500</v>
      </c>
      <c r="F114" s="342">
        <f t="shared" si="44"/>
        <v>0.252</v>
      </c>
      <c r="G114">
        <f t="shared" si="39"/>
        <v>0.2903523010076598</v>
      </c>
      <c r="I114">
        <f t="shared" si="40"/>
        <v>0.45712026803408873</v>
      </c>
      <c r="J114" s="44">
        <f t="shared" si="41"/>
        <v>0.98254385466104355</v>
      </c>
      <c r="K114" s="342">
        <v>1</v>
      </c>
      <c r="L114" s="342">
        <v>1.2912168550123588</v>
      </c>
      <c r="M114" s="342">
        <v>1.482562479632008</v>
      </c>
      <c r="N114" s="342">
        <v>1.7302547695251838</v>
      </c>
      <c r="O114" s="342">
        <v>2.019780795975445</v>
      </c>
      <c r="P114" s="342">
        <v>2.2644647479020406</v>
      </c>
      <c r="Q114" s="342">
        <v>2.3781025659799746</v>
      </c>
      <c r="R114" s="47">
        <f t="shared" si="49"/>
        <v>0.748</v>
      </c>
      <c r="S114" s="47">
        <f t="shared" si="49"/>
        <v>0.67126229948824279</v>
      </c>
      <c r="T114" s="47">
        <f t="shared" si="49"/>
        <v>0.61892984449168942</v>
      </c>
      <c r="U114" s="47">
        <f t="shared" si="49"/>
        <v>0.57857263060876718</v>
      </c>
      <c r="V114" s="47">
        <f t="shared" si="49"/>
        <v>0.54555450318147047</v>
      </c>
      <c r="W114" s="47">
        <f t="shared" si="49"/>
        <v>0.51756581506153787</v>
      </c>
      <c r="X114" s="47">
        <f t="shared" si="49"/>
        <v>0.49326800024008916</v>
      </c>
      <c r="Y114" s="47">
        <f t="shared" si="49"/>
        <v>0.47180786283491444</v>
      </c>
      <c r="Z114" s="47">
        <f t="shared" si="49"/>
        <v>0.45260453938550482</v>
      </c>
      <c r="AA114" s="47">
        <f t="shared" si="49"/>
        <v>0.43524290802959736</v>
      </c>
      <c r="AB114" s="47">
        <f t="shared" si="50"/>
        <v>0.41941501730328312</v>
      </c>
      <c r="AC114" s="47">
        <f t="shared" si="50"/>
        <v>0.40488554971808233</v>
      </c>
      <c r="AD114" s="47">
        <f t="shared" si="50"/>
        <v>0.39147030212653711</v>
      </c>
      <c r="AE114" s="47">
        <f t="shared" si="50"/>
        <v>0.37902216747772843</v>
      </c>
      <c r="AF114" s="47">
        <f t="shared" si="50"/>
        <v>0.36742166258776426</v>
      </c>
      <c r="AG114" s="47">
        <f t="shared" si="50"/>
        <v>0.35657032808035483</v>
      </c>
      <c r="AH114" s="47">
        <f t="shared" si="50"/>
        <v>0.34638600777177914</v>
      </c>
      <c r="AI114" s="47">
        <f t="shared" si="50"/>
        <v>0.33679939533810732</v>
      </c>
      <c r="AJ114" s="47">
        <f t="shared" si="50"/>
        <v>0.32775145794931293</v>
      </c>
      <c r="AK114" s="47">
        <f t="shared" si="50"/>
        <v>0.31919148068434183</v>
      </c>
    </row>
    <row r="115" spans="3:37" x14ac:dyDescent="0.3">
      <c r="D115" s="342">
        <v>0.3666666666666667</v>
      </c>
      <c r="E115">
        <v>67500</v>
      </c>
      <c r="F115" s="342">
        <f t="shared" si="44"/>
        <v>0.25666666666666665</v>
      </c>
      <c r="G115">
        <f t="shared" si="39"/>
        <v>0.29661070319608218</v>
      </c>
      <c r="I115">
        <f t="shared" si="40"/>
        <v>0.44793775994357748</v>
      </c>
      <c r="J115" s="44">
        <f t="shared" si="41"/>
        <v>0.9842749881052153</v>
      </c>
      <c r="K115" s="342">
        <v>1</v>
      </c>
      <c r="L115" s="342">
        <v>1.2956405028700264</v>
      </c>
      <c r="M115" s="342">
        <v>1.4741809884276458</v>
      </c>
      <c r="N115" s="342">
        <v>1.7320482438800262</v>
      </c>
      <c r="O115" s="342">
        <v>1.9879041613645592</v>
      </c>
      <c r="P115" s="342">
        <v>2.2367431927901227</v>
      </c>
      <c r="Q115" s="342">
        <v>2.3405228685127359</v>
      </c>
      <c r="R115" s="47">
        <f t="shared" si="49"/>
        <v>0.7433333333333334</v>
      </c>
      <c r="S115" s="47">
        <f t="shared" si="49"/>
        <v>0.66724139100405166</v>
      </c>
      <c r="T115" s="47">
        <f t="shared" si="49"/>
        <v>0.61558324911596563</v>
      </c>
      <c r="U115" s="47">
        <f t="shared" si="49"/>
        <v>0.57584599054797769</v>
      </c>
      <c r="V115" s="47">
        <f t="shared" si="49"/>
        <v>0.54338746917073444</v>
      </c>
      <c r="W115" s="47">
        <f t="shared" si="49"/>
        <v>0.5159034547682485</v>
      </c>
      <c r="X115" s="47">
        <f t="shared" si="49"/>
        <v>0.49206224517828195</v>
      </c>
      <c r="Y115" s="47">
        <f t="shared" si="49"/>
        <v>0.47101694212987877</v>
      </c>
      <c r="Z115" s="47">
        <f t="shared" si="49"/>
        <v>0.4521920662966355</v>
      </c>
      <c r="AA115" s="47">
        <f t="shared" si="49"/>
        <v>0.43517701536387188</v>
      </c>
      <c r="AB115" s="47">
        <f t="shared" si="50"/>
        <v>0.4196676246976479</v>
      </c>
      <c r="AC115" s="47">
        <f t="shared" si="50"/>
        <v>0.40543176299126182</v>
      </c>
      <c r="AD115" s="47">
        <f t="shared" si="50"/>
        <v>0.39228792507562665</v>
      </c>
      <c r="AE115" s="47">
        <f t="shared" si="50"/>
        <v>0.38009130462943985</v>
      </c>
      <c r="AF115" s="47">
        <f t="shared" si="50"/>
        <v>0.368724394293033</v>
      </c>
      <c r="AG115" s="47">
        <f t="shared" si="50"/>
        <v>0.35809044296729209</v>
      </c>
      <c r="AH115" s="47">
        <f t="shared" si="50"/>
        <v>0.34810878080774876</v>
      </c>
      <c r="AI115" s="47">
        <f t="shared" si="50"/>
        <v>0.33871140236490754</v>
      </c>
      <c r="AJ115" s="47">
        <f t="shared" si="50"/>
        <v>0.32984041958754345</v>
      </c>
      <c r="AK115" s="47">
        <f t="shared" si="50"/>
        <v>0.32144613006101452</v>
      </c>
    </row>
    <row r="116" spans="3:37" x14ac:dyDescent="0.3">
      <c r="D116" s="342">
        <v>0.37</v>
      </c>
      <c r="E116">
        <v>72500</v>
      </c>
      <c r="F116" s="342">
        <f t="shared" si="44"/>
        <v>0.25900000000000001</v>
      </c>
      <c r="G116">
        <f t="shared" si="39"/>
        <v>0.2997546536860502</v>
      </c>
      <c r="I116">
        <f t="shared" si="40"/>
        <v>0.4452438815849824</v>
      </c>
      <c r="J116" s="44">
        <f t="shared" si="41"/>
        <v>0.98292639211585764</v>
      </c>
      <c r="K116" s="342">
        <v>1</v>
      </c>
      <c r="L116" s="342">
        <v>1.2939201707107961</v>
      </c>
      <c r="M116" s="342">
        <v>1.4573438883927186</v>
      </c>
      <c r="N116" s="342">
        <v>1.7282389903905098</v>
      </c>
      <c r="O116" s="342">
        <v>1.9831610601364758</v>
      </c>
      <c r="P116" s="342">
        <v>2.2111966220602839</v>
      </c>
      <c r="Q116" s="342">
        <v>2.3349066374990524</v>
      </c>
      <c r="R116" s="47">
        <f t="shared" si="49"/>
        <v>0.74099999999999999</v>
      </c>
      <c r="S116" s="47">
        <f t="shared" si="49"/>
        <v>0.66489295030895634</v>
      </c>
      <c r="T116" s="47">
        <f t="shared" si="49"/>
        <v>0.61331362228861774</v>
      </c>
      <c r="U116" s="47">
        <f t="shared" si="49"/>
        <v>0.57367857793616928</v>
      </c>
      <c r="V116" s="47">
        <f t="shared" si="49"/>
        <v>0.5413274104439586</v>
      </c>
      <c r="W116" s="47">
        <f t="shared" si="49"/>
        <v>0.51394953501235752</v>
      </c>
      <c r="X116" s="47">
        <f t="shared" si="49"/>
        <v>0.4902107969920001</v>
      </c>
      <c r="Y116" s="47">
        <f t="shared" si="49"/>
        <v>0.46926337774484761</v>
      </c>
      <c r="Z116" s="47">
        <f t="shared" si="49"/>
        <v>0.45053154255237471</v>
      </c>
      <c r="AA116" s="47">
        <f t="shared" si="49"/>
        <v>0.43360473680536754</v>
      </c>
      <c r="AB116" s="47">
        <f t="shared" si="50"/>
        <v>0.41817898195405206</v>
      </c>
      <c r="AC116" s="47">
        <f t="shared" si="50"/>
        <v>0.40402239177665827</v>
      </c>
      <c r="AD116" s="47">
        <f t="shared" si="50"/>
        <v>0.39095372563587288</v>
      </c>
      <c r="AE116" s="47">
        <f t="shared" si="50"/>
        <v>0.37882844127224086</v>
      </c>
      <c r="AF116" s="47">
        <f t="shared" si="50"/>
        <v>0.36752928507595828</v>
      </c>
      <c r="AG116" s="47">
        <f t="shared" si="50"/>
        <v>0.35695974485022447</v>
      </c>
      <c r="AH116" s="47">
        <f t="shared" si="50"/>
        <v>0.34703937310165128</v>
      </c>
      <c r="AI116" s="47">
        <f t="shared" si="50"/>
        <v>0.33770036998471054</v>
      </c>
      <c r="AJ116" s="47">
        <f t="shared" si="50"/>
        <v>0.32888503689268833</v>
      </c>
      <c r="AK116" s="47">
        <f t="shared" si="50"/>
        <v>0.32054384566557959</v>
      </c>
    </row>
    <row r="117" spans="3:37" x14ac:dyDescent="0.3">
      <c r="C117" s="545" t="s">
        <v>1511</v>
      </c>
      <c r="D117" s="547" cm="1">
        <f t="array" ref="D117">TREND($D$102:$D$116,$E$102:$E$116,E117)</f>
        <v>0.37660159863573212</v>
      </c>
      <c r="E117" s="546">
        <v>77500</v>
      </c>
      <c r="F117" s="342">
        <f t="shared" si="44"/>
        <v>0.26362111904501245</v>
      </c>
      <c r="G117" s="548">
        <f t="shared" ref="G117:G128" si="51">-LN(1-F117)</f>
        <v>0.30601050880280728</v>
      </c>
      <c r="H117" s="548"/>
      <c r="I117" s="548">
        <f t="shared" ref="I117:I128" si="52">INDEX(LINEST(LN(K117:Q117),LN(K$4:Q$4),,),1)</f>
        <v>0.43815430600311406</v>
      </c>
      <c r="J117" s="549">
        <f t="shared" ref="J117:J128" si="53">INDEX(LINEST(LN(K117:Q117),LN(K$4:Q$4),,1),3)</f>
        <v>0.98238391877853448</v>
      </c>
      <c r="K117" s="547" cm="1">
        <f t="array" ref="K117">TREND(K$102:K$116,$E$102:$E$116,$E117)</f>
        <v>1</v>
      </c>
      <c r="L117" s="547" cm="1">
        <f t="array" ref="L117">TREND(L$102:L$116,$E$102:$E$116,$E117)</f>
        <v>1.2986628696743336</v>
      </c>
      <c r="M117" s="547" cm="1">
        <f t="array" ref="M117">TREND(M$102:M$116,$E$102:$E$116,$E117)</f>
        <v>1.4467324218834554</v>
      </c>
      <c r="N117" s="547" cm="1">
        <f t="array" ref="N117">TREND(N$102:N$116,$E$102:$E$116,$E117)</f>
        <v>1.7223978166329776</v>
      </c>
      <c r="O117" s="547" cm="1">
        <f t="array" ref="O117">TREND(O$102:O$116,$E$102:$E$116,$E117)</f>
        <v>1.9674228901166353</v>
      </c>
      <c r="P117" s="547" cm="1">
        <f t="array" ref="P117">TREND(P$102:P$116,$E$102:$E$116,$E117)</f>
        <v>2.200166347837035</v>
      </c>
      <c r="Q117" s="547" cm="1">
        <f t="array" ref="Q117">TREND(Q$102:Q$116,$E$102:$E$116,$E117)</f>
        <v>2.2956608497878026</v>
      </c>
      <c r="R117" s="550">
        <f t="shared" si="49"/>
        <v>0.7363788809549876</v>
      </c>
      <c r="S117" s="550">
        <f t="shared" si="49"/>
        <v>0.66060154844719521</v>
      </c>
      <c r="T117" s="550">
        <f t="shared" si="49"/>
        <v>0.60944314210605932</v>
      </c>
      <c r="U117" s="550">
        <f t="shared" si="49"/>
        <v>0.57021885001404304</v>
      </c>
      <c r="V117" s="550">
        <f t="shared" si="49"/>
        <v>0.53825052148678798</v>
      </c>
      <c r="W117" s="550">
        <f t="shared" si="49"/>
        <v>0.5112254459475708</v>
      </c>
      <c r="X117" s="550">
        <f t="shared" si="49"/>
        <v>0.48781120205235257</v>
      </c>
      <c r="Y117" s="550">
        <f t="shared" si="49"/>
        <v>0.46716260397878745</v>
      </c>
      <c r="Z117" s="550">
        <f t="shared" si="49"/>
        <v>0.44870658058671337</v>
      </c>
      <c r="AA117" s="550">
        <f t="shared" si="49"/>
        <v>0.43203501463980409</v>
      </c>
      <c r="AB117" s="550">
        <f t="shared" si="50"/>
        <v>0.41684608110673027</v>
      </c>
      <c r="AC117" s="550">
        <f t="shared" si="50"/>
        <v>0.40290977255144822</v>
      </c>
      <c r="AD117" s="550">
        <f t="shared" si="50"/>
        <v>0.39004648196386693</v>
      </c>
      <c r="AE117" s="550">
        <f t="shared" si="50"/>
        <v>0.37811308882729672</v>
      </c>
      <c r="AF117" s="550">
        <f t="shared" si="50"/>
        <v>0.36699358047622987</v>
      </c>
      <c r="AG117" s="550">
        <f t="shared" si="50"/>
        <v>0.35659253200913765</v>
      </c>
      <c r="AH117" s="550">
        <f t="shared" si="50"/>
        <v>0.34683045261572337</v>
      </c>
      <c r="AI117" s="550">
        <f t="shared" si="50"/>
        <v>0.33764038782653366</v>
      </c>
      <c r="AJ117" s="550">
        <f t="shared" si="50"/>
        <v>0.32896538920978363</v>
      </c>
      <c r="AK117" s="551">
        <f t="shared" si="50"/>
        <v>0.32075659701245424</v>
      </c>
    </row>
    <row r="118" spans="3:37" x14ac:dyDescent="0.3">
      <c r="D118" s="547" cm="1">
        <f t="array" ref="D118">TREND($D$102:$D$116,$E$102:$E$116,E118)</f>
        <v>0.38240744184106684</v>
      </c>
      <c r="E118" s="552">
        <v>82500</v>
      </c>
      <c r="F118" s="342">
        <f t="shared" si="44"/>
        <v>0.26768520928874678</v>
      </c>
      <c r="G118">
        <f t="shared" si="51"/>
        <v>0.31154481550710156</v>
      </c>
      <c r="I118">
        <f t="shared" si="52"/>
        <v>0.43028276039746233</v>
      </c>
      <c r="J118" s="44">
        <f t="shared" si="53"/>
        <v>0.98247760809207418</v>
      </c>
      <c r="K118" s="342" cm="1">
        <f t="array" ref="K118">TREND(K$102:K$116,$E$102:$E$116,$E118)</f>
        <v>1</v>
      </c>
      <c r="L118" s="342" cm="1">
        <f t="array" ref="L118">TREND(L$102:L$116,$E$102:$E$116,$E118)</f>
        <v>1.3014088608770396</v>
      </c>
      <c r="M118" s="342" cm="1">
        <f t="array" ref="M118">TREND(M$102:M$116,$E$102:$E$116,$E118)</f>
        <v>1.4361583301818568</v>
      </c>
      <c r="N118" s="342" cm="1">
        <f t="array" ref="N118">TREND(N$102:N$116,$E$102:$E$116,$E118)</f>
        <v>1.7188280071093214</v>
      </c>
      <c r="O118" s="342" cm="1">
        <f t="array" ref="O118">TREND(O$102:O$116,$E$102:$E$116,$E118)</f>
        <v>1.9488979175160512</v>
      </c>
      <c r="P118" s="342" cm="1">
        <f t="array" ref="P118">TREND(P$102:P$116,$E$102:$E$116,$E118)</f>
        <v>2.1742722962615382</v>
      </c>
      <c r="Q118" s="342" cm="1">
        <f t="array" ref="Q118">TREND(Q$102:Q$116,$E$102:$E$116,$E118)</f>
        <v>2.2610245110104028</v>
      </c>
      <c r="R118" s="47">
        <f t="shared" si="49"/>
        <v>0.73231479071125327</v>
      </c>
      <c r="S118" s="47">
        <f t="shared" si="49"/>
        <v>0.65717435987684947</v>
      </c>
      <c r="T118" s="47">
        <f t="shared" si="49"/>
        <v>0.60663708812190509</v>
      </c>
      <c r="U118" s="47">
        <f t="shared" si="49"/>
        <v>0.56796954734942784</v>
      </c>
      <c r="V118" s="47">
        <f t="shared" si="49"/>
        <v>0.53649671156992007</v>
      </c>
      <c r="W118" s="47">
        <f t="shared" si="49"/>
        <v>0.50991440489875461</v>
      </c>
      <c r="X118" s="47">
        <f t="shared" si="49"/>
        <v>0.48689818797644463</v>
      </c>
      <c r="Y118" s="47">
        <f t="shared" si="49"/>
        <v>0.46660950645614258</v>
      </c>
      <c r="Z118" s="47">
        <f t="shared" si="49"/>
        <v>0.44848067361338129</v>
      </c>
      <c r="AA118" s="47">
        <f t="shared" si="49"/>
        <v>0.43210794722579549</v>
      </c>
      <c r="AB118" s="47">
        <f t="shared" si="50"/>
        <v>0.41719308514928538</v>
      </c>
      <c r="AC118" s="47">
        <f t="shared" si="50"/>
        <v>0.40350904321232089</v>
      </c>
      <c r="AD118" s="47">
        <f t="shared" si="50"/>
        <v>0.3908786899553825</v>
      </c>
      <c r="AE118" s="47">
        <f t="shared" si="50"/>
        <v>0.37916099285031357</v>
      </c>
      <c r="AF118" s="47">
        <f t="shared" si="50"/>
        <v>0.36824171601049033</v>
      </c>
      <c r="AG118" s="47">
        <f t="shared" si="50"/>
        <v>0.35802695880871072</v>
      </c>
      <c r="AH118" s="47">
        <f t="shared" si="50"/>
        <v>0.34843854779950356</v>
      </c>
      <c r="AI118" s="47">
        <f t="shared" si="50"/>
        <v>0.33941067475432707</v>
      </c>
      <c r="AJ118" s="47">
        <f t="shared" si="50"/>
        <v>0.33088739473490236</v>
      </c>
      <c r="AK118" s="553">
        <f t="shared" si="50"/>
        <v>0.3228207314575523</v>
      </c>
    </row>
    <row r="119" spans="3:37" x14ac:dyDescent="0.3">
      <c r="D119" s="547" cm="1">
        <f t="array" ref="D119">TREND($D$102:$D$116,$E$102:$E$116,E119)</f>
        <v>0.38821328504640157</v>
      </c>
      <c r="E119" s="552">
        <v>87500</v>
      </c>
      <c r="F119" s="342">
        <f t="shared" si="44"/>
        <v>0.27174929953248106</v>
      </c>
      <c r="G119">
        <f t="shared" si="51"/>
        <v>0.31710992129270349</v>
      </c>
      <c r="I119">
        <f t="shared" si="52"/>
        <v>0.42231186004304228</v>
      </c>
      <c r="J119" s="44">
        <f t="shared" si="53"/>
        <v>0.98231088473302042</v>
      </c>
      <c r="K119" s="342" cm="1">
        <f t="array" ref="K119">TREND(K$102:K$116,$E$102:$E$116,$E119)</f>
        <v>1</v>
      </c>
      <c r="L119" s="342" cm="1">
        <f t="array" ref="L119">TREND(L$102:L$116,$E$102:$E$116,$E119)</f>
        <v>1.3041548520797455</v>
      </c>
      <c r="M119" s="342" cm="1">
        <f t="array" ref="M119">TREND(M$102:M$116,$E$102:$E$116,$E119)</f>
        <v>1.4255842384802579</v>
      </c>
      <c r="N119" s="342" cm="1">
        <f t="array" ref="N119">TREND(N$102:N$116,$E$102:$E$116,$E119)</f>
        <v>1.7152581975856651</v>
      </c>
      <c r="O119" s="342" cm="1">
        <f t="array" ref="O119">TREND(O$102:O$116,$E$102:$E$116,$E119)</f>
        <v>1.9303729449154672</v>
      </c>
      <c r="P119" s="342" cm="1">
        <f t="array" ref="P119">TREND(P$102:P$116,$E$102:$E$116,$E119)</f>
        <v>2.1483782446860413</v>
      </c>
      <c r="Q119" s="342" cm="1">
        <f t="array" ref="Q119">TREND(Q$102:Q$116,$E$102:$E$116,$E119)</f>
        <v>2.2263881722330034</v>
      </c>
      <c r="R119" s="47">
        <f t="shared" si="49"/>
        <v>0.72825070046751894</v>
      </c>
      <c r="S119" s="47">
        <f t="shared" si="49"/>
        <v>0.65380213303471213</v>
      </c>
      <c r="T119" s="47">
        <f t="shared" si="49"/>
        <v>0.60391777983479811</v>
      </c>
      <c r="U119" s="47">
        <f t="shared" si="49"/>
        <v>0.56582817394726814</v>
      </c>
      <c r="V119" s="47">
        <f t="shared" si="49"/>
        <v>0.5348660713982315</v>
      </c>
      <c r="W119" s="47">
        <f t="shared" si="49"/>
        <v>0.50873806081327755</v>
      </c>
      <c r="X119" s="47">
        <f t="shared" si="49"/>
        <v>0.4861289132707427</v>
      </c>
      <c r="Y119" s="47">
        <f t="shared" si="49"/>
        <v>0.4662074465755105</v>
      </c>
      <c r="Z119" s="47">
        <f t="shared" si="49"/>
        <v>0.44841183421051689</v>
      </c>
      <c r="AA119" s="47">
        <f t="shared" si="49"/>
        <v>0.43234302934899166</v>
      </c>
      <c r="AB119" s="47">
        <f t="shared" si="50"/>
        <v>0.4177065964805734</v>
      </c>
      <c r="AC119" s="47">
        <f t="shared" si="50"/>
        <v>0.40427861556811684</v>
      </c>
      <c r="AD119" s="47">
        <f t="shared" si="50"/>
        <v>0.3918845491429917</v>
      </c>
      <c r="AE119" s="47">
        <f t="shared" si="50"/>
        <v>0.38038554160420435</v>
      </c>
      <c r="AF119" s="47">
        <f t="shared" si="50"/>
        <v>0.36966920174991452</v>
      </c>
      <c r="AG119" s="47">
        <f t="shared" si="50"/>
        <v>0.35964320581635817</v>
      </c>
      <c r="AH119" s="47">
        <f t="shared" si="50"/>
        <v>0.35023073895244955</v>
      </c>
      <c r="AI119" s="47">
        <f t="shared" si="50"/>
        <v>0.34136717184103371</v>
      </c>
      <c r="AJ119" s="47">
        <f t="shared" si="50"/>
        <v>0.33299758916885741</v>
      </c>
      <c r="AK119" s="553">
        <f t="shared" si="50"/>
        <v>0.32507491919610887</v>
      </c>
    </row>
    <row r="120" spans="3:37" x14ac:dyDescent="0.3">
      <c r="D120" s="547" cm="1">
        <f t="array" ref="D120">TREND($D$102:$D$116,$E$102:$E$116,E120)</f>
        <v>0.39401912825173629</v>
      </c>
      <c r="E120" s="552">
        <v>92500</v>
      </c>
      <c r="F120" s="342">
        <f t="shared" si="44"/>
        <v>0.27581338977621539</v>
      </c>
      <c r="G120">
        <f t="shared" si="51"/>
        <v>0.32270617088008957</v>
      </c>
      <c r="I120">
        <f t="shared" si="52"/>
        <v>0.41423878622055277</v>
      </c>
      <c r="J120" s="44">
        <f t="shared" si="53"/>
        <v>0.98184198664077982</v>
      </c>
      <c r="K120" s="342" cm="1">
        <f t="array" ref="K120">TREND(K$102:K$116,$E$102:$E$116,$E120)</f>
        <v>1</v>
      </c>
      <c r="L120" s="342" cm="1">
        <f t="array" ref="L120">TREND(L$102:L$116,$E$102:$E$116,$E120)</f>
        <v>1.3069008432824512</v>
      </c>
      <c r="M120" s="342" cm="1">
        <f t="array" ref="M120">TREND(M$102:M$116,$E$102:$E$116,$E120)</f>
        <v>1.4150101467786593</v>
      </c>
      <c r="N120" s="342" cm="1">
        <f t="array" ref="N120">TREND(N$102:N$116,$E$102:$E$116,$E120)</f>
        <v>1.7116883880620088</v>
      </c>
      <c r="O120" s="342" cm="1">
        <f t="array" ref="O120">TREND(O$102:O$116,$E$102:$E$116,$E120)</f>
        <v>1.9118479723148831</v>
      </c>
      <c r="P120" s="342" cm="1">
        <f t="array" ref="P120">TREND(P$102:P$116,$E$102:$E$116,$E120)</f>
        <v>2.1224841931105445</v>
      </c>
      <c r="Q120" s="342" cm="1">
        <f t="array" ref="Q120">TREND(Q$102:Q$116,$E$102:$E$116,$E120)</f>
        <v>2.1917518334556036</v>
      </c>
      <c r="R120" s="47">
        <f t="shared" si="49"/>
        <v>0.72418661022378461</v>
      </c>
      <c r="S120" s="47">
        <f t="shared" si="49"/>
        <v>0.65048518947830991</v>
      </c>
      <c r="T120" s="47">
        <f t="shared" si="49"/>
        <v>0.60128542018527087</v>
      </c>
      <c r="U120" s="47">
        <f t="shared" si="49"/>
        <v>0.56379476761488678</v>
      </c>
      <c r="V120" s="47">
        <f t="shared" si="49"/>
        <v>0.53335850117378858</v>
      </c>
      <c r="W120" s="47">
        <f t="shared" si="49"/>
        <v>0.50769621787810815</v>
      </c>
      <c r="X120" s="47">
        <f t="shared" si="49"/>
        <v>0.48550312673301771</v>
      </c>
      <c r="Y120" s="47">
        <f t="shared" si="49"/>
        <v>0.46595615359094766</v>
      </c>
      <c r="Z120" s="47">
        <f t="shared" si="49"/>
        <v>0.44849980260544059</v>
      </c>
      <c r="AA120" s="47">
        <f t="shared" si="49"/>
        <v>0.43274003782700038</v>
      </c>
      <c r="AB120" s="47">
        <f t="shared" si="50"/>
        <v>0.41838644989529067</v>
      </c>
      <c r="AC120" s="47">
        <f t="shared" si="50"/>
        <v>0.40521840021478445</v>
      </c>
      <c r="AD120" s="47">
        <f t="shared" si="50"/>
        <v>0.39306406077641182</v>
      </c>
      <c r="AE120" s="47">
        <f t="shared" si="50"/>
        <v>0.38178683937312269</v>
      </c>
      <c r="AF120" s="47">
        <f t="shared" si="50"/>
        <v>0.37127625533649944</v>
      </c>
      <c r="AG120" s="47">
        <f t="shared" si="50"/>
        <v>0.36144161263933966</v>
      </c>
      <c r="AH120" s="47">
        <f t="shared" si="50"/>
        <v>0.3522074948188989</v>
      </c>
      <c r="AI120" s="47">
        <f t="shared" si="50"/>
        <v>0.34351048293487907</v>
      </c>
      <c r="AJ120" s="47">
        <f t="shared" si="50"/>
        <v>0.33529671641571557</v>
      </c>
      <c r="AK120" s="553">
        <f t="shared" si="50"/>
        <v>0.32752004828246312</v>
      </c>
    </row>
    <row r="121" spans="3:37" x14ac:dyDescent="0.3">
      <c r="D121" s="547" cm="1">
        <f t="array" ref="D121">TREND($D$102:$D$116,$E$102:$E$116,E121)</f>
        <v>0.39982497145707102</v>
      </c>
      <c r="E121" s="552">
        <v>97500</v>
      </c>
      <c r="F121" s="342">
        <f t="shared" si="44"/>
        <v>0.27987748001994972</v>
      </c>
      <c r="G121">
        <f t="shared" si="51"/>
        <v>0.32833391480977758</v>
      </c>
      <c r="I121">
        <f t="shared" si="52"/>
        <v>0.40606059706863334</v>
      </c>
      <c r="J121" s="44">
        <f t="shared" si="53"/>
        <v>0.9810227019110811</v>
      </c>
      <c r="K121" s="342" cm="1">
        <f t="array" ref="K121">TREND(K$102:K$116,$E$102:$E$116,$E121)</f>
        <v>1</v>
      </c>
      <c r="L121" s="342" cm="1">
        <f t="array" ref="L121">TREND(L$102:L$116,$E$102:$E$116,$E121)</f>
        <v>1.3096468344851571</v>
      </c>
      <c r="M121" s="342" cm="1">
        <f t="array" ref="M121">TREND(M$102:M$116,$E$102:$E$116,$E121)</f>
        <v>1.4044360550770607</v>
      </c>
      <c r="N121" s="342" cm="1">
        <f t="array" ref="N121">TREND(N$102:N$116,$E$102:$E$116,$E121)</f>
        <v>1.7081185785383526</v>
      </c>
      <c r="O121" s="342" cm="1">
        <f t="array" ref="O121">TREND(O$102:O$116,$E$102:$E$116,$E121)</f>
        <v>1.8933229997142991</v>
      </c>
      <c r="P121" s="342" cm="1">
        <f t="array" ref="P121">TREND(P$102:P$116,$E$102:$E$116,$E121)</f>
        <v>2.0965901415350476</v>
      </c>
      <c r="Q121" s="342" cm="1">
        <f t="array" ref="Q121">TREND(Q$102:Q$116,$E$102:$E$116,$E121)</f>
        <v>2.1571154946782038</v>
      </c>
      <c r="R121" s="47">
        <f t="shared" si="49"/>
        <v>0.72012251998005028</v>
      </c>
      <c r="S121" s="47">
        <f t="shared" si="49"/>
        <v>0.64722388131094788</v>
      </c>
      <c r="T121" s="47">
        <f t="shared" si="49"/>
        <v>0.5987402675713579</v>
      </c>
      <c r="U121" s="47">
        <f t="shared" si="49"/>
        <v>0.56186944491491009</v>
      </c>
      <c r="V121" s="47">
        <f t="shared" si="49"/>
        <v>0.53197400116619764</v>
      </c>
      <c r="W121" s="47">
        <f t="shared" si="49"/>
        <v>0.50678879945500888</v>
      </c>
      <c r="X121" s="47">
        <f t="shared" si="49"/>
        <v>0.48502071325452456</v>
      </c>
      <c r="Y121" s="47">
        <f t="shared" si="49"/>
        <v>0.46585550771718504</v>
      </c>
      <c r="Z121" s="47">
        <f t="shared" si="49"/>
        <v>0.44874448298664038</v>
      </c>
      <c r="AA121" s="47">
        <f t="shared" si="49"/>
        <v>0.43329892476783194</v>
      </c>
      <c r="AB121" s="47">
        <f t="shared" si="50"/>
        <v>0.419232665325107</v>
      </c>
      <c r="AC121" s="47">
        <f t="shared" si="50"/>
        <v>0.40632850142340521</v>
      </c>
      <c r="AD121" s="47">
        <f t="shared" si="50"/>
        <v>0.39441742716760747</v>
      </c>
      <c r="AE121" s="47">
        <f t="shared" si="50"/>
        <v>0.38336519787990336</v>
      </c>
      <c r="AF121" s="47">
        <f t="shared" si="50"/>
        <v>0.37306330734101639</v>
      </c>
      <c r="AG121" s="47">
        <f t="shared" si="50"/>
        <v>0.36342273652720036</v>
      </c>
      <c r="AH121" s="47">
        <f t="shared" si="50"/>
        <v>0.35436950581913501</v>
      </c>
      <c r="AI121" s="47">
        <f t="shared" si="50"/>
        <v>0.34584143699905467</v>
      </c>
      <c r="AJ121" s="47">
        <f t="shared" si="50"/>
        <v>0.33778574841398634</v>
      </c>
      <c r="AK121" s="553">
        <f t="shared" si="50"/>
        <v>0.33015723727156338</v>
      </c>
    </row>
    <row r="122" spans="3:37" x14ac:dyDescent="0.3">
      <c r="D122" s="547" cm="1">
        <f t="array" ref="D122">TREND($D$102:$D$116,$E$102:$E$116,E122)</f>
        <v>0.4056308146624058</v>
      </c>
      <c r="E122" s="552">
        <v>102500</v>
      </c>
      <c r="F122" s="342">
        <f t="shared" si="44"/>
        <v>0.28394157026368405</v>
      </c>
      <c r="G122">
        <f t="shared" si="51"/>
        <v>0.33399350957408414</v>
      </c>
      <c r="I122">
        <f t="shared" si="52"/>
        <v>0.39777422015084041</v>
      </c>
      <c r="J122" s="44">
        <f t="shared" si="53"/>
        <v>0.97979734582402778</v>
      </c>
      <c r="K122" s="342" cm="1">
        <f t="array" ref="K122">TREND(K$102:K$116,$E$102:$E$116,$E122)</f>
        <v>1</v>
      </c>
      <c r="L122" s="342" cm="1">
        <f t="array" ref="L122">TREND(L$102:L$116,$E$102:$E$116,$E122)</f>
        <v>1.312392825687863</v>
      </c>
      <c r="M122" s="342" cm="1">
        <f t="array" ref="M122">TREND(M$102:M$116,$E$102:$E$116,$E122)</f>
        <v>1.3938619633754621</v>
      </c>
      <c r="N122" s="342" cm="1">
        <f t="array" ref="N122">TREND(N$102:N$116,$E$102:$E$116,$E122)</f>
        <v>1.7045487690146963</v>
      </c>
      <c r="O122" s="342" cm="1">
        <f t="array" ref="O122">TREND(O$102:O$116,$E$102:$E$116,$E122)</f>
        <v>1.874798027113715</v>
      </c>
      <c r="P122" s="342" cm="1">
        <f t="array" ref="P122">TREND(P$102:P$116,$E$102:$E$116,$E122)</f>
        <v>2.0706960899595508</v>
      </c>
      <c r="Q122" s="342" cm="1">
        <f t="array" ref="Q122">TREND(Q$102:Q$116,$E$102:$E$116,$E122)</f>
        <v>2.1224791559008045</v>
      </c>
      <c r="R122" s="47">
        <f t="shared" ref="R122:AA128" si="54">EXP(-$G122*R$8^$I122)</f>
        <v>0.71605842973631595</v>
      </c>
      <c r="S122" s="47">
        <f t="shared" si="54"/>
        <v>0.64401859282966389</v>
      </c>
      <c r="T122" s="47">
        <f t="shared" si="54"/>
        <v>0.59628263808321935</v>
      </c>
      <c r="U122" s="47">
        <f t="shared" si="54"/>
        <v>0.56005240342631279</v>
      </c>
      <c r="V122" s="47">
        <f t="shared" si="54"/>
        <v>0.53071267366963792</v>
      </c>
      <c r="W122" s="47">
        <f t="shared" si="54"/>
        <v>0.5060158495369681</v>
      </c>
      <c r="X122" s="47">
        <f t="shared" si="54"/>
        <v>0.48468169466100858</v>
      </c>
      <c r="Y122" s="47">
        <f t="shared" si="54"/>
        <v>0.46590554029158993</v>
      </c>
      <c r="Z122" s="47">
        <f t="shared" si="54"/>
        <v>0.44914594295563387</v>
      </c>
      <c r="AA122" s="47">
        <f t="shared" si="54"/>
        <v>0.43401981630146469</v>
      </c>
      <c r="AB122" s="47">
        <f t="shared" ref="AB122:AK128" si="55">EXP(-$G122*AB$8^$I122)</f>
        <v>0.42024544585307044</v>
      </c>
      <c r="AC122" s="47">
        <f t="shared" si="55"/>
        <v>0.40760921444897585</v>
      </c>
      <c r="AD122" s="47">
        <f t="shared" si="55"/>
        <v>0.39594504831063704</v>
      </c>
      <c r="AE122" s="47">
        <f t="shared" si="55"/>
        <v>0.38512113223661421</v>
      </c>
      <c r="AF122" s="47">
        <f t="shared" si="55"/>
        <v>0.37503099656540712</v>
      </c>
      <c r="AG122" s="47">
        <f t="shared" si="55"/>
        <v>0.36558734704765788</v>
      </c>
      <c r="AH122" s="47">
        <f t="shared" si="55"/>
        <v>0.35671767812026101</v>
      </c>
      <c r="AI122" s="47">
        <f t="shared" si="55"/>
        <v>0.34836108159850682</v>
      </c>
      <c r="AJ122" s="47">
        <f t="shared" si="55"/>
        <v>0.34046587805940032</v>
      </c>
      <c r="AK122" s="553">
        <f t="shared" si="55"/>
        <v>0.3329878275967989</v>
      </c>
    </row>
    <row r="123" spans="3:37" x14ac:dyDescent="0.3">
      <c r="D123" s="547" cm="1">
        <f t="array" ref="D123">TREND($D$102:$D$116,$E$102:$E$116,E123)</f>
        <v>0.41143665786774053</v>
      </c>
      <c r="E123" s="552">
        <v>107500</v>
      </c>
      <c r="F123" s="342">
        <f t="shared" si="44"/>
        <v>0.28800566050741833</v>
      </c>
      <c r="G123">
        <f t="shared" si="51"/>
        <v>0.33968531775263244</v>
      </c>
      <c r="I123">
        <f t="shared" si="52"/>
        <v>0.38937644444400243</v>
      </c>
      <c r="J123" s="44">
        <f t="shared" si="53"/>
        <v>0.97810158051264207</v>
      </c>
      <c r="K123" s="342" cm="1">
        <f t="array" ref="K123">TREND(K$102:K$116,$E$102:$E$116,$E123)</f>
        <v>1</v>
      </c>
      <c r="L123" s="342" cm="1">
        <f t="array" ref="L123">TREND(L$102:L$116,$E$102:$E$116,$E123)</f>
        <v>1.3151388168905687</v>
      </c>
      <c r="M123" s="342" cm="1">
        <f t="array" ref="M123">TREND(M$102:M$116,$E$102:$E$116,$E123)</f>
        <v>1.3832878716738632</v>
      </c>
      <c r="N123" s="342" cm="1">
        <f t="array" ref="N123">TREND(N$102:N$116,$E$102:$E$116,$E123)</f>
        <v>1.7009789594910403</v>
      </c>
      <c r="O123" s="342" cm="1">
        <f t="array" ref="O123">TREND(O$102:O$116,$E$102:$E$116,$E123)</f>
        <v>1.856273054513131</v>
      </c>
      <c r="P123" s="342" cm="1">
        <f t="array" ref="P123">TREND(P$102:P$116,$E$102:$E$116,$E123)</f>
        <v>2.0448020383840539</v>
      </c>
      <c r="Q123" s="342" cm="1">
        <f t="array" ref="Q123">TREND(Q$102:Q$116,$E$102:$E$116,$E123)</f>
        <v>2.0878428171234047</v>
      </c>
      <c r="R123" s="47">
        <f t="shared" si="54"/>
        <v>0.71199433949258162</v>
      </c>
      <c r="S123" s="47">
        <f t="shared" si="54"/>
        <v>0.64086974230103133</v>
      </c>
      <c r="T123" s="47">
        <f t="shared" si="54"/>
        <v>0.59391290792038276</v>
      </c>
      <c r="U123" s="47">
        <f t="shared" si="54"/>
        <v>0.55834392421888368</v>
      </c>
      <c r="V123" s="47">
        <f t="shared" si="54"/>
        <v>0.5295747251950772</v>
      </c>
      <c r="W123" s="47">
        <f t="shared" si="54"/>
        <v>0.50537753445758082</v>
      </c>
      <c r="X123" s="47">
        <f t="shared" si="54"/>
        <v>0.48448623082203662</v>
      </c>
      <c r="Y123" s="47">
        <f t="shared" si="54"/>
        <v>0.46610643421779541</v>
      </c>
      <c r="Z123" s="47">
        <f t="shared" si="54"/>
        <v>0.44970441327172184</v>
      </c>
      <c r="AA123" s="47">
        <f t="shared" si="54"/>
        <v>0.43490301161318901</v>
      </c>
      <c r="AB123" s="47">
        <f t="shared" si="55"/>
        <v>0.42142517603612312</v>
      </c>
      <c r="AC123" s="47">
        <f t="shared" si="55"/>
        <v>0.40906102315091275</v>
      </c>
      <c r="AD123" s="47">
        <f t="shared" si="55"/>
        <v>0.39764751881397764</v>
      </c>
      <c r="AE123" s="47">
        <f t="shared" si="55"/>
        <v>0.387055357205426</v>
      </c>
      <c r="AF123" s="47">
        <f t="shared" si="55"/>
        <v>0.37718016565038143</v>
      </c>
      <c r="AG123" s="47">
        <f t="shared" si="55"/>
        <v>0.36793642105962626</v>
      </c>
      <c r="AH123" s="47">
        <f t="shared" si="55"/>
        <v>0.35925312799323916</v>
      </c>
      <c r="AI123" s="47">
        <f t="shared" si="55"/>
        <v>0.35107067665904995</v>
      </c>
      <c r="AJ123" s="47">
        <f t="shared" si="55"/>
        <v>0.34333851238338375</v>
      </c>
      <c r="AK123" s="553">
        <f t="shared" si="55"/>
        <v>0.33601337618418436</v>
      </c>
    </row>
    <row r="124" spans="3:37" x14ac:dyDescent="0.3">
      <c r="D124" s="547" cm="1">
        <f t="array" ref="D124">TREND($D$102:$D$116,$E$102:$E$116,E124)</f>
        <v>0.41724250107307526</v>
      </c>
      <c r="E124" s="552">
        <v>112500</v>
      </c>
      <c r="F124" s="342">
        <f t="shared" si="44"/>
        <v>0.29206975075115266</v>
      </c>
      <c r="G124">
        <f t="shared" si="51"/>
        <v>0.34540970815173788</v>
      </c>
      <c r="I124">
        <f t="shared" si="52"/>
        <v>0.38086391169230899</v>
      </c>
      <c r="J124" s="44">
        <f t="shared" si="53"/>
        <v>0.97586105882983154</v>
      </c>
      <c r="K124" s="342" cm="1">
        <f t="array" ref="K124">TREND(K$102:K$116,$E$102:$E$116,$E124)</f>
        <v>1</v>
      </c>
      <c r="L124" s="342" cm="1">
        <f t="array" ref="L124">TREND(L$102:L$116,$E$102:$E$116,$E124)</f>
        <v>1.3178848080932746</v>
      </c>
      <c r="M124" s="342" cm="1">
        <f t="array" ref="M124">TREND(M$102:M$116,$E$102:$E$116,$E124)</f>
        <v>1.3727137799722646</v>
      </c>
      <c r="N124" s="342" cm="1">
        <f t="array" ref="N124">TREND(N$102:N$116,$E$102:$E$116,$E124)</f>
        <v>1.697409149967384</v>
      </c>
      <c r="O124" s="342" cm="1">
        <f t="array" ref="O124">TREND(O$102:O$116,$E$102:$E$116,$E124)</f>
        <v>1.8377480819125469</v>
      </c>
      <c r="P124" s="342" cm="1">
        <f t="array" ref="P124">TREND(P$102:P$116,$E$102:$E$116,$E124)</f>
        <v>2.0189079868085571</v>
      </c>
      <c r="Q124" s="342" cm="1">
        <f t="array" ref="Q124">TREND(Q$102:Q$116,$E$102:$E$116,$E124)</f>
        <v>2.0532064783460049</v>
      </c>
      <c r="R124" s="47">
        <f t="shared" si="54"/>
        <v>0.70793024924884729</v>
      </c>
      <c r="S124" s="47">
        <f t="shared" si="54"/>
        <v>0.63777778387677064</v>
      </c>
      <c r="T124" s="47">
        <f t="shared" si="54"/>
        <v>0.59163151600762154</v>
      </c>
      <c r="U124" s="47">
        <f t="shared" si="54"/>
        <v>0.556744374557822</v>
      </c>
      <c r="V124" s="47">
        <f t="shared" si="54"/>
        <v>0.52856046891311348</v>
      </c>
      <c r="W124" s="47">
        <f t="shared" si="54"/>
        <v>0.50487414486622217</v>
      </c>
      <c r="X124" s="47">
        <f t="shared" si="54"/>
        <v>0.48443462103794405</v>
      </c>
      <c r="Y124" s="47">
        <f t="shared" si="54"/>
        <v>0.46645852469602966</v>
      </c>
      <c r="Z124" s="47">
        <f t="shared" si="54"/>
        <v>0.45042028788987959</v>
      </c>
      <c r="AA124" s="47">
        <f t="shared" si="54"/>
        <v>0.43594898227380929</v>
      </c>
      <c r="AB124" s="47">
        <f t="shared" si="55"/>
        <v>0.42277242052536806</v>
      </c>
      <c r="AC124" s="47">
        <f t="shared" si="55"/>
        <v>0.4106845979092813</v>
      </c>
      <c r="AD124" s="47">
        <f t="shared" si="55"/>
        <v>0.39952562512358225</v>
      </c>
      <c r="AE124" s="47">
        <f t="shared" si="55"/>
        <v>0.38916878374222563</v>
      </c>
      <c r="AF124" s="47">
        <f t="shared" si="55"/>
        <v>0.37951185695479461</v>
      </c>
      <c r="AG124" s="47">
        <f t="shared" si="55"/>
        <v>0.37047113794411485</v>
      </c>
      <c r="AH124" s="47">
        <f t="shared" si="55"/>
        <v>0.36197717641101101</v>
      </c>
      <c r="AI124" s="47">
        <f t="shared" si="55"/>
        <v>0.35397168844796567</v>
      </c>
      <c r="AJ124" s="47">
        <f t="shared" si="55"/>
        <v>0.34640526593068838</v>
      </c>
      <c r="AK124" s="553">
        <f t="shared" si="55"/>
        <v>0.3392356482407351</v>
      </c>
    </row>
    <row r="125" spans="3:37" x14ac:dyDescent="0.3">
      <c r="D125" s="547" cm="1">
        <f t="array" ref="D125">TREND($D$102:$D$116,$E$102:$E$116,E125)</f>
        <v>0.42304834427840998</v>
      </c>
      <c r="E125" s="552">
        <v>117500</v>
      </c>
      <c r="F125" s="342">
        <f t="shared" si="44"/>
        <v>0.29613384099488699</v>
      </c>
      <c r="G125">
        <f t="shared" si="51"/>
        <v>0.35116705594780695</v>
      </c>
      <c r="I125">
        <f t="shared" si="52"/>
        <v>0.37223310706507712</v>
      </c>
      <c r="J125" s="44">
        <f t="shared" si="53"/>
        <v>0.97298987525509728</v>
      </c>
      <c r="K125" s="342" cm="1">
        <f t="array" ref="K125">TREND(K$102:K$116,$E$102:$E$116,$E125)</f>
        <v>1</v>
      </c>
      <c r="L125" s="342" cm="1">
        <f t="array" ref="L125">TREND(L$102:L$116,$E$102:$E$116,$E125)</f>
        <v>1.3206307992959805</v>
      </c>
      <c r="M125" s="342" cm="1">
        <f t="array" ref="M125">TREND(M$102:M$116,$E$102:$E$116,$E125)</f>
        <v>1.362139688270666</v>
      </c>
      <c r="N125" s="342" cm="1">
        <f t="array" ref="N125">TREND(N$102:N$116,$E$102:$E$116,$E125)</f>
        <v>1.6938393404437277</v>
      </c>
      <c r="O125" s="342" cm="1">
        <f t="array" ref="O125">TREND(O$102:O$116,$E$102:$E$116,$E125)</f>
        <v>1.8192231093119628</v>
      </c>
      <c r="P125" s="342" cm="1">
        <f t="array" ref="P125">TREND(P$102:P$116,$E$102:$E$116,$E125)</f>
        <v>1.9930139352330603</v>
      </c>
      <c r="Q125" s="342" cm="1">
        <f t="array" ref="Q125">TREND(Q$102:Q$116,$E$102:$E$116,$E125)</f>
        <v>2.0185701395686051</v>
      </c>
      <c r="R125" s="47">
        <f t="shared" si="54"/>
        <v>0.70386615900511296</v>
      </c>
      <c r="S125" s="47">
        <f t="shared" si="54"/>
        <v>0.63474320966247244</v>
      </c>
      <c r="T125" s="47">
        <f t="shared" si="54"/>
        <v>0.58943896682723673</v>
      </c>
      <c r="U125" s="47">
        <f t="shared" si="54"/>
        <v>0.55525421085698878</v>
      </c>
      <c r="V125" s="47">
        <f t="shared" si="54"/>
        <v>0.52767032736461139</v>
      </c>
      <c r="W125" s="47">
        <f t="shared" si="54"/>
        <v>0.50450609798344093</v>
      </c>
      <c r="X125" s="47">
        <f t="shared" si="54"/>
        <v>0.48452730571510161</v>
      </c>
      <c r="Y125" s="47">
        <f t="shared" si="54"/>
        <v>0.46696230024641716</v>
      </c>
      <c r="Z125" s="47">
        <f t="shared" si="54"/>
        <v>0.45129412429311655</v>
      </c>
      <c r="AA125" s="47">
        <f t="shared" si="54"/>
        <v>0.43715837186272466</v>
      </c>
      <c r="AB125" s="47">
        <f t="shared" si="55"/>
        <v>0.42428792297454576</v>
      </c>
      <c r="AC125" s="47">
        <f t="shared" si="55"/>
        <v>0.41248079382147956</v>
      </c>
      <c r="AD125" s="47">
        <f t="shared" si="55"/>
        <v>0.40158034301555884</v>
      </c>
      <c r="AE125" s="47">
        <f t="shared" si="55"/>
        <v>0.39146251579598068</v>
      </c>
      <c r="AF125" s="47">
        <f t="shared" si="55"/>
        <v>0.38202730867391138</v>
      </c>
      <c r="AG125" s="47">
        <f t="shared" si="55"/>
        <v>0.37319287505423171</v>
      </c>
      <c r="AH125" s="47">
        <f t="shared" si="55"/>
        <v>0.36489134384310501</v>
      </c>
      <c r="AI125" s="47">
        <f t="shared" si="55"/>
        <v>0.35706578372571629</v>
      </c>
      <c r="AJ125" s="47">
        <f t="shared" si="55"/>
        <v>0.34966795428011882</v>
      </c>
      <c r="AK125" s="553">
        <f t="shared" si="55"/>
        <v>0.34265661015536736</v>
      </c>
    </row>
    <row r="126" spans="3:37" x14ac:dyDescent="0.3">
      <c r="D126" s="547" cm="1">
        <f t="array" ref="D126">TREND($D$102:$D$116,$E$102:$E$116,E126)</f>
        <v>0.42885418748374471</v>
      </c>
      <c r="E126" s="552">
        <v>122500</v>
      </c>
      <c r="F126" s="342">
        <f t="shared" si="44"/>
        <v>0.30019793123862126</v>
      </c>
      <c r="G126">
        <f t="shared" si="51"/>
        <v>0.35695774283488707</v>
      </c>
      <c r="I126">
        <f t="shared" si="52"/>
        <v>0.36348034904885701</v>
      </c>
      <c r="J126" s="44">
        <f t="shared" si="53"/>
        <v>0.96938881032478996</v>
      </c>
      <c r="K126" s="342" cm="1">
        <f t="array" ref="K126">TREND(K$102:K$116,$E$102:$E$116,$E126)</f>
        <v>1</v>
      </c>
      <c r="L126" s="342" cm="1">
        <f t="array" ref="L126">TREND(L$102:L$116,$E$102:$E$116,$E126)</f>
        <v>1.3233767904986862</v>
      </c>
      <c r="M126" s="342" cm="1">
        <f t="array" ref="M126">TREND(M$102:M$116,$E$102:$E$116,$E126)</f>
        <v>1.3515655965690674</v>
      </c>
      <c r="N126" s="342" cm="1">
        <f t="array" ref="N126">TREND(N$102:N$116,$E$102:$E$116,$E126)</f>
        <v>1.6902695309200715</v>
      </c>
      <c r="O126" s="342" cm="1">
        <f t="array" ref="O126">TREND(O$102:O$116,$E$102:$E$116,$E126)</f>
        <v>1.8006981367113788</v>
      </c>
      <c r="P126" s="342" cm="1">
        <f t="array" ref="P126">TREND(P$102:P$116,$E$102:$E$116,$E126)</f>
        <v>1.9671198836575634</v>
      </c>
      <c r="Q126" s="342" cm="1">
        <f t="array" ref="Q126">TREND(Q$102:Q$116,$E$102:$E$116,$E126)</f>
        <v>1.9839338007912055</v>
      </c>
      <c r="R126" s="47">
        <f t="shared" si="54"/>
        <v>0.69980206876137874</v>
      </c>
      <c r="S126" s="47">
        <f t="shared" si="54"/>
        <v>0.63176655195425957</v>
      </c>
      <c r="T126" s="47">
        <f t="shared" si="54"/>
        <v>0.58733583348750373</v>
      </c>
      <c r="U126" s="47">
        <f t="shared" si="54"/>
        <v>0.55387398190139736</v>
      </c>
      <c r="V126" s="47">
        <f t="shared" si="54"/>
        <v>0.5269048354582605</v>
      </c>
      <c r="W126" s="47">
        <f t="shared" si="54"/>
        <v>0.50427394015277238</v>
      </c>
      <c r="X126" s="47">
        <f t="shared" si="54"/>
        <v>0.48476486834176952</v>
      </c>
      <c r="Y126" s="47">
        <f t="shared" si="54"/>
        <v>0.46761840403288069</v>
      </c>
      <c r="Z126" s="47">
        <f t="shared" si="54"/>
        <v>0.45232664412179352</v>
      </c>
      <c r="AA126" s="47">
        <f t="shared" si="54"/>
        <v>0.43853199588089098</v>
      </c>
      <c r="AB126" s="47">
        <f t="shared" si="55"/>
        <v>0.42597260522799646</v>
      </c>
      <c r="AC126" s="47">
        <f t="shared" si="55"/>
        <v>0.41445064916477992</v>
      </c>
      <c r="AD126" s="47">
        <f t="shared" si="55"/>
        <v>0.40381283533792273</v>
      </c>
      <c r="AE126" s="47">
        <f t="shared" si="55"/>
        <v>0.39393784733731674</v>
      </c>
      <c r="AF126" s="47">
        <f t="shared" si="55"/>
        <v>0.38472795116404557</v>
      </c>
      <c r="AG126" s="47">
        <f t="shared" si="55"/>
        <v>0.37610320334583769</v>
      </c>
      <c r="AH126" s="47">
        <f t="shared" si="55"/>
        <v>0.36799734520239225</v>
      </c>
      <c r="AI126" s="47">
        <f t="shared" si="55"/>
        <v>0.36035482401863778</v>
      </c>
      <c r="AJ126" s="47">
        <f t="shared" si="55"/>
        <v>0.3531285876525046</v>
      </c>
      <c r="AK126" s="553">
        <f t="shared" si="55"/>
        <v>0.34627842245085838</v>
      </c>
    </row>
    <row r="127" spans="3:37" x14ac:dyDescent="0.3">
      <c r="D127" s="547" cm="1">
        <f t="array" ref="D127">TREND($D$102:$D$116,$E$102:$E$116,E127)</f>
        <v>0.43466003068907944</v>
      </c>
      <c r="E127" s="552">
        <v>127500</v>
      </c>
      <c r="F127" s="342">
        <f t="shared" si="44"/>
        <v>0.30426202148235559</v>
      </c>
      <c r="G127">
        <f t="shared" si="51"/>
        <v>0.36278215717651502</v>
      </c>
      <c r="I127">
        <f t="shared" si="52"/>
        <v>0.35460177849626262</v>
      </c>
      <c r="J127" s="44">
        <f t="shared" si="53"/>
        <v>0.96494336241588119</v>
      </c>
      <c r="K127" s="342" cm="1">
        <f t="array" ref="K127">TREND(K$102:K$116,$E$102:$E$116,$E127)</f>
        <v>1</v>
      </c>
      <c r="L127" s="342" cm="1">
        <f t="array" ref="L127">TREND(L$102:L$116,$E$102:$E$116,$E127)</f>
        <v>1.3261227817013921</v>
      </c>
      <c r="M127" s="342" cm="1">
        <f t="array" ref="M127">TREND(M$102:M$116,$E$102:$E$116,$E127)</f>
        <v>1.3409915048674685</v>
      </c>
      <c r="N127" s="342" cm="1">
        <f t="array" ref="N127">TREND(N$102:N$116,$E$102:$E$116,$E127)</f>
        <v>1.6866997213964152</v>
      </c>
      <c r="O127" s="342" cm="1">
        <f t="array" ref="O127">TREND(O$102:O$116,$E$102:$E$116,$E127)</f>
        <v>1.782173164110795</v>
      </c>
      <c r="P127" s="342" cm="1">
        <f t="array" ref="P127">TREND(P$102:P$116,$E$102:$E$116,$E127)</f>
        <v>1.9412258320820668</v>
      </c>
      <c r="Q127" s="342" cm="1">
        <f t="array" ref="Q127">TREND(Q$102:Q$116,$E$102:$E$116,$E127)</f>
        <v>1.9492974620138059</v>
      </c>
      <c r="R127" s="47">
        <f t="shared" si="54"/>
        <v>0.69573797851764441</v>
      </c>
      <c r="S127" s="47">
        <f t="shared" si="54"/>
        <v>0.62884838565994483</v>
      </c>
      <c r="T127" s="47">
        <f t="shared" si="54"/>
        <v>0.58532276104927894</v>
      </c>
      <c r="U127" s="47">
        <f t="shared" si="54"/>
        <v>0.55260433236183437</v>
      </c>
      <c r="V127" s="47">
        <f t="shared" si="54"/>
        <v>0.5262646437763594</v>
      </c>
      <c r="W127" s="47">
        <f t="shared" si="54"/>
        <v>0.50417834970713959</v>
      </c>
      <c r="X127" s="47">
        <f t="shared" si="54"/>
        <v>0.48514803777853177</v>
      </c>
      <c r="Y127" s="47">
        <f t="shared" si="54"/>
        <v>0.4684276354967491</v>
      </c>
      <c r="Z127" s="47">
        <f t="shared" si="54"/>
        <v>0.45351873410362176</v>
      </c>
      <c r="AA127" s="47">
        <f t="shared" si="54"/>
        <v>0.44007084195167478</v>
      </c>
      <c r="AB127" s="47">
        <f t="shared" si="55"/>
        <v>0.4278275667801934</v>
      </c>
      <c r="AC127" s="47">
        <f t="shared" si="55"/>
        <v>0.41659538411075814</v>
      </c>
      <c r="AD127" s="47">
        <f t="shared" si="55"/>
        <v>0.40622444998133711</v>
      </c>
      <c r="AE127" s="47">
        <f t="shared" si="55"/>
        <v>0.39659625959010186</v>
      </c>
      <c r="AF127" s="47">
        <f t="shared" si="55"/>
        <v>0.38761540344126744</v>
      </c>
      <c r="AG127" s="47">
        <f t="shared" si="55"/>
        <v>0.37920388315050968</v>
      </c>
      <c r="AH127" s="47">
        <f t="shared" si="55"/>
        <v>0.37129708489968827</v>
      </c>
      <c r="AI127" s="47">
        <f t="shared" si="55"/>
        <v>0.36384085996244037</v>
      </c>
      <c r="AJ127" s="47">
        <f t="shared" si="55"/>
        <v>0.35678936454998617</v>
      </c>
      <c r="AK127" s="553">
        <f t="shared" si="55"/>
        <v>0.35010343272528444</v>
      </c>
    </row>
    <row r="128" spans="3:37" x14ac:dyDescent="0.3">
      <c r="D128" s="547" cm="1">
        <f t="array" ref="D128">TREND($D$102:$D$116,$E$102:$E$116,E128)</f>
        <v>0.44046587389441416</v>
      </c>
      <c r="E128" s="554">
        <v>132500</v>
      </c>
      <c r="F128" s="342">
        <f t="shared" si="44"/>
        <v>0.30832611172608987</v>
      </c>
      <c r="G128" s="556">
        <f t="shared" si="51"/>
        <v>0.36864069416201123</v>
      </c>
      <c r="H128" s="556"/>
      <c r="I128" s="556">
        <f t="shared" si="52"/>
        <v>0.34559334674447334</v>
      </c>
      <c r="J128" s="557">
        <f t="shared" si="53"/>
        <v>0.95952157370177682</v>
      </c>
      <c r="K128" s="555" cm="1">
        <f t="array" ref="K128">TREND(K$102:K$116,$E$102:$E$116,$E128)</f>
        <v>1</v>
      </c>
      <c r="L128" s="555" cm="1">
        <f t="array" ref="L128">TREND(L$102:L$116,$E$102:$E$116,$E128)</f>
        <v>1.328868772904098</v>
      </c>
      <c r="M128" s="555" cm="1">
        <f t="array" ref="M128">TREND(M$102:M$116,$E$102:$E$116,$E128)</f>
        <v>1.3304174131658699</v>
      </c>
      <c r="N128" s="555" cm="1">
        <f t="array" ref="N128">TREND(N$102:N$116,$E$102:$E$116,$E128)</f>
        <v>1.683129911872759</v>
      </c>
      <c r="O128" s="555" cm="1">
        <f t="array" ref="O128">TREND(O$102:O$116,$E$102:$E$116,$E128)</f>
        <v>1.7636481915102107</v>
      </c>
      <c r="P128" s="555" cm="1">
        <f t="array" ref="P128">TREND(P$102:P$116,$E$102:$E$116,$E128)</f>
        <v>1.9153317805065699</v>
      </c>
      <c r="Q128" s="555" cm="1">
        <f t="array" ref="Q128">TREND(Q$102:Q$116,$E$102:$E$116,$E128)</f>
        <v>1.9146611232364061</v>
      </c>
      <c r="R128" s="558">
        <f t="shared" si="54"/>
        <v>0.69167388827391019</v>
      </c>
      <c r="S128" s="558">
        <f t="shared" si="54"/>
        <v>0.62598933092320741</v>
      </c>
      <c r="T128" s="558">
        <f t="shared" si="54"/>
        <v>0.58340047013531637</v>
      </c>
      <c r="U128" s="558">
        <f t="shared" si="54"/>
        <v>0.55144600662712118</v>
      </c>
      <c r="V128" s="558">
        <f t="shared" si="54"/>
        <v>0.52575052221260232</v>
      </c>
      <c r="W128" s="558">
        <f t="shared" si="54"/>
        <v>0.50422014017023153</v>
      </c>
      <c r="X128" s="558">
        <f t="shared" si="54"/>
        <v>0.48567769087923746</v>
      </c>
      <c r="Y128" s="558">
        <f t="shared" si="54"/>
        <v>0.4693909523108088</v>
      </c>
      <c r="Z128" s="558">
        <f t="shared" si="54"/>
        <v>0.45487144728941487</v>
      </c>
      <c r="AA128" s="558">
        <f t="shared" si="54"/>
        <v>0.44177607030868787</v>
      </c>
      <c r="AB128" s="558">
        <f t="shared" si="55"/>
        <v>0.4298540844997612</v>
      </c>
      <c r="AC128" s="558">
        <f t="shared" si="55"/>
        <v>0.41891639967824867</v>
      </c>
      <c r="AD128" s="558">
        <f t="shared" si="55"/>
        <v>0.40881671805916719</v>
      </c>
      <c r="AE128" s="558">
        <f t="shared" si="55"/>
        <v>0.39943941844006153</v>
      </c>
      <c r="AF128" s="558">
        <f t="shared" si="55"/>
        <v>0.39069146982195962</v>
      </c>
      <c r="AG128" s="558">
        <f t="shared" si="55"/>
        <v>0.38249686005241695</v>
      </c>
      <c r="AH128" s="558">
        <f t="shared" si="55"/>
        <v>0.37479265196173878</v>
      </c>
      <c r="AI128" s="558">
        <f t="shared" si="55"/>
        <v>0.36752612566609716</v>
      </c>
      <c r="AJ128" s="558">
        <f t="shared" si="55"/>
        <v>0.36065266537036378</v>
      </c>
      <c r="AK128" s="559">
        <f t="shared" si="55"/>
        <v>0.35413416852099039</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rgb="FFE3001A"/>
  </sheetPr>
  <dimension ref="A1:W77"/>
  <sheetViews>
    <sheetView workbookViewId="0">
      <selection activeCell="D34" sqref="D34:BB36"/>
    </sheetView>
  </sheetViews>
  <sheetFormatPr defaultRowHeight="15" x14ac:dyDescent="0.3"/>
  <cols>
    <col min="1" max="1" width="27.28515625" customWidth="1"/>
    <col min="8" max="8" width="10" bestFit="1" customWidth="1"/>
    <col min="9" max="9" width="10.42578125" customWidth="1"/>
  </cols>
  <sheetData>
    <row r="1" spans="2:23" ht="15.75" thickBot="1" x14ac:dyDescent="0.35">
      <c r="B1" t="s">
        <v>1289</v>
      </c>
      <c r="F1" t="s">
        <v>1961</v>
      </c>
      <c r="J1" t="s">
        <v>1188</v>
      </c>
      <c r="Q1" t="s">
        <v>1287</v>
      </c>
      <c r="R1" t="s">
        <v>1279</v>
      </c>
    </row>
    <row r="2" spans="2:23" ht="15.75" thickBot="1" x14ac:dyDescent="0.35">
      <c r="B2" s="286" t="s">
        <v>1032</v>
      </c>
      <c r="C2" s="286" t="s">
        <v>1026</v>
      </c>
      <c r="D2" s="286" t="str">
        <f t="array" ref="D2:H2">list_brandstoftype</f>
        <v>benzine</v>
      </c>
      <c r="E2" s="286" t="str">
        <v>diesel</v>
      </c>
      <c r="F2" s="286" t="str">
        <v>Elektrisch</v>
      </c>
      <c r="G2" s="286" t="str">
        <v>plug-in</v>
      </c>
      <c r="H2" s="286" t="str">
        <v>range-extender</v>
      </c>
      <c r="Q2" s="286" t="s">
        <v>1032</v>
      </c>
      <c r="R2" s="286" t="s">
        <v>1026</v>
      </c>
      <c r="S2" s="286" t="str">
        <f t="array" ref="S2:W2">list_brandstoftype</f>
        <v>benzine</v>
      </c>
      <c r="T2" s="286" t="str">
        <v>diesel</v>
      </c>
      <c r="U2" s="286" t="str">
        <v>Elektrisch</v>
      </c>
      <c r="V2" s="286" t="str">
        <v>plug-in</v>
      </c>
      <c r="W2" s="286" t="str">
        <v>range-extender</v>
      </c>
    </row>
    <row r="3" spans="2:23" ht="15.75" thickBot="1" x14ac:dyDescent="0.35">
      <c r="B3" s="283">
        <v>1</v>
      </c>
      <c r="C3" s="282">
        <v>0</v>
      </c>
      <c r="D3" s="282">
        <f>S3*$J$7</f>
        <v>754.60924287118985</v>
      </c>
      <c r="E3" s="282">
        <f t="shared" ref="E3:H18" si="0">T3*$J$7</f>
        <v>1054.6153602239424</v>
      </c>
      <c r="F3" s="693">
        <f>E3</f>
        <v>1054.6153602239424</v>
      </c>
      <c r="G3" s="282">
        <f t="shared" si="0"/>
        <v>754.60924287118985</v>
      </c>
      <c r="H3" s="282">
        <f t="shared" si="0"/>
        <v>754.60924287118985</v>
      </c>
      <c r="I3" s="43"/>
      <c r="Q3" s="283">
        <v>1</v>
      </c>
      <c r="R3" s="282">
        <v>0</v>
      </c>
      <c r="S3" s="294">
        <v>632</v>
      </c>
      <c r="T3" s="294">
        <f t="shared" ref="T3:T15" si="1">$T$16*S3/$S$16</f>
        <v>883.26099098060558</v>
      </c>
      <c r="U3" s="294">
        <f>S3*$J$5</f>
        <v>695.2</v>
      </c>
      <c r="V3" s="294">
        <f>S3</f>
        <v>632</v>
      </c>
      <c r="W3" s="294">
        <f>S3</f>
        <v>632</v>
      </c>
    </row>
    <row r="4" spans="2:23" ht="15.75" thickBot="1" x14ac:dyDescent="0.35">
      <c r="B4" s="283">
        <v>2</v>
      </c>
      <c r="C4" s="282">
        <v>8500</v>
      </c>
      <c r="D4" s="282">
        <f t="shared" ref="D4:D49" si="2">S4*$J$7</f>
        <v>754.60924287118985</v>
      </c>
      <c r="E4" s="282">
        <f t="shared" si="0"/>
        <v>1054.6153602239424</v>
      </c>
      <c r="F4" s="693">
        <f t="shared" ref="F4:F61" si="3">E4</f>
        <v>1054.6153602239424</v>
      </c>
      <c r="G4" s="282">
        <f t="shared" si="0"/>
        <v>754.60924287118985</v>
      </c>
      <c r="H4" s="282">
        <f t="shared" si="0"/>
        <v>754.60924287118985</v>
      </c>
      <c r="I4" s="43"/>
      <c r="J4" t="s">
        <v>1278</v>
      </c>
      <c r="Q4" s="283">
        <v>2</v>
      </c>
      <c r="R4" s="282">
        <v>8500</v>
      </c>
      <c r="S4" s="282">
        <v>632</v>
      </c>
      <c r="T4" s="294">
        <f t="shared" si="1"/>
        <v>883.26099098060558</v>
      </c>
      <c r="U4" s="294">
        <f>S4*$J$5</f>
        <v>695.2</v>
      </c>
      <c r="V4" s="294">
        <f t="shared" ref="V4:V49" si="4">S4</f>
        <v>632</v>
      </c>
      <c r="W4" s="294">
        <f t="shared" ref="W4:W49" si="5">S4</f>
        <v>632</v>
      </c>
    </row>
    <row r="5" spans="2:23" ht="15.75" thickBot="1" x14ac:dyDescent="0.35">
      <c r="B5" s="283">
        <v>3</v>
      </c>
      <c r="C5" s="282">
        <v>9000</v>
      </c>
      <c r="D5" s="282">
        <f t="shared" si="2"/>
        <v>792.93808946936031</v>
      </c>
      <c r="E5" s="282">
        <f t="shared" si="0"/>
        <v>1108.1824093211633</v>
      </c>
      <c r="F5" s="693">
        <f t="shared" si="3"/>
        <v>1108.1824093211633</v>
      </c>
      <c r="G5" s="282">
        <f t="shared" si="0"/>
        <v>792.93808946936031</v>
      </c>
      <c r="H5" s="282">
        <f t="shared" si="0"/>
        <v>792.93808946936031</v>
      </c>
      <c r="I5" s="43"/>
      <c r="J5" s="438">
        <v>1.1000000000000001</v>
      </c>
      <c r="Q5" s="283">
        <v>3</v>
      </c>
      <c r="R5" s="282">
        <v>9000</v>
      </c>
      <c r="S5" s="282">
        <v>664.101158684295</v>
      </c>
      <c r="T5" s="294">
        <f t="shared" si="1"/>
        <v>928.12444229566256</v>
      </c>
      <c r="U5" s="294">
        <f t="shared" ref="U5:U49" si="6">S5*$J$5</f>
        <v>730.51127455272456</v>
      </c>
      <c r="V5" s="294">
        <f t="shared" si="4"/>
        <v>664.101158684295</v>
      </c>
      <c r="W5" s="294">
        <f t="shared" si="5"/>
        <v>664.101158684295</v>
      </c>
    </row>
    <row r="6" spans="2:23" ht="15.75" thickBot="1" x14ac:dyDescent="0.35">
      <c r="B6" s="283">
        <v>4</v>
      </c>
      <c r="C6" s="282">
        <v>9500</v>
      </c>
      <c r="D6" s="282">
        <f t="shared" si="2"/>
        <v>827.85352548972571</v>
      </c>
      <c r="E6" s="282">
        <f t="shared" si="0"/>
        <v>1156.9789957450048</v>
      </c>
      <c r="F6" s="693">
        <f t="shared" si="3"/>
        <v>1156.9789957450048</v>
      </c>
      <c r="G6" s="282">
        <f t="shared" si="0"/>
        <v>827.85352548972571</v>
      </c>
      <c r="H6" s="282">
        <f t="shared" si="0"/>
        <v>827.85352548972571</v>
      </c>
      <c r="I6" s="43"/>
      <c r="J6" t="str">
        <f>"Inflatiecorrectie 2017-"&amp;input_basisjaar</f>
        <v>Inflatiecorrectie 2017-2025</v>
      </c>
      <c r="Q6" s="283">
        <v>4</v>
      </c>
      <c r="R6" s="282">
        <v>9500</v>
      </c>
      <c r="S6" s="282">
        <v>693.34351924816849</v>
      </c>
      <c r="T6" s="294">
        <f t="shared" si="1"/>
        <v>968.99253781822438</v>
      </c>
      <c r="U6" s="294">
        <f t="shared" si="6"/>
        <v>762.67787117298542</v>
      </c>
      <c r="V6" s="294">
        <f t="shared" si="4"/>
        <v>693.34351924816849</v>
      </c>
      <c r="W6" s="294">
        <f t="shared" si="5"/>
        <v>693.34351924816849</v>
      </c>
    </row>
    <row r="7" spans="2:23" ht="15.75" thickBot="1" x14ac:dyDescent="0.35">
      <c r="B7" s="283">
        <v>5</v>
      </c>
      <c r="C7" s="282">
        <v>10000</v>
      </c>
      <c r="D7" s="282">
        <f t="shared" si="2"/>
        <v>857.65321908548742</v>
      </c>
      <c r="E7" s="282">
        <f t="shared" si="0"/>
        <v>1198.6260003277753</v>
      </c>
      <c r="F7" s="693">
        <f t="shared" si="3"/>
        <v>1198.6260003277753</v>
      </c>
      <c r="G7" s="282">
        <f t="shared" si="0"/>
        <v>857.65321908548742</v>
      </c>
      <c r="H7" s="282">
        <f t="shared" si="0"/>
        <v>857.65321908548742</v>
      </c>
      <c r="I7" s="43"/>
      <c r="J7" s="439" cm="1">
        <f t="array" ref="J7">INDEX(brandstofkosten!D116:AR116,,MATCH(input_basisjaar-1,brandstofkosten!D115:AR115,0))/brandstofkosten!K116</f>
        <v>1.1940019665683383</v>
      </c>
      <c r="Q7" s="283">
        <v>5</v>
      </c>
      <c r="R7" s="282">
        <v>10000</v>
      </c>
      <c r="S7" s="282">
        <v>718.30134547471027</v>
      </c>
      <c r="T7" s="294">
        <f t="shared" si="1"/>
        <v>1003.8727187131248</v>
      </c>
      <c r="U7" s="294">
        <f t="shared" si="6"/>
        <v>790.13148002218134</v>
      </c>
      <c r="V7" s="294">
        <f t="shared" si="4"/>
        <v>718.30134547471027</v>
      </c>
      <c r="W7" s="294">
        <f t="shared" si="5"/>
        <v>718.30134547471027</v>
      </c>
    </row>
    <row r="8" spans="2:23" ht="15.75" thickBot="1" x14ac:dyDescent="0.35">
      <c r="B8" s="283">
        <v>6</v>
      </c>
      <c r="C8" s="282">
        <v>10500</v>
      </c>
      <c r="D8" s="282">
        <f t="shared" si="2"/>
        <v>882.95631723560291</v>
      </c>
      <c r="E8" s="282">
        <f t="shared" si="0"/>
        <v>1233.9887211299122</v>
      </c>
      <c r="F8" s="693">
        <f t="shared" si="3"/>
        <v>1233.9887211299122</v>
      </c>
      <c r="G8" s="282">
        <f t="shared" si="0"/>
        <v>882.95631723560291</v>
      </c>
      <c r="H8" s="282">
        <f t="shared" si="0"/>
        <v>882.95631723560291</v>
      </c>
      <c r="I8" s="43"/>
      <c r="Q8" s="283">
        <v>6</v>
      </c>
      <c r="R8" s="282">
        <v>10500</v>
      </c>
      <c r="S8" s="282">
        <v>739.49318506844111</v>
      </c>
      <c r="T8" s="294">
        <f t="shared" si="1"/>
        <v>1033.4896890299931</v>
      </c>
      <c r="U8" s="294">
        <f t="shared" si="6"/>
        <v>813.44250357528529</v>
      </c>
      <c r="V8" s="294">
        <f t="shared" si="4"/>
        <v>739.49318506844111</v>
      </c>
      <c r="W8" s="294">
        <f t="shared" si="5"/>
        <v>739.49318506844111</v>
      </c>
    </row>
    <row r="9" spans="2:23" ht="15.75" thickBot="1" x14ac:dyDescent="0.35">
      <c r="B9" s="283">
        <v>7</v>
      </c>
      <c r="C9" s="282">
        <v>11000</v>
      </c>
      <c r="D9" s="282">
        <f t="shared" si="2"/>
        <v>906.25289408772801</v>
      </c>
      <c r="E9" s="282">
        <f t="shared" si="0"/>
        <v>1266.5471982768488</v>
      </c>
      <c r="F9" s="693">
        <f t="shared" si="3"/>
        <v>1266.5471982768488</v>
      </c>
      <c r="G9" s="282">
        <f t="shared" si="0"/>
        <v>906.25289408772801</v>
      </c>
      <c r="H9" s="282">
        <f t="shared" si="0"/>
        <v>906.25289408772801</v>
      </c>
      <c r="I9" s="43"/>
      <c r="Q9" s="283">
        <v>7</v>
      </c>
      <c r="R9" s="282">
        <v>11000</v>
      </c>
      <c r="S9" s="282">
        <v>759.00452383037089</v>
      </c>
      <c r="T9" s="294">
        <f t="shared" si="1"/>
        <v>1060.7580504385696</v>
      </c>
      <c r="U9" s="294">
        <f t="shared" si="6"/>
        <v>834.90497621340808</v>
      </c>
      <c r="V9" s="294">
        <f t="shared" si="4"/>
        <v>759.00452383037089</v>
      </c>
      <c r="W9" s="294">
        <f t="shared" si="5"/>
        <v>759.00452383037089</v>
      </c>
    </row>
    <row r="10" spans="2:23" ht="15.75" thickBot="1" x14ac:dyDescent="0.35">
      <c r="B10" s="283">
        <v>8</v>
      </c>
      <c r="C10" s="282">
        <v>11500</v>
      </c>
      <c r="D10" s="282">
        <f t="shared" si="2"/>
        <v>929.7174389951565</v>
      </c>
      <c r="E10" s="282">
        <f t="shared" si="0"/>
        <v>1299.3404216753363</v>
      </c>
      <c r="F10" s="693">
        <f t="shared" si="3"/>
        <v>1299.3404216753363</v>
      </c>
      <c r="G10" s="282">
        <f t="shared" si="0"/>
        <v>929.7174389951565</v>
      </c>
      <c r="H10" s="282">
        <f t="shared" si="0"/>
        <v>929.7174389951565</v>
      </c>
      <c r="I10" s="43"/>
      <c r="J10" s="456"/>
      <c r="Q10" s="283">
        <v>8</v>
      </c>
      <c r="R10" s="282">
        <v>11500</v>
      </c>
      <c r="S10" s="282">
        <v>778.65653912383607</v>
      </c>
      <c r="T10" s="294">
        <f t="shared" si="1"/>
        <v>1088.2230164241266</v>
      </c>
      <c r="U10" s="294">
        <f t="shared" si="6"/>
        <v>856.52219303621973</v>
      </c>
      <c r="V10" s="294">
        <f t="shared" si="4"/>
        <v>778.65653912383607</v>
      </c>
      <c r="W10" s="294">
        <f t="shared" si="5"/>
        <v>778.65653912383607</v>
      </c>
    </row>
    <row r="11" spans="2:23" ht="15.75" thickBot="1" x14ac:dyDescent="0.35">
      <c r="B11" s="283">
        <v>9</v>
      </c>
      <c r="C11" s="282">
        <v>12000</v>
      </c>
      <c r="D11" s="282">
        <f t="shared" si="2"/>
        <v>953.9554036161544</v>
      </c>
      <c r="E11" s="282">
        <f t="shared" si="0"/>
        <v>1333.2145492868797</v>
      </c>
      <c r="F11" s="693">
        <f t="shared" si="3"/>
        <v>1333.2145492868797</v>
      </c>
      <c r="G11" s="282">
        <f t="shared" si="0"/>
        <v>953.9554036161544</v>
      </c>
      <c r="H11" s="282">
        <f t="shared" si="0"/>
        <v>953.9554036161544</v>
      </c>
      <c r="I11" s="43"/>
      <c r="Q11" s="283">
        <v>9</v>
      </c>
      <c r="R11" s="282">
        <v>12000</v>
      </c>
      <c r="S11" s="282">
        <v>798.95630855441732</v>
      </c>
      <c r="T11" s="294">
        <f t="shared" si="1"/>
        <v>1116.5932608290839</v>
      </c>
      <c r="U11" s="294">
        <f t="shared" si="6"/>
        <v>878.85193940985914</v>
      </c>
      <c r="V11" s="294">
        <f t="shared" si="4"/>
        <v>798.95630855441732</v>
      </c>
      <c r="W11" s="294">
        <f t="shared" si="5"/>
        <v>798.95630855441732</v>
      </c>
    </row>
    <row r="12" spans="2:23" ht="15.75" thickBot="1" x14ac:dyDescent="0.35">
      <c r="B12" s="283">
        <v>10</v>
      </c>
      <c r="C12" s="282">
        <v>12500</v>
      </c>
      <c r="D12" s="282">
        <f t="shared" si="2"/>
        <v>977.44444676899343</v>
      </c>
      <c r="E12" s="282">
        <f t="shared" si="0"/>
        <v>1366.042010572264</v>
      </c>
      <c r="F12" s="693">
        <f t="shared" si="3"/>
        <v>1366.042010572264</v>
      </c>
      <c r="G12" s="282">
        <f t="shared" si="0"/>
        <v>977.44444676899343</v>
      </c>
      <c r="H12" s="282">
        <f t="shared" si="0"/>
        <v>977.44444676899343</v>
      </c>
      <c r="I12" s="43"/>
      <c r="Q12" s="283">
        <v>10</v>
      </c>
      <c r="R12" s="282">
        <v>12500</v>
      </c>
      <c r="S12" s="282">
        <v>818.62884160756505</v>
      </c>
      <c r="T12" s="294">
        <f t="shared" si="1"/>
        <v>1144.0869017145617</v>
      </c>
      <c r="U12" s="294">
        <f t="shared" si="6"/>
        <v>900.49172576832166</v>
      </c>
      <c r="V12" s="294">
        <f t="shared" si="4"/>
        <v>818.62884160756505</v>
      </c>
      <c r="W12" s="294">
        <f t="shared" si="5"/>
        <v>818.62884160756505</v>
      </c>
    </row>
    <row r="13" spans="2:23" ht="15.75" thickBot="1" x14ac:dyDescent="0.35">
      <c r="B13" s="283">
        <v>11</v>
      </c>
      <c r="C13" s="282">
        <v>13000</v>
      </c>
      <c r="D13" s="282">
        <f t="shared" si="2"/>
        <v>998.23694051947257</v>
      </c>
      <c r="E13" s="282">
        <f t="shared" si="0"/>
        <v>1395.1008691719574</v>
      </c>
      <c r="F13" s="693">
        <f t="shared" si="3"/>
        <v>1395.1008691719574</v>
      </c>
      <c r="G13" s="282">
        <f t="shared" si="0"/>
        <v>998.23694051947257</v>
      </c>
      <c r="H13" s="282">
        <f t="shared" si="0"/>
        <v>998.23694051947257</v>
      </c>
      <c r="I13" s="43"/>
      <c r="Q13" s="283">
        <v>11</v>
      </c>
      <c r="R13" s="282">
        <v>13000</v>
      </c>
      <c r="S13" s="282">
        <v>836.04296179552296</v>
      </c>
      <c r="T13" s="294">
        <f t="shared" si="1"/>
        <v>1168.4242641422059</v>
      </c>
      <c r="U13" s="294">
        <f t="shared" si="6"/>
        <v>919.64725797507538</v>
      </c>
      <c r="V13" s="294">
        <f t="shared" si="4"/>
        <v>836.04296179552296</v>
      </c>
      <c r="W13" s="294">
        <f t="shared" si="5"/>
        <v>836.04296179552296</v>
      </c>
    </row>
    <row r="14" spans="2:23" ht="15.75" thickBot="1" x14ac:dyDescent="0.35">
      <c r="B14" s="283">
        <v>12</v>
      </c>
      <c r="C14" s="282">
        <v>13500</v>
      </c>
      <c r="D14" s="282">
        <f t="shared" si="2"/>
        <v>1014.9870495365096</v>
      </c>
      <c r="E14" s="282">
        <f t="shared" si="0"/>
        <v>1418.5102329210417</v>
      </c>
      <c r="F14" s="693">
        <f t="shared" si="3"/>
        <v>1418.5102329210417</v>
      </c>
      <c r="G14" s="282">
        <f t="shared" si="0"/>
        <v>1014.9870495365096</v>
      </c>
      <c r="H14" s="282">
        <f t="shared" si="0"/>
        <v>1014.9870495365096</v>
      </c>
      <c r="I14" s="43"/>
      <c r="Q14" s="283">
        <v>12</v>
      </c>
      <c r="R14" s="282">
        <v>13500</v>
      </c>
      <c r="S14" s="282">
        <v>850.07150570586361</v>
      </c>
      <c r="T14" s="294">
        <f t="shared" si="1"/>
        <v>1188.0300641362919</v>
      </c>
      <c r="U14" s="294">
        <f t="shared" si="6"/>
        <v>935.07865627645003</v>
      </c>
      <c r="V14" s="294">
        <f t="shared" si="4"/>
        <v>850.07150570586361</v>
      </c>
      <c r="W14" s="294">
        <f t="shared" si="5"/>
        <v>850.07150570586361</v>
      </c>
    </row>
    <row r="15" spans="2:23" ht="15.75" thickBot="1" x14ac:dyDescent="0.35">
      <c r="B15" s="283">
        <v>13</v>
      </c>
      <c r="C15" s="282">
        <v>14000</v>
      </c>
      <c r="D15" s="282">
        <f t="shared" si="2"/>
        <v>1027.9521273654186</v>
      </c>
      <c r="E15" s="282">
        <f t="shared" si="0"/>
        <v>1436.6297700908244</v>
      </c>
      <c r="F15" s="693">
        <f t="shared" si="3"/>
        <v>1436.6297700908244</v>
      </c>
      <c r="G15" s="282">
        <f t="shared" si="0"/>
        <v>1027.9521273654186</v>
      </c>
      <c r="H15" s="282">
        <f t="shared" si="0"/>
        <v>1027.9521273654186</v>
      </c>
      <c r="I15" s="43"/>
      <c r="Q15" s="283">
        <v>13</v>
      </c>
      <c r="R15" s="282">
        <v>14000</v>
      </c>
      <c r="S15" s="282">
        <v>860.93001196626085</v>
      </c>
      <c r="T15" s="282">
        <f t="shared" si="1"/>
        <v>1203.2055309086456</v>
      </c>
      <c r="U15" s="294">
        <f t="shared" si="6"/>
        <v>947.02301316288697</v>
      </c>
      <c r="V15" s="294">
        <f t="shared" si="4"/>
        <v>860.93001196626085</v>
      </c>
      <c r="W15" s="294">
        <f t="shared" si="5"/>
        <v>860.93001196626085</v>
      </c>
    </row>
    <row r="16" spans="2:23" ht="15.75" thickBot="1" x14ac:dyDescent="0.35">
      <c r="B16" s="283">
        <v>14</v>
      </c>
      <c r="C16" s="282">
        <v>14500</v>
      </c>
      <c r="D16" s="282">
        <f t="shared" si="2"/>
        <v>1038.3860102364524</v>
      </c>
      <c r="E16" s="282">
        <f t="shared" si="0"/>
        <v>1451.2117981358324</v>
      </c>
      <c r="F16" s="693">
        <f t="shared" si="3"/>
        <v>1451.2117981358324</v>
      </c>
      <c r="G16" s="282">
        <f t="shared" si="0"/>
        <v>1038.3860102364524</v>
      </c>
      <c r="H16" s="282">
        <f t="shared" si="0"/>
        <v>1038.3860102364524</v>
      </c>
      <c r="I16" s="43"/>
      <c r="Q16" s="283">
        <v>14</v>
      </c>
      <c r="R16" s="282">
        <v>14500</v>
      </c>
      <c r="S16" s="282">
        <v>869.6685929428246</v>
      </c>
      <c r="T16" s="282">
        <v>1215.4182646002976</v>
      </c>
      <c r="U16" s="294">
        <f t="shared" si="6"/>
        <v>956.63545223710719</v>
      </c>
      <c r="V16" s="294">
        <f t="shared" si="4"/>
        <v>869.6685929428246</v>
      </c>
      <c r="W16" s="294">
        <f t="shared" si="5"/>
        <v>869.6685929428246</v>
      </c>
    </row>
    <row r="17" spans="2:23" ht="15.75" thickBot="1" x14ac:dyDescent="0.35">
      <c r="B17" s="283">
        <v>15</v>
      </c>
      <c r="C17" s="282">
        <v>15000</v>
      </c>
      <c r="D17" s="282">
        <f t="shared" si="2"/>
        <v>1048.2914209998769</v>
      </c>
      <c r="E17" s="282">
        <f t="shared" si="0"/>
        <v>1449.2563642173182</v>
      </c>
      <c r="F17" s="693">
        <f t="shared" si="3"/>
        <v>1449.2563642173182</v>
      </c>
      <c r="G17" s="282">
        <f t="shared" si="0"/>
        <v>1048.2914209998769</v>
      </c>
      <c r="H17" s="282">
        <f t="shared" si="0"/>
        <v>1048.2914209998769</v>
      </c>
      <c r="I17" s="43"/>
      <c r="Q17" s="283">
        <v>15</v>
      </c>
      <c r="R17" s="282">
        <v>15000</v>
      </c>
      <c r="S17" s="282">
        <v>877.96456819309458</v>
      </c>
      <c r="T17" s="282">
        <v>1213.780550448005</v>
      </c>
      <c r="U17" s="294">
        <f t="shared" si="6"/>
        <v>965.76102501240416</v>
      </c>
      <c r="V17" s="294">
        <f t="shared" si="4"/>
        <v>877.96456819309458</v>
      </c>
      <c r="W17" s="294">
        <f t="shared" si="5"/>
        <v>877.96456819309458</v>
      </c>
    </row>
    <row r="18" spans="2:23" ht="15.75" thickBot="1" x14ac:dyDescent="0.35">
      <c r="B18" s="283">
        <v>16</v>
      </c>
      <c r="C18" s="282">
        <v>15500</v>
      </c>
      <c r="D18" s="282">
        <f t="shared" si="2"/>
        <v>1059.4139032013659</v>
      </c>
      <c r="E18" s="282">
        <f t="shared" si="0"/>
        <v>1450.8018794149748</v>
      </c>
      <c r="F18" s="693">
        <f t="shared" si="3"/>
        <v>1450.8018794149748</v>
      </c>
      <c r="G18" s="282">
        <f t="shared" si="0"/>
        <v>1059.4139032013659</v>
      </c>
      <c r="H18" s="282">
        <f t="shared" si="0"/>
        <v>1059.4139032013659</v>
      </c>
      <c r="I18" s="43"/>
      <c r="Q18" s="283">
        <v>16</v>
      </c>
      <c r="R18" s="282">
        <v>15500</v>
      </c>
      <c r="S18" s="282">
        <v>887.27986457694885</v>
      </c>
      <c r="T18" s="282">
        <v>1215.0749496541457</v>
      </c>
      <c r="U18" s="294">
        <f t="shared" si="6"/>
        <v>976.00785103464386</v>
      </c>
      <c r="V18" s="294">
        <f t="shared" si="4"/>
        <v>887.27986457694885</v>
      </c>
      <c r="W18" s="294">
        <f t="shared" si="5"/>
        <v>887.27986457694885</v>
      </c>
    </row>
    <row r="19" spans="2:23" ht="15.75" thickBot="1" x14ac:dyDescent="0.35">
      <c r="B19" s="283">
        <v>17</v>
      </c>
      <c r="C19" s="282">
        <v>16000</v>
      </c>
      <c r="D19" s="282">
        <f t="shared" si="2"/>
        <v>1072.8468173668823</v>
      </c>
      <c r="E19" s="282">
        <f t="shared" ref="E19:E49" si="7">T19*$J$7</f>
        <v>1455.6116899811743</v>
      </c>
      <c r="F19" s="693">
        <f t="shared" si="3"/>
        <v>1455.6116899811743</v>
      </c>
      <c r="G19" s="282">
        <f t="shared" ref="G19:G49" si="8">V19*$J$7</f>
        <v>1072.8468173668823</v>
      </c>
      <c r="H19" s="282">
        <f t="shared" ref="H19:H49" si="9">W19*$J$7</f>
        <v>1072.8468173668823</v>
      </c>
      <c r="I19" s="43"/>
      <c r="Q19" s="283">
        <v>17</v>
      </c>
      <c r="R19" s="282">
        <v>16000</v>
      </c>
      <c r="S19" s="282">
        <v>898.53019291947567</v>
      </c>
      <c r="T19" s="282">
        <v>1219.1032600764672</v>
      </c>
      <c r="U19" s="294">
        <f t="shared" si="6"/>
        <v>988.38321221142337</v>
      </c>
      <c r="V19" s="294">
        <f t="shared" si="4"/>
        <v>898.53019291947567</v>
      </c>
      <c r="W19" s="294">
        <f t="shared" si="5"/>
        <v>898.53019291947567</v>
      </c>
    </row>
    <row r="20" spans="2:23" ht="15.75" thickBot="1" x14ac:dyDescent="0.35">
      <c r="B20" s="283">
        <v>18</v>
      </c>
      <c r="C20" s="282">
        <v>16500</v>
      </c>
      <c r="D20" s="282">
        <f t="shared" si="2"/>
        <v>1088.3186964526897</v>
      </c>
      <c r="E20" s="282">
        <f t="shared" si="7"/>
        <v>1462.557761486421</v>
      </c>
      <c r="F20" s="693">
        <f t="shared" si="3"/>
        <v>1462.557761486421</v>
      </c>
      <c r="G20" s="282">
        <f t="shared" si="8"/>
        <v>1088.3186964526897</v>
      </c>
      <c r="H20" s="282">
        <f t="shared" si="9"/>
        <v>1088.3186964526897</v>
      </c>
      <c r="I20" s="43"/>
      <c r="Q20" s="283">
        <v>18</v>
      </c>
      <c r="R20" s="282">
        <v>16500</v>
      </c>
      <c r="S20" s="282">
        <v>911.48819426203181</v>
      </c>
      <c r="T20" s="282">
        <v>1224.9207308174998</v>
      </c>
      <c r="U20" s="294">
        <f t="shared" si="6"/>
        <v>1002.6370136882351</v>
      </c>
      <c r="V20" s="294">
        <f t="shared" si="4"/>
        <v>911.48819426203181</v>
      </c>
      <c r="W20" s="294">
        <f t="shared" si="5"/>
        <v>911.48819426203181</v>
      </c>
    </row>
    <row r="21" spans="2:23" ht="15.75" thickBot="1" x14ac:dyDescent="0.35">
      <c r="B21" s="283">
        <v>19</v>
      </c>
      <c r="C21" s="282">
        <v>17000</v>
      </c>
      <c r="D21" s="282">
        <f t="shared" si="2"/>
        <v>1104.6272794820309</v>
      </c>
      <c r="E21" s="282">
        <f t="shared" si="7"/>
        <v>1470.6222841814936</v>
      </c>
      <c r="F21" s="693">
        <f t="shared" si="3"/>
        <v>1470.6222841814936</v>
      </c>
      <c r="G21" s="282">
        <f t="shared" si="8"/>
        <v>1104.6272794820309</v>
      </c>
      <c r="H21" s="282">
        <f t="shared" si="9"/>
        <v>1104.6272794820309</v>
      </c>
      <c r="I21" s="43"/>
      <c r="Q21" s="283">
        <v>19</v>
      </c>
      <c r="R21" s="282">
        <v>17000</v>
      </c>
      <c r="S21" s="282">
        <v>925.14695152205002</v>
      </c>
      <c r="T21" s="282">
        <v>1231.6749263053437</v>
      </c>
      <c r="U21" s="294">
        <f t="shared" si="6"/>
        <v>1017.6616466742551</v>
      </c>
      <c r="V21" s="294">
        <f t="shared" si="4"/>
        <v>925.14695152205002</v>
      </c>
      <c r="W21" s="294">
        <f t="shared" si="5"/>
        <v>925.14695152205002</v>
      </c>
    </row>
    <row r="22" spans="2:23" ht="15.75" thickBot="1" x14ac:dyDescent="0.35">
      <c r="B22" s="283">
        <v>20</v>
      </c>
      <c r="C22" s="282">
        <v>17500</v>
      </c>
      <c r="D22" s="282">
        <f t="shared" si="2"/>
        <v>1120.1371430450747</v>
      </c>
      <c r="E22" s="282">
        <f t="shared" si="7"/>
        <v>1479.326549108778</v>
      </c>
      <c r="F22" s="693">
        <f t="shared" si="3"/>
        <v>1479.326549108778</v>
      </c>
      <c r="G22" s="282">
        <f t="shared" si="8"/>
        <v>1120.1371430450747</v>
      </c>
      <c r="H22" s="282">
        <f t="shared" si="9"/>
        <v>1120.1371430450747</v>
      </c>
      <c r="I22" s="43"/>
      <c r="Q22" s="283">
        <v>20</v>
      </c>
      <c r="R22" s="282">
        <v>17500</v>
      </c>
      <c r="S22" s="282">
        <v>938.13676560721478</v>
      </c>
      <c r="T22" s="282">
        <v>1238.9649184251232</v>
      </c>
      <c r="U22" s="294">
        <f t="shared" si="6"/>
        <v>1031.9504421679364</v>
      </c>
      <c r="V22" s="294">
        <f t="shared" si="4"/>
        <v>938.13676560721478</v>
      </c>
      <c r="W22" s="294">
        <f t="shared" si="5"/>
        <v>938.13676560721478</v>
      </c>
    </row>
    <row r="23" spans="2:23" ht="15.75" thickBot="1" x14ac:dyDescent="0.35">
      <c r="B23" s="283">
        <v>21</v>
      </c>
      <c r="C23" s="282">
        <v>18000</v>
      </c>
      <c r="D23" s="282">
        <f t="shared" si="2"/>
        <v>1134.0570600265385</v>
      </c>
      <c r="E23" s="282">
        <f t="shared" si="7"/>
        <v>1488.973038160397</v>
      </c>
      <c r="F23" s="693">
        <f t="shared" si="3"/>
        <v>1488.973038160397</v>
      </c>
      <c r="G23" s="282">
        <f t="shared" si="8"/>
        <v>1134.0570600265385</v>
      </c>
      <c r="H23" s="282">
        <f t="shared" si="9"/>
        <v>1134.0570600265385</v>
      </c>
      <c r="I23" s="43"/>
      <c r="Q23" s="283">
        <v>21</v>
      </c>
      <c r="R23" s="282">
        <v>18000</v>
      </c>
      <c r="S23" s="282">
        <v>949.79496833318751</v>
      </c>
      <c r="T23" s="282">
        <v>1247.0440416776114</v>
      </c>
      <c r="U23" s="294">
        <f t="shared" si="6"/>
        <v>1044.7744651665064</v>
      </c>
      <c r="V23" s="294">
        <f t="shared" si="4"/>
        <v>949.79496833318751</v>
      </c>
      <c r="W23" s="294">
        <f t="shared" si="5"/>
        <v>949.79496833318751</v>
      </c>
    </row>
    <row r="24" spans="2:23" ht="15.75" thickBot="1" x14ac:dyDescent="0.35">
      <c r="B24" s="283">
        <v>22</v>
      </c>
      <c r="C24" s="282">
        <v>18500</v>
      </c>
      <c r="D24" s="282">
        <f t="shared" si="2"/>
        <v>1146.8170565265141</v>
      </c>
      <c r="E24" s="282">
        <f t="shared" si="7"/>
        <v>1500.4086309380061</v>
      </c>
      <c r="F24" s="693">
        <f t="shared" si="3"/>
        <v>1500.4086309380061</v>
      </c>
      <c r="G24" s="282">
        <f t="shared" si="8"/>
        <v>1146.8170565265141</v>
      </c>
      <c r="H24" s="282">
        <f t="shared" si="9"/>
        <v>1146.8170565265141</v>
      </c>
      <c r="I24" s="43"/>
      <c r="Q24" s="283">
        <v>22</v>
      </c>
      <c r="R24" s="282">
        <v>18500</v>
      </c>
      <c r="S24" s="282">
        <v>960.48171496950079</v>
      </c>
      <c r="T24" s="282">
        <v>1256.6215742929689</v>
      </c>
      <c r="U24" s="294">
        <f t="shared" si="6"/>
        <v>1056.529886466451</v>
      </c>
      <c r="V24" s="294">
        <f t="shared" si="4"/>
        <v>960.48171496950079</v>
      </c>
      <c r="W24" s="294">
        <f t="shared" si="5"/>
        <v>960.48171496950079</v>
      </c>
    </row>
    <row r="25" spans="2:23" ht="15.75" thickBot="1" x14ac:dyDescent="0.35">
      <c r="B25" s="283">
        <v>23</v>
      </c>
      <c r="C25" s="282">
        <v>19000</v>
      </c>
      <c r="D25" s="282">
        <f t="shared" si="2"/>
        <v>1160.0610937501749</v>
      </c>
      <c r="E25" s="282">
        <f t="shared" si="7"/>
        <v>1514.8767092285827</v>
      </c>
      <c r="F25" s="693">
        <f t="shared" si="3"/>
        <v>1514.8767092285827</v>
      </c>
      <c r="G25" s="282">
        <f t="shared" si="8"/>
        <v>1160.0610937501749</v>
      </c>
      <c r="H25" s="282">
        <f t="shared" si="9"/>
        <v>1160.0610937501749</v>
      </c>
      <c r="I25" s="43"/>
      <c r="Q25" s="283">
        <v>23</v>
      </c>
      <c r="R25" s="282">
        <v>19000</v>
      </c>
      <c r="S25" s="282">
        <v>971.57385517905607</v>
      </c>
      <c r="T25" s="282">
        <v>1268.7388728365877</v>
      </c>
      <c r="U25" s="294">
        <f t="shared" si="6"/>
        <v>1068.7312406969618</v>
      </c>
      <c r="V25" s="294">
        <f t="shared" si="4"/>
        <v>971.57385517905607</v>
      </c>
      <c r="W25" s="294">
        <f t="shared" si="5"/>
        <v>971.57385517905607</v>
      </c>
    </row>
    <row r="26" spans="2:23" ht="15.75" thickBot="1" x14ac:dyDescent="0.35">
      <c r="B26" s="283">
        <v>24</v>
      </c>
      <c r="C26" s="282">
        <v>19500</v>
      </c>
      <c r="D26" s="282">
        <f t="shared" si="2"/>
        <v>1175.4118755347004</v>
      </c>
      <c r="E26" s="282">
        <f t="shared" si="7"/>
        <v>1533.318695649142</v>
      </c>
      <c r="F26" s="693">
        <f t="shared" si="3"/>
        <v>1533.318695649142</v>
      </c>
      <c r="G26" s="282">
        <f t="shared" si="8"/>
        <v>1175.4118755347004</v>
      </c>
      <c r="H26" s="282">
        <f t="shared" si="9"/>
        <v>1175.4118755347004</v>
      </c>
      <c r="I26" s="43"/>
      <c r="Q26" s="283">
        <v>24</v>
      </c>
      <c r="R26" s="282">
        <v>19500</v>
      </c>
      <c r="S26" s="282">
        <v>984.43043516329578</v>
      </c>
      <c r="T26" s="282">
        <v>1284.1843971631206</v>
      </c>
      <c r="U26" s="294">
        <f t="shared" si="6"/>
        <v>1082.8734786796254</v>
      </c>
      <c r="V26" s="294">
        <f t="shared" si="4"/>
        <v>984.43043516329578</v>
      </c>
      <c r="W26" s="294">
        <f t="shared" si="5"/>
        <v>984.43043516329578</v>
      </c>
    </row>
    <row r="27" spans="2:23" ht="15.75" thickBot="1" x14ac:dyDescent="0.35">
      <c r="B27" s="283">
        <v>25</v>
      </c>
      <c r="C27" s="282">
        <v>20000</v>
      </c>
      <c r="D27" s="282">
        <f t="shared" si="2"/>
        <v>1193.7672643167889</v>
      </c>
      <c r="E27" s="282">
        <f t="shared" si="7"/>
        <v>1556.0602461077365</v>
      </c>
      <c r="F27" s="693">
        <f t="shared" si="3"/>
        <v>1556.0602461077365</v>
      </c>
      <c r="G27" s="282">
        <f t="shared" si="8"/>
        <v>1193.7672643167889</v>
      </c>
      <c r="H27" s="282">
        <f t="shared" si="9"/>
        <v>1193.7672643167889</v>
      </c>
      <c r="I27" s="43"/>
      <c r="Q27" s="283">
        <v>25</v>
      </c>
      <c r="R27" s="282">
        <v>20000</v>
      </c>
      <c r="S27" s="282">
        <v>999.80343227388141</v>
      </c>
      <c r="T27" s="282">
        <v>1303.2308904649328</v>
      </c>
      <c r="U27" s="294">
        <f t="shared" si="6"/>
        <v>1099.7837755012697</v>
      </c>
      <c r="V27" s="294">
        <f t="shared" si="4"/>
        <v>999.80343227388141</v>
      </c>
      <c r="W27" s="294">
        <f t="shared" si="5"/>
        <v>999.80343227388141</v>
      </c>
    </row>
    <row r="28" spans="2:23" ht="15.75" thickBot="1" x14ac:dyDescent="0.35">
      <c r="B28" s="283">
        <v>26</v>
      </c>
      <c r="C28" s="282">
        <v>21000</v>
      </c>
      <c r="D28" s="282">
        <f t="shared" si="2"/>
        <v>1215.3004553733826</v>
      </c>
      <c r="E28" s="282">
        <f t="shared" si="7"/>
        <v>1583.069126070932</v>
      </c>
      <c r="F28" s="693">
        <f t="shared" si="3"/>
        <v>1583.069126070932</v>
      </c>
      <c r="G28" s="282">
        <f t="shared" si="8"/>
        <v>1215.3004553733826</v>
      </c>
      <c r="H28" s="282">
        <f t="shared" si="9"/>
        <v>1215.3004553733826</v>
      </c>
      <c r="I28" s="43"/>
      <c r="Q28" s="283">
        <v>26</v>
      </c>
      <c r="R28" s="282">
        <v>21000</v>
      </c>
      <c r="S28" s="282">
        <v>1017.8379009427077</v>
      </c>
      <c r="T28" s="282">
        <v>1325.8513556898113</v>
      </c>
      <c r="U28" s="294">
        <f t="shared" si="6"/>
        <v>1119.6216910369785</v>
      </c>
      <c r="V28" s="294">
        <f t="shared" si="4"/>
        <v>1017.8379009427077</v>
      </c>
      <c r="W28" s="294">
        <f t="shared" si="5"/>
        <v>1017.8379009427077</v>
      </c>
    </row>
    <row r="29" spans="2:23" ht="15.75" thickBot="1" x14ac:dyDescent="0.35">
      <c r="B29" s="283">
        <v>27</v>
      </c>
      <c r="C29" s="282">
        <v>22000</v>
      </c>
      <c r="D29" s="282">
        <f t="shared" si="2"/>
        <v>1240.2278556802976</v>
      </c>
      <c r="E29" s="282">
        <f t="shared" si="7"/>
        <v>1614.5782953830642</v>
      </c>
      <c r="F29" s="693">
        <f t="shared" si="3"/>
        <v>1614.5782953830642</v>
      </c>
      <c r="G29" s="282">
        <f t="shared" si="8"/>
        <v>1240.2278556802976</v>
      </c>
      <c r="H29" s="282">
        <f t="shared" si="9"/>
        <v>1240.2278556802976</v>
      </c>
      <c r="I29" s="43"/>
      <c r="Q29" s="283">
        <v>27</v>
      </c>
      <c r="R29" s="282">
        <v>22000</v>
      </c>
      <c r="S29" s="282">
        <v>1038.715086244637</v>
      </c>
      <c r="T29" s="282">
        <v>1352.2409012637538</v>
      </c>
      <c r="U29" s="294">
        <f t="shared" si="6"/>
        <v>1142.5865948691007</v>
      </c>
      <c r="V29" s="294">
        <f t="shared" si="4"/>
        <v>1038.715086244637</v>
      </c>
      <c r="W29" s="294">
        <f t="shared" si="5"/>
        <v>1038.715086244637</v>
      </c>
    </row>
    <row r="30" spans="2:23" ht="15.75" thickBot="1" x14ac:dyDescent="0.35">
      <c r="B30" s="283">
        <v>28</v>
      </c>
      <c r="C30" s="282">
        <v>23000</v>
      </c>
      <c r="D30" s="282">
        <f t="shared" si="2"/>
        <v>1268.8054248570786</v>
      </c>
      <c r="E30" s="282">
        <f t="shared" si="7"/>
        <v>1650.845630311612</v>
      </c>
      <c r="F30" s="693">
        <f t="shared" si="3"/>
        <v>1650.845630311612</v>
      </c>
      <c r="G30" s="282">
        <f t="shared" si="8"/>
        <v>1268.8054248570786</v>
      </c>
      <c r="H30" s="282">
        <f t="shared" si="9"/>
        <v>1268.8054248570786</v>
      </c>
      <c r="I30" s="43"/>
      <c r="Q30" s="283">
        <v>28</v>
      </c>
      <c r="R30" s="282">
        <v>23000</v>
      </c>
      <c r="S30" s="282">
        <v>1062.6493593672476</v>
      </c>
      <c r="T30" s="282">
        <v>1382.6155036044711</v>
      </c>
      <c r="U30" s="294">
        <f t="shared" si="6"/>
        <v>1168.9142953039725</v>
      </c>
      <c r="V30" s="294">
        <f t="shared" si="4"/>
        <v>1062.6493593672476</v>
      </c>
      <c r="W30" s="294">
        <f t="shared" si="5"/>
        <v>1062.6493593672476</v>
      </c>
    </row>
    <row r="31" spans="2:23" ht="15.75" thickBot="1" x14ac:dyDescent="0.35">
      <c r="B31" s="283">
        <v>29</v>
      </c>
      <c r="C31" s="282">
        <v>24000</v>
      </c>
      <c r="D31" s="282">
        <f t="shared" si="2"/>
        <v>1300.1630047417068</v>
      </c>
      <c r="E31" s="282">
        <f t="shared" si="7"/>
        <v>1690.7113846158084</v>
      </c>
      <c r="F31" s="693">
        <f t="shared" si="3"/>
        <v>1690.7113846158084</v>
      </c>
      <c r="G31" s="282">
        <f t="shared" si="8"/>
        <v>1300.1630047417068</v>
      </c>
      <c r="H31" s="282">
        <f t="shared" si="9"/>
        <v>1300.1630047417068</v>
      </c>
      <c r="I31" s="43"/>
      <c r="Q31" s="283">
        <v>29</v>
      </c>
      <c r="R31" s="282">
        <v>24000</v>
      </c>
      <c r="S31" s="282">
        <v>1088.9119458307796</v>
      </c>
      <c r="T31" s="282">
        <v>1416.0038525523157</v>
      </c>
      <c r="U31" s="294">
        <f t="shared" si="6"/>
        <v>1197.8031404138576</v>
      </c>
      <c r="V31" s="294">
        <f t="shared" si="4"/>
        <v>1088.9119458307796</v>
      </c>
      <c r="W31" s="294">
        <f t="shared" si="5"/>
        <v>1088.9119458307796</v>
      </c>
    </row>
    <row r="32" spans="2:23" ht="15.75" thickBot="1" x14ac:dyDescent="0.35">
      <c r="B32" s="283">
        <v>30</v>
      </c>
      <c r="C32" s="282">
        <v>25000</v>
      </c>
      <c r="D32" s="282">
        <f t="shared" si="2"/>
        <v>1331.8669751802181</v>
      </c>
      <c r="E32" s="282">
        <f t="shared" si="7"/>
        <v>1731.3115635601532</v>
      </c>
      <c r="F32" s="693">
        <f t="shared" si="3"/>
        <v>1731.3115635601532</v>
      </c>
      <c r="G32" s="282">
        <f t="shared" si="8"/>
        <v>1331.8669751802181</v>
      </c>
      <c r="H32" s="282">
        <f t="shared" si="9"/>
        <v>1331.8669751802181</v>
      </c>
      <c r="I32" s="43"/>
      <c r="Q32" s="283">
        <v>30</v>
      </c>
      <c r="R32" s="282">
        <v>25000</v>
      </c>
      <c r="S32" s="282">
        <v>1115.4646411581007</v>
      </c>
      <c r="T32" s="282">
        <v>1450.0072965005977</v>
      </c>
      <c r="U32" s="294">
        <f t="shared" si="6"/>
        <v>1227.0111052739107</v>
      </c>
      <c r="V32" s="294">
        <f t="shared" si="4"/>
        <v>1115.4646411581007</v>
      </c>
      <c r="W32" s="294">
        <f t="shared" si="5"/>
        <v>1115.4646411581007</v>
      </c>
    </row>
    <row r="33" spans="2:23" ht="15.75" thickBot="1" x14ac:dyDescent="0.35">
      <c r="B33" s="283">
        <v>31</v>
      </c>
      <c r="C33" s="282">
        <v>26000</v>
      </c>
      <c r="D33" s="282">
        <f t="shared" si="2"/>
        <v>1361.1772265899351</v>
      </c>
      <c r="E33" s="282">
        <f t="shared" si="7"/>
        <v>1769.7323395628659</v>
      </c>
      <c r="F33" s="693">
        <f t="shared" si="3"/>
        <v>1769.7323395628659</v>
      </c>
      <c r="G33" s="282">
        <f t="shared" si="8"/>
        <v>1361.1772265899351</v>
      </c>
      <c r="H33" s="282">
        <f t="shared" si="9"/>
        <v>1361.1772265899351</v>
      </c>
      <c r="I33" s="43"/>
      <c r="Q33" s="283">
        <v>31</v>
      </c>
      <c r="R33" s="282">
        <v>26000</v>
      </c>
      <c r="S33" s="282">
        <v>1140.0125499810292</v>
      </c>
      <c r="T33" s="282">
        <v>1482.1854478592065</v>
      </c>
      <c r="U33" s="294">
        <f t="shared" si="6"/>
        <v>1254.0138049791321</v>
      </c>
      <c r="V33" s="294">
        <f t="shared" si="4"/>
        <v>1140.0125499810292</v>
      </c>
      <c r="W33" s="294">
        <f t="shared" si="5"/>
        <v>1140.0125499810292</v>
      </c>
    </row>
    <row r="34" spans="2:23" ht="15.75" thickBot="1" x14ac:dyDescent="0.35">
      <c r="B34" s="283">
        <v>32</v>
      </c>
      <c r="C34" s="282">
        <v>27000</v>
      </c>
      <c r="D34" s="282">
        <f t="shared" si="2"/>
        <v>1387.6870811274157</v>
      </c>
      <c r="E34" s="282">
        <f t="shared" si="7"/>
        <v>1806.0678026134296</v>
      </c>
      <c r="F34" s="693">
        <f t="shared" si="3"/>
        <v>1806.0678026134296</v>
      </c>
      <c r="G34" s="282">
        <f t="shared" si="8"/>
        <v>1387.6870811274157</v>
      </c>
      <c r="H34" s="282">
        <f t="shared" si="9"/>
        <v>1387.6870811274157</v>
      </c>
      <c r="I34" s="43"/>
      <c r="Q34" s="283">
        <v>32</v>
      </c>
      <c r="R34" s="282">
        <v>27000</v>
      </c>
      <c r="S34" s="282">
        <v>1162.215071651636</v>
      </c>
      <c r="T34" s="282">
        <v>1512.6171088346025</v>
      </c>
      <c r="U34" s="294">
        <f t="shared" si="6"/>
        <v>1278.4365788167997</v>
      </c>
      <c r="V34" s="294">
        <f t="shared" si="4"/>
        <v>1162.215071651636</v>
      </c>
      <c r="W34" s="294">
        <f t="shared" si="5"/>
        <v>1162.215071651636</v>
      </c>
    </row>
    <row r="35" spans="2:23" ht="15.75" thickBot="1" x14ac:dyDescent="0.35">
      <c r="B35" s="283">
        <v>33</v>
      </c>
      <c r="C35" s="282">
        <v>28000</v>
      </c>
      <c r="D35" s="282">
        <f t="shared" si="2"/>
        <v>1414.0606794208641</v>
      </c>
      <c r="E35" s="282">
        <f t="shared" si="7"/>
        <v>1843.9263038086065</v>
      </c>
      <c r="F35" s="693">
        <f t="shared" si="3"/>
        <v>1843.9263038086065</v>
      </c>
      <c r="G35" s="282">
        <f t="shared" si="8"/>
        <v>1414.0606794208641</v>
      </c>
      <c r="H35" s="282">
        <f t="shared" si="9"/>
        <v>1414.0606794208641</v>
      </c>
      <c r="I35" s="43"/>
      <c r="Q35" s="283">
        <v>33</v>
      </c>
      <c r="R35" s="282">
        <v>28000</v>
      </c>
      <c r="S35" s="282">
        <v>1184.3034760528853</v>
      </c>
      <c r="T35" s="282">
        <v>1544.3243440445958</v>
      </c>
      <c r="U35" s="294">
        <f t="shared" si="6"/>
        <v>1302.7338236581741</v>
      </c>
      <c r="V35" s="294">
        <f t="shared" si="4"/>
        <v>1184.3034760528853</v>
      </c>
      <c r="W35" s="294">
        <f t="shared" si="5"/>
        <v>1184.3034760528853</v>
      </c>
    </row>
    <row r="36" spans="2:23" ht="15.75" thickBot="1" x14ac:dyDescent="0.35">
      <c r="B36" s="283">
        <v>34</v>
      </c>
      <c r="C36" s="282">
        <v>29000</v>
      </c>
      <c r="D36" s="282">
        <f t="shared" si="2"/>
        <v>1444.5029727966662</v>
      </c>
      <c r="E36" s="282">
        <f t="shared" si="7"/>
        <v>1888.3984600609929</v>
      </c>
      <c r="F36" s="693">
        <f t="shared" si="3"/>
        <v>1888.3984600609929</v>
      </c>
      <c r="G36" s="282">
        <f t="shared" si="8"/>
        <v>1444.5029727966662</v>
      </c>
      <c r="H36" s="282">
        <f t="shared" si="9"/>
        <v>1444.5029727966662</v>
      </c>
      <c r="I36" s="43"/>
      <c r="Q36" s="283">
        <v>34</v>
      </c>
      <c r="R36" s="282">
        <v>29000</v>
      </c>
      <c r="S36" s="282">
        <v>1209.7994921635589</v>
      </c>
      <c r="T36" s="282">
        <v>1581.5706447187924</v>
      </c>
      <c r="U36" s="294">
        <f t="shared" si="6"/>
        <v>1330.7794413799149</v>
      </c>
      <c r="V36" s="294">
        <f t="shared" si="4"/>
        <v>1209.7994921635589</v>
      </c>
      <c r="W36" s="294">
        <f t="shared" si="5"/>
        <v>1209.7994921635589</v>
      </c>
    </row>
    <row r="37" spans="2:23" ht="15.75" thickBot="1" x14ac:dyDescent="0.35">
      <c r="B37" s="283">
        <v>35</v>
      </c>
      <c r="C37" s="282">
        <v>30000</v>
      </c>
      <c r="D37" s="282">
        <f t="shared" si="2"/>
        <v>1482.3025806280539</v>
      </c>
      <c r="E37" s="282">
        <f t="shared" si="7"/>
        <v>1943.0243201046126</v>
      </c>
      <c r="F37" s="693">
        <f t="shared" si="3"/>
        <v>1943.0243201046126</v>
      </c>
      <c r="G37" s="282">
        <f t="shared" si="8"/>
        <v>1482.3025806280539</v>
      </c>
      <c r="H37" s="282">
        <f t="shared" si="9"/>
        <v>1482.3025806280539</v>
      </c>
      <c r="I37" s="43"/>
      <c r="Q37" s="283">
        <v>35</v>
      </c>
      <c r="R37" s="282">
        <v>30000</v>
      </c>
      <c r="S37" s="282">
        <v>1241.4574030295073</v>
      </c>
      <c r="T37" s="282">
        <v>1627.3208709103112</v>
      </c>
      <c r="U37" s="294">
        <f t="shared" si="6"/>
        <v>1365.6031433324581</v>
      </c>
      <c r="V37" s="294">
        <f t="shared" si="4"/>
        <v>1241.4574030295073</v>
      </c>
      <c r="W37" s="294">
        <f t="shared" si="5"/>
        <v>1241.4574030295073</v>
      </c>
    </row>
    <row r="38" spans="2:23" ht="15.75" thickBot="1" x14ac:dyDescent="0.35">
      <c r="B38" s="283">
        <v>36</v>
      </c>
      <c r="C38" s="282">
        <v>32500</v>
      </c>
      <c r="D38" s="282">
        <f t="shared" si="2"/>
        <v>1528.5448483678126</v>
      </c>
      <c r="E38" s="282">
        <f t="shared" si="7"/>
        <v>2008.5729824831471</v>
      </c>
      <c r="F38" s="693">
        <f t="shared" si="3"/>
        <v>2008.5729824831471</v>
      </c>
      <c r="G38" s="282">
        <f t="shared" si="8"/>
        <v>1528.5448483678126</v>
      </c>
      <c r="H38" s="282">
        <f t="shared" si="9"/>
        <v>1528.5448483678126</v>
      </c>
      <c r="I38" s="43"/>
      <c r="Q38" s="283">
        <v>36</v>
      </c>
      <c r="R38" s="282">
        <v>32500</v>
      </c>
      <c r="S38" s="282">
        <v>1280.1862066952692</v>
      </c>
      <c r="T38" s="282">
        <v>1682.2191576919711</v>
      </c>
      <c r="U38" s="294">
        <f t="shared" si="6"/>
        <v>1408.2048273647963</v>
      </c>
      <c r="V38" s="294">
        <f t="shared" si="4"/>
        <v>1280.1862066952692</v>
      </c>
      <c r="W38" s="294">
        <f t="shared" si="5"/>
        <v>1280.1862066952692</v>
      </c>
    </row>
    <row r="39" spans="2:23" ht="15.75" thickBot="1" x14ac:dyDescent="0.35">
      <c r="B39" s="283">
        <v>37</v>
      </c>
      <c r="C39" s="282">
        <v>35000</v>
      </c>
      <c r="D39" s="282">
        <f t="shared" si="2"/>
        <v>1582.3533451879593</v>
      </c>
      <c r="E39" s="282">
        <f t="shared" si="7"/>
        <v>2083.5677570838407</v>
      </c>
      <c r="F39" s="693">
        <f t="shared" si="3"/>
        <v>2083.5677570838407</v>
      </c>
      <c r="G39" s="282">
        <f t="shared" si="8"/>
        <v>1582.3533451879593</v>
      </c>
      <c r="H39" s="282">
        <f t="shared" si="9"/>
        <v>1582.3533451879593</v>
      </c>
      <c r="I39" s="43"/>
      <c r="Q39" s="283">
        <v>37</v>
      </c>
      <c r="R39" s="282">
        <v>35000</v>
      </c>
      <c r="S39" s="282">
        <v>1325.2518752006542</v>
      </c>
      <c r="T39" s="282">
        <v>1745.0287482123576</v>
      </c>
      <c r="U39" s="294">
        <f t="shared" si="6"/>
        <v>1457.7770627207199</v>
      </c>
      <c r="V39" s="294">
        <f t="shared" si="4"/>
        <v>1325.2518752006542</v>
      </c>
      <c r="W39" s="294">
        <f t="shared" si="5"/>
        <v>1325.2518752006542</v>
      </c>
    </row>
    <row r="40" spans="2:23" ht="15.75" thickBot="1" x14ac:dyDescent="0.35">
      <c r="B40" s="283">
        <v>38</v>
      </c>
      <c r="C40" s="282">
        <v>37500</v>
      </c>
      <c r="D40" s="282">
        <f t="shared" si="2"/>
        <v>1641.2106411475975</v>
      </c>
      <c r="E40" s="282">
        <f t="shared" si="7"/>
        <v>2165.1134600820869</v>
      </c>
      <c r="F40" s="693">
        <f t="shared" si="3"/>
        <v>2165.1134600820869</v>
      </c>
      <c r="G40" s="282">
        <f t="shared" si="8"/>
        <v>1641.2106411475975</v>
      </c>
      <c r="H40" s="282">
        <f t="shared" si="9"/>
        <v>1641.2106411475975</v>
      </c>
      <c r="I40" s="43"/>
      <c r="Q40" s="283">
        <v>38</v>
      </c>
      <c r="R40" s="282">
        <v>37500</v>
      </c>
      <c r="S40" s="282">
        <v>1374.5460117327732</v>
      </c>
      <c r="T40" s="282">
        <v>1813.3248693926396</v>
      </c>
      <c r="U40" s="294">
        <f t="shared" si="6"/>
        <v>1512.0006129060507</v>
      </c>
      <c r="V40" s="294">
        <f t="shared" si="4"/>
        <v>1374.5460117327732</v>
      </c>
      <c r="W40" s="294">
        <f t="shared" si="5"/>
        <v>1374.5460117327732</v>
      </c>
    </row>
    <row r="41" spans="2:23" ht="15.75" thickBot="1" x14ac:dyDescent="0.35">
      <c r="B41" s="283">
        <v>39</v>
      </c>
      <c r="C41" s="282">
        <v>40000</v>
      </c>
      <c r="D41" s="282">
        <f t="shared" si="2"/>
        <v>1702.630669635661</v>
      </c>
      <c r="E41" s="282">
        <f t="shared" si="7"/>
        <v>2251.0158780749443</v>
      </c>
      <c r="F41" s="693">
        <f t="shared" si="3"/>
        <v>2251.0158780749443</v>
      </c>
      <c r="G41" s="282">
        <f t="shared" si="8"/>
        <v>1702.630669635661</v>
      </c>
      <c r="H41" s="282">
        <f t="shared" si="9"/>
        <v>1702.630669635661</v>
      </c>
      <c r="I41" s="43"/>
      <c r="Q41" s="283">
        <v>39</v>
      </c>
      <c r="R41" s="282">
        <v>40000</v>
      </c>
      <c r="S41" s="282">
        <v>1425.986486880892</v>
      </c>
      <c r="T41" s="282">
        <v>1885.2698245921256</v>
      </c>
      <c r="U41" s="294">
        <f t="shared" si="6"/>
        <v>1568.5851355689813</v>
      </c>
      <c r="V41" s="294">
        <f t="shared" si="4"/>
        <v>1425.986486880892</v>
      </c>
      <c r="W41" s="294">
        <f t="shared" si="5"/>
        <v>1425.986486880892</v>
      </c>
    </row>
    <row r="42" spans="2:23" ht="15.75" thickBot="1" x14ac:dyDescent="0.35">
      <c r="B42" s="283">
        <v>40</v>
      </c>
      <c r="C42" s="282">
        <v>42500</v>
      </c>
      <c r="D42" s="282">
        <f t="shared" si="2"/>
        <v>1765.3981016212986</v>
      </c>
      <c r="E42" s="282">
        <f t="shared" si="7"/>
        <v>2341.2452158990764</v>
      </c>
      <c r="F42" s="693">
        <f t="shared" si="3"/>
        <v>2341.2452158990764</v>
      </c>
      <c r="G42" s="282">
        <f t="shared" si="8"/>
        <v>1765.3981016212986</v>
      </c>
      <c r="H42" s="282">
        <f t="shared" si="9"/>
        <v>1765.3981016212986</v>
      </c>
      <c r="I42" s="43"/>
      <c r="Q42" s="283">
        <v>40</v>
      </c>
      <c r="R42" s="282">
        <v>42500</v>
      </c>
      <c r="S42" s="282">
        <v>1478.5554388115461</v>
      </c>
      <c r="T42" s="282">
        <v>1960.8386597787701</v>
      </c>
      <c r="U42" s="294">
        <f t="shared" si="6"/>
        <v>1626.4109826927008</v>
      </c>
      <c r="V42" s="294">
        <f t="shared" si="4"/>
        <v>1478.5554388115461</v>
      </c>
      <c r="W42" s="294">
        <f t="shared" si="5"/>
        <v>1478.5554388115461</v>
      </c>
    </row>
    <row r="43" spans="2:23" ht="15.75" thickBot="1" x14ac:dyDescent="0.35">
      <c r="B43" s="283">
        <v>41</v>
      </c>
      <c r="C43" s="282">
        <v>45000</v>
      </c>
      <c r="D43" s="282">
        <f t="shared" si="2"/>
        <v>1831.2310551606549</v>
      </c>
      <c r="E43" s="282">
        <f t="shared" si="7"/>
        <v>2439.6801765543651</v>
      </c>
      <c r="F43" s="693">
        <f t="shared" si="3"/>
        <v>2439.6801765543651</v>
      </c>
      <c r="G43" s="282">
        <f t="shared" si="8"/>
        <v>1831.2310551606549</v>
      </c>
      <c r="H43" s="282">
        <f t="shared" si="9"/>
        <v>1831.2310551606549</v>
      </c>
      <c r="I43" s="43"/>
      <c r="Q43" s="283">
        <v>41</v>
      </c>
      <c r="R43" s="282">
        <v>45000</v>
      </c>
      <c r="S43" s="282">
        <v>1533.6918250007295</v>
      </c>
      <c r="T43" s="282">
        <v>2043.279864576949</v>
      </c>
      <c r="U43" s="294">
        <f t="shared" si="6"/>
        <v>1687.0610075008026</v>
      </c>
      <c r="V43" s="294">
        <f t="shared" si="4"/>
        <v>1533.6918250007295</v>
      </c>
      <c r="W43" s="294">
        <f t="shared" si="5"/>
        <v>1533.6918250007295</v>
      </c>
    </row>
    <row r="44" spans="2:23" ht="15.75" thickBot="1" x14ac:dyDescent="0.35">
      <c r="B44" s="283">
        <v>42</v>
      </c>
      <c r="C44" s="282">
        <v>47500</v>
      </c>
      <c r="D44" s="282">
        <f t="shared" si="2"/>
        <v>1902.4082504064877</v>
      </c>
      <c r="E44" s="282">
        <f t="shared" si="7"/>
        <v>2550.1535331865653</v>
      </c>
      <c r="F44" s="693">
        <f t="shared" si="3"/>
        <v>2550.1535331865653</v>
      </c>
      <c r="G44" s="282">
        <f t="shared" si="8"/>
        <v>1902.4082504064877</v>
      </c>
      <c r="H44" s="282">
        <f t="shared" si="9"/>
        <v>1902.4082504064877</v>
      </c>
      <c r="I44" s="43"/>
      <c r="Q44" s="283">
        <v>42</v>
      </c>
      <c r="R44" s="282">
        <v>47500</v>
      </c>
      <c r="S44" s="282">
        <v>1593.3041181449378</v>
      </c>
      <c r="T44" s="282">
        <v>2135.8034614598837</v>
      </c>
      <c r="U44" s="294">
        <f t="shared" si="6"/>
        <v>1752.6345299594318</v>
      </c>
      <c r="V44" s="294">
        <f t="shared" si="4"/>
        <v>1593.3041181449378</v>
      </c>
      <c r="W44" s="294">
        <f t="shared" si="5"/>
        <v>1593.3041181449378</v>
      </c>
    </row>
    <row r="45" spans="2:23" ht="15.75" thickBot="1" x14ac:dyDescent="0.35">
      <c r="B45" s="283">
        <v>43</v>
      </c>
      <c r="C45" s="282">
        <v>50000</v>
      </c>
      <c r="D45" s="282">
        <f t="shared" si="2"/>
        <v>1979.8220437887039</v>
      </c>
      <c r="E45" s="282">
        <f t="shared" si="7"/>
        <v>2672.4874557155513</v>
      </c>
      <c r="F45" s="693">
        <f t="shared" si="3"/>
        <v>2672.4874557155513</v>
      </c>
      <c r="G45" s="282">
        <f t="shared" si="8"/>
        <v>1979.8220437887039</v>
      </c>
      <c r="H45" s="282">
        <f t="shared" si="9"/>
        <v>1979.8220437887039</v>
      </c>
      <c r="I45" s="43"/>
      <c r="Q45" s="283">
        <v>43</v>
      </c>
      <c r="R45" s="282">
        <v>50000</v>
      </c>
      <c r="S45" s="282">
        <v>1658.1396842074544</v>
      </c>
      <c r="T45" s="282">
        <v>2238.2605142573625</v>
      </c>
      <c r="U45" s="294">
        <f t="shared" si="6"/>
        <v>1823.9536526282</v>
      </c>
      <c r="V45" s="294">
        <f t="shared" si="4"/>
        <v>1658.1396842074544</v>
      </c>
      <c r="W45" s="294">
        <f t="shared" si="5"/>
        <v>1658.1396842074544</v>
      </c>
    </row>
    <row r="46" spans="2:23" ht="15.75" thickBot="1" x14ac:dyDescent="0.35">
      <c r="B46" s="283">
        <v>44</v>
      </c>
      <c r="C46" s="282">
        <v>55000</v>
      </c>
      <c r="D46" s="282">
        <f t="shared" si="2"/>
        <v>2060.5907377145227</v>
      </c>
      <c r="E46" s="282">
        <f t="shared" si="7"/>
        <v>2797.8577667496593</v>
      </c>
      <c r="F46" s="693">
        <f t="shared" si="3"/>
        <v>2797.8577667496593</v>
      </c>
      <c r="G46" s="282">
        <f t="shared" si="8"/>
        <v>2060.5907377145227</v>
      </c>
      <c r="H46" s="282">
        <f t="shared" si="9"/>
        <v>2060.5907377145227</v>
      </c>
      <c r="I46" s="43"/>
      <c r="Q46" s="283">
        <v>44</v>
      </c>
      <c r="R46" s="282">
        <v>55000</v>
      </c>
      <c r="S46" s="282">
        <v>1725.7850450923736</v>
      </c>
      <c r="T46" s="282">
        <v>2343.2606018153697</v>
      </c>
      <c r="U46" s="294">
        <f t="shared" si="6"/>
        <v>1898.3635496016111</v>
      </c>
      <c r="V46" s="294">
        <f t="shared" si="4"/>
        <v>1725.7850450923736</v>
      </c>
      <c r="W46" s="294">
        <f t="shared" si="5"/>
        <v>1725.7850450923736</v>
      </c>
    </row>
    <row r="47" spans="2:23" ht="15.75" thickBot="1" x14ac:dyDescent="0.35">
      <c r="B47" s="283">
        <v>45</v>
      </c>
      <c r="C47" s="282">
        <v>60000</v>
      </c>
      <c r="D47" s="282">
        <f t="shared" si="2"/>
        <v>2140.7620299033983</v>
      </c>
      <c r="E47" s="282">
        <f t="shared" si="7"/>
        <v>2913.9336246854009</v>
      </c>
      <c r="F47" s="693">
        <f t="shared" si="3"/>
        <v>2913.9336246854009</v>
      </c>
      <c r="G47" s="282">
        <f t="shared" si="8"/>
        <v>2140.7620299033983</v>
      </c>
      <c r="H47" s="282">
        <f t="shared" si="9"/>
        <v>2140.7620299033983</v>
      </c>
      <c r="I47" s="43"/>
      <c r="Q47" s="283">
        <v>45</v>
      </c>
      <c r="R47" s="282">
        <v>60000</v>
      </c>
      <c r="S47" s="282">
        <v>1792.9300703382658</v>
      </c>
      <c r="T47" s="282">
        <v>2440.4764031170653</v>
      </c>
      <c r="U47" s="294">
        <f t="shared" si="6"/>
        <v>1972.2230773720926</v>
      </c>
      <c r="V47" s="294">
        <f t="shared" si="4"/>
        <v>1792.9300703382658</v>
      </c>
      <c r="W47" s="294">
        <f t="shared" si="5"/>
        <v>1792.9300703382658</v>
      </c>
    </row>
    <row r="48" spans="2:23" ht="15.75" thickBot="1" x14ac:dyDescent="0.35">
      <c r="B48" s="283">
        <v>46</v>
      </c>
      <c r="C48" s="282">
        <v>65000</v>
      </c>
      <c r="D48" s="282">
        <f t="shared" si="2"/>
        <v>2217.4564530437829</v>
      </c>
      <c r="E48" s="282">
        <f t="shared" si="7"/>
        <v>3012.4161530575957</v>
      </c>
      <c r="F48" s="693">
        <f t="shared" si="3"/>
        <v>3012.4161530575957</v>
      </c>
      <c r="G48" s="282">
        <f t="shared" si="8"/>
        <v>2217.4564530437829</v>
      </c>
      <c r="H48" s="282">
        <f t="shared" si="9"/>
        <v>2217.4564530437829</v>
      </c>
      <c r="I48" s="43"/>
      <c r="Q48" s="283">
        <v>46</v>
      </c>
      <c r="R48" s="282">
        <v>65000</v>
      </c>
      <c r="S48" s="282">
        <v>1857.1631497533781</v>
      </c>
      <c r="T48" s="282">
        <v>2522.9574468085107</v>
      </c>
      <c r="U48" s="294">
        <f t="shared" si="6"/>
        <v>2042.8794647287161</v>
      </c>
      <c r="V48" s="294">
        <f t="shared" si="4"/>
        <v>1857.1631497533781</v>
      </c>
      <c r="W48" s="294">
        <f t="shared" si="5"/>
        <v>1857.1631497533781</v>
      </c>
    </row>
    <row r="49" spans="1:23" x14ac:dyDescent="0.3">
      <c r="A49" s="514"/>
      <c r="B49" s="562">
        <v>47</v>
      </c>
      <c r="C49" s="563">
        <v>70000</v>
      </c>
      <c r="D49" s="563">
        <f t="shared" si="2"/>
        <v>2297.9264461011253</v>
      </c>
      <c r="E49" s="563">
        <f t="shared" si="7"/>
        <v>3133.139237542518</v>
      </c>
      <c r="F49" s="693">
        <f t="shared" si="3"/>
        <v>3133.139237542518</v>
      </c>
      <c r="G49" s="563">
        <f t="shared" si="8"/>
        <v>2297.9264461011253</v>
      </c>
      <c r="H49" s="563">
        <f t="shared" si="9"/>
        <v>2297.9264461011253</v>
      </c>
      <c r="Q49" s="562">
        <v>47</v>
      </c>
      <c r="R49" s="563">
        <v>70000</v>
      </c>
      <c r="S49" s="563">
        <v>1924.5583428187799</v>
      </c>
      <c r="T49" s="563">
        <v>2624.06539123836</v>
      </c>
      <c r="U49" s="572">
        <f t="shared" si="6"/>
        <v>2117.0141771006579</v>
      </c>
      <c r="V49" s="572">
        <f t="shared" si="4"/>
        <v>1924.5583428187799</v>
      </c>
      <c r="W49" s="572">
        <f t="shared" si="5"/>
        <v>1924.5583428187799</v>
      </c>
    </row>
    <row r="50" spans="1:23" ht="15.75" thickBot="1" x14ac:dyDescent="0.35">
      <c r="A50" s="514" t="s">
        <v>1511</v>
      </c>
      <c r="B50" s="564">
        <v>48</v>
      </c>
      <c r="C50" s="565">
        <v>75000</v>
      </c>
      <c r="D50" s="565">
        <f t="shared" ref="D50:D58" si="10">S50*$J$7</f>
        <v>2376.3593037657529</v>
      </c>
      <c r="E50" s="565">
        <f t="shared" ref="E50:E58" si="11">T50*$J$7</f>
        <v>3240.4184306964858</v>
      </c>
      <c r="F50" s="693">
        <f t="shared" si="3"/>
        <v>3240.4184306964858</v>
      </c>
      <c r="G50" s="565">
        <f t="shared" ref="G50:G58" si="12">V50*$J$7</f>
        <v>2376.3593037657529</v>
      </c>
      <c r="H50" s="566">
        <f t="shared" ref="H50:H58" si="13">W50*$J$7</f>
        <v>2376.3593037657529</v>
      </c>
      <c r="I50" s="43"/>
      <c r="P50" s="545" t="s">
        <v>1511</v>
      </c>
      <c r="Q50" s="564">
        <v>48</v>
      </c>
      <c r="R50" s="565">
        <v>75000</v>
      </c>
      <c r="S50" s="565">
        <v>1990.24739514928</v>
      </c>
      <c r="T50" s="565">
        <v>2713.91381373493</v>
      </c>
      <c r="U50" s="573">
        <f t="shared" ref="U50:U58" si="14">S50*$J$5</f>
        <v>2189.2721346642084</v>
      </c>
      <c r="V50" s="573">
        <f t="shared" ref="V50:V58" si="15">S50</f>
        <v>1990.24739514928</v>
      </c>
      <c r="W50" s="574">
        <f t="shared" ref="W50:W58" si="16">S50</f>
        <v>1990.24739514928</v>
      </c>
    </row>
    <row r="51" spans="1:23" ht="15.75" thickBot="1" x14ac:dyDescent="0.35">
      <c r="B51" s="567">
        <v>49</v>
      </c>
      <c r="C51" s="282">
        <v>80000</v>
      </c>
      <c r="D51" s="282">
        <f t="shared" si="10"/>
        <v>2455.2294585957807</v>
      </c>
      <c r="E51" s="282">
        <f t="shared" si="11"/>
        <v>3350.851124771561</v>
      </c>
      <c r="F51" s="693">
        <f t="shared" si="3"/>
        <v>3350.851124771561</v>
      </c>
      <c r="G51" s="282">
        <f t="shared" si="12"/>
        <v>2455.2294585957807</v>
      </c>
      <c r="H51" s="568">
        <f t="shared" si="13"/>
        <v>2455.2294585957807</v>
      </c>
      <c r="I51" s="43"/>
      <c r="Q51" s="567">
        <v>49</v>
      </c>
      <c r="R51" s="282">
        <v>80000</v>
      </c>
      <c r="S51" s="282">
        <v>2056.3026924087198</v>
      </c>
      <c r="T51" s="282">
        <v>2806.4033549309702</v>
      </c>
      <c r="U51" s="294">
        <f t="shared" si="14"/>
        <v>2261.932961649592</v>
      </c>
      <c r="V51" s="294">
        <f t="shared" si="15"/>
        <v>2056.3026924087198</v>
      </c>
      <c r="W51" s="575">
        <f t="shared" si="16"/>
        <v>2056.3026924087198</v>
      </c>
    </row>
    <row r="52" spans="1:23" ht="15.75" thickBot="1" x14ac:dyDescent="0.35">
      <c r="B52" s="567">
        <v>50</v>
      </c>
      <c r="C52" s="282">
        <v>85000</v>
      </c>
      <c r="D52" s="282">
        <f t="shared" si="10"/>
        <v>2534.0996134257962</v>
      </c>
      <c r="E52" s="282">
        <f t="shared" si="11"/>
        <v>3461.2838188466358</v>
      </c>
      <c r="F52" s="693">
        <f t="shared" si="3"/>
        <v>3461.2838188466358</v>
      </c>
      <c r="G52" s="282">
        <f t="shared" si="12"/>
        <v>2534.0996134257962</v>
      </c>
      <c r="H52" s="568">
        <f t="shared" si="13"/>
        <v>2534.0996134257962</v>
      </c>
      <c r="I52" s="43"/>
      <c r="Q52" s="567">
        <v>50</v>
      </c>
      <c r="R52" s="282">
        <v>85000</v>
      </c>
      <c r="S52" s="282">
        <v>2122.3579896681499</v>
      </c>
      <c r="T52" s="282">
        <v>2898.8928961270099</v>
      </c>
      <c r="U52" s="294">
        <f t="shared" si="14"/>
        <v>2334.5937886349652</v>
      </c>
      <c r="V52" s="294">
        <f t="shared" si="15"/>
        <v>2122.3579896681499</v>
      </c>
      <c r="W52" s="575">
        <f t="shared" si="16"/>
        <v>2122.3579896681499</v>
      </c>
    </row>
    <row r="53" spans="1:23" ht="15.75" thickBot="1" x14ac:dyDescent="0.35">
      <c r="B53" s="567">
        <v>51</v>
      </c>
      <c r="C53" s="282">
        <v>90000</v>
      </c>
      <c r="D53" s="282">
        <f t="shared" si="10"/>
        <v>2612.9697682558117</v>
      </c>
      <c r="E53" s="282">
        <f t="shared" si="11"/>
        <v>3571.7165129217228</v>
      </c>
      <c r="F53" s="693">
        <f t="shared" si="3"/>
        <v>3571.7165129217228</v>
      </c>
      <c r="G53" s="282">
        <f t="shared" si="12"/>
        <v>2612.9697682558117</v>
      </c>
      <c r="H53" s="568">
        <f t="shared" si="13"/>
        <v>2612.9697682558117</v>
      </c>
      <c r="Q53" s="567">
        <v>51</v>
      </c>
      <c r="R53" s="282">
        <v>90000</v>
      </c>
      <c r="S53" s="282">
        <v>2188.41328692758</v>
      </c>
      <c r="T53" s="282">
        <v>2991.38243732306</v>
      </c>
      <c r="U53" s="294">
        <f t="shared" si="14"/>
        <v>2407.254615620338</v>
      </c>
      <c r="V53" s="294">
        <f t="shared" si="15"/>
        <v>2188.41328692758</v>
      </c>
      <c r="W53" s="575">
        <f t="shared" si="16"/>
        <v>2188.41328692758</v>
      </c>
    </row>
    <row r="54" spans="1:23" ht="15.75" thickBot="1" x14ac:dyDescent="0.35">
      <c r="B54" s="567">
        <v>52</v>
      </c>
      <c r="C54" s="282">
        <v>95000</v>
      </c>
      <c r="D54" s="282">
        <f t="shared" si="10"/>
        <v>2691.8399230858276</v>
      </c>
      <c r="E54" s="282">
        <f t="shared" si="11"/>
        <v>3682.1492069967981</v>
      </c>
      <c r="F54" s="693">
        <f t="shared" si="3"/>
        <v>3682.1492069967981</v>
      </c>
      <c r="G54" s="282">
        <f t="shared" si="12"/>
        <v>2691.8399230858276</v>
      </c>
      <c r="H54" s="568">
        <f t="shared" si="13"/>
        <v>2691.8399230858276</v>
      </c>
      <c r="I54" s="43"/>
      <c r="Q54" s="567">
        <v>52</v>
      </c>
      <c r="R54" s="282">
        <v>95000</v>
      </c>
      <c r="S54" s="282">
        <v>2254.46858418701</v>
      </c>
      <c r="T54" s="282">
        <v>3083.8719785191001</v>
      </c>
      <c r="U54" s="294">
        <f t="shared" si="14"/>
        <v>2479.9154426057112</v>
      </c>
      <c r="V54" s="294">
        <f t="shared" si="15"/>
        <v>2254.46858418701</v>
      </c>
      <c r="W54" s="575">
        <f t="shared" si="16"/>
        <v>2254.46858418701</v>
      </c>
    </row>
    <row r="55" spans="1:23" ht="15.75" thickBot="1" x14ac:dyDescent="0.35">
      <c r="B55" s="567">
        <v>53</v>
      </c>
      <c r="C55" s="282">
        <v>100000</v>
      </c>
      <c r="D55" s="282">
        <f t="shared" si="10"/>
        <v>2770.710077915855</v>
      </c>
      <c r="E55" s="282">
        <f t="shared" si="11"/>
        <v>3792.5819010718728</v>
      </c>
      <c r="F55" s="693">
        <f t="shared" si="3"/>
        <v>3792.5819010718728</v>
      </c>
      <c r="G55" s="282">
        <f t="shared" si="12"/>
        <v>2770.710077915855</v>
      </c>
      <c r="H55" s="568">
        <f t="shared" si="13"/>
        <v>2770.710077915855</v>
      </c>
      <c r="I55" s="43"/>
      <c r="Q55" s="567">
        <v>53</v>
      </c>
      <c r="R55" s="282">
        <v>100000</v>
      </c>
      <c r="S55" s="282">
        <v>2320.5238814464501</v>
      </c>
      <c r="T55" s="282">
        <v>3176.3615197151398</v>
      </c>
      <c r="U55" s="294">
        <f t="shared" si="14"/>
        <v>2552.5762695910953</v>
      </c>
      <c r="V55" s="294">
        <f t="shared" si="15"/>
        <v>2320.5238814464501</v>
      </c>
      <c r="W55" s="575">
        <f t="shared" si="16"/>
        <v>2320.5238814464501</v>
      </c>
    </row>
    <row r="56" spans="1:23" ht="15.75" thickBot="1" x14ac:dyDescent="0.35">
      <c r="B56" s="567">
        <v>54</v>
      </c>
      <c r="C56" s="282">
        <v>105000</v>
      </c>
      <c r="D56" s="282">
        <f t="shared" si="10"/>
        <v>2849.4922490224653</v>
      </c>
      <c r="E56" s="282">
        <f t="shared" si="11"/>
        <v>3902.7610183660709</v>
      </c>
      <c r="F56" s="693">
        <f t="shared" si="3"/>
        <v>3902.7610183660709</v>
      </c>
      <c r="G56" s="282">
        <f t="shared" si="12"/>
        <v>2849.4922490224653</v>
      </c>
      <c r="H56" s="568">
        <f t="shared" si="13"/>
        <v>2849.4922490224653</v>
      </c>
      <c r="I56" s="43"/>
      <c r="Q56" s="567">
        <v>54</v>
      </c>
      <c r="R56" s="282">
        <v>105000</v>
      </c>
      <c r="S56" s="282">
        <v>2386.5054906166902</v>
      </c>
      <c r="T56" s="282">
        <v>3268.6386853975901</v>
      </c>
      <c r="U56" s="294">
        <f t="shared" si="14"/>
        <v>2625.1560396783593</v>
      </c>
      <c r="V56" s="294">
        <f t="shared" si="15"/>
        <v>2386.5054906166902</v>
      </c>
      <c r="W56" s="575">
        <f t="shared" si="16"/>
        <v>2386.5054906166902</v>
      </c>
    </row>
    <row r="57" spans="1:23" ht="15.75" thickBot="1" x14ac:dyDescent="0.35">
      <c r="B57" s="567">
        <v>55</v>
      </c>
      <c r="C57" s="282">
        <v>110000</v>
      </c>
      <c r="D57" s="282">
        <f t="shared" si="10"/>
        <v>2928.3384082915486</v>
      </c>
      <c r="E57" s="282">
        <f t="shared" si="11"/>
        <v>4013.1245551372649</v>
      </c>
      <c r="F57" s="693">
        <f t="shared" si="3"/>
        <v>4013.1245551372649</v>
      </c>
      <c r="G57" s="282">
        <f t="shared" si="12"/>
        <v>2928.3384082915486</v>
      </c>
      <c r="H57" s="568">
        <f t="shared" si="13"/>
        <v>2928.3384082915486</v>
      </c>
      <c r="I57" s="43"/>
      <c r="Q57" s="567">
        <v>55</v>
      </c>
      <c r="R57" s="282">
        <v>110000</v>
      </c>
      <c r="S57" s="282">
        <v>2452.54069112452</v>
      </c>
      <c r="T57" s="282">
        <v>3361.0703059990101</v>
      </c>
      <c r="U57" s="294">
        <f t="shared" si="14"/>
        <v>2697.7947602369723</v>
      </c>
      <c r="V57" s="294">
        <f t="shared" si="15"/>
        <v>2452.54069112452</v>
      </c>
      <c r="W57" s="575">
        <f t="shared" si="16"/>
        <v>2452.54069112452</v>
      </c>
    </row>
    <row r="58" spans="1:23" ht="15.75" thickBot="1" x14ac:dyDescent="0.35">
      <c r="B58" s="567">
        <v>56</v>
      </c>
      <c r="C58" s="282">
        <v>115000</v>
      </c>
      <c r="D58" s="282">
        <f t="shared" si="10"/>
        <v>3007.1845675606437</v>
      </c>
      <c r="E58" s="282">
        <f t="shared" si="11"/>
        <v>4123.4880919084708</v>
      </c>
      <c r="F58" s="693">
        <f t="shared" si="3"/>
        <v>4123.4880919084708</v>
      </c>
      <c r="G58" s="282">
        <f t="shared" si="12"/>
        <v>3007.1845675606437</v>
      </c>
      <c r="H58" s="568">
        <f t="shared" si="13"/>
        <v>3007.1845675606437</v>
      </c>
      <c r="Q58" s="567">
        <v>56</v>
      </c>
      <c r="R58" s="282">
        <v>115000</v>
      </c>
      <c r="S58" s="282">
        <v>2518.5758916323598</v>
      </c>
      <c r="T58" s="282">
        <v>3453.5019266004401</v>
      </c>
      <c r="U58" s="294">
        <f t="shared" si="14"/>
        <v>2770.4334807955961</v>
      </c>
      <c r="V58" s="294">
        <f t="shared" si="15"/>
        <v>2518.5758916323598</v>
      </c>
      <c r="W58" s="575">
        <f t="shared" si="16"/>
        <v>2518.5758916323598</v>
      </c>
    </row>
    <row r="59" spans="1:23" ht="15.75" thickBot="1" x14ac:dyDescent="0.35">
      <c r="B59" s="567">
        <v>57</v>
      </c>
      <c r="C59" s="282">
        <v>120000</v>
      </c>
      <c r="D59" s="282">
        <f t="shared" ref="D59:D61" si="17">S59*$J$7</f>
        <v>3086.0307268297279</v>
      </c>
      <c r="E59" s="282">
        <f t="shared" ref="E59:E61" si="18">T59*$J$7</f>
        <v>4233.8516286796767</v>
      </c>
      <c r="F59" s="693">
        <f t="shared" si="3"/>
        <v>4233.8516286796767</v>
      </c>
      <c r="G59" s="282">
        <f t="shared" ref="G59:G61" si="19">V59*$J$7</f>
        <v>3086.0307268297279</v>
      </c>
      <c r="H59" s="568">
        <f t="shared" ref="H59:H61" si="20">W59*$J$7</f>
        <v>3086.0307268297279</v>
      </c>
      <c r="I59" s="43"/>
      <c r="Q59" s="567">
        <v>57</v>
      </c>
      <c r="R59" s="282">
        <v>120000</v>
      </c>
      <c r="S59" s="282">
        <v>2584.6110921401901</v>
      </c>
      <c r="T59" s="282">
        <v>3545.9335472018702</v>
      </c>
      <c r="U59" s="294">
        <f t="shared" ref="U59:U61" si="21">S59*$J$5</f>
        <v>2843.0722013542095</v>
      </c>
      <c r="V59" s="294">
        <f t="shared" ref="V59:V61" si="22">S59</f>
        <v>2584.6110921401901</v>
      </c>
      <c r="W59" s="575">
        <f t="shared" ref="W59:W61" si="23">S59</f>
        <v>2584.6110921401901</v>
      </c>
    </row>
    <row r="60" spans="1:23" ht="15.75" thickBot="1" x14ac:dyDescent="0.35">
      <c r="B60" s="567">
        <v>58</v>
      </c>
      <c r="C60" s="282">
        <v>125000</v>
      </c>
      <c r="D60" s="282">
        <f t="shared" si="17"/>
        <v>3164.876886098823</v>
      </c>
      <c r="E60" s="282">
        <f t="shared" si="18"/>
        <v>4344.2151654508707</v>
      </c>
      <c r="F60" s="693">
        <f t="shared" si="3"/>
        <v>4344.2151654508707</v>
      </c>
      <c r="G60" s="282">
        <f t="shared" si="19"/>
        <v>3164.876886098823</v>
      </c>
      <c r="H60" s="568">
        <f t="shared" si="20"/>
        <v>3164.876886098823</v>
      </c>
      <c r="I60" s="43"/>
      <c r="Q60" s="567">
        <v>58</v>
      </c>
      <c r="R60" s="282">
        <v>125000</v>
      </c>
      <c r="S60" s="282">
        <v>2650.6462926480299</v>
      </c>
      <c r="T60" s="282">
        <v>3638.3651678032902</v>
      </c>
      <c r="U60" s="294">
        <f t="shared" si="21"/>
        <v>2915.7109219128333</v>
      </c>
      <c r="V60" s="294">
        <f t="shared" si="22"/>
        <v>2650.6462926480299</v>
      </c>
      <c r="W60" s="575">
        <f t="shared" si="23"/>
        <v>2650.6462926480299</v>
      </c>
    </row>
    <row r="61" spans="1:23" x14ac:dyDescent="0.3">
      <c r="B61" s="569">
        <v>59</v>
      </c>
      <c r="C61" s="570">
        <v>130000</v>
      </c>
      <c r="D61" s="570">
        <f t="shared" si="17"/>
        <v>3243.7230453679067</v>
      </c>
      <c r="E61" s="570">
        <f t="shared" si="18"/>
        <v>4454.5787022220766</v>
      </c>
      <c r="F61" s="693">
        <f t="shared" si="3"/>
        <v>4454.5787022220766</v>
      </c>
      <c r="G61" s="570">
        <f t="shared" si="19"/>
        <v>3243.7230453679067</v>
      </c>
      <c r="H61" s="571">
        <f t="shared" si="20"/>
        <v>3243.7230453679067</v>
      </c>
      <c r="I61" s="43"/>
      <c r="Q61" s="569">
        <v>59</v>
      </c>
      <c r="R61" s="570">
        <v>130000</v>
      </c>
      <c r="S61" s="570">
        <v>2716.6814931558602</v>
      </c>
      <c r="T61" s="570">
        <v>3730.7967884047198</v>
      </c>
      <c r="U61" s="576">
        <f t="shared" si="21"/>
        <v>2988.3496424714463</v>
      </c>
      <c r="V61" s="576">
        <f t="shared" si="22"/>
        <v>2716.6814931558602</v>
      </c>
      <c r="W61" s="577">
        <f t="shared" si="23"/>
        <v>2716.6814931558602</v>
      </c>
    </row>
    <row r="62" spans="1:23" x14ac:dyDescent="0.3">
      <c r="C62" s="39"/>
      <c r="D62" s="39"/>
      <c r="E62" s="39"/>
      <c r="F62" s="39"/>
      <c r="G62" s="39"/>
      <c r="H62" s="39"/>
      <c r="Q62" s="560"/>
      <c r="R62" s="561"/>
      <c r="S62" s="561"/>
      <c r="T62" s="561"/>
      <c r="U62" s="561"/>
      <c r="V62" s="561"/>
      <c r="W62" s="561"/>
    </row>
    <row r="63" spans="1:23" x14ac:dyDescent="0.3">
      <c r="C63" s="39"/>
      <c r="D63" s="39"/>
      <c r="E63" s="39"/>
      <c r="F63" s="39"/>
      <c r="G63" s="39"/>
      <c r="H63" s="39"/>
      <c r="Q63" s="560"/>
      <c r="R63" s="561"/>
      <c r="S63" s="561"/>
      <c r="T63" s="561"/>
      <c r="U63" s="561"/>
      <c r="V63" s="561"/>
      <c r="W63" s="561"/>
    </row>
    <row r="64" spans="1:23" x14ac:dyDescent="0.3">
      <c r="C64" s="39"/>
      <c r="D64" s="39"/>
      <c r="E64" s="39"/>
      <c r="F64" s="39"/>
      <c r="G64" s="39"/>
      <c r="H64" s="39"/>
      <c r="Q64" s="560"/>
      <c r="R64" s="561"/>
      <c r="S64" s="561"/>
      <c r="T64" s="561"/>
      <c r="U64" s="561"/>
      <c r="V64" s="561"/>
      <c r="W64" s="561"/>
    </row>
    <row r="65" spans="3:23" x14ac:dyDescent="0.3">
      <c r="C65" s="39"/>
      <c r="D65" s="39"/>
      <c r="E65" s="39"/>
      <c r="F65" s="39"/>
      <c r="G65" s="39"/>
      <c r="H65" s="39"/>
      <c r="Q65" s="560"/>
      <c r="R65" s="561"/>
      <c r="S65" s="561"/>
      <c r="T65" s="561"/>
      <c r="U65" s="561"/>
      <c r="V65" s="561"/>
      <c r="W65" s="561"/>
    </row>
    <row r="66" spans="3:23" x14ac:dyDescent="0.3">
      <c r="C66" s="39"/>
      <c r="D66" s="39"/>
      <c r="E66" s="39"/>
      <c r="F66" s="39"/>
      <c r="G66" s="39"/>
      <c r="H66" s="39"/>
      <c r="Q66" s="560"/>
      <c r="R66" s="561"/>
      <c r="S66" s="561"/>
      <c r="T66" s="561"/>
      <c r="U66" s="561"/>
      <c r="V66" s="561"/>
      <c r="W66" s="561"/>
    </row>
    <row r="67" spans="3:23" x14ac:dyDescent="0.3">
      <c r="C67" s="39"/>
      <c r="D67" s="39"/>
      <c r="E67" s="39"/>
      <c r="F67" s="39"/>
      <c r="G67" s="39"/>
      <c r="H67" s="39"/>
      <c r="Q67" s="560"/>
      <c r="R67" s="561"/>
      <c r="S67" s="561"/>
      <c r="T67" s="561"/>
      <c r="U67" s="561"/>
      <c r="V67" s="561"/>
      <c r="W67" s="561"/>
    </row>
    <row r="68" spans="3:23" x14ac:dyDescent="0.3">
      <c r="C68" s="39"/>
      <c r="D68" s="39"/>
      <c r="E68" s="39"/>
      <c r="F68" s="39"/>
      <c r="G68" s="39"/>
      <c r="H68" s="39"/>
      <c r="Q68" s="560"/>
      <c r="R68" s="561"/>
      <c r="S68" s="561"/>
      <c r="T68" s="561"/>
      <c r="U68" s="561"/>
      <c r="V68" s="561"/>
      <c r="W68" s="561"/>
    </row>
    <row r="69" spans="3:23" x14ac:dyDescent="0.3">
      <c r="C69" s="39"/>
      <c r="D69" s="39"/>
      <c r="E69" s="39"/>
      <c r="F69" s="39"/>
      <c r="G69" s="39"/>
      <c r="H69" s="39"/>
      <c r="Q69" s="560"/>
      <c r="R69" s="561"/>
      <c r="S69" s="561"/>
      <c r="T69" s="561"/>
      <c r="U69" s="561"/>
      <c r="V69" s="561"/>
      <c r="W69" s="561"/>
    </row>
    <row r="70" spans="3:23" x14ac:dyDescent="0.3">
      <c r="C70" s="39"/>
      <c r="D70" s="39"/>
      <c r="E70" s="39"/>
      <c r="F70" s="39"/>
      <c r="G70" s="39"/>
      <c r="H70" s="39"/>
      <c r="Q70" s="560"/>
      <c r="R70" s="561"/>
      <c r="S70" s="561"/>
      <c r="T70" s="561"/>
      <c r="U70" s="561"/>
      <c r="V70" s="561"/>
      <c r="W70" s="561"/>
    </row>
    <row r="71" spans="3:23" x14ac:dyDescent="0.3">
      <c r="C71" s="39"/>
      <c r="D71" s="39"/>
      <c r="E71" s="39"/>
      <c r="F71" s="39"/>
      <c r="G71" s="39"/>
      <c r="H71" s="39"/>
      <c r="Q71" s="560"/>
      <c r="R71" s="561"/>
      <c r="S71" s="561"/>
      <c r="T71" s="561"/>
      <c r="U71" s="561"/>
      <c r="V71" s="561"/>
      <c r="W71" s="561"/>
    </row>
    <row r="72" spans="3:23" x14ac:dyDescent="0.3">
      <c r="C72" s="39"/>
      <c r="D72" s="39"/>
      <c r="E72" s="39"/>
      <c r="F72" s="39"/>
      <c r="G72" s="39"/>
      <c r="H72" s="39"/>
      <c r="Q72" s="560"/>
      <c r="R72" s="561"/>
      <c r="S72" s="561"/>
      <c r="T72" s="561"/>
      <c r="U72" s="561"/>
      <c r="V72" s="561"/>
      <c r="W72" s="561"/>
    </row>
    <row r="73" spans="3:23" x14ac:dyDescent="0.3">
      <c r="C73" s="39"/>
      <c r="D73" s="39"/>
      <c r="E73" s="39"/>
      <c r="F73" s="39"/>
      <c r="G73" s="39"/>
      <c r="H73" s="39"/>
      <c r="Q73" s="560"/>
      <c r="R73" s="561"/>
      <c r="S73" s="561"/>
      <c r="T73" s="561"/>
      <c r="U73" s="561"/>
      <c r="V73" s="561"/>
      <c r="W73" s="561"/>
    </row>
    <row r="74" spans="3:23" x14ac:dyDescent="0.3">
      <c r="C74" s="39"/>
      <c r="D74" s="39"/>
      <c r="E74" s="39"/>
      <c r="F74" s="39"/>
      <c r="G74" s="39"/>
      <c r="H74" s="39"/>
      <c r="Q74" s="560"/>
      <c r="R74" s="561"/>
      <c r="S74" s="561"/>
      <c r="T74" s="561"/>
      <c r="U74" s="561"/>
      <c r="V74" s="561"/>
      <c r="W74" s="561"/>
    </row>
    <row r="75" spans="3:23" x14ac:dyDescent="0.3">
      <c r="C75" s="39"/>
      <c r="D75" s="39"/>
      <c r="E75" s="39"/>
      <c r="F75" s="39"/>
      <c r="G75" s="39"/>
      <c r="H75" s="39"/>
      <c r="Q75" s="560"/>
      <c r="R75" s="561"/>
      <c r="S75" s="561"/>
      <c r="T75" s="561"/>
      <c r="U75" s="561"/>
      <c r="V75" s="561"/>
      <c r="W75" s="561"/>
    </row>
    <row r="76" spans="3:23" x14ac:dyDescent="0.3">
      <c r="C76" s="39"/>
      <c r="D76" s="39"/>
      <c r="E76" s="39"/>
      <c r="F76" s="39"/>
      <c r="G76" s="39"/>
      <c r="H76" s="39"/>
      <c r="Q76" s="560"/>
      <c r="R76" s="561"/>
      <c r="S76" s="561"/>
      <c r="T76" s="561"/>
      <c r="U76" s="561"/>
      <c r="V76" s="561"/>
      <c r="W76" s="561"/>
    </row>
    <row r="77" spans="3:23" x14ac:dyDescent="0.3">
      <c r="C77" s="39"/>
      <c r="D77" s="39"/>
      <c r="E77" s="39"/>
      <c r="F77" s="39"/>
      <c r="G77" s="39"/>
      <c r="H77" s="39"/>
      <c r="Q77" s="560"/>
      <c r="R77" s="561"/>
      <c r="S77" s="561"/>
      <c r="T77" s="561"/>
      <c r="U77" s="561"/>
      <c r="V77" s="561"/>
      <c r="W77" s="561"/>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3">
    <tabColor rgb="FFFF0000"/>
  </sheetPr>
  <dimension ref="A2:X62"/>
  <sheetViews>
    <sheetView topLeftCell="A41" workbookViewId="0">
      <selection activeCell="D34" sqref="D34:BB36"/>
    </sheetView>
  </sheetViews>
  <sheetFormatPr defaultRowHeight="15" x14ac:dyDescent="0.3"/>
  <sheetData>
    <row r="2" spans="2:24" ht="15.75" thickBot="1" x14ac:dyDescent="0.35">
      <c r="B2" t="s">
        <v>1036</v>
      </c>
      <c r="C2" t="s">
        <v>1279</v>
      </c>
      <c r="S2" t="s">
        <v>1287</v>
      </c>
    </row>
    <row r="3" spans="2:24" ht="15.75" thickBot="1" x14ac:dyDescent="0.35">
      <c r="B3" s="286" t="s">
        <v>1032</v>
      </c>
      <c r="C3" s="286" t="s">
        <v>1026</v>
      </c>
      <c r="D3" s="286" t="str">
        <f t="array" ref="D3:H3">list_brandstoftype</f>
        <v>benzine</v>
      </c>
      <c r="E3" s="286" t="str">
        <v>diesel</v>
      </c>
      <c r="F3" s="286" t="str">
        <v>Elektrisch</v>
      </c>
      <c r="G3" s="286" t="str">
        <v>plug-in</v>
      </c>
      <c r="H3" s="286" t="str">
        <v>range-extender</v>
      </c>
      <c r="K3" t="s">
        <v>1277</v>
      </c>
      <c r="S3" s="286" t="s">
        <v>1026</v>
      </c>
      <c r="T3" s="286" t="str">
        <f t="array" ref="T3:X3">list_brandstoftype</f>
        <v>benzine</v>
      </c>
      <c r="U3" s="286" t="str">
        <v>diesel</v>
      </c>
      <c r="V3" s="286" t="str">
        <v>Elektrisch</v>
      </c>
      <c r="W3" s="286" t="str">
        <v>plug-in</v>
      </c>
      <c r="X3" s="286" t="str">
        <v>range-extender</v>
      </c>
    </row>
    <row r="4" spans="2:24" ht="15.75" thickBot="1" x14ac:dyDescent="0.35">
      <c r="B4" s="283">
        <v>1</v>
      </c>
      <c r="C4" s="282">
        <v>0</v>
      </c>
      <c r="D4" s="282">
        <f>T4*$K$7</f>
        <v>81.722801267344039</v>
      </c>
      <c r="E4" s="282">
        <f t="shared" ref="E4:H19" si="0">U4*$K$7</f>
        <v>77.870483686156419</v>
      </c>
      <c r="F4" s="282">
        <f t="shared" si="0"/>
        <v>107.33490396935051</v>
      </c>
      <c r="G4" s="282">
        <f t="shared" si="0"/>
        <v>97.577185426682277</v>
      </c>
      <c r="H4" s="282">
        <f t="shared" si="0"/>
        <v>97.577185426682277</v>
      </c>
      <c r="K4" s="387">
        <v>1.1000000000000001</v>
      </c>
      <c r="S4" s="282">
        <v>0</v>
      </c>
      <c r="T4" s="294">
        <v>68.444444444444443</v>
      </c>
      <c r="U4" s="294">
        <f t="shared" ref="U4:U14" si="1">+$E$16*T4/$D$16</f>
        <v>65.218053124286484</v>
      </c>
      <c r="V4" s="294">
        <f>$D4*$K$4</f>
        <v>89.895081394078446</v>
      </c>
      <c r="W4" s="294">
        <f t="shared" ref="W4:X23" si="2">$D4</f>
        <v>81.722801267344039</v>
      </c>
      <c r="X4" s="294">
        <f t="shared" si="2"/>
        <v>81.722801267344039</v>
      </c>
    </row>
    <row r="5" spans="2:24" ht="15.75" thickBot="1" x14ac:dyDescent="0.35">
      <c r="B5" s="283">
        <v>2</v>
      </c>
      <c r="C5" s="282">
        <v>8500</v>
      </c>
      <c r="D5" s="282">
        <f t="shared" ref="D5:D49" si="3">T5*$K$7</f>
        <v>81.722801267343996</v>
      </c>
      <c r="E5" s="282">
        <f t="shared" si="0"/>
        <v>77.870483686156362</v>
      </c>
      <c r="F5" s="282">
        <f t="shared" si="0"/>
        <v>107.33490396935045</v>
      </c>
      <c r="G5" s="282">
        <f t="shared" si="0"/>
        <v>97.57718542668222</v>
      </c>
      <c r="H5" s="282">
        <f t="shared" si="0"/>
        <v>97.57718542668222</v>
      </c>
      <c r="K5" s="67" t="s">
        <v>1243</v>
      </c>
      <c r="S5" s="282">
        <v>8500</v>
      </c>
      <c r="T5" s="282">
        <v>68.4444444444444</v>
      </c>
      <c r="U5" s="294">
        <f t="shared" si="1"/>
        <v>65.218053124286428</v>
      </c>
      <c r="V5" s="282">
        <f>$D5*$K$4</f>
        <v>89.895081394078403</v>
      </c>
      <c r="W5" s="282">
        <f t="shared" si="2"/>
        <v>81.722801267343996</v>
      </c>
      <c r="X5" s="282">
        <f t="shared" si="2"/>
        <v>81.722801267343996</v>
      </c>
    </row>
    <row r="6" spans="2:24" ht="15.75" thickBot="1" x14ac:dyDescent="0.35">
      <c r="B6" s="283">
        <v>3</v>
      </c>
      <c r="C6" s="282">
        <v>9000</v>
      </c>
      <c r="D6" s="282">
        <f t="shared" si="3"/>
        <v>83.306763472151871</v>
      </c>
      <c r="E6" s="282">
        <f t="shared" si="0"/>
        <v>79.379779759176159</v>
      </c>
      <c r="F6" s="282">
        <f t="shared" si="0"/>
        <v>109.41528335561202</v>
      </c>
      <c r="G6" s="282">
        <f t="shared" si="0"/>
        <v>99.468439414192744</v>
      </c>
      <c r="H6" s="282">
        <f t="shared" si="0"/>
        <v>99.468439414192744</v>
      </c>
      <c r="K6" t="str">
        <f>"Inflatiecorrectie 2017-"&amp;input_basisjaar</f>
        <v>Inflatiecorrectie 2017-2025</v>
      </c>
      <c r="S6" s="282">
        <v>9000</v>
      </c>
      <c r="T6" s="282">
        <v>69.771043771043765</v>
      </c>
      <c r="U6" s="294">
        <f t="shared" si="1"/>
        <v>66.482118105148771</v>
      </c>
      <c r="V6" s="282">
        <f t="shared" ref="V6:V62" si="4">$D6*$K$4</f>
        <v>91.63743981936706</v>
      </c>
      <c r="W6" s="282">
        <f t="shared" si="2"/>
        <v>83.306763472151871</v>
      </c>
      <c r="X6" s="282">
        <f t="shared" si="2"/>
        <v>83.306763472151871</v>
      </c>
    </row>
    <row r="7" spans="2:24" ht="15.75" thickBot="1" x14ac:dyDescent="0.35">
      <c r="B7" s="283">
        <v>4</v>
      </c>
      <c r="C7" s="282">
        <v>9500</v>
      </c>
      <c r="D7" s="282">
        <f t="shared" si="3"/>
        <v>85.011331936209018</v>
      </c>
      <c r="E7" s="282">
        <f t="shared" si="0"/>
        <v>81.003996852984244</v>
      </c>
      <c r="F7" s="282">
        <f t="shared" si="0"/>
        <v>111.6540672636701</v>
      </c>
      <c r="G7" s="282">
        <f t="shared" si="0"/>
        <v>101.50369751242735</v>
      </c>
      <c r="H7" s="282">
        <f t="shared" si="0"/>
        <v>101.50369751242735</v>
      </c>
      <c r="K7" s="439">
        <f>Inflatiecorrectie</f>
        <v>1.1940019665683383</v>
      </c>
      <c r="S7" s="282">
        <v>9500</v>
      </c>
      <c r="T7" s="282">
        <v>71.19865319865319</v>
      </c>
      <c r="U7" s="294">
        <f t="shared" si="1"/>
        <v>67.842431688614809</v>
      </c>
      <c r="V7" s="282">
        <f t="shared" si="4"/>
        <v>93.512465129829934</v>
      </c>
      <c r="W7" s="282">
        <f t="shared" si="2"/>
        <v>85.011331936209018</v>
      </c>
      <c r="X7" s="282">
        <f t="shared" si="2"/>
        <v>85.011331936209018</v>
      </c>
    </row>
    <row r="8" spans="2:24" ht="15.75" thickBot="1" x14ac:dyDescent="0.35">
      <c r="B8" s="283">
        <v>5</v>
      </c>
      <c r="C8" s="282">
        <v>10000</v>
      </c>
      <c r="D8" s="282">
        <f t="shared" si="3"/>
        <v>86.750742208493776</v>
      </c>
      <c r="E8" s="282">
        <f t="shared" si="0"/>
        <v>82.661413352797808</v>
      </c>
      <c r="F8" s="282">
        <f t="shared" si="0"/>
        <v>113.93861247802498</v>
      </c>
      <c r="G8" s="282">
        <f t="shared" si="0"/>
        <v>103.58055679820453</v>
      </c>
      <c r="H8" s="282">
        <f t="shared" si="0"/>
        <v>103.58055679820453</v>
      </c>
      <c r="S8" s="282">
        <v>10000</v>
      </c>
      <c r="T8" s="282">
        <v>72.655443322109988</v>
      </c>
      <c r="U8" s="294">
        <f t="shared" si="1"/>
        <v>69.230550423944138</v>
      </c>
      <c r="V8" s="282">
        <f t="shared" si="4"/>
        <v>95.425816429343158</v>
      </c>
      <c r="W8" s="282">
        <f t="shared" si="2"/>
        <v>86.750742208493776</v>
      </c>
      <c r="X8" s="282">
        <f t="shared" si="2"/>
        <v>86.750742208493776</v>
      </c>
    </row>
    <row r="9" spans="2:24" ht="15.75" thickBot="1" x14ac:dyDescent="0.35">
      <c r="B9" s="283">
        <v>6</v>
      </c>
      <c r="C9" s="282">
        <v>10500</v>
      </c>
      <c r="D9" s="282">
        <f t="shared" si="3"/>
        <v>88.042569252008789</v>
      </c>
      <c r="E9" s="282">
        <f t="shared" si="0"/>
        <v>83.892345175463689</v>
      </c>
      <c r="F9" s="282">
        <f t="shared" si="0"/>
        <v>115.63530091149039</v>
      </c>
      <c r="G9" s="282">
        <f t="shared" si="0"/>
        <v>105.12300082862761</v>
      </c>
      <c r="H9" s="282">
        <f t="shared" si="0"/>
        <v>105.12300082862761</v>
      </c>
      <c r="S9" s="282">
        <v>10500</v>
      </c>
      <c r="T9" s="282">
        <v>73.737373737373744</v>
      </c>
      <c r="U9" s="294">
        <f t="shared" si="1"/>
        <v>70.261479900721866</v>
      </c>
      <c r="V9" s="282">
        <f t="shared" si="4"/>
        <v>96.846826177209678</v>
      </c>
      <c r="W9" s="282">
        <f t="shared" si="2"/>
        <v>88.042569252008789</v>
      </c>
      <c r="X9" s="282">
        <f t="shared" si="2"/>
        <v>88.042569252008789</v>
      </c>
    </row>
    <row r="10" spans="2:24" ht="15.75" thickBot="1" x14ac:dyDescent="0.35">
      <c r="B10" s="283">
        <v>7</v>
      </c>
      <c r="C10" s="282">
        <v>11000</v>
      </c>
      <c r="D10" s="282">
        <f t="shared" si="3"/>
        <v>89.128025585252729</v>
      </c>
      <c r="E10" s="282">
        <f t="shared" si="0"/>
        <v>84.926634362558431</v>
      </c>
      <c r="F10" s="282">
        <f t="shared" si="0"/>
        <v>117.06094160765944</v>
      </c>
      <c r="G10" s="282">
        <f t="shared" si="0"/>
        <v>106.41903782514494</v>
      </c>
      <c r="H10" s="282">
        <f t="shared" si="0"/>
        <v>106.41903782514494</v>
      </c>
      <c r="S10" s="282">
        <v>11000</v>
      </c>
      <c r="T10" s="282">
        <v>74.646464646464651</v>
      </c>
      <c r="U10" s="294">
        <f t="shared" si="1"/>
        <v>71.127717324155412</v>
      </c>
      <c r="V10" s="282">
        <f t="shared" si="4"/>
        <v>98.040828143778015</v>
      </c>
      <c r="W10" s="282">
        <f t="shared" si="2"/>
        <v>89.128025585252729</v>
      </c>
      <c r="X10" s="282">
        <f t="shared" si="2"/>
        <v>89.128025585252729</v>
      </c>
    </row>
    <row r="11" spans="2:24" ht="15.75" thickBot="1" x14ac:dyDescent="0.35">
      <c r="B11" s="283">
        <v>8</v>
      </c>
      <c r="C11" s="282">
        <v>11500</v>
      </c>
      <c r="D11" s="282">
        <f t="shared" si="3"/>
        <v>90.457499233722075</v>
      </c>
      <c r="E11" s="282">
        <f t="shared" si="0"/>
        <v>86.193438173108603</v>
      </c>
      <c r="F11" s="282">
        <f t="shared" si="0"/>
        <v>118.80707517350993</v>
      </c>
      <c r="G11" s="282">
        <f t="shared" si="0"/>
        <v>108.00643197591812</v>
      </c>
      <c r="H11" s="282">
        <f t="shared" si="0"/>
        <v>108.00643197591812</v>
      </c>
      <c r="S11" s="282">
        <v>11500</v>
      </c>
      <c r="T11" s="282">
        <v>75.759924829692281</v>
      </c>
      <c r="U11" s="294">
        <f t="shared" si="1"/>
        <v>72.188690292391868</v>
      </c>
      <c r="V11" s="282">
        <f t="shared" si="4"/>
        <v>99.503249157094288</v>
      </c>
      <c r="W11" s="282">
        <f t="shared" si="2"/>
        <v>90.457499233722075</v>
      </c>
      <c r="X11" s="282">
        <f t="shared" si="2"/>
        <v>90.457499233722075</v>
      </c>
    </row>
    <row r="12" spans="2:24" ht="15.75" thickBot="1" x14ac:dyDescent="0.35">
      <c r="B12" s="283">
        <v>9</v>
      </c>
      <c r="C12" s="282">
        <v>12000</v>
      </c>
      <c r="D12" s="282">
        <f t="shared" si="3"/>
        <v>92.906888146649436</v>
      </c>
      <c r="E12" s="282">
        <f t="shared" si="0"/>
        <v>88.527365748121611</v>
      </c>
      <c r="F12" s="282">
        <f t="shared" si="0"/>
        <v>122.02410787032848</v>
      </c>
      <c r="G12" s="282">
        <f t="shared" si="0"/>
        <v>110.93100715484407</v>
      </c>
      <c r="H12" s="282">
        <f t="shared" si="0"/>
        <v>110.93100715484407</v>
      </c>
      <c r="S12" s="282">
        <v>12000</v>
      </c>
      <c r="T12" s="282">
        <v>77.811335950870841</v>
      </c>
      <c r="U12" s="294">
        <f t="shared" si="1"/>
        <v>74.143400284805793</v>
      </c>
      <c r="V12" s="282">
        <f t="shared" si="4"/>
        <v>102.19757696131438</v>
      </c>
      <c r="W12" s="282">
        <f t="shared" si="2"/>
        <v>92.906888146649436</v>
      </c>
      <c r="X12" s="282">
        <f t="shared" si="2"/>
        <v>92.906888146649436</v>
      </c>
    </row>
    <row r="13" spans="2:24" ht="15.75" thickBot="1" x14ac:dyDescent="0.35">
      <c r="B13" s="283">
        <v>10</v>
      </c>
      <c r="C13" s="282">
        <v>12500</v>
      </c>
      <c r="D13" s="282">
        <f t="shared" si="3"/>
        <v>96.987333137043876</v>
      </c>
      <c r="E13" s="282">
        <f t="shared" si="0"/>
        <v>92.415463318557428</v>
      </c>
      <c r="F13" s="282">
        <f t="shared" si="0"/>
        <v>127.38337314763386</v>
      </c>
      <c r="G13" s="282">
        <f t="shared" si="0"/>
        <v>115.80306649784896</v>
      </c>
      <c r="H13" s="282">
        <f t="shared" si="0"/>
        <v>115.80306649784896</v>
      </c>
      <c r="S13" s="282">
        <v>12500</v>
      </c>
      <c r="T13" s="282">
        <v>81.22878843809076</v>
      </c>
      <c r="U13" s="294">
        <f t="shared" si="1"/>
        <v>77.399758045765381</v>
      </c>
      <c r="V13" s="282">
        <f t="shared" si="4"/>
        <v>106.68606645074827</v>
      </c>
      <c r="W13" s="282">
        <f t="shared" si="2"/>
        <v>96.987333137043876</v>
      </c>
      <c r="X13" s="282">
        <f t="shared" si="2"/>
        <v>96.987333137043876</v>
      </c>
    </row>
    <row r="14" spans="2:24" ht="15.75" thickBot="1" x14ac:dyDescent="0.35">
      <c r="B14" s="283">
        <v>11</v>
      </c>
      <c r="C14" s="282">
        <v>13000</v>
      </c>
      <c r="D14" s="282">
        <f t="shared" si="3"/>
        <v>102.28882243903291</v>
      </c>
      <c r="E14" s="282">
        <f t="shared" si="0"/>
        <v>97.46704659520455</v>
      </c>
      <c r="F14" s="282">
        <f t="shared" si="0"/>
        <v>134.34636066518138</v>
      </c>
      <c r="G14" s="282">
        <f t="shared" si="0"/>
        <v>122.13305515016488</v>
      </c>
      <c r="H14" s="282">
        <f t="shared" si="0"/>
        <v>122.13305515016488</v>
      </c>
      <c r="S14" s="282">
        <v>13000</v>
      </c>
      <c r="T14" s="282">
        <v>85.668889418180399</v>
      </c>
      <c r="U14" s="294">
        <f t="shared" si="1"/>
        <v>81.630557841820817</v>
      </c>
      <c r="V14" s="282">
        <f t="shared" si="4"/>
        <v>112.51770468293621</v>
      </c>
      <c r="W14" s="282">
        <f t="shared" si="2"/>
        <v>102.28882243903291</v>
      </c>
      <c r="X14" s="282">
        <f t="shared" si="2"/>
        <v>102.28882243903291</v>
      </c>
    </row>
    <row r="15" spans="2:24" ht="15.75" thickBot="1" x14ac:dyDescent="0.35">
      <c r="B15" s="283">
        <v>12</v>
      </c>
      <c r="C15" s="282">
        <v>13500</v>
      </c>
      <c r="D15" s="282">
        <f t="shared" si="3"/>
        <v>107.93027851360976</v>
      </c>
      <c r="E15" s="282">
        <f t="shared" si="0"/>
        <v>102.84257100710509</v>
      </c>
      <c r="F15" s="282">
        <f t="shared" si="0"/>
        <v>141.75586127727041</v>
      </c>
      <c r="G15" s="282">
        <f t="shared" si="0"/>
        <v>128.86896479751854</v>
      </c>
      <c r="H15" s="282">
        <f t="shared" si="0"/>
        <v>128.86896479751854</v>
      </c>
      <c r="S15" s="282">
        <v>13500</v>
      </c>
      <c r="T15" s="282">
        <v>90.393719219584227</v>
      </c>
      <c r="U15" s="294">
        <f>+$E$16*T15/$D$16</f>
        <v>86.132664674483962</v>
      </c>
      <c r="V15" s="282">
        <f t="shared" si="4"/>
        <v>118.72330636497075</v>
      </c>
      <c r="W15" s="282">
        <f t="shared" si="2"/>
        <v>107.93027851360976</v>
      </c>
      <c r="X15" s="282">
        <f t="shared" si="2"/>
        <v>107.93027851360976</v>
      </c>
    </row>
    <row r="16" spans="2:24" ht="15.75" thickBot="1" x14ac:dyDescent="0.35">
      <c r="B16" s="283">
        <v>13</v>
      </c>
      <c r="C16" s="282">
        <v>14000</v>
      </c>
      <c r="D16" s="282">
        <f t="shared" si="3"/>
        <v>113.37302141818535</v>
      </c>
      <c r="E16" s="282">
        <f t="shared" si="0"/>
        <v>108.028749356183</v>
      </c>
      <c r="F16" s="282">
        <f t="shared" si="0"/>
        <v>148.90437158201843</v>
      </c>
      <c r="G16" s="282">
        <f t="shared" si="0"/>
        <v>135.36761052910765</v>
      </c>
      <c r="H16" s="282">
        <f t="shared" si="0"/>
        <v>135.36761052910765</v>
      </c>
      <c r="S16" s="282">
        <v>14000</v>
      </c>
      <c r="T16" s="282">
        <v>94.952122854561878</v>
      </c>
      <c r="U16" s="282">
        <v>90.476190476190482</v>
      </c>
      <c r="V16" s="282">
        <f t="shared" si="4"/>
        <v>124.71032356000389</v>
      </c>
      <c r="W16" s="282">
        <f t="shared" si="2"/>
        <v>113.37302141818535</v>
      </c>
      <c r="X16" s="282">
        <f t="shared" si="2"/>
        <v>113.37302141818535</v>
      </c>
    </row>
    <row r="17" spans="2:24" ht="15.75" thickBot="1" x14ac:dyDescent="0.35">
      <c r="B17" s="283">
        <v>14</v>
      </c>
      <c r="C17" s="282">
        <v>14500</v>
      </c>
      <c r="D17" s="282">
        <f t="shared" si="3"/>
        <v>118.11405206850682</v>
      </c>
      <c r="E17" s="282">
        <f t="shared" si="0"/>
        <v>110.87315202786343</v>
      </c>
      <c r="F17" s="282">
        <f t="shared" si="0"/>
        <v>155.13125149406747</v>
      </c>
      <c r="G17" s="282">
        <f t="shared" si="0"/>
        <v>141.02841044915226</v>
      </c>
      <c r="H17" s="282">
        <f t="shared" si="0"/>
        <v>141.02841044915226</v>
      </c>
      <c r="S17" s="282">
        <v>14500</v>
      </c>
      <c r="T17" s="282">
        <v>98.922828752097033</v>
      </c>
      <c r="U17" s="282">
        <v>92.858433346238243</v>
      </c>
      <c r="V17" s="282">
        <f t="shared" si="4"/>
        <v>129.9254572753575</v>
      </c>
      <c r="W17" s="282">
        <f t="shared" si="2"/>
        <v>118.11405206850682</v>
      </c>
      <c r="X17" s="282">
        <f t="shared" si="2"/>
        <v>118.11405206850682</v>
      </c>
    </row>
    <row r="18" spans="2:24" ht="15.75" thickBot="1" x14ac:dyDescent="0.35">
      <c r="B18" s="283">
        <v>15</v>
      </c>
      <c r="C18" s="282">
        <v>15000</v>
      </c>
      <c r="D18" s="282">
        <f t="shared" si="3"/>
        <v>122.36864932585488</v>
      </c>
      <c r="E18" s="282">
        <f t="shared" si="0"/>
        <v>114.16440018967786</v>
      </c>
      <c r="F18" s="282">
        <f t="shared" si="0"/>
        <v>160.7192487355203</v>
      </c>
      <c r="G18" s="282">
        <f t="shared" si="0"/>
        <v>146.1084079413821</v>
      </c>
      <c r="H18" s="282">
        <f t="shared" si="0"/>
        <v>146.1084079413821</v>
      </c>
      <c r="S18" s="282">
        <v>15000</v>
      </c>
      <c r="T18" s="282">
        <v>102.48613716906398</v>
      </c>
      <c r="U18" s="282">
        <v>95.614918053942503</v>
      </c>
      <c r="V18" s="282">
        <f t="shared" si="4"/>
        <v>134.60551425844037</v>
      </c>
      <c r="W18" s="282">
        <f t="shared" si="2"/>
        <v>122.36864932585488</v>
      </c>
      <c r="X18" s="282">
        <f t="shared" si="2"/>
        <v>122.36864932585488</v>
      </c>
    </row>
    <row r="19" spans="2:24" ht="15.75" thickBot="1" x14ac:dyDescent="0.35">
      <c r="B19" s="283">
        <v>16</v>
      </c>
      <c r="C19" s="282">
        <v>15500</v>
      </c>
      <c r="D19" s="282">
        <f t="shared" si="3"/>
        <v>125.72713765916873</v>
      </c>
      <c r="E19" s="282">
        <f t="shared" si="0"/>
        <v>117.7792261202099</v>
      </c>
      <c r="F19" s="282">
        <f t="shared" si="0"/>
        <v>165.13029457766123</v>
      </c>
      <c r="G19" s="282">
        <f t="shared" si="0"/>
        <v>150.11844961605567</v>
      </c>
      <c r="H19" s="282">
        <f t="shared" si="0"/>
        <v>150.11844961605567</v>
      </c>
      <c r="S19" s="282">
        <v>15500</v>
      </c>
      <c r="T19" s="282">
        <v>105.29893683552218</v>
      </c>
      <c r="U19" s="282">
        <v>98.642405471673769</v>
      </c>
      <c r="V19" s="282">
        <f t="shared" si="4"/>
        <v>138.29985142508562</v>
      </c>
      <c r="W19" s="282">
        <f t="shared" si="2"/>
        <v>125.72713765916873</v>
      </c>
      <c r="X19" s="282">
        <f t="shared" si="2"/>
        <v>125.72713765916873</v>
      </c>
    </row>
    <row r="20" spans="2:24" ht="15.75" thickBot="1" x14ac:dyDescent="0.35">
      <c r="B20" s="283">
        <v>17</v>
      </c>
      <c r="C20" s="282">
        <v>16000</v>
      </c>
      <c r="D20" s="282">
        <f t="shared" si="3"/>
        <v>128.60523745892476</v>
      </c>
      <c r="E20" s="282">
        <f t="shared" ref="E20:E49" si="5">U20*$K$7</f>
        <v>120.92979499495796</v>
      </c>
      <c r="F20" s="282">
        <f t="shared" ref="F20:F49" si="6">V20*$K$7</f>
        <v>168.91039708063875</v>
      </c>
      <c r="G20" s="282">
        <f t="shared" ref="G20:G49" si="7">W20*$K$7</f>
        <v>153.55490643694429</v>
      </c>
      <c r="H20" s="282">
        <f t="shared" ref="H20:H49" si="8">X20*$K$7</f>
        <v>153.55490643694429</v>
      </c>
      <c r="S20" s="282">
        <v>16000</v>
      </c>
      <c r="T20" s="282">
        <v>107.70940170940169</v>
      </c>
      <c r="U20" s="282">
        <v>101.28106852497096</v>
      </c>
      <c r="V20" s="282">
        <f t="shared" si="4"/>
        <v>141.46576120481726</v>
      </c>
      <c r="W20" s="282">
        <f t="shared" si="2"/>
        <v>128.60523745892476</v>
      </c>
      <c r="X20" s="282">
        <f t="shared" si="2"/>
        <v>128.60523745892476</v>
      </c>
    </row>
    <row r="21" spans="2:24" ht="15.75" thickBot="1" x14ac:dyDescent="0.35">
      <c r="B21" s="283">
        <v>18</v>
      </c>
      <c r="C21" s="282">
        <v>16500</v>
      </c>
      <c r="D21" s="282">
        <f t="shared" si="3"/>
        <v>130.94901909700337</v>
      </c>
      <c r="E21" s="282">
        <f t="shared" si="5"/>
        <v>123.74261031302544</v>
      </c>
      <c r="F21" s="282">
        <f t="shared" si="6"/>
        <v>171.98872495421864</v>
      </c>
      <c r="G21" s="282">
        <f t="shared" si="7"/>
        <v>156.35338632201692</v>
      </c>
      <c r="H21" s="282">
        <f t="shared" si="8"/>
        <v>156.35338632201692</v>
      </c>
      <c r="S21" s="282">
        <v>16500</v>
      </c>
      <c r="T21" s="282">
        <v>109.67236467236467</v>
      </c>
      <c r="U21" s="282">
        <v>103.63685636856367</v>
      </c>
      <c r="V21" s="282">
        <f t="shared" si="4"/>
        <v>144.04392100670373</v>
      </c>
      <c r="W21" s="282">
        <f t="shared" si="2"/>
        <v>130.94901909700337</v>
      </c>
      <c r="X21" s="282">
        <f t="shared" si="2"/>
        <v>130.94901909700337</v>
      </c>
    </row>
    <row r="22" spans="2:24" ht="15.75" thickBot="1" x14ac:dyDescent="0.35">
      <c r="B22" s="283">
        <v>19</v>
      </c>
      <c r="C22" s="282">
        <v>17000</v>
      </c>
      <c r="D22" s="282">
        <f t="shared" si="3"/>
        <v>133.34006666988088</v>
      </c>
      <c r="E22" s="282">
        <f t="shared" si="5"/>
        <v>126.21150868834157</v>
      </c>
      <c r="F22" s="282">
        <f t="shared" si="6"/>
        <v>175.12913200881025</v>
      </c>
      <c r="G22" s="282">
        <f t="shared" si="7"/>
        <v>159.20830182619113</v>
      </c>
      <c r="H22" s="282">
        <f t="shared" si="8"/>
        <v>159.20830182619113</v>
      </c>
      <c r="S22" s="282">
        <v>17000</v>
      </c>
      <c r="T22" s="282">
        <v>111.67491378017694</v>
      </c>
      <c r="U22" s="282">
        <v>105.70460704607046</v>
      </c>
      <c r="V22" s="282">
        <f t="shared" si="4"/>
        <v>146.67407333686899</v>
      </c>
      <c r="W22" s="282">
        <f t="shared" si="2"/>
        <v>133.34006666988088</v>
      </c>
      <c r="X22" s="282">
        <f t="shared" si="2"/>
        <v>133.34006666988088</v>
      </c>
    </row>
    <row r="23" spans="2:24" ht="15.75" thickBot="1" x14ac:dyDescent="0.35">
      <c r="B23" s="283">
        <v>20</v>
      </c>
      <c r="C23" s="282">
        <v>17500</v>
      </c>
      <c r="D23" s="282">
        <f t="shared" si="3"/>
        <v>136.05069641554661</v>
      </c>
      <c r="E23" s="282">
        <f t="shared" si="5"/>
        <v>127.94912130635565</v>
      </c>
      <c r="F23" s="282">
        <f t="shared" si="6"/>
        <v>178.68927898047011</v>
      </c>
      <c r="G23" s="282">
        <f t="shared" si="7"/>
        <v>162.44479907315463</v>
      </c>
      <c r="H23" s="282">
        <f t="shared" si="8"/>
        <v>162.44479907315463</v>
      </c>
      <c r="S23" s="282">
        <v>17500</v>
      </c>
      <c r="T23" s="282">
        <v>113.94511920827711</v>
      </c>
      <c r="U23" s="282">
        <v>107.15989159891599</v>
      </c>
      <c r="V23" s="282">
        <f t="shared" si="4"/>
        <v>149.65576605710129</v>
      </c>
      <c r="W23" s="282">
        <f t="shared" si="2"/>
        <v>136.05069641554661</v>
      </c>
      <c r="X23" s="282">
        <f t="shared" si="2"/>
        <v>136.05069641554661</v>
      </c>
    </row>
    <row r="24" spans="2:24" ht="15.75" thickBot="1" x14ac:dyDescent="0.35">
      <c r="B24" s="283">
        <v>21</v>
      </c>
      <c r="C24" s="282">
        <v>18000</v>
      </c>
      <c r="D24" s="282">
        <f t="shared" si="3"/>
        <v>139.17311271438479</v>
      </c>
      <c r="E24" s="282">
        <f t="shared" si="5"/>
        <v>128.95221238938055</v>
      </c>
      <c r="F24" s="282">
        <f t="shared" si="6"/>
        <v>182.7902673018537</v>
      </c>
      <c r="G24" s="282">
        <f t="shared" si="7"/>
        <v>166.17297027441245</v>
      </c>
      <c r="H24" s="282">
        <f t="shared" si="8"/>
        <v>166.17297027441245</v>
      </c>
      <c r="S24" s="282">
        <v>18000</v>
      </c>
      <c r="T24" s="282">
        <v>116.56020392862497</v>
      </c>
      <c r="U24" s="282">
        <v>108</v>
      </c>
      <c r="V24" s="282">
        <f t="shared" si="4"/>
        <v>153.09042398582326</v>
      </c>
      <c r="W24" s="282">
        <f t="shared" ref="W24:X43" si="9">$D24</f>
        <v>139.17311271438479</v>
      </c>
      <c r="X24" s="282">
        <f t="shared" si="9"/>
        <v>139.17311271438479</v>
      </c>
    </row>
    <row r="25" spans="2:24" ht="15.75" thickBot="1" x14ac:dyDescent="0.35">
      <c r="B25" s="283">
        <v>22</v>
      </c>
      <c r="C25" s="282">
        <v>18500</v>
      </c>
      <c r="D25" s="282">
        <f t="shared" si="3"/>
        <v>141.76915837568947</v>
      </c>
      <c r="E25" s="282">
        <f t="shared" si="5"/>
        <v>129.48287993007759</v>
      </c>
      <c r="F25" s="282">
        <f t="shared" si="6"/>
        <v>186.19991928924262</v>
      </c>
      <c r="G25" s="282">
        <f t="shared" si="7"/>
        <v>169.27265389931145</v>
      </c>
      <c r="H25" s="282">
        <f t="shared" si="8"/>
        <v>169.27265389931145</v>
      </c>
      <c r="S25" s="282">
        <v>18500</v>
      </c>
      <c r="T25" s="282">
        <v>118.73444294496926</v>
      </c>
      <c r="U25" s="282">
        <v>108.44444444444444</v>
      </c>
      <c r="V25" s="282">
        <f t="shared" si="4"/>
        <v>155.94607421325844</v>
      </c>
      <c r="W25" s="282">
        <f t="shared" si="9"/>
        <v>141.76915837568947</v>
      </c>
      <c r="X25" s="282">
        <f t="shared" si="9"/>
        <v>141.76915837568947</v>
      </c>
    </row>
    <row r="26" spans="2:24" ht="15.75" thickBot="1" x14ac:dyDescent="0.35">
      <c r="B26" s="283">
        <v>23</v>
      </c>
      <c r="C26" s="282">
        <v>19000</v>
      </c>
      <c r="D26" s="282">
        <f t="shared" si="3"/>
        <v>144.13700363925486</v>
      </c>
      <c r="E26" s="282">
        <f t="shared" si="5"/>
        <v>130.79254020679781</v>
      </c>
      <c r="F26" s="282">
        <f t="shared" si="6"/>
        <v>189.30985238059185</v>
      </c>
      <c r="G26" s="282">
        <f t="shared" si="7"/>
        <v>172.09986580053803</v>
      </c>
      <c r="H26" s="282">
        <f t="shared" si="8"/>
        <v>172.09986580053803</v>
      </c>
      <c r="S26" s="282">
        <v>19000</v>
      </c>
      <c r="T26" s="282">
        <v>120.71755966492809</v>
      </c>
      <c r="U26" s="282">
        <v>109.54131054131052</v>
      </c>
      <c r="V26" s="282">
        <f t="shared" si="4"/>
        <v>158.55070400318036</v>
      </c>
      <c r="W26" s="282">
        <f t="shared" si="9"/>
        <v>144.13700363925486</v>
      </c>
      <c r="X26" s="282">
        <f t="shared" si="9"/>
        <v>144.13700363925486</v>
      </c>
    </row>
    <row r="27" spans="2:24" ht="15.75" thickBot="1" x14ac:dyDescent="0.35">
      <c r="B27" s="283">
        <v>24</v>
      </c>
      <c r="C27" s="282">
        <v>19500</v>
      </c>
      <c r="D27" s="282">
        <f t="shared" si="3"/>
        <v>145.99018829417838</v>
      </c>
      <c r="E27" s="282">
        <f t="shared" si="5"/>
        <v>132.88459493454576</v>
      </c>
      <c r="F27" s="282">
        <f t="shared" si="6"/>
        <v>191.74382911522409</v>
      </c>
      <c r="G27" s="282">
        <f t="shared" si="7"/>
        <v>174.312571922931</v>
      </c>
      <c r="H27" s="282">
        <f t="shared" si="8"/>
        <v>174.312571922931</v>
      </c>
      <c r="S27" s="282">
        <v>19500</v>
      </c>
      <c r="T27" s="282">
        <v>122.26963805911174</v>
      </c>
      <c r="U27" s="282">
        <v>111.29344729344729</v>
      </c>
      <c r="V27" s="282">
        <f t="shared" si="4"/>
        <v>160.58920712359622</v>
      </c>
      <c r="W27" s="282">
        <f t="shared" si="9"/>
        <v>145.99018829417838</v>
      </c>
      <c r="X27" s="282">
        <f t="shared" si="9"/>
        <v>145.99018829417838</v>
      </c>
    </row>
    <row r="28" spans="2:24" ht="15.75" thickBot="1" x14ac:dyDescent="0.35">
      <c r="B28" s="283">
        <v>25</v>
      </c>
      <c r="C28" s="282">
        <v>20000</v>
      </c>
      <c r="D28" s="282">
        <f t="shared" si="3"/>
        <v>148.28874115537678</v>
      </c>
      <c r="E28" s="282">
        <f t="shared" si="5"/>
        <v>136.31728344931781</v>
      </c>
      <c r="F28" s="282">
        <f t="shared" si="6"/>
        <v>194.76275341540952</v>
      </c>
      <c r="G28" s="282">
        <f t="shared" si="7"/>
        <v>177.05704855946317</v>
      </c>
      <c r="H28" s="282">
        <f t="shared" si="8"/>
        <v>177.05704855946317</v>
      </c>
      <c r="S28" s="282">
        <v>20000</v>
      </c>
      <c r="T28" s="282">
        <v>124.19472103682629</v>
      </c>
      <c r="U28" s="282">
        <v>114.1683910631279</v>
      </c>
      <c r="V28" s="282">
        <f t="shared" si="4"/>
        <v>163.11761527091448</v>
      </c>
      <c r="W28" s="282">
        <f t="shared" si="9"/>
        <v>148.28874115537678</v>
      </c>
      <c r="X28" s="282">
        <f t="shared" si="9"/>
        <v>148.28874115537678</v>
      </c>
    </row>
    <row r="29" spans="2:24" ht="15.75" thickBot="1" x14ac:dyDescent="0.35">
      <c r="B29" s="283">
        <v>26</v>
      </c>
      <c r="C29" s="282">
        <v>21000</v>
      </c>
      <c r="D29" s="282">
        <f t="shared" si="3"/>
        <v>151.0771151699924</v>
      </c>
      <c r="E29" s="282">
        <f t="shared" si="5"/>
        <v>139.79795404941603</v>
      </c>
      <c r="F29" s="282">
        <f t="shared" si="6"/>
        <v>198.42500987808648</v>
      </c>
      <c r="G29" s="282">
        <f t="shared" si="7"/>
        <v>180.38637261644226</v>
      </c>
      <c r="H29" s="282">
        <f t="shared" si="8"/>
        <v>180.38637261644226</v>
      </c>
      <c r="S29" s="282">
        <v>21000</v>
      </c>
      <c r="T29" s="282">
        <v>126.53003881074056</v>
      </c>
      <c r="U29" s="282">
        <v>117.08352076773129</v>
      </c>
      <c r="V29" s="282">
        <f t="shared" si="4"/>
        <v>166.18482668699164</v>
      </c>
      <c r="W29" s="282">
        <f t="shared" si="9"/>
        <v>151.0771151699924</v>
      </c>
      <c r="X29" s="282">
        <f t="shared" si="9"/>
        <v>151.0771151699924</v>
      </c>
    </row>
    <row r="30" spans="2:24" ht="15.75" thickBot="1" x14ac:dyDescent="0.35">
      <c r="B30" s="283">
        <v>27</v>
      </c>
      <c r="C30" s="282">
        <v>22000</v>
      </c>
      <c r="D30" s="282">
        <f t="shared" si="3"/>
        <v>154.9294243440425</v>
      </c>
      <c r="E30" s="282">
        <f t="shared" si="5"/>
        <v>143.04748706684225</v>
      </c>
      <c r="F30" s="282">
        <f t="shared" si="6"/>
        <v>203.48464108069609</v>
      </c>
      <c r="G30" s="282">
        <f t="shared" si="7"/>
        <v>184.98603734608733</v>
      </c>
      <c r="H30" s="282">
        <f t="shared" si="8"/>
        <v>184.98603734608733</v>
      </c>
      <c r="S30" s="282">
        <v>22000</v>
      </c>
      <c r="T30" s="282">
        <v>129.75642308975642</v>
      </c>
      <c r="U30" s="282">
        <v>119.80506822612085</v>
      </c>
      <c r="V30" s="282">
        <f t="shared" si="4"/>
        <v>170.42236677844676</v>
      </c>
      <c r="W30" s="282">
        <f t="shared" si="9"/>
        <v>154.9294243440425</v>
      </c>
      <c r="X30" s="282">
        <f t="shared" si="9"/>
        <v>154.9294243440425</v>
      </c>
    </row>
    <row r="31" spans="2:24" ht="15.75" thickBot="1" x14ac:dyDescent="0.35">
      <c r="B31" s="283">
        <v>28</v>
      </c>
      <c r="C31" s="282">
        <v>23000</v>
      </c>
      <c r="D31" s="282">
        <f t="shared" si="3"/>
        <v>160.40069547470401</v>
      </c>
      <c r="E31" s="282">
        <f t="shared" si="5"/>
        <v>145.12887211950505</v>
      </c>
      <c r="F31" s="282">
        <f t="shared" si="6"/>
        <v>210.67062041929833</v>
      </c>
      <c r="G31" s="282">
        <f t="shared" si="7"/>
        <v>191.51874583572575</v>
      </c>
      <c r="H31" s="282">
        <f t="shared" si="8"/>
        <v>191.51874583572575</v>
      </c>
      <c r="S31" s="282">
        <v>23000</v>
      </c>
      <c r="T31" s="282">
        <v>134.338719672053</v>
      </c>
      <c r="U31" s="282">
        <v>121.54826891668996</v>
      </c>
      <c r="V31" s="282">
        <f t="shared" si="4"/>
        <v>176.44076502217442</v>
      </c>
      <c r="W31" s="282">
        <f t="shared" si="9"/>
        <v>160.40069547470401</v>
      </c>
      <c r="X31" s="282">
        <f t="shared" si="9"/>
        <v>160.40069547470401</v>
      </c>
    </row>
    <row r="32" spans="2:24" ht="15.75" thickBot="1" x14ac:dyDescent="0.35">
      <c r="B32" s="283">
        <v>29</v>
      </c>
      <c r="C32" s="282">
        <v>24000</v>
      </c>
      <c r="D32" s="282">
        <f t="shared" si="3"/>
        <v>166.1005338343916</v>
      </c>
      <c r="E32" s="282">
        <f t="shared" si="5"/>
        <v>146.97528237754912</v>
      </c>
      <c r="F32" s="282">
        <f t="shared" si="6"/>
        <v>218.15680045094587</v>
      </c>
      <c r="G32" s="282">
        <f t="shared" si="7"/>
        <v>198.3243640463144</v>
      </c>
      <c r="H32" s="282">
        <f t="shared" si="8"/>
        <v>198.3243640463144</v>
      </c>
      <c r="S32" s="282">
        <v>24000</v>
      </c>
      <c r="T32" s="282">
        <v>139.11244577911245</v>
      </c>
      <c r="U32" s="282">
        <v>123.09467362098941</v>
      </c>
      <c r="V32" s="282">
        <f t="shared" si="4"/>
        <v>182.71058721783078</v>
      </c>
      <c r="W32" s="282">
        <f t="shared" si="9"/>
        <v>166.1005338343916</v>
      </c>
      <c r="X32" s="282">
        <f t="shared" si="9"/>
        <v>166.1005338343916</v>
      </c>
    </row>
    <row r="33" spans="2:24" ht="15.75" thickBot="1" x14ac:dyDescent="0.35">
      <c r="B33" s="283">
        <v>30</v>
      </c>
      <c r="C33" s="282">
        <v>25000</v>
      </c>
      <c r="D33" s="282">
        <f t="shared" si="3"/>
        <v>171.89416671435683</v>
      </c>
      <c r="E33" s="282">
        <f t="shared" si="5"/>
        <v>149.28893246607888</v>
      </c>
      <c r="F33" s="282">
        <f t="shared" si="6"/>
        <v>225.76617040842467</v>
      </c>
      <c r="G33" s="282">
        <f t="shared" si="7"/>
        <v>205.24197309856785</v>
      </c>
      <c r="H33" s="282">
        <f t="shared" si="8"/>
        <v>205.24197309856785</v>
      </c>
      <c r="S33" s="282">
        <v>25000</v>
      </c>
      <c r="T33" s="282">
        <v>143.96472663139329</v>
      </c>
      <c r="U33" s="282">
        <v>125.0324008218745</v>
      </c>
      <c r="V33" s="282">
        <f t="shared" si="4"/>
        <v>189.08358338579254</v>
      </c>
      <c r="W33" s="282">
        <f t="shared" si="9"/>
        <v>171.89416671435683</v>
      </c>
      <c r="X33" s="282">
        <f t="shared" si="9"/>
        <v>171.89416671435683</v>
      </c>
    </row>
    <row r="34" spans="2:24" ht="15.75" thickBot="1" x14ac:dyDescent="0.35">
      <c r="B34" s="283">
        <v>31</v>
      </c>
      <c r="C34" s="282">
        <v>26000</v>
      </c>
      <c r="D34" s="282">
        <f t="shared" si="3"/>
        <v>176.26585645438479</v>
      </c>
      <c r="E34" s="282">
        <f t="shared" si="5"/>
        <v>152.51135176647091</v>
      </c>
      <c r="F34" s="282">
        <f t="shared" si="6"/>
        <v>231.50795716992667</v>
      </c>
      <c r="G34" s="282">
        <f t="shared" si="7"/>
        <v>210.46177924538787</v>
      </c>
      <c r="H34" s="282">
        <f t="shared" si="8"/>
        <v>210.46177924538787</v>
      </c>
      <c r="S34" s="282">
        <v>26000</v>
      </c>
      <c r="T34" s="282">
        <v>147.62610229276893</v>
      </c>
      <c r="U34" s="282">
        <v>127.73124001194178</v>
      </c>
      <c r="V34" s="282">
        <f t="shared" si="4"/>
        <v>193.89244209982328</v>
      </c>
      <c r="W34" s="282">
        <f t="shared" si="9"/>
        <v>176.26585645438479</v>
      </c>
      <c r="X34" s="282">
        <f t="shared" si="9"/>
        <v>176.26585645438479</v>
      </c>
    </row>
    <row r="35" spans="2:24" ht="15.75" thickBot="1" x14ac:dyDescent="0.35">
      <c r="B35" s="283">
        <v>32</v>
      </c>
      <c r="C35" s="282">
        <v>27000</v>
      </c>
      <c r="D35" s="282">
        <f t="shared" si="3"/>
        <v>181.19843849699828</v>
      </c>
      <c r="E35" s="282">
        <f t="shared" si="5"/>
        <v>157.3407630789473</v>
      </c>
      <c r="F35" s="282">
        <f t="shared" si="6"/>
        <v>237.98642109498087</v>
      </c>
      <c r="G35" s="282">
        <f t="shared" si="7"/>
        <v>216.35129190452804</v>
      </c>
      <c r="H35" s="282">
        <f t="shared" si="8"/>
        <v>216.35129190452804</v>
      </c>
      <c r="S35" s="282">
        <v>27000</v>
      </c>
      <c r="T35" s="282">
        <v>151.75723622782445</v>
      </c>
      <c r="U35" s="282">
        <v>131.77596644263312</v>
      </c>
      <c r="V35" s="282">
        <f t="shared" si="4"/>
        <v>199.31828234669811</v>
      </c>
      <c r="W35" s="282">
        <f t="shared" si="9"/>
        <v>181.19843849699828</v>
      </c>
      <c r="X35" s="282">
        <f t="shared" si="9"/>
        <v>181.19843849699828</v>
      </c>
    </row>
    <row r="36" spans="2:24" ht="15.75" thickBot="1" x14ac:dyDescent="0.35">
      <c r="B36" s="283">
        <v>33</v>
      </c>
      <c r="C36" s="282">
        <v>28000</v>
      </c>
      <c r="D36" s="282">
        <f t="shared" si="3"/>
        <v>186.2330910469727</v>
      </c>
      <c r="E36" s="282">
        <f t="shared" si="5"/>
        <v>163.67029960146974</v>
      </c>
      <c r="F36" s="282">
        <f t="shared" si="6"/>
        <v>244.5989446452044</v>
      </c>
      <c r="G36" s="282">
        <f t="shared" si="7"/>
        <v>222.3626769501858</v>
      </c>
      <c r="H36" s="282">
        <f t="shared" si="8"/>
        <v>222.3626769501858</v>
      </c>
      <c r="S36" s="282">
        <v>28000</v>
      </c>
      <c r="T36" s="282">
        <v>155.97385620915031</v>
      </c>
      <c r="U36" s="282">
        <v>137.07707707707709</v>
      </c>
      <c r="V36" s="282">
        <f t="shared" si="4"/>
        <v>204.85640015166999</v>
      </c>
      <c r="W36" s="282">
        <f t="shared" si="9"/>
        <v>186.2330910469727</v>
      </c>
      <c r="X36" s="282">
        <f t="shared" si="9"/>
        <v>186.2330910469727</v>
      </c>
    </row>
    <row r="37" spans="2:24" ht="15.75" thickBot="1" x14ac:dyDescent="0.35">
      <c r="B37" s="283">
        <v>34</v>
      </c>
      <c r="C37" s="282">
        <v>29000</v>
      </c>
      <c r="D37" s="282">
        <f t="shared" si="3"/>
        <v>193.0550134959181</v>
      </c>
      <c r="E37" s="282">
        <f t="shared" si="5"/>
        <v>171.7445963264384</v>
      </c>
      <c r="F37" s="282">
        <f t="shared" si="6"/>
        <v>253.55887234700367</v>
      </c>
      <c r="G37" s="282">
        <f t="shared" si="7"/>
        <v>230.50806577000333</v>
      </c>
      <c r="H37" s="282">
        <f t="shared" si="8"/>
        <v>230.50806577000333</v>
      </c>
      <c r="S37" s="282">
        <v>29000</v>
      </c>
      <c r="T37" s="282">
        <v>161.68734968734967</v>
      </c>
      <c r="U37" s="282">
        <v>143.8394585061252</v>
      </c>
      <c r="V37" s="282">
        <f t="shared" si="4"/>
        <v>212.36051484550993</v>
      </c>
      <c r="W37" s="282">
        <f t="shared" si="9"/>
        <v>193.0550134959181</v>
      </c>
      <c r="X37" s="282">
        <f t="shared" si="9"/>
        <v>193.0550134959181</v>
      </c>
    </row>
    <row r="38" spans="2:24" ht="15.75" thickBot="1" x14ac:dyDescent="0.35">
      <c r="B38" s="283">
        <v>35</v>
      </c>
      <c r="C38" s="282">
        <v>30000</v>
      </c>
      <c r="D38" s="282">
        <f t="shared" si="3"/>
        <v>200.48881845677496</v>
      </c>
      <c r="E38" s="282">
        <f t="shared" si="5"/>
        <v>180.39475712350566</v>
      </c>
      <c r="F38" s="282">
        <f t="shared" si="6"/>
        <v>263.32244786358712</v>
      </c>
      <c r="G38" s="282">
        <f t="shared" si="7"/>
        <v>239.38404351235187</v>
      </c>
      <c r="H38" s="282">
        <f t="shared" si="8"/>
        <v>239.38404351235187</v>
      </c>
      <c r="S38" s="282">
        <v>30000</v>
      </c>
      <c r="T38" s="282">
        <v>167.91330673683615</v>
      </c>
      <c r="U38" s="282">
        <v>151.08413735864715</v>
      </c>
      <c r="V38" s="282">
        <f t="shared" si="4"/>
        <v>220.53770030245249</v>
      </c>
      <c r="W38" s="282">
        <f t="shared" si="9"/>
        <v>200.48881845677496</v>
      </c>
      <c r="X38" s="282">
        <f t="shared" si="9"/>
        <v>200.48881845677496</v>
      </c>
    </row>
    <row r="39" spans="2:24" ht="15.75" thickBot="1" x14ac:dyDescent="0.35">
      <c r="B39" s="283">
        <v>36</v>
      </c>
      <c r="C39" s="282">
        <v>32500</v>
      </c>
      <c r="D39" s="282">
        <f t="shared" si="3"/>
        <v>209.44104608660109</v>
      </c>
      <c r="E39" s="282">
        <f t="shared" si="5"/>
        <v>189.84871129624446</v>
      </c>
      <c r="F39" s="282">
        <f t="shared" si="6"/>
        <v>275.08032299828488</v>
      </c>
      <c r="G39" s="282">
        <f t="shared" si="7"/>
        <v>250.07302090753168</v>
      </c>
      <c r="H39" s="282">
        <f t="shared" si="8"/>
        <v>250.07302090753168</v>
      </c>
      <c r="S39" s="282">
        <v>32500</v>
      </c>
      <c r="T39" s="282">
        <v>175.41097246979601</v>
      </c>
      <c r="U39" s="282">
        <v>159.00200888436186</v>
      </c>
      <c r="V39" s="282">
        <f t="shared" si="4"/>
        <v>230.38515069526122</v>
      </c>
      <c r="W39" s="282">
        <f t="shared" si="9"/>
        <v>209.44104608660109</v>
      </c>
      <c r="X39" s="282">
        <f t="shared" si="9"/>
        <v>209.44104608660109</v>
      </c>
    </row>
    <row r="40" spans="2:24" ht="15.75" thickBot="1" x14ac:dyDescent="0.35">
      <c r="B40" s="283">
        <v>37</v>
      </c>
      <c r="C40" s="282">
        <v>35000</v>
      </c>
      <c r="D40" s="282">
        <f t="shared" si="3"/>
        <v>217.60000040410273</v>
      </c>
      <c r="E40" s="282">
        <f t="shared" si="5"/>
        <v>198.61425259872831</v>
      </c>
      <c r="F40" s="282">
        <f t="shared" si="6"/>
        <v>285.79631124854689</v>
      </c>
      <c r="G40" s="282">
        <f t="shared" si="7"/>
        <v>259.81482840776988</v>
      </c>
      <c r="H40" s="282">
        <f t="shared" si="8"/>
        <v>259.81482840776988</v>
      </c>
      <c r="S40" s="282">
        <v>35000</v>
      </c>
      <c r="T40" s="282">
        <v>182.24425628837392</v>
      </c>
      <c r="U40" s="282">
        <v>166.34332116685059</v>
      </c>
      <c r="V40" s="282">
        <f t="shared" si="4"/>
        <v>239.36000044451302</v>
      </c>
      <c r="W40" s="282">
        <f t="shared" si="9"/>
        <v>217.60000040410273</v>
      </c>
      <c r="X40" s="282">
        <f t="shared" si="9"/>
        <v>217.60000040410273</v>
      </c>
    </row>
    <row r="41" spans="2:24" ht="15.75" thickBot="1" x14ac:dyDescent="0.35">
      <c r="B41" s="283">
        <v>38</v>
      </c>
      <c r="C41" s="282">
        <v>37500</v>
      </c>
      <c r="D41" s="282">
        <f t="shared" si="3"/>
        <v>225.78626467784176</v>
      </c>
      <c r="E41" s="282">
        <f t="shared" si="5"/>
        <v>205.94792395946891</v>
      </c>
      <c r="F41" s="282">
        <f t="shared" si="6"/>
        <v>296.54816845440865</v>
      </c>
      <c r="G41" s="282">
        <f t="shared" si="7"/>
        <v>269.58924404946242</v>
      </c>
      <c r="H41" s="282">
        <f t="shared" si="8"/>
        <v>269.58924404946242</v>
      </c>
      <c r="S41" s="282">
        <v>37500</v>
      </c>
      <c r="T41" s="282">
        <v>189.100412729445</v>
      </c>
      <c r="U41" s="282">
        <v>172.48541436776733</v>
      </c>
      <c r="V41" s="282">
        <f t="shared" si="4"/>
        <v>248.36489114562596</v>
      </c>
      <c r="W41" s="282">
        <f t="shared" si="9"/>
        <v>225.78626467784176</v>
      </c>
      <c r="X41" s="282">
        <f t="shared" si="9"/>
        <v>225.78626467784176</v>
      </c>
    </row>
    <row r="42" spans="2:24" ht="15.75" thickBot="1" x14ac:dyDescent="0.35">
      <c r="B42" s="283">
        <v>39</v>
      </c>
      <c r="C42" s="282">
        <v>40000</v>
      </c>
      <c r="D42" s="282">
        <f t="shared" si="3"/>
        <v>234.06617616464496</v>
      </c>
      <c r="E42" s="282">
        <f t="shared" si="5"/>
        <v>210.79136322447098</v>
      </c>
      <c r="F42" s="282">
        <f t="shared" si="6"/>
        <v>307.42302211248898</v>
      </c>
      <c r="G42" s="282">
        <f t="shared" si="7"/>
        <v>279.47547464771719</v>
      </c>
      <c r="H42" s="282">
        <f t="shared" si="8"/>
        <v>279.47547464771719</v>
      </c>
      <c r="S42" s="282">
        <v>40000</v>
      </c>
      <c r="T42" s="282">
        <v>196.03500054306505</v>
      </c>
      <c r="U42" s="282">
        <v>176.54188948306594</v>
      </c>
      <c r="V42" s="282">
        <f t="shared" si="4"/>
        <v>257.47279378110949</v>
      </c>
      <c r="W42" s="282">
        <f t="shared" si="9"/>
        <v>234.06617616464496</v>
      </c>
      <c r="X42" s="282">
        <f t="shared" si="9"/>
        <v>234.06617616464496</v>
      </c>
    </row>
    <row r="43" spans="2:24" ht="15.75" thickBot="1" x14ac:dyDescent="0.35">
      <c r="B43" s="283">
        <v>40</v>
      </c>
      <c r="C43" s="282">
        <v>42500</v>
      </c>
      <c r="D43" s="282">
        <f t="shared" si="3"/>
        <v>244.4587072926322</v>
      </c>
      <c r="E43" s="282">
        <f t="shared" si="5"/>
        <v>215.95555770752429</v>
      </c>
      <c r="F43" s="282">
        <f t="shared" si="6"/>
        <v>321.07259497737232</v>
      </c>
      <c r="G43" s="282">
        <f t="shared" si="7"/>
        <v>291.88417725215663</v>
      </c>
      <c r="H43" s="282">
        <f t="shared" si="8"/>
        <v>291.88417725215663</v>
      </c>
      <c r="S43" s="282">
        <v>42500</v>
      </c>
      <c r="T43" s="282">
        <v>204.73894862604539</v>
      </c>
      <c r="U43" s="282">
        <v>180.86700336700338</v>
      </c>
      <c r="V43" s="282">
        <f t="shared" si="4"/>
        <v>268.90457802189542</v>
      </c>
      <c r="W43" s="282">
        <f t="shared" si="9"/>
        <v>244.4587072926322</v>
      </c>
      <c r="X43" s="282">
        <f t="shared" si="9"/>
        <v>244.4587072926322</v>
      </c>
    </row>
    <row r="44" spans="2:24" ht="15.75" thickBot="1" x14ac:dyDescent="0.35">
      <c r="B44" s="283">
        <v>41</v>
      </c>
      <c r="C44" s="282">
        <v>45000</v>
      </c>
      <c r="D44" s="282">
        <f t="shared" si="3"/>
        <v>256.16727317208415</v>
      </c>
      <c r="E44" s="282">
        <f t="shared" si="5"/>
        <v>223.36781739055584</v>
      </c>
      <c r="F44" s="282">
        <f t="shared" si="6"/>
        <v>336.45065073170895</v>
      </c>
      <c r="G44" s="282">
        <f t="shared" si="7"/>
        <v>305.86422793791724</v>
      </c>
      <c r="H44" s="282">
        <f t="shared" si="8"/>
        <v>305.86422793791724</v>
      </c>
      <c r="S44" s="282">
        <v>45000</v>
      </c>
      <c r="T44" s="282">
        <v>214.54510155316606</v>
      </c>
      <c r="U44" s="282">
        <v>187.07491582491582</v>
      </c>
      <c r="V44" s="282">
        <f t="shared" si="4"/>
        <v>281.78400048929257</v>
      </c>
      <c r="W44" s="282">
        <f t="shared" ref="W44:X62" si="10">$D44</f>
        <v>256.16727317208415</v>
      </c>
      <c r="X44" s="282">
        <f t="shared" si="10"/>
        <v>256.16727317208415</v>
      </c>
    </row>
    <row r="45" spans="2:24" ht="15.75" thickBot="1" x14ac:dyDescent="0.35">
      <c r="B45" s="283">
        <v>42</v>
      </c>
      <c r="C45" s="282">
        <v>47500</v>
      </c>
      <c r="D45" s="282">
        <f t="shared" si="3"/>
        <v>268.1411728218846</v>
      </c>
      <c r="E45" s="282">
        <f t="shared" si="5"/>
        <v>236.34612078001874</v>
      </c>
      <c r="F45" s="282">
        <f t="shared" si="6"/>
        <v>352.17719643399801</v>
      </c>
      <c r="G45" s="282">
        <f t="shared" si="7"/>
        <v>320.16108766727086</v>
      </c>
      <c r="H45" s="282">
        <f t="shared" si="8"/>
        <v>320.16108766727086</v>
      </c>
      <c r="S45" s="282">
        <v>47500</v>
      </c>
      <c r="T45" s="282">
        <v>224.57347670250894</v>
      </c>
      <c r="U45" s="282">
        <v>197.94449875095037</v>
      </c>
      <c r="V45" s="282">
        <f t="shared" si="4"/>
        <v>294.95529010407307</v>
      </c>
      <c r="W45" s="282">
        <f t="shared" si="10"/>
        <v>268.1411728218846</v>
      </c>
      <c r="X45" s="282">
        <f t="shared" si="10"/>
        <v>268.1411728218846</v>
      </c>
    </row>
    <row r="46" spans="2:24" ht="15.75" thickBot="1" x14ac:dyDescent="0.35">
      <c r="B46" s="283">
        <v>43</v>
      </c>
      <c r="C46" s="282">
        <v>50000</v>
      </c>
      <c r="D46" s="282">
        <f t="shared" si="3"/>
        <v>280.62553499826072</v>
      </c>
      <c r="E46" s="282">
        <f t="shared" si="5"/>
        <v>254.18485641722944</v>
      </c>
      <c r="F46" s="282">
        <f t="shared" si="6"/>
        <v>368.57418472293693</v>
      </c>
      <c r="G46" s="282">
        <f t="shared" si="7"/>
        <v>335.06744065721534</v>
      </c>
      <c r="H46" s="282">
        <f t="shared" si="8"/>
        <v>335.06744065721534</v>
      </c>
      <c r="S46" s="282">
        <v>50000</v>
      </c>
      <c r="T46" s="282">
        <v>235.02937420178799</v>
      </c>
      <c r="U46" s="282">
        <v>212.88478874769194</v>
      </c>
      <c r="V46" s="282">
        <f t="shared" si="4"/>
        <v>308.68808849808681</v>
      </c>
      <c r="W46" s="282">
        <f t="shared" si="10"/>
        <v>280.62553499826072</v>
      </c>
      <c r="X46" s="282">
        <f t="shared" si="10"/>
        <v>280.62553499826072</v>
      </c>
    </row>
    <row r="47" spans="2:24" ht="15.75" thickBot="1" x14ac:dyDescent="0.35">
      <c r="B47" s="283">
        <v>44</v>
      </c>
      <c r="C47" s="282">
        <v>55000</v>
      </c>
      <c r="D47" s="282">
        <f t="shared" si="3"/>
        <v>293.20906530237562</v>
      </c>
      <c r="E47" s="282">
        <f t="shared" si="5"/>
        <v>275.25382969800131</v>
      </c>
      <c r="F47" s="282">
        <f t="shared" si="6"/>
        <v>385.10142064537098</v>
      </c>
      <c r="G47" s="282">
        <f t="shared" si="7"/>
        <v>350.09220058670081</v>
      </c>
      <c r="H47" s="282">
        <f t="shared" si="8"/>
        <v>350.09220058670081</v>
      </c>
      <c r="S47" s="282">
        <v>55000</v>
      </c>
      <c r="T47" s="282">
        <v>245.5683269476373</v>
      </c>
      <c r="U47" s="282">
        <v>230.53046594982075</v>
      </c>
      <c r="V47" s="282">
        <f t="shared" si="4"/>
        <v>322.52997183261323</v>
      </c>
      <c r="W47" s="282">
        <f t="shared" si="10"/>
        <v>293.20906530237562</v>
      </c>
      <c r="X47" s="282">
        <f t="shared" si="10"/>
        <v>293.20906530237562</v>
      </c>
    </row>
    <row r="48" spans="2:24" ht="15.75" thickBot="1" x14ac:dyDescent="0.35">
      <c r="B48" s="283">
        <v>45</v>
      </c>
      <c r="C48" s="282">
        <v>60000</v>
      </c>
      <c r="D48" s="282">
        <f t="shared" si="3"/>
        <v>307.23297893123959</v>
      </c>
      <c r="E48" s="282">
        <f t="shared" si="5"/>
        <v>294.17990208862716</v>
      </c>
      <c r="F48" s="282">
        <f t="shared" si="6"/>
        <v>403.52045914240381</v>
      </c>
      <c r="G48" s="282">
        <f t="shared" si="7"/>
        <v>366.83678103854891</v>
      </c>
      <c r="H48" s="282">
        <f t="shared" si="8"/>
        <v>366.83678103854891</v>
      </c>
      <c r="S48" s="282">
        <v>60000</v>
      </c>
      <c r="T48" s="282">
        <v>257.31362889983581</v>
      </c>
      <c r="U48" s="282">
        <v>246.38142174432497</v>
      </c>
      <c r="V48" s="282">
        <f t="shared" si="4"/>
        <v>337.95627682436356</v>
      </c>
      <c r="W48" s="282">
        <f t="shared" si="10"/>
        <v>307.23297893123959</v>
      </c>
      <c r="X48" s="282">
        <f t="shared" si="10"/>
        <v>307.23297893123959</v>
      </c>
    </row>
    <row r="49" spans="1:24" ht="15.75" thickBot="1" x14ac:dyDescent="0.35">
      <c r="B49" s="283">
        <v>46</v>
      </c>
      <c r="C49" s="282">
        <v>65000</v>
      </c>
      <c r="D49" s="282">
        <f t="shared" si="3"/>
        <v>321.91129538943602</v>
      </c>
      <c r="E49" s="282">
        <f t="shared" si="5"/>
        <v>307.82141021981164</v>
      </c>
      <c r="F49" s="282">
        <f t="shared" si="6"/>
        <v>422.79899173110272</v>
      </c>
      <c r="G49" s="282">
        <f t="shared" si="7"/>
        <v>384.36271975554786</v>
      </c>
      <c r="H49" s="282">
        <f t="shared" si="8"/>
        <v>384.36271975554786</v>
      </c>
      <c r="S49" s="282">
        <v>65000</v>
      </c>
      <c r="T49" s="282">
        <v>269.60700602079913</v>
      </c>
      <c r="U49" s="282">
        <v>257.80645161290323</v>
      </c>
      <c r="V49" s="282">
        <f t="shared" si="4"/>
        <v>354.10242492837966</v>
      </c>
      <c r="W49" s="282">
        <f t="shared" si="10"/>
        <v>321.91129538943602</v>
      </c>
      <c r="X49" s="282">
        <f t="shared" si="10"/>
        <v>321.91129538943602</v>
      </c>
    </row>
    <row r="50" spans="1:24" x14ac:dyDescent="0.3">
      <c r="B50" s="562">
        <v>47</v>
      </c>
      <c r="C50" s="563">
        <v>70000</v>
      </c>
      <c r="D50" s="563">
        <f t="shared" ref="D50:D52" si="11">T50*$K$7</f>
        <v>337.73198482932997</v>
      </c>
      <c r="E50" s="563">
        <f t="shared" ref="E50:E52" si="12">U50*$K$7</f>
        <v>316.80852179613242</v>
      </c>
      <c r="F50" s="563">
        <f t="shared" ref="F50:F52" si="13">V50*$K$7</f>
        <v>443.57791946517307</v>
      </c>
      <c r="G50" s="563">
        <f t="shared" ref="G50:G52" si="14">W50*$K$7</f>
        <v>403.25265405924819</v>
      </c>
      <c r="H50" s="563">
        <f t="shared" ref="H50:H52" si="15">X50*$K$7</f>
        <v>403.25265405924819</v>
      </c>
      <c r="S50" s="563">
        <v>70000</v>
      </c>
      <c r="T50" s="563">
        <v>282.85714285714283</v>
      </c>
      <c r="U50" s="563">
        <v>265.33333333333331</v>
      </c>
      <c r="V50" s="563">
        <f t="shared" si="4"/>
        <v>371.505183312263</v>
      </c>
      <c r="W50" s="563">
        <f t="shared" si="10"/>
        <v>337.73198482932997</v>
      </c>
      <c r="X50" s="563">
        <f t="shared" si="10"/>
        <v>337.73198482932997</v>
      </c>
    </row>
    <row r="51" spans="1:24" ht="15.75" thickBot="1" x14ac:dyDescent="0.35">
      <c r="A51" s="545" t="s">
        <v>1511</v>
      </c>
      <c r="B51" s="564">
        <v>48</v>
      </c>
      <c r="C51" s="565">
        <v>75000</v>
      </c>
      <c r="D51" s="565">
        <f t="shared" si="11"/>
        <v>352.79109228142562</v>
      </c>
      <c r="E51" s="565">
        <f t="shared" si="12"/>
        <v>328.89856440902878</v>
      </c>
      <c r="F51" s="565">
        <f t="shared" si="13"/>
        <v>463.35658376899579</v>
      </c>
      <c r="G51" s="565">
        <f t="shared" si="14"/>
        <v>421.23325797181434</v>
      </c>
      <c r="H51" s="566">
        <f t="shared" si="15"/>
        <v>421.23325797181434</v>
      </c>
      <c r="R51" s="545" t="s">
        <v>1511</v>
      </c>
      <c r="S51" s="578">
        <v>75000</v>
      </c>
      <c r="T51" s="565">
        <v>295.46943988323301</v>
      </c>
      <c r="U51" s="565">
        <v>275.45898048586201</v>
      </c>
      <c r="V51" s="565">
        <f t="shared" si="4"/>
        <v>388.07020150956822</v>
      </c>
      <c r="W51" s="565">
        <f t="shared" si="10"/>
        <v>352.79109228142562</v>
      </c>
      <c r="X51" s="566">
        <f t="shared" si="10"/>
        <v>352.79109228142562</v>
      </c>
    </row>
    <row r="52" spans="1:24" ht="15.75" thickBot="1" x14ac:dyDescent="0.35">
      <c r="B52" s="567">
        <v>49</v>
      </c>
      <c r="C52" s="282">
        <v>80000</v>
      </c>
      <c r="D52" s="282">
        <f t="shared" si="11"/>
        <v>368.04059523047135</v>
      </c>
      <c r="E52" s="282">
        <f t="shared" si="12"/>
        <v>340.21287426278121</v>
      </c>
      <c r="F52" s="282">
        <f t="shared" si="13"/>
        <v>483.38531393038107</v>
      </c>
      <c r="G52" s="282">
        <f t="shared" si="14"/>
        <v>439.44119448216458</v>
      </c>
      <c r="H52" s="568">
        <f t="shared" si="15"/>
        <v>439.44119448216458</v>
      </c>
      <c r="S52" s="579">
        <v>80000</v>
      </c>
      <c r="T52" s="282">
        <v>308.24119686188698</v>
      </c>
      <c r="U52" s="282">
        <v>284.934936280366</v>
      </c>
      <c r="V52" s="282">
        <f t="shared" si="4"/>
        <v>404.84465475351851</v>
      </c>
      <c r="W52" s="282">
        <f t="shared" si="10"/>
        <v>368.04059523047135</v>
      </c>
      <c r="X52" s="568">
        <f t="shared" si="10"/>
        <v>368.04059523047135</v>
      </c>
    </row>
    <row r="53" spans="1:24" ht="15.75" thickBot="1" x14ac:dyDescent="0.35">
      <c r="B53" s="567">
        <v>50</v>
      </c>
      <c r="C53" s="282">
        <v>85000</v>
      </c>
      <c r="D53" s="282">
        <f t="shared" ref="D53:D58" si="16">T53*$K$7</f>
        <v>383.29009817951595</v>
      </c>
      <c r="E53" s="282">
        <f t="shared" ref="E53:E58" si="17">U53*$K$7</f>
        <v>351.52718411653478</v>
      </c>
      <c r="F53" s="282">
        <f t="shared" ref="F53:F58" si="18">V53*$K$7</f>
        <v>503.41404409176488</v>
      </c>
      <c r="G53" s="282">
        <f t="shared" ref="G53:G58" si="19">W53*$K$7</f>
        <v>457.64913099251351</v>
      </c>
      <c r="H53" s="568">
        <f t="shared" ref="H53:H58" si="20">X53*$K$7</f>
        <v>457.64913099251351</v>
      </c>
      <c r="S53" s="579">
        <v>85000</v>
      </c>
      <c r="T53" s="282">
        <v>321.01295384053998</v>
      </c>
      <c r="U53" s="282">
        <v>294.41089207487101</v>
      </c>
      <c r="V53" s="282">
        <f t="shared" si="4"/>
        <v>421.61910799746755</v>
      </c>
      <c r="W53" s="282">
        <f t="shared" si="10"/>
        <v>383.29009817951595</v>
      </c>
      <c r="X53" s="568">
        <f t="shared" si="10"/>
        <v>383.29009817951595</v>
      </c>
    </row>
    <row r="54" spans="1:24" ht="15.75" thickBot="1" x14ac:dyDescent="0.35">
      <c r="B54" s="567">
        <v>51</v>
      </c>
      <c r="C54" s="282">
        <v>90000</v>
      </c>
      <c r="D54" s="282">
        <f t="shared" si="16"/>
        <v>398.53960112856055</v>
      </c>
      <c r="E54" s="282">
        <f t="shared" si="17"/>
        <v>362.84149397028722</v>
      </c>
      <c r="F54" s="282">
        <f t="shared" si="18"/>
        <v>523.44277425314874</v>
      </c>
      <c r="G54" s="282">
        <f t="shared" si="19"/>
        <v>475.85706750286244</v>
      </c>
      <c r="H54" s="568">
        <f t="shared" si="20"/>
        <v>475.85706750286244</v>
      </c>
      <c r="S54" s="579">
        <v>90000</v>
      </c>
      <c r="T54" s="282">
        <v>333.78471081919298</v>
      </c>
      <c r="U54" s="282">
        <v>303.886847869375</v>
      </c>
      <c r="V54" s="282">
        <f t="shared" si="4"/>
        <v>438.39356124141665</v>
      </c>
      <c r="W54" s="282">
        <f t="shared" si="10"/>
        <v>398.53960112856055</v>
      </c>
      <c r="X54" s="568">
        <f t="shared" si="10"/>
        <v>398.53960112856055</v>
      </c>
    </row>
    <row r="55" spans="1:24" ht="15.75" thickBot="1" x14ac:dyDescent="0.35">
      <c r="B55" s="567">
        <v>52</v>
      </c>
      <c r="C55" s="282">
        <v>95000</v>
      </c>
      <c r="D55" s="282">
        <f t="shared" si="16"/>
        <v>413.78910407760634</v>
      </c>
      <c r="E55" s="282">
        <f t="shared" si="17"/>
        <v>374.15580382403959</v>
      </c>
      <c r="F55" s="282">
        <f t="shared" si="18"/>
        <v>543.47150441453414</v>
      </c>
      <c r="G55" s="282">
        <f t="shared" si="19"/>
        <v>494.06500401321279</v>
      </c>
      <c r="H55" s="568">
        <f t="shared" si="20"/>
        <v>494.06500401321279</v>
      </c>
      <c r="S55" s="579">
        <v>95000</v>
      </c>
      <c r="T55" s="282">
        <v>346.55646779784701</v>
      </c>
      <c r="U55" s="282">
        <v>313.36280366387899</v>
      </c>
      <c r="V55" s="282">
        <f t="shared" si="4"/>
        <v>455.168014485367</v>
      </c>
      <c r="W55" s="282">
        <f t="shared" si="10"/>
        <v>413.78910407760634</v>
      </c>
      <c r="X55" s="568">
        <f t="shared" si="10"/>
        <v>413.78910407760634</v>
      </c>
    </row>
    <row r="56" spans="1:24" ht="15.75" thickBot="1" x14ac:dyDescent="0.35">
      <c r="B56" s="567">
        <v>53</v>
      </c>
      <c r="C56" s="282">
        <v>100000</v>
      </c>
      <c r="D56" s="282">
        <f t="shared" si="16"/>
        <v>429.03860702665094</v>
      </c>
      <c r="E56" s="282">
        <f t="shared" si="17"/>
        <v>385.47011367779203</v>
      </c>
      <c r="F56" s="282">
        <f t="shared" si="18"/>
        <v>563.50023457591794</v>
      </c>
      <c r="G56" s="282">
        <f t="shared" si="19"/>
        <v>512.27294052356172</v>
      </c>
      <c r="H56" s="568">
        <f t="shared" si="20"/>
        <v>512.27294052356172</v>
      </c>
      <c r="S56" s="579">
        <v>100000</v>
      </c>
      <c r="T56" s="282">
        <v>359.32822477650001</v>
      </c>
      <c r="U56" s="282">
        <v>322.83875945838298</v>
      </c>
      <c r="V56" s="282">
        <f t="shared" si="4"/>
        <v>471.94246772931609</v>
      </c>
      <c r="W56" s="282">
        <f t="shared" si="10"/>
        <v>429.03860702665094</v>
      </c>
      <c r="X56" s="568">
        <f t="shared" si="10"/>
        <v>429.03860702665094</v>
      </c>
    </row>
    <row r="57" spans="1:24" ht="15.75" thickBot="1" x14ac:dyDescent="0.35">
      <c r="B57" s="567">
        <v>54</v>
      </c>
      <c r="C57" s="282">
        <v>105000</v>
      </c>
      <c r="D57" s="282">
        <f t="shared" si="16"/>
        <v>444.28810997569667</v>
      </c>
      <c r="E57" s="282">
        <f t="shared" si="17"/>
        <v>396.78442353154452</v>
      </c>
      <c r="F57" s="282">
        <f t="shared" si="18"/>
        <v>583.52896473730323</v>
      </c>
      <c r="G57" s="282">
        <f t="shared" si="19"/>
        <v>530.48087703391195</v>
      </c>
      <c r="H57" s="568">
        <f t="shared" si="20"/>
        <v>530.48087703391195</v>
      </c>
      <c r="S57" s="579">
        <v>105000</v>
      </c>
      <c r="T57" s="282">
        <v>372.09998175515398</v>
      </c>
      <c r="U57" s="282">
        <v>332.31471525288703</v>
      </c>
      <c r="V57" s="282">
        <f t="shared" si="4"/>
        <v>488.71692097326638</v>
      </c>
      <c r="W57" s="282">
        <f t="shared" si="10"/>
        <v>444.28810997569667</v>
      </c>
      <c r="X57" s="568">
        <f t="shared" si="10"/>
        <v>444.28810997569667</v>
      </c>
    </row>
    <row r="58" spans="1:24" ht="15.75" thickBot="1" x14ac:dyDescent="0.35">
      <c r="B58" s="567">
        <v>55</v>
      </c>
      <c r="C58" s="282">
        <v>110000</v>
      </c>
      <c r="D58" s="282">
        <f t="shared" si="16"/>
        <v>459.53761292474127</v>
      </c>
      <c r="E58" s="282">
        <f t="shared" si="17"/>
        <v>408.0987333852969</v>
      </c>
      <c r="F58" s="282">
        <f t="shared" si="18"/>
        <v>603.55769489868703</v>
      </c>
      <c r="G58" s="282">
        <f t="shared" si="19"/>
        <v>548.68881354426094</v>
      </c>
      <c r="H58" s="568">
        <f t="shared" si="20"/>
        <v>548.68881354426094</v>
      </c>
      <c r="S58" s="579">
        <v>110000</v>
      </c>
      <c r="T58" s="282">
        <v>384.87173873380698</v>
      </c>
      <c r="U58" s="282">
        <v>341.79067104739102</v>
      </c>
      <c r="V58" s="282">
        <f t="shared" si="4"/>
        <v>505.49137421721542</v>
      </c>
      <c r="W58" s="282">
        <f t="shared" si="10"/>
        <v>459.53761292474127</v>
      </c>
      <c r="X58" s="568">
        <f t="shared" si="10"/>
        <v>459.53761292474127</v>
      </c>
    </row>
    <row r="59" spans="1:24" ht="15.75" thickBot="1" x14ac:dyDescent="0.35">
      <c r="B59" s="567">
        <v>56</v>
      </c>
      <c r="C59" s="282">
        <v>115000</v>
      </c>
      <c r="D59" s="282">
        <f t="shared" ref="D59:D62" si="21">T59*$K$7</f>
        <v>474.78711587378945</v>
      </c>
      <c r="E59" s="282">
        <f t="shared" ref="E59:E62" si="22">U59*$K$7</f>
        <v>419.41304323904927</v>
      </c>
      <c r="F59" s="282">
        <f t="shared" ref="F59:F62" si="23">V59*$K$7</f>
        <v>623.58642506007561</v>
      </c>
      <c r="G59" s="282">
        <f t="shared" ref="G59:G62" si="24">W59*$K$7</f>
        <v>566.89675005461413</v>
      </c>
      <c r="H59" s="568">
        <f t="shared" ref="H59:H62" si="25">X59*$K$7</f>
        <v>566.89675005461413</v>
      </c>
      <c r="S59" s="579">
        <v>115000</v>
      </c>
      <c r="T59" s="282">
        <v>397.64349571246299</v>
      </c>
      <c r="U59" s="282">
        <v>351.266626841895</v>
      </c>
      <c r="V59" s="282">
        <f t="shared" si="4"/>
        <v>522.26582746116844</v>
      </c>
      <c r="W59" s="282">
        <f t="shared" si="10"/>
        <v>474.78711587378945</v>
      </c>
      <c r="X59" s="568">
        <f t="shared" si="10"/>
        <v>474.78711587378945</v>
      </c>
    </row>
    <row r="60" spans="1:24" ht="15.75" thickBot="1" x14ac:dyDescent="0.35">
      <c r="B60" s="567">
        <v>57</v>
      </c>
      <c r="C60" s="282">
        <v>120000</v>
      </c>
      <c r="D60" s="282">
        <f t="shared" si="21"/>
        <v>490.03661882283524</v>
      </c>
      <c r="E60" s="282">
        <f t="shared" si="22"/>
        <v>430.72735309280171</v>
      </c>
      <c r="F60" s="282">
        <f t="shared" si="23"/>
        <v>643.61515522146101</v>
      </c>
      <c r="G60" s="282">
        <f t="shared" si="24"/>
        <v>585.10468656496448</v>
      </c>
      <c r="H60" s="568">
        <f t="shared" si="25"/>
        <v>585.10468656496448</v>
      </c>
      <c r="S60" s="579">
        <v>120000</v>
      </c>
      <c r="T60" s="282">
        <v>410.41525269111702</v>
      </c>
      <c r="U60" s="282">
        <v>360.74258263639899</v>
      </c>
      <c r="V60" s="282">
        <f t="shared" si="4"/>
        <v>539.04028070511879</v>
      </c>
      <c r="W60" s="282">
        <f t="shared" si="10"/>
        <v>490.03661882283524</v>
      </c>
      <c r="X60" s="568">
        <f t="shared" si="10"/>
        <v>490.03661882283524</v>
      </c>
    </row>
    <row r="61" spans="1:24" ht="15.75" thickBot="1" x14ac:dyDescent="0.35">
      <c r="B61" s="567">
        <v>58</v>
      </c>
      <c r="C61" s="282">
        <v>125000</v>
      </c>
      <c r="D61" s="282">
        <f t="shared" si="21"/>
        <v>505.28612177188097</v>
      </c>
      <c r="E61" s="282">
        <f t="shared" si="22"/>
        <v>442.04166294655408</v>
      </c>
      <c r="F61" s="282">
        <f t="shared" si="23"/>
        <v>663.64388538284629</v>
      </c>
      <c r="G61" s="282">
        <f t="shared" si="24"/>
        <v>603.31262307531472</v>
      </c>
      <c r="H61" s="568">
        <f t="shared" si="25"/>
        <v>603.31262307531472</v>
      </c>
      <c r="S61" s="579">
        <v>125000</v>
      </c>
      <c r="T61" s="282">
        <v>423.18700966977099</v>
      </c>
      <c r="U61" s="282">
        <v>370.21853843090298</v>
      </c>
      <c r="V61" s="282">
        <f t="shared" si="4"/>
        <v>555.81473394906914</v>
      </c>
      <c r="W61" s="282">
        <f t="shared" si="10"/>
        <v>505.28612177188097</v>
      </c>
      <c r="X61" s="568">
        <f t="shared" si="10"/>
        <v>505.28612177188097</v>
      </c>
    </row>
    <row r="62" spans="1:24" x14ac:dyDescent="0.3">
      <c r="B62" s="569">
        <v>59</v>
      </c>
      <c r="C62" s="570">
        <v>130000</v>
      </c>
      <c r="D62" s="570">
        <f t="shared" si="21"/>
        <v>520.53562472092676</v>
      </c>
      <c r="E62" s="570">
        <f t="shared" si="22"/>
        <v>453.35597280030657</v>
      </c>
      <c r="F62" s="570">
        <f t="shared" si="23"/>
        <v>683.67261554423169</v>
      </c>
      <c r="G62" s="570">
        <f t="shared" si="24"/>
        <v>621.52055958566507</v>
      </c>
      <c r="H62" s="571">
        <f t="shared" si="25"/>
        <v>621.52055958566507</v>
      </c>
      <c r="S62" s="580">
        <v>130000</v>
      </c>
      <c r="T62" s="570">
        <v>435.95876664842501</v>
      </c>
      <c r="U62" s="570">
        <v>379.69449422540703</v>
      </c>
      <c r="V62" s="570">
        <f t="shared" si="4"/>
        <v>572.58918719301948</v>
      </c>
      <c r="W62" s="570">
        <f t="shared" si="10"/>
        <v>520.53562472092676</v>
      </c>
      <c r="X62" s="571">
        <f t="shared" si="10"/>
        <v>520.53562472092676</v>
      </c>
    </row>
  </sheetData>
  <hyperlinks>
    <hyperlink ref="K5" r:id="rId1" display="https://mijn.bovag.nl/downloads/onderzoek-cijfers/update-het-effect-van-elektrisch-aangedreven-perso/update-ev-onderzoek-2021.pdf" xr:uid="{C19FB952-BF68-424E-A3F2-29D70FE34145}"/>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4">
    <tabColor rgb="FFFF0000"/>
  </sheetPr>
  <dimension ref="B1:AW110"/>
  <sheetViews>
    <sheetView workbookViewId="0">
      <selection activeCell="D34" sqref="D34:BB36"/>
    </sheetView>
  </sheetViews>
  <sheetFormatPr defaultRowHeight="15" x14ac:dyDescent="0.3"/>
  <cols>
    <col min="36" max="36" width="27.85546875" customWidth="1"/>
    <col min="43" max="43" width="9.42578125" bestFit="1" customWidth="1"/>
  </cols>
  <sheetData>
    <row r="1" spans="3:49" x14ac:dyDescent="0.3">
      <c r="T1" t="s">
        <v>1288</v>
      </c>
    </row>
    <row r="2" spans="3:49" x14ac:dyDescent="0.3">
      <c r="C2" s="208" t="s">
        <v>1089</v>
      </c>
      <c r="T2" s="448" t="s">
        <v>1089</v>
      </c>
      <c r="U2" s="449"/>
      <c r="V2" s="449"/>
      <c r="W2" s="449"/>
      <c r="X2" s="449"/>
      <c r="Y2" s="449"/>
      <c r="Z2" s="449"/>
      <c r="AA2" s="449"/>
      <c r="AB2" s="449"/>
      <c r="AC2" s="449"/>
      <c r="AD2" s="449"/>
      <c r="AE2" s="449"/>
      <c r="AF2" s="449"/>
      <c r="AQ2" s="208" t="s">
        <v>1189</v>
      </c>
    </row>
    <row r="3" spans="3:49" ht="15.75" thickBot="1" x14ac:dyDescent="0.35">
      <c r="D3" t="s">
        <v>1279</v>
      </c>
      <c r="E3" t="s">
        <v>1083</v>
      </c>
      <c r="K3" t="s">
        <v>1082</v>
      </c>
      <c r="T3" s="449"/>
      <c r="U3" s="449" t="s">
        <v>1279</v>
      </c>
      <c r="V3" s="449" t="s">
        <v>1083</v>
      </c>
      <c r="W3" s="449"/>
      <c r="X3" s="449"/>
      <c r="Y3" s="449"/>
      <c r="Z3" s="449"/>
      <c r="AA3" s="449"/>
      <c r="AB3" s="449" t="s">
        <v>1082</v>
      </c>
      <c r="AC3" s="449"/>
      <c r="AD3" s="449"/>
      <c r="AE3" s="449"/>
      <c r="AF3" s="449"/>
      <c r="AJ3" t="s">
        <v>1088</v>
      </c>
      <c r="AQ3" s="40">
        <f>input_jaarkm</f>
        <v>0</v>
      </c>
      <c r="AR3" t="s">
        <v>1190</v>
      </c>
    </row>
    <row r="4" spans="3:49" ht="15.75" thickBot="1" x14ac:dyDescent="0.35">
      <c r="C4" s="286" t="s">
        <v>1032</v>
      </c>
      <c r="D4" s="286" t="s">
        <v>1026</v>
      </c>
      <c r="E4" s="286" t="str">
        <f t="array" ref="E4:I4">list_brandstoftype</f>
        <v>benzine</v>
      </c>
      <c r="F4" s="286" t="str">
        <v>diesel</v>
      </c>
      <c r="G4" s="286" t="str">
        <v>Elektrisch</v>
      </c>
      <c r="H4" s="286" t="str">
        <v>plug-in</v>
      </c>
      <c r="I4" s="286" t="str">
        <v>range-extender</v>
      </c>
      <c r="K4" s="286" t="str">
        <f t="array" ref="K4:O4">list_brandstoftype</f>
        <v>benzine</v>
      </c>
      <c r="L4" s="286" t="str">
        <v>diesel</v>
      </c>
      <c r="M4" s="286" t="str">
        <v>Elektrisch</v>
      </c>
      <c r="N4" s="286" t="str">
        <v>plug-in</v>
      </c>
      <c r="O4" s="286" t="str">
        <v>range-extender</v>
      </c>
      <c r="Q4" t="str">
        <f>"Inflatiecorrectie 2017-"&amp;input_basisjaar</f>
        <v>Inflatiecorrectie 2017-2025</v>
      </c>
      <c r="T4" s="451" t="s">
        <v>1032</v>
      </c>
      <c r="U4" s="451" t="s">
        <v>1026</v>
      </c>
      <c r="V4" s="451" t="str">
        <f t="array" ref="V4:Z4">list_brandstoftype</f>
        <v>benzine</v>
      </c>
      <c r="W4" s="451" t="str">
        <v>diesel</v>
      </c>
      <c r="X4" s="451" t="str">
        <v>Elektrisch</v>
      </c>
      <c r="Y4" s="451" t="str">
        <v>plug-in</v>
      </c>
      <c r="Z4" s="451" t="str">
        <v>range-extender</v>
      </c>
      <c r="AA4" s="449"/>
      <c r="AB4" s="451" t="str">
        <f t="array" ref="AB4:AF4">list_brandstoftype</f>
        <v>benzine</v>
      </c>
      <c r="AC4" s="451" t="str">
        <v>diesel</v>
      </c>
      <c r="AD4" s="451" t="str">
        <v>Elektrisch</v>
      </c>
      <c r="AE4" s="451" t="str">
        <v>plug-in</v>
      </c>
      <c r="AF4" s="451" t="str">
        <v>range-extender</v>
      </c>
      <c r="AJ4" t="s">
        <v>1080</v>
      </c>
      <c r="AQ4" s="286" t="s">
        <v>1032</v>
      </c>
      <c r="AR4" s="286" t="s">
        <v>1026</v>
      </c>
      <c r="AS4" s="286" t="str">
        <f t="array" ref="AS4:AW4">list_brandstoftype</f>
        <v>benzine</v>
      </c>
      <c r="AT4" s="286" t="str">
        <v>diesel</v>
      </c>
      <c r="AU4" s="286" t="str">
        <v>Elektrisch</v>
      </c>
      <c r="AV4" s="286" t="str">
        <v>plug-in</v>
      </c>
      <c r="AW4" s="286" t="str">
        <v>range-extender</v>
      </c>
    </row>
    <row r="5" spans="3:49" ht="15.75" thickBot="1" x14ac:dyDescent="0.35">
      <c r="C5" s="283">
        <v>1</v>
      </c>
      <c r="D5" s="282">
        <v>0</v>
      </c>
      <c r="E5" s="450">
        <f>V5*$Q$5</f>
        <v>0.71640117994100294</v>
      </c>
      <c r="F5" s="450">
        <f t="shared" ref="F5:I5" si="0">W5*$Q$5</f>
        <v>1.1492268928220255</v>
      </c>
      <c r="G5" s="450">
        <f t="shared" si="0"/>
        <v>0.35820058997050147</v>
      </c>
      <c r="H5" s="450">
        <f t="shared" si="0"/>
        <v>0.57312094395280233</v>
      </c>
      <c r="I5" s="450">
        <f t="shared" si="0"/>
        <v>0.57312094395280233</v>
      </c>
      <c r="K5" s="450">
        <f>K6*$Q$5</f>
        <v>5.0148082595870216</v>
      </c>
      <c r="L5" s="450">
        <f>AC5*$Q$5</f>
        <v>6.3207479105211402</v>
      </c>
      <c r="M5" s="450">
        <f t="shared" ref="M5:O20" si="1">AD5*$Q$5</f>
        <v>2.5074041297935108</v>
      </c>
      <c r="N5" s="450">
        <f t="shared" si="1"/>
        <v>4.0118466076696171</v>
      </c>
      <c r="O5" s="450">
        <f t="shared" si="1"/>
        <v>4.0118466076696171</v>
      </c>
      <c r="P5" s="269"/>
      <c r="Q5" s="439">
        <f>Inflatiecorrectie</f>
        <v>1.1940019665683383</v>
      </c>
      <c r="R5" s="269"/>
      <c r="T5" s="452">
        <v>1</v>
      </c>
      <c r="U5" s="453">
        <v>0</v>
      </c>
      <c r="V5" s="454">
        <f>V6</f>
        <v>0.6</v>
      </c>
      <c r="W5" s="454">
        <f>W6</f>
        <v>0.96249999999999991</v>
      </c>
      <c r="X5" s="454">
        <f>V5*$AK$15</f>
        <v>0.3</v>
      </c>
      <c r="Y5" s="454">
        <f>V5*$AK$16</f>
        <v>0.48</v>
      </c>
      <c r="Z5" s="454">
        <f>V5*$AK$16</f>
        <v>0.48</v>
      </c>
      <c r="AA5" s="449"/>
      <c r="AB5" s="454">
        <f>AB6</f>
        <v>4.2</v>
      </c>
      <c r="AC5" s="454">
        <f>AC6</f>
        <v>5.2937499999999993</v>
      </c>
      <c r="AD5" s="454">
        <f t="shared" ref="AD5:AD50" si="2">AB5*$AK$15</f>
        <v>2.1</v>
      </c>
      <c r="AE5" s="454">
        <f>AB5*$AK$16</f>
        <v>3.3600000000000003</v>
      </c>
      <c r="AF5" s="454">
        <f>AB5*$AK$16</f>
        <v>3.3600000000000003</v>
      </c>
      <c r="AJ5" t="s">
        <v>1081</v>
      </c>
      <c r="AQ5" s="283">
        <v>1</v>
      </c>
      <c r="AR5" s="282">
        <v>0</v>
      </c>
      <c r="AS5" s="282">
        <f>(K5/(1+(K5/E5-1)*$AK$17^$AK$18))*$AQ$3/100</f>
        <v>0</v>
      </c>
      <c r="AT5" s="282">
        <f>(L5/(1+(L5/F5-1)*$AK$17^$AK$18))*$AQ$3/100</f>
        <v>0</v>
      </c>
      <c r="AU5" s="282">
        <f>(M5/(1+(M5/G5-1)*$AK$17^$AK$18))*$AQ$3/100</f>
        <v>0</v>
      </c>
      <c r="AV5" s="282">
        <f>(N5/(1+(N5/H5-1)*$AK$17^$AK$18))*$AQ$3/100</f>
        <v>0</v>
      </c>
      <c r="AW5" s="282">
        <f>(O5/(1+(O5/I5-1)*$AK$17^$AK$18))*$AQ$3/100</f>
        <v>0</v>
      </c>
    </row>
    <row r="6" spans="3:49" ht="15.75" thickBot="1" x14ac:dyDescent="0.35">
      <c r="C6" s="283">
        <v>2</v>
      </c>
      <c r="D6" s="282">
        <v>8500</v>
      </c>
      <c r="E6" s="450">
        <f t="shared" ref="E6:E50" si="3">V6*$Q$5</f>
        <v>0.71640117994100294</v>
      </c>
      <c r="F6" s="450">
        <f t="shared" ref="F6:F50" si="4">W6*$Q$5</f>
        <v>1.1492268928220255</v>
      </c>
      <c r="G6" s="450">
        <f t="shared" ref="G6:G50" si="5">X6*$Q$5</f>
        <v>0.35820058997050147</v>
      </c>
      <c r="H6" s="450">
        <f t="shared" ref="H6:H50" si="6">Y6*$Q$5</f>
        <v>0.57312094395280233</v>
      </c>
      <c r="I6" s="450">
        <f t="shared" ref="I6:I50" si="7">Z6*$Q$5</f>
        <v>0.57312094395280233</v>
      </c>
      <c r="K6" s="297">
        <v>4.2</v>
      </c>
      <c r="L6" s="450">
        <f t="shared" ref="L6:L50" si="8">AC6*$Q$5</f>
        <v>6.3207479105211402</v>
      </c>
      <c r="M6" s="450">
        <f t="shared" si="1"/>
        <v>2.5074041297935108</v>
      </c>
      <c r="N6" s="450">
        <f t="shared" si="1"/>
        <v>4.0118466076696171</v>
      </c>
      <c r="O6" s="450">
        <f t="shared" si="1"/>
        <v>4.0118466076696171</v>
      </c>
      <c r="P6" s="308"/>
      <c r="Q6" s="308"/>
      <c r="R6" s="308"/>
      <c r="T6" s="452">
        <v>2</v>
      </c>
      <c r="U6" s="453">
        <v>8500</v>
      </c>
      <c r="V6" s="455">
        <v>0.6</v>
      </c>
      <c r="W6" s="454">
        <f t="shared" ref="W6:W16" si="9">W7</f>
        <v>0.96249999999999991</v>
      </c>
      <c r="X6" s="455">
        <f>V6*$AK$15</f>
        <v>0.3</v>
      </c>
      <c r="Y6" s="455">
        <f t="shared" ref="Y6:Y50" si="10">V6*$AK$16</f>
        <v>0.48</v>
      </c>
      <c r="Z6" s="455">
        <f t="shared" ref="Z6:Z50" si="11">V6*$AK$16</f>
        <v>0.48</v>
      </c>
      <c r="AA6" s="449"/>
      <c r="AB6" s="455">
        <v>4.2</v>
      </c>
      <c r="AC6" s="454">
        <f t="shared" ref="AC6:AC16" si="12">AC7</f>
        <v>5.2937499999999993</v>
      </c>
      <c r="AD6" s="455">
        <f t="shared" si="2"/>
        <v>2.1</v>
      </c>
      <c r="AE6" s="455">
        <f t="shared" ref="AE6:AE50" si="13">AB6*$AK$16</f>
        <v>3.3600000000000003</v>
      </c>
      <c r="AF6" s="455">
        <f t="shared" ref="AF6:AF50" si="14">AB6*$AK$16</f>
        <v>3.3600000000000003</v>
      </c>
      <c r="AJ6" t="s">
        <v>1084</v>
      </c>
      <c r="AQ6" s="283">
        <v>2</v>
      </c>
      <c r="AR6" s="282">
        <v>8500</v>
      </c>
      <c r="AS6" s="282">
        <f t="shared" ref="AS6:AS50" si="15">(K6/(1+(K6/E6-1)*$AK$17^$AK$18))*$AQ$3/100</f>
        <v>0</v>
      </c>
      <c r="AT6" s="282">
        <f>(L6/(1+(L6/F6-1)*$AK$17^$AK$18))*$AQ$3/100</f>
        <v>0</v>
      </c>
      <c r="AU6" s="282">
        <f t="shared" ref="AU6:AU50" si="16">(M6/(1+(M6/G6-1)*$AK$17^$AK$18))*$AQ$3/100</f>
        <v>0</v>
      </c>
      <c r="AV6" s="282">
        <f t="shared" ref="AV6:AV50" si="17">(N6/(1+(N6/H6-1)*$AK$17^$AK$18))*$AQ$3/100</f>
        <v>0</v>
      </c>
      <c r="AW6" s="282">
        <f t="shared" ref="AW6:AW50" si="18">(O6/(1+(O6/I6-1)*$AK$17^$AK$18))*$AQ$3/100</f>
        <v>0</v>
      </c>
    </row>
    <row r="7" spans="3:49" ht="15.75" thickBot="1" x14ac:dyDescent="0.35">
      <c r="C7" s="283">
        <v>3</v>
      </c>
      <c r="D7" s="282">
        <v>9000</v>
      </c>
      <c r="E7" s="450">
        <f t="shared" si="3"/>
        <v>0.75051552184295567</v>
      </c>
      <c r="F7" s="450">
        <f t="shared" si="4"/>
        <v>1.1492268928220255</v>
      </c>
      <c r="G7" s="450">
        <f t="shared" si="5"/>
        <v>0.37525776092147783</v>
      </c>
      <c r="H7" s="450">
        <f t="shared" si="6"/>
        <v>0.60041241747436458</v>
      </c>
      <c r="I7" s="450">
        <f t="shared" si="7"/>
        <v>0.60041241747436458</v>
      </c>
      <c r="K7" s="297">
        <v>4.4000000000000004</v>
      </c>
      <c r="L7" s="450">
        <f t="shared" si="8"/>
        <v>6.3207479105211402</v>
      </c>
      <c r="M7" s="450">
        <f t="shared" si="1"/>
        <v>2.6268043264503445</v>
      </c>
      <c r="N7" s="450">
        <f t="shared" si="1"/>
        <v>4.2028869223205518</v>
      </c>
      <c r="O7" s="450">
        <f t="shared" si="1"/>
        <v>4.2028869223205518</v>
      </c>
      <c r="P7" s="308"/>
      <c r="Q7" s="308"/>
      <c r="R7" s="308"/>
      <c r="T7" s="452">
        <v>3</v>
      </c>
      <c r="U7" s="453">
        <v>9000</v>
      </c>
      <c r="V7" s="455">
        <v>0.62857142857142867</v>
      </c>
      <c r="W7" s="454">
        <f t="shared" si="9"/>
        <v>0.96249999999999991</v>
      </c>
      <c r="X7" s="455">
        <f t="shared" ref="X7:X50" si="19">V7*$AK$15</f>
        <v>0.31428571428571433</v>
      </c>
      <c r="Y7" s="455">
        <f t="shared" si="10"/>
        <v>0.502857142857143</v>
      </c>
      <c r="Z7" s="455">
        <f t="shared" si="11"/>
        <v>0.502857142857143</v>
      </c>
      <c r="AA7" s="449"/>
      <c r="AB7" s="455">
        <v>4.4000000000000004</v>
      </c>
      <c r="AC7" s="454">
        <f t="shared" si="12"/>
        <v>5.2937499999999993</v>
      </c>
      <c r="AD7" s="455">
        <f t="shared" si="2"/>
        <v>2.2000000000000002</v>
      </c>
      <c r="AE7" s="455">
        <f t="shared" si="13"/>
        <v>3.5200000000000005</v>
      </c>
      <c r="AF7" s="455">
        <f t="shared" si="14"/>
        <v>3.5200000000000005</v>
      </c>
      <c r="AQ7" s="283">
        <v>3</v>
      </c>
      <c r="AR7" s="282">
        <v>9000</v>
      </c>
      <c r="AS7" s="282">
        <f t="shared" si="15"/>
        <v>0</v>
      </c>
      <c r="AT7" s="282">
        <f t="shared" ref="AT7:AT50" si="20">(L7/(1+(L7/F7-1)*$AK$17^$AK$18))*$AQ$3/100</f>
        <v>0</v>
      </c>
      <c r="AU7" s="282">
        <f t="shared" si="16"/>
        <v>0</v>
      </c>
      <c r="AV7" s="282">
        <f t="shared" si="17"/>
        <v>0</v>
      </c>
      <c r="AW7" s="282">
        <f t="shared" si="18"/>
        <v>0</v>
      </c>
    </row>
    <row r="8" spans="3:49" ht="15.75" thickBot="1" x14ac:dyDescent="0.35">
      <c r="C8" s="283">
        <v>4</v>
      </c>
      <c r="D8" s="282">
        <v>9500</v>
      </c>
      <c r="E8" s="450">
        <f t="shared" si="3"/>
        <v>0.76757269279393181</v>
      </c>
      <c r="F8" s="450">
        <f t="shared" si="4"/>
        <v>1.1492268928220255</v>
      </c>
      <c r="G8" s="450">
        <f t="shared" si="5"/>
        <v>0.38378634639696591</v>
      </c>
      <c r="H8" s="450">
        <f t="shared" si="6"/>
        <v>0.61405815423514554</v>
      </c>
      <c r="I8" s="450">
        <f t="shared" si="7"/>
        <v>0.61405815423514554</v>
      </c>
      <c r="K8" s="297">
        <v>4.5</v>
      </c>
      <c r="L8" s="450">
        <f t="shared" si="8"/>
        <v>6.3207479105211402</v>
      </c>
      <c r="M8" s="450">
        <f t="shared" si="1"/>
        <v>2.6865044247787613</v>
      </c>
      <c r="N8" s="450">
        <f t="shared" si="1"/>
        <v>4.2984070796460179</v>
      </c>
      <c r="O8" s="450">
        <f t="shared" si="1"/>
        <v>4.2984070796460179</v>
      </c>
      <c r="P8" s="308"/>
      <c r="Q8" s="308"/>
      <c r="R8" s="308"/>
      <c r="T8" s="452">
        <v>4</v>
      </c>
      <c r="U8" s="453">
        <v>9500</v>
      </c>
      <c r="V8" s="455">
        <v>0.6428571428571429</v>
      </c>
      <c r="W8" s="454">
        <f t="shared" si="9"/>
        <v>0.96249999999999991</v>
      </c>
      <c r="X8" s="455">
        <f t="shared" si="19"/>
        <v>0.32142857142857145</v>
      </c>
      <c r="Y8" s="455">
        <f t="shared" si="10"/>
        <v>0.51428571428571435</v>
      </c>
      <c r="Z8" s="455">
        <f t="shared" si="11"/>
        <v>0.51428571428571435</v>
      </c>
      <c r="AA8" s="449"/>
      <c r="AB8" s="455">
        <v>4.5</v>
      </c>
      <c r="AC8" s="454">
        <f t="shared" si="12"/>
        <v>5.2937499999999993</v>
      </c>
      <c r="AD8" s="455">
        <f t="shared" si="2"/>
        <v>2.25</v>
      </c>
      <c r="AE8" s="455">
        <f t="shared" si="13"/>
        <v>3.6</v>
      </c>
      <c r="AF8" s="455">
        <f t="shared" si="14"/>
        <v>3.6</v>
      </c>
      <c r="AQ8" s="283">
        <v>4</v>
      </c>
      <c r="AR8" s="282">
        <v>9500</v>
      </c>
      <c r="AS8" s="282">
        <f t="shared" si="15"/>
        <v>0</v>
      </c>
      <c r="AT8" s="282">
        <f t="shared" si="20"/>
        <v>0</v>
      </c>
      <c r="AU8" s="282">
        <f t="shared" si="16"/>
        <v>0</v>
      </c>
      <c r="AV8" s="282">
        <f t="shared" si="17"/>
        <v>0</v>
      </c>
      <c r="AW8" s="282">
        <f t="shared" si="18"/>
        <v>0</v>
      </c>
    </row>
    <row r="9" spans="3:49" ht="15.75" thickBot="1" x14ac:dyDescent="0.35">
      <c r="C9" s="283">
        <v>5</v>
      </c>
      <c r="D9" s="282">
        <v>10000</v>
      </c>
      <c r="E9" s="450">
        <f t="shared" si="3"/>
        <v>0.76757269279393181</v>
      </c>
      <c r="F9" s="450">
        <f t="shared" si="4"/>
        <v>1.1492268928220255</v>
      </c>
      <c r="G9" s="450">
        <f t="shared" si="5"/>
        <v>0.38378634639696591</v>
      </c>
      <c r="H9" s="450">
        <f t="shared" si="6"/>
        <v>0.61405815423514554</v>
      </c>
      <c r="I9" s="450">
        <f t="shared" si="7"/>
        <v>0.61405815423514554</v>
      </c>
      <c r="K9" s="297">
        <v>4.5</v>
      </c>
      <c r="L9" s="450">
        <f t="shared" si="8"/>
        <v>6.3207479105211402</v>
      </c>
      <c r="M9" s="450">
        <f t="shared" si="1"/>
        <v>2.6865044247787613</v>
      </c>
      <c r="N9" s="450">
        <f t="shared" si="1"/>
        <v>4.2984070796460179</v>
      </c>
      <c r="O9" s="450">
        <f t="shared" si="1"/>
        <v>4.2984070796460179</v>
      </c>
      <c r="P9" s="308"/>
      <c r="Q9" s="308"/>
      <c r="R9" s="308"/>
      <c r="T9" s="452">
        <v>5</v>
      </c>
      <c r="U9" s="453">
        <v>10000</v>
      </c>
      <c r="V9" s="455">
        <v>0.6428571428571429</v>
      </c>
      <c r="W9" s="454">
        <f t="shared" si="9"/>
        <v>0.96249999999999991</v>
      </c>
      <c r="X9" s="455">
        <f t="shared" si="19"/>
        <v>0.32142857142857145</v>
      </c>
      <c r="Y9" s="455">
        <f t="shared" si="10"/>
        <v>0.51428571428571435</v>
      </c>
      <c r="Z9" s="455">
        <f t="shared" si="11"/>
        <v>0.51428571428571435</v>
      </c>
      <c r="AA9" s="449"/>
      <c r="AB9" s="455">
        <v>4.5</v>
      </c>
      <c r="AC9" s="454">
        <f t="shared" si="12"/>
        <v>5.2937499999999993</v>
      </c>
      <c r="AD9" s="455">
        <f t="shared" si="2"/>
        <v>2.25</v>
      </c>
      <c r="AE9" s="455">
        <f t="shared" si="13"/>
        <v>3.6</v>
      </c>
      <c r="AF9" s="455">
        <f t="shared" si="14"/>
        <v>3.6</v>
      </c>
      <c r="AJ9" t="s">
        <v>1083</v>
      </c>
      <c r="AK9" t="s">
        <v>1086</v>
      </c>
      <c r="AQ9" s="283">
        <v>5</v>
      </c>
      <c r="AR9" s="282">
        <v>10000</v>
      </c>
      <c r="AS9" s="282">
        <f t="shared" si="15"/>
        <v>0</v>
      </c>
      <c r="AT9" s="282">
        <f>(L9/(1+(L9/F9-1)*$AK$17^$AK$18))*$AQ$3/100</f>
        <v>0</v>
      </c>
      <c r="AU9" s="282">
        <f t="shared" si="16"/>
        <v>0</v>
      </c>
      <c r="AV9" s="282">
        <f t="shared" si="17"/>
        <v>0</v>
      </c>
      <c r="AW9" s="282">
        <f t="shared" si="18"/>
        <v>0</v>
      </c>
    </row>
    <row r="10" spans="3:49" ht="15.75" thickBot="1" x14ac:dyDescent="0.35">
      <c r="C10" s="283">
        <v>6</v>
      </c>
      <c r="D10" s="282">
        <v>10500</v>
      </c>
      <c r="E10" s="450">
        <f t="shared" si="3"/>
        <v>0.78462986374490806</v>
      </c>
      <c r="F10" s="450">
        <f t="shared" si="4"/>
        <v>1.1492268928220255</v>
      </c>
      <c r="G10" s="450">
        <f t="shared" si="5"/>
        <v>0.39231493187245403</v>
      </c>
      <c r="H10" s="450">
        <f t="shared" si="6"/>
        <v>0.62770389099592638</v>
      </c>
      <c r="I10" s="450">
        <f t="shared" si="7"/>
        <v>0.62770389099592638</v>
      </c>
      <c r="K10" s="297">
        <v>4.5999999999999996</v>
      </c>
      <c r="L10" s="450">
        <f t="shared" si="8"/>
        <v>6.3207479105211402</v>
      </c>
      <c r="M10" s="450">
        <f t="shared" si="1"/>
        <v>2.7462045231071781</v>
      </c>
      <c r="N10" s="450">
        <f t="shared" si="1"/>
        <v>4.3939272369714848</v>
      </c>
      <c r="O10" s="450">
        <f t="shared" si="1"/>
        <v>4.3939272369714848</v>
      </c>
      <c r="P10" s="308"/>
      <c r="Q10" s="308"/>
      <c r="R10" s="308"/>
      <c r="T10" s="452">
        <v>6</v>
      </c>
      <c r="U10" s="453">
        <v>10500</v>
      </c>
      <c r="V10" s="455">
        <v>0.65714285714285714</v>
      </c>
      <c r="W10" s="454">
        <f t="shared" si="9"/>
        <v>0.96249999999999991</v>
      </c>
      <c r="X10" s="455">
        <f t="shared" si="19"/>
        <v>0.32857142857142857</v>
      </c>
      <c r="Y10" s="455">
        <f t="shared" si="10"/>
        <v>0.52571428571428569</v>
      </c>
      <c r="Z10" s="455">
        <f t="shared" si="11"/>
        <v>0.52571428571428569</v>
      </c>
      <c r="AA10" s="449"/>
      <c r="AB10" s="455">
        <v>4.5999999999999996</v>
      </c>
      <c r="AC10" s="454">
        <f t="shared" si="12"/>
        <v>5.2937499999999993</v>
      </c>
      <c r="AD10" s="455">
        <f t="shared" si="2"/>
        <v>2.2999999999999998</v>
      </c>
      <c r="AE10" s="455">
        <f t="shared" si="13"/>
        <v>3.6799999999999997</v>
      </c>
      <c r="AF10" s="455">
        <f t="shared" si="14"/>
        <v>3.6799999999999997</v>
      </c>
      <c r="AJ10" t="s">
        <v>1082</v>
      </c>
      <c r="AK10" t="s">
        <v>1087</v>
      </c>
      <c r="AQ10" s="283">
        <v>6</v>
      </c>
      <c r="AR10" s="282">
        <v>10500</v>
      </c>
      <c r="AS10" s="282">
        <f t="shared" si="15"/>
        <v>0</v>
      </c>
      <c r="AT10" s="282">
        <f t="shared" si="20"/>
        <v>0</v>
      </c>
      <c r="AU10" s="282">
        <f t="shared" si="16"/>
        <v>0</v>
      </c>
      <c r="AV10" s="282">
        <f t="shared" si="17"/>
        <v>0</v>
      </c>
      <c r="AW10" s="282">
        <f t="shared" si="18"/>
        <v>0</v>
      </c>
    </row>
    <row r="11" spans="3:49" ht="15.75" thickBot="1" x14ac:dyDescent="0.35">
      <c r="C11" s="283">
        <v>7</v>
      </c>
      <c r="D11" s="282">
        <v>11000</v>
      </c>
      <c r="E11" s="450">
        <f t="shared" si="3"/>
        <v>0.78462986374490806</v>
      </c>
      <c r="F11" s="450">
        <f t="shared" si="4"/>
        <v>1.1492268928220255</v>
      </c>
      <c r="G11" s="450">
        <f t="shared" si="5"/>
        <v>0.39231493187245403</v>
      </c>
      <c r="H11" s="450">
        <f t="shared" si="6"/>
        <v>0.62770389099592638</v>
      </c>
      <c r="I11" s="450">
        <f t="shared" si="7"/>
        <v>0.62770389099592638</v>
      </c>
      <c r="K11" s="297">
        <v>4.5999999999999996</v>
      </c>
      <c r="L11" s="450">
        <f t="shared" si="8"/>
        <v>6.3207479105211402</v>
      </c>
      <c r="M11" s="450">
        <f t="shared" si="1"/>
        <v>2.7462045231071781</v>
      </c>
      <c r="N11" s="450">
        <f t="shared" si="1"/>
        <v>4.3939272369714848</v>
      </c>
      <c r="O11" s="450">
        <f t="shared" si="1"/>
        <v>4.3939272369714848</v>
      </c>
      <c r="P11" s="308"/>
      <c r="Q11" s="308"/>
      <c r="R11" s="308"/>
      <c r="T11" s="452">
        <v>7</v>
      </c>
      <c r="U11" s="453">
        <v>11000</v>
      </c>
      <c r="V11" s="455">
        <v>0.65714285714285714</v>
      </c>
      <c r="W11" s="454">
        <f t="shared" si="9"/>
        <v>0.96249999999999991</v>
      </c>
      <c r="X11" s="455">
        <f t="shared" si="19"/>
        <v>0.32857142857142857</v>
      </c>
      <c r="Y11" s="455">
        <f t="shared" si="10"/>
        <v>0.52571428571428569</v>
      </c>
      <c r="Z11" s="455">
        <f t="shared" si="11"/>
        <v>0.52571428571428569</v>
      </c>
      <c r="AA11" s="449"/>
      <c r="AB11" s="455">
        <v>4.5999999999999996</v>
      </c>
      <c r="AC11" s="454">
        <f t="shared" si="12"/>
        <v>5.2937499999999993</v>
      </c>
      <c r="AD11" s="455">
        <f t="shared" si="2"/>
        <v>2.2999999999999998</v>
      </c>
      <c r="AE11" s="455">
        <f t="shared" si="13"/>
        <v>3.6799999999999997</v>
      </c>
      <c r="AF11" s="455">
        <f t="shared" si="14"/>
        <v>3.6799999999999997</v>
      </c>
      <c r="AJ11" t="s">
        <v>223</v>
      </c>
      <c r="AK11" t="s">
        <v>1085</v>
      </c>
      <c r="AQ11" s="283">
        <v>7</v>
      </c>
      <c r="AR11" s="282">
        <v>11000</v>
      </c>
      <c r="AS11" s="282">
        <f t="shared" si="15"/>
        <v>0</v>
      </c>
      <c r="AT11" s="282">
        <f t="shared" si="20"/>
        <v>0</v>
      </c>
      <c r="AU11" s="282">
        <f t="shared" si="16"/>
        <v>0</v>
      </c>
      <c r="AV11" s="282">
        <f t="shared" si="17"/>
        <v>0</v>
      </c>
      <c r="AW11" s="282">
        <f t="shared" si="18"/>
        <v>0</v>
      </c>
    </row>
    <row r="12" spans="3:49" ht="15.75" thickBot="1" x14ac:dyDescent="0.35">
      <c r="C12" s="283">
        <v>8</v>
      </c>
      <c r="D12" s="282">
        <v>11500</v>
      </c>
      <c r="E12" s="450">
        <f t="shared" si="3"/>
        <v>0.78462986374490806</v>
      </c>
      <c r="F12" s="450">
        <f t="shared" si="4"/>
        <v>1.1492268928220255</v>
      </c>
      <c r="G12" s="450">
        <f t="shared" si="5"/>
        <v>0.39231493187245403</v>
      </c>
      <c r="H12" s="450">
        <f t="shared" si="6"/>
        <v>0.62770389099592638</v>
      </c>
      <c r="I12" s="450">
        <f t="shared" si="7"/>
        <v>0.62770389099592638</v>
      </c>
      <c r="K12" s="297">
        <v>4.5999999999999996</v>
      </c>
      <c r="L12" s="450">
        <f t="shared" si="8"/>
        <v>6.3207479105211402</v>
      </c>
      <c r="M12" s="450">
        <f t="shared" si="1"/>
        <v>2.7462045231071781</v>
      </c>
      <c r="N12" s="450">
        <f t="shared" si="1"/>
        <v>4.3939272369714848</v>
      </c>
      <c r="O12" s="450">
        <f t="shared" si="1"/>
        <v>4.3939272369714848</v>
      </c>
      <c r="P12" s="308"/>
      <c r="Q12" s="308"/>
      <c r="R12" s="308"/>
      <c r="T12" s="452">
        <v>8</v>
      </c>
      <c r="U12" s="453">
        <v>11500</v>
      </c>
      <c r="V12" s="455">
        <v>0.65714285714285714</v>
      </c>
      <c r="W12" s="454">
        <f t="shared" si="9"/>
        <v>0.96249999999999991</v>
      </c>
      <c r="X12" s="455">
        <f t="shared" si="19"/>
        <v>0.32857142857142857</v>
      </c>
      <c r="Y12" s="455">
        <f t="shared" si="10"/>
        <v>0.52571428571428569</v>
      </c>
      <c r="Z12" s="455">
        <f t="shared" si="11"/>
        <v>0.52571428571428569</v>
      </c>
      <c r="AA12" s="449"/>
      <c r="AB12" s="455">
        <v>4.5999999999999996</v>
      </c>
      <c r="AC12" s="454">
        <f t="shared" si="12"/>
        <v>5.2937499999999993</v>
      </c>
      <c r="AD12" s="455">
        <f t="shared" si="2"/>
        <v>2.2999999999999998</v>
      </c>
      <c r="AE12" s="455">
        <f t="shared" si="13"/>
        <v>3.6799999999999997</v>
      </c>
      <c r="AF12" s="455">
        <f t="shared" si="14"/>
        <v>3.6799999999999997</v>
      </c>
      <c r="AJ12" t="s">
        <v>1023</v>
      </c>
      <c r="AK12" t="s">
        <v>1191</v>
      </c>
      <c r="AQ12" s="283">
        <v>8</v>
      </c>
      <c r="AR12" s="282">
        <v>11500</v>
      </c>
      <c r="AS12" s="282">
        <f t="shared" si="15"/>
        <v>0</v>
      </c>
      <c r="AT12" s="282">
        <f t="shared" si="20"/>
        <v>0</v>
      </c>
      <c r="AU12" s="282">
        <f t="shared" si="16"/>
        <v>0</v>
      </c>
      <c r="AV12" s="282">
        <f t="shared" si="17"/>
        <v>0</v>
      </c>
      <c r="AW12" s="282">
        <f t="shared" si="18"/>
        <v>0</v>
      </c>
    </row>
    <row r="13" spans="3:49" ht="15.75" thickBot="1" x14ac:dyDescent="0.35">
      <c r="C13" s="283">
        <v>9</v>
      </c>
      <c r="D13" s="282">
        <v>12000</v>
      </c>
      <c r="E13" s="450">
        <f t="shared" si="3"/>
        <v>0.8016870346958842</v>
      </c>
      <c r="F13" s="450">
        <f t="shared" si="4"/>
        <v>1.1492268928220255</v>
      </c>
      <c r="G13" s="450">
        <f t="shared" si="5"/>
        <v>0.4008435173479421</v>
      </c>
      <c r="H13" s="450">
        <f t="shared" si="6"/>
        <v>0.64134962775670745</v>
      </c>
      <c r="I13" s="450">
        <f t="shared" si="7"/>
        <v>0.64134962775670745</v>
      </c>
      <c r="K13" s="297">
        <v>4.6999999999999993</v>
      </c>
      <c r="L13" s="450">
        <f t="shared" si="8"/>
        <v>6.3207479105211402</v>
      </c>
      <c r="M13" s="450">
        <f t="shared" si="1"/>
        <v>2.8059046214355945</v>
      </c>
      <c r="N13" s="450">
        <f t="shared" si="1"/>
        <v>4.4894473942969517</v>
      </c>
      <c r="O13" s="450">
        <f t="shared" si="1"/>
        <v>4.4894473942969517</v>
      </c>
      <c r="P13" s="308"/>
      <c r="Q13" s="308"/>
      <c r="R13" s="308"/>
      <c r="T13" s="452">
        <v>9</v>
      </c>
      <c r="U13" s="453">
        <v>12000</v>
      </c>
      <c r="V13" s="455">
        <v>0.67142857142857137</v>
      </c>
      <c r="W13" s="454">
        <f t="shared" si="9"/>
        <v>0.96249999999999991</v>
      </c>
      <c r="X13" s="455">
        <f t="shared" si="19"/>
        <v>0.33571428571428569</v>
      </c>
      <c r="Y13" s="455">
        <f t="shared" si="10"/>
        <v>0.53714285714285714</v>
      </c>
      <c r="Z13" s="455">
        <f t="shared" si="11"/>
        <v>0.53714285714285714</v>
      </c>
      <c r="AA13" s="449"/>
      <c r="AB13" s="455">
        <v>4.6999999999999993</v>
      </c>
      <c r="AC13" s="454">
        <f t="shared" si="12"/>
        <v>5.2937499999999993</v>
      </c>
      <c r="AD13" s="455">
        <f t="shared" si="2"/>
        <v>2.3499999999999996</v>
      </c>
      <c r="AE13" s="455">
        <f t="shared" si="13"/>
        <v>3.76</v>
      </c>
      <c r="AF13" s="455">
        <f t="shared" si="14"/>
        <v>3.76</v>
      </c>
      <c r="AQ13" s="283">
        <v>9</v>
      </c>
      <c r="AR13" s="282">
        <v>12000</v>
      </c>
      <c r="AS13" s="282">
        <f t="shared" si="15"/>
        <v>0</v>
      </c>
      <c r="AT13" s="282">
        <f t="shared" si="20"/>
        <v>0</v>
      </c>
      <c r="AU13" s="282">
        <f t="shared" si="16"/>
        <v>0</v>
      </c>
      <c r="AV13" s="282">
        <f t="shared" si="17"/>
        <v>0</v>
      </c>
      <c r="AW13" s="282">
        <f t="shared" si="18"/>
        <v>0</v>
      </c>
    </row>
    <row r="14" spans="3:49" ht="15.75" thickBot="1" x14ac:dyDescent="0.35">
      <c r="C14" s="283">
        <v>10</v>
      </c>
      <c r="D14" s="282">
        <v>12500</v>
      </c>
      <c r="E14" s="450">
        <f t="shared" si="3"/>
        <v>0.8016870346958842</v>
      </c>
      <c r="F14" s="450">
        <f t="shared" si="4"/>
        <v>1.1492268928220255</v>
      </c>
      <c r="G14" s="450">
        <f t="shared" si="5"/>
        <v>0.4008435173479421</v>
      </c>
      <c r="H14" s="450">
        <f t="shared" si="6"/>
        <v>0.64134962775670745</v>
      </c>
      <c r="I14" s="450">
        <f t="shared" si="7"/>
        <v>0.64134962775670745</v>
      </c>
      <c r="K14" s="297">
        <v>4.6999999999999993</v>
      </c>
      <c r="L14" s="450">
        <f t="shared" si="8"/>
        <v>6.3207479105211402</v>
      </c>
      <c r="M14" s="450">
        <f t="shared" si="1"/>
        <v>2.8059046214355945</v>
      </c>
      <c r="N14" s="450">
        <f t="shared" si="1"/>
        <v>4.4894473942969517</v>
      </c>
      <c r="O14" s="450">
        <f t="shared" si="1"/>
        <v>4.4894473942969517</v>
      </c>
      <c r="P14" s="308"/>
      <c r="Q14" s="308"/>
      <c r="R14" s="308"/>
      <c r="T14" s="452">
        <v>10</v>
      </c>
      <c r="U14" s="453">
        <v>12500</v>
      </c>
      <c r="V14" s="455">
        <v>0.67142857142857137</v>
      </c>
      <c r="W14" s="454">
        <f t="shared" si="9"/>
        <v>0.96249999999999991</v>
      </c>
      <c r="X14" s="455">
        <f t="shared" si="19"/>
        <v>0.33571428571428569</v>
      </c>
      <c r="Y14" s="455">
        <f t="shared" si="10"/>
        <v>0.53714285714285714</v>
      </c>
      <c r="Z14" s="455">
        <f t="shared" si="11"/>
        <v>0.53714285714285714</v>
      </c>
      <c r="AA14" s="449"/>
      <c r="AB14" s="455">
        <v>4.6999999999999993</v>
      </c>
      <c r="AC14" s="454">
        <f t="shared" si="12"/>
        <v>5.2937499999999993</v>
      </c>
      <c r="AD14" s="455">
        <f t="shared" si="2"/>
        <v>2.3499999999999996</v>
      </c>
      <c r="AE14" s="455">
        <f t="shared" si="13"/>
        <v>3.76</v>
      </c>
      <c r="AF14" s="455">
        <f t="shared" si="14"/>
        <v>3.76</v>
      </c>
      <c r="AQ14" s="283">
        <v>10</v>
      </c>
      <c r="AR14" s="282">
        <v>12500</v>
      </c>
      <c r="AS14" s="282">
        <f t="shared" si="15"/>
        <v>0</v>
      </c>
      <c r="AT14" s="282">
        <f t="shared" si="20"/>
        <v>0</v>
      </c>
      <c r="AU14" s="282">
        <f t="shared" si="16"/>
        <v>0</v>
      </c>
      <c r="AV14" s="282">
        <f t="shared" si="17"/>
        <v>0</v>
      </c>
      <c r="AW14" s="282">
        <f t="shared" si="18"/>
        <v>0</v>
      </c>
    </row>
    <row r="15" spans="3:49" ht="15.75" thickBot="1" x14ac:dyDescent="0.35">
      <c r="C15" s="283">
        <v>11</v>
      </c>
      <c r="D15" s="282">
        <v>13000</v>
      </c>
      <c r="E15" s="450">
        <f t="shared" si="3"/>
        <v>0.8016870346958842</v>
      </c>
      <c r="F15" s="450">
        <f t="shared" si="4"/>
        <v>1.1492268928220255</v>
      </c>
      <c r="G15" s="450">
        <f t="shared" si="5"/>
        <v>0.4008435173479421</v>
      </c>
      <c r="H15" s="450">
        <f t="shared" si="6"/>
        <v>0.64134962775670745</v>
      </c>
      <c r="I15" s="450">
        <f t="shared" si="7"/>
        <v>0.64134962775670745</v>
      </c>
      <c r="K15" s="297">
        <v>4.6999999999999993</v>
      </c>
      <c r="L15" s="450">
        <f t="shared" si="8"/>
        <v>6.3207479105211402</v>
      </c>
      <c r="M15" s="450">
        <f t="shared" si="1"/>
        <v>2.8059046214355945</v>
      </c>
      <c r="N15" s="450">
        <f t="shared" si="1"/>
        <v>4.4894473942969517</v>
      </c>
      <c r="O15" s="450">
        <f t="shared" si="1"/>
        <v>4.4894473942969517</v>
      </c>
      <c r="P15" s="308"/>
      <c r="Q15" s="308"/>
      <c r="R15" s="308"/>
      <c r="T15" s="452">
        <v>11</v>
      </c>
      <c r="U15" s="453">
        <v>13000</v>
      </c>
      <c r="V15" s="455">
        <v>0.67142857142857137</v>
      </c>
      <c r="W15" s="454">
        <f t="shared" si="9"/>
        <v>0.96249999999999991</v>
      </c>
      <c r="X15" s="455">
        <f t="shared" si="19"/>
        <v>0.33571428571428569</v>
      </c>
      <c r="Y15" s="455">
        <f t="shared" si="10"/>
        <v>0.53714285714285714</v>
      </c>
      <c r="Z15" s="455">
        <f t="shared" si="11"/>
        <v>0.53714285714285714</v>
      </c>
      <c r="AA15" s="449"/>
      <c r="AB15" s="455">
        <v>4.6999999999999993</v>
      </c>
      <c r="AC15" s="454">
        <f t="shared" si="12"/>
        <v>5.2937499999999993</v>
      </c>
      <c r="AD15" s="455">
        <f t="shared" si="2"/>
        <v>2.3499999999999996</v>
      </c>
      <c r="AE15" s="455">
        <f t="shared" si="13"/>
        <v>3.76</v>
      </c>
      <c r="AF15" s="455">
        <f t="shared" si="14"/>
        <v>3.76</v>
      </c>
      <c r="AJ15" t="s">
        <v>1142</v>
      </c>
      <c r="AK15" s="195">
        <v>0.5</v>
      </c>
      <c r="AQ15" s="283">
        <v>11</v>
      </c>
      <c r="AR15" s="282">
        <v>13000</v>
      </c>
      <c r="AS15" s="282">
        <f t="shared" si="15"/>
        <v>0</v>
      </c>
      <c r="AT15" s="282">
        <f t="shared" si="20"/>
        <v>0</v>
      </c>
      <c r="AU15" s="282">
        <f t="shared" si="16"/>
        <v>0</v>
      </c>
      <c r="AV15" s="282">
        <f t="shared" si="17"/>
        <v>0</v>
      </c>
      <c r="AW15" s="282">
        <f t="shared" si="18"/>
        <v>0</v>
      </c>
    </row>
    <row r="16" spans="3:49" ht="15.75" thickBot="1" x14ac:dyDescent="0.35">
      <c r="C16" s="283">
        <v>12</v>
      </c>
      <c r="D16" s="282">
        <v>13500</v>
      </c>
      <c r="E16" s="450">
        <f t="shared" si="3"/>
        <v>0.8016870346958842</v>
      </c>
      <c r="F16" s="450">
        <f t="shared" si="4"/>
        <v>1.1492268928220255</v>
      </c>
      <c r="G16" s="450">
        <f t="shared" si="5"/>
        <v>0.4008435173479421</v>
      </c>
      <c r="H16" s="450">
        <f t="shared" si="6"/>
        <v>0.64134962775670745</v>
      </c>
      <c r="I16" s="450">
        <f t="shared" si="7"/>
        <v>0.64134962775670745</v>
      </c>
      <c r="K16" s="297">
        <v>4.6999999999999993</v>
      </c>
      <c r="L16" s="450">
        <f t="shared" si="8"/>
        <v>6.3207479105211402</v>
      </c>
      <c r="M16" s="450">
        <f t="shared" si="1"/>
        <v>2.8059046214355945</v>
      </c>
      <c r="N16" s="450">
        <f t="shared" si="1"/>
        <v>4.4894473942969517</v>
      </c>
      <c r="O16" s="450">
        <f t="shared" si="1"/>
        <v>4.4894473942969517</v>
      </c>
      <c r="P16" s="308"/>
      <c r="Q16" s="308"/>
      <c r="R16" s="308"/>
      <c r="T16" s="452">
        <v>12</v>
      </c>
      <c r="U16" s="453">
        <v>13500</v>
      </c>
      <c r="V16" s="455">
        <v>0.67142857142857137</v>
      </c>
      <c r="W16" s="454">
        <f t="shared" si="9"/>
        <v>0.96249999999999991</v>
      </c>
      <c r="X16" s="455">
        <f t="shared" si="19"/>
        <v>0.33571428571428569</v>
      </c>
      <c r="Y16" s="455">
        <f t="shared" si="10"/>
        <v>0.53714285714285714</v>
      </c>
      <c r="Z16" s="455">
        <f t="shared" si="11"/>
        <v>0.53714285714285714</v>
      </c>
      <c r="AA16" s="449"/>
      <c r="AB16" s="455">
        <v>4.6999999999999993</v>
      </c>
      <c r="AC16" s="454">
        <f t="shared" si="12"/>
        <v>5.2937499999999993</v>
      </c>
      <c r="AD16" s="455">
        <f t="shared" si="2"/>
        <v>2.3499999999999996</v>
      </c>
      <c r="AE16" s="455">
        <f t="shared" si="13"/>
        <v>3.76</v>
      </c>
      <c r="AF16" s="455">
        <f t="shared" si="14"/>
        <v>3.76</v>
      </c>
      <c r="AJ16" t="s">
        <v>1183</v>
      </c>
      <c r="AK16" s="195">
        <v>0.8</v>
      </c>
      <c r="AQ16" s="283">
        <v>12</v>
      </c>
      <c r="AR16" s="282">
        <v>13500</v>
      </c>
      <c r="AS16" s="282">
        <f t="shared" si="15"/>
        <v>0</v>
      </c>
      <c r="AT16" s="282">
        <f t="shared" si="20"/>
        <v>0</v>
      </c>
      <c r="AU16" s="282">
        <f t="shared" si="16"/>
        <v>0</v>
      </c>
      <c r="AV16" s="282">
        <f t="shared" si="17"/>
        <v>0</v>
      </c>
      <c r="AW16" s="282">
        <f t="shared" si="18"/>
        <v>0</v>
      </c>
    </row>
    <row r="17" spans="3:49" ht="15.75" thickBot="1" x14ac:dyDescent="0.35">
      <c r="C17" s="283">
        <v>13</v>
      </c>
      <c r="D17" s="282">
        <v>14000</v>
      </c>
      <c r="E17" s="450">
        <f t="shared" si="3"/>
        <v>0.81874420564686046</v>
      </c>
      <c r="F17" s="450">
        <f t="shared" si="4"/>
        <v>1.1492268928220255</v>
      </c>
      <c r="G17" s="450">
        <f t="shared" si="5"/>
        <v>0.40937210282343023</v>
      </c>
      <c r="H17" s="450">
        <f t="shared" si="6"/>
        <v>0.65499536451748841</v>
      </c>
      <c r="I17" s="450">
        <f t="shared" si="7"/>
        <v>0.65499536451748841</v>
      </c>
      <c r="K17" s="297">
        <v>4.7999999999999989</v>
      </c>
      <c r="L17" s="450">
        <f t="shared" si="8"/>
        <v>6.3207479105211402</v>
      </c>
      <c r="M17" s="450">
        <f t="shared" si="1"/>
        <v>2.8656047197640113</v>
      </c>
      <c r="N17" s="450">
        <f t="shared" si="1"/>
        <v>4.5849675516224186</v>
      </c>
      <c r="O17" s="450">
        <f t="shared" si="1"/>
        <v>4.5849675516224186</v>
      </c>
      <c r="P17" s="308"/>
      <c r="Q17" s="308"/>
      <c r="R17" s="308"/>
      <c r="T17" s="452">
        <v>13</v>
      </c>
      <c r="U17" s="453">
        <v>14000</v>
      </c>
      <c r="V17" s="455">
        <v>0.68571428571428561</v>
      </c>
      <c r="W17" s="455">
        <v>0.96249999999999991</v>
      </c>
      <c r="X17" s="455">
        <f t="shared" si="19"/>
        <v>0.3428571428571428</v>
      </c>
      <c r="Y17" s="455">
        <f t="shared" si="10"/>
        <v>0.54857142857142849</v>
      </c>
      <c r="Z17" s="455">
        <f t="shared" si="11"/>
        <v>0.54857142857142849</v>
      </c>
      <c r="AA17" s="449"/>
      <c r="AB17" s="455">
        <v>4.7999999999999989</v>
      </c>
      <c r="AC17" s="455">
        <v>5.2937499999999993</v>
      </c>
      <c r="AD17" s="455">
        <f t="shared" si="2"/>
        <v>2.3999999999999995</v>
      </c>
      <c r="AE17" s="455">
        <f t="shared" si="13"/>
        <v>3.8399999999999994</v>
      </c>
      <c r="AF17" s="455">
        <f t="shared" si="14"/>
        <v>3.8399999999999994</v>
      </c>
      <c r="AJ17" t="s">
        <v>1023</v>
      </c>
      <c r="AK17" s="195">
        <v>0.5</v>
      </c>
      <c r="AQ17" s="283">
        <v>13</v>
      </c>
      <c r="AR17" s="282">
        <v>14000</v>
      </c>
      <c r="AS17" s="282">
        <f t="shared" si="15"/>
        <v>0</v>
      </c>
      <c r="AT17" s="282">
        <f t="shared" si="20"/>
        <v>0</v>
      </c>
      <c r="AU17" s="282">
        <f t="shared" si="16"/>
        <v>0</v>
      </c>
      <c r="AV17" s="282">
        <f t="shared" si="17"/>
        <v>0</v>
      </c>
      <c r="AW17" s="282">
        <f t="shared" si="18"/>
        <v>0</v>
      </c>
    </row>
    <row r="18" spans="3:49" ht="15.75" thickBot="1" x14ac:dyDescent="0.35">
      <c r="C18" s="283">
        <v>14</v>
      </c>
      <c r="D18" s="282">
        <v>14500</v>
      </c>
      <c r="E18" s="450">
        <f t="shared" si="3"/>
        <v>0.81874420564686046</v>
      </c>
      <c r="F18" s="450">
        <f t="shared" si="4"/>
        <v>1.1492268928220255</v>
      </c>
      <c r="G18" s="450">
        <f t="shared" si="5"/>
        <v>0.40937210282343023</v>
      </c>
      <c r="H18" s="450">
        <f t="shared" si="6"/>
        <v>0.65499536451748841</v>
      </c>
      <c r="I18" s="450">
        <f t="shared" si="7"/>
        <v>0.65499536451748841</v>
      </c>
      <c r="K18" s="297">
        <v>4.7999999999999989</v>
      </c>
      <c r="L18" s="450">
        <f t="shared" si="8"/>
        <v>6.3207479105211402</v>
      </c>
      <c r="M18" s="450">
        <f t="shared" si="1"/>
        <v>2.8656047197640113</v>
      </c>
      <c r="N18" s="450">
        <f t="shared" si="1"/>
        <v>4.5849675516224186</v>
      </c>
      <c r="O18" s="450">
        <f t="shared" si="1"/>
        <v>4.5849675516224186</v>
      </c>
      <c r="P18" s="308"/>
      <c r="Q18" s="308"/>
      <c r="R18" s="308"/>
      <c r="T18" s="452">
        <v>14</v>
      </c>
      <c r="U18" s="453">
        <v>14500</v>
      </c>
      <c r="V18" s="455">
        <v>0.68571428571428561</v>
      </c>
      <c r="W18" s="455">
        <v>0.96249999999999991</v>
      </c>
      <c r="X18" s="455">
        <f t="shared" si="19"/>
        <v>0.3428571428571428</v>
      </c>
      <c r="Y18" s="455">
        <f t="shared" si="10"/>
        <v>0.54857142857142849</v>
      </c>
      <c r="Z18" s="455">
        <f t="shared" si="11"/>
        <v>0.54857142857142849</v>
      </c>
      <c r="AA18" s="449"/>
      <c r="AB18" s="455">
        <v>4.7999999999999989</v>
      </c>
      <c r="AC18" s="455">
        <v>5.2937499999999993</v>
      </c>
      <c r="AD18" s="455">
        <f t="shared" si="2"/>
        <v>2.3999999999999995</v>
      </c>
      <c r="AE18" s="455">
        <f t="shared" si="13"/>
        <v>3.8399999999999994</v>
      </c>
      <c r="AF18" s="455">
        <f t="shared" si="14"/>
        <v>3.8399999999999994</v>
      </c>
      <c r="AJ18" t="s">
        <v>1192</v>
      </c>
      <c r="AK18" s="195">
        <v>4</v>
      </c>
      <c r="AQ18" s="283">
        <v>14</v>
      </c>
      <c r="AR18" s="282">
        <v>14500</v>
      </c>
      <c r="AS18" s="282">
        <f t="shared" si="15"/>
        <v>0</v>
      </c>
      <c r="AT18" s="282">
        <f t="shared" si="20"/>
        <v>0</v>
      </c>
      <c r="AU18" s="282">
        <f t="shared" si="16"/>
        <v>0</v>
      </c>
      <c r="AV18" s="282">
        <f t="shared" si="17"/>
        <v>0</v>
      </c>
      <c r="AW18" s="282">
        <f t="shared" si="18"/>
        <v>0</v>
      </c>
    </row>
    <row r="19" spans="3:49" ht="15.75" thickBot="1" x14ac:dyDescent="0.35">
      <c r="C19" s="283">
        <v>15</v>
      </c>
      <c r="D19" s="282">
        <v>15000</v>
      </c>
      <c r="E19" s="450">
        <f t="shared" si="3"/>
        <v>0.83580137659783693</v>
      </c>
      <c r="F19" s="450">
        <f t="shared" si="4"/>
        <v>1.1492268928220255</v>
      </c>
      <c r="G19" s="450">
        <f t="shared" si="5"/>
        <v>0.41790068829891847</v>
      </c>
      <c r="H19" s="450">
        <f t="shared" si="6"/>
        <v>0.66864110127826959</v>
      </c>
      <c r="I19" s="450">
        <f t="shared" si="7"/>
        <v>0.66864110127826959</v>
      </c>
      <c r="K19" s="297">
        <v>4.9000000000000004</v>
      </c>
      <c r="L19" s="450">
        <f t="shared" si="8"/>
        <v>6.3207479105211402</v>
      </c>
      <c r="M19" s="450">
        <f t="shared" si="1"/>
        <v>2.925304818092429</v>
      </c>
      <c r="N19" s="450">
        <f t="shared" si="1"/>
        <v>4.6804877089478865</v>
      </c>
      <c r="O19" s="450">
        <f t="shared" si="1"/>
        <v>4.6804877089478865</v>
      </c>
      <c r="P19" s="308"/>
      <c r="Q19" s="308"/>
      <c r="R19" s="308"/>
      <c r="T19" s="452">
        <v>15</v>
      </c>
      <c r="U19" s="453">
        <v>15000</v>
      </c>
      <c r="V19" s="455">
        <v>0.70000000000000007</v>
      </c>
      <c r="W19" s="455">
        <v>0.96249999999999991</v>
      </c>
      <c r="X19" s="455">
        <f t="shared" si="19"/>
        <v>0.35000000000000003</v>
      </c>
      <c r="Y19" s="455">
        <f t="shared" si="10"/>
        <v>0.56000000000000005</v>
      </c>
      <c r="Z19" s="455">
        <f t="shared" si="11"/>
        <v>0.56000000000000005</v>
      </c>
      <c r="AA19" s="449"/>
      <c r="AB19" s="455">
        <v>4.9000000000000004</v>
      </c>
      <c r="AC19" s="455">
        <v>5.2937499999999993</v>
      </c>
      <c r="AD19" s="455">
        <f t="shared" si="2"/>
        <v>2.4500000000000002</v>
      </c>
      <c r="AE19" s="455">
        <f t="shared" si="13"/>
        <v>3.9200000000000004</v>
      </c>
      <c r="AF19" s="455">
        <f t="shared" si="14"/>
        <v>3.9200000000000004</v>
      </c>
      <c r="AQ19" s="283">
        <v>15</v>
      </c>
      <c r="AR19" s="282">
        <v>15000</v>
      </c>
      <c r="AS19" s="282">
        <f t="shared" si="15"/>
        <v>0</v>
      </c>
      <c r="AT19" s="282">
        <f t="shared" si="20"/>
        <v>0</v>
      </c>
      <c r="AU19" s="282">
        <f t="shared" si="16"/>
        <v>0</v>
      </c>
      <c r="AV19" s="282">
        <f t="shared" si="17"/>
        <v>0</v>
      </c>
      <c r="AW19" s="282">
        <f t="shared" si="18"/>
        <v>0</v>
      </c>
    </row>
    <row r="20" spans="3:49" ht="15.75" thickBot="1" x14ac:dyDescent="0.35">
      <c r="C20" s="283">
        <v>16</v>
      </c>
      <c r="D20" s="282">
        <v>15500</v>
      </c>
      <c r="E20" s="450">
        <f t="shared" si="3"/>
        <v>0.83580137659783693</v>
      </c>
      <c r="F20" s="450">
        <f t="shared" si="4"/>
        <v>1.1790769419862341</v>
      </c>
      <c r="G20" s="450">
        <f t="shared" si="5"/>
        <v>0.41790068829891847</v>
      </c>
      <c r="H20" s="450">
        <f t="shared" si="6"/>
        <v>0.66864110127826959</v>
      </c>
      <c r="I20" s="450">
        <f t="shared" si="7"/>
        <v>0.66864110127826959</v>
      </c>
      <c r="K20" s="297">
        <v>4.9000000000000004</v>
      </c>
      <c r="L20" s="450">
        <f t="shared" si="8"/>
        <v>6.4849231809242882</v>
      </c>
      <c r="M20" s="450">
        <f t="shared" si="1"/>
        <v>2.925304818092429</v>
      </c>
      <c r="N20" s="450">
        <f t="shared" si="1"/>
        <v>4.6804877089478865</v>
      </c>
      <c r="O20" s="450">
        <f t="shared" si="1"/>
        <v>4.6804877089478865</v>
      </c>
      <c r="P20" s="308"/>
      <c r="Q20" s="308"/>
      <c r="R20" s="308"/>
      <c r="T20" s="452">
        <v>16</v>
      </c>
      <c r="U20" s="453">
        <v>15500</v>
      </c>
      <c r="V20" s="455">
        <v>0.70000000000000007</v>
      </c>
      <c r="W20" s="455">
        <v>0.98750000000000004</v>
      </c>
      <c r="X20" s="455">
        <f t="shared" si="19"/>
        <v>0.35000000000000003</v>
      </c>
      <c r="Y20" s="455">
        <f t="shared" si="10"/>
        <v>0.56000000000000005</v>
      </c>
      <c r="Z20" s="455">
        <f t="shared" si="11"/>
        <v>0.56000000000000005</v>
      </c>
      <c r="AA20" s="449"/>
      <c r="AB20" s="455">
        <v>4.9000000000000004</v>
      </c>
      <c r="AC20" s="455">
        <v>5.4312500000000004</v>
      </c>
      <c r="AD20" s="455">
        <f t="shared" si="2"/>
        <v>2.4500000000000002</v>
      </c>
      <c r="AE20" s="455">
        <f t="shared" si="13"/>
        <v>3.9200000000000004</v>
      </c>
      <c r="AF20" s="455">
        <f t="shared" si="14"/>
        <v>3.9200000000000004</v>
      </c>
      <c r="AQ20" s="283">
        <v>16</v>
      </c>
      <c r="AR20" s="282">
        <v>15500</v>
      </c>
      <c r="AS20" s="282">
        <f t="shared" si="15"/>
        <v>0</v>
      </c>
      <c r="AT20" s="282">
        <f t="shared" si="20"/>
        <v>0</v>
      </c>
      <c r="AU20" s="282">
        <f t="shared" si="16"/>
        <v>0</v>
      </c>
      <c r="AV20" s="282">
        <f t="shared" si="17"/>
        <v>0</v>
      </c>
      <c r="AW20" s="282">
        <f t="shared" si="18"/>
        <v>0</v>
      </c>
    </row>
    <row r="21" spans="3:49" ht="15.75" thickBot="1" x14ac:dyDescent="0.35">
      <c r="C21" s="283">
        <v>17</v>
      </c>
      <c r="D21" s="282">
        <v>16000</v>
      </c>
      <c r="E21" s="450">
        <f t="shared" si="3"/>
        <v>0.85285854754881307</v>
      </c>
      <c r="F21" s="450">
        <f t="shared" si="4"/>
        <v>1.1940019665683383</v>
      </c>
      <c r="G21" s="450">
        <f t="shared" si="5"/>
        <v>0.42642927377440654</v>
      </c>
      <c r="H21" s="450">
        <f t="shared" si="6"/>
        <v>0.68228683803905055</v>
      </c>
      <c r="I21" s="450">
        <f t="shared" si="7"/>
        <v>0.68228683803905055</v>
      </c>
      <c r="K21" s="297">
        <v>5</v>
      </c>
      <c r="L21" s="450">
        <f t="shared" si="8"/>
        <v>6.5670108161258609</v>
      </c>
      <c r="M21" s="450">
        <f t="shared" ref="M21:M50" si="21">AD21*$Q$5</f>
        <v>2.9850049164208459</v>
      </c>
      <c r="N21" s="450">
        <f t="shared" ref="N21:N50" si="22">AE21*$Q$5</f>
        <v>4.7760078662733534</v>
      </c>
      <c r="O21" s="450">
        <f t="shared" ref="O21:O50" si="23">AF21*$Q$5</f>
        <v>4.7760078662733534</v>
      </c>
      <c r="P21" s="308"/>
      <c r="Q21" s="308"/>
      <c r="R21" s="308"/>
      <c r="T21" s="452">
        <v>17</v>
      </c>
      <c r="U21" s="453">
        <v>16000</v>
      </c>
      <c r="V21" s="455">
        <v>0.7142857142857143</v>
      </c>
      <c r="W21" s="455">
        <v>1</v>
      </c>
      <c r="X21" s="455">
        <f t="shared" si="19"/>
        <v>0.35714285714285715</v>
      </c>
      <c r="Y21" s="455">
        <f t="shared" si="10"/>
        <v>0.57142857142857151</v>
      </c>
      <c r="Z21" s="455">
        <f t="shared" si="11"/>
        <v>0.57142857142857151</v>
      </c>
      <c r="AA21" s="449"/>
      <c r="AB21" s="455">
        <v>5</v>
      </c>
      <c r="AC21" s="455">
        <v>5.5</v>
      </c>
      <c r="AD21" s="455">
        <f t="shared" si="2"/>
        <v>2.5</v>
      </c>
      <c r="AE21" s="455">
        <f t="shared" si="13"/>
        <v>4</v>
      </c>
      <c r="AF21" s="455">
        <f t="shared" si="14"/>
        <v>4</v>
      </c>
      <c r="AQ21" s="283">
        <v>17</v>
      </c>
      <c r="AR21" s="282">
        <v>16000</v>
      </c>
      <c r="AS21" s="282">
        <f t="shared" si="15"/>
        <v>0</v>
      </c>
      <c r="AT21" s="282">
        <f t="shared" si="20"/>
        <v>0</v>
      </c>
      <c r="AU21" s="282">
        <f t="shared" si="16"/>
        <v>0</v>
      </c>
      <c r="AV21" s="282">
        <f t="shared" si="17"/>
        <v>0</v>
      </c>
      <c r="AW21" s="282">
        <f t="shared" si="18"/>
        <v>0</v>
      </c>
    </row>
    <row r="22" spans="3:49" ht="15.75" thickBot="1" x14ac:dyDescent="0.35">
      <c r="C22" s="283">
        <v>18</v>
      </c>
      <c r="D22" s="282">
        <v>16500</v>
      </c>
      <c r="E22" s="450">
        <f t="shared" si="3"/>
        <v>0.85285854754881307</v>
      </c>
      <c r="F22" s="450">
        <f t="shared" si="4"/>
        <v>1.1940019665683383</v>
      </c>
      <c r="G22" s="450">
        <f t="shared" si="5"/>
        <v>0.42642927377440654</v>
      </c>
      <c r="H22" s="450">
        <f t="shared" si="6"/>
        <v>0.68228683803905055</v>
      </c>
      <c r="I22" s="450">
        <f t="shared" si="7"/>
        <v>0.68228683803905055</v>
      </c>
      <c r="K22" s="297">
        <v>5</v>
      </c>
      <c r="L22" s="450">
        <f t="shared" si="8"/>
        <v>6.5670108161258609</v>
      </c>
      <c r="M22" s="450">
        <f t="shared" si="21"/>
        <v>2.9850049164208459</v>
      </c>
      <c r="N22" s="450">
        <f t="shared" si="22"/>
        <v>4.7760078662733534</v>
      </c>
      <c r="O22" s="450">
        <f t="shared" si="23"/>
        <v>4.7760078662733534</v>
      </c>
      <c r="P22" s="308"/>
      <c r="Q22" s="308"/>
      <c r="R22" s="308"/>
      <c r="T22" s="452">
        <v>18</v>
      </c>
      <c r="U22" s="453">
        <v>16500</v>
      </c>
      <c r="V22" s="455">
        <v>0.7142857142857143</v>
      </c>
      <c r="W22" s="455">
        <v>1</v>
      </c>
      <c r="X22" s="455">
        <f t="shared" si="19"/>
        <v>0.35714285714285715</v>
      </c>
      <c r="Y22" s="455">
        <f t="shared" si="10"/>
        <v>0.57142857142857151</v>
      </c>
      <c r="Z22" s="455">
        <f t="shared" si="11"/>
        <v>0.57142857142857151</v>
      </c>
      <c r="AA22" s="449"/>
      <c r="AB22" s="455">
        <v>5</v>
      </c>
      <c r="AC22" s="455">
        <v>5.5</v>
      </c>
      <c r="AD22" s="455">
        <f t="shared" si="2"/>
        <v>2.5</v>
      </c>
      <c r="AE22" s="455">
        <f t="shared" si="13"/>
        <v>4</v>
      </c>
      <c r="AF22" s="455">
        <f t="shared" si="14"/>
        <v>4</v>
      </c>
      <c r="AQ22" s="283">
        <v>18</v>
      </c>
      <c r="AR22" s="282">
        <v>16500</v>
      </c>
      <c r="AS22" s="282">
        <f t="shared" si="15"/>
        <v>0</v>
      </c>
      <c r="AT22" s="282">
        <f t="shared" si="20"/>
        <v>0</v>
      </c>
      <c r="AU22" s="282">
        <f t="shared" si="16"/>
        <v>0</v>
      </c>
      <c r="AV22" s="282">
        <f t="shared" si="17"/>
        <v>0</v>
      </c>
      <c r="AW22" s="282">
        <f t="shared" si="18"/>
        <v>0</v>
      </c>
    </row>
    <row r="23" spans="3:49" ht="15.75" thickBot="1" x14ac:dyDescent="0.35">
      <c r="C23" s="283">
        <v>19</v>
      </c>
      <c r="D23" s="282">
        <v>17000</v>
      </c>
      <c r="E23" s="450">
        <f t="shared" si="3"/>
        <v>0.86991571849978933</v>
      </c>
      <c r="F23" s="450">
        <f t="shared" si="4"/>
        <v>1.1940019665683383</v>
      </c>
      <c r="G23" s="450">
        <f t="shared" si="5"/>
        <v>0.43495785924989466</v>
      </c>
      <c r="H23" s="450">
        <f t="shared" si="6"/>
        <v>0.6959325747998315</v>
      </c>
      <c r="I23" s="450">
        <f t="shared" si="7"/>
        <v>0.6959325747998315</v>
      </c>
      <c r="K23" s="297">
        <v>5.0999999999999996</v>
      </c>
      <c r="L23" s="450">
        <f t="shared" si="8"/>
        <v>6.5670108161258609</v>
      </c>
      <c r="M23" s="450">
        <f t="shared" si="21"/>
        <v>3.0447050147492627</v>
      </c>
      <c r="N23" s="450">
        <f t="shared" si="22"/>
        <v>4.8715280235988203</v>
      </c>
      <c r="O23" s="450">
        <f t="shared" si="23"/>
        <v>4.8715280235988203</v>
      </c>
      <c r="P23" s="308"/>
      <c r="Q23" s="308"/>
      <c r="R23" s="308"/>
      <c r="T23" s="452">
        <v>19</v>
      </c>
      <c r="U23" s="453">
        <v>17000</v>
      </c>
      <c r="V23" s="455">
        <v>0.72857142857142854</v>
      </c>
      <c r="W23" s="455">
        <v>1</v>
      </c>
      <c r="X23" s="455">
        <f t="shared" si="19"/>
        <v>0.36428571428571427</v>
      </c>
      <c r="Y23" s="455">
        <f t="shared" si="10"/>
        <v>0.58285714285714285</v>
      </c>
      <c r="Z23" s="455">
        <f t="shared" si="11"/>
        <v>0.58285714285714285</v>
      </c>
      <c r="AA23" s="449"/>
      <c r="AB23" s="455">
        <v>5.0999999999999996</v>
      </c>
      <c r="AC23" s="455">
        <v>5.5</v>
      </c>
      <c r="AD23" s="455">
        <f t="shared" si="2"/>
        <v>2.5499999999999998</v>
      </c>
      <c r="AE23" s="455">
        <f t="shared" si="13"/>
        <v>4.08</v>
      </c>
      <c r="AF23" s="455">
        <f t="shared" si="14"/>
        <v>4.08</v>
      </c>
      <c r="AQ23" s="283">
        <v>19</v>
      </c>
      <c r="AR23" s="282">
        <v>17000</v>
      </c>
      <c r="AS23" s="282">
        <f t="shared" si="15"/>
        <v>0</v>
      </c>
      <c r="AT23" s="282">
        <f>(L23/(1+(L23/F23-1)*$AK$17^$AK$18))*$AQ$3/100</f>
        <v>0</v>
      </c>
      <c r="AU23" s="282">
        <f t="shared" si="16"/>
        <v>0</v>
      </c>
      <c r="AV23" s="282">
        <f t="shared" si="17"/>
        <v>0</v>
      </c>
      <c r="AW23" s="282">
        <f t="shared" si="18"/>
        <v>0</v>
      </c>
    </row>
    <row r="24" spans="3:49" ht="15.75" thickBot="1" x14ac:dyDescent="0.35">
      <c r="C24" s="283">
        <v>20</v>
      </c>
      <c r="D24" s="282">
        <v>17500</v>
      </c>
      <c r="E24" s="450">
        <f t="shared" si="3"/>
        <v>0.86991571849978933</v>
      </c>
      <c r="F24" s="450">
        <f t="shared" si="4"/>
        <v>1.2238520157325468</v>
      </c>
      <c r="G24" s="450">
        <f t="shared" si="5"/>
        <v>0.43495785924989466</v>
      </c>
      <c r="H24" s="450">
        <f t="shared" si="6"/>
        <v>0.6959325747998315</v>
      </c>
      <c r="I24" s="450">
        <f t="shared" si="7"/>
        <v>0.6959325747998315</v>
      </c>
      <c r="K24" s="297">
        <v>5.0999999999999996</v>
      </c>
      <c r="L24" s="450">
        <f t="shared" si="8"/>
        <v>6.7311860865290063</v>
      </c>
      <c r="M24" s="450">
        <f t="shared" si="21"/>
        <v>3.0447050147492627</v>
      </c>
      <c r="N24" s="450">
        <f t="shared" si="22"/>
        <v>4.8715280235988203</v>
      </c>
      <c r="O24" s="450">
        <f t="shared" si="23"/>
        <v>4.8715280235988203</v>
      </c>
      <c r="P24" s="308"/>
      <c r="Q24" s="308"/>
      <c r="R24" s="308"/>
      <c r="T24" s="452">
        <v>20</v>
      </c>
      <c r="U24" s="453">
        <v>17500</v>
      </c>
      <c r="V24" s="455">
        <v>0.72857142857142854</v>
      </c>
      <c r="W24" s="455">
        <v>1.0249999999999999</v>
      </c>
      <c r="X24" s="455">
        <f t="shared" si="19"/>
        <v>0.36428571428571427</v>
      </c>
      <c r="Y24" s="455">
        <f t="shared" si="10"/>
        <v>0.58285714285714285</v>
      </c>
      <c r="Z24" s="455">
        <f t="shared" si="11"/>
        <v>0.58285714285714285</v>
      </c>
      <c r="AA24" s="449"/>
      <c r="AB24" s="455">
        <v>5.0999999999999996</v>
      </c>
      <c r="AC24" s="455">
        <v>5.6374999999999993</v>
      </c>
      <c r="AD24" s="455">
        <f t="shared" si="2"/>
        <v>2.5499999999999998</v>
      </c>
      <c r="AE24" s="455">
        <f t="shared" si="13"/>
        <v>4.08</v>
      </c>
      <c r="AF24" s="455">
        <f t="shared" si="14"/>
        <v>4.08</v>
      </c>
      <c r="AQ24" s="283">
        <v>20</v>
      </c>
      <c r="AR24" s="282">
        <v>17500</v>
      </c>
      <c r="AS24" s="282">
        <f t="shared" si="15"/>
        <v>0</v>
      </c>
      <c r="AT24" s="282">
        <f t="shared" si="20"/>
        <v>0</v>
      </c>
      <c r="AU24" s="282">
        <f t="shared" si="16"/>
        <v>0</v>
      </c>
      <c r="AV24" s="282">
        <f t="shared" si="17"/>
        <v>0</v>
      </c>
      <c r="AW24" s="282">
        <f t="shared" si="18"/>
        <v>0</v>
      </c>
    </row>
    <row r="25" spans="3:49" ht="15.75" thickBot="1" x14ac:dyDescent="0.35">
      <c r="C25" s="283">
        <v>21</v>
      </c>
      <c r="D25" s="282">
        <v>18000</v>
      </c>
      <c r="E25" s="450">
        <f t="shared" si="3"/>
        <v>0.88697288945076558</v>
      </c>
      <c r="F25" s="450">
        <f t="shared" si="4"/>
        <v>1.2238520157325468</v>
      </c>
      <c r="G25" s="450">
        <f t="shared" si="5"/>
        <v>0.44348644472538279</v>
      </c>
      <c r="H25" s="450">
        <f t="shared" si="6"/>
        <v>0.70957831156061235</v>
      </c>
      <c r="I25" s="450">
        <f t="shared" si="7"/>
        <v>0.70957831156061235</v>
      </c>
      <c r="K25" s="297">
        <v>5.1999999999999993</v>
      </c>
      <c r="L25" s="450">
        <f t="shared" si="8"/>
        <v>6.7311860865290063</v>
      </c>
      <c r="M25" s="450">
        <f t="shared" si="21"/>
        <v>3.1044051130776791</v>
      </c>
      <c r="N25" s="450">
        <f t="shared" si="22"/>
        <v>4.9670481809242863</v>
      </c>
      <c r="O25" s="450">
        <f t="shared" si="23"/>
        <v>4.9670481809242863</v>
      </c>
      <c r="P25" s="308"/>
      <c r="Q25" s="308"/>
      <c r="R25" s="308"/>
      <c r="T25" s="452">
        <v>21</v>
      </c>
      <c r="U25" s="453">
        <v>18000</v>
      </c>
      <c r="V25" s="455">
        <v>0.74285714285714277</v>
      </c>
      <c r="W25" s="455">
        <v>1.0249999999999999</v>
      </c>
      <c r="X25" s="455">
        <f t="shared" si="19"/>
        <v>0.37142857142857139</v>
      </c>
      <c r="Y25" s="455">
        <f t="shared" si="10"/>
        <v>0.59428571428571419</v>
      </c>
      <c r="Z25" s="455">
        <f t="shared" si="11"/>
        <v>0.59428571428571419</v>
      </c>
      <c r="AA25" s="449"/>
      <c r="AB25" s="455">
        <v>5.1999999999999993</v>
      </c>
      <c r="AC25" s="455">
        <v>5.6374999999999993</v>
      </c>
      <c r="AD25" s="455">
        <f t="shared" si="2"/>
        <v>2.5999999999999996</v>
      </c>
      <c r="AE25" s="455">
        <f t="shared" si="13"/>
        <v>4.1599999999999993</v>
      </c>
      <c r="AF25" s="455">
        <f t="shared" si="14"/>
        <v>4.1599999999999993</v>
      </c>
      <c r="AQ25" s="283">
        <v>21</v>
      </c>
      <c r="AR25" s="282">
        <v>18000</v>
      </c>
      <c r="AS25" s="282">
        <f t="shared" si="15"/>
        <v>0</v>
      </c>
      <c r="AT25" s="282">
        <f t="shared" si="20"/>
        <v>0</v>
      </c>
      <c r="AU25" s="282">
        <f t="shared" si="16"/>
        <v>0</v>
      </c>
      <c r="AV25" s="282">
        <f t="shared" si="17"/>
        <v>0</v>
      </c>
      <c r="AW25" s="282">
        <f t="shared" si="18"/>
        <v>0</v>
      </c>
    </row>
    <row r="26" spans="3:49" ht="15.75" thickBot="1" x14ac:dyDescent="0.35">
      <c r="C26" s="283">
        <v>22</v>
      </c>
      <c r="D26" s="282">
        <v>18500</v>
      </c>
      <c r="E26" s="450">
        <f t="shared" si="3"/>
        <v>0.88697288945076558</v>
      </c>
      <c r="F26" s="450">
        <f t="shared" si="4"/>
        <v>1.2238520157325468</v>
      </c>
      <c r="G26" s="450">
        <f t="shared" si="5"/>
        <v>0.44348644472538279</v>
      </c>
      <c r="H26" s="450">
        <f t="shared" si="6"/>
        <v>0.70957831156061235</v>
      </c>
      <c r="I26" s="450">
        <f t="shared" si="7"/>
        <v>0.70957831156061235</v>
      </c>
      <c r="K26" s="297">
        <v>5.1999999999999993</v>
      </c>
      <c r="L26" s="450">
        <f t="shared" si="8"/>
        <v>6.7311860865290063</v>
      </c>
      <c r="M26" s="450">
        <f t="shared" si="21"/>
        <v>3.1044051130776791</v>
      </c>
      <c r="N26" s="450">
        <f t="shared" si="22"/>
        <v>4.9670481809242863</v>
      </c>
      <c r="O26" s="450">
        <f t="shared" si="23"/>
        <v>4.9670481809242863</v>
      </c>
      <c r="P26" s="308"/>
      <c r="Q26" s="308"/>
      <c r="R26" s="308"/>
      <c r="T26" s="452">
        <v>22</v>
      </c>
      <c r="U26" s="453">
        <v>18500</v>
      </c>
      <c r="V26" s="455">
        <v>0.74285714285714277</v>
      </c>
      <c r="W26" s="455">
        <v>1.0249999999999999</v>
      </c>
      <c r="X26" s="455">
        <f t="shared" si="19"/>
        <v>0.37142857142857139</v>
      </c>
      <c r="Y26" s="455">
        <f t="shared" si="10"/>
        <v>0.59428571428571419</v>
      </c>
      <c r="Z26" s="455">
        <f t="shared" si="11"/>
        <v>0.59428571428571419</v>
      </c>
      <c r="AA26" s="449"/>
      <c r="AB26" s="455">
        <v>5.1999999999999993</v>
      </c>
      <c r="AC26" s="455">
        <v>5.6374999999999993</v>
      </c>
      <c r="AD26" s="455">
        <f t="shared" si="2"/>
        <v>2.5999999999999996</v>
      </c>
      <c r="AE26" s="455">
        <f t="shared" si="13"/>
        <v>4.1599999999999993</v>
      </c>
      <c r="AF26" s="455">
        <f t="shared" si="14"/>
        <v>4.1599999999999993</v>
      </c>
      <c r="AQ26" s="283">
        <v>22</v>
      </c>
      <c r="AR26" s="282">
        <v>18500</v>
      </c>
      <c r="AS26" s="282">
        <f t="shared" si="15"/>
        <v>0</v>
      </c>
      <c r="AT26" s="282">
        <f t="shared" si="20"/>
        <v>0</v>
      </c>
      <c r="AU26" s="282">
        <f t="shared" si="16"/>
        <v>0</v>
      </c>
      <c r="AV26" s="282">
        <f t="shared" si="17"/>
        <v>0</v>
      </c>
      <c r="AW26" s="282">
        <f t="shared" si="18"/>
        <v>0</v>
      </c>
    </row>
    <row r="27" spans="3:49" ht="15.75" thickBot="1" x14ac:dyDescent="0.35">
      <c r="C27" s="283">
        <v>23</v>
      </c>
      <c r="D27" s="282">
        <v>19000</v>
      </c>
      <c r="E27" s="450">
        <f t="shared" si="3"/>
        <v>0.90403006040174183</v>
      </c>
      <c r="F27" s="450">
        <f t="shared" si="4"/>
        <v>1.2537020648967554</v>
      </c>
      <c r="G27" s="450">
        <f t="shared" si="5"/>
        <v>0.45201503020087092</v>
      </c>
      <c r="H27" s="450">
        <f t="shared" si="6"/>
        <v>0.72322404832139353</v>
      </c>
      <c r="I27" s="450">
        <f t="shared" si="7"/>
        <v>0.72322404832139353</v>
      </c>
      <c r="K27" s="297">
        <v>5.3</v>
      </c>
      <c r="L27" s="450">
        <f t="shared" si="8"/>
        <v>6.8953613569321544</v>
      </c>
      <c r="M27" s="450">
        <f t="shared" si="21"/>
        <v>3.1641052114060964</v>
      </c>
      <c r="N27" s="450">
        <f t="shared" si="22"/>
        <v>5.0625683382497551</v>
      </c>
      <c r="O27" s="450">
        <f t="shared" si="23"/>
        <v>5.0625683382497551</v>
      </c>
      <c r="P27" s="308"/>
      <c r="Q27" s="308"/>
      <c r="R27" s="308"/>
      <c r="T27" s="452">
        <v>23</v>
      </c>
      <c r="U27" s="453">
        <v>19000</v>
      </c>
      <c r="V27" s="455">
        <v>0.75714285714285712</v>
      </c>
      <c r="W27" s="455">
        <v>1.05</v>
      </c>
      <c r="X27" s="455">
        <f t="shared" si="19"/>
        <v>0.37857142857142856</v>
      </c>
      <c r="Y27" s="455">
        <f t="shared" si="10"/>
        <v>0.60571428571428576</v>
      </c>
      <c r="Z27" s="455">
        <f t="shared" si="11"/>
        <v>0.60571428571428576</v>
      </c>
      <c r="AA27" s="449"/>
      <c r="AB27" s="455">
        <v>5.3</v>
      </c>
      <c r="AC27" s="455">
        <v>5.7750000000000004</v>
      </c>
      <c r="AD27" s="455">
        <f t="shared" si="2"/>
        <v>2.65</v>
      </c>
      <c r="AE27" s="455">
        <f t="shared" si="13"/>
        <v>4.24</v>
      </c>
      <c r="AF27" s="455">
        <f t="shared" si="14"/>
        <v>4.24</v>
      </c>
      <c r="AQ27" s="283">
        <v>23</v>
      </c>
      <c r="AR27" s="282">
        <v>19000</v>
      </c>
      <c r="AS27" s="282">
        <f t="shared" si="15"/>
        <v>0</v>
      </c>
      <c r="AT27" s="282">
        <f t="shared" si="20"/>
        <v>0</v>
      </c>
      <c r="AU27" s="282">
        <f t="shared" si="16"/>
        <v>0</v>
      </c>
      <c r="AV27" s="282">
        <f t="shared" si="17"/>
        <v>0</v>
      </c>
      <c r="AW27" s="282">
        <f t="shared" si="18"/>
        <v>0</v>
      </c>
    </row>
    <row r="28" spans="3:49" ht="15.75" thickBot="1" x14ac:dyDescent="0.35">
      <c r="C28" s="283">
        <v>24</v>
      </c>
      <c r="D28" s="282">
        <v>19500</v>
      </c>
      <c r="E28" s="450">
        <f t="shared" si="3"/>
        <v>0.90403006040174183</v>
      </c>
      <c r="F28" s="450">
        <f t="shared" si="4"/>
        <v>1.2537020648967554</v>
      </c>
      <c r="G28" s="450">
        <f t="shared" si="5"/>
        <v>0.45201503020087092</v>
      </c>
      <c r="H28" s="450">
        <f t="shared" si="6"/>
        <v>0.72322404832139353</v>
      </c>
      <c r="I28" s="450">
        <f t="shared" si="7"/>
        <v>0.72322404832139353</v>
      </c>
      <c r="K28" s="297">
        <v>5.3</v>
      </c>
      <c r="L28" s="450">
        <f t="shared" si="8"/>
        <v>6.8953613569321544</v>
      </c>
      <c r="M28" s="450">
        <f t="shared" si="21"/>
        <v>3.1641052114060964</v>
      </c>
      <c r="N28" s="450">
        <f t="shared" si="22"/>
        <v>5.0625683382497551</v>
      </c>
      <c r="O28" s="450">
        <f t="shared" si="23"/>
        <v>5.0625683382497551</v>
      </c>
      <c r="P28" s="308"/>
      <c r="Q28" s="308"/>
      <c r="R28" s="308"/>
      <c r="T28" s="452">
        <v>24</v>
      </c>
      <c r="U28" s="453">
        <v>19500</v>
      </c>
      <c r="V28" s="455">
        <v>0.75714285714285712</v>
      </c>
      <c r="W28" s="455">
        <v>1.05</v>
      </c>
      <c r="X28" s="455">
        <f t="shared" si="19"/>
        <v>0.37857142857142856</v>
      </c>
      <c r="Y28" s="455">
        <f t="shared" si="10"/>
        <v>0.60571428571428576</v>
      </c>
      <c r="Z28" s="455">
        <f t="shared" si="11"/>
        <v>0.60571428571428576</v>
      </c>
      <c r="AA28" s="449"/>
      <c r="AB28" s="455">
        <v>5.3</v>
      </c>
      <c r="AC28" s="455">
        <v>5.7750000000000004</v>
      </c>
      <c r="AD28" s="455">
        <f t="shared" si="2"/>
        <v>2.65</v>
      </c>
      <c r="AE28" s="455">
        <f t="shared" si="13"/>
        <v>4.24</v>
      </c>
      <c r="AF28" s="455">
        <f t="shared" si="14"/>
        <v>4.24</v>
      </c>
      <c r="AQ28" s="283">
        <v>24</v>
      </c>
      <c r="AR28" s="282">
        <v>19500</v>
      </c>
      <c r="AS28" s="282">
        <f t="shared" si="15"/>
        <v>0</v>
      </c>
      <c r="AT28" s="282">
        <f t="shared" si="20"/>
        <v>0</v>
      </c>
      <c r="AU28" s="282">
        <f t="shared" si="16"/>
        <v>0</v>
      </c>
      <c r="AV28" s="282">
        <f t="shared" si="17"/>
        <v>0</v>
      </c>
      <c r="AW28" s="282">
        <f t="shared" si="18"/>
        <v>0</v>
      </c>
    </row>
    <row r="29" spans="3:49" ht="15.75" thickBot="1" x14ac:dyDescent="0.35">
      <c r="C29" s="283">
        <v>25</v>
      </c>
      <c r="D29" s="282">
        <v>20000</v>
      </c>
      <c r="E29" s="450">
        <f t="shared" si="3"/>
        <v>0.97225874420564684</v>
      </c>
      <c r="F29" s="450">
        <f t="shared" si="4"/>
        <v>1.2537020648967554</v>
      </c>
      <c r="G29" s="450">
        <f t="shared" si="5"/>
        <v>0.48612937210282342</v>
      </c>
      <c r="H29" s="450">
        <f t="shared" si="6"/>
        <v>0.77780699536451747</v>
      </c>
      <c r="I29" s="450">
        <f t="shared" si="7"/>
        <v>0.77780699536451747</v>
      </c>
      <c r="K29" s="297">
        <v>5.6999999999999993</v>
      </c>
      <c r="L29" s="450">
        <f t="shared" si="8"/>
        <v>6.8953613569321544</v>
      </c>
      <c r="M29" s="450">
        <f t="shared" si="21"/>
        <v>3.4029056047197637</v>
      </c>
      <c r="N29" s="450">
        <f t="shared" si="22"/>
        <v>5.4446489675516228</v>
      </c>
      <c r="O29" s="450">
        <f t="shared" si="23"/>
        <v>5.4446489675516228</v>
      </c>
      <c r="P29" s="308"/>
      <c r="Q29" s="308"/>
      <c r="R29" s="308"/>
      <c r="T29" s="452">
        <v>25</v>
      </c>
      <c r="U29" s="453">
        <v>20000</v>
      </c>
      <c r="V29" s="455">
        <v>0.81428571428571417</v>
      </c>
      <c r="W29" s="455">
        <v>1.05</v>
      </c>
      <c r="X29" s="455">
        <f t="shared" si="19"/>
        <v>0.40714285714285708</v>
      </c>
      <c r="Y29" s="455">
        <f t="shared" si="10"/>
        <v>0.65142857142857136</v>
      </c>
      <c r="Z29" s="455">
        <f t="shared" si="11"/>
        <v>0.65142857142857136</v>
      </c>
      <c r="AA29" s="449"/>
      <c r="AB29" s="455">
        <v>5.6999999999999993</v>
      </c>
      <c r="AC29" s="455">
        <v>5.7750000000000004</v>
      </c>
      <c r="AD29" s="455">
        <f t="shared" si="2"/>
        <v>2.8499999999999996</v>
      </c>
      <c r="AE29" s="455">
        <f t="shared" si="13"/>
        <v>4.5599999999999996</v>
      </c>
      <c r="AF29" s="455">
        <f t="shared" si="14"/>
        <v>4.5599999999999996</v>
      </c>
      <c r="AQ29" s="283">
        <v>25</v>
      </c>
      <c r="AR29" s="282">
        <v>20000</v>
      </c>
      <c r="AS29" s="282">
        <f t="shared" si="15"/>
        <v>0</v>
      </c>
      <c r="AT29" s="282">
        <f t="shared" si="20"/>
        <v>0</v>
      </c>
      <c r="AU29" s="282">
        <f t="shared" si="16"/>
        <v>0</v>
      </c>
      <c r="AV29" s="282">
        <f t="shared" si="17"/>
        <v>0</v>
      </c>
      <c r="AW29" s="282">
        <f t="shared" si="18"/>
        <v>0</v>
      </c>
    </row>
    <row r="30" spans="3:49" ht="15.75" thickBot="1" x14ac:dyDescent="0.35">
      <c r="C30" s="283">
        <v>26</v>
      </c>
      <c r="D30" s="282">
        <v>21000</v>
      </c>
      <c r="E30" s="450">
        <f t="shared" si="3"/>
        <v>0.98931591515662332</v>
      </c>
      <c r="F30" s="450">
        <f t="shared" si="4"/>
        <v>1.2686270894788594</v>
      </c>
      <c r="G30" s="450">
        <f t="shared" si="5"/>
        <v>0.49465795757831166</v>
      </c>
      <c r="H30" s="450">
        <f t="shared" si="6"/>
        <v>0.79145273212529865</v>
      </c>
      <c r="I30" s="450">
        <f t="shared" si="7"/>
        <v>0.79145273212529865</v>
      </c>
      <c r="K30" s="297">
        <v>5.8000000000000007</v>
      </c>
      <c r="L30" s="450">
        <f t="shared" si="8"/>
        <v>6.977448992133727</v>
      </c>
      <c r="M30" s="450">
        <f t="shared" si="21"/>
        <v>3.4626057030481818</v>
      </c>
      <c r="N30" s="450">
        <f t="shared" si="22"/>
        <v>5.5401691248770906</v>
      </c>
      <c r="O30" s="450">
        <f t="shared" si="23"/>
        <v>5.5401691248770906</v>
      </c>
      <c r="P30" s="308"/>
      <c r="Q30" s="308"/>
      <c r="R30" s="308"/>
      <c r="T30" s="452">
        <v>26</v>
      </c>
      <c r="U30" s="453">
        <v>21000</v>
      </c>
      <c r="V30" s="455">
        <v>0.82857142857142863</v>
      </c>
      <c r="W30" s="455">
        <v>1.0625</v>
      </c>
      <c r="X30" s="455">
        <f t="shared" si="19"/>
        <v>0.41428571428571431</v>
      </c>
      <c r="Y30" s="455">
        <f t="shared" si="10"/>
        <v>0.66285714285714292</v>
      </c>
      <c r="Z30" s="455">
        <f t="shared" si="11"/>
        <v>0.66285714285714292</v>
      </c>
      <c r="AA30" s="449"/>
      <c r="AB30" s="455">
        <v>5.8000000000000007</v>
      </c>
      <c r="AC30" s="455">
        <v>5.84375</v>
      </c>
      <c r="AD30" s="455">
        <f t="shared" si="2"/>
        <v>2.9000000000000004</v>
      </c>
      <c r="AE30" s="455">
        <f t="shared" si="13"/>
        <v>4.6400000000000006</v>
      </c>
      <c r="AF30" s="455">
        <f t="shared" si="14"/>
        <v>4.6400000000000006</v>
      </c>
      <c r="AQ30" s="283">
        <v>26</v>
      </c>
      <c r="AR30" s="282">
        <v>21000</v>
      </c>
      <c r="AS30" s="282">
        <f t="shared" si="15"/>
        <v>0</v>
      </c>
      <c r="AT30" s="282">
        <f t="shared" si="20"/>
        <v>0</v>
      </c>
      <c r="AU30" s="282">
        <f t="shared" si="16"/>
        <v>0</v>
      </c>
      <c r="AV30" s="282">
        <f t="shared" si="17"/>
        <v>0</v>
      </c>
      <c r="AW30" s="282">
        <f t="shared" si="18"/>
        <v>0</v>
      </c>
    </row>
    <row r="31" spans="3:49" ht="15.75" thickBot="1" x14ac:dyDescent="0.35">
      <c r="C31" s="283">
        <v>27</v>
      </c>
      <c r="D31" s="282">
        <v>22000</v>
      </c>
      <c r="E31" s="450">
        <f t="shared" si="3"/>
        <v>0.98931591515662332</v>
      </c>
      <c r="F31" s="450">
        <f t="shared" si="4"/>
        <v>1.2686270894788594</v>
      </c>
      <c r="G31" s="450">
        <f t="shared" si="5"/>
        <v>0.49465795757831166</v>
      </c>
      <c r="H31" s="450">
        <f t="shared" si="6"/>
        <v>0.79145273212529865</v>
      </c>
      <c r="I31" s="450">
        <f t="shared" si="7"/>
        <v>0.79145273212529865</v>
      </c>
      <c r="K31" s="297">
        <v>5.8000000000000007</v>
      </c>
      <c r="L31" s="450">
        <f t="shared" si="8"/>
        <v>6.977448992133727</v>
      </c>
      <c r="M31" s="450">
        <f t="shared" si="21"/>
        <v>3.4626057030481818</v>
      </c>
      <c r="N31" s="450">
        <f t="shared" si="22"/>
        <v>5.5401691248770906</v>
      </c>
      <c r="O31" s="450">
        <f t="shared" si="23"/>
        <v>5.5401691248770906</v>
      </c>
      <c r="P31" s="308"/>
      <c r="Q31" s="308"/>
      <c r="R31" s="308"/>
      <c r="T31" s="452">
        <v>27</v>
      </c>
      <c r="U31" s="453">
        <v>22000</v>
      </c>
      <c r="V31" s="455">
        <v>0.82857142857142863</v>
      </c>
      <c r="W31" s="455">
        <v>1.0625</v>
      </c>
      <c r="X31" s="455">
        <f t="shared" si="19"/>
        <v>0.41428571428571431</v>
      </c>
      <c r="Y31" s="455">
        <f t="shared" si="10"/>
        <v>0.66285714285714292</v>
      </c>
      <c r="Z31" s="455">
        <f t="shared" si="11"/>
        <v>0.66285714285714292</v>
      </c>
      <c r="AA31" s="449"/>
      <c r="AB31" s="455">
        <v>5.8000000000000007</v>
      </c>
      <c r="AC31" s="455">
        <v>5.84375</v>
      </c>
      <c r="AD31" s="455">
        <f t="shared" si="2"/>
        <v>2.9000000000000004</v>
      </c>
      <c r="AE31" s="455">
        <f t="shared" si="13"/>
        <v>4.6400000000000006</v>
      </c>
      <c r="AF31" s="455">
        <f t="shared" si="14"/>
        <v>4.6400000000000006</v>
      </c>
      <c r="AQ31" s="283">
        <v>27</v>
      </c>
      <c r="AR31" s="282">
        <v>22000</v>
      </c>
      <c r="AS31" s="282">
        <f t="shared" si="15"/>
        <v>0</v>
      </c>
      <c r="AT31" s="282">
        <f t="shared" si="20"/>
        <v>0</v>
      </c>
      <c r="AU31" s="282">
        <f t="shared" si="16"/>
        <v>0</v>
      </c>
      <c r="AV31" s="282">
        <f t="shared" si="17"/>
        <v>0</v>
      </c>
      <c r="AW31" s="282">
        <f t="shared" si="18"/>
        <v>0</v>
      </c>
    </row>
    <row r="32" spans="3:49" ht="15.75" thickBot="1" x14ac:dyDescent="0.35">
      <c r="C32" s="283">
        <v>28</v>
      </c>
      <c r="D32" s="282">
        <v>23000</v>
      </c>
      <c r="E32" s="450">
        <f t="shared" si="3"/>
        <v>1.0063730861075995</v>
      </c>
      <c r="F32" s="450">
        <f t="shared" si="4"/>
        <v>1.298477138643068</v>
      </c>
      <c r="G32" s="450">
        <f t="shared" si="5"/>
        <v>0.50318654305379973</v>
      </c>
      <c r="H32" s="450">
        <f t="shared" si="6"/>
        <v>0.80509846888607972</v>
      </c>
      <c r="I32" s="450">
        <f t="shared" si="7"/>
        <v>0.80509846888607972</v>
      </c>
      <c r="K32" s="297">
        <v>5.9</v>
      </c>
      <c r="L32" s="450">
        <f t="shared" si="8"/>
        <v>7.1416242625368751</v>
      </c>
      <c r="M32" s="450">
        <f t="shared" si="21"/>
        <v>3.5223058013765982</v>
      </c>
      <c r="N32" s="450">
        <f t="shared" si="22"/>
        <v>5.6356892822025575</v>
      </c>
      <c r="O32" s="450">
        <f t="shared" si="23"/>
        <v>5.6356892822025575</v>
      </c>
      <c r="P32" s="308"/>
      <c r="Q32" s="308"/>
      <c r="R32" s="308"/>
      <c r="T32" s="452">
        <v>28</v>
      </c>
      <c r="U32" s="453">
        <v>23000</v>
      </c>
      <c r="V32" s="455">
        <v>0.84285714285714286</v>
      </c>
      <c r="W32" s="455">
        <v>1.0875000000000001</v>
      </c>
      <c r="X32" s="455">
        <f t="shared" si="19"/>
        <v>0.42142857142857143</v>
      </c>
      <c r="Y32" s="455">
        <f t="shared" si="10"/>
        <v>0.67428571428571438</v>
      </c>
      <c r="Z32" s="455">
        <f t="shared" si="11"/>
        <v>0.67428571428571438</v>
      </c>
      <c r="AA32" s="449"/>
      <c r="AB32" s="455">
        <v>5.9</v>
      </c>
      <c r="AC32" s="455">
        <v>5.9812500000000011</v>
      </c>
      <c r="AD32" s="455">
        <f t="shared" si="2"/>
        <v>2.95</v>
      </c>
      <c r="AE32" s="455">
        <f t="shared" si="13"/>
        <v>4.7200000000000006</v>
      </c>
      <c r="AF32" s="455">
        <f t="shared" si="14"/>
        <v>4.7200000000000006</v>
      </c>
      <c r="AQ32" s="283">
        <v>28</v>
      </c>
      <c r="AR32" s="282">
        <v>23000</v>
      </c>
      <c r="AS32" s="282">
        <f t="shared" si="15"/>
        <v>0</v>
      </c>
      <c r="AT32" s="282">
        <f t="shared" si="20"/>
        <v>0</v>
      </c>
      <c r="AU32" s="282">
        <f t="shared" si="16"/>
        <v>0</v>
      </c>
      <c r="AV32" s="282">
        <f t="shared" si="17"/>
        <v>0</v>
      </c>
      <c r="AW32" s="282">
        <f t="shared" si="18"/>
        <v>0</v>
      </c>
    </row>
    <row r="33" spans="3:49" ht="15.75" thickBot="1" x14ac:dyDescent="0.35">
      <c r="C33" s="283">
        <v>29</v>
      </c>
      <c r="D33" s="282">
        <v>24000</v>
      </c>
      <c r="E33" s="450">
        <f t="shared" si="3"/>
        <v>1.0063730861075995</v>
      </c>
      <c r="F33" s="450">
        <f t="shared" si="4"/>
        <v>1.3283271878072764</v>
      </c>
      <c r="G33" s="450">
        <f t="shared" si="5"/>
        <v>0.50318654305379973</v>
      </c>
      <c r="H33" s="450">
        <f t="shared" si="6"/>
        <v>0.80509846888607972</v>
      </c>
      <c r="I33" s="450">
        <f t="shared" si="7"/>
        <v>0.80509846888607972</v>
      </c>
      <c r="K33" s="297">
        <v>5.9</v>
      </c>
      <c r="L33" s="450">
        <f t="shared" si="8"/>
        <v>7.3057995329400205</v>
      </c>
      <c r="M33" s="450">
        <f t="shared" si="21"/>
        <v>3.5223058013765982</v>
      </c>
      <c r="N33" s="450">
        <f t="shared" si="22"/>
        <v>5.6356892822025575</v>
      </c>
      <c r="O33" s="450">
        <f t="shared" si="23"/>
        <v>5.6356892822025575</v>
      </c>
      <c r="P33" s="308"/>
      <c r="Q33" s="308"/>
      <c r="R33" s="308"/>
      <c r="T33" s="452">
        <v>29</v>
      </c>
      <c r="U33" s="453">
        <v>24000</v>
      </c>
      <c r="V33" s="455">
        <v>0.84285714285714286</v>
      </c>
      <c r="W33" s="455">
        <v>1.1125</v>
      </c>
      <c r="X33" s="455">
        <f t="shared" si="19"/>
        <v>0.42142857142857143</v>
      </c>
      <c r="Y33" s="455">
        <f t="shared" si="10"/>
        <v>0.67428571428571438</v>
      </c>
      <c r="Z33" s="455">
        <f t="shared" si="11"/>
        <v>0.67428571428571438</v>
      </c>
      <c r="AA33" s="449"/>
      <c r="AB33" s="455">
        <v>5.9</v>
      </c>
      <c r="AC33" s="455">
        <v>6.1187500000000004</v>
      </c>
      <c r="AD33" s="455">
        <f t="shared" si="2"/>
        <v>2.95</v>
      </c>
      <c r="AE33" s="455">
        <f t="shared" si="13"/>
        <v>4.7200000000000006</v>
      </c>
      <c r="AF33" s="455">
        <f t="shared" si="14"/>
        <v>4.7200000000000006</v>
      </c>
      <c r="AQ33" s="283">
        <v>29</v>
      </c>
      <c r="AR33" s="282">
        <v>24000</v>
      </c>
      <c r="AS33" s="282">
        <f t="shared" si="15"/>
        <v>0</v>
      </c>
      <c r="AT33" s="282">
        <f t="shared" si="20"/>
        <v>0</v>
      </c>
      <c r="AU33" s="282">
        <f t="shared" si="16"/>
        <v>0</v>
      </c>
      <c r="AV33" s="282">
        <f t="shared" si="17"/>
        <v>0</v>
      </c>
      <c r="AW33" s="282">
        <f t="shared" si="18"/>
        <v>0</v>
      </c>
    </row>
    <row r="34" spans="3:49" ht="15.75" thickBot="1" x14ac:dyDescent="0.35">
      <c r="C34" s="283">
        <v>30</v>
      </c>
      <c r="D34" s="282">
        <v>25000</v>
      </c>
      <c r="E34" s="450">
        <f t="shared" si="3"/>
        <v>1.0404874280095522</v>
      </c>
      <c r="F34" s="450">
        <f t="shared" si="4"/>
        <v>1.3581772369714848</v>
      </c>
      <c r="G34" s="450">
        <f t="shared" si="5"/>
        <v>0.52024371400477609</v>
      </c>
      <c r="H34" s="450">
        <f t="shared" si="6"/>
        <v>0.83238994240764175</v>
      </c>
      <c r="I34" s="450">
        <f t="shared" si="7"/>
        <v>0.83238994240764175</v>
      </c>
      <c r="K34" s="297">
        <v>6.1000000000000005</v>
      </c>
      <c r="L34" s="450">
        <f t="shared" si="8"/>
        <v>7.4699748033431668</v>
      </c>
      <c r="M34" s="450">
        <f t="shared" si="21"/>
        <v>3.6417059980334323</v>
      </c>
      <c r="N34" s="450">
        <f t="shared" si="22"/>
        <v>5.8267295968534922</v>
      </c>
      <c r="O34" s="450">
        <f t="shared" si="23"/>
        <v>5.8267295968534922</v>
      </c>
      <c r="P34" s="308"/>
      <c r="Q34" s="308"/>
      <c r="R34" s="308"/>
      <c r="T34" s="452">
        <v>30</v>
      </c>
      <c r="U34" s="453">
        <v>25000</v>
      </c>
      <c r="V34" s="455">
        <v>0.87142857142857155</v>
      </c>
      <c r="W34" s="455">
        <v>1.1375</v>
      </c>
      <c r="X34" s="455">
        <f t="shared" si="19"/>
        <v>0.43571428571428578</v>
      </c>
      <c r="Y34" s="455">
        <f t="shared" si="10"/>
        <v>0.69714285714285729</v>
      </c>
      <c r="Z34" s="455">
        <f t="shared" si="11"/>
        <v>0.69714285714285729</v>
      </c>
      <c r="AA34" s="449"/>
      <c r="AB34" s="455">
        <v>6.1000000000000005</v>
      </c>
      <c r="AC34" s="455">
        <v>6.2562499999999996</v>
      </c>
      <c r="AD34" s="455">
        <f t="shared" si="2"/>
        <v>3.0500000000000003</v>
      </c>
      <c r="AE34" s="455">
        <f t="shared" si="13"/>
        <v>4.8800000000000008</v>
      </c>
      <c r="AF34" s="455">
        <f t="shared" si="14"/>
        <v>4.8800000000000008</v>
      </c>
      <c r="AQ34" s="283">
        <v>30</v>
      </c>
      <c r="AR34" s="282">
        <v>25000</v>
      </c>
      <c r="AS34" s="282">
        <f t="shared" si="15"/>
        <v>0</v>
      </c>
      <c r="AT34" s="282">
        <f t="shared" si="20"/>
        <v>0</v>
      </c>
      <c r="AU34" s="282">
        <f t="shared" si="16"/>
        <v>0</v>
      </c>
      <c r="AV34" s="282">
        <f t="shared" si="17"/>
        <v>0</v>
      </c>
      <c r="AW34" s="282">
        <f t="shared" si="18"/>
        <v>0</v>
      </c>
    </row>
    <row r="35" spans="3:49" ht="15.75" thickBot="1" x14ac:dyDescent="0.35">
      <c r="C35" s="283">
        <v>31</v>
      </c>
      <c r="D35" s="282">
        <v>26000</v>
      </c>
      <c r="E35" s="450">
        <f t="shared" si="3"/>
        <v>1.0575445989605283</v>
      </c>
      <c r="F35" s="450">
        <f t="shared" si="4"/>
        <v>1.3880272861356933</v>
      </c>
      <c r="G35" s="450">
        <f t="shared" si="5"/>
        <v>0.52877229948026416</v>
      </c>
      <c r="H35" s="450">
        <f t="shared" si="6"/>
        <v>0.84603567916842271</v>
      </c>
      <c r="I35" s="450">
        <f t="shared" si="7"/>
        <v>0.84603567916842271</v>
      </c>
      <c r="K35" s="297">
        <v>6.2</v>
      </c>
      <c r="L35" s="450">
        <f t="shared" si="8"/>
        <v>7.6341500737463122</v>
      </c>
      <c r="M35" s="450">
        <f t="shared" si="21"/>
        <v>3.7014060963618491</v>
      </c>
      <c r="N35" s="450">
        <f t="shared" si="22"/>
        <v>5.9222497541789592</v>
      </c>
      <c r="O35" s="450">
        <f t="shared" si="23"/>
        <v>5.9222497541789592</v>
      </c>
      <c r="P35" s="308"/>
      <c r="Q35" s="308"/>
      <c r="R35" s="308"/>
      <c r="T35" s="452">
        <v>31</v>
      </c>
      <c r="U35" s="453">
        <v>26000</v>
      </c>
      <c r="V35" s="455">
        <v>0.88571428571428579</v>
      </c>
      <c r="W35" s="455">
        <v>1.1624999999999999</v>
      </c>
      <c r="X35" s="455">
        <f t="shared" si="19"/>
        <v>0.44285714285714289</v>
      </c>
      <c r="Y35" s="455">
        <f t="shared" si="10"/>
        <v>0.70857142857142863</v>
      </c>
      <c r="Z35" s="455">
        <f t="shared" si="11"/>
        <v>0.70857142857142863</v>
      </c>
      <c r="AA35" s="449"/>
      <c r="AB35" s="455">
        <v>6.2</v>
      </c>
      <c r="AC35" s="455">
        <v>6.3937499999999989</v>
      </c>
      <c r="AD35" s="455">
        <f t="shared" si="2"/>
        <v>3.1</v>
      </c>
      <c r="AE35" s="455">
        <f t="shared" si="13"/>
        <v>4.9600000000000009</v>
      </c>
      <c r="AF35" s="455">
        <f t="shared" si="14"/>
        <v>4.9600000000000009</v>
      </c>
      <c r="AQ35" s="283">
        <v>31</v>
      </c>
      <c r="AR35" s="282">
        <v>26000</v>
      </c>
      <c r="AS35" s="282">
        <f t="shared" si="15"/>
        <v>0</v>
      </c>
      <c r="AT35" s="282">
        <f t="shared" si="20"/>
        <v>0</v>
      </c>
      <c r="AU35" s="282">
        <f t="shared" si="16"/>
        <v>0</v>
      </c>
      <c r="AV35" s="282">
        <f t="shared" si="17"/>
        <v>0</v>
      </c>
      <c r="AW35" s="282">
        <f t="shared" si="18"/>
        <v>0</v>
      </c>
    </row>
    <row r="36" spans="3:49" ht="15.75" thickBot="1" x14ac:dyDescent="0.35">
      <c r="C36" s="283">
        <v>32</v>
      </c>
      <c r="D36" s="282">
        <v>27000</v>
      </c>
      <c r="E36" s="450">
        <f t="shared" si="3"/>
        <v>1.0746017699115045</v>
      </c>
      <c r="F36" s="450">
        <f t="shared" si="4"/>
        <v>1.4029523107177972</v>
      </c>
      <c r="G36" s="450">
        <f t="shared" si="5"/>
        <v>0.53730088495575223</v>
      </c>
      <c r="H36" s="450">
        <f t="shared" si="6"/>
        <v>0.85968141592920366</v>
      </c>
      <c r="I36" s="450">
        <f t="shared" si="7"/>
        <v>0.85968141592920366</v>
      </c>
      <c r="K36" s="297">
        <v>6.3</v>
      </c>
      <c r="L36" s="450">
        <f t="shared" si="8"/>
        <v>7.7162377089478849</v>
      </c>
      <c r="M36" s="450">
        <f t="shared" si="21"/>
        <v>3.7611061946902655</v>
      </c>
      <c r="N36" s="450">
        <f t="shared" si="22"/>
        <v>6.0177699115044252</v>
      </c>
      <c r="O36" s="450">
        <f t="shared" si="23"/>
        <v>6.0177699115044252</v>
      </c>
      <c r="P36" s="308"/>
      <c r="Q36" s="308"/>
      <c r="R36" s="308"/>
      <c r="T36" s="452">
        <v>32</v>
      </c>
      <c r="U36" s="453">
        <v>27000</v>
      </c>
      <c r="V36" s="455">
        <v>0.9</v>
      </c>
      <c r="W36" s="455">
        <v>1.1749999999999998</v>
      </c>
      <c r="X36" s="455">
        <f t="shared" si="19"/>
        <v>0.45</v>
      </c>
      <c r="Y36" s="455">
        <f t="shared" si="10"/>
        <v>0.72000000000000008</v>
      </c>
      <c r="Z36" s="455">
        <f t="shared" si="11"/>
        <v>0.72000000000000008</v>
      </c>
      <c r="AA36" s="449"/>
      <c r="AB36" s="455">
        <v>6.3</v>
      </c>
      <c r="AC36" s="455">
        <v>6.4624999999999986</v>
      </c>
      <c r="AD36" s="455">
        <f t="shared" si="2"/>
        <v>3.15</v>
      </c>
      <c r="AE36" s="455">
        <f t="shared" si="13"/>
        <v>5.04</v>
      </c>
      <c r="AF36" s="455">
        <f t="shared" si="14"/>
        <v>5.04</v>
      </c>
      <c r="AQ36" s="283">
        <v>32</v>
      </c>
      <c r="AR36" s="282">
        <v>27000</v>
      </c>
      <c r="AS36" s="282">
        <f t="shared" si="15"/>
        <v>0</v>
      </c>
      <c r="AT36" s="282">
        <f t="shared" si="20"/>
        <v>0</v>
      </c>
      <c r="AU36" s="282">
        <f t="shared" si="16"/>
        <v>0</v>
      </c>
      <c r="AV36" s="282">
        <f t="shared" si="17"/>
        <v>0</v>
      </c>
      <c r="AW36" s="282">
        <f t="shared" si="18"/>
        <v>0</v>
      </c>
    </row>
    <row r="37" spans="3:49" ht="15.75" thickBot="1" x14ac:dyDescent="0.35">
      <c r="C37" s="283">
        <v>33</v>
      </c>
      <c r="D37" s="282">
        <v>28000</v>
      </c>
      <c r="E37" s="450">
        <f t="shared" si="3"/>
        <v>1.108716111813457</v>
      </c>
      <c r="F37" s="450">
        <f t="shared" si="4"/>
        <v>1.4029523107177972</v>
      </c>
      <c r="G37" s="450">
        <f t="shared" si="5"/>
        <v>0.55435805590672849</v>
      </c>
      <c r="H37" s="450">
        <f t="shared" si="6"/>
        <v>0.88697288945076569</v>
      </c>
      <c r="I37" s="450">
        <f t="shared" si="7"/>
        <v>0.88697288945076569</v>
      </c>
      <c r="K37" s="297">
        <v>6.5</v>
      </c>
      <c r="L37" s="450">
        <f t="shared" si="8"/>
        <v>7.7162377089478849</v>
      </c>
      <c r="M37" s="450">
        <f t="shared" si="21"/>
        <v>3.8805063913470996</v>
      </c>
      <c r="N37" s="450">
        <f t="shared" si="22"/>
        <v>6.2088102261553599</v>
      </c>
      <c r="O37" s="450">
        <f t="shared" si="23"/>
        <v>6.2088102261553599</v>
      </c>
      <c r="P37" s="308"/>
      <c r="Q37" s="308"/>
      <c r="R37" s="308"/>
      <c r="T37" s="452">
        <v>33</v>
      </c>
      <c r="U37" s="453">
        <v>28000</v>
      </c>
      <c r="V37" s="455">
        <v>0.9285714285714286</v>
      </c>
      <c r="W37" s="455">
        <v>1.1749999999999998</v>
      </c>
      <c r="X37" s="455">
        <f t="shared" si="19"/>
        <v>0.4642857142857143</v>
      </c>
      <c r="Y37" s="455">
        <f t="shared" si="10"/>
        <v>0.74285714285714288</v>
      </c>
      <c r="Z37" s="455">
        <f t="shared" si="11"/>
        <v>0.74285714285714288</v>
      </c>
      <c r="AA37" s="449"/>
      <c r="AB37" s="455">
        <v>6.5</v>
      </c>
      <c r="AC37" s="455">
        <v>6.4624999999999986</v>
      </c>
      <c r="AD37" s="455">
        <f t="shared" si="2"/>
        <v>3.25</v>
      </c>
      <c r="AE37" s="455">
        <f t="shared" si="13"/>
        <v>5.2</v>
      </c>
      <c r="AF37" s="455">
        <f t="shared" si="14"/>
        <v>5.2</v>
      </c>
      <c r="AQ37" s="283">
        <v>33</v>
      </c>
      <c r="AR37" s="282">
        <v>28000</v>
      </c>
      <c r="AS37" s="282">
        <f t="shared" si="15"/>
        <v>0</v>
      </c>
      <c r="AT37" s="282">
        <f t="shared" si="20"/>
        <v>0</v>
      </c>
      <c r="AU37" s="282">
        <f t="shared" si="16"/>
        <v>0</v>
      </c>
      <c r="AV37" s="282">
        <f t="shared" si="17"/>
        <v>0</v>
      </c>
      <c r="AW37" s="282">
        <f t="shared" si="18"/>
        <v>0</v>
      </c>
    </row>
    <row r="38" spans="3:49" ht="15.75" thickBot="1" x14ac:dyDescent="0.35">
      <c r="C38" s="283">
        <v>34</v>
      </c>
      <c r="D38" s="282">
        <v>29000</v>
      </c>
      <c r="E38" s="450">
        <f t="shared" si="3"/>
        <v>1.108716111813457</v>
      </c>
      <c r="F38" s="450">
        <f t="shared" si="4"/>
        <v>1.4328023598820059</v>
      </c>
      <c r="G38" s="450">
        <f t="shared" si="5"/>
        <v>0.55435805590672849</v>
      </c>
      <c r="H38" s="450">
        <f t="shared" si="6"/>
        <v>0.88697288945076569</v>
      </c>
      <c r="I38" s="450">
        <f t="shared" si="7"/>
        <v>0.88697288945076569</v>
      </c>
      <c r="K38" s="297">
        <v>6.5</v>
      </c>
      <c r="L38" s="450">
        <f t="shared" si="8"/>
        <v>7.8804129793510329</v>
      </c>
      <c r="M38" s="450">
        <f t="shared" si="21"/>
        <v>3.8805063913470996</v>
      </c>
      <c r="N38" s="450">
        <f t="shared" si="22"/>
        <v>6.2088102261553599</v>
      </c>
      <c r="O38" s="450">
        <f t="shared" si="23"/>
        <v>6.2088102261553599</v>
      </c>
      <c r="P38" s="308"/>
      <c r="Q38" s="308"/>
      <c r="R38" s="308"/>
      <c r="T38" s="452">
        <v>34</v>
      </c>
      <c r="U38" s="453">
        <v>29000</v>
      </c>
      <c r="V38" s="455">
        <v>0.9285714285714286</v>
      </c>
      <c r="W38" s="455">
        <v>1.2</v>
      </c>
      <c r="X38" s="455">
        <f t="shared" si="19"/>
        <v>0.4642857142857143</v>
      </c>
      <c r="Y38" s="455">
        <f t="shared" si="10"/>
        <v>0.74285714285714288</v>
      </c>
      <c r="Z38" s="455">
        <f t="shared" si="11"/>
        <v>0.74285714285714288</v>
      </c>
      <c r="AA38" s="449"/>
      <c r="AB38" s="455">
        <v>6.5</v>
      </c>
      <c r="AC38" s="455">
        <v>6.6</v>
      </c>
      <c r="AD38" s="455">
        <f t="shared" si="2"/>
        <v>3.25</v>
      </c>
      <c r="AE38" s="455">
        <f t="shared" si="13"/>
        <v>5.2</v>
      </c>
      <c r="AF38" s="455">
        <f t="shared" si="14"/>
        <v>5.2</v>
      </c>
      <c r="AQ38" s="283">
        <v>34</v>
      </c>
      <c r="AR38" s="282">
        <v>29000</v>
      </c>
      <c r="AS38" s="282">
        <f t="shared" si="15"/>
        <v>0</v>
      </c>
      <c r="AT38" s="282">
        <f t="shared" si="20"/>
        <v>0</v>
      </c>
      <c r="AU38" s="282">
        <f t="shared" si="16"/>
        <v>0</v>
      </c>
      <c r="AV38" s="282">
        <f t="shared" si="17"/>
        <v>0</v>
      </c>
      <c r="AW38" s="282">
        <f t="shared" si="18"/>
        <v>0</v>
      </c>
    </row>
    <row r="39" spans="3:49" ht="15.75" thickBot="1" x14ac:dyDescent="0.35">
      <c r="C39" s="283">
        <v>35</v>
      </c>
      <c r="D39" s="282">
        <v>30000</v>
      </c>
      <c r="E39" s="450">
        <f t="shared" si="3"/>
        <v>1.108716111813457</v>
      </c>
      <c r="F39" s="450">
        <f t="shared" si="4"/>
        <v>1.4477273844641103</v>
      </c>
      <c r="G39" s="450">
        <f t="shared" si="5"/>
        <v>0.55435805590672849</v>
      </c>
      <c r="H39" s="450">
        <f t="shared" si="6"/>
        <v>0.88697288945076569</v>
      </c>
      <c r="I39" s="450">
        <f t="shared" si="7"/>
        <v>0.88697288945076569</v>
      </c>
      <c r="K39" s="297">
        <v>6.5</v>
      </c>
      <c r="L39" s="450">
        <f t="shared" si="8"/>
        <v>7.9625006145526074</v>
      </c>
      <c r="M39" s="450">
        <f t="shared" si="21"/>
        <v>3.8805063913470996</v>
      </c>
      <c r="N39" s="450">
        <f t="shared" si="22"/>
        <v>6.2088102261553599</v>
      </c>
      <c r="O39" s="450">
        <f t="shared" si="23"/>
        <v>6.2088102261553599</v>
      </c>
      <c r="P39" s="308"/>
      <c r="Q39" s="308"/>
      <c r="R39" s="308"/>
      <c r="T39" s="452">
        <v>35</v>
      </c>
      <c r="U39" s="453">
        <v>30000</v>
      </c>
      <c r="V39" s="455">
        <v>0.9285714285714286</v>
      </c>
      <c r="W39" s="455">
        <v>1.2125000000000001</v>
      </c>
      <c r="X39" s="455">
        <f t="shared" si="19"/>
        <v>0.4642857142857143</v>
      </c>
      <c r="Y39" s="455">
        <f t="shared" si="10"/>
        <v>0.74285714285714288</v>
      </c>
      <c r="Z39" s="455">
        <f t="shared" si="11"/>
        <v>0.74285714285714288</v>
      </c>
      <c r="AA39" s="449"/>
      <c r="AB39" s="455">
        <v>6.5</v>
      </c>
      <c r="AC39" s="455">
        <v>6.6687500000000011</v>
      </c>
      <c r="AD39" s="455">
        <f t="shared" si="2"/>
        <v>3.25</v>
      </c>
      <c r="AE39" s="455">
        <f t="shared" si="13"/>
        <v>5.2</v>
      </c>
      <c r="AF39" s="455">
        <f t="shared" si="14"/>
        <v>5.2</v>
      </c>
      <c r="AQ39" s="283">
        <v>35</v>
      </c>
      <c r="AR39" s="282">
        <v>30000</v>
      </c>
      <c r="AS39" s="282">
        <f t="shared" si="15"/>
        <v>0</v>
      </c>
      <c r="AT39" s="282">
        <f t="shared" si="20"/>
        <v>0</v>
      </c>
      <c r="AU39" s="282">
        <f t="shared" si="16"/>
        <v>0</v>
      </c>
      <c r="AV39" s="282">
        <f t="shared" si="17"/>
        <v>0</v>
      </c>
      <c r="AW39" s="282">
        <f t="shared" si="18"/>
        <v>0</v>
      </c>
    </row>
    <row r="40" spans="3:49" ht="15.75" thickBot="1" x14ac:dyDescent="0.35">
      <c r="C40" s="283">
        <v>36</v>
      </c>
      <c r="D40" s="282">
        <v>32500</v>
      </c>
      <c r="E40" s="450">
        <f t="shared" si="3"/>
        <v>1.1428304537154095</v>
      </c>
      <c r="F40" s="450">
        <f t="shared" si="4"/>
        <v>1.4477273844641103</v>
      </c>
      <c r="G40" s="450">
        <f t="shared" si="5"/>
        <v>0.57141522685770474</v>
      </c>
      <c r="H40" s="450">
        <f t="shared" si="6"/>
        <v>0.9142643629723276</v>
      </c>
      <c r="I40" s="450">
        <f t="shared" si="7"/>
        <v>0.9142643629723276</v>
      </c>
      <c r="K40" s="297">
        <v>6.6999999999999993</v>
      </c>
      <c r="L40" s="450">
        <f t="shared" si="8"/>
        <v>7.9625006145526074</v>
      </c>
      <c r="M40" s="450">
        <f t="shared" si="21"/>
        <v>3.9999065880039328</v>
      </c>
      <c r="N40" s="450">
        <f t="shared" si="22"/>
        <v>6.3998505408062929</v>
      </c>
      <c r="O40" s="450">
        <f t="shared" si="23"/>
        <v>6.3998505408062929</v>
      </c>
      <c r="P40" s="308"/>
      <c r="Q40" s="308"/>
      <c r="R40" s="308"/>
      <c r="T40" s="452">
        <v>36</v>
      </c>
      <c r="U40" s="453">
        <v>32500</v>
      </c>
      <c r="V40" s="455">
        <v>0.95714285714285707</v>
      </c>
      <c r="W40" s="455">
        <v>1.2125000000000001</v>
      </c>
      <c r="X40" s="455">
        <f t="shared" si="19"/>
        <v>0.47857142857142854</v>
      </c>
      <c r="Y40" s="455">
        <f t="shared" si="10"/>
        <v>0.76571428571428568</v>
      </c>
      <c r="Z40" s="455">
        <f t="shared" si="11"/>
        <v>0.76571428571428568</v>
      </c>
      <c r="AA40" s="449"/>
      <c r="AB40" s="455">
        <v>6.6999999999999993</v>
      </c>
      <c r="AC40" s="455">
        <v>6.6687500000000011</v>
      </c>
      <c r="AD40" s="455">
        <f t="shared" si="2"/>
        <v>3.3499999999999996</v>
      </c>
      <c r="AE40" s="455">
        <f t="shared" si="13"/>
        <v>5.3599999999999994</v>
      </c>
      <c r="AF40" s="455">
        <f t="shared" si="14"/>
        <v>5.3599999999999994</v>
      </c>
      <c r="AQ40" s="283">
        <v>36</v>
      </c>
      <c r="AR40" s="282">
        <v>32500</v>
      </c>
      <c r="AS40" s="282">
        <f t="shared" si="15"/>
        <v>0</v>
      </c>
      <c r="AT40" s="282">
        <f t="shared" si="20"/>
        <v>0</v>
      </c>
      <c r="AU40" s="282">
        <f t="shared" si="16"/>
        <v>0</v>
      </c>
      <c r="AV40" s="282">
        <f t="shared" si="17"/>
        <v>0</v>
      </c>
      <c r="AW40" s="282">
        <f t="shared" si="18"/>
        <v>0</v>
      </c>
    </row>
    <row r="41" spans="3:49" ht="15.75" thickBot="1" x14ac:dyDescent="0.35">
      <c r="C41" s="283">
        <v>37</v>
      </c>
      <c r="D41" s="282">
        <v>35000</v>
      </c>
      <c r="E41" s="450">
        <f t="shared" si="3"/>
        <v>1.1769447956173622</v>
      </c>
      <c r="F41" s="450">
        <f t="shared" si="4"/>
        <v>1.5372775319567358</v>
      </c>
      <c r="G41" s="450">
        <f t="shared" si="5"/>
        <v>0.5884723978086811</v>
      </c>
      <c r="H41" s="450">
        <f t="shared" si="6"/>
        <v>0.94155583649388985</v>
      </c>
      <c r="I41" s="450">
        <f t="shared" si="7"/>
        <v>0.94155583649388985</v>
      </c>
      <c r="K41" s="297">
        <v>6.9</v>
      </c>
      <c r="L41" s="450">
        <f t="shared" si="8"/>
        <v>8.4550264257620462</v>
      </c>
      <c r="M41" s="450">
        <f t="shared" si="21"/>
        <v>4.1193067846607674</v>
      </c>
      <c r="N41" s="450">
        <f t="shared" si="22"/>
        <v>6.5908908554572285</v>
      </c>
      <c r="O41" s="450">
        <f t="shared" si="23"/>
        <v>6.5908908554572285</v>
      </c>
      <c r="P41" s="308"/>
      <c r="Q41" s="308"/>
      <c r="R41" s="308"/>
      <c r="T41" s="452">
        <v>37</v>
      </c>
      <c r="U41" s="453">
        <v>35000</v>
      </c>
      <c r="V41" s="455">
        <v>0.98571428571428577</v>
      </c>
      <c r="W41" s="455">
        <v>1.2875000000000001</v>
      </c>
      <c r="X41" s="455">
        <f t="shared" si="19"/>
        <v>0.49285714285714288</v>
      </c>
      <c r="Y41" s="455">
        <f t="shared" si="10"/>
        <v>0.7885714285714287</v>
      </c>
      <c r="Z41" s="455">
        <f t="shared" si="11"/>
        <v>0.7885714285714287</v>
      </c>
      <c r="AA41" s="449"/>
      <c r="AB41" s="455">
        <v>6.9</v>
      </c>
      <c r="AC41" s="455">
        <v>7.0812500000000007</v>
      </c>
      <c r="AD41" s="455">
        <f t="shared" si="2"/>
        <v>3.45</v>
      </c>
      <c r="AE41" s="455">
        <f t="shared" si="13"/>
        <v>5.5200000000000005</v>
      </c>
      <c r="AF41" s="455">
        <f t="shared" si="14"/>
        <v>5.5200000000000005</v>
      </c>
      <c r="AQ41" s="283">
        <v>37</v>
      </c>
      <c r="AR41" s="282">
        <v>35000</v>
      </c>
      <c r="AS41" s="282">
        <f t="shared" si="15"/>
        <v>0</v>
      </c>
      <c r="AT41" s="282">
        <f t="shared" si="20"/>
        <v>0</v>
      </c>
      <c r="AU41" s="282">
        <f t="shared" si="16"/>
        <v>0</v>
      </c>
      <c r="AV41" s="282">
        <f t="shared" si="17"/>
        <v>0</v>
      </c>
      <c r="AW41" s="282">
        <f t="shared" si="18"/>
        <v>0</v>
      </c>
    </row>
    <row r="42" spans="3:49" ht="15.75" thickBot="1" x14ac:dyDescent="0.35">
      <c r="C42" s="283">
        <v>38</v>
      </c>
      <c r="D42" s="282">
        <v>37500</v>
      </c>
      <c r="E42" s="450">
        <f t="shared" si="3"/>
        <v>1.2451734794212672</v>
      </c>
      <c r="F42" s="450">
        <f t="shared" si="4"/>
        <v>1.5969776302851526</v>
      </c>
      <c r="G42" s="450">
        <f t="shared" si="5"/>
        <v>0.62258673971063361</v>
      </c>
      <c r="H42" s="450">
        <f t="shared" si="6"/>
        <v>0.99613878353701391</v>
      </c>
      <c r="I42" s="450">
        <f t="shared" si="7"/>
        <v>0.99613878353701391</v>
      </c>
      <c r="K42" s="297">
        <v>7.3000000000000007</v>
      </c>
      <c r="L42" s="450">
        <f t="shared" si="8"/>
        <v>8.7833769665683405</v>
      </c>
      <c r="M42" s="450">
        <f t="shared" si="21"/>
        <v>4.3581071779744356</v>
      </c>
      <c r="N42" s="450">
        <f t="shared" si="22"/>
        <v>6.9729714847590971</v>
      </c>
      <c r="O42" s="450">
        <f t="shared" si="23"/>
        <v>6.9729714847590971</v>
      </c>
      <c r="P42" s="308"/>
      <c r="Q42" s="308"/>
      <c r="R42" s="308"/>
      <c r="T42" s="452">
        <v>38</v>
      </c>
      <c r="U42" s="453">
        <v>37500</v>
      </c>
      <c r="V42" s="455">
        <v>1.0428571428571429</v>
      </c>
      <c r="W42" s="455">
        <v>1.3375000000000001</v>
      </c>
      <c r="X42" s="455">
        <f t="shared" si="19"/>
        <v>0.52142857142857146</v>
      </c>
      <c r="Y42" s="455">
        <f t="shared" si="10"/>
        <v>0.83428571428571441</v>
      </c>
      <c r="Z42" s="455">
        <f t="shared" si="11"/>
        <v>0.83428571428571441</v>
      </c>
      <c r="AA42" s="449"/>
      <c r="AB42" s="455">
        <v>7.3000000000000007</v>
      </c>
      <c r="AC42" s="455">
        <v>7.3562500000000011</v>
      </c>
      <c r="AD42" s="455">
        <f t="shared" si="2"/>
        <v>3.6500000000000004</v>
      </c>
      <c r="AE42" s="455">
        <f t="shared" si="13"/>
        <v>5.8400000000000007</v>
      </c>
      <c r="AF42" s="455">
        <f t="shared" si="14"/>
        <v>5.8400000000000007</v>
      </c>
      <c r="AQ42" s="283">
        <v>38</v>
      </c>
      <c r="AR42" s="282">
        <v>37500</v>
      </c>
      <c r="AS42" s="282">
        <f t="shared" si="15"/>
        <v>0</v>
      </c>
      <c r="AT42" s="282">
        <f t="shared" si="20"/>
        <v>0</v>
      </c>
      <c r="AU42" s="282">
        <f t="shared" si="16"/>
        <v>0</v>
      </c>
      <c r="AV42" s="282">
        <f t="shared" si="17"/>
        <v>0</v>
      </c>
      <c r="AW42" s="282">
        <f t="shared" si="18"/>
        <v>0</v>
      </c>
    </row>
    <row r="43" spans="3:49" ht="15.75" thickBot="1" x14ac:dyDescent="0.35">
      <c r="C43" s="283">
        <v>39</v>
      </c>
      <c r="D43" s="282">
        <v>40000</v>
      </c>
      <c r="E43" s="450">
        <f t="shared" si="3"/>
        <v>1.2792878213232197</v>
      </c>
      <c r="F43" s="450">
        <f t="shared" si="4"/>
        <v>1.6119026548672568</v>
      </c>
      <c r="G43" s="450">
        <f t="shared" si="5"/>
        <v>0.63964391066160986</v>
      </c>
      <c r="H43" s="450">
        <f t="shared" si="6"/>
        <v>1.0234302570585758</v>
      </c>
      <c r="I43" s="450">
        <f t="shared" si="7"/>
        <v>1.0234302570585758</v>
      </c>
      <c r="K43" s="297">
        <v>7.5</v>
      </c>
      <c r="L43" s="450">
        <f t="shared" si="8"/>
        <v>8.8654646017699132</v>
      </c>
      <c r="M43" s="450">
        <f t="shared" si="21"/>
        <v>4.4775073746312692</v>
      </c>
      <c r="N43" s="450">
        <f t="shared" si="22"/>
        <v>7.1640117994100301</v>
      </c>
      <c r="O43" s="450">
        <f t="shared" si="23"/>
        <v>7.1640117994100301</v>
      </c>
      <c r="P43" s="308"/>
      <c r="Q43" s="308"/>
      <c r="R43" s="308"/>
      <c r="T43" s="452">
        <v>39</v>
      </c>
      <c r="U43" s="453">
        <v>40000</v>
      </c>
      <c r="V43" s="455">
        <v>1.0714285714285714</v>
      </c>
      <c r="W43" s="455">
        <v>1.35</v>
      </c>
      <c r="X43" s="455">
        <f t="shared" si="19"/>
        <v>0.5357142857142857</v>
      </c>
      <c r="Y43" s="455">
        <f t="shared" si="10"/>
        <v>0.85714285714285721</v>
      </c>
      <c r="Z43" s="455">
        <f t="shared" si="11"/>
        <v>0.85714285714285721</v>
      </c>
      <c r="AA43" s="449"/>
      <c r="AB43" s="455">
        <v>7.5</v>
      </c>
      <c r="AC43" s="455">
        <v>7.4250000000000007</v>
      </c>
      <c r="AD43" s="455">
        <f t="shared" si="2"/>
        <v>3.75</v>
      </c>
      <c r="AE43" s="455">
        <f t="shared" si="13"/>
        <v>6</v>
      </c>
      <c r="AF43" s="455">
        <f t="shared" si="14"/>
        <v>6</v>
      </c>
      <c r="AQ43" s="283">
        <v>39</v>
      </c>
      <c r="AR43" s="282">
        <v>40000</v>
      </c>
      <c r="AS43" s="282">
        <f t="shared" si="15"/>
        <v>0</v>
      </c>
      <c r="AT43" s="282">
        <f t="shared" si="20"/>
        <v>0</v>
      </c>
      <c r="AU43" s="282">
        <f t="shared" si="16"/>
        <v>0</v>
      </c>
      <c r="AV43" s="282">
        <f t="shared" si="17"/>
        <v>0</v>
      </c>
      <c r="AW43" s="282">
        <f t="shared" si="18"/>
        <v>0</v>
      </c>
    </row>
    <row r="44" spans="3:49" ht="15.75" thickBot="1" x14ac:dyDescent="0.35">
      <c r="C44" s="283">
        <v>40</v>
      </c>
      <c r="D44" s="282">
        <v>42500</v>
      </c>
      <c r="E44" s="450">
        <f t="shared" si="3"/>
        <v>1.2792878213232197</v>
      </c>
      <c r="F44" s="450">
        <f t="shared" si="4"/>
        <v>1.6566777286135694</v>
      </c>
      <c r="G44" s="450">
        <f t="shared" si="5"/>
        <v>0.63964391066160986</v>
      </c>
      <c r="H44" s="450">
        <f t="shared" si="6"/>
        <v>1.0234302570585758</v>
      </c>
      <c r="I44" s="450">
        <f t="shared" si="7"/>
        <v>1.0234302570585758</v>
      </c>
      <c r="K44" s="297">
        <v>7.5</v>
      </c>
      <c r="L44" s="450">
        <f t="shared" si="8"/>
        <v>9.1117275073746313</v>
      </c>
      <c r="M44" s="450">
        <f t="shared" si="21"/>
        <v>4.4775073746312692</v>
      </c>
      <c r="N44" s="450">
        <f t="shared" si="22"/>
        <v>7.1640117994100301</v>
      </c>
      <c r="O44" s="450">
        <f t="shared" si="23"/>
        <v>7.1640117994100301</v>
      </c>
      <c r="P44" s="308"/>
      <c r="Q44" s="308"/>
      <c r="R44" s="308"/>
      <c r="T44" s="452">
        <v>40</v>
      </c>
      <c r="U44" s="453">
        <v>42500</v>
      </c>
      <c r="V44" s="455">
        <v>1.0714285714285714</v>
      </c>
      <c r="W44" s="455">
        <v>1.3875</v>
      </c>
      <c r="X44" s="455">
        <f t="shared" si="19"/>
        <v>0.5357142857142857</v>
      </c>
      <c r="Y44" s="455">
        <f t="shared" si="10"/>
        <v>0.85714285714285721</v>
      </c>
      <c r="Z44" s="455">
        <f t="shared" si="11"/>
        <v>0.85714285714285721</v>
      </c>
      <c r="AA44" s="449"/>
      <c r="AB44" s="455">
        <v>7.5</v>
      </c>
      <c r="AC44" s="455">
        <v>7.6312499999999996</v>
      </c>
      <c r="AD44" s="455">
        <f t="shared" si="2"/>
        <v>3.75</v>
      </c>
      <c r="AE44" s="455">
        <f t="shared" si="13"/>
        <v>6</v>
      </c>
      <c r="AF44" s="455">
        <f t="shared" si="14"/>
        <v>6</v>
      </c>
      <c r="AQ44" s="283">
        <v>40</v>
      </c>
      <c r="AR44" s="282">
        <v>42500</v>
      </c>
      <c r="AS44" s="282">
        <f t="shared" si="15"/>
        <v>0</v>
      </c>
      <c r="AT44" s="282">
        <f t="shared" si="20"/>
        <v>0</v>
      </c>
      <c r="AU44" s="282">
        <f t="shared" si="16"/>
        <v>0</v>
      </c>
      <c r="AV44" s="282">
        <f t="shared" si="17"/>
        <v>0</v>
      </c>
      <c r="AW44" s="282">
        <f t="shared" si="18"/>
        <v>0</v>
      </c>
    </row>
    <row r="45" spans="3:49" ht="15.75" thickBot="1" x14ac:dyDescent="0.35">
      <c r="C45" s="283">
        <v>41</v>
      </c>
      <c r="D45" s="282">
        <v>45000</v>
      </c>
      <c r="E45" s="450">
        <f t="shared" si="3"/>
        <v>1.3134021632251722</v>
      </c>
      <c r="F45" s="450">
        <f t="shared" si="4"/>
        <v>1.7014528023598823</v>
      </c>
      <c r="G45" s="450">
        <f t="shared" si="5"/>
        <v>0.65670108161258611</v>
      </c>
      <c r="H45" s="450">
        <f t="shared" si="6"/>
        <v>1.050721730580138</v>
      </c>
      <c r="I45" s="450">
        <f t="shared" si="7"/>
        <v>1.050721730580138</v>
      </c>
      <c r="K45" s="297">
        <v>7.7000000000000011</v>
      </c>
      <c r="L45" s="450">
        <f t="shared" si="8"/>
        <v>9.357990412979353</v>
      </c>
      <c r="M45" s="450">
        <f t="shared" si="21"/>
        <v>4.5969075712881029</v>
      </c>
      <c r="N45" s="450">
        <f t="shared" si="22"/>
        <v>7.3550521140609657</v>
      </c>
      <c r="O45" s="450">
        <f t="shared" si="23"/>
        <v>7.3550521140609657</v>
      </c>
      <c r="P45" s="308"/>
      <c r="Q45" s="308"/>
      <c r="R45" s="308"/>
      <c r="T45" s="452">
        <v>41</v>
      </c>
      <c r="U45" s="453">
        <v>45000</v>
      </c>
      <c r="V45" s="455">
        <v>1.1000000000000001</v>
      </c>
      <c r="W45" s="455">
        <v>1.425</v>
      </c>
      <c r="X45" s="455">
        <f t="shared" si="19"/>
        <v>0.55000000000000004</v>
      </c>
      <c r="Y45" s="455">
        <f t="shared" si="10"/>
        <v>0.88000000000000012</v>
      </c>
      <c r="Z45" s="455">
        <f t="shared" si="11"/>
        <v>0.88000000000000012</v>
      </c>
      <c r="AA45" s="449"/>
      <c r="AB45" s="455">
        <v>7.7000000000000011</v>
      </c>
      <c r="AC45" s="455">
        <v>7.8375000000000004</v>
      </c>
      <c r="AD45" s="455">
        <f t="shared" si="2"/>
        <v>3.8500000000000005</v>
      </c>
      <c r="AE45" s="455">
        <f t="shared" si="13"/>
        <v>6.160000000000001</v>
      </c>
      <c r="AF45" s="455">
        <f t="shared" si="14"/>
        <v>6.160000000000001</v>
      </c>
      <c r="AQ45" s="283">
        <v>41</v>
      </c>
      <c r="AR45" s="282">
        <v>45000</v>
      </c>
      <c r="AS45" s="282">
        <f t="shared" si="15"/>
        <v>0</v>
      </c>
      <c r="AT45" s="282">
        <f t="shared" si="20"/>
        <v>0</v>
      </c>
      <c r="AU45" s="282">
        <f t="shared" si="16"/>
        <v>0</v>
      </c>
      <c r="AV45" s="282">
        <f t="shared" si="17"/>
        <v>0</v>
      </c>
      <c r="AW45" s="282">
        <f t="shared" si="18"/>
        <v>0</v>
      </c>
    </row>
    <row r="46" spans="3:49" ht="15.75" thickBot="1" x14ac:dyDescent="0.35">
      <c r="C46" s="283">
        <v>42</v>
      </c>
      <c r="D46" s="282">
        <v>47500</v>
      </c>
      <c r="E46" s="450">
        <f t="shared" si="3"/>
        <v>1.3986880179800534</v>
      </c>
      <c r="F46" s="450">
        <f t="shared" si="4"/>
        <v>1.7462278761061947</v>
      </c>
      <c r="G46" s="450">
        <f t="shared" si="5"/>
        <v>0.69934400899002669</v>
      </c>
      <c r="H46" s="450">
        <f t="shared" si="6"/>
        <v>1.1189504143840427</v>
      </c>
      <c r="I46" s="450">
        <f t="shared" si="7"/>
        <v>1.1189504143840427</v>
      </c>
      <c r="K46" s="297">
        <v>8.1999999999999993</v>
      </c>
      <c r="L46" s="450">
        <f t="shared" si="8"/>
        <v>9.6042533185840711</v>
      </c>
      <c r="M46" s="450">
        <f t="shared" si="21"/>
        <v>4.895408062930187</v>
      </c>
      <c r="N46" s="450">
        <f t="shared" si="22"/>
        <v>7.8326529006882994</v>
      </c>
      <c r="O46" s="450">
        <f t="shared" si="23"/>
        <v>7.8326529006882994</v>
      </c>
      <c r="P46" s="308"/>
      <c r="Q46" s="308"/>
      <c r="R46" s="308"/>
      <c r="T46" s="452">
        <v>42</v>
      </c>
      <c r="U46" s="453">
        <v>47500</v>
      </c>
      <c r="V46" s="455">
        <v>1.1714285714285713</v>
      </c>
      <c r="W46" s="455">
        <v>1.4624999999999999</v>
      </c>
      <c r="X46" s="455">
        <f t="shared" si="19"/>
        <v>0.58571428571428563</v>
      </c>
      <c r="Y46" s="455">
        <f t="shared" si="10"/>
        <v>0.93714285714285706</v>
      </c>
      <c r="Z46" s="455">
        <f t="shared" si="11"/>
        <v>0.93714285714285706</v>
      </c>
      <c r="AA46" s="449"/>
      <c r="AB46" s="455">
        <v>8.1999999999999993</v>
      </c>
      <c r="AC46" s="455">
        <v>8.0437499999999993</v>
      </c>
      <c r="AD46" s="455">
        <f t="shared" si="2"/>
        <v>4.0999999999999996</v>
      </c>
      <c r="AE46" s="455">
        <f t="shared" si="13"/>
        <v>6.56</v>
      </c>
      <c r="AF46" s="455">
        <f t="shared" si="14"/>
        <v>6.56</v>
      </c>
      <c r="AQ46" s="283">
        <v>42</v>
      </c>
      <c r="AR46" s="282">
        <v>47500</v>
      </c>
      <c r="AS46" s="282">
        <f t="shared" si="15"/>
        <v>0</v>
      </c>
      <c r="AT46" s="282">
        <f t="shared" si="20"/>
        <v>0</v>
      </c>
      <c r="AU46" s="282">
        <f t="shared" si="16"/>
        <v>0</v>
      </c>
      <c r="AV46" s="282">
        <f t="shared" si="17"/>
        <v>0</v>
      </c>
      <c r="AW46" s="282">
        <f t="shared" si="18"/>
        <v>0</v>
      </c>
    </row>
    <row r="47" spans="3:49" ht="15.75" thickBot="1" x14ac:dyDescent="0.35">
      <c r="C47" s="283">
        <v>43</v>
      </c>
      <c r="D47" s="282">
        <v>50000</v>
      </c>
      <c r="E47" s="450">
        <f t="shared" si="3"/>
        <v>1.4498595308329822</v>
      </c>
      <c r="F47" s="450">
        <f t="shared" si="4"/>
        <v>1.8208529990167159</v>
      </c>
      <c r="G47" s="450">
        <f t="shared" si="5"/>
        <v>0.72492976541649112</v>
      </c>
      <c r="H47" s="450">
        <f t="shared" si="6"/>
        <v>1.1598876246663858</v>
      </c>
      <c r="I47" s="450">
        <f t="shared" si="7"/>
        <v>1.1598876246663858</v>
      </c>
      <c r="K47" s="297">
        <v>8.5</v>
      </c>
      <c r="L47" s="450">
        <f t="shared" si="8"/>
        <v>10.014691494591936</v>
      </c>
      <c r="M47" s="450">
        <f t="shared" si="21"/>
        <v>5.0745083579154375</v>
      </c>
      <c r="N47" s="450">
        <f t="shared" si="22"/>
        <v>8.1192133726647011</v>
      </c>
      <c r="O47" s="450">
        <f t="shared" si="23"/>
        <v>8.1192133726647011</v>
      </c>
      <c r="P47" s="308"/>
      <c r="Q47" s="308"/>
      <c r="R47" s="308"/>
      <c r="T47" s="452">
        <v>43</v>
      </c>
      <c r="U47" s="453">
        <v>50000</v>
      </c>
      <c r="V47" s="455">
        <v>1.2142857142857142</v>
      </c>
      <c r="W47" s="455">
        <v>1.5249999999999999</v>
      </c>
      <c r="X47" s="455">
        <f t="shared" si="19"/>
        <v>0.6071428571428571</v>
      </c>
      <c r="Y47" s="455">
        <f t="shared" si="10"/>
        <v>0.97142857142857142</v>
      </c>
      <c r="Z47" s="455">
        <f t="shared" si="11"/>
        <v>0.97142857142857142</v>
      </c>
      <c r="AA47" s="449"/>
      <c r="AB47" s="455">
        <v>8.5</v>
      </c>
      <c r="AC47" s="455">
        <v>8.3874999999999993</v>
      </c>
      <c r="AD47" s="455">
        <f t="shared" si="2"/>
        <v>4.25</v>
      </c>
      <c r="AE47" s="455">
        <f t="shared" si="13"/>
        <v>6.8000000000000007</v>
      </c>
      <c r="AF47" s="455">
        <f t="shared" si="14"/>
        <v>6.8000000000000007</v>
      </c>
      <c r="AQ47" s="283">
        <v>43</v>
      </c>
      <c r="AR47" s="282">
        <v>50000</v>
      </c>
      <c r="AS47" s="282">
        <f t="shared" si="15"/>
        <v>0</v>
      </c>
      <c r="AT47" s="282">
        <f t="shared" si="20"/>
        <v>0</v>
      </c>
      <c r="AU47" s="282">
        <f t="shared" si="16"/>
        <v>0</v>
      </c>
      <c r="AV47" s="282">
        <f t="shared" si="17"/>
        <v>0</v>
      </c>
      <c r="AW47" s="282">
        <f t="shared" si="18"/>
        <v>0</v>
      </c>
    </row>
    <row r="48" spans="3:49" ht="15.75" thickBot="1" x14ac:dyDescent="0.35">
      <c r="C48" s="283">
        <v>44</v>
      </c>
      <c r="D48" s="282">
        <v>55000</v>
      </c>
      <c r="E48" s="450">
        <f t="shared" si="3"/>
        <v>1.5180882146368875</v>
      </c>
      <c r="F48" s="450">
        <f t="shared" si="4"/>
        <v>1.9104031465093412</v>
      </c>
      <c r="G48" s="450">
        <f t="shared" si="5"/>
        <v>0.75904410731844374</v>
      </c>
      <c r="H48" s="450">
        <f t="shared" si="6"/>
        <v>1.2144705717095101</v>
      </c>
      <c r="I48" s="450">
        <f t="shared" si="7"/>
        <v>1.2144705717095101</v>
      </c>
      <c r="K48" s="297">
        <v>8.9</v>
      </c>
      <c r="L48" s="450">
        <f t="shared" si="8"/>
        <v>10.507217305801376</v>
      </c>
      <c r="M48" s="450">
        <f t="shared" si="21"/>
        <v>5.3133087512291057</v>
      </c>
      <c r="N48" s="450">
        <f t="shared" si="22"/>
        <v>8.5012940019665706</v>
      </c>
      <c r="O48" s="450">
        <f t="shared" si="23"/>
        <v>8.5012940019665706</v>
      </c>
      <c r="P48" s="308"/>
      <c r="Q48" s="308"/>
      <c r="R48" s="308"/>
      <c r="T48" s="452">
        <v>44</v>
      </c>
      <c r="U48" s="453">
        <v>55000</v>
      </c>
      <c r="V48" s="455">
        <v>1.2714285714285716</v>
      </c>
      <c r="W48" s="455">
        <v>1.5999999999999999</v>
      </c>
      <c r="X48" s="455">
        <f t="shared" si="19"/>
        <v>0.63571428571428579</v>
      </c>
      <c r="Y48" s="455">
        <f t="shared" si="10"/>
        <v>1.0171428571428573</v>
      </c>
      <c r="Z48" s="455">
        <f t="shared" si="11"/>
        <v>1.0171428571428573</v>
      </c>
      <c r="AA48" s="449"/>
      <c r="AB48" s="455">
        <v>8.9</v>
      </c>
      <c r="AC48" s="455">
        <v>8.7999999999999989</v>
      </c>
      <c r="AD48" s="455">
        <f t="shared" si="2"/>
        <v>4.45</v>
      </c>
      <c r="AE48" s="455">
        <f t="shared" si="13"/>
        <v>7.120000000000001</v>
      </c>
      <c r="AF48" s="455">
        <f t="shared" si="14"/>
        <v>7.120000000000001</v>
      </c>
      <c r="AQ48" s="283">
        <v>44</v>
      </c>
      <c r="AR48" s="282">
        <v>55000</v>
      </c>
      <c r="AS48" s="282">
        <f t="shared" si="15"/>
        <v>0</v>
      </c>
      <c r="AT48" s="282">
        <f t="shared" si="20"/>
        <v>0</v>
      </c>
      <c r="AU48" s="282">
        <f t="shared" si="16"/>
        <v>0</v>
      </c>
      <c r="AV48" s="282">
        <f t="shared" si="17"/>
        <v>0</v>
      </c>
      <c r="AW48" s="282">
        <f t="shared" si="18"/>
        <v>0</v>
      </c>
    </row>
    <row r="49" spans="2:49" ht="15.75" thickBot="1" x14ac:dyDescent="0.35">
      <c r="C49" s="283">
        <v>45</v>
      </c>
      <c r="D49" s="282">
        <v>60000</v>
      </c>
      <c r="E49" s="450">
        <f t="shared" si="3"/>
        <v>1.5863168984407925</v>
      </c>
      <c r="F49" s="450">
        <f t="shared" si="4"/>
        <v>1.9850282694198627</v>
      </c>
      <c r="G49" s="450">
        <f t="shared" si="5"/>
        <v>0.79315844922039624</v>
      </c>
      <c r="H49" s="450">
        <f t="shared" si="6"/>
        <v>1.2690535187526339</v>
      </c>
      <c r="I49" s="450">
        <f t="shared" si="7"/>
        <v>1.2690535187526339</v>
      </c>
      <c r="K49" s="297">
        <v>9.3000000000000007</v>
      </c>
      <c r="L49" s="450">
        <f t="shared" si="8"/>
        <v>10.917655481809245</v>
      </c>
      <c r="M49" s="450">
        <f t="shared" si="21"/>
        <v>5.5521091445427739</v>
      </c>
      <c r="N49" s="450">
        <f t="shared" si="22"/>
        <v>8.8833746312684383</v>
      </c>
      <c r="O49" s="450">
        <f t="shared" si="23"/>
        <v>8.8833746312684383</v>
      </c>
      <c r="P49" s="308"/>
      <c r="Q49" s="308"/>
      <c r="R49" s="308"/>
      <c r="T49" s="452">
        <v>45</v>
      </c>
      <c r="U49" s="453">
        <v>60000</v>
      </c>
      <c r="V49" s="455">
        <v>1.3285714285714287</v>
      </c>
      <c r="W49" s="455">
        <v>1.6625000000000001</v>
      </c>
      <c r="X49" s="455">
        <f t="shared" si="19"/>
        <v>0.66428571428571437</v>
      </c>
      <c r="Y49" s="455">
        <f t="shared" si="10"/>
        <v>1.0628571428571429</v>
      </c>
      <c r="Z49" s="455">
        <f t="shared" si="11"/>
        <v>1.0628571428571429</v>
      </c>
      <c r="AA49" s="449"/>
      <c r="AB49" s="455">
        <v>9.3000000000000007</v>
      </c>
      <c r="AC49" s="455">
        <v>9.1437500000000007</v>
      </c>
      <c r="AD49" s="455">
        <f t="shared" si="2"/>
        <v>4.6500000000000004</v>
      </c>
      <c r="AE49" s="455">
        <f t="shared" si="13"/>
        <v>7.4400000000000013</v>
      </c>
      <c r="AF49" s="455">
        <f t="shared" si="14"/>
        <v>7.4400000000000013</v>
      </c>
      <c r="AQ49" s="283">
        <v>45</v>
      </c>
      <c r="AR49" s="282">
        <v>60000</v>
      </c>
      <c r="AS49" s="282">
        <f t="shared" si="15"/>
        <v>0</v>
      </c>
      <c r="AT49" s="282">
        <f t="shared" si="20"/>
        <v>0</v>
      </c>
      <c r="AU49" s="282">
        <f t="shared" si="16"/>
        <v>0</v>
      </c>
      <c r="AV49" s="282">
        <f t="shared" si="17"/>
        <v>0</v>
      </c>
      <c r="AW49" s="282">
        <f t="shared" si="18"/>
        <v>0</v>
      </c>
    </row>
    <row r="50" spans="2:49" ht="15.75" thickBot="1" x14ac:dyDescent="0.35">
      <c r="C50" s="283">
        <v>46</v>
      </c>
      <c r="D50" s="282">
        <v>65000</v>
      </c>
      <c r="E50" s="450">
        <f t="shared" si="3"/>
        <v>1.620431240342745</v>
      </c>
      <c r="F50" s="450">
        <f t="shared" si="4"/>
        <v>2.1193534906588005</v>
      </c>
      <c r="G50" s="450">
        <f t="shared" si="5"/>
        <v>0.8102156201713725</v>
      </c>
      <c r="H50" s="450">
        <f t="shared" si="6"/>
        <v>1.2963449922741961</v>
      </c>
      <c r="I50" s="450">
        <f t="shared" si="7"/>
        <v>1.2963449922741961</v>
      </c>
      <c r="K50" s="297">
        <v>9.5</v>
      </c>
      <c r="L50" s="450">
        <f t="shared" si="8"/>
        <v>11.656444198623403</v>
      </c>
      <c r="M50" s="450">
        <f t="shared" si="21"/>
        <v>5.6715093411996076</v>
      </c>
      <c r="N50" s="450">
        <f t="shared" si="22"/>
        <v>9.0744149459193721</v>
      </c>
      <c r="O50" s="450">
        <f t="shared" si="23"/>
        <v>9.0744149459193721</v>
      </c>
      <c r="P50" s="308"/>
      <c r="Q50" s="308"/>
      <c r="R50" s="308"/>
      <c r="T50" s="452">
        <v>46</v>
      </c>
      <c r="U50" s="453">
        <v>65000</v>
      </c>
      <c r="V50" s="455">
        <v>1.3571428571428572</v>
      </c>
      <c r="W50" s="455">
        <v>1.7749999999999999</v>
      </c>
      <c r="X50" s="455">
        <f t="shared" si="19"/>
        <v>0.6785714285714286</v>
      </c>
      <c r="Y50" s="455">
        <f t="shared" si="10"/>
        <v>1.0857142857142859</v>
      </c>
      <c r="Z50" s="455">
        <f t="shared" si="11"/>
        <v>1.0857142857142859</v>
      </c>
      <c r="AA50" s="449"/>
      <c r="AB50" s="455">
        <v>9.5</v>
      </c>
      <c r="AC50" s="455">
        <v>9.7624999999999993</v>
      </c>
      <c r="AD50" s="455">
        <f t="shared" si="2"/>
        <v>4.75</v>
      </c>
      <c r="AE50" s="455">
        <f t="shared" si="13"/>
        <v>7.6000000000000005</v>
      </c>
      <c r="AF50" s="455">
        <f t="shared" si="14"/>
        <v>7.6000000000000005</v>
      </c>
      <c r="AQ50" s="283">
        <v>46</v>
      </c>
      <c r="AR50" s="282">
        <v>65000</v>
      </c>
      <c r="AS50" s="282">
        <f t="shared" si="15"/>
        <v>0</v>
      </c>
      <c r="AT50" s="282">
        <f t="shared" si="20"/>
        <v>0</v>
      </c>
      <c r="AU50" s="282">
        <f t="shared" si="16"/>
        <v>0</v>
      </c>
      <c r="AV50" s="282">
        <f t="shared" si="17"/>
        <v>0</v>
      </c>
      <c r="AW50" s="282">
        <f t="shared" si="18"/>
        <v>0</v>
      </c>
    </row>
    <row r="51" spans="2:49" ht="15.75" thickBot="1" x14ac:dyDescent="0.35">
      <c r="C51" s="562">
        <v>47</v>
      </c>
      <c r="D51" s="563">
        <v>70000</v>
      </c>
      <c r="E51" s="581">
        <f t="shared" ref="E51:E55" si="24">V51*$Q$5</f>
        <v>1.7057170950976261</v>
      </c>
      <c r="F51" s="581">
        <f t="shared" ref="F51:F55" si="25">W51*$Q$5</f>
        <v>2.1939786135693216</v>
      </c>
      <c r="G51" s="581">
        <f t="shared" ref="G51:G55" si="26">X51*$Q$5</f>
        <v>0.85285854754881307</v>
      </c>
      <c r="H51" s="581">
        <f t="shared" ref="H51:H55" si="27">Y51*$Q$5</f>
        <v>1.3645736760781011</v>
      </c>
      <c r="I51" s="581">
        <f t="shared" ref="I51:I55" si="28">Z51*$Q$5</f>
        <v>1.3645736760781011</v>
      </c>
      <c r="K51" s="582">
        <v>10</v>
      </c>
      <c r="L51" s="581">
        <f t="shared" ref="L51:L55" si="29">AC51*$Q$5</f>
        <v>12.066882374631268</v>
      </c>
      <c r="M51" s="581">
        <f t="shared" ref="M51:M55" si="30">AD51*$Q$5</f>
        <v>5.9700098328416917</v>
      </c>
      <c r="N51" s="581">
        <f t="shared" ref="N51:N55" si="31">AE51*$Q$5</f>
        <v>9.5520157325467068</v>
      </c>
      <c r="O51" s="581">
        <f t="shared" ref="O51:O55" si="32">AF51*$Q$5</f>
        <v>9.5520157325467068</v>
      </c>
      <c r="P51" s="308"/>
      <c r="Q51" s="308"/>
      <c r="R51" s="308"/>
      <c r="T51" s="452">
        <v>47</v>
      </c>
      <c r="U51" s="453">
        <v>70000</v>
      </c>
      <c r="V51" s="455">
        <v>1.4285714285714286</v>
      </c>
      <c r="W51" s="455">
        <v>1.8374999999999999</v>
      </c>
      <c r="X51" s="455">
        <f t="shared" ref="X51:X55" si="33">V51*$AK$15</f>
        <v>0.7142857142857143</v>
      </c>
      <c r="Y51" s="455">
        <f t="shared" ref="Y51:Y55" si="34">V51*$AK$16</f>
        <v>1.142857142857143</v>
      </c>
      <c r="Z51" s="455">
        <f t="shared" ref="Z51:Z55" si="35">V51*$AK$16</f>
        <v>1.142857142857143</v>
      </c>
      <c r="AA51" s="449"/>
      <c r="AB51" s="455">
        <v>10</v>
      </c>
      <c r="AC51" s="455">
        <v>10.106249999999999</v>
      </c>
      <c r="AD51" s="455">
        <f t="shared" ref="AD51:AD55" si="36">AB51*$AK$15</f>
        <v>5</v>
      </c>
      <c r="AE51" s="455">
        <f t="shared" ref="AE51:AE55" si="37">AB51*$AK$16</f>
        <v>8</v>
      </c>
      <c r="AF51" s="455">
        <f t="shared" ref="AF51:AF55" si="38">AB51*$AK$16</f>
        <v>8</v>
      </c>
      <c r="AQ51" s="283">
        <v>47</v>
      </c>
      <c r="AR51" s="282">
        <v>70000</v>
      </c>
      <c r="AS51" s="282">
        <f t="shared" ref="AS51:AS57" si="39">(K51/(1+(K51/E51-1)*$AK$17^$AK$18))*$AQ$3/100</f>
        <v>0</v>
      </c>
      <c r="AT51" s="282">
        <f t="shared" ref="AT51:AT57" si="40">(L51/(1+(L51/F51-1)*$AK$17^$AK$18))*$AQ$3/100</f>
        <v>0</v>
      </c>
      <c r="AU51" s="282">
        <f t="shared" ref="AU51:AU57" si="41">(M51/(1+(M51/G51-1)*$AK$17^$AK$18))*$AQ$3/100</f>
        <v>0</v>
      </c>
      <c r="AV51" s="282">
        <f t="shared" ref="AV51:AV57" si="42">(N51/(1+(N51/H51-1)*$AK$17^$AK$18))*$AQ$3/100</f>
        <v>0</v>
      </c>
      <c r="AW51" s="282">
        <f t="shared" ref="AW51:AW57" si="43">(O51/(1+(O51/I51-1)*$AK$17^$AK$18))*$AQ$3/100</f>
        <v>0</v>
      </c>
    </row>
    <row r="52" spans="2:49" ht="15.75" thickBot="1" x14ac:dyDescent="0.35">
      <c r="B52" s="545" t="s">
        <v>1511</v>
      </c>
      <c r="C52" s="564">
        <v>48</v>
      </c>
      <c r="D52" s="565">
        <v>75000</v>
      </c>
      <c r="E52" s="583">
        <f t="shared" si="24"/>
        <v>1.7603000421407451</v>
      </c>
      <c r="F52" s="583">
        <f t="shared" si="25"/>
        <v>2.2924837758112093</v>
      </c>
      <c r="G52" s="583">
        <f t="shared" si="26"/>
        <v>0.88015002107037255</v>
      </c>
      <c r="H52" s="583">
        <f t="shared" si="27"/>
        <v>1.408240033712596</v>
      </c>
      <c r="I52" s="583">
        <f t="shared" si="28"/>
        <v>1.408240033712596</v>
      </c>
      <c r="J52" s="548"/>
      <c r="K52" s="584">
        <v>10.32</v>
      </c>
      <c r="L52" s="583">
        <f t="shared" si="29"/>
        <v>12.608660766961654</v>
      </c>
      <c r="M52" s="583">
        <f t="shared" si="30"/>
        <v>6.1610501474926265</v>
      </c>
      <c r="N52" s="583">
        <f t="shared" si="31"/>
        <v>9.8576802359882016</v>
      </c>
      <c r="O52" s="583">
        <f t="shared" si="32"/>
        <v>9.8576802359882016</v>
      </c>
      <c r="P52" s="585"/>
      <c r="Q52" s="585"/>
      <c r="R52" s="585"/>
      <c r="S52" s="548"/>
      <c r="T52" s="586">
        <v>48</v>
      </c>
      <c r="U52" s="587">
        <v>75000</v>
      </c>
      <c r="V52" s="588">
        <v>1.47428571428571</v>
      </c>
      <c r="W52" s="588">
        <v>1.92</v>
      </c>
      <c r="X52" s="588">
        <f t="shared" si="33"/>
        <v>0.73714285714285499</v>
      </c>
      <c r="Y52" s="588">
        <f t="shared" si="34"/>
        <v>1.1794285714285679</v>
      </c>
      <c r="Z52" s="588">
        <f t="shared" si="35"/>
        <v>1.1794285714285679</v>
      </c>
      <c r="AA52" s="589"/>
      <c r="AB52" s="588">
        <v>10.32</v>
      </c>
      <c r="AC52" s="588">
        <v>10.56</v>
      </c>
      <c r="AD52" s="588">
        <f t="shared" si="36"/>
        <v>5.16</v>
      </c>
      <c r="AE52" s="588">
        <f t="shared" si="37"/>
        <v>8.2560000000000002</v>
      </c>
      <c r="AF52" s="590">
        <f t="shared" si="38"/>
        <v>8.2560000000000002</v>
      </c>
      <c r="AQ52" s="283">
        <v>48</v>
      </c>
      <c r="AR52" s="282">
        <v>73214.285714285696</v>
      </c>
      <c r="AS52" s="282">
        <f t="shared" si="39"/>
        <v>0</v>
      </c>
      <c r="AT52" s="282">
        <f t="shared" si="40"/>
        <v>0</v>
      </c>
      <c r="AU52" s="282">
        <f t="shared" si="41"/>
        <v>0</v>
      </c>
      <c r="AV52" s="282">
        <f t="shared" si="42"/>
        <v>0</v>
      </c>
      <c r="AW52" s="282">
        <f t="shared" si="43"/>
        <v>0</v>
      </c>
    </row>
    <row r="53" spans="2:49" ht="15.75" thickBot="1" x14ac:dyDescent="0.35">
      <c r="C53" s="567">
        <v>49</v>
      </c>
      <c r="D53" s="282">
        <v>80000</v>
      </c>
      <c r="E53" s="450">
        <f t="shared" si="24"/>
        <v>1.8217058575642699</v>
      </c>
      <c r="F53" s="450">
        <f t="shared" si="25"/>
        <v>2.3880039331366767</v>
      </c>
      <c r="G53" s="450">
        <f t="shared" si="26"/>
        <v>0.91085292878213497</v>
      </c>
      <c r="H53" s="450">
        <f t="shared" si="27"/>
        <v>1.4573646860514162</v>
      </c>
      <c r="I53" s="450">
        <f t="shared" si="28"/>
        <v>1.4573646860514162</v>
      </c>
      <c r="K53" s="297">
        <v>10.68</v>
      </c>
      <c r="L53" s="450">
        <f t="shared" si="29"/>
        <v>13.134021632251722</v>
      </c>
      <c r="M53" s="450">
        <f t="shared" si="30"/>
        <v>6.3759705014749262</v>
      </c>
      <c r="N53" s="450">
        <f t="shared" si="31"/>
        <v>10.201552802359883</v>
      </c>
      <c r="O53" s="450">
        <f t="shared" si="32"/>
        <v>10.201552802359883</v>
      </c>
      <c r="P53" s="308"/>
      <c r="Q53" s="308"/>
      <c r="R53" s="308"/>
      <c r="T53" s="452">
        <v>49</v>
      </c>
      <c r="U53" s="453">
        <v>80000</v>
      </c>
      <c r="V53" s="455">
        <v>1.52571428571429</v>
      </c>
      <c r="W53" s="455">
        <v>2</v>
      </c>
      <c r="X53" s="455">
        <f t="shared" si="33"/>
        <v>0.76285714285714501</v>
      </c>
      <c r="Y53" s="455">
        <f t="shared" si="34"/>
        <v>1.2205714285714322</v>
      </c>
      <c r="Z53" s="455">
        <f t="shared" si="35"/>
        <v>1.2205714285714322</v>
      </c>
      <c r="AA53" s="449"/>
      <c r="AB53" s="455">
        <v>10.68</v>
      </c>
      <c r="AC53" s="455">
        <v>11</v>
      </c>
      <c r="AD53" s="455">
        <f t="shared" si="36"/>
        <v>5.34</v>
      </c>
      <c r="AE53" s="455">
        <f t="shared" si="37"/>
        <v>8.5440000000000005</v>
      </c>
      <c r="AF53" s="591">
        <f t="shared" si="38"/>
        <v>8.5440000000000005</v>
      </c>
      <c r="AQ53" s="283">
        <v>49</v>
      </c>
      <c r="AR53" s="282">
        <v>77500</v>
      </c>
      <c r="AS53" s="282">
        <f t="shared" si="39"/>
        <v>0</v>
      </c>
      <c r="AT53" s="282">
        <f t="shared" si="40"/>
        <v>0</v>
      </c>
      <c r="AU53" s="282">
        <f t="shared" si="41"/>
        <v>0</v>
      </c>
      <c r="AV53" s="282">
        <f t="shared" si="42"/>
        <v>0</v>
      </c>
      <c r="AW53" s="282">
        <f t="shared" si="43"/>
        <v>0</v>
      </c>
    </row>
    <row r="54" spans="2:49" ht="15.75" thickBot="1" x14ac:dyDescent="0.35">
      <c r="C54" s="567">
        <v>50</v>
      </c>
      <c r="D54" s="282">
        <v>85000</v>
      </c>
      <c r="E54" s="450">
        <f t="shared" si="24"/>
        <v>1.8831116729877828</v>
      </c>
      <c r="F54" s="450">
        <f t="shared" si="25"/>
        <v>2.4835240904621441</v>
      </c>
      <c r="G54" s="450">
        <f t="shared" si="26"/>
        <v>0.94155583649389141</v>
      </c>
      <c r="H54" s="450">
        <f t="shared" si="27"/>
        <v>1.5064893383902265</v>
      </c>
      <c r="I54" s="450">
        <f t="shared" si="28"/>
        <v>1.5064893383902265</v>
      </c>
      <c r="K54" s="297">
        <v>11.04</v>
      </c>
      <c r="L54" s="450">
        <f t="shared" si="29"/>
        <v>13.65938249754179</v>
      </c>
      <c r="M54" s="450">
        <f t="shared" si="30"/>
        <v>6.5908908554572267</v>
      </c>
      <c r="N54" s="450">
        <f t="shared" si="31"/>
        <v>10.545425368731562</v>
      </c>
      <c r="O54" s="450">
        <f t="shared" si="32"/>
        <v>10.545425368731562</v>
      </c>
      <c r="P54" s="308"/>
      <c r="Q54" s="308"/>
      <c r="R54" s="308"/>
      <c r="T54" s="452">
        <v>50</v>
      </c>
      <c r="U54" s="453">
        <v>85000</v>
      </c>
      <c r="V54" s="455">
        <v>1.5771428571428601</v>
      </c>
      <c r="W54" s="455">
        <v>2.08</v>
      </c>
      <c r="X54" s="455">
        <f t="shared" si="33"/>
        <v>0.78857142857143003</v>
      </c>
      <c r="Y54" s="455">
        <f t="shared" si="34"/>
        <v>1.2617142857142882</v>
      </c>
      <c r="Z54" s="455">
        <f t="shared" si="35"/>
        <v>1.2617142857142882</v>
      </c>
      <c r="AA54" s="449"/>
      <c r="AB54" s="455">
        <v>11.04</v>
      </c>
      <c r="AC54" s="455">
        <v>11.44</v>
      </c>
      <c r="AD54" s="455">
        <f t="shared" si="36"/>
        <v>5.52</v>
      </c>
      <c r="AE54" s="455">
        <f t="shared" si="37"/>
        <v>8.831999999999999</v>
      </c>
      <c r="AF54" s="591">
        <f t="shared" si="38"/>
        <v>8.831999999999999</v>
      </c>
      <c r="AQ54" s="283">
        <v>50</v>
      </c>
      <c r="AR54" s="282">
        <v>81785.714285714304</v>
      </c>
      <c r="AS54" s="282">
        <f t="shared" si="39"/>
        <v>0</v>
      </c>
      <c r="AT54" s="282">
        <f t="shared" si="40"/>
        <v>0</v>
      </c>
      <c r="AU54" s="282">
        <f t="shared" si="41"/>
        <v>0</v>
      </c>
      <c r="AV54" s="282">
        <f t="shared" si="42"/>
        <v>0</v>
      </c>
      <c r="AW54" s="282">
        <f t="shared" si="43"/>
        <v>0</v>
      </c>
    </row>
    <row r="55" spans="2:49" ht="15.75" thickBot="1" x14ac:dyDescent="0.35">
      <c r="C55" s="567">
        <v>51</v>
      </c>
      <c r="D55" s="282">
        <v>90000</v>
      </c>
      <c r="E55" s="450">
        <f t="shared" si="24"/>
        <v>1.9445174884112955</v>
      </c>
      <c r="F55" s="450">
        <f t="shared" si="25"/>
        <v>2.579044247787611</v>
      </c>
      <c r="G55" s="450">
        <f t="shared" si="26"/>
        <v>0.97225874420564773</v>
      </c>
      <c r="H55" s="450">
        <f t="shared" si="27"/>
        <v>1.5556139907290365</v>
      </c>
      <c r="I55" s="450">
        <f t="shared" si="28"/>
        <v>1.5556139907290365</v>
      </c>
      <c r="K55" s="297">
        <v>11.4</v>
      </c>
      <c r="L55" s="450">
        <f t="shared" si="29"/>
        <v>14.18474336283186</v>
      </c>
      <c r="M55" s="450">
        <f t="shared" si="30"/>
        <v>6.8058112094395291</v>
      </c>
      <c r="N55" s="450">
        <f t="shared" si="31"/>
        <v>10.889297935103247</v>
      </c>
      <c r="O55" s="450">
        <f t="shared" si="32"/>
        <v>10.889297935103247</v>
      </c>
      <c r="P55" s="308"/>
      <c r="Q55" s="308"/>
      <c r="R55" s="308"/>
      <c r="T55" s="452">
        <v>51</v>
      </c>
      <c r="U55" s="453">
        <v>90000</v>
      </c>
      <c r="V55" s="455">
        <v>1.6285714285714299</v>
      </c>
      <c r="W55" s="455">
        <v>2.16</v>
      </c>
      <c r="X55" s="455">
        <f t="shared" si="33"/>
        <v>0.81428571428571495</v>
      </c>
      <c r="Y55" s="455">
        <f t="shared" si="34"/>
        <v>1.302857142857144</v>
      </c>
      <c r="Z55" s="455">
        <f t="shared" si="35"/>
        <v>1.302857142857144</v>
      </c>
      <c r="AA55" s="449"/>
      <c r="AB55" s="455">
        <v>11.4</v>
      </c>
      <c r="AC55" s="455">
        <v>11.88</v>
      </c>
      <c r="AD55" s="455">
        <f t="shared" si="36"/>
        <v>5.7</v>
      </c>
      <c r="AE55" s="455">
        <f t="shared" si="37"/>
        <v>9.120000000000001</v>
      </c>
      <c r="AF55" s="591">
        <f t="shared" si="38"/>
        <v>9.120000000000001</v>
      </c>
      <c r="AQ55" s="283">
        <v>51</v>
      </c>
      <c r="AR55" s="282">
        <v>86071.428571428594</v>
      </c>
      <c r="AS55" s="282">
        <f t="shared" si="39"/>
        <v>0</v>
      </c>
      <c r="AT55" s="282">
        <f t="shared" si="40"/>
        <v>0</v>
      </c>
      <c r="AU55" s="282">
        <f t="shared" si="41"/>
        <v>0</v>
      </c>
      <c r="AV55" s="282">
        <f t="shared" si="42"/>
        <v>0</v>
      </c>
      <c r="AW55" s="282">
        <f t="shared" si="43"/>
        <v>0</v>
      </c>
    </row>
    <row r="56" spans="2:49" ht="15.75" thickBot="1" x14ac:dyDescent="0.35">
      <c r="C56" s="567">
        <v>52</v>
      </c>
      <c r="D56" s="282">
        <v>95000</v>
      </c>
      <c r="E56" s="450">
        <f t="shared" ref="E56:E63" si="44">V56*$Q$5</f>
        <v>2.0059233038348085</v>
      </c>
      <c r="F56" s="450">
        <f t="shared" ref="F56:F63" si="45">W56*$Q$5</f>
        <v>2.6745644051130784</v>
      </c>
      <c r="G56" s="450">
        <f t="shared" ref="G56:G63" si="46">X56*$Q$5</f>
        <v>1.0029616519174043</v>
      </c>
      <c r="H56" s="450">
        <f t="shared" ref="H56:H63" si="47">Y56*$Q$5</f>
        <v>1.6047386430678467</v>
      </c>
      <c r="I56" s="450">
        <f t="shared" ref="I56:I63" si="48">Z56*$Q$5</f>
        <v>1.6047386430678467</v>
      </c>
      <c r="K56" s="297">
        <v>11.76</v>
      </c>
      <c r="L56" s="450">
        <f t="shared" ref="L56:L63" si="49">AC56*$Q$5</f>
        <v>14.71010422812193</v>
      </c>
      <c r="M56" s="450">
        <f t="shared" ref="M56:M63" si="50">AD56*$Q$5</f>
        <v>7.0207315634218297</v>
      </c>
      <c r="N56" s="450">
        <f t="shared" ref="N56:N63" si="51">AE56*$Q$5</f>
        <v>11.233170501474927</v>
      </c>
      <c r="O56" s="450">
        <f t="shared" ref="O56:O63" si="52">AF56*$Q$5</f>
        <v>11.233170501474927</v>
      </c>
      <c r="P56" s="308"/>
      <c r="Q56" s="308"/>
      <c r="R56" s="308"/>
      <c r="T56" s="452">
        <v>52</v>
      </c>
      <c r="U56" s="453">
        <v>95000</v>
      </c>
      <c r="V56" s="455">
        <v>1.68</v>
      </c>
      <c r="W56" s="455">
        <v>2.2400000000000002</v>
      </c>
      <c r="X56" s="455">
        <f t="shared" ref="X56:X63" si="53">V56*$AK$15</f>
        <v>0.84</v>
      </c>
      <c r="Y56" s="455">
        <f t="shared" ref="Y56:Y63" si="54">V56*$AK$16</f>
        <v>1.3440000000000001</v>
      </c>
      <c r="Z56" s="455">
        <f t="shared" ref="Z56:Z63" si="55">V56*$AK$16</f>
        <v>1.3440000000000001</v>
      </c>
      <c r="AA56" s="449"/>
      <c r="AB56" s="455">
        <v>11.76</v>
      </c>
      <c r="AC56" s="455">
        <v>12.32</v>
      </c>
      <c r="AD56" s="455">
        <f t="shared" ref="AD56:AD63" si="56">AB56*$AK$15</f>
        <v>5.88</v>
      </c>
      <c r="AE56" s="455">
        <f t="shared" ref="AE56:AE63" si="57">AB56*$AK$16</f>
        <v>9.4079999999999995</v>
      </c>
      <c r="AF56" s="591">
        <f t="shared" ref="AF56:AF63" si="58">AB56*$AK$16</f>
        <v>9.4079999999999995</v>
      </c>
      <c r="AQ56" s="283">
        <v>52</v>
      </c>
      <c r="AR56" s="282">
        <v>90357.142857142797</v>
      </c>
      <c r="AS56" s="282">
        <f t="shared" si="39"/>
        <v>0</v>
      </c>
      <c r="AT56" s="282">
        <f t="shared" si="40"/>
        <v>0</v>
      </c>
      <c r="AU56" s="282">
        <f t="shared" si="41"/>
        <v>0</v>
      </c>
      <c r="AV56" s="282">
        <f t="shared" si="42"/>
        <v>0</v>
      </c>
      <c r="AW56" s="282">
        <f t="shared" si="43"/>
        <v>0</v>
      </c>
    </row>
    <row r="57" spans="2:49" ht="15.75" thickBot="1" x14ac:dyDescent="0.35">
      <c r="C57" s="567">
        <v>53</v>
      </c>
      <c r="D57" s="282">
        <v>100000</v>
      </c>
      <c r="E57" s="450">
        <f t="shared" si="44"/>
        <v>2.0673291192583214</v>
      </c>
      <c r="F57" s="450">
        <f t="shared" si="45"/>
        <v>2.7700845624385448</v>
      </c>
      <c r="G57" s="450">
        <f t="shared" si="46"/>
        <v>1.0336645596291607</v>
      </c>
      <c r="H57" s="450">
        <f t="shared" si="47"/>
        <v>1.6538632954066572</v>
      </c>
      <c r="I57" s="450">
        <f t="shared" si="48"/>
        <v>1.6538632954066572</v>
      </c>
      <c r="K57" s="297">
        <v>12.12</v>
      </c>
      <c r="L57" s="450">
        <f t="shared" si="49"/>
        <v>15.235465093411998</v>
      </c>
      <c r="M57" s="450">
        <f t="shared" si="50"/>
        <v>7.2356519174041303</v>
      </c>
      <c r="N57" s="450">
        <f t="shared" si="51"/>
        <v>11.577043067846608</v>
      </c>
      <c r="O57" s="450">
        <f t="shared" si="52"/>
        <v>11.577043067846608</v>
      </c>
      <c r="P57" s="308"/>
      <c r="Q57" s="308"/>
      <c r="R57" s="308"/>
      <c r="T57" s="452">
        <v>53</v>
      </c>
      <c r="U57" s="453">
        <v>100000</v>
      </c>
      <c r="V57" s="455">
        <v>1.73142857142857</v>
      </c>
      <c r="W57" s="455">
        <v>2.3199999999999998</v>
      </c>
      <c r="X57" s="455">
        <f t="shared" si="53"/>
        <v>0.86571428571428499</v>
      </c>
      <c r="Y57" s="455">
        <f t="shared" si="54"/>
        <v>1.3851428571428561</v>
      </c>
      <c r="Z57" s="455">
        <f t="shared" si="55"/>
        <v>1.3851428571428561</v>
      </c>
      <c r="AA57" s="449"/>
      <c r="AB57" s="455">
        <v>12.12</v>
      </c>
      <c r="AC57" s="455">
        <v>12.76</v>
      </c>
      <c r="AD57" s="455">
        <f t="shared" si="56"/>
        <v>6.06</v>
      </c>
      <c r="AE57" s="455">
        <f t="shared" si="57"/>
        <v>9.6959999999999997</v>
      </c>
      <c r="AF57" s="591">
        <f t="shared" si="58"/>
        <v>9.6959999999999997</v>
      </c>
      <c r="AQ57" s="283">
        <v>53</v>
      </c>
      <c r="AR57" s="282">
        <v>94642.857142857101</v>
      </c>
      <c r="AS57" s="282">
        <f t="shared" si="39"/>
        <v>0</v>
      </c>
      <c r="AT57" s="282">
        <f t="shared" si="40"/>
        <v>0</v>
      </c>
      <c r="AU57" s="282">
        <f t="shared" si="41"/>
        <v>0</v>
      </c>
      <c r="AV57" s="282">
        <f t="shared" si="42"/>
        <v>0</v>
      </c>
      <c r="AW57" s="282">
        <f t="shared" si="43"/>
        <v>0</v>
      </c>
    </row>
    <row r="58" spans="2:49" ht="15.75" thickBot="1" x14ac:dyDescent="0.35">
      <c r="C58" s="567">
        <v>54</v>
      </c>
      <c r="D58" s="282">
        <v>105000</v>
      </c>
      <c r="E58" s="450">
        <f t="shared" si="44"/>
        <v>2.1287349346818343</v>
      </c>
      <c r="F58" s="450">
        <f t="shared" si="45"/>
        <v>2.8656047197640118</v>
      </c>
      <c r="G58" s="450">
        <f t="shared" si="46"/>
        <v>1.0643674673409171</v>
      </c>
      <c r="H58" s="450">
        <f t="shared" si="47"/>
        <v>1.7029879477454675</v>
      </c>
      <c r="I58" s="450">
        <f t="shared" si="48"/>
        <v>1.7029879477454675</v>
      </c>
      <c r="K58" s="297">
        <v>12.48</v>
      </c>
      <c r="L58" s="450">
        <f t="shared" si="49"/>
        <v>15.760825958702066</v>
      </c>
      <c r="M58" s="450">
        <f t="shared" si="50"/>
        <v>7.4505722713864317</v>
      </c>
      <c r="N58" s="450">
        <f t="shared" si="51"/>
        <v>11.920915634218293</v>
      </c>
      <c r="O58" s="450">
        <f t="shared" si="52"/>
        <v>11.920915634218293</v>
      </c>
      <c r="P58" s="308"/>
      <c r="Q58" s="308"/>
      <c r="R58" s="308"/>
      <c r="T58" s="452">
        <v>54</v>
      </c>
      <c r="U58" s="453">
        <v>105000</v>
      </c>
      <c r="V58" s="455">
        <v>1.78285714285714</v>
      </c>
      <c r="W58" s="455">
        <v>2.4</v>
      </c>
      <c r="X58" s="455">
        <f t="shared" si="53"/>
        <v>0.89142857142857002</v>
      </c>
      <c r="Y58" s="455">
        <f t="shared" si="54"/>
        <v>1.4262857142857122</v>
      </c>
      <c r="Z58" s="455">
        <f t="shared" si="55"/>
        <v>1.4262857142857122</v>
      </c>
      <c r="AA58" s="449"/>
      <c r="AB58" s="455">
        <v>12.48</v>
      </c>
      <c r="AC58" s="455">
        <v>13.2</v>
      </c>
      <c r="AD58" s="455">
        <f t="shared" si="56"/>
        <v>6.24</v>
      </c>
      <c r="AE58" s="455">
        <f t="shared" si="57"/>
        <v>9.9840000000000018</v>
      </c>
      <c r="AF58" s="591">
        <f t="shared" si="58"/>
        <v>9.9840000000000018</v>
      </c>
      <c r="AQ58" s="283">
        <v>54</v>
      </c>
      <c r="AR58" s="282">
        <v>98928.571428571406</v>
      </c>
      <c r="AS58" s="282">
        <f t="shared" ref="AS58:AS63" si="59">(K58/(1+(K58/E58-1)*$AK$17^$AK$18))*$AQ$3/100</f>
        <v>0</v>
      </c>
      <c r="AT58" s="282">
        <f t="shared" ref="AT58:AT63" si="60">(L58/(1+(L58/F58-1)*$AK$17^$AK$18))*$AQ$3/100</f>
        <v>0</v>
      </c>
      <c r="AU58" s="282">
        <f t="shared" ref="AU58:AU63" si="61">(M58/(1+(M58/G58-1)*$AK$17^$AK$18))*$AQ$3/100</f>
        <v>0</v>
      </c>
      <c r="AV58" s="282">
        <f t="shared" ref="AV58:AV63" si="62">(N58/(1+(N58/H58-1)*$AK$17^$AK$18))*$AQ$3/100</f>
        <v>0</v>
      </c>
      <c r="AW58" s="282">
        <f t="shared" ref="AW58:AW63" si="63">(O58/(1+(O58/I58-1)*$AK$17^$AK$18))*$AQ$3/100</f>
        <v>0</v>
      </c>
    </row>
    <row r="59" spans="2:49" ht="15.75" thickBot="1" x14ac:dyDescent="0.35">
      <c r="C59" s="567">
        <v>55</v>
      </c>
      <c r="D59" s="282">
        <v>110000</v>
      </c>
      <c r="E59" s="450">
        <f t="shared" si="44"/>
        <v>2.1901407501053471</v>
      </c>
      <c r="F59" s="450">
        <f t="shared" si="45"/>
        <v>2.9611248770894791</v>
      </c>
      <c r="G59" s="450">
        <f t="shared" si="46"/>
        <v>1.0950703750526736</v>
      </c>
      <c r="H59" s="450">
        <f t="shared" si="47"/>
        <v>1.7521126000842777</v>
      </c>
      <c r="I59" s="450">
        <f t="shared" si="48"/>
        <v>1.7521126000842777</v>
      </c>
      <c r="K59" s="297">
        <v>12.84</v>
      </c>
      <c r="L59" s="450">
        <f t="shared" si="49"/>
        <v>16.286186823992136</v>
      </c>
      <c r="M59" s="450">
        <f t="shared" si="50"/>
        <v>7.6654926253687323</v>
      </c>
      <c r="N59" s="450">
        <f t="shared" si="51"/>
        <v>12.264788200589972</v>
      </c>
      <c r="O59" s="450">
        <f t="shared" si="52"/>
        <v>12.264788200589972</v>
      </c>
      <c r="P59" s="308"/>
      <c r="Q59" s="308"/>
      <c r="R59" s="308"/>
      <c r="T59" s="452">
        <v>55</v>
      </c>
      <c r="U59" s="453">
        <v>110000</v>
      </c>
      <c r="V59" s="455">
        <v>1.8342857142857101</v>
      </c>
      <c r="W59" s="455">
        <v>2.48</v>
      </c>
      <c r="X59" s="455">
        <f t="shared" si="53"/>
        <v>0.91714285714285504</v>
      </c>
      <c r="Y59" s="455">
        <f t="shared" si="54"/>
        <v>1.4674285714285682</v>
      </c>
      <c r="Z59" s="455">
        <f t="shared" si="55"/>
        <v>1.4674285714285682</v>
      </c>
      <c r="AA59" s="449"/>
      <c r="AB59" s="455">
        <v>12.84</v>
      </c>
      <c r="AC59" s="455">
        <v>13.64</v>
      </c>
      <c r="AD59" s="455">
        <f t="shared" si="56"/>
        <v>6.42</v>
      </c>
      <c r="AE59" s="455">
        <f t="shared" si="57"/>
        <v>10.272</v>
      </c>
      <c r="AF59" s="591">
        <f t="shared" si="58"/>
        <v>10.272</v>
      </c>
      <c r="AQ59" s="283">
        <v>55</v>
      </c>
      <c r="AR59" s="282">
        <v>103214.285714286</v>
      </c>
      <c r="AS59" s="282">
        <f t="shared" si="59"/>
        <v>0</v>
      </c>
      <c r="AT59" s="282">
        <f t="shared" si="60"/>
        <v>0</v>
      </c>
      <c r="AU59" s="282">
        <f t="shared" si="61"/>
        <v>0</v>
      </c>
      <c r="AV59" s="282">
        <f t="shared" si="62"/>
        <v>0</v>
      </c>
      <c r="AW59" s="282">
        <f t="shared" si="63"/>
        <v>0</v>
      </c>
    </row>
    <row r="60" spans="2:49" ht="15.75" thickBot="1" x14ac:dyDescent="0.35">
      <c r="C60" s="567">
        <v>56</v>
      </c>
      <c r="D60" s="282">
        <v>115000</v>
      </c>
      <c r="E60" s="450">
        <f t="shared" si="44"/>
        <v>2.2515465655288716</v>
      </c>
      <c r="F60" s="450">
        <f t="shared" si="45"/>
        <v>3.0566450344149461</v>
      </c>
      <c r="G60" s="450">
        <f t="shared" si="46"/>
        <v>1.1257732827644358</v>
      </c>
      <c r="H60" s="450">
        <f t="shared" si="47"/>
        <v>1.8012372524230973</v>
      </c>
      <c r="I60" s="450">
        <f t="shared" si="48"/>
        <v>1.8012372524230973</v>
      </c>
      <c r="K60" s="297">
        <v>13.2</v>
      </c>
      <c r="L60" s="450">
        <f t="shared" si="49"/>
        <v>16.811547689282204</v>
      </c>
      <c r="M60" s="450">
        <f t="shared" si="50"/>
        <v>7.8804129793510329</v>
      </c>
      <c r="N60" s="450">
        <f t="shared" si="51"/>
        <v>12.608660766961654</v>
      </c>
      <c r="O60" s="450">
        <f t="shared" si="52"/>
        <v>12.608660766961654</v>
      </c>
      <c r="P60" s="308"/>
      <c r="Q60" s="308"/>
      <c r="R60" s="308"/>
      <c r="T60" s="452">
        <v>56</v>
      </c>
      <c r="U60" s="453">
        <v>115000</v>
      </c>
      <c r="V60" s="455">
        <v>1.8857142857142899</v>
      </c>
      <c r="W60" s="455">
        <v>2.56</v>
      </c>
      <c r="X60" s="455">
        <f t="shared" si="53"/>
        <v>0.94285714285714495</v>
      </c>
      <c r="Y60" s="455">
        <f t="shared" si="54"/>
        <v>1.508571428571432</v>
      </c>
      <c r="Z60" s="455">
        <f t="shared" si="55"/>
        <v>1.508571428571432</v>
      </c>
      <c r="AA60" s="449"/>
      <c r="AB60" s="455">
        <v>13.2</v>
      </c>
      <c r="AC60" s="455">
        <v>14.08</v>
      </c>
      <c r="AD60" s="455">
        <f t="shared" si="56"/>
        <v>6.6</v>
      </c>
      <c r="AE60" s="455">
        <f t="shared" si="57"/>
        <v>10.56</v>
      </c>
      <c r="AF60" s="591">
        <f t="shared" si="58"/>
        <v>10.56</v>
      </c>
      <c r="AQ60" s="283">
        <v>56</v>
      </c>
      <c r="AR60" s="282">
        <v>107500</v>
      </c>
      <c r="AS60" s="282">
        <f t="shared" si="59"/>
        <v>0</v>
      </c>
      <c r="AT60" s="282">
        <f t="shared" si="60"/>
        <v>0</v>
      </c>
      <c r="AU60" s="282">
        <f t="shared" si="61"/>
        <v>0</v>
      </c>
      <c r="AV60" s="282">
        <f t="shared" si="62"/>
        <v>0</v>
      </c>
      <c r="AW60" s="282">
        <f t="shared" si="63"/>
        <v>0</v>
      </c>
    </row>
    <row r="61" spans="2:49" ht="15.75" thickBot="1" x14ac:dyDescent="0.35">
      <c r="C61" s="567">
        <v>57</v>
      </c>
      <c r="D61" s="282">
        <v>120000</v>
      </c>
      <c r="E61" s="450">
        <f t="shared" si="44"/>
        <v>2.3129523809523844</v>
      </c>
      <c r="F61" s="450">
        <f t="shared" si="45"/>
        <v>3.1521651917404134</v>
      </c>
      <c r="G61" s="450">
        <f t="shared" si="46"/>
        <v>1.1564761904761922</v>
      </c>
      <c r="H61" s="450">
        <f t="shared" si="47"/>
        <v>1.8503619047619078</v>
      </c>
      <c r="I61" s="450">
        <f t="shared" si="48"/>
        <v>1.8503619047619078</v>
      </c>
      <c r="K61" s="297">
        <v>13.56</v>
      </c>
      <c r="L61" s="450">
        <f t="shared" si="49"/>
        <v>17.336908554572272</v>
      </c>
      <c r="M61" s="450">
        <f t="shared" si="50"/>
        <v>8.0953333333333344</v>
      </c>
      <c r="N61" s="450">
        <f t="shared" si="51"/>
        <v>12.952533333333335</v>
      </c>
      <c r="O61" s="450">
        <f t="shared" si="52"/>
        <v>12.952533333333335</v>
      </c>
      <c r="P61" s="308"/>
      <c r="Q61" s="308"/>
      <c r="R61" s="308"/>
      <c r="T61" s="452">
        <v>57</v>
      </c>
      <c r="U61" s="453">
        <v>120000</v>
      </c>
      <c r="V61" s="455">
        <v>1.9371428571428599</v>
      </c>
      <c r="W61" s="455">
        <v>2.64</v>
      </c>
      <c r="X61" s="455">
        <f t="shared" si="53"/>
        <v>0.96857142857142997</v>
      </c>
      <c r="Y61" s="455">
        <f t="shared" si="54"/>
        <v>1.549714285714288</v>
      </c>
      <c r="Z61" s="455">
        <f t="shared" si="55"/>
        <v>1.549714285714288</v>
      </c>
      <c r="AA61" s="449"/>
      <c r="AB61" s="455">
        <v>13.56</v>
      </c>
      <c r="AC61" s="455">
        <v>14.52</v>
      </c>
      <c r="AD61" s="455">
        <f t="shared" si="56"/>
        <v>6.78</v>
      </c>
      <c r="AE61" s="455">
        <f t="shared" si="57"/>
        <v>10.848000000000001</v>
      </c>
      <c r="AF61" s="591">
        <f t="shared" si="58"/>
        <v>10.848000000000001</v>
      </c>
      <c r="AQ61" s="283">
        <v>57</v>
      </c>
      <c r="AR61" s="282">
        <v>111785.714285714</v>
      </c>
      <c r="AS61" s="282">
        <f t="shared" si="59"/>
        <v>0</v>
      </c>
      <c r="AT61" s="282">
        <f t="shared" si="60"/>
        <v>0</v>
      </c>
      <c r="AU61" s="282">
        <f t="shared" si="61"/>
        <v>0</v>
      </c>
      <c r="AV61" s="282">
        <f t="shared" si="62"/>
        <v>0</v>
      </c>
      <c r="AW61" s="282">
        <f t="shared" si="63"/>
        <v>0</v>
      </c>
    </row>
    <row r="62" spans="2:49" ht="15.75" thickBot="1" x14ac:dyDescent="0.35">
      <c r="C62" s="567">
        <v>58</v>
      </c>
      <c r="D62" s="282">
        <v>125000</v>
      </c>
      <c r="E62" s="450">
        <f t="shared" si="44"/>
        <v>2.3743581963758973</v>
      </c>
      <c r="F62" s="450">
        <f t="shared" si="45"/>
        <v>3.2476853490658804</v>
      </c>
      <c r="G62" s="450">
        <f t="shared" si="46"/>
        <v>1.1871790981879486</v>
      </c>
      <c r="H62" s="450">
        <f t="shared" si="47"/>
        <v>1.899486557100718</v>
      </c>
      <c r="I62" s="450">
        <f t="shared" si="48"/>
        <v>1.899486557100718</v>
      </c>
      <c r="K62" s="297">
        <v>13.92</v>
      </c>
      <c r="L62" s="450">
        <f t="shared" si="49"/>
        <v>17.862269419862344</v>
      </c>
      <c r="M62" s="450">
        <f t="shared" si="50"/>
        <v>8.310253687315635</v>
      </c>
      <c r="N62" s="450">
        <f t="shared" si="51"/>
        <v>13.296405899705016</v>
      </c>
      <c r="O62" s="450">
        <f t="shared" si="52"/>
        <v>13.296405899705016</v>
      </c>
      <c r="P62" s="308"/>
      <c r="Q62" s="308"/>
      <c r="R62" s="308"/>
      <c r="T62" s="452">
        <v>58</v>
      </c>
      <c r="U62" s="453">
        <v>125000</v>
      </c>
      <c r="V62" s="455">
        <v>1.98857142857143</v>
      </c>
      <c r="W62" s="455">
        <v>2.72</v>
      </c>
      <c r="X62" s="455">
        <f t="shared" si="53"/>
        <v>0.99428571428571499</v>
      </c>
      <c r="Y62" s="455">
        <f t="shared" si="54"/>
        <v>1.5908571428571441</v>
      </c>
      <c r="Z62" s="455">
        <f t="shared" si="55"/>
        <v>1.5908571428571441</v>
      </c>
      <c r="AA62" s="449"/>
      <c r="AB62" s="455">
        <v>13.92</v>
      </c>
      <c r="AC62" s="455">
        <v>14.96</v>
      </c>
      <c r="AD62" s="455">
        <f t="shared" si="56"/>
        <v>6.96</v>
      </c>
      <c r="AE62" s="455">
        <f t="shared" si="57"/>
        <v>11.136000000000001</v>
      </c>
      <c r="AF62" s="591">
        <f t="shared" si="58"/>
        <v>11.136000000000001</v>
      </c>
      <c r="AQ62" s="283">
        <v>58</v>
      </c>
      <c r="AR62" s="282">
        <v>116071.428571429</v>
      </c>
      <c r="AS62" s="282">
        <f t="shared" si="59"/>
        <v>0</v>
      </c>
      <c r="AT62" s="282">
        <f t="shared" si="60"/>
        <v>0</v>
      </c>
      <c r="AU62" s="282">
        <f t="shared" si="61"/>
        <v>0</v>
      </c>
      <c r="AV62" s="282">
        <f t="shared" si="62"/>
        <v>0</v>
      </c>
      <c r="AW62" s="282">
        <f t="shared" si="63"/>
        <v>0</v>
      </c>
    </row>
    <row r="63" spans="2:49" ht="15.75" thickBot="1" x14ac:dyDescent="0.35">
      <c r="C63" s="569">
        <v>59</v>
      </c>
      <c r="D63" s="570">
        <v>130000</v>
      </c>
      <c r="E63" s="592">
        <f t="shared" si="44"/>
        <v>2.4357640117994102</v>
      </c>
      <c r="F63" s="592">
        <f t="shared" si="45"/>
        <v>3.3432055063913473</v>
      </c>
      <c r="G63" s="592">
        <f t="shared" si="46"/>
        <v>1.2178820058997051</v>
      </c>
      <c r="H63" s="592">
        <f t="shared" si="47"/>
        <v>1.9486112094395283</v>
      </c>
      <c r="I63" s="592">
        <f t="shared" si="48"/>
        <v>1.9486112094395283</v>
      </c>
      <c r="J63" s="556"/>
      <c r="K63" s="593">
        <v>14.28</v>
      </c>
      <c r="L63" s="592">
        <f t="shared" si="49"/>
        <v>18.387630285152412</v>
      </c>
      <c r="M63" s="592">
        <f t="shared" si="50"/>
        <v>8.5251740412979355</v>
      </c>
      <c r="N63" s="592">
        <f t="shared" si="51"/>
        <v>13.640278466076696</v>
      </c>
      <c r="O63" s="592">
        <f t="shared" si="52"/>
        <v>13.640278466076696</v>
      </c>
      <c r="P63" s="594"/>
      <c r="Q63" s="594"/>
      <c r="R63" s="594"/>
      <c r="S63" s="556"/>
      <c r="T63" s="595">
        <v>59</v>
      </c>
      <c r="U63" s="596">
        <v>130000</v>
      </c>
      <c r="V63" s="597">
        <v>2.04</v>
      </c>
      <c r="W63" s="597">
        <v>2.8</v>
      </c>
      <c r="X63" s="597">
        <f t="shared" si="53"/>
        <v>1.02</v>
      </c>
      <c r="Y63" s="597">
        <f t="shared" si="54"/>
        <v>1.6320000000000001</v>
      </c>
      <c r="Z63" s="597">
        <f t="shared" si="55"/>
        <v>1.6320000000000001</v>
      </c>
      <c r="AA63" s="598"/>
      <c r="AB63" s="597">
        <v>14.28</v>
      </c>
      <c r="AC63" s="597">
        <v>15.4</v>
      </c>
      <c r="AD63" s="597">
        <f t="shared" si="56"/>
        <v>7.14</v>
      </c>
      <c r="AE63" s="597">
        <f t="shared" si="57"/>
        <v>11.423999999999999</v>
      </c>
      <c r="AF63" s="599">
        <f t="shared" si="58"/>
        <v>11.423999999999999</v>
      </c>
      <c r="AQ63" s="283">
        <v>59</v>
      </c>
      <c r="AR63" s="282">
        <v>120357.142857143</v>
      </c>
      <c r="AS63" s="282">
        <f t="shared" si="59"/>
        <v>0</v>
      </c>
      <c r="AT63" s="282">
        <f t="shared" si="60"/>
        <v>0</v>
      </c>
      <c r="AU63" s="282">
        <f t="shared" si="61"/>
        <v>0</v>
      </c>
      <c r="AV63" s="282">
        <f t="shared" si="62"/>
        <v>0</v>
      </c>
      <c r="AW63" s="282">
        <f t="shared" si="63"/>
        <v>0</v>
      </c>
    </row>
    <row r="64" spans="2:49" x14ac:dyDescent="0.3">
      <c r="T64" s="449"/>
      <c r="U64" s="449"/>
      <c r="V64" s="449"/>
      <c r="W64" s="449"/>
      <c r="X64" s="449"/>
      <c r="Y64" s="449"/>
      <c r="Z64" s="449"/>
      <c r="AA64" s="449"/>
      <c r="AB64" s="449"/>
      <c r="AC64" s="449"/>
      <c r="AD64" s="449"/>
      <c r="AE64" s="449"/>
      <c r="AF64" s="449"/>
    </row>
    <row r="65" spans="5:29" x14ac:dyDescent="0.3">
      <c r="E65" s="47"/>
      <c r="F65" s="47"/>
      <c r="G65" s="47"/>
      <c r="H65" s="47"/>
      <c r="I65" s="47"/>
      <c r="K65" s="47"/>
      <c r="L65" s="47"/>
      <c r="V65" s="47"/>
      <c r="W65" s="47"/>
      <c r="X65" s="47"/>
      <c r="Y65" s="47"/>
      <c r="Z65" s="47"/>
      <c r="AB65" s="47"/>
      <c r="AC65" s="47"/>
    </row>
    <row r="66" spans="5:29" x14ac:dyDescent="0.3">
      <c r="E66" s="47"/>
      <c r="F66" s="47"/>
      <c r="G66" s="47"/>
      <c r="H66" s="47"/>
      <c r="I66" s="47"/>
      <c r="K66" s="47"/>
      <c r="L66" s="47"/>
      <c r="V66" s="47"/>
      <c r="W66" s="47"/>
      <c r="X66" s="47"/>
      <c r="Y66" s="47"/>
      <c r="Z66" s="47"/>
      <c r="AB66" s="47"/>
      <c r="AC66" s="47"/>
    </row>
    <row r="67" spans="5:29" x14ac:dyDescent="0.3">
      <c r="E67" s="47"/>
      <c r="F67" s="47"/>
      <c r="G67" s="47"/>
      <c r="H67" s="47"/>
      <c r="I67" s="47"/>
      <c r="K67" s="47"/>
      <c r="L67" s="47"/>
      <c r="V67" s="47"/>
      <c r="W67" s="47"/>
      <c r="X67" s="47"/>
      <c r="Y67" s="47"/>
      <c r="Z67" s="47"/>
      <c r="AB67" s="47"/>
      <c r="AC67" s="47"/>
    </row>
    <row r="68" spans="5:29" x14ac:dyDescent="0.3">
      <c r="E68" s="47"/>
      <c r="F68" s="47"/>
      <c r="G68" s="47"/>
      <c r="H68" s="47"/>
      <c r="I68" s="47"/>
      <c r="K68" s="47"/>
      <c r="L68" s="47"/>
      <c r="V68" s="47"/>
      <c r="W68" s="47"/>
      <c r="X68" s="47"/>
      <c r="Y68" s="47"/>
      <c r="Z68" s="47"/>
      <c r="AB68" s="47"/>
      <c r="AC68" s="47"/>
    </row>
    <row r="69" spans="5:29" x14ac:dyDescent="0.3">
      <c r="E69" s="47"/>
      <c r="F69" s="47"/>
      <c r="G69" s="47"/>
      <c r="H69" s="47"/>
      <c r="I69" s="47"/>
      <c r="K69" s="47"/>
      <c r="L69" s="47"/>
      <c r="V69" s="47"/>
      <c r="W69" s="47"/>
      <c r="X69" s="47"/>
      <c r="Y69" s="47"/>
      <c r="Z69" s="47"/>
      <c r="AB69" s="47"/>
      <c r="AC69" s="47"/>
    </row>
    <row r="70" spans="5:29" x14ac:dyDescent="0.3">
      <c r="E70" s="47"/>
      <c r="F70" s="47"/>
      <c r="G70" s="47"/>
      <c r="H70" s="47"/>
      <c r="I70" s="47"/>
      <c r="K70" s="47"/>
      <c r="L70" s="47"/>
      <c r="V70" s="47"/>
      <c r="W70" s="47"/>
      <c r="X70" s="47"/>
      <c r="Y70" s="47"/>
      <c r="Z70" s="47"/>
      <c r="AB70" s="47"/>
      <c r="AC70" s="47"/>
    </row>
    <row r="71" spans="5:29" x14ac:dyDescent="0.3">
      <c r="E71" s="47"/>
      <c r="F71" s="47"/>
      <c r="G71" s="47"/>
      <c r="H71" s="47"/>
      <c r="I71" s="47"/>
      <c r="K71" s="47"/>
      <c r="L71" s="47"/>
      <c r="V71" s="47"/>
      <c r="W71" s="47"/>
      <c r="X71" s="47"/>
      <c r="Y71" s="47"/>
      <c r="Z71" s="47"/>
      <c r="AB71" s="47"/>
      <c r="AC71" s="47"/>
    </row>
    <row r="72" spans="5:29" x14ac:dyDescent="0.3">
      <c r="E72" s="47"/>
      <c r="F72" s="47"/>
      <c r="G72" s="47"/>
      <c r="H72" s="47"/>
      <c r="I72" s="47"/>
      <c r="K72" s="47"/>
      <c r="L72" s="47"/>
      <c r="V72" s="47"/>
      <c r="W72" s="47"/>
      <c r="X72" s="47"/>
      <c r="Y72" s="47"/>
      <c r="Z72" s="47"/>
      <c r="AB72" s="47"/>
      <c r="AC72" s="47"/>
    </row>
    <row r="73" spans="5:29" x14ac:dyDescent="0.3">
      <c r="E73" s="47"/>
      <c r="F73" s="47"/>
      <c r="G73" s="47"/>
      <c r="H73" s="47"/>
      <c r="I73" s="47"/>
      <c r="K73" s="47"/>
      <c r="L73" s="47"/>
      <c r="V73" s="47"/>
      <c r="W73" s="47"/>
      <c r="X73" s="47"/>
      <c r="Y73" s="47"/>
      <c r="Z73" s="47"/>
      <c r="AB73" s="47"/>
      <c r="AC73" s="47"/>
    </row>
    <row r="74" spans="5:29" x14ac:dyDescent="0.3">
      <c r="E74" s="47"/>
      <c r="F74" s="47"/>
      <c r="G74" s="47"/>
      <c r="H74" s="47"/>
      <c r="I74" s="47"/>
      <c r="K74" s="47"/>
      <c r="L74" s="47"/>
      <c r="V74" s="47"/>
      <c r="W74" s="47"/>
      <c r="X74" s="47"/>
      <c r="Y74" s="47"/>
      <c r="Z74" s="47"/>
      <c r="AB74" s="47"/>
      <c r="AC74" s="47"/>
    </row>
    <row r="75" spans="5:29" x14ac:dyDescent="0.3">
      <c r="E75" s="47"/>
      <c r="F75" s="47"/>
      <c r="G75" s="47"/>
      <c r="H75" s="47"/>
      <c r="I75" s="47"/>
      <c r="K75" s="47"/>
      <c r="L75" s="47"/>
      <c r="V75" s="47"/>
      <c r="W75" s="47"/>
      <c r="X75" s="47"/>
      <c r="Y75" s="47"/>
      <c r="Z75" s="47"/>
      <c r="AB75" s="47"/>
      <c r="AC75" s="47"/>
    </row>
    <row r="76" spans="5:29" x14ac:dyDescent="0.3">
      <c r="E76" s="47"/>
      <c r="F76" s="47"/>
      <c r="G76" s="47"/>
      <c r="H76" s="47"/>
      <c r="I76" s="47"/>
      <c r="K76" s="47"/>
      <c r="L76" s="47"/>
      <c r="V76" s="47"/>
      <c r="W76" s="47"/>
      <c r="X76" s="47"/>
      <c r="Y76" s="47"/>
      <c r="Z76" s="47"/>
      <c r="AB76" s="47"/>
      <c r="AC76" s="47"/>
    </row>
    <row r="77" spans="5:29" x14ac:dyDescent="0.3">
      <c r="E77" s="47"/>
      <c r="F77" s="47"/>
      <c r="G77" s="47"/>
      <c r="H77" s="47"/>
      <c r="I77" s="47"/>
      <c r="K77" s="47"/>
      <c r="L77" s="47"/>
      <c r="V77" s="47"/>
      <c r="W77" s="47"/>
      <c r="X77" s="47"/>
      <c r="Y77" s="47"/>
      <c r="Z77" s="47"/>
      <c r="AB77" s="47"/>
      <c r="AC77" s="47"/>
    </row>
    <row r="78" spans="5:29" x14ac:dyDescent="0.3">
      <c r="E78" s="47"/>
      <c r="F78" s="47"/>
      <c r="G78" s="47"/>
      <c r="H78" s="47"/>
      <c r="I78" s="47"/>
      <c r="K78" s="47"/>
      <c r="L78" s="47"/>
      <c r="V78" s="47"/>
      <c r="W78" s="47"/>
      <c r="X78" s="47"/>
      <c r="Y78" s="47"/>
      <c r="Z78" s="47"/>
      <c r="AB78" s="47"/>
      <c r="AC78" s="47"/>
    </row>
    <row r="79" spans="5:29" x14ac:dyDescent="0.3">
      <c r="E79" s="47"/>
      <c r="F79" s="47"/>
      <c r="G79" s="47"/>
      <c r="H79" s="47"/>
      <c r="I79" s="47"/>
      <c r="K79" s="47"/>
      <c r="L79" s="47"/>
      <c r="V79" s="47"/>
      <c r="W79" s="47"/>
      <c r="X79" s="47"/>
      <c r="Y79" s="47"/>
      <c r="Z79" s="47"/>
      <c r="AB79" s="47"/>
      <c r="AC79" s="47"/>
    </row>
    <row r="80" spans="5:29" x14ac:dyDescent="0.3">
      <c r="E80" s="47"/>
      <c r="F80" s="47"/>
      <c r="G80" s="47"/>
      <c r="H80" s="47"/>
      <c r="I80" s="47"/>
      <c r="K80" s="47"/>
      <c r="L80" s="47"/>
      <c r="V80" s="47"/>
      <c r="W80" s="47"/>
      <c r="X80" s="47"/>
      <c r="Y80" s="47"/>
      <c r="Z80" s="47"/>
      <c r="AB80" s="47"/>
      <c r="AC80" s="47"/>
    </row>
    <row r="81" spans="5:29" x14ac:dyDescent="0.3">
      <c r="E81" s="47"/>
      <c r="F81" s="47"/>
      <c r="G81" s="47"/>
      <c r="H81" s="47"/>
      <c r="I81" s="47"/>
      <c r="K81" s="47"/>
      <c r="L81" s="47"/>
      <c r="V81" s="47"/>
      <c r="W81" s="47"/>
      <c r="X81" s="47"/>
      <c r="Y81" s="47"/>
      <c r="Z81" s="47"/>
      <c r="AB81" s="47"/>
      <c r="AC81" s="47"/>
    </row>
    <row r="82" spans="5:29" x14ac:dyDescent="0.3">
      <c r="E82" s="47"/>
      <c r="F82" s="47"/>
      <c r="G82" s="47"/>
      <c r="H82" s="47"/>
      <c r="I82" s="47"/>
      <c r="K82" s="47"/>
      <c r="L82" s="47"/>
      <c r="V82" s="47"/>
      <c r="W82" s="47"/>
      <c r="X82" s="47"/>
      <c r="Y82" s="47"/>
      <c r="Z82" s="47"/>
      <c r="AB82" s="47"/>
      <c r="AC82" s="47"/>
    </row>
    <row r="83" spans="5:29" x14ac:dyDescent="0.3">
      <c r="E83" s="47"/>
      <c r="F83" s="47"/>
      <c r="G83" s="47"/>
      <c r="H83" s="47"/>
      <c r="I83" s="47"/>
      <c r="K83" s="47"/>
      <c r="L83" s="47"/>
      <c r="V83" s="47"/>
      <c r="W83" s="47"/>
      <c r="X83" s="47"/>
      <c r="Y83" s="47"/>
      <c r="Z83" s="47"/>
      <c r="AB83" s="47"/>
      <c r="AC83" s="47"/>
    </row>
    <row r="84" spans="5:29" x14ac:dyDescent="0.3">
      <c r="E84" s="47"/>
      <c r="F84" s="47"/>
      <c r="G84" s="47"/>
      <c r="H84" s="47"/>
      <c r="I84" s="47"/>
      <c r="K84" s="47"/>
      <c r="L84" s="47"/>
      <c r="V84" s="47"/>
      <c r="W84" s="47"/>
      <c r="X84" s="47"/>
      <c r="Y84" s="47"/>
      <c r="Z84" s="47"/>
      <c r="AB84" s="47"/>
      <c r="AC84" s="47"/>
    </row>
    <row r="85" spans="5:29" x14ac:dyDescent="0.3">
      <c r="E85" s="47"/>
      <c r="F85" s="47"/>
      <c r="G85" s="47"/>
      <c r="H85" s="47"/>
      <c r="I85" s="47"/>
      <c r="K85" s="47"/>
      <c r="L85" s="47"/>
      <c r="V85" s="47"/>
      <c r="W85" s="47"/>
      <c r="X85" s="47"/>
      <c r="Y85" s="47"/>
      <c r="Z85" s="47"/>
      <c r="AB85" s="47"/>
      <c r="AC85" s="47"/>
    </row>
    <row r="86" spans="5:29" x14ac:dyDescent="0.3">
      <c r="E86" s="47"/>
      <c r="F86" s="47"/>
      <c r="G86" s="47"/>
      <c r="H86" s="47"/>
      <c r="I86" s="47"/>
      <c r="K86" s="47"/>
      <c r="L86" s="47"/>
      <c r="V86" s="47"/>
      <c r="W86" s="47"/>
      <c r="X86" s="47"/>
      <c r="Y86" s="47"/>
      <c r="Z86" s="47"/>
      <c r="AB86" s="47"/>
      <c r="AC86" s="47"/>
    </row>
    <row r="87" spans="5:29" x14ac:dyDescent="0.3">
      <c r="E87" s="47"/>
      <c r="F87" s="47"/>
      <c r="G87" s="47"/>
      <c r="H87" s="47"/>
      <c r="I87" s="47"/>
      <c r="K87" s="47"/>
      <c r="L87" s="47"/>
      <c r="V87" s="47"/>
      <c r="W87" s="47"/>
      <c r="X87" s="47"/>
      <c r="Y87" s="47"/>
      <c r="Z87" s="47"/>
      <c r="AB87" s="47"/>
      <c r="AC87" s="47"/>
    </row>
    <row r="88" spans="5:29" x14ac:dyDescent="0.3">
      <c r="E88" s="47"/>
      <c r="F88" s="47"/>
      <c r="G88" s="47"/>
      <c r="H88" s="47"/>
      <c r="I88" s="47"/>
      <c r="K88" s="47"/>
      <c r="L88" s="47"/>
      <c r="V88" s="47"/>
      <c r="W88" s="47"/>
      <c r="X88" s="47"/>
      <c r="Y88" s="47"/>
      <c r="Z88" s="47"/>
      <c r="AB88" s="47"/>
      <c r="AC88" s="47"/>
    </row>
    <row r="89" spans="5:29" x14ac:dyDescent="0.3">
      <c r="E89" s="47"/>
      <c r="F89" s="47"/>
      <c r="G89" s="47"/>
      <c r="H89" s="47"/>
      <c r="I89" s="47"/>
      <c r="K89" s="47"/>
      <c r="L89" s="47"/>
      <c r="V89" s="47"/>
      <c r="W89" s="47"/>
      <c r="X89" s="47"/>
      <c r="Y89" s="47"/>
      <c r="Z89" s="47"/>
      <c r="AB89" s="47"/>
      <c r="AC89" s="47"/>
    </row>
    <row r="90" spans="5:29" x14ac:dyDescent="0.3">
      <c r="E90" s="47"/>
      <c r="F90" s="47"/>
      <c r="G90" s="47"/>
      <c r="H90" s="47"/>
      <c r="I90" s="47"/>
      <c r="K90" s="47"/>
      <c r="L90" s="47"/>
      <c r="V90" s="47"/>
      <c r="W90" s="47"/>
      <c r="X90" s="47"/>
      <c r="Y90" s="47"/>
      <c r="Z90" s="47"/>
      <c r="AB90" s="47"/>
      <c r="AC90" s="47"/>
    </row>
    <row r="91" spans="5:29" x14ac:dyDescent="0.3">
      <c r="E91" s="47"/>
      <c r="F91" s="47"/>
      <c r="G91" s="47"/>
      <c r="H91" s="47"/>
      <c r="I91" s="47"/>
      <c r="K91" s="47"/>
      <c r="L91" s="47"/>
      <c r="V91" s="47"/>
      <c r="W91" s="47"/>
      <c r="X91" s="47"/>
      <c r="Y91" s="47"/>
      <c r="Z91" s="47"/>
      <c r="AB91" s="47"/>
      <c r="AC91" s="47"/>
    </row>
    <row r="92" spans="5:29" x14ac:dyDescent="0.3">
      <c r="E92" s="47"/>
      <c r="F92" s="47"/>
      <c r="G92" s="47"/>
      <c r="H92" s="47"/>
      <c r="I92" s="47"/>
      <c r="K92" s="47"/>
      <c r="L92" s="47"/>
      <c r="V92" s="47"/>
      <c r="W92" s="47"/>
      <c r="X92" s="47"/>
      <c r="Y92" s="47"/>
      <c r="Z92" s="47"/>
      <c r="AB92" s="47"/>
      <c r="AC92" s="47"/>
    </row>
    <row r="93" spans="5:29" x14ac:dyDescent="0.3">
      <c r="E93" s="47"/>
      <c r="F93" s="47"/>
      <c r="G93" s="47"/>
      <c r="H93" s="47"/>
      <c r="I93" s="47"/>
      <c r="K93" s="47"/>
      <c r="L93" s="47"/>
      <c r="V93" s="47"/>
      <c r="W93" s="47"/>
      <c r="X93" s="47"/>
      <c r="Y93" s="47"/>
      <c r="Z93" s="47"/>
      <c r="AB93" s="47"/>
      <c r="AC93" s="47"/>
    </row>
    <row r="94" spans="5:29" x14ac:dyDescent="0.3">
      <c r="E94" s="47"/>
      <c r="F94" s="47"/>
      <c r="G94" s="47"/>
      <c r="H94" s="47"/>
      <c r="I94" s="47"/>
      <c r="K94" s="47"/>
      <c r="L94" s="47"/>
      <c r="V94" s="47"/>
      <c r="W94" s="47"/>
      <c r="X94" s="47"/>
      <c r="Y94" s="47"/>
      <c r="Z94" s="47"/>
      <c r="AB94" s="47"/>
      <c r="AC94" s="47"/>
    </row>
    <row r="95" spans="5:29" x14ac:dyDescent="0.3">
      <c r="E95" s="47"/>
      <c r="F95" s="47"/>
      <c r="G95" s="47"/>
      <c r="H95" s="47"/>
      <c r="I95" s="47"/>
      <c r="K95" s="47"/>
      <c r="L95" s="47"/>
      <c r="V95" s="47"/>
      <c r="W95" s="47"/>
      <c r="X95" s="47"/>
      <c r="Y95" s="47"/>
      <c r="Z95" s="47"/>
      <c r="AB95" s="47"/>
      <c r="AC95" s="47"/>
    </row>
    <row r="96" spans="5:29" x14ac:dyDescent="0.3">
      <c r="E96" s="47"/>
      <c r="F96" s="47"/>
      <c r="G96" s="47"/>
      <c r="H96" s="47"/>
      <c r="I96" s="47"/>
      <c r="K96" s="47"/>
      <c r="L96" s="47"/>
      <c r="V96" s="47"/>
      <c r="W96" s="47"/>
      <c r="X96" s="47"/>
      <c r="Y96" s="47"/>
      <c r="Z96" s="47"/>
      <c r="AB96" s="47"/>
      <c r="AC96" s="47"/>
    </row>
    <row r="97" spans="5:29" x14ac:dyDescent="0.3">
      <c r="E97" s="47"/>
      <c r="F97" s="47"/>
      <c r="G97" s="47"/>
      <c r="H97" s="47"/>
      <c r="I97" s="47"/>
      <c r="K97" s="47"/>
      <c r="L97" s="47"/>
      <c r="V97" s="47"/>
      <c r="W97" s="47"/>
      <c r="X97" s="47"/>
      <c r="Y97" s="47"/>
      <c r="Z97" s="47"/>
      <c r="AB97" s="47"/>
      <c r="AC97" s="47"/>
    </row>
    <row r="98" spans="5:29" x14ac:dyDescent="0.3">
      <c r="E98" s="47"/>
      <c r="F98" s="47"/>
      <c r="G98" s="47"/>
      <c r="H98" s="47"/>
      <c r="I98" s="47"/>
      <c r="K98" s="47"/>
      <c r="L98" s="47"/>
      <c r="V98" s="47"/>
      <c r="W98" s="47"/>
      <c r="X98" s="47"/>
      <c r="Y98" s="47"/>
      <c r="Z98" s="47"/>
      <c r="AB98" s="47"/>
      <c r="AC98" s="47"/>
    </row>
    <row r="99" spans="5:29" x14ac:dyDescent="0.3">
      <c r="E99" s="47"/>
      <c r="F99" s="47"/>
      <c r="G99" s="47"/>
      <c r="H99" s="47"/>
      <c r="I99" s="47"/>
      <c r="K99" s="47"/>
      <c r="L99" s="47"/>
      <c r="V99" s="47"/>
      <c r="W99" s="47"/>
      <c r="X99" s="47"/>
      <c r="Y99" s="47"/>
      <c r="Z99" s="47"/>
      <c r="AB99" s="47"/>
      <c r="AC99" s="47"/>
    </row>
    <row r="100" spans="5:29" x14ac:dyDescent="0.3">
      <c r="E100" s="47"/>
      <c r="F100" s="47"/>
      <c r="G100" s="47"/>
      <c r="H100" s="47"/>
      <c r="I100" s="47"/>
      <c r="K100" s="47"/>
      <c r="L100" s="47"/>
      <c r="V100" s="47"/>
      <c r="W100" s="47"/>
      <c r="X100" s="47"/>
      <c r="Y100" s="47"/>
      <c r="Z100" s="47"/>
      <c r="AB100" s="47"/>
      <c r="AC100" s="47"/>
    </row>
    <row r="101" spans="5:29" x14ac:dyDescent="0.3">
      <c r="E101" s="47"/>
      <c r="F101" s="47"/>
      <c r="G101" s="47"/>
      <c r="H101" s="47"/>
      <c r="I101" s="47"/>
      <c r="K101" s="47"/>
      <c r="L101" s="47"/>
      <c r="V101" s="47"/>
      <c r="W101" s="47"/>
      <c r="X101" s="47"/>
      <c r="Y101" s="47"/>
      <c r="Z101" s="47"/>
      <c r="AB101" s="47"/>
      <c r="AC101" s="47"/>
    </row>
    <row r="102" spans="5:29" x14ac:dyDescent="0.3">
      <c r="E102" s="47"/>
      <c r="F102" s="47"/>
      <c r="G102" s="47"/>
      <c r="H102" s="47"/>
      <c r="I102" s="47"/>
      <c r="K102" s="47"/>
      <c r="L102" s="47"/>
      <c r="V102" s="47"/>
      <c r="W102" s="47"/>
      <c r="X102" s="47"/>
      <c r="Y102" s="47"/>
      <c r="Z102" s="47"/>
      <c r="AB102" s="47"/>
      <c r="AC102" s="47"/>
    </row>
    <row r="103" spans="5:29" x14ac:dyDescent="0.3">
      <c r="E103" s="47"/>
      <c r="F103" s="47"/>
      <c r="G103" s="47"/>
      <c r="H103" s="47"/>
      <c r="I103" s="47"/>
      <c r="K103" s="47"/>
      <c r="L103" s="47"/>
      <c r="V103" s="47"/>
      <c r="W103" s="47"/>
      <c r="X103" s="47"/>
      <c r="Y103" s="47"/>
      <c r="Z103" s="47"/>
      <c r="AB103" s="47"/>
      <c r="AC103" s="47"/>
    </row>
    <row r="104" spans="5:29" x14ac:dyDescent="0.3">
      <c r="E104" s="47"/>
      <c r="F104" s="47"/>
      <c r="G104" s="47"/>
      <c r="H104" s="47"/>
      <c r="I104" s="47"/>
      <c r="K104" s="47"/>
      <c r="L104" s="47"/>
      <c r="V104" s="47"/>
      <c r="W104" s="47"/>
      <c r="X104" s="47"/>
      <c r="Y104" s="47"/>
      <c r="Z104" s="47"/>
      <c r="AB104" s="47"/>
      <c r="AC104" s="47"/>
    </row>
    <row r="105" spans="5:29" x14ac:dyDescent="0.3">
      <c r="E105" s="47"/>
      <c r="F105" s="47"/>
      <c r="G105" s="47"/>
      <c r="H105" s="47"/>
      <c r="I105" s="47"/>
      <c r="K105" s="47"/>
      <c r="L105" s="47"/>
      <c r="V105" s="47"/>
      <c r="W105" s="47"/>
      <c r="X105" s="47"/>
      <c r="Y105" s="47"/>
      <c r="Z105" s="47"/>
      <c r="AB105" s="47"/>
      <c r="AC105" s="47"/>
    </row>
    <row r="106" spans="5:29" x14ac:dyDescent="0.3">
      <c r="E106" s="47"/>
      <c r="F106" s="47"/>
      <c r="G106" s="47"/>
      <c r="H106" s="47"/>
      <c r="I106" s="47"/>
      <c r="K106" s="47"/>
      <c r="L106" s="47"/>
      <c r="V106" s="47"/>
      <c r="W106" s="47"/>
      <c r="X106" s="47"/>
      <c r="Y106" s="47"/>
      <c r="Z106" s="47"/>
      <c r="AB106" s="47"/>
      <c r="AC106" s="47"/>
    </row>
    <row r="107" spans="5:29" x14ac:dyDescent="0.3">
      <c r="E107" s="47"/>
      <c r="F107" s="47"/>
      <c r="G107" s="47"/>
      <c r="H107" s="47"/>
      <c r="I107" s="47"/>
      <c r="K107" s="47"/>
      <c r="L107" s="47"/>
      <c r="V107" s="47"/>
      <c r="W107" s="47"/>
      <c r="X107" s="47"/>
      <c r="Y107" s="47"/>
      <c r="Z107" s="47"/>
      <c r="AB107" s="47"/>
      <c r="AC107" s="47"/>
    </row>
    <row r="108" spans="5:29" x14ac:dyDescent="0.3">
      <c r="E108" s="47"/>
      <c r="F108" s="47"/>
      <c r="G108" s="47"/>
      <c r="H108" s="47"/>
      <c r="I108" s="47"/>
      <c r="K108" s="47"/>
      <c r="L108" s="47"/>
      <c r="V108" s="47"/>
      <c r="W108" s="47"/>
      <c r="X108" s="47"/>
      <c r="Y108" s="47"/>
      <c r="Z108" s="47"/>
      <c r="AB108" s="47"/>
      <c r="AC108" s="47"/>
    </row>
    <row r="109" spans="5:29" x14ac:dyDescent="0.3">
      <c r="E109" s="47"/>
      <c r="F109" s="47"/>
      <c r="G109" s="47"/>
      <c r="H109" s="47"/>
      <c r="I109" s="47"/>
      <c r="K109" s="47"/>
      <c r="L109" s="47"/>
      <c r="V109" s="47"/>
      <c r="W109" s="47"/>
      <c r="X109" s="47"/>
      <c r="Y109" s="47"/>
      <c r="Z109" s="47"/>
      <c r="AB109" s="47"/>
      <c r="AC109" s="47"/>
    </row>
    <row r="110" spans="5:29" x14ac:dyDescent="0.3">
      <c r="E110" s="47"/>
      <c r="F110" s="47"/>
      <c r="G110" s="47"/>
      <c r="H110" s="47"/>
      <c r="I110" s="47"/>
      <c r="K110" s="47"/>
      <c r="L110" s="47"/>
      <c r="V110" s="47"/>
      <c r="W110" s="47"/>
      <c r="X110" s="47"/>
      <c r="Y110" s="47"/>
      <c r="Z110" s="47"/>
      <c r="AB110" s="47"/>
      <c r="AC110" s="47"/>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5">
    <tabColor rgb="FFFF0000"/>
  </sheetPr>
  <dimension ref="A2:V62"/>
  <sheetViews>
    <sheetView topLeftCell="A35" workbookViewId="0">
      <selection activeCell="D34" sqref="D34:BB36"/>
    </sheetView>
  </sheetViews>
  <sheetFormatPr defaultRowHeight="15" x14ac:dyDescent="0.3"/>
  <sheetData>
    <row r="2" spans="2:22" ht="15.75" thickBot="1" x14ac:dyDescent="0.35">
      <c r="D2" t="s">
        <v>1148</v>
      </c>
      <c r="F2" t="s">
        <v>1149</v>
      </c>
      <c r="I2" t="s">
        <v>1158</v>
      </c>
      <c r="P2" t="s">
        <v>28</v>
      </c>
      <c r="R2" s="272" t="s">
        <v>1401</v>
      </c>
    </row>
    <row r="3" spans="2:22" ht="15.75" thickBot="1" x14ac:dyDescent="0.35">
      <c r="B3" s="286" t="s">
        <v>1032</v>
      </c>
      <c r="C3" s="286" t="s">
        <v>1026</v>
      </c>
      <c r="D3" s="286" t="s">
        <v>2</v>
      </c>
      <c r="E3" s="286" t="s">
        <v>15</v>
      </c>
      <c r="F3" s="286" t="s">
        <v>2</v>
      </c>
      <c r="G3" s="286" t="s">
        <v>15</v>
      </c>
      <c r="I3" s="286" t="str">
        <f t="array" ref="I3:M3">list_brandstoftype</f>
        <v>benzine</v>
      </c>
      <c r="J3" s="286" t="str">
        <v>diesel</v>
      </c>
      <c r="K3" s="286" t="str">
        <v>Elektrisch</v>
      </c>
      <c r="L3" s="286" t="str">
        <v>plug-in</v>
      </c>
      <c r="M3" s="286" t="str">
        <v>range-extender</v>
      </c>
      <c r="O3" s="307" t="s">
        <v>2</v>
      </c>
      <c r="P3">
        <v>2367.8191385694799</v>
      </c>
      <c r="R3" s="286" t="str">
        <f t="array" ref="R3:V3">list_brandstoftype</f>
        <v>benzine</v>
      </c>
      <c r="S3" s="286" t="str">
        <v>diesel</v>
      </c>
      <c r="T3" s="286" t="str">
        <v>Elektrisch</v>
      </c>
      <c r="U3" s="286" t="str">
        <v>plug-in</v>
      </c>
      <c r="V3" s="286" t="str">
        <v>range-extender</v>
      </c>
    </row>
    <row r="4" spans="2:22" ht="15.75" thickBot="1" x14ac:dyDescent="0.35">
      <c r="B4" s="283">
        <v>1</v>
      </c>
      <c r="C4" s="282">
        <v>0</v>
      </c>
      <c r="D4" s="298">
        <f>D5</f>
        <v>4.0999999999999996</v>
      </c>
      <c r="E4" s="298">
        <f>E5</f>
        <v>3.3</v>
      </c>
      <c r="F4" s="298">
        <f>F5</f>
        <v>6</v>
      </c>
      <c r="G4" s="298">
        <f>G5</f>
        <v>5.0999999999999996</v>
      </c>
      <c r="I4" s="315">
        <f t="shared" ref="I4:I49" si="0">ROUND(+F4/100*$P$3-40,0)</f>
        <v>102</v>
      </c>
      <c r="J4" s="315">
        <f t="shared" ref="J4:J49" si="1">ROUND(+G4/100*$P$4-40,0)</f>
        <v>95</v>
      </c>
      <c r="K4" s="315">
        <f>K5</f>
        <v>0</v>
      </c>
      <c r="L4" s="315">
        <f>L5</f>
        <v>102</v>
      </c>
      <c r="M4" s="315">
        <f>M5</f>
        <v>102</v>
      </c>
      <c r="O4" t="s">
        <v>15</v>
      </c>
      <c r="P4">
        <v>2654.7587866546978</v>
      </c>
      <c r="R4" s="315">
        <f>R5</f>
        <v>0</v>
      </c>
      <c r="S4" s="315">
        <f>S5</f>
        <v>0</v>
      </c>
      <c r="T4" s="315">
        <f>T5</f>
        <v>10.25</v>
      </c>
      <c r="U4" s="315">
        <f>U5</f>
        <v>10.25</v>
      </c>
      <c r="V4" s="315">
        <f>V5</f>
        <v>10.25</v>
      </c>
    </row>
    <row r="5" spans="2:22" ht="15.75" thickBot="1" x14ac:dyDescent="0.35">
      <c r="B5" s="283">
        <v>2</v>
      </c>
      <c r="C5" s="282">
        <v>8500</v>
      </c>
      <c r="D5" s="297">
        <v>4.0999999999999996</v>
      </c>
      <c r="E5" s="298">
        <f t="shared" ref="E5:E15" si="2">E6</f>
        <v>3.3</v>
      </c>
      <c r="F5" s="297">
        <v>6</v>
      </c>
      <c r="G5" s="298">
        <f t="shared" ref="G5:G15" si="3">G6</f>
        <v>5.0999999999999996</v>
      </c>
      <c r="I5" s="316">
        <f t="shared" si="0"/>
        <v>102</v>
      </c>
      <c r="J5" s="315">
        <f t="shared" si="1"/>
        <v>95</v>
      </c>
      <c r="K5" s="316">
        <v>0</v>
      </c>
      <c r="L5" s="316">
        <f>I5</f>
        <v>102</v>
      </c>
      <c r="M5" s="316">
        <f>I5</f>
        <v>102</v>
      </c>
      <c r="R5" s="316">
        <v>0</v>
      </c>
      <c r="S5" s="315">
        <f t="shared" ref="S5:S14" si="4">S6</f>
        <v>0</v>
      </c>
      <c r="T5" s="316">
        <f>2.5*D5</f>
        <v>10.25</v>
      </c>
      <c r="U5" s="316">
        <f t="shared" ref="U5:V24" si="5">T5</f>
        <v>10.25</v>
      </c>
      <c r="V5" s="316">
        <f t="shared" si="5"/>
        <v>10.25</v>
      </c>
    </row>
    <row r="6" spans="2:22" ht="15.75" thickBot="1" x14ac:dyDescent="0.35">
      <c r="B6" s="283">
        <v>3</v>
      </c>
      <c r="C6" s="282">
        <v>9000</v>
      </c>
      <c r="D6" s="297">
        <v>4.1108960354959443</v>
      </c>
      <c r="E6" s="298">
        <f t="shared" si="2"/>
        <v>3.3</v>
      </c>
      <c r="F6" s="297">
        <v>6.0106548430928814</v>
      </c>
      <c r="G6" s="298">
        <f t="shared" si="3"/>
        <v>5.0999999999999996</v>
      </c>
      <c r="I6" s="316">
        <f t="shared" si="0"/>
        <v>102</v>
      </c>
      <c r="J6" s="315">
        <f t="shared" si="1"/>
        <v>95</v>
      </c>
      <c r="K6" s="316">
        <v>0</v>
      </c>
      <c r="L6" s="316">
        <f t="shared" ref="L6:L49" si="6">I6</f>
        <v>102</v>
      </c>
      <c r="M6" s="316">
        <f t="shared" ref="M6:M49" si="7">I6</f>
        <v>102</v>
      </c>
      <c r="R6" s="316">
        <v>0</v>
      </c>
      <c r="S6" s="315">
        <f t="shared" si="4"/>
        <v>0</v>
      </c>
      <c r="T6" s="316">
        <f t="shared" ref="T6:T49" si="8">2.5*D6</f>
        <v>10.277240088739861</v>
      </c>
      <c r="U6" s="316">
        <f t="shared" si="5"/>
        <v>10.277240088739861</v>
      </c>
      <c r="V6" s="316">
        <f t="shared" si="5"/>
        <v>10.277240088739861</v>
      </c>
    </row>
    <row r="7" spans="2:22" ht="15.75" thickBot="1" x14ac:dyDescent="0.35">
      <c r="B7" s="283">
        <v>4</v>
      </c>
      <c r="C7" s="282">
        <v>9500</v>
      </c>
      <c r="D7" s="297">
        <v>4.1255042422394963</v>
      </c>
      <c r="E7" s="298">
        <f t="shared" si="2"/>
        <v>3.3</v>
      </c>
      <c r="F7" s="297">
        <v>6.0244809545859441</v>
      </c>
      <c r="G7" s="298">
        <f t="shared" si="3"/>
        <v>5.0999999999999996</v>
      </c>
      <c r="I7" s="316">
        <f t="shared" si="0"/>
        <v>103</v>
      </c>
      <c r="J7" s="315">
        <f t="shared" si="1"/>
        <v>95</v>
      </c>
      <c r="K7" s="316">
        <v>0</v>
      </c>
      <c r="L7" s="316">
        <f t="shared" si="6"/>
        <v>103</v>
      </c>
      <c r="M7" s="316">
        <f t="shared" si="7"/>
        <v>103</v>
      </c>
      <c r="R7" s="316">
        <v>0</v>
      </c>
      <c r="S7" s="315">
        <f t="shared" si="4"/>
        <v>0</v>
      </c>
      <c r="T7" s="316">
        <f t="shared" si="8"/>
        <v>10.313760605598741</v>
      </c>
      <c r="U7" s="316">
        <f t="shared" si="5"/>
        <v>10.313760605598741</v>
      </c>
      <c r="V7" s="316">
        <f t="shared" si="5"/>
        <v>10.313760605598741</v>
      </c>
    </row>
    <row r="8" spans="2:22" ht="15.75" thickBot="1" x14ac:dyDescent="0.35">
      <c r="B8" s="283">
        <v>5</v>
      </c>
      <c r="C8" s="282">
        <v>10000</v>
      </c>
      <c r="D8" s="297">
        <v>4.1464800419990189</v>
      </c>
      <c r="E8" s="298">
        <f t="shared" si="2"/>
        <v>3.3</v>
      </c>
      <c r="F8" s="297">
        <v>6.0433810825853369</v>
      </c>
      <c r="G8" s="298">
        <f t="shared" si="3"/>
        <v>5.0999999999999996</v>
      </c>
      <c r="I8" s="316">
        <f t="shared" si="0"/>
        <v>103</v>
      </c>
      <c r="J8" s="315">
        <f t="shared" si="1"/>
        <v>95</v>
      </c>
      <c r="K8" s="316">
        <v>0</v>
      </c>
      <c r="L8" s="316">
        <f t="shared" si="6"/>
        <v>103</v>
      </c>
      <c r="M8" s="316">
        <f t="shared" si="7"/>
        <v>103</v>
      </c>
      <c r="R8" s="316">
        <v>0</v>
      </c>
      <c r="S8" s="315">
        <f t="shared" si="4"/>
        <v>0</v>
      </c>
      <c r="T8" s="316">
        <f t="shared" si="8"/>
        <v>10.366200104997548</v>
      </c>
      <c r="U8" s="316">
        <f t="shared" si="5"/>
        <v>10.366200104997548</v>
      </c>
      <c r="V8" s="316">
        <f t="shared" si="5"/>
        <v>10.366200104997548</v>
      </c>
    </row>
    <row r="9" spans="2:22" ht="15.75" thickBot="1" x14ac:dyDescent="0.35">
      <c r="B9" s="283">
        <v>6</v>
      </c>
      <c r="C9" s="282">
        <v>10500</v>
      </c>
      <c r="D9" s="297">
        <v>4.1746668021473701</v>
      </c>
      <c r="E9" s="298">
        <f t="shared" si="2"/>
        <v>3.3</v>
      </c>
      <c r="F9" s="297">
        <v>6.0671968914035528</v>
      </c>
      <c r="G9" s="298">
        <f t="shared" si="3"/>
        <v>5.0999999999999996</v>
      </c>
      <c r="I9" s="316">
        <f t="shared" si="0"/>
        <v>104</v>
      </c>
      <c r="J9" s="315">
        <f t="shared" si="1"/>
        <v>95</v>
      </c>
      <c r="K9" s="316">
        <v>0</v>
      </c>
      <c r="L9" s="316">
        <f t="shared" si="6"/>
        <v>104</v>
      </c>
      <c r="M9" s="316">
        <f t="shared" si="7"/>
        <v>104</v>
      </c>
      <c r="R9" s="316">
        <v>0</v>
      </c>
      <c r="S9" s="315">
        <f t="shared" si="4"/>
        <v>0</v>
      </c>
      <c r="T9" s="316">
        <f t="shared" si="8"/>
        <v>10.436667005368426</v>
      </c>
      <c r="U9" s="316">
        <f t="shared" si="5"/>
        <v>10.436667005368426</v>
      </c>
      <c r="V9" s="316">
        <f t="shared" si="5"/>
        <v>10.436667005368426</v>
      </c>
    </row>
    <row r="10" spans="2:22" ht="15.75" thickBot="1" x14ac:dyDescent="0.35">
      <c r="B10" s="283">
        <v>7</v>
      </c>
      <c r="C10" s="282">
        <v>11000</v>
      </c>
      <c r="D10" s="297">
        <v>4.2089417263628519</v>
      </c>
      <c r="E10" s="298">
        <f t="shared" si="2"/>
        <v>3.3</v>
      </c>
      <c r="F10" s="297">
        <v>6.0938607979535071</v>
      </c>
      <c r="G10" s="298">
        <f t="shared" si="3"/>
        <v>5.0999999999999996</v>
      </c>
      <c r="I10" s="316">
        <f t="shared" si="0"/>
        <v>104</v>
      </c>
      <c r="J10" s="315">
        <f t="shared" si="1"/>
        <v>95</v>
      </c>
      <c r="K10" s="316">
        <v>0</v>
      </c>
      <c r="L10" s="316">
        <f t="shared" si="6"/>
        <v>104</v>
      </c>
      <c r="M10" s="316">
        <f t="shared" si="7"/>
        <v>104</v>
      </c>
      <c r="R10" s="316">
        <v>0</v>
      </c>
      <c r="S10" s="315">
        <f t="shared" si="4"/>
        <v>0</v>
      </c>
      <c r="T10" s="316">
        <f t="shared" si="8"/>
        <v>10.52235431590713</v>
      </c>
      <c r="U10" s="316">
        <f t="shared" si="5"/>
        <v>10.52235431590713</v>
      </c>
      <c r="V10" s="316">
        <f t="shared" si="5"/>
        <v>10.52235431590713</v>
      </c>
    </row>
    <row r="11" spans="2:22" ht="15.75" thickBot="1" x14ac:dyDescent="0.35">
      <c r="B11" s="283">
        <v>8</v>
      </c>
      <c r="C11" s="282">
        <v>11500</v>
      </c>
      <c r="D11" s="297">
        <v>4.246815356737625</v>
      </c>
      <c r="E11" s="298">
        <f t="shared" si="2"/>
        <v>3.3</v>
      </c>
      <c r="F11" s="297">
        <v>6.120531818650039</v>
      </c>
      <c r="G11" s="298">
        <f t="shared" si="3"/>
        <v>5.0999999999999996</v>
      </c>
      <c r="I11" s="316">
        <f t="shared" si="0"/>
        <v>105</v>
      </c>
      <c r="J11" s="315">
        <f t="shared" si="1"/>
        <v>95</v>
      </c>
      <c r="K11" s="316">
        <v>0</v>
      </c>
      <c r="L11" s="316">
        <f t="shared" si="6"/>
        <v>105</v>
      </c>
      <c r="M11" s="316">
        <f t="shared" si="7"/>
        <v>105</v>
      </c>
      <c r="R11" s="316">
        <v>0</v>
      </c>
      <c r="S11" s="315">
        <f t="shared" si="4"/>
        <v>0</v>
      </c>
      <c r="T11" s="316">
        <f t="shared" si="8"/>
        <v>10.617038391844062</v>
      </c>
      <c r="U11" s="316">
        <f t="shared" si="5"/>
        <v>10.617038391844062</v>
      </c>
      <c r="V11" s="316">
        <f t="shared" si="5"/>
        <v>10.617038391844062</v>
      </c>
    </row>
    <row r="12" spans="2:22" ht="15.75" thickBot="1" x14ac:dyDescent="0.35">
      <c r="B12" s="283">
        <v>9</v>
      </c>
      <c r="C12" s="282">
        <v>12000</v>
      </c>
      <c r="D12" s="297">
        <v>4.2856221104506433</v>
      </c>
      <c r="E12" s="298">
        <f t="shared" si="2"/>
        <v>3.3</v>
      </c>
      <c r="F12" s="297">
        <v>6.1452374579036038</v>
      </c>
      <c r="G12" s="298">
        <f t="shared" si="3"/>
        <v>5.0999999999999996</v>
      </c>
      <c r="I12" s="316">
        <f t="shared" si="0"/>
        <v>106</v>
      </c>
      <c r="J12" s="315">
        <f t="shared" si="1"/>
        <v>95</v>
      </c>
      <c r="K12" s="316">
        <v>0</v>
      </c>
      <c r="L12" s="316">
        <f t="shared" si="6"/>
        <v>106</v>
      </c>
      <c r="M12" s="316">
        <f t="shared" si="7"/>
        <v>106</v>
      </c>
      <c r="R12" s="316">
        <v>0</v>
      </c>
      <c r="S12" s="315">
        <f t="shared" si="4"/>
        <v>0</v>
      </c>
      <c r="T12" s="316">
        <f t="shared" si="8"/>
        <v>10.714055276126608</v>
      </c>
      <c r="U12" s="316">
        <f t="shared" si="5"/>
        <v>10.714055276126608</v>
      </c>
      <c r="V12" s="316">
        <f t="shared" si="5"/>
        <v>10.714055276126608</v>
      </c>
    </row>
    <row r="13" spans="2:22" ht="15.75" thickBot="1" x14ac:dyDescent="0.35">
      <c r="B13" s="283">
        <v>10</v>
      </c>
      <c r="C13" s="282">
        <v>12500</v>
      </c>
      <c r="D13" s="297">
        <v>4.3237904113532837</v>
      </c>
      <c r="E13" s="298">
        <f t="shared" si="2"/>
        <v>3.3</v>
      </c>
      <c r="F13" s="297">
        <v>6.1681303397153249</v>
      </c>
      <c r="G13" s="298">
        <f t="shared" si="3"/>
        <v>5.0999999999999996</v>
      </c>
      <c r="I13" s="316">
        <f t="shared" si="0"/>
        <v>106</v>
      </c>
      <c r="J13" s="315">
        <f t="shared" si="1"/>
        <v>95</v>
      </c>
      <c r="K13" s="316">
        <v>0</v>
      </c>
      <c r="L13" s="316">
        <f t="shared" si="6"/>
        <v>106</v>
      </c>
      <c r="M13" s="316">
        <f t="shared" si="7"/>
        <v>106</v>
      </c>
      <c r="R13" s="316">
        <v>0</v>
      </c>
      <c r="S13" s="315">
        <f t="shared" si="4"/>
        <v>0</v>
      </c>
      <c r="T13" s="316">
        <f t="shared" si="8"/>
        <v>10.809476028383209</v>
      </c>
      <c r="U13" s="316">
        <f t="shared" si="5"/>
        <v>10.809476028383209</v>
      </c>
      <c r="V13" s="316">
        <f t="shared" si="5"/>
        <v>10.809476028383209</v>
      </c>
    </row>
    <row r="14" spans="2:22" ht="15.75" thickBot="1" x14ac:dyDescent="0.35">
      <c r="B14" s="283">
        <v>11</v>
      </c>
      <c r="C14" s="282">
        <v>13000</v>
      </c>
      <c r="D14" s="297">
        <v>4.3615675117275492</v>
      </c>
      <c r="E14" s="298">
        <f t="shared" si="2"/>
        <v>3.3</v>
      </c>
      <c r="F14" s="297">
        <v>6.1916355611519984</v>
      </c>
      <c r="G14" s="298">
        <f t="shared" si="3"/>
        <v>5.0999999999999996</v>
      </c>
      <c r="I14" s="316">
        <f t="shared" si="0"/>
        <v>107</v>
      </c>
      <c r="J14" s="315">
        <f t="shared" si="1"/>
        <v>95</v>
      </c>
      <c r="K14" s="316">
        <v>0</v>
      </c>
      <c r="L14" s="316">
        <f t="shared" si="6"/>
        <v>107</v>
      </c>
      <c r="M14" s="316">
        <f t="shared" si="7"/>
        <v>107</v>
      </c>
      <c r="R14" s="316">
        <v>0</v>
      </c>
      <c r="S14" s="315">
        <f t="shared" si="4"/>
        <v>0</v>
      </c>
      <c r="T14" s="316">
        <f t="shared" si="8"/>
        <v>10.903918779318873</v>
      </c>
      <c r="U14" s="316">
        <f t="shared" si="5"/>
        <v>10.903918779318873</v>
      </c>
      <c r="V14" s="316">
        <f t="shared" si="5"/>
        <v>10.903918779318873</v>
      </c>
    </row>
    <row r="15" spans="2:22" ht="15.75" thickBot="1" x14ac:dyDescent="0.35">
      <c r="B15" s="283">
        <v>12</v>
      </c>
      <c r="C15" s="282">
        <v>13500</v>
      </c>
      <c r="D15" s="297">
        <v>4.400768852986503</v>
      </c>
      <c r="E15" s="298">
        <f t="shared" si="2"/>
        <v>3.3</v>
      </c>
      <c r="F15" s="297">
        <v>6.2193511869249685</v>
      </c>
      <c r="G15" s="298">
        <f t="shared" si="3"/>
        <v>5.0999999999999996</v>
      </c>
      <c r="I15" s="316">
        <f t="shared" si="0"/>
        <v>107</v>
      </c>
      <c r="J15" s="315">
        <f t="shared" si="1"/>
        <v>95</v>
      </c>
      <c r="K15" s="316">
        <v>0</v>
      </c>
      <c r="L15" s="316">
        <f t="shared" si="6"/>
        <v>107</v>
      </c>
      <c r="M15" s="316">
        <f t="shared" si="7"/>
        <v>107</v>
      </c>
      <c r="R15" s="316">
        <v>0</v>
      </c>
      <c r="S15" s="315">
        <f>S16</f>
        <v>0</v>
      </c>
      <c r="T15" s="316">
        <f t="shared" si="8"/>
        <v>11.001922132466257</v>
      </c>
      <c r="U15" s="316">
        <f t="shared" si="5"/>
        <v>11.001922132466257</v>
      </c>
      <c r="V15" s="316">
        <f t="shared" si="5"/>
        <v>11.001922132466257</v>
      </c>
    </row>
    <row r="16" spans="2:22" ht="15.75" thickBot="1" x14ac:dyDescent="0.35">
      <c r="B16" s="283">
        <v>13</v>
      </c>
      <c r="C16" s="282">
        <v>14000</v>
      </c>
      <c r="D16" s="297">
        <v>4.4436095446154882</v>
      </c>
      <c r="E16" s="297">
        <v>3.3</v>
      </c>
      <c r="F16" s="297">
        <v>6.2542652542880299</v>
      </c>
      <c r="G16" s="297">
        <v>5.0999999999999996</v>
      </c>
      <c r="I16" s="316">
        <f t="shared" si="0"/>
        <v>108</v>
      </c>
      <c r="J16" s="316">
        <f t="shared" si="1"/>
        <v>95</v>
      </c>
      <c r="K16" s="316">
        <v>0</v>
      </c>
      <c r="L16" s="316">
        <f t="shared" si="6"/>
        <v>108</v>
      </c>
      <c r="M16" s="316">
        <f t="shared" si="7"/>
        <v>108</v>
      </c>
      <c r="R16" s="316">
        <v>0</v>
      </c>
      <c r="S16" s="316">
        <v>0</v>
      </c>
      <c r="T16" s="316">
        <f t="shared" si="8"/>
        <v>11.10902386153872</v>
      </c>
      <c r="U16" s="316">
        <f t="shared" si="5"/>
        <v>11.10902386153872</v>
      </c>
      <c r="V16" s="316">
        <f t="shared" si="5"/>
        <v>11.10902386153872</v>
      </c>
    </row>
    <row r="17" spans="2:22" ht="15.75" thickBot="1" x14ac:dyDescent="0.35">
      <c r="B17" s="283">
        <v>14</v>
      </c>
      <c r="C17" s="282">
        <v>14500</v>
      </c>
      <c r="D17" s="297">
        <v>4.4912242374976712</v>
      </c>
      <c r="E17" s="297">
        <v>3.3255990787312233</v>
      </c>
      <c r="F17" s="297">
        <v>6.2972047873443806</v>
      </c>
      <c r="G17" s="297">
        <v>5.1259046803674604</v>
      </c>
      <c r="I17" s="316">
        <f t="shared" si="0"/>
        <v>109</v>
      </c>
      <c r="J17" s="316">
        <f t="shared" si="1"/>
        <v>96</v>
      </c>
      <c r="K17" s="316">
        <v>0</v>
      </c>
      <c r="L17" s="316">
        <f t="shared" si="6"/>
        <v>109</v>
      </c>
      <c r="M17" s="316">
        <f t="shared" si="7"/>
        <v>109</v>
      </c>
      <c r="R17" s="316">
        <v>0</v>
      </c>
      <c r="S17" s="316">
        <v>0</v>
      </c>
      <c r="T17" s="316">
        <f t="shared" si="8"/>
        <v>11.228060593744178</v>
      </c>
      <c r="U17" s="316">
        <f t="shared" si="5"/>
        <v>11.228060593744178</v>
      </c>
      <c r="V17" s="316">
        <f t="shared" si="5"/>
        <v>11.228060593744178</v>
      </c>
    </row>
    <row r="18" spans="2:22" ht="15.75" thickBot="1" x14ac:dyDescent="0.35">
      <c r="B18" s="283">
        <v>15</v>
      </c>
      <c r="C18" s="282">
        <v>15000</v>
      </c>
      <c r="D18" s="297">
        <v>4.5427763382953144</v>
      </c>
      <c r="E18" s="297">
        <v>3.3488052295551149</v>
      </c>
      <c r="F18" s="297">
        <v>6.3463693453145451</v>
      </c>
      <c r="G18" s="297">
        <v>5.1492066419557663</v>
      </c>
      <c r="I18" s="316">
        <f t="shared" si="0"/>
        <v>110</v>
      </c>
      <c r="J18" s="316">
        <f t="shared" si="1"/>
        <v>97</v>
      </c>
      <c r="K18" s="316">
        <v>0</v>
      </c>
      <c r="L18" s="316">
        <f t="shared" si="6"/>
        <v>110</v>
      </c>
      <c r="M18" s="316">
        <f t="shared" si="7"/>
        <v>110</v>
      </c>
      <c r="R18" s="316">
        <v>0</v>
      </c>
      <c r="S18" s="316">
        <v>0</v>
      </c>
      <c r="T18" s="316">
        <f t="shared" si="8"/>
        <v>11.356940845738286</v>
      </c>
      <c r="U18" s="316">
        <f t="shared" si="5"/>
        <v>11.356940845738286</v>
      </c>
      <c r="V18" s="316">
        <f t="shared" si="5"/>
        <v>11.356940845738286</v>
      </c>
    </row>
    <row r="19" spans="2:22" ht="15.75" thickBot="1" x14ac:dyDescent="0.35">
      <c r="B19" s="283">
        <v>16</v>
      </c>
      <c r="C19" s="282">
        <v>15500</v>
      </c>
      <c r="D19" s="297">
        <v>4.5957899371708244</v>
      </c>
      <c r="E19" s="297">
        <v>3.3678673643922843</v>
      </c>
      <c r="F19" s="297">
        <v>6.3982464659660891</v>
      </c>
      <c r="G19" s="297">
        <v>5.1682207695824207</v>
      </c>
      <c r="I19" s="316">
        <f t="shared" si="0"/>
        <v>111</v>
      </c>
      <c r="J19" s="316">
        <f t="shared" si="1"/>
        <v>97</v>
      </c>
      <c r="K19" s="316">
        <v>0</v>
      </c>
      <c r="L19" s="316">
        <f t="shared" si="6"/>
        <v>111</v>
      </c>
      <c r="M19" s="316">
        <f t="shared" si="7"/>
        <v>111</v>
      </c>
      <c r="R19" s="316">
        <v>0</v>
      </c>
      <c r="S19" s="316">
        <v>0</v>
      </c>
      <c r="T19" s="316">
        <f t="shared" si="8"/>
        <v>11.489474842927061</v>
      </c>
      <c r="U19" s="316">
        <f t="shared" si="5"/>
        <v>11.489474842927061</v>
      </c>
      <c r="V19" s="316">
        <f t="shared" si="5"/>
        <v>11.489474842927061</v>
      </c>
    </row>
    <row r="20" spans="2:22" ht="15.75" thickBot="1" x14ac:dyDescent="0.35">
      <c r="B20" s="283">
        <v>17</v>
      </c>
      <c r="C20" s="282">
        <v>16000</v>
      </c>
      <c r="D20" s="297">
        <v>4.6475418720046067</v>
      </c>
      <c r="E20" s="297">
        <v>3.3821571914850375</v>
      </c>
      <c r="F20" s="297">
        <v>6.4494054414289579</v>
      </c>
      <c r="G20" s="297">
        <v>5.1824081090463432</v>
      </c>
      <c r="I20" s="316">
        <f t="shared" si="0"/>
        <v>113</v>
      </c>
      <c r="J20" s="316">
        <f t="shared" si="1"/>
        <v>98</v>
      </c>
      <c r="K20" s="316">
        <v>0</v>
      </c>
      <c r="L20" s="316">
        <f t="shared" si="6"/>
        <v>113</v>
      </c>
      <c r="M20" s="316">
        <f t="shared" si="7"/>
        <v>113</v>
      </c>
      <c r="R20" s="316">
        <v>0</v>
      </c>
      <c r="S20" s="316">
        <v>0</v>
      </c>
      <c r="T20" s="316">
        <f t="shared" si="8"/>
        <v>11.618854680011516</v>
      </c>
      <c r="U20" s="316">
        <f t="shared" si="5"/>
        <v>11.618854680011516</v>
      </c>
      <c r="V20" s="316">
        <f t="shared" si="5"/>
        <v>11.618854680011516</v>
      </c>
    </row>
    <row r="21" spans="2:22" ht="15.75" thickBot="1" x14ac:dyDescent="0.35">
      <c r="B21" s="283">
        <v>18</v>
      </c>
      <c r="C21" s="282">
        <v>16500</v>
      </c>
      <c r="D21" s="297">
        <v>4.6966316110349036</v>
      </c>
      <c r="E21" s="297">
        <v>3.3923775169774255</v>
      </c>
      <c r="F21" s="297">
        <v>6.4981377521980521</v>
      </c>
      <c r="G21" s="297">
        <v>5.1925456679735174</v>
      </c>
      <c r="I21" s="316">
        <f t="shared" si="0"/>
        <v>114</v>
      </c>
      <c r="J21" s="316">
        <f t="shared" si="1"/>
        <v>98</v>
      </c>
      <c r="K21" s="316">
        <v>0</v>
      </c>
      <c r="L21" s="316">
        <f t="shared" si="6"/>
        <v>114</v>
      </c>
      <c r="M21" s="316">
        <f t="shared" si="7"/>
        <v>114</v>
      </c>
      <c r="R21" s="316">
        <v>0</v>
      </c>
      <c r="S21" s="316">
        <v>0</v>
      </c>
      <c r="T21" s="316">
        <f t="shared" si="8"/>
        <v>11.741579027587258</v>
      </c>
      <c r="U21" s="316">
        <f t="shared" si="5"/>
        <v>11.741579027587258</v>
      </c>
      <c r="V21" s="316">
        <f t="shared" si="5"/>
        <v>11.741579027587258</v>
      </c>
    </row>
    <row r="22" spans="2:22" ht="15.75" thickBot="1" x14ac:dyDescent="0.35">
      <c r="B22" s="283">
        <v>19</v>
      </c>
      <c r="C22" s="282">
        <v>17000</v>
      </c>
      <c r="D22" s="297">
        <v>4.7437416383003947</v>
      </c>
      <c r="E22" s="297">
        <v>3.4004691019322935</v>
      </c>
      <c r="F22" s="297">
        <v>6.5450583957978701</v>
      </c>
      <c r="G22" s="297">
        <v>5.2006229592178173</v>
      </c>
      <c r="I22" s="316">
        <f t="shared" si="0"/>
        <v>115</v>
      </c>
      <c r="J22" s="316">
        <f t="shared" si="1"/>
        <v>98</v>
      </c>
      <c r="K22" s="316">
        <v>0</v>
      </c>
      <c r="L22" s="316">
        <f t="shared" si="6"/>
        <v>115</v>
      </c>
      <c r="M22" s="316">
        <f t="shared" si="7"/>
        <v>115</v>
      </c>
      <c r="R22" s="316">
        <v>0</v>
      </c>
      <c r="S22" s="316">
        <v>0</v>
      </c>
      <c r="T22" s="316">
        <f t="shared" si="8"/>
        <v>11.859354095750987</v>
      </c>
      <c r="U22" s="316">
        <f t="shared" si="5"/>
        <v>11.859354095750987</v>
      </c>
      <c r="V22" s="316">
        <f t="shared" si="5"/>
        <v>11.859354095750987</v>
      </c>
    </row>
    <row r="23" spans="2:22" ht="15.75" thickBot="1" x14ac:dyDescent="0.35">
      <c r="B23" s="283">
        <v>20</v>
      </c>
      <c r="C23" s="282">
        <v>17500</v>
      </c>
      <c r="D23" s="297">
        <v>4.7912835103050009</v>
      </c>
      <c r="E23" s="297">
        <v>3.4092617995224308</v>
      </c>
      <c r="F23" s="297">
        <v>6.5925427443967077</v>
      </c>
      <c r="G23" s="297">
        <v>5.2095070614079342</v>
      </c>
      <c r="I23" s="316">
        <f t="shared" si="0"/>
        <v>116</v>
      </c>
      <c r="J23" s="316">
        <f t="shared" si="1"/>
        <v>98</v>
      </c>
      <c r="K23" s="316">
        <v>0</v>
      </c>
      <c r="L23" s="316">
        <f t="shared" si="6"/>
        <v>116</v>
      </c>
      <c r="M23" s="316">
        <f t="shared" si="7"/>
        <v>116</v>
      </c>
      <c r="R23" s="316">
        <v>0</v>
      </c>
      <c r="S23" s="316">
        <v>0</v>
      </c>
      <c r="T23" s="316">
        <f t="shared" si="8"/>
        <v>11.978208775762502</v>
      </c>
      <c r="U23" s="316">
        <f t="shared" si="5"/>
        <v>11.978208775762502</v>
      </c>
      <c r="V23" s="316">
        <f t="shared" si="5"/>
        <v>11.978208775762502</v>
      </c>
    </row>
    <row r="24" spans="2:22" ht="15.75" thickBot="1" x14ac:dyDescent="0.35">
      <c r="B24" s="283">
        <v>21</v>
      </c>
      <c r="C24" s="282">
        <v>18000</v>
      </c>
      <c r="D24" s="297">
        <v>4.8423461870649804</v>
      </c>
      <c r="E24" s="297">
        <v>3.4219410997646023</v>
      </c>
      <c r="F24" s="297">
        <v>6.643511652399412</v>
      </c>
      <c r="G24" s="297">
        <v>5.2224211289440836</v>
      </c>
      <c r="I24" s="316">
        <f t="shared" si="0"/>
        <v>117</v>
      </c>
      <c r="J24" s="316">
        <f t="shared" si="1"/>
        <v>99</v>
      </c>
      <c r="K24" s="316">
        <v>0</v>
      </c>
      <c r="L24" s="316">
        <f t="shared" si="6"/>
        <v>117</v>
      </c>
      <c r="M24" s="316">
        <f t="shared" si="7"/>
        <v>117</v>
      </c>
      <c r="R24" s="316">
        <v>0</v>
      </c>
      <c r="S24" s="316">
        <v>0</v>
      </c>
      <c r="T24" s="316">
        <f t="shared" si="8"/>
        <v>12.105865467662451</v>
      </c>
      <c r="U24" s="316">
        <f t="shared" si="5"/>
        <v>12.105865467662451</v>
      </c>
      <c r="V24" s="316">
        <f t="shared" si="5"/>
        <v>12.105865467662451</v>
      </c>
    </row>
    <row r="25" spans="2:22" ht="15.75" thickBot="1" x14ac:dyDescent="0.35">
      <c r="B25" s="283">
        <v>22</v>
      </c>
      <c r="C25" s="282">
        <v>18500</v>
      </c>
      <c r="D25" s="297">
        <v>4.8996646852613948</v>
      </c>
      <c r="E25" s="297">
        <v>3.4413978221477084</v>
      </c>
      <c r="F25" s="297">
        <v>6.7002741875513898</v>
      </c>
      <c r="G25" s="297">
        <v>5.2422803803287588</v>
      </c>
      <c r="I25" s="316">
        <f t="shared" si="0"/>
        <v>119</v>
      </c>
      <c r="J25" s="316">
        <f t="shared" si="1"/>
        <v>99</v>
      </c>
      <c r="K25" s="316">
        <v>0</v>
      </c>
      <c r="L25" s="316">
        <f t="shared" si="6"/>
        <v>119</v>
      </c>
      <c r="M25" s="316">
        <f t="shared" si="7"/>
        <v>119</v>
      </c>
      <c r="R25" s="316">
        <v>0</v>
      </c>
      <c r="S25" s="316">
        <v>0</v>
      </c>
      <c r="T25" s="316">
        <f t="shared" si="8"/>
        <v>12.249161713153487</v>
      </c>
      <c r="U25" s="316">
        <f t="shared" ref="U25:V44" si="9">T25</f>
        <v>12.249161713153487</v>
      </c>
      <c r="V25" s="316">
        <f t="shared" si="9"/>
        <v>12.249161713153487</v>
      </c>
    </row>
    <row r="26" spans="2:22" ht="15.75" thickBot="1" x14ac:dyDescent="0.35">
      <c r="B26" s="283">
        <v>23</v>
      </c>
      <c r="C26" s="282">
        <v>19000</v>
      </c>
      <c r="D26" s="297">
        <v>4.9649613033243591</v>
      </c>
      <c r="E26" s="297">
        <v>3.4695456315941002</v>
      </c>
      <c r="F26" s="297">
        <v>6.7637865665544084</v>
      </c>
      <c r="G26" s="297">
        <v>5.2709713872940682</v>
      </c>
      <c r="I26" s="316">
        <f t="shared" si="0"/>
        <v>120</v>
      </c>
      <c r="J26" s="316">
        <f t="shared" si="1"/>
        <v>100</v>
      </c>
      <c r="K26" s="316">
        <v>0</v>
      </c>
      <c r="L26" s="316">
        <f t="shared" si="6"/>
        <v>120</v>
      </c>
      <c r="M26" s="316">
        <f t="shared" si="7"/>
        <v>120</v>
      </c>
      <c r="R26" s="316">
        <v>0</v>
      </c>
      <c r="S26" s="316">
        <v>0</v>
      </c>
      <c r="T26" s="316">
        <f t="shared" si="8"/>
        <v>12.412403258310897</v>
      </c>
      <c r="U26" s="316">
        <f t="shared" si="9"/>
        <v>12.412403258310897</v>
      </c>
      <c r="V26" s="316">
        <f t="shared" si="9"/>
        <v>12.412403258310897</v>
      </c>
    </row>
    <row r="27" spans="2:22" ht="15.75" thickBot="1" x14ac:dyDescent="0.35">
      <c r="B27" s="283">
        <v>24</v>
      </c>
      <c r="C27" s="282">
        <v>19500</v>
      </c>
      <c r="D27" s="297">
        <v>5.0386560314315245</v>
      </c>
      <c r="E27" s="297">
        <v>3.5067774221409338</v>
      </c>
      <c r="F27" s="297">
        <v>6.8333938822369378</v>
      </c>
      <c r="G27" s="297">
        <v>5.3087736015230922</v>
      </c>
      <c r="I27" s="316">
        <f t="shared" si="0"/>
        <v>122</v>
      </c>
      <c r="J27" s="316">
        <f t="shared" si="1"/>
        <v>101</v>
      </c>
      <c r="K27" s="316">
        <v>0</v>
      </c>
      <c r="L27" s="316">
        <f t="shared" si="6"/>
        <v>122</v>
      </c>
      <c r="M27" s="316">
        <f t="shared" si="7"/>
        <v>122</v>
      </c>
      <c r="R27" s="316">
        <v>0</v>
      </c>
      <c r="S27" s="316">
        <v>0</v>
      </c>
      <c r="T27" s="316">
        <f t="shared" si="8"/>
        <v>12.596640078578812</v>
      </c>
      <c r="U27" s="316">
        <f t="shared" si="9"/>
        <v>12.596640078578812</v>
      </c>
      <c r="V27" s="316">
        <f t="shared" si="9"/>
        <v>12.596640078578812</v>
      </c>
    </row>
    <row r="28" spans="2:22" ht="15.75" thickBot="1" x14ac:dyDescent="0.35">
      <c r="B28" s="283">
        <v>25</v>
      </c>
      <c r="C28" s="282">
        <v>20000</v>
      </c>
      <c r="D28" s="297">
        <v>5.11976494098122</v>
      </c>
      <c r="E28" s="297">
        <v>3.5517942725533032</v>
      </c>
      <c r="F28" s="297">
        <v>6.9069591377349981</v>
      </c>
      <c r="G28" s="297">
        <v>5.354181347388109</v>
      </c>
      <c r="I28" s="316">
        <f t="shared" si="0"/>
        <v>124</v>
      </c>
      <c r="J28" s="316">
        <f t="shared" si="1"/>
        <v>102</v>
      </c>
      <c r="K28" s="316">
        <v>0</v>
      </c>
      <c r="L28" s="316">
        <f t="shared" si="6"/>
        <v>124</v>
      </c>
      <c r="M28" s="316">
        <f t="shared" si="7"/>
        <v>124</v>
      </c>
      <c r="R28" s="316">
        <v>0</v>
      </c>
      <c r="S28" s="316">
        <v>0</v>
      </c>
      <c r="T28" s="316">
        <f t="shared" si="8"/>
        <v>12.79941235245305</v>
      </c>
      <c r="U28" s="316">
        <f t="shared" si="9"/>
        <v>12.79941235245305</v>
      </c>
      <c r="V28" s="316">
        <f t="shared" si="9"/>
        <v>12.79941235245305</v>
      </c>
    </row>
    <row r="29" spans="2:22" ht="15.75" thickBot="1" x14ac:dyDescent="0.35">
      <c r="B29" s="283">
        <v>26</v>
      </c>
      <c r="C29" s="282">
        <v>21000</v>
      </c>
      <c r="D29" s="297">
        <v>5.2060001016105275</v>
      </c>
      <c r="E29" s="297">
        <v>3.6019983403613947</v>
      </c>
      <c r="F29" s="297">
        <v>6.9813529881996921</v>
      </c>
      <c r="G29" s="297">
        <v>5.4043019592271486</v>
      </c>
      <c r="I29" s="316">
        <f t="shared" si="0"/>
        <v>125</v>
      </c>
      <c r="J29" s="316">
        <f t="shared" si="1"/>
        <v>103</v>
      </c>
      <c r="K29" s="316">
        <v>0</v>
      </c>
      <c r="L29" s="316">
        <f t="shared" si="6"/>
        <v>125</v>
      </c>
      <c r="M29" s="316">
        <f t="shared" si="7"/>
        <v>125</v>
      </c>
      <c r="R29" s="316">
        <v>0</v>
      </c>
      <c r="S29" s="316">
        <v>0</v>
      </c>
      <c r="T29" s="316">
        <f t="shared" si="8"/>
        <v>13.015000254026319</v>
      </c>
      <c r="U29" s="316">
        <f t="shared" si="9"/>
        <v>13.015000254026319</v>
      </c>
      <c r="V29" s="316">
        <f t="shared" si="9"/>
        <v>13.015000254026319</v>
      </c>
    </row>
    <row r="30" spans="2:22" ht="15.75" thickBot="1" x14ac:dyDescent="0.35">
      <c r="B30" s="283">
        <v>27</v>
      </c>
      <c r="C30" s="282">
        <v>22000</v>
      </c>
      <c r="D30" s="297">
        <v>5.2941540076885296</v>
      </c>
      <c r="E30" s="297">
        <v>3.6544141306372673</v>
      </c>
      <c r="F30" s="297">
        <v>7.0532081623686524</v>
      </c>
      <c r="G30" s="297">
        <v>5.4557476623812224</v>
      </c>
      <c r="I30" s="316">
        <f t="shared" si="0"/>
        <v>127</v>
      </c>
      <c r="J30" s="316">
        <f t="shared" si="1"/>
        <v>105</v>
      </c>
      <c r="K30" s="316">
        <v>0</v>
      </c>
      <c r="L30" s="316">
        <f t="shared" si="6"/>
        <v>127</v>
      </c>
      <c r="M30" s="316">
        <f t="shared" si="7"/>
        <v>127</v>
      </c>
      <c r="R30" s="316">
        <v>0</v>
      </c>
      <c r="S30" s="316">
        <v>0</v>
      </c>
      <c r="T30" s="316">
        <f t="shared" si="8"/>
        <v>13.235385019221324</v>
      </c>
      <c r="U30" s="316">
        <f t="shared" si="9"/>
        <v>13.235385019221324</v>
      </c>
      <c r="V30" s="316">
        <f t="shared" si="9"/>
        <v>13.235385019221324</v>
      </c>
    </row>
    <row r="31" spans="2:22" ht="15.75" thickBot="1" x14ac:dyDescent="0.35">
      <c r="B31" s="283">
        <v>28</v>
      </c>
      <c r="C31" s="282">
        <v>23000</v>
      </c>
      <c r="D31" s="297">
        <v>5.3808498027062273</v>
      </c>
      <c r="E31" s="297">
        <v>3.7068248403867972</v>
      </c>
      <c r="F31" s="297">
        <v>7.1197878000234347</v>
      </c>
      <c r="G31" s="297">
        <v>5.5057127038802482</v>
      </c>
      <c r="I31" s="316">
        <f t="shared" si="0"/>
        <v>129</v>
      </c>
      <c r="J31" s="316">
        <f t="shared" si="1"/>
        <v>106</v>
      </c>
      <c r="K31" s="316">
        <v>0</v>
      </c>
      <c r="L31" s="316">
        <f t="shared" si="6"/>
        <v>129</v>
      </c>
      <c r="M31" s="316">
        <f t="shared" si="7"/>
        <v>129</v>
      </c>
      <c r="R31" s="316">
        <v>0</v>
      </c>
      <c r="S31" s="316">
        <v>0</v>
      </c>
      <c r="T31" s="316">
        <f t="shared" si="8"/>
        <v>13.452124506765568</v>
      </c>
      <c r="U31" s="316">
        <f t="shared" si="9"/>
        <v>13.452124506765568</v>
      </c>
      <c r="V31" s="316">
        <f t="shared" si="9"/>
        <v>13.452124506765568</v>
      </c>
    </row>
    <row r="32" spans="2:22" ht="15.75" thickBot="1" x14ac:dyDescent="0.35">
      <c r="B32" s="283">
        <v>29</v>
      </c>
      <c r="C32" s="282">
        <v>24000</v>
      </c>
      <c r="D32" s="297">
        <v>5.4635065792816135</v>
      </c>
      <c r="E32" s="297">
        <v>3.7586479025893751</v>
      </c>
      <c r="F32" s="297">
        <v>7.1797554902953378</v>
      </c>
      <c r="G32" s="297">
        <v>5.5528664139638879</v>
      </c>
      <c r="I32" s="316">
        <f t="shared" si="0"/>
        <v>130</v>
      </c>
      <c r="J32" s="316">
        <f t="shared" si="1"/>
        <v>107</v>
      </c>
      <c r="K32" s="316">
        <v>0</v>
      </c>
      <c r="L32" s="316">
        <f t="shared" si="6"/>
        <v>130</v>
      </c>
      <c r="M32" s="316">
        <f t="shared" si="7"/>
        <v>130</v>
      </c>
      <c r="R32" s="316">
        <v>0</v>
      </c>
      <c r="S32" s="316">
        <v>0</v>
      </c>
      <c r="T32" s="316">
        <f t="shared" si="8"/>
        <v>13.658766448204034</v>
      </c>
      <c r="U32" s="316">
        <f t="shared" si="9"/>
        <v>13.658766448204034</v>
      </c>
      <c r="V32" s="316">
        <f t="shared" si="9"/>
        <v>13.658766448204034</v>
      </c>
    </row>
    <row r="33" spans="2:22" ht="15.75" thickBot="1" x14ac:dyDescent="0.35">
      <c r="B33" s="283">
        <v>30</v>
      </c>
      <c r="C33" s="282">
        <v>25000</v>
      </c>
      <c r="D33" s="297">
        <v>5.5412301647784048</v>
      </c>
      <c r="E33" s="297">
        <v>3.8111788514623446</v>
      </c>
      <c r="F33" s="297">
        <v>7.2336727522675188</v>
      </c>
      <c r="G33" s="297">
        <v>5.5978204384918104</v>
      </c>
      <c r="I33" s="316">
        <f t="shared" si="0"/>
        <v>131</v>
      </c>
      <c r="J33" s="316">
        <f t="shared" si="1"/>
        <v>109</v>
      </c>
      <c r="K33" s="316">
        <v>0</v>
      </c>
      <c r="L33" s="316">
        <f t="shared" si="6"/>
        <v>131</v>
      </c>
      <c r="M33" s="316">
        <f t="shared" si="7"/>
        <v>131</v>
      </c>
      <c r="R33" s="316">
        <v>0</v>
      </c>
      <c r="S33" s="316">
        <v>0</v>
      </c>
      <c r="T33" s="316">
        <f t="shared" si="8"/>
        <v>13.853075411946012</v>
      </c>
      <c r="U33" s="316">
        <f t="shared" si="9"/>
        <v>13.853075411946012</v>
      </c>
      <c r="V33" s="316">
        <f t="shared" si="9"/>
        <v>13.853075411946012</v>
      </c>
    </row>
    <row r="34" spans="2:22" ht="15.75" thickBot="1" x14ac:dyDescent="0.35">
      <c r="B34" s="283">
        <v>31</v>
      </c>
      <c r="C34" s="282">
        <v>26000</v>
      </c>
      <c r="D34" s="297">
        <v>5.6152195634134365</v>
      </c>
      <c r="E34" s="297">
        <v>3.8671425426340833</v>
      </c>
      <c r="F34" s="297">
        <v>7.2840190456201181</v>
      </c>
      <c r="G34" s="297">
        <v>5.6430627041077104</v>
      </c>
      <c r="I34" s="316">
        <f t="shared" si="0"/>
        <v>132</v>
      </c>
      <c r="J34" s="316">
        <f t="shared" si="1"/>
        <v>110</v>
      </c>
      <c r="K34" s="316">
        <v>0</v>
      </c>
      <c r="L34" s="316">
        <f t="shared" si="6"/>
        <v>132</v>
      </c>
      <c r="M34" s="316">
        <f t="shared" si="7"/>
        <v>132</v>
      </c>
      <c r="R34" s="316">
        <v>0</v>
      </c>
      <c r="S34" s="316">
        <v>0</v>
      </c>
      <c r="T34" s="316">
        <f t="shared" si="8"/>
        <v>14.038048908533591</v>
      </c>
      <c r="U34" s="316">
        <f t="shared" si="9"/>
        <v>14.038048908533591</v>
      </c>
      <c r="V34" s="316">
        <f t="shared" si="9"/>
        <v>14.038048908533591</v>
      </c>
    </row>
    <row r="35" spans="2:22" ht="15.75" thickBot="1" x14ac:dyDescent="0.35">
      <c r="B35" s="283">
        <v>32</v>
      </c>
      <c r="C35" s="282">
        <v>27000</v>
      </c>
      <c r="D35" s="297">
        <v>5.6884316415180622</v>
      </c>
      <c r="E35" s="297">
        <v>3.9297922064725905</v>
      </c>
      <c r="F35" s="297">
        <v>7.3345539257921342</v>
      </c>
      <c r="G35" s="297">
        <v>5.6923372849455474</v>
      </c>
      <c r="I35" s="316">
        <f t="shared" si="0"/>
        <v>134</v>
      </c>
      <c r="J35" s="316">
        <f t="shared" si="1"/>
        <v>111</v>
      </c>
      <c r="K35" s="316">
        <v>0</v>
      </c>
      <c r="L35" s="316">
        <f t="shared" si="6"/>
        <v>134</v>
      </c>
      <c r="M35" s="316">
        <f t="shared" si="7"/>
        <v>134</v>
      </c>
      <c r="R35" s="316">
        <v>0</v>
      </c>
      <c r="S35" s="316">
        <v>0</v>
      </c>
      <c r="T35" s="316">
        <f t="shared" si="8"/>
        <v>14.221079103795155</v>
      </c>
      <c r="U35" s="316">
        <f t="shared" si="9"/>
        <v>14.221079103795155</v>
      </c>
      <c r="V35" s="316">
        <f t="shared" si="9"/>
        <v>14.221079103795155</v>
      </c>
    </row>
    <row r="36" spans="2:22" ht="15.75" thickBot="1" x14ac:dyDescent="0.35">
      <c r="B36" s="283">
        <v>33</v>
      </c>
      <c r="C36" s="282">
        <v>28000</v>
      </c>
      <c r="D36" s="297">
        <v>5.7645345391115859</v>
      </c>
      <c r="E36" s="297">
        <v>4.0019204389574758</v>
      </c>
      <c r="F36" s="297">
        <v>7.3890756061354192</v>
      </c>
      <c r="G36" s="297">
        <v>5.7495285241035692</v>
      </c>
      <c r="I36" s="316">
        <f t="shared" si="0"/>
        <v>135</v>
      </c>
      <c r="J36" s="316">
        <f t="shared" si="1"/>
        <v>113</v>
      </c>
      <c r="K36" s="316">
        <v>0</v>
      </c>
      <c r="L36" s="316">
        <f t="shared" si="6"/>
        <v>135</v>
      </c>
      <c r="M36" s="316">
        <f t="shared" si="7"/>
        <v>135</v>
      </c>
      <c r="R36" s="316">
        <v>0</v>
      </c>
      <c r="S36" s="316">
        <v>0</v>
      </c>
      <c r="T36" s="316">
        <f t="shared" si="8"/>
        <v>14.411336347778965</v>
      </c>
      <c r="U36" s="316">
        <f t="shared" si="9"/>
        <v>14.411336347778965</v>
      </c>
      <c r="V36" s="316">
        <f t="shared" si="9"/>
        <v>14.411336347778965</v>
      </c>
    </row>
    <row r="37" spans="2:22" ht="15.75" thickBot="1" x14ac:dyDescent="0.35">
      <c r="B37" s="283">
        <v>34</v>
      </c>
      <c r="C37" s="282">
        <v>29000</v>
      </c>
      <c r="D37" s="297">
        <v>5.8466104421751437</v>
      </c>
      <c r="E37" s="297">
        <v>4.0850835746583343</v>
      </c>
      <c r="F37" s="297">
        <v>7.4500764469381444</v>
      </c>
      <c r="G37" s="297">
        <v>5.8173316729022897</v>
      </c>
      <c r="I37" s="316">
        <f t="shared" si="0"/>
        <v>136</v>
      </c>
      <c r="J37" s="316">
        <f t="shared" si="1"/>
        <v>114</v>
      </c>
      <c r="K37" s="316">
        <v>0</v>
      </c>
      <c r="L37" s="316">
        <f t="shared" si="6"/>
        <v>136</v>
      </c>
      <c r="M37" s="316">
        <f t="shared" si="7"/>
        <v>136</v>
      </c>
      <c r="R37" s="316">
        <v>0</v>
      </c>
      <c r="S37" s="316">
        <v>0</v>
      </c>
      <c r="T37" s="316">
        <f t="shared" si="8"/>
        <v>14.61652610543786</v>
      </c>
      <c r="U37" s="316">
        <f t="shared" si="9"/>
        <v>14.61652610543786</v>
      </c>
      <c r="V37" s="316">
        <f t="shared" si="9"/>
        <v>14.61652610543786</v>
      </c>
    </row>
    <row r="38" spans="2:22" ht="15.75" thickBot="1" x14ac:dyDescent="0.35">
      <c r="B38" s="283">
        <v>35</v>
      </c>
      <c r="C38" s="282">
        <v>30000</v>
      </c>
      <c r="D38" s="297">
        <v>5.9362360073836982</v>
      </c>
      <c r="E38" s="297">
        <v>4.1792308083117407</v>
      </c>
      <c r="F38" s="297">
        <v>7.5180499036823303</v>
      </c>
      <c r="G38" s="297">
        <v>5.896226161330735</v>
      </c>
      <c r="I38" s="316">
        <f t="shared" si="0"/>
        <v>138</v>
      </c>
      <c r="J38" s="316">
        <f t="shared" si="1"/>
        <v>117</v>
      </c>
      <c r="K38" s="316">
        <v>0</v>
      </c>
      <c r="L38" s="316">
        <f t="shared" si="6"/>
        <v>138</v>
      </c>
      <c r="M38" s="316">
        <f t="shared" si="7"/>
        <v>138</v>
      </c>
      <c r="R38" s="316">
        <v>0</v>
      </c>
      <c r="S38" s="316">
        <v>0</v>
      </c>
      <c r="T38" s="316">
        <f t="shared" si="8"/>
        <v>14.840590018459245</v>
      </c>
      <c r="U38" s="316">
        <f t="shared" si="9"/>
        <v>14.840590018459245</v>
      </c>
      <c r="V38" s="316">
        <f t="shared" si="9"/>
        <v>14.840590018459245</v>
      </c>
    </row>
    <row r="39" spans="2:22" ht="15.75" thickBot="1" x14ac:dyDescent="0.35">
      <c r="B39" s="283">
        <v>36</v>
      </c>
      <c r="C39" s="282">
        <v>32500</v>
      </c>
      <c r="D39" s="297">
        <v>6.0333909126318828</v>
      </c>
      <c r="E39" s="297">
        <v>4.2828447560500607</v>
      </c>
      <c r="F39" s="297">
        <v>7.5918889866675343</v>
      </c>
      <c r="G39" s="297">
        <v>5.9843433643877777</v>
      </c>
      <c r="I39" s="316">
        <f t="shared" si="0"/>
        <v>140</v>
      </c>
      <c r="J39" s="316">
        <f t="shared" si="1"/>
        <v>119</v>
      </c>
      <c r="K39" s="316">
        <v>0</v>
      </c>
      <c r="L39" s="316">
        <f t="shared" si="6"/>
        <v>140</v>
      </c>
      <c r="M39" s="316">
        <f t="shared" si="7"/>
        <v>140</v>
      </c>
      <c r="R39" s="316">
        <v>0</v>
      </c>
      <c r="S39" s="316">
        <v>0</v>
      </c>
      <c r="T39" s="316">
        <f t="shared" si="8"/>
        <v>15.083477281579707</v>
      </c>
      <c r="U39" s="316">
        <f t="shared" si="9"/>
        <v>15.083477281579707</v>
      </c>
      <c r="V39" s="316">
        <f t="shared" si="9"/>
        <v>15.083477281579707</v>
      </c>
    </row>
    <row r="40" spans="2:22" ht="15.75" thickBot="1" x14ac:dyDescent="0.35">
      <c r="B40" s="283">
        <v>37</v>
      </c>
      <c r="C40" s="282">
        <v>35000</v>
      </c>
      <c r="D40" s="297">
        <v>6.1371471151077914</v>
      </c>
      <c r="E40" s="297">
        <v>4.393561279615235</v>
      </c>
      <c r="F40" s="297">
        <v>7.6700969750371604</v>
      </c>
      <c r="G40" s="297">
        <v>6.078387514207078</v>
      </c>
      <c r="I40" s="316">
        <f t="shared" si="0"/>
        <v>142</v>
      </c>
      <c r="J40" s="316">
        <f t="shared" si="1"/>
        <v>121</v>
      </c>
      <c r="K40" s="316">
        <v>0</v>
      </c>
      <c r="L40" s="316">
        <f t="shared" si="6"/>
        <v>142</v>
      </c>
      <c r="M40" s="316">
        <f t="shared" si="7"/>
        <v>142</v>
      </c>
      <c r="R40" s="316">
        <v>0</v>
      </c>
      <c r="S40" s="316">
        <v>0</v>
      </c>
      <c r="T40" s="316">
        <f t="shared" si="8"/>
        <v>15.342867787769478</v>
      </c>
      <c r="U40" s="316">
        <f t="shared" si="9"/>
        <v>15.342867787769478</v>
      </c>
      <c r="V40" s="316">
        <f t="shared" si="9"/>
        <v>15.342867787769478</v>
      </c>
    </row>
    <row r="41" spans="2:22" ht="15.75" thickBot="1" x14ac:dyDescent="0.35">
      <c r="B41" s="283">
        <v>38</v>
      </c>
      <c r="C41" s="282">
        <v>37500</v>
      </c>
      <c r="D41" s="297">
        <v>6.2467069721756507</v>
      </c>
      <c r="E41" s="297">
        <v>4.5090568849599491</v>
      </c>
      <c r="F41" s="297">
        <v>7.751999291551793</v>
      </c>
      <c r="G41" s="297">
        <v>6.1751618994023207</v>
      </c>
      <c r="I41" s="316">
        <f t="shared" si="0"/>
        <v>144</v>
      </c>
      <c r="J41" s="316">
        <f t="shared" si="1"/>
        <v>124</v>
      </c>
      <c r="K41" s="316">
        <v>0</v>
      </c>
      <c r="L41" s="316">
        <f t="shared" si="6"/>
        <v>144</v>
      </c>
      <c r="M41" s="316">
        <f t="shared" si="7"/>
        <v>144</v>
      </c>
      <c r="R41" s="316">
        <v>0</v>
      </c>
      <c r="S41" s="316">
        <v>0</v>
      </c>
      <c r="T41" s="316">
        <f t="shared" si="8"/>
        <v>15.616767430439127</v>
      </c>
      <c r="U41" s="316">
        <f t="shared" si="9"/>
        <v>15.616767430439127</v>
      </c>
      <c r="V41" s="316">
        <f t="shared" si="9"/>
        <v>15.616767430439127</v>
      </c>
    </row>
    <row r="42" spans="2:22" ht="15.75" thickBot="1" x14ac:dyDescent="0.35">
      <c r="B42" s="283">
        <v>39</v>
      </c>
      <c r="C42" s="282">
        <v>40000</v>
      </c>
      <c r="D42" s="297">
        <v>6.3622855594506262</v>
      </c>
      <c r="E42" s="297">
        <v>4.6277955596199769</v>
      </c>
      <c r="F42" s="297">
        <v>7.838272970804038</v>
      </c>
      <c r="G42" s="297">
        <v>6.2727709890362444</v>
      </c>
      <c r="I42" s="316">
        <f t="shared" si="0"/>
        <v>146</v>
      </c>
      <c r="J42" s="316">
        <f t="shared" si="1"/>
        <v>127</v>
      </c>
      <c r="K42" s="316">
        <v>0</v>
      </c>
      <c r="L42" s="316">
        <f t="shared" si="6"/>
        <v>146</v>
      </c>
      <c r="M42" s="316">
        <f t="shared" si="7"/>
        <v>146</v>
      </c>
      <c r="R42" s="316">
        <v>0</v>
      </c>
      <c r="S42" s="316">
        <v>0</v>
      </c>
      <c r="T42" s="316">
        <f t="shared" si="8"/>
        <v>15.905713898626566</v>
      </c>
      <c r="U42" s="316">
        <f t="shared" si="9"/>
        <v>15.905713898626566</v>
      </c>
      <c r="V42" s="316">
        <f t="shared" si="9"/>
        <v>15.905713898626566</v>
      </c>
    </row>
    <row r="43" spans="2:22" ht="15.75" thickBot="1" x14ac:dyDescent="0.35">
      <c r="B43" s="283">
        <v>40</v>
      </c>
      <c r="C43" s="282">
        <v>42500</v>
      </c>
      <c r="D43" s="297">
        <v>6.4855103388711077</v>
      </c>
      <c r="E43" s="297">
        <v>4.749314975698149</v>
      </c>
      <c r="F43" s="297">
        <v>7.9306637946560556</v>
      </c>
      <c r="G43" s="297">
        <v>6.3708974953578021</v>
      </c>
      <c r="I43" s="316">
        <f t="shared" si="0"/>
        <v>148</v>
      </c>
      <c r="J43" s="316">
        <f t="shared" si="1"/>
        <v>129</v>
      </c>
      <c r="K43" s="316">
        <v>0</v>
      </c>
      <c r="L43" s="316">
        <f t="shared" si="6"/>
        <v>148</v>
      </c>
      <c r="M43" s="316">
        <f t="shared" si="7"/>
        <v>148</v>
      </c>
      <c r="R43" s="316">
        <v>0</v>
      </c>
      <c r="S43" s="316">
        <v>0</v>
      </c>
      <c r="T43" s="316">
        <f t="shared" si="8"/>
        <v>16.213775847177768</v>
      </c>
      <c r="U43" s="316">
        <f t="shared" si="9"/>
        <v>16.213775847177768</v>
      </c>
      <c r="V43" s="316">
        <f t="shared" si="9"/>
        <v>16.213775847177768</v>
      </c>
    </row>
    <row r="44" spans="2:22" ht="15.75" thickBot="1" x14ac:dyDescent="0.35">
      <c r="B44" s="283">
        <v>41</v>
      </c>
      <c r="C44" s="282">
        <v>45000</v>
      </c>
      <c r="D44" s="297">
        <v>6.6191755999254864</v>
      </c>
      <c r="E44" s="297">
        <v>4.8739623024945393</v>
      </c>
      <c r="F44" s="297">
        <v>8.0312271232413952</v>
      </c>
      <c r="G44" s="297">
        <v>6.4701835688870926</v>
      </c>
      <c r="I44" s="316">
        <f t="shared" si="0"/>
        <v>150</v>
      </c>
      <c r="J44" s="316">
        <f t="shared" si="1"/>
        <v>132</v>
      </c>
      <c r="K44" s="316">
        <v>0</v>
      </c>
      <c r="L44" s="316">
        <f t="shared" si="6"/>
        <v>150</v>
      </c>
      <c r="M44" s="316">
        <f t="shared" si="7"/>
        <v>150</v>
      </c>
      <c r="R44" s="316">
        <v>0</v>
      </c>
      <c r="S44" s="316">
        <v>0</v>
      </c>
      <c r="T44" s="316">
        <f t="shared" si="8"/>
        <v>16.547938999813717</v>
      </c>
      <c r="U44" s="316">
        <f t="shared" si="9"/>
        <v>16.547938999813717</v>
      </c>
      <c r="V44" s="316">
        <f t="shared" si="9"/>
        <v>16.547938999813717</v>
      </c>
    </row>
    <row r="45" spans="2:22" ht="15.75" thickBot="1" x14ac:dyDescent="0.35">
      <c r="B45" s="283">
        <v>42</v>
      </c>
      <c r="C45" s="282">
        <v>47500</v>
      </c>
      <c r="D45" s="297">
        <v>6.7663262714017165</v>
      </c>
      <c r="E45" s="297">
        <v>5.0023624447492772</v>
      </c>
      <c r="F45" s="297">
        <v>8.1414766855769773</v>
      </c>
      <c r="G45" s="297">
        <v>6.5713934146424968</v>
      </c>
      <c r="I45" s="316">
        <f t="shared" si="0"/>
        <v>153</v>
      </c>
      <c r="J45" s="316">
        <f t="shared" si="1"/>
        <v>134</v>
      </c>
      <c r="K45" s="316">
        <v>0</v>
      </c>
      <c r="L45" s="316">
        <f t="shared" si="6"/>
        <v>153</v>
      </c>
      <c r="M45" s="316">
        <f t="shared" si="7"/>
        <v>153</v>
      </c>
      <c r="R45" s="316">
        <v>0</v>
      </c>
      <c r="S45" s="316">
        <v>0</v>
      </c>
      <c r="T45" s="316">
        <f t="shared" si="8"/>
        <v>16.915815678504291</v>
      </c>
      <c r="U45" s="316">
        <f t="shared" ref="U45:V49" si="10">T45</f>
        <v>16.915815678504291</v>
      </c>
      <c r="V45" s="316">
        <f t="shared" si="10"/>
        <v>16.915815678504291</v>
      </c>
    </row>
    <row r="46" spans="2:22" ht="15.75" thickBot="1" x14ac:dyDescent="0.35">
      <c r="B46" s="283">
        <v>43</v>
      </c>
      <c r="C46" s="282">
        <v>50000</v>
      </c>
      <c r="D46" s="297">
        <v>6.9289302105031405</v>
      </c>
      <c r="E46" s="297">
        <v>5.1349336991312304</v>
      </c>
      <c r="F46" s="297">
        <v>8.2617110576962958</v>
      </c>
      <c r="G46" s="297">
        <v>6.6748728866454226</v>
      </c>
      <c r="I46" s="316">
        <f t="shared" si="0"/>
        <v>156</v>
      </c>
      <c r="J46" s="316">
        <f t="shared" si="1"/>
        <v>137</v>
      </c>
      <c r="K46" s="316">
        <v>0</v>
      </c>
      <c r="L46" s="316">
        <f t="shared" si="6"/>
        <v>156</v>
      </c>
      <c r="M46" s="316">
        <f t="shared" si="7"/>
        <v>156</v>
      </c>
      <c r="R46" s="316">
        <v>0</v>
      </c>
      <c r="S46" s="316">
        <v>0</v>
      </c>
      <c r="T46" s="316">
        <f t="shared" si="8"/>
        <v>17.322325526257853</v>
      </c>
      <c r="U46" s="316">
        <f t="shared" si="10"/>
        <v>17.322325526257853</v>
      </c>
      <c r="V46" s="316">
        <f t="shared" si="10"/>
        <v>17.322325526257853</v>
      </c>
    </row>
    <row r="47" spans="2:22" ht="15.75" thickBot="1" x14ac:dyDescent="0.35">
      <c r="B47" s="283">
        <v>44</v>
      </c>
      <c r="C47" s="282">
        <v>55000</v>
      </c>
      <c r="D47" s="297">
        <v>7.1067841961760578</v>
      </c>
      <c r="E47" s="297">
        <v>5.2716675980964958</v>
      </c>
      <c r="F47" s="297">
        <v>8.3906975769583916</v>
      </c>
      <c r="G47" s="297">
        <v>6.7804440105753248</v>
      </c>
      <c r="I47" s="316">
        <f t="shared" si="0"/>
        <v>159</v>
      </c>
      <c r="J47" s="316">
        <f t="shared" si="1"/>
        <v>140</v>
      </c>
      <c r="K47" s="316">
        <v>0</v>
      </c>
      <c r="L47" s="316">
        <f t="shared" si="6"/>
        <v>159</v>
      </c>
      <c r="M47" s="316">
        <f t="shared" si="7"/>
        <v>159</v>
      </c>
      <c r="R47" s="316">
        <v>0</v>
      </c>
      <c r="S47" s="316">
        <v>0</v>
      </c>
      <c r="T47" s="316">
        <f t="shared" si="8"/>
        <v>17.766960490440145</v>
      </c>
      <c r="U47" s="316">
        <f t="shared" si="10"/>
        <v>17.766960490440145</v>
      </c>
      <c r="V47" s="316">
        <f t="shared" si="10"/>
        <v>17.766960490440145</v>
      </c>
    </row>
    <row r="48" spans="2:22" ht="15.75" thickBot="1" x14ac:dyDescent="0.35">
      <c r="B48" s="283">
        <v>45</v>
      </c>
      <c r="C48" s="282">
        <v>60000</v>
      </c>
      <c r="D48" s="297">
        <v>7.297341191214076</v>
      </c>
      <c r="E48" s="297">
        <v>5.4120882656776574</v>
      </c>
      <c r="F48" s="297">
        <v>8.5258198742898834</v>
      </c>
      <c r="G48" s="297">
        <v>6.8874156926714587</v>
      </c>
      <c r="I48" s="316">
        <f t="shared" si="0"/>
        <v>162</v>
      </c>
      <c r="J48" s="316">
        <f t="shared" si="1"/>
        <v>143</v>
      </c>
      <c r="K48" s="316">
        <v>0</v>
      </c>
      <c r="L48" s="316">
        <f t="shared" si="6"/>
        <v>162</v>
      </c>
      <c r="M48" s="316">
        <f t="shared" si="7"/>
        <v>162</v>
      </c>
      <c r="R48" s="316">
        <v>0</v>
      </c>
      <c r="S48" s="316">
        <v>0</v>
      </c>
      <c r="T48" s="316">
        <f t="shared" si="8"/>
        <v>18.24335297803519</v>
      </c>
      <c r="U48" s="316">
        <f t="shared" si="10"/>
        <v>18.24335297803519</v>
      </c>
      <c r="V48" s="316">
        <f t="shared" si="10"/>
        <v>18.24335297803519</v>
      </c>
    </row>
    <row r="49" spans="1:22" ht="15.75" thickBot="1" x14ac:dyDescent="0.35">
      <c r="B49" s="283">
        <v>46</v>
      </c>
      <c r="C49" s="282">
        <v>65000</v>
      </c>
      <c r="D49" s="297">
        <v>7.4965520161222026</v>
      </c>
      <c r="E49" s="297">
        <v>5.5552913681857445</v>
      </c>
      <c r="F49" s="297">
        <v>8.6635570734126315</v>
      </c>
      <c r="G49" s="297">
        <v>6.9945450022538918</v>
      </c>
      <c r="I49" s="316">
        <f t="shared" si="0"/>
        <v>165</v>
      </c>
      <c r="J49" s="316">
        <f t="shared" si="1"/>
        <v>146</v>
      </c>
      <c r="K49" s="316">
        <v>0</v>
      </c>
      <c r="L49" s="316">
        <f t="shared" si="6"/>
        <v>165</v>
      </c>
      <c r="M49" s="316">
        <f t="shared" si="7"/>
        <v>165</v>
      </c>
      <c r="R49" s="316">
        <v>0</v>
      </c>
      <c r="S49" s="316">
        <v>0</v>
      </c>
      <c r="T49" s="316">
        <f t="shared" si="8"/>
        <v>18.741380040305508</v>
      </c>
      <c r="U49" s="316">
        <f t="shared" si="10"/>
        <v>18.741380040305508</v>
      </c>
      <c r="V49" s="316">
        <f t="shared" si="10"/>
        <v>18.741380040305508</v>
      </c>
    </row>
    <row r="50" spans="1:22" x14ac:dyDescent="0.3">
      <c r="B50" s="562">
        <v>47</v>
      </c>
      <c r="C50" s="563">
        <v>70000</v>
      </c>
      <c r="D50" s="582">
        <v>7.7</v>
      </c>
      <c r="E50" s="582">
        <v>5.7</v>
      </c>
      <c r="F50" s="582">
        <v>8.8000000000000007</v>
      </c>
      <c r="G50" s="582">
        <v>7.1</v>
      </c>
      <c r="I50" s="600">
        <f t="shared" ref="I50:I54" si="11">ROUND(+F50/100*$P$3-40,0)</f>
        <v>168</v>
      </c>
      <c r="J50" s="600">
        <f t="shared" ref="J50:J54" si="12">ROUND(+G50/100*$P$4-40,0)</f>
        <v>148</v>
      </c>
      <c r="K50" s="600">
        <v>0</v>
      </c>
      <c r="L50" s="600">
        <f t="shared" ref="L50:L54" si="13">I50</f>
        <v>168</v>
      </c>
      <c r="M50" s="600">
        <f t="shared" ref="M50:M54" si="14">I50</f>
        <v>168</v>
      </c>
      <c r="R50" s="600">
        <v>0</v>
      </c>
      <c r="S50" s="600">
        <v>0</v>
      </c>
      <c r="T50" s="600">
        <f t="shared" ref="T50:T54" si="15">2.5*D50</f>
        <v>19.25</v>
      </c>
      <c r="U50" s="600">
        <f t="shared" ref="U50:U54" si="16">T50</f>
        <v>19.25</v>
      </c>
      <c r="V50" s="600">
        <f t="shared" ref="V50:V54" si="17">U50</f>
        <v>19.25</v>
      </c>
    </row>
    <row r="51" spans="1:22" ht="15.75" thickBot="1" x14ac:dyDescent="0.35">
      <c r="A51" s="545" t="s">
        <v>1511</v>
      </c>
      <c r="B51" s="564">
        <v>48</v>
      </c>
      <c r="C51" s="565">
        <v>75000</v>
      </c>
      <c r="D51" s="584">
        <v>7.8854937424850604</v>
      </c>
      <c r="E51" s="584">
        <v>5.8389230977662603</v>
      </c>
      <c r="F51" s="584">
        <v>8.9331883307899407</v>
      </c>
      <c r="G51" s="584">
        <v>7.2067620839455397</v>
      </c>
      <c r="H51" s="548"/>
      <c r="I51" s="601">
        <f t="shared" si="11"/>
        <v>172</v>
      </c>
      <c r="J51" s="601">
        <f t="shared" si="12"/>
        <v>151</v>
      </c>
      <c r="K51" s="601">
        <v>0</v>
      </c>
      <c r="L51" s="601">
        <f t="shared" si="13"/>
        <v>172</v>
      </c>
      <c r="M51" s="601">
        <f t="shared" si="14"/>
        <v>172</v>
      </c>
      <c r="N51" s="548"/>
      <c r="O51" s="548"/>
      <c r="P51" s="548"/>
      <c r="Q51" s="548"/>
      <c r="R51" s="601">
        <v>0</v>
      </c>
      <c r="S51" s="601">
        <v>0</v>
      </c>
      <c r="T51" s="601">
        <f t="shared" si="15"/>
        <v>19.713734356212651</v>
      </c>
      <c r="U51" s="601">
        <f t="shared" si="16"/>
        <v>19.713734356212651</v>
      </c>
      <c r="V51" s="602">
        <f t="shared" si="17"/>
        <v>19.713734356212651</v>
      </c>
    </row>
    <row r="52" spans="1:22" ht="15.75" thickBot="1" x14ac:dyDescent="0.35">
      <c r="B52" s="567">
        <v>49</v>
      </c>
      <c r="C52" s="282">
        <v>80000</v>
      </c>
      <c r="D52" s="297">
        <v>8.0786844823790407</v>
      </c>
      <c r="E52" s="297">
        <v>5.9802987349489403</v>
      </c>
      <c r="F52" s="297">
        <v>9.0681320688960998</v>
      </c>
      <c r="G52" s="297">
        <v>7.3131976057843104</v>
      </c>
      <c r="I52" s="316">
        <f t="shared" si="11"/>
        <v>175</v>
      </c>
      <c r="J52" s="316">
        <f t="shared" si="12"/>
        <v>154</v>
      </c>
      <c r="K52" s="316">
        <v>0</v>
      </c>
      <c r="L52" s="316">
        <f t="shared" si="13"/>
        <v>175</v>
      </c>
      <c r="M52" s="316">
        <f t="shared" si="14"/>
        <v>175</v>
      </c>
      <c r="R52" s="316">
        <v>0</v>
      </c>
      <c r="S52" s="316">
        <v>0</v>
      </c>
      <c r="T52" s="316">
        <f t="shared" si="15"/>
        <v>20.196711205947601</v>
      </c>
      <c r="U52" s="316">
        <f t="shared" si="16"/>
        <v>20.196711205947601</v>
      </c>
      <c r="V52" s="603">
        <f t="shared" si="17"/>
        <v>20.196711205947601</v>
      </c>
    </row>
    <row r="53" spans="1:22" ht="15.75" thickBot="1" x14ac:dyDescent="0.35">
      <c r="B53" s="567">
        <v>50</v>
      </c>
      <c r="C53" s="282">
        <v>85000</v>
      </c>
      <c r="D53" s="297">
        <v>8.2718752222730192</v>
      </c>
      <c r="E53" s="297">
        <v>6.1216743721316202</v>
      </c>
      <c r="F53" s="297">
        <v>9.2030758070022607</v>
      </c>
      <c r="G53" s="297">
        <v>7.4196331276230802</v>
      </c>
      <c r="I53" s="316">
        <f t="shared" si="11"/>
        <v>178</v>
      </c>
      <c r="J53" s="316">
        <f t="shared" si="12"/>
        <v>157</v>
      </c>
      <c r="K53" s="316">
        <v>0</v>
      </c>
      <c r="L53" s="316">
        <f t="shared" si="13"/>
        <v>178</v>
      </c>
      <c r="M53" s="316">
        <f t="shared" si="14"/>
        <v>178</v>
      </c>
      <c r="R53" s="316">
        <v>0</v>
      </c>
      <c r="S53" s="316">
        <v>0</v>
      </c>
      <c r="T53" s="316">
        <f t="shared" si="15"/>
        <v>20.679688055682547</v>
      </c>
      <c r="U53" s="316">
        <f t="shared" si="16"/>
        <v>20.679688055682547</v>
      </c>
      <c r="V53" s="603">
        <f t="shared" si="17"/>
        <v>20.679688055682547</v>
      </c>
    </row>
    <row r="54" spans="1:22" ht="15.75" thickBot="1" x14ac:dyDescent="0.35">
      <c r="B54" s="567">
        <v>51</v>
      </c>
      <c r="C54" s="282">
        <v>90000</v>
      </c>
      <c r="D54" s="297">
        <v>8.4650659621670101</v>
      </c>
      <c r="E54" s="297">
        <v>6.2630500093143002</v>
      </c>
      <c r="F54" s="297">
        <v>9.3380195451084305</v>
      </c>
      <c r="G54" s="297">
        <v>7.5260686494618501</v>
      </c>
      <c r="I54" s="316">
        <f t="shared" si="11"/>
        <v>181</v>
      </c>
      <c r="J54" s="316">
        <f t="shared" si="12"/>
        <v>160</v>
      </c>
      <c r="K54" s="316">
        <v>0</v>
      </c>
      <c r="L54" s="316">
        <f t="shared" si="13"/>
        <v>181</v>
      </c>
      <c r="M54" s="316">
        <f t="shared" si="14"/>
        <v>181</v>
      </c>
      <c r="R54" s="316">
        <v>0</v>
      </c>
      <c r="S54" s="316">
        <v>0</v>
      </c>
      <c r="T54" s="316">
        <f t="shared" si="15"/>
        <v>21.162664905417525</v>
      </c>
      <c r="U54" s="316">
        <f t="shared" si="16"/>
        <v>21.162664905417525</v>
      </c>
      <c r="V54" s="603">
        <f t="shared" si="17"/>
        <v>21.162664905417525</v>
      </c>
    </row>
    <row r="55" spans="1:22" ht="15.75" thickBot="1" x14ac:dyDescent="0.35">
      <c r="B55" s="567">
        <v>52</v>
      </c>
      <c r="C55" s="282">
        <v>95000</v>
      </c>
      <c r="D55" s="297">
        <v>8.6582567020609993</v>
      </c>
      <c r="E55" s="297">
        <v>6.4044256464969802</v>
      </c>
      <c r="F55" s="297">
        <v>9.4729632832145896</v>
      </c>
      <c r="G55" s="297">
        <v>7.6325041713006296</v>
      </c>
      <c r="I55" s="316">
        <f t="shared" ref="I55:I62" si="18">ROUND(+F55/100*$P$3-40,0)</f>
        <v>184</v>
      </c>
      <c r="J55" s="316">
        <f t="shared" ref="J55:J62" si="19">ROUND(+G55/100*$P$4-40,0)</f>
        <v>163</v>
      </c>
      <c r="K55" s="316">
        <v>0</v>
      </c>
      <c r="L55" s="316">
        <f t="shared" ref="L55:L62" si="20">I55</f>
        <v>184</v>
      </c>
      <c r="M55" s="316">
        <f t="shared" ref="M55:M62" si="21">I55</f>
        <v>184</v>
      </c>
      <c r="R55" s="316">
        <v>0</v>
      </c>
      <c r="S55" s="316">
        <v>0</v>
      </c>
      <c r="T55" s="316">
        <f t="shared" ref="T55:T62" si="22">2.5*D55</f>
        <v>21.645641755152496</v>
      </c>
      <c r="U55" s="316">
        <f t="shared" ref="U55:U62" si="23">T55</f>
        <v>21.645641755152496</v>
      </c>
      <c r="V55" s="603">
        <f t="shared" ref="V55:V62" si="24">U55</f>
        <v>21.645641755152496</v>
      </c>
    </row>
    <row r="56" spans="1:22" ht="15.75" thickBot="1" x14ac:dyDescent="0.35">
      <c r="B56" s="567">
        <v>53</v>
      </c>
      <c r="C56" s="282">
        <v>100000</v>
      </c>
      <c r="D56" s="297">
        <v>8.8514474419549796</v>
      </c>
      <c r="E56" s="297">
        <v>6.5458012836796602</v>
      </c>
      <c r="F56" s="297">
        <v>9.6079070213207594</v>
      </c>
      <c r="G56" s="297">
        <v>7.7389396931394003</v>
      </c>
      <c r="I56" s="316">
        <f t="shared" si="18"/>
        <v>187</v>
      </c>
      <c r="J56" s="316">
        <f t="shared" si="19"/>
        <v>165</v>
      </c>
      <c r="K56" s="316">
        <v>0</v>
      </c>
      <c r="L56" s="316">
        <f t="shared" si="20"/>
        <v>187</v>
      </c>
      <c r="M56" s="316">
        <f t="shared" si="21"/>
        <v>187</v>
      </c>
      <c r="R56" s="316">
        <v>0</v>
      </c>
      <c r="S56" s="316">
        <v>0</v>
      </c>
      <c r="T56" s="316">
        <f t="shared" si="22"/>
        <v>22.12861860488745</v>
      </c>
      <c r="U56" s="316">
        <f t="shared" si="23"/>
        <v>22.12861860488745</v>
      </c>
      <c r="V56" s="603">
        <f t="shared" si="24"/>
        <v>22.12861860488745</v>
      </c>
    </row>
    <row r="57" spans="1:22" ht="15.75" thickBot="1" x14ac:dyDescent="0.35">
      <c r="B57" s="567">
        <v>54</v>
      </c>
      <c r="C57" s="282">
        <v>105000</v>
      </c>
      <c r="D57" s="297">
        <v>9.0446381818489705</v>
      </c>
      <c r="E57" s="297">
        <v>6.6871769208623402</v>
      </c>
      <c r="F57" s="297">
        <v>9.7428507594269291</v>
      </c>
      <c r="G57" s="297">
        <v>7.8453752149781701</v>
      </c>
      <c r="I57" s="316">
        <f t="shared" si="18"/>
        <v>191</v>
      </c>
      <c r="J57" s="316">
        <f t="shared" si="19"/>
        <v>168</v>
      </c>
      <c r="K57" s="316">
        <v>0</v>
      </c>
      <c r="L57" s="316">
        <f t="shared" si="20"/>
        <v>191</v>
      </c>
      <c r="M57" s="316">
        <f t="shared" si="21"/>
        <v>191</v>
      </c>
      <c r="R57" s="316">
        <v>0</v>
      </c>
      <c r="S57" s="316">
        <v>0</v>
      </c>
      <c r="T57" s="316">
        <f t="shared" si="22"/>
        <v>22.611595454622424</v>
      </c>
      <c r="U57" s="316">
        <f t="shared" si="23"/>
        <v>22.611595454622424</v>
      </c>
      <c r="V57" s="603">
        <f t="shared" si="24"/>
        <v>22.611595454622424</v>
      </c>
    </row>
    <row r="58" spans="1:22" ht="15.75" thickBot="1" x14ac:dyDescent="0.35">
      <c r="B58" s="567">
        <v>55</v>
      </c>
      <c r="C58" s="282">
        <v>110000</v>
      </c>
      <c r="D58" s="297">
        <v>9.2378289217429597</v>
      </c>
      <c r="E58" s="297">
        <v>6.8285525580450201</v>
      </c>
      <c r="F58" s="297">
        <v>9.87779449753309</v>
      </c>
      <c r="G58" s="297">
        <v>7.9518107368169497</v>
      </c>
      <c r="I58" s="316">
        <f t="shared" si="18"/>
        <v>194</v>
      </c>
      <c r="J58" s="316">
        <f t="shared" si="19"/>
        <v>171</v>
      </c>
      <c r="K58" s="316">
        <v>0</v>
      </c>
      <c r="L58" s="316">
        <f t="shared" si="20"/>
        <v>194</v>
      </c>
      <c r="M58" s="316">
        <f t="shared" si="21"/>
        <v>194</v>
      </c>
      <c r="R58" s="316">
        <v>0</v>
      </c>
      <c r="S58" s="316">
        <v>0</v>
      </c>
      <c r="T58" s="316">
        <f t="shared" si="22"/>
        <v>23.094572304357399</v>
      </c>
      <c r="U58" s="316">
        <f t="shared" si="23"/>
        <v>23.094572304357399</v>
      </c>
      <c r="V58" s="603">
        <f t="shared" si="24"/>
        <v>23.094572304357399</v>
      </c>
    </row>
    <row r="59" spans="1:22" ht="15.75" thickBot="1" x14ac:dyDescent="0.35">
      <c r="B59" s="567">
        <v>56</v>
      </c>
      <c r="C59" s="282">
        <v>115000</v>
      </c>
      <c r="D59" s="297">
        <v>9.4310196616369399</v>
      </c>
      <c r="E59" s="297">
        <v>6.9699281952276904</v>
      </c>
      <c r="F59" s="297">
        <v>10.012738235639199</v>
      </c>
      <c r="G59" s="297">
        <v>8.0582462586557195</v>
      </c>
      <c r="I59" s="316">
        <f t="shared" si="18"/>
        <v>197</v>
      </c>
      <c r="J59" s="316">
        <f t="shared" si="19"/>
        <v>174</v>
      </c>
      <c r="K59" s="316">
        <v>0</v>
      </c>
      <c r="L59" s="316">
        <f t="shared" si="20"/>
        <v>197</v>
      </c>
      <c r="M59" s="316">
        <f t="shared" si="21"/>
        <v>197</v>
      </c>
      <c r="R59" s="316">
        <v>0</v>
      </c>
      <c r="S59" s="316">
        <v>0</v>
      </c>
      <c r="T59" s="316">
        <f t="shared" si="22"/>
        <v>23.577549154092349</v>
      </c>
      <c r="U59" s="316">
        <f t="shared" si="23"/>
        <v>23.577549154092349</v>
      </c>
      <c r="V59" s="603">
        <f t="shared" si="24"/>
        <v>23.577549154092349</v>
      </c>
    </row>
    <row r="60" spans="1:22" ht="15.75" thickBot="1" x14ac:dyDescent="0.35">
      <c r="B60" s="567">
        <v>57</v>
      </c>
      <c r="C60" s="282">
        <v>120000</v>
      </c>
      <c r="D60" s="297">
        <v>9.6242104015309309</v>
      </c>
      <c r="E60" s="297">
        <v>7.1113038324103703</v>
      </c>
      <c r="F60" s="297">
        <v>10.147681973745399</v>
      </c>
      <c r="G60" s="297">
        <v>8.1646817804944902</v>
      </c>
      <c r="I60" s="316">
        <f t="shared" si="18"/>
        <v>200</v>
      </c>
      <c r="J60" s="316">
        <f t="shared" si="19"/>
        <v>177</v>
      </c>
      <c r="K60" s="316">
        <v>0</v>
      </c>
      <c r="L60" s="316">
        <f t="shared" si="20"/>
        <v>200</v>
      </c>
      <c r="M60" s="316">
        <f t="shared" si="21"/>
        <v>200</v>
      </c>
      <c r="R60" s="316">
        <v>0</v>
      </c>
      <c r="S60" s="316">
        <v>0</v>
      </c>
      <c r="T60" s="316">
        <f t="shared" si="22"/>
        <v>24.060526003827327</v>
      </c>
      <c r="U60" s="316">
        <f t="shared" si="23"/>
        <v>24.060526003827327</v>
      </c>
      <c r="V60" s="603">
        <f t="shared" si="24"/>
        <v>24.060526003827327</v>
      </c>
    </row>
    <row r="61" spans="1:22" ht="15.75" thickBot="1" x14ac:dyDescent="0.35">
      <c r="B61" s="567">
        <v>58</v>
      </c>
      <c r="C61" s="282">
        <v>125000</v>
      </c>
      <c r="D61" s="297">
        <v>9.81740114142492</v>
      </c>
      <c r="E61" s="297">
        <v>7.2526794695930503</v>
      </c>
      <c r="F61" s="297">
        <v>10.282625711851599</v>
      </c>
      <c r="G61" s="297">
        <v>8.2711173023332591</v>
      </c>
      <c r="I61" s="316">
        <f t="shared" si="18"/>
        <v>203</v>
      </c>
      <c r="J61" s="316">
        <f t="shared" si="19"/>
        <v>180</v>
      </c>
      <c r="K61" s="316">
        <v>0</v>
      </c>
      <c r="L61" s="316">
        <f t="shared" si="20"/>
        <v>203</v>
      </c>
      <c r="M61" s="316">
        <f t="shared" si="21"/>
        <v>203</v>
      </c>
      <c r="R61" s="316">
        <v>0</v>
      </c>
      <c r="S61" s="316">
        <v>0</v>
      </c>
      <c r="T61" s="316">
        <f t="shared" si="22"/>
        <v>24.543502853562302</v>
      </c>
      <c r="U61" s="316">
        <f t="shared" si="23"/>
        <v>24.543502853562302</v>
      </c>
      <c r="V61" s="603">
        <f t="shared" si="24"/>
        <v>24.543502853562302</v>
      </c>
    </row>
    <row r="62" spans="1:22" x14ac:dyDescent="0.3">
      <c r="B62" s="569">
        <v>59</v>
      </c>
      <c r="C62" s="570">
        <v>130000</v>
      </c>
      <c r="D62" s="593">
        <v>10.0105918813189</v>
      </c>
      <c r="E62" s="593">
        <v>7.3940551067757303</v>
      </c>
      <c r="F62" s="593">
        <v>10.4175694499577</v>
      </c>
      <c r="G62" s="593">
        <v>8.3775528241720298</v>
      </c>
      <c r="H62" s="556"/>
      <c r="I62" s="604">
        <f t="shared" si="18"/>
        <v>207</v>
      </c>
      <c r="J62" s="604">
        <f t="shared" si="19"/>
        <v>182</v>
      </c>
      <c r="K62" s="604">
        <v>0</v>
      </c>
      <c r="L62" s="604">
        <f t="shared" si="20"/>
        <v>207</v>
      </c>
      <c r="M62" s="604">
        <f t="shared" si="21"/>
        <v>207</v>
      </c>
      <c r="N62" s="556"/>
      <c r="O62" s="556"/>
      <c r="P62" s="556"/>
      <c r="Q62" s="556"/>
      <c r="R62" s="604">
        <v>0</v>
      </c>
      <c r="S62" s="604">
        <v>0</v>
      </c>
      <c r="T62" s="604">
        <f t="shared" si="22"/>
        <v>25.026479703297252</v>
      </c>
      <c r="U62" s="604">
        <f t="shared" si="23"/>
        <v>25.026479703297252</v>
      </c>
      <c r="V62" s="605">
        <f t="shared" si="24"/>
        <v>25.026479703297252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F965-093B-4696-ADC5-3FA1448CD121}">
  <sheetPr codeName="Blad26">
    <tabColor rgb="FF92D050"/>
    <pageSetUpPr autoPageBreaks="0"/>
  </sheetPr>
  <dimension ref="A1:O152"/>
  <sheetViews>
    <sheetView showGridLines="0" tabSelected="1" zoomScale="115" zoomScaleNormal="115" workbookViewId="0">
      <selection activeCell="D12" sqref="D12"/>
    </sheetView>
  </sheetViews>
  <sheetFormatPr defaultColWidth="8.85546875" defaultRowHeight="15" x14ac:dyDescent="0.3"/>
  <cols>
    <col min="1" max="1" width="3.28515625" style="431" customWidth="1"/>
    <col min="2" max="2" width="8.7109375" style="430" customWidth="1"/>
    <col min="3" max="3" width="42.140625" style="430" customWidth="1"/>
    <col min="4" max="4" width="20" style="430" customWidth="1"/>
    <col min="5" max="5" width="1.28515625" style="430" customWidth="1"/>
    <col min="6" max="6" width="17.5703125" style="430" customWidth="1"/>
    <col min="7" max="7" width="1.28515625" style="430" customWidth="1"/>
    <col min="8" max="8" width="17.5703125" style="430" customWidth="1"/>
    <col min="9" max="9" width="1.5703125" style="430" customWidth="1"/>
    <col min="10" max="10" width="17.5703125" style="430" customWidth="1"/>
    <col min="11" max="11" width="15.7109375" style="430" customWidth="1"/>
    <col min="12" max="12" width="4" style="430" customWidth="1"/>
    <col min="13" max="13" width="10.140625" style="430" bestFit="1" customWidth="1"/>
    <col min="14" max="14" width="68.42578125" style="430" customWidth="1"/>
    <col min="15" max="16384" width="8.85546875" style="430"/>
  </cols>
  <sheetData>
    <row r="1" spans="1:15" x14ac:dyDescent="0.3">
      <c r="A1" s="647">
        <v>45615.607638888891</v>
      </c>
      <c r="B1" s="478">
        <v>1</v>
      </c>
      <c r="C1" s="478">
        <v>1</v>
      </c>
      <c r="D1" s="648"/>
      <c r="E1" s="478">
        <v>1</v>
      </c>
      <c r="F1" s="478">
        <v>1</v>
      </c>
      <c r="G1" s="478">
        <v>1</v>
      </c>
      <c r="H1" s="478">
        <v>1</v>
      </c>
      <c r="I1" s="478">
        <v>1</v>
      </c>
      <c r="J1" s="478">
        <v>1</v>
      </c>
      <c r="K1" s="478">
        <v>1</v>
      </c>
    </row>
    <row r="2" spans="1:15" s="480" customFormat="1" ht="33.75" x14ac:dyDescent="0.5">
      <c r="A2" s="479"/>
      <c r="B2" s="479"/>
      <c r="C2" s="479" t="s">
        <v>1480</v>
      </c>
      <c r="E2" s="479"/>
      <c r="G2" s="479"/>
      <c r="I2" s="479"/>
      <c r="K2" s="479"/>
    </row>
    <row r="3" spans="1:15" s="376" customFormat="1" ht="16.5" x14ac:dyDescent="0.3"/>
    <row r="4" spans="1:15" s="482" customFormat="1" ht="18" x14ac:dyDescent="0.35">
      <c r="A4" s="481"/>
    </row>
    <row r="5" spans="1:15" customFormat="1" ht="15" customHeight="1" x14ac:dyDescent="0.3">
      <c r="A5" s="730">
        <v>0</v>
      </c>
      <c r="B5" s="729" t="s">
        <v>1994</v>
      </c>
      <c r="C5" s="430"/>
      <c r="L5" s="430"/>
      <c r="M5" s="430"/>
      <c r="N5" s="430"/>
      <c r="O5" s="430"/>
    </row>
    <row r="6" spans="1:15" customFormat="1" x14ac:dyDescent="0.3">
      <c r="A6" s="459"/>
      <c r="L6" s="430"/>
      <c r="M6" s="430"/>
      <c r="N6" s="430"/>
      <c r="O6" s="430"/>
    </row>
    <row r="7" spans="1:15" ht="18" x14ac:dyDescent="0.35">
      <c r="C7" s="615" t="s">
        <v>1359</v>
      </c>
      <c r="F7"/>
      <c r="G7" s="714"/>
      <c r="H7"/>
      <c r="I7" s="714"/>
      <c r="J7"/>
      <c r="K7" s="714"/>
    </row>
    <row r="8" spans="1:15" x14ac:dyDescent="0.3">
      <c r="B8" s="690"/>
      <c r="C8" s="688" t="s">
        <v>1537</v>
      </c>
      <c r="D8" s="691"/>
      <c r="E8" s="690"/>
      <c r="F8" s="83"/>
      <c r="G8" s="715"/>
      <c r="H8" s="83"/>
      <c r="I8" s="715"/>
      <c r="J8" s="83"/>
      <c r="K8" s="714"/>
    </row>
    <row r="9" spans="1:15" ht="5.25" customHeight="1" thickBot="1" x14ac:dyDescent="0.35">
      <c r="C9" s="616"/>
      <c r="D9" s="692"/>
      <c r="F9"/>
      <c r="G9" s="714"/>
      <c r="H9"/>
      <c r="I9" s="714"/>
      <c r="J9"/>
      <c r="K9" s="714"/>
    </row>
    <row r="10" spans="1:15" ht="15.75" thickBot="1" x14ac:dyDescent="0.35">
      <c r="C10" s="486" t="s">
        <v>1995</v>
      </c>
      <c r="D10" s="721"/>
      <c r="G10" s="544"/>
      <c r="H10"/>
      <c r="I10"/>
      <c r="J10"/>
      <c r="K10"/>
    </row>
    <row r="11" spans="1:15" ht="4.5" customHeight="1" thickBot="1" x14ac:dyDescent="0.35">
      <c r="C11" s="606"/>
      <c r="D11" s="506"/>
      <c r="F11"/>
      <c r="G11" s="710"/>
      <c r="H11"/>
      <c r="I11" s="710"/>
      <c r="J11"/>
      <c r="K11" s="710"/>
    </row>
    <row r="12" spans="1:15" ht="15.75" thickBot="1" x14ac:dyDescent="0.35">
      <c r="C12" s="486" t="s">
        <v>1928</v>
      </c>
      <c r="D12" s="721"/>
      <c r="E12" s="484"/>
      <c r="F12"/>
      <c r="G12"/>
      <c r="H12"/>
      <c r="I12"/>
      <c r="J12"/>
      <c r="K12"/>
    </row>
    <row r="13" spans="1:15" ht="4.5" customHeight="1" thickBot="1" x14ac:dyDescent="0.35">
      <c r="C13" s="606"/>
      <c r="D13" s="506"/>
      <c r="F13"/>
      <c r="G13" s="96"/>
      <c r="H13"/>
      <c r="I13" s="96"/>
      <c r="J13"/>
      <c r="K13" s="96"/>
    </row>
    <row r="14" spans="1:15" ht="15.75" thickBot="1" x14ac:dyDescent="0.35">
      <c r="C14" s="486" t="s">
        <v>1987</v>
      </c>
      <c r="D14" s="725"/>
      <c r="E14" s="484"/>
      <c r="F14" s="484"/>
      <c r="G14" s="713"/>
      <c r="H14"/>
      <c r="I14" s="713"/>
      <c r="J14"/>
      <c r="K14" s="713"/>
    </row>
    <row r="15" spans="1:15" ht="3.75" customHeight="1" thickBot="1" x14ac:dyDescent="0.35">
      <c r="C15" s="486"/>
      <c r="D15" s="716"/>
      <c r="G15" s="712"/>
      <c r="I15" s="712"/>
      <c r="K15" s="712"/>
    </row>
    <row r="16" spans="1:15" ht="26.25" customHeight="1" thickBot="1" x14ac:dyDescent="0.35">
      <c r="C16" s="649" t="s">
        <v>1988</v>
      </c>
      <c r="D16" s="725"/>
      <c r="F16" s="697"/>
      <c r="G16" s="712"/>
      <c r="I16" s="712"/>
      <c r="K16" s="712"/>
    </row>
    <row r="17" spans="3:13" ht="3.75" customHeight="1" thickBot="1" x14ac:dyDescent="0.35">
      <c r="C17" s="486"/>
      <c r="G17" s="712"/>
      <c r="I17" s="712"/>
      <c r="K17" s="712"/>
    </row>
    <row r="18" spans="3:13" ht="15.75" thickBot="1" x14ac:dyDescent="0.35">
      <c r="C18" s="486" t="s">
        <v>1989</v>
      </c>
      <c r="D18" s="717"/>
      <c r="G18" s="712"/>
      <c r="I18" s="712"/>
      <c r="K18" s="712"/>
    </row>
    <row r="19" spans="3:13" ht="4.5" customHeight="1" thickBot="1" x14ac:dyDescent="0.35">
      <c r="C19" s="606"/>
      <c r="F19" s="96"/>
      <c r="G19"/>
      <c r="H19" s="96"/>
      <c r="I19"/>
      <c r="J19" s="96"/>
      <c r="K19"/>
    </row>
    <row r="20" spans="3:13" ht="15.75" thickBot="1" x14ac:dyDescent="0.35">
      <c r="C20" s="486" t="s">
        <v>1996</v>
      </c>
      <c r="D20" s="717"/>
    </row>
    <row r="21" spans="3:13" ht="3.75" customHeight="1" thickBot="1" x14ac:dyDescent="0.35">
      <c r="C21" s="486"/>
      <c r="G21" s="712"/>
      <c r="I21" s="712"/>
      <c r="K21" s="712"/>
    </row>
    <row r="22" spans="3:13" ht="15.75" thickBot="1" x14ac:dyDescent="0.35">
      <c r="C22" s="486" t="s">
        <v>1990</v>
      </c>
      <c r="D22" s="717"/>
    </row>
    <row r="23" spans="3:13" ht="4.5" customHeight="1" thickBot="1" x14ac:dyDescent="0.35">
      <c r="C23" s="606"/>
      <c r="D23" s="712"/>
      <c r="F23" s="96"/>
      <c r="G23"/>
      <c r="H23" s="96"/>
      <c r="I23"/>
      <c r="J23" s="96"/>
      <c r="K23"/>
    </row>
    <row r="24" spans="3:13" ht="15.75" customHeight="1" thickBot="1" x14ac:dyDescent="0.35">
      <c r="C24" s="699" t="s">
        <v>1997</v>
      </c>
      <c r="D24" s="717"/>
      <c r="F24" s="96"/>
      <c r="G24"/>
      <c r="H24" s="96"/>
      <c r="I24"/>
      <c r="J24" s="96"/>
      <c r="K24"/>
    </row>
    <row r="25" spans="3:13" ht="28.5" customHeight="1" thickBot="1" x14ac:dyDescent="0.35">
      <c r="C25" s="699"/>
      <c r="D25" s="705" t="s">
        <v>1998</v>
      </c>
      <c r="E25" s="706"/>
      <c r="F25" s="705" t="str">
        <f>"Standaard laadprijs in "&amp;D10&amp;" (€/kWh)"</f>
        <v>Standaard laadprijs in  (€/kWh)</v>
      </c>
      <c r="G25" s="707"/>
      <c r="H25" s="705" t="s">
        <v>1986</v>
      </c>
      <c r="I25" s="708"/>
      <c r="J25" s="705" t="s">
        <v>1985</v>
      </c>
    </row>
    <row r="26" spans="3:13" ht="15.75" thickBot="1" x14ac:dyDescent="0.35">
      <c r="C26" s="630" t="s">
        <v>246</v>
      </c>
      <c r="D26" s="703">
        <f>Selectie_voertuigen!C46</f>
        <v>0</v>
      </c>
      <c r="E26" s="506"/>
      <c r="F26" s="704" t="str">
        <f>IFERROR(INDEX(brandstofkosten!$S$19:$T$19,MATCH($D$10,brandstofkosten!$S$5:$T$5,0)),"")</f>
        <v/>
      </c>
      <c r="H26" s="711"/>
      <c r="I26" s="712"/>
      <c r="J26" s="727"/>
      <c r="K26" s="709" t="str">
        <f>IF(AND($D$24="ja",H26&gt;0,OR(J26=0,J26="")),"Vul een laadprijs in","")</f>
        <v/>
      </c>
    </row>
    <row r="27" spans="3:13" ht="15.75" thickBot="1" x14ac:dyDescent="0.35">
      <c r="C27" s="630" t="s">
        <v>1966</v>
      </c>
      <c r="D27" s="703">
        <f>Selectie_voertuigen!C47</f>
        <v>0.8</v>
      </c>
      <c r="E27" s="506"/>
      <c r="F27" s="704" t="str">
        <f>IFERROR(INDEX(brandstofkosten!$S25:$T25,MATCH($D$10,brandstofkosten!$S$5:$T$5,0)),"")</f>
        <v/>
      </c>
      <c r="H27" s="711"/>
      <c r="I27" s="712"/>
      <c r="J27" s="727"/>
      <c r="K27" s="709" t="str">
        <f>IF(AND($D$24="ja",H27&gt;0,OR(J27=0,J27="")),"Vul een laadprijs in","")</f>
        <v/>
      </c>
    </row>
    <row r="28" spans="3:13" ht="15.75" thickBot="1" x14ac:dyDescent="0.35">
      <c r="C28" s="630" t="s">
        <v>798</v>
      </c>
      <c r="D28" s="703">
        <f>Selectie_voertuigen!C48</f>
        <v>0.2</v>
      </c>
      <c r="E28" s="506"/>
      <c r="F28" s="704" t="str">
        <f>IFERROR(INDEX(brandstofkosten!$S26:$T26,MATCH($D$10,brandstofkosten!$S$5:$T$5,0)),"")</f>
        <v/>
      </c>
      <c r="H28" s="711"/>
      <c r="I28" s="712"/>
      <c r="J28" s="727"/>
      <c r="K28" s="709" t="str">
        <f>IF(AND($D$24="ja",H28&gt;0,OR(J28=0,J28="")),"Vul een laadprijs in","")</f>
        <v/>
      </c>
    </row>
    <row r="29" spans="3:13" ht="15" customHeight="1" x14ac:dyDescent="0.3">
      <c r="C29" s="606"/>
      <c r="F29" s="96"/>
      <c r="G29"/>
      <c r="H29" s="698" t="str">
        <f>IF(AND(SUM(H26:H28)&lt;&gt;1,D24="ja"),"Zorg dat het totaal 100% is","")</f>
        <v/>
      </c>
      <c r="I29"/>
      <c r="J29" s="96"/>
      <c r="K29"/>
    </row>
    <row r="30" spans="3:13" ht="18" x14ac:dyDescent="0.35">
      <c r="C30" s="614" t="s">
        <v>1999</v>
      </c>
      <c r="D30" s="485"/>
      <c r="E30" s="485"/>
      <c r="F30" s="485"/>
      <c r="G30" s="485"/>
      <c r="H30" s="485"/>
      <c r="I30" s="485"/>
      <c r="J30" s="485"/>
      <c r="K30" s="485" cm="1">
        <f t="array" aca="1" ref="K30" ca="1">CELL("kolom",K31)/2-1</f>
        <v>4.5</v>
      </c>
    </row>
    <row r="31" spans="3:13" ht="18" customHeight="1" x14ac:dyDescent="0.35">
      <c r="C31" s="616" t="s">
        <v>1537</v>
      </c>
      <c r="D31" s="502" t="s">
        <v>1402</v>
      </c>
      <c r="E31" s="431"/>
      <c r="F31" s="502" t="s">
        <v>1403</v>
      </c>
      <c r="G31" s="431"/>
      <c r="H31" s="502" t="s">
        <v>1404</v>
      </c>
      <c r="I31" s="431"/>
      <c r="J31" s="502" t="s">
        <v>1405</v>
      </c>
      <c r="K31" s="431"/>
      <c r="M31" s="637"/>
    </row>
    <row r="32" spans="3:13" ht="5.25" customHeight="1" thickBot="1" x14ac:dyDescent="0.35">
      <c r="C32" s="486"/>
      <c r="D32" s="712"/>
      <c r="E32" s="486"/>
      <c r="F32" s="712"/>
      <c r="G32" s="486"/>
      <c r="H32" s="712"/>
      <c r="I32" s="486"/>
      <c r="J32" s="712"/>
      <c r="K32" s="486"/>
    </row>
    <row r="33" spans="2:14" ht="15.75" thickBot="1" x14ac:dyDescent="0.35">
      <c r="B33" s="742" t="s">
        <v>1107</v>
      </c>
      <c r="C33" s="661" t="s">
        <v>1363</v>
      </c>
      <c r="D33" s="721"/>
      <c r="E33" s="486"/>
      <c r="F33" s="721"/>
      <c r="G33" s="486"/>
      <c r="H33" s="721"/>
      <c r="I33" s="486"/>
      <c r="J33" s="721"/>
      <c r="K33" s="486"/>
    </row>
    <row r="34" spans="2:14" ht="4.5" customHeight="1" thickBot="1" x14ac:dyDescent="0.35">
      <c r="B34" s="743"/>
      <c r="C34" s="486"/>
      <c r="D34" s="716"/>
      <c r="E34" s="486"/>
      <c r="F34" s="716"/>
      <c r="G34" s="486"/>
      <c r="H34" s="716"/>
      <c r="I34" s="486"/>
      <c r="J34" s="716"/>
      <c r="K34" s="486"/>
    </row>
    <row r="35" spans="2:14" ht="15.75" thickBot="1" x14ac:dyDescent="0.35">
      <c r="B35" s="743"/>
      <c r="C35" s="486" t="s">
        <v>1362</v>
      </c>
      <c r="D35" s="721"/>
      <c r="E35" s="630"/>
      <c r="F35" s="721"/>
      <c r="G35" s="630"/>
      <c r="H35" s="721"/>
      <c r="I35" s="630"/>
      <c r="J35" s="721"/>
      <c r="K35" s="486"/>
    </row>
    <row r="36" spans="2:14" ht="4.5" customHeight="1" thickBot="1" x14ac:dyDescent="0.35">
      <c r="B36" s="743"/>
      <c r="C36" s="486"/>
      <c r="D36" s="716"/>
      <c r="E36" s="630"/>
      <c r="F36" s="716"/>
      <c r="G36" s="630"/>
      <c r="H36" s="716"/>
      <c r="I36" s="630"/>
      <c r="J36" s="716"/>
      <c r="K36" s="486"/>
    </row>
    <row r="37" spans="2:14" ht="15.75" thickBot="1" x14ac:dyDescent="0.35">
      <c r="B37" s="743"/>
      <c r="C37" s="486" t="s">
        <v>39</v>
      </c>
      <c r="D37" s="721"/>
      <c r="E37" s="630"/>
      <c r="F37" s="721"/>
      <c r="G37" s="630"/>
      <c r="H37" s="721"/>
      <c r="I37" s="630"/>
      <c r="J37" s="721"/>
      <c r="K37" s="696"/>
    </row>
    <row r="38" spans="2:14" ht="5.25" customHeight="1" thickBot="1" x14ac:dyDescent="0.35">
      <c r="B38" s="743"/>
      <c r="C38" s="486"/>
      <c r="D38" s="506"/>
      <c r="E38" s="486"/>
      <c r="F38" s="506"/>
      <c r="G38" s="486"/>
      <c r="H38" s="506"/>
      <c r="I38" s="486"/>
      <c r="J38" s="506"/>
      <c r="K38" s="486"/>
    </row>
    <row r="39" spans="2:14" ht="15" customHeight="1" thickBot="1" x14ac:dyDescent="0.35">
      <c r="B39" s="743"/>
      <c r="C39" s="486" t="s">
        <v>1367</v>
      </c>
      <c r="D39" s="721"/>
      <c r="E39" s="630"/>
      <c r="F39" s="721"/>
      <c r="G39" s="630"/>
      <c r="H39" s="721"/>
      <c r="I39" s="630"/>
      <c r="J39" s="721"/>
      <c r="K39" s="741" t="str">
        <f>IF(AND(COUNTA(_xlfn.ANCHORARRAY(Selectie_voertuigen!C53))&lt;2,D37&lt;&gt;""),"Taxi 1: geen modellen met deze brandstof beschikbaar in de database. Een eigen voertuig selecteren is wel mogelijk. "&amp;CHAR(10),"")&amp;IF(AND(COUNTA(_xlfn.ANCHORARRAY(Selectie_voertuigen!D53))&lt;2,F37&lt;&gt;""),"Taxi 2: geen modellen met deze brandstof beschikbaar in de database. Een eigen voertuig selecteren is wel mogelijk. "&amp;CHAR(10),"")&amp;IF(AND(COUNTA(_xlfn.ANCHORARRAY(Selectie_voertuigen!E53))&lt;2,H37&lt;&gt;""),"Taxi 3: geen modellen met deze brandstof beschikbaar in de database. Een eigen voertuig selecteren is wel mogelijk. "&amp;CHAR(10),"")&amp;IF(AND(COUNTA(_xlfn.ANCHORARRAY(Selectie_voertuigen!F53))&lt;2,J37&lt;&gt;""),"Taxi 4: geen modellen met deze brandstof beschikbaar in de database. Een eigen voertuig selecteren is wel mogelijk."&amp;CHAR(10),"")</f>
        <v/>
      </c>
      <c r="L39" s="741"/>
      <c r="M39" s="741"/>
      <c r="N39" s="741"/>
    </row>
    <row r="40" spans="2:14" ht="5.25" customHeight="1" thickBot="1" x14ac:dyDescent="0.35">
      <c r="B40" s="743"/>
      <c r="C40" s="486"/>
      <c r="D40" s="506"/>
      <c r="E40" s="486"/>
      <c r="F40" s="506"/>
      <c r="G40" s="486"/>
      <c r="H40" s="506"/>
      <c r="I40" s="486"/>
      <c r="J40" s="506"/>
      <c r="K40" s="741"/>
      <c r="L40" s="741"/>
      <c r="M40" s="741"/>
      <c r="N40" s="741"/>
    </row>
    <row r="41" spans="2:14" ht="15.75" thickBot="1" x14ac:dyDescent="0.35">
      <c r="B41" s="743"/>
      <c r="C41" s="486" t="s">
        <v>1794</v>
      </c>
      <c r="D41" s="728"/>
      <c r="E41" s="631"/>
      <c r="F41" s="728"/>
      <c r="G41" s="631"/>
      <c r="H41" s="728"/>
      <c r="I41" s="631"/>
      <c r="J41" s="728"/>
      <c r="K41" s="741"/>
      <c r="L41" s="741"/>
      <c r="M41" s="741"/>
      <c r="N41" s="741"/>
    </row>
    <row r="42" spans="2:14" ht="5.25" customHeight="1" thickBot="1" x14ac:dyDescent="0.35">
      <c r="B42" s="695"/>
      <c r="C42" s="486"/>
      <c r="D42" s="506"/>
      <c r="E42" s="486"/>
      <c r="F42" s="506"/>
      <c r="G42" s="486"/>
      <c r="H42" s="506"/>
      <c r="I42" s="486"/>
      <c r="J42" s="506"/>
      <c r="K42" s="741"/>
      <c r="L42" s="741"/>
      <c r="M42" s="741"/>
      <c r="N42" s="741"/>
    </row>
    <row r="43" spans="2:14" ht="15.75" thickBot="1" x14ac:dyDescent="0.35">
      <c r="B43" s="695"/>
      <c r="C43" s="486" t="s">
        <v>244</v>
      </c>
      <c r="D43" s="728"/>
      <c r="E43" s="631"/>
      <c r="F43" s="728"/>
      <c r="G43" s="631"/>
      <c r="H43" s="728"/>
      <c r="I43" s="631"/>
      <c r="J43" s="728"/>
      <c r="K43" s="741"/>
      <c r="L43" s="741"/>
      <c r="M43" s="741"/>
      <c r="N43" s="741"/>
    </row>
    <row r="44" spans="2:14" ht="5.25" customHeight="1" thickBot="1" x14ac:dyDescent="0.35">
      <c r="B44" s="744" t="s">
        <v>1953</v>
      </c>
      <c r="C44" s="661"/>
      <c r="D44" s="716"/>
      <c r="E44" s="486"/>
      <c r="F44" s="716"/>
      <c r="G44" s="486"/>
      <c r="H44" s="716"/>
      <c r="I44" s="486"/>
      <c r="J44" s="716"/>
      <c r="K44" s="486"/>
    </row>
    <row r="45" spans="2:14" ht="15.75" thickBot="1" x14ac:dyDescent="0.35">
      <c r="B45" s="745"/>
      <c r="C45" s="486" t="s">
        <v>1951</v>
      </c>
      <c r="D45" s="721"/>
      <c r="E45" s="486"/>
      <c r="F45" s="721"/>
      <c r="G45" s="486"/>
      <c r="H45" s="721"/>
      <c r="I45" s="486"/>
      <c r="J45" s="721"/>
      <c r="K45" s="486"/>
    </row>
    <row r="46" spans="2:14" ht="4.5" customHeight="1" thickBot="1" x14ac:dyDescent="0.35">
      <c r="B46" s="745"/>
      <c r="C46" s="486"/>
      <c r="D46" s="716"/>
      <c r="E46" s="486"/>
      <c r="F46" s="716"/>
      <c r="G46" s="486"/>
      <c r="H46" s="716"/>
      <c r="I46" s="486"/>
      <c r="J46" s="716"/>
      <c r="K46" s="486"/>
    </row>
    <row r="47" spans="2:14" ht="18" customHeight="1" thickBot="1" x14ac:dyDescent="0.35">
      <c r="B47" s="747"/>
      <c r="C47" s="677" t="str" cm="1">
        <f t="array" ref="C47">IF(SUM(1*($45:$45="Anders, namelijk:"))&gt;0,"(vul hier je aanschafprijs in)","")</f>
        <v/>
      </c>
      <c r="D47" s="718"/>
      <c r="E47" s="719"/>
      <c r="F47" s="718"/>
      <c r="G47" s="720"/>
      <c r="H47" s="718"/>
      <c r="I47" s="720"/>
      <c r="J47" s="718"/>
      <c r="K47" s="483"/>
    </row>
    <row r="48" spans="2:14" ht="5.25" customHeight="1" thickBot="1" x14ac:dyDescent="0.35">
      <c r="B48" s="742" t="str" cm="1">
        <f t="array" ref="B48">IF(SUM(1*($41:$41="Kies eigen model"))&gt;0,"Custom auto","")</f>
        <v/>
      </c>
      <c r="C48" s="661"/>
      <c r="D48" s="716"/>
      <c r="E48" s="486"/>
      <c r="F48" s="716"/>
      <c r="G48" s="486"/>
      <c r="H48" s="716"/>
      <c r="I48" s="486"/>
      <c r="J48" s="716"/>
      <c r="K48" s="486"/>
    </row>
    <row r="49" spans="2:13" ht="15.75" customHeight="1" thickBot="1" x14ac:dyDescent="0.35">
      <c r="B49" s="743"/>
      <c r="C49" s="486" t="str" cm="1">
        <f t="array" ref="C49">IF(SUM(1*($41:$41="Kies eigen model"))&gt;0,"Geef je auto een naam:","")</f>
        <v/>
      </c>
      <c r="D49" s="721"/>
      <c r="E49" s="722"/>
      <c r="F49" s="721"/>
      <c r="G49" s="722"/>
      <c r="H49" s="721"/>
      <c r="I49" s="722"/>
      <c r="J49" s="721"/>
      <c r="K49" s="486"/>
    </row>
    <row r="50" spans="2:13" ht="5.25" customHeight="1" thickBot="1" x14ac:dyDescent="0.35">
      <c r="B50" s="743"/>
      <c r="C50" s="486"/>
      <c r="D50" s="723"/>
      <c r="E50" s="724"/>
      <c r="F50" s="723"/>
      <c r="G50" s="724"/>
      <c r="H50" s="723"/>
      <c r="I50" s="724"/>
      <c r="J50" s="723"/>
      <c r="K50" s="486"/>
    </row>
    <row r="51" spans="2:13" ht="15.75" thickBot="1" x14ac:dyDescent="0.35">
      <c r="B51" s="743"/>
      <c r="C51" s="486" t="str" cm="1">
        <f t="array" ref="C51">IF(SUM(1*($41:$41="Kies eigen model"))&gt;0,"Custom auto: gewicht (kg)","")</f>
        <v/>
      </c>
      <c r="D51" s="725"/>
      <c r="E51" s="724"/>
      <c r="F51" s="725"/>
      <c r="G51" s="724"/>
      <c r="H51" s="725"/>
      <c r="I51" s="724"/>
      <c r="J51" s="725"/>
      <c r="K51" s="486"/>
    </row>
    <row r="52" spans="2:13" ht="4.5" customHeight="1" thickBot="1" x14ac:dyDescent="0.35">
      <c r="B52" s="743"/>
      <c r="C52" s="486"/>
      <c r="D52" s="716"/>
      <c r="E52" s="722"/>
      <c r="F52" s="716"/>
      <c r="G52" s="722"/>
      <c r="H52" s="716"/>
      <c r="I52" s="722"/>
      <c r="J52" s="716"/>
      <c r="K52" s="486"/>
    </row>
    <row r="53" spans="2:13" ht="15.75" thickBot="1" x14ac:dyDescent="0.35">
      <c r="B53" s="743"/>
      <c r="C53" s="486" t="str" cm="1">
        <f t="array" ref="C53">IF(SUM(1*($41:$41="Kies eigen model"))&gt;0,"Custom auto: WLTP-testwaarde (g CO2/km)","")</f>
        <v/>
      </c>
      <c r="D53" s="725"/>
      <c r="E53" s="724"/>
      <c r="F53" s="725"/>
      <c r="G53" s="724"/>
      <c r="H53" s="725"/>
      <c r="I53" s="724"/>
      <c r="J53" s="725"/>
      <c r="K53" s="483"/>
    </row>
    <row r="54" spans="2:13" ht="4.5" customHeight="1" thickBot="1" x14ac:dyDescent="0.35">
      <c r="B54" s="743"/>
      <c r="C54" s="486"/>
      <c r="D54" s="726"/>
      <c r="E54" s="726"/>
      <c r="F54" s="726"/>
      <c r="G54" s="726"/>
      <c r="H54" s="726"/>
      <c r="I54" s="726"/>
      <c r="J54" s="726"/>
      <c r="K54" s="483"/>
    </row>
    <row r="55" spans="2:13" ht="15.75" thickBot="1" x14ac:dyDescent="0.35">
      <c r="B55" s="746"/>
      <c r="C55" s="486" t="str" cm="1">
        <f t="array" ref="C55">IF(SUM(1*($41:$41="Kies eigen model"))&gt;0,"Custom auto: elektrisch verbruik (kWh/100km)","")</f>
        <v/>
      </c>
      <c r="D55" s="725"/>
      <c r="E55" s="724"/>
      <c r="F55" s="725"/>
      <c r="G55" s="724"/>
      <c r="H55" s="725"/>
      <c r="I55" s="724"/>
      <c r="J55" s="725"/>
      <c r="K55" s="483"/>
    </row>
    <row r="56" spans="2:13" ht="5.25" customHeight="1" thickBot="1" x14ac:dyDescent="0.35">
      <c r="B56" s="744" t="str" cm="1">
        <f t="array" ref="B56">IF(SUM(1*($33:$33="Tweedehands"))&gt;0,"Tweede- hands","")</f>
        <v/>
      </c>
      <c r="C56" s="661"/>
      <c r="D56" s="716"/>
      <c r="E56" s="486"/>
      <c r="F56" s="716"/>
      <c r="G56" s="486"/>
      <c r="H56" s="716"/>
      <c r="I56" s="486"/>
      <c r="J56" s="716"/>
      <c r="K56" s="486"/>
    </row>
    <row r="57" spans="2:13" ht="15.75" thickBot="1" x14ac:dyDescent="0.35">
      <c r="B57" s="745"/>
      <c r="C57" s="486" t="str" cm="1">
        <f t="array" ref="C57">IF(SUM(1*($33:$33="Tweedehands"))&gt;0,"Tweedehands: Bouwjaar voertuig","")</f>
        <v/>
      </c>
      <c r="D57" s="721"/>
      <c r="E57" s="486"/>
      <c r="F57" s="721"/>
      <c r="G57" s="486"/>
      <c r="H57" s="721"/>
      <c r="I57" s="486"/>
      <c r="J57" s="721"/>
      <c r="K57" s="486"/>
    </row>
    <row r="58" spans="2:13" ht="4.5" customHeight="1" thickBot="1" x14ac:dyDescent="0.35">
      <c r="B58" s="745"/>
      <c r="C58" s="486"/>
      <c r="D58" s="716"/>
      <c r="E58" s="486"/>
      <c r="F58" s="716"/>
      <c r="G58" s="486"/>
      <c r="H58" s="716"/>
      <c r="I58" s="486"/>
      <c r="J58" s="716"/>
      <c r="K58" s="486"/>
    </row>
    <row r="59" spans="2:13" ht="15.75" thickBot="1" x14ac:dyDescent="0.35">
      <c r="B59" s="745"/>
      <c r="C59" s="486" t="str" cm="1">
        <f t="array" ref="C59">IF(SUM(1*($33:$33="Tweedehands"))&gt;0,"Tweedehands: Kilometerstand bij aanschaf","")</f>
        <v/>
      </c>
      <c r="D59" s="725"/>
      <c r="E59" s="724"/>
      <c r="F59" s="725"/>
      <c r="G59" s="726"/>
      <c r="H59" s="725"/>
      <c r="I59" s="726"/>
      <c r="J59" s="725"/>
      <c r="K59" s="483"/>
    </row>
    <row r="60" spans="2:13" ht="4.5" customHeight="1" x14ac:dyDescent="0.3">
      <c r="B60" s="745"/>
      <c r="C60" s="486"/>
      <c r="D60" s="716"/>
      <c r="E60" s="486"/>
      <c r="F60" s="716"/>
      <c r="G60" s="486"/>
      <c r="H60" s="716"/>
      <c r="I60" s="486"/>
      <c r="J60" s="716"/>
      <c r="K60" s="486"/>
    </row>
    <row r="61" spans="2:13" ht="22.5" customHeight="1" x14ac:dyDescent="0.3">
      <c r="C61" s="616" t="s">
        <v>1620</v>
      </c>
      <c r="D61" s="509">
        <f>Selectie_voertuigen!C26</f>
        <v>-1</v>
      </c>
      <c r="E61" s="509"/>
      <c r="F61" s="509">
        <f>Selectie_voertuigen!D26</f>
        <v>-1</v>
      </c>
      <c r="G61" s="509"/>
      <c r="H61" s="509">
        <f>Selectie_voertuigen!E26</f>
        <v>-1</v>
      </c>
      <c r="I61" s="509"/>
      <c r="J61" s="509">
        <f>Selectie_voertuigen!F26</f>
        <v>-1</v>
      </c>
      <c r="K61" s="510"/>
      <c r="L61" s="498"/>
      <c r="M61" s="498"/>
    </row>
    <row r="62" spans="2:13" ht="34.5" customHeight="1" x14ac:dyDescent="0.35">
      <c r="C62" s="614" t="s">
        <v>1522</v>
      </c>
      <c r="K62" s="510"/>
      <c r="L62" s="498"/>
      <c r="M62" s="498"/>
    </row>
    <row r="63" spans="2:13" x14ac:dyDescent="0.3">
      <c r="B63" s="690"/>
      <c r="C63" s="688"/>
      <c r="D63" s="689"/>
      <c r="E63" s="689"/>
      <c r="F63" s="689"/>
      <c r="G63" s="689"/>
      <c r="H63" s="689"/>
      <c r="I63" s="689"/>
      <c r="J63" s="689"/>
      <c r="K63" s="689"/>
      <c r="L63" s="498"/>
      <c r="M63" s="498"/>
    </row>
    <row r="64" spans="2:13" x14ac:dyDescent="0.3">
      <c r="C64" s="510"/>
      <c r="D64" s="510"/>
      <c r="E64" s="510"/>
      <c r="F64" s="510"/>
      <c r="G64" s="510"/>
      <c r="H64" s="510"/>
      <c r="I64" s="510"/>
      <c r="J64" s="510"/>
      <c r="K64" s="510"/>
      <c r="L64" s="498"/>
      <c r="M64" s="498"/>
    </row>
    <row r="65" spans="3:13" x14ac:dyDescent="0.3">
      <c r="C65" s="510"/>
      <c r="D65" s="510"/>
      <c r="E65" s="510"/>
      <c r="F65" s="510"/>
      <c r="G65" s="510"/>
      <c r="H65" s="510"/>
      <c r="I65" s="510"/>
      <c r="J65" s="510"/>
      <c r="K65" s="510"/>
      <c r="L65" s="498"/>
      <c r="M65" s="498"/>
    </row>
    <row r="66" spans="3:13" x14ac:dyDescent="0.3">
      <c r="C66" s="510"/>
      <c r="D66" s="510"/>
      <c r="E66" s="510"/>
      <c r="F66" s="510"/>
      <c r="G66" s="510"/>
      <c r="H66" s="510"/>
      <c r="I66" s="510"/>
      <c r="J66" s="510"/>
      <c r="K66" s="510"/>
      <c r="L66" s="498"/>
      <c r="M66" s="498"/>
    </row>
    <row r="67" spans="3:13" x14ac:dyDescent="0.3">
      <c r="C67" s="485"/>
      <c r="D67" s="485"/>
      <c r="E67" s="485"/>
      <c r="F67" s="485"/>
      <c r="G67" s="485"/>
      <c r="H67" s="485"/>
      <c r="I67" s="485"/>
      <c r="J67" s="485"/>
      <c r="K67" s="485"/>
      <c r="L67" s="498"/>
      <c r="M67" s="498"/>
    </row>
    <row r="68" spans="3:13" x14ac:dyDescent="0.3">
      <c r="C68" s="485"/>
      <c r="D68" s="485"/>
      <c r="E68" s="485"/>
      <c r="F68" s="485"/>
      <c r="G68" s="485"/>
      <c r="H68" s="485"/>
      <c r="I68" s="485"/>
      <c r="J68" s="485"/>
      <c r="K68" s="485"/>
      <c r="L68" s="498"/>
      <c r="M68" s="498"/>
    </row>
    <row r="69" spans="3:13" x14ac:dyDescent="0.3">
      <c r="C69" s="485"/>
      <c r="D69" s="485"/>
      <c r="E69" s="485"/>
      <c r="F69" s="485"/>
      <c r="G69" s="485"/>
      <c r="H69" s="485"/>
      <c r="I69" s="485"/>
      <c r="J69" s="485"/>
      <c r="K69" s="498"/>
      <c r="L69" s="498"/>
      <c r="M69" s="498"/>
    </row>
    <row r="70" spans="3:13" x14ac:dyDescent="0.3">
      <c r="C70" s="485"/>
      <c r="D70" s="485"/>
      <c r="E70" s="485"/>
      <c r="F70" s="485"/>
      <c r="G70" s="485"/>
      <c r="H70" s="485"/>
      <c r="I70" s="485"/>
      <c r="J70" s="485"/>
    </row>
    <row r="71" spans="3:13" x14ac:dyDescent="0.3">
      <c r="C71" s="485"/>
      <c r="D71" s="485"/>
      <c r="E71" s="485"/>
      <c r="F71" s="485"/>
      <c r="G71" s="485"/>
      <c r="H71" s="485"/>
      <c r="I71" s="485"/>
      <c r="J71" s="485"/>
    </row>
    <row r="72" spans="3:13" x14ac:dyDescent="0.3">
      <c r="C72" s="485"/>
      <c r="D72" s="485"/>
      <c r="E72" s="485"/>
      <c r="F72" s="485"/>
      <c r="G72" s="485"/>
      <c r="H72" s="485"/>
      <c r="I72" s="485"/>
      <c r="J72" s="485"/>
    </row>
    <row r="73" spans="3:13" x14ac:dyDescent="0.3">
      <c r="C73" s="485"/>
      <c r="D73" s="485"/>
      <c r="E73" s="485"/>
      <c r="F73" s="485"/>
      <c r="G73" s="485"/>
      <c r="H73" s="485"/>
      <c r="I73" s="485"/>
      <c r="J73" s="485"/>
    </row>
    <row r="74" spans="3:13" x14ac:dyDescent="0.3">
      <c r="C74" s="485"/>
      <c r="D74" s="485"/>
      <c r="E74" s="485"/>
      <c r="F74" s="485"/>
      <c r="G74" s="485"/>
      <c r="H74" s="485"/>
      <c r="I74" s="485"/>
      <c r="J74" s="485"/>
    </row>
    <row r="75" spans="3:13" x14ac:dyDescent="0.3">
      <c r="C75" s="485"/>
      <c r="D75" s="485"/>
      <c r="E75" s="485"/>
      <c r="F75" s="485"/>
      <c r="G75" s="485"/>
      <c r="H75" s="485"/>
      <c r="I75" s="485"/>
      <c r="J75" s="485"/>
    </row>
    <row r="76" spans="3:13" x14ac:dyDescent="0.3">
      <c r="C76" s="485"/>
      <c r="D76" s="485"/>
      <c r="E76" s="485"/>
      <c r="F76" s="485"/>
      <c r="G76" s="485"/>
      <c r="H76" s="485"/>
      <c r="I76" s="485"/>
      <c r="J76" s="485"/>
    </row>
    <row r="77" spans="3:13" x14ac:dyDescent="0.3">
      <c r="C77" s="485"/>
      <c r="D77" s="485"/>
      <c r="E77" s="485"/>
      <c r="F77" s="485"/>
      <c r="G77" s="485"/>
      <c r="H77" s="485"/>
      <c r="I77" s="485"/>
      <c r="J77" s="485"/>
    </row>
    <row r="78" spans="3:13" x14ac:dyDescent="0.3">
      <c r="C78" s="485"/>
      <c r="D78" s="485"/>
      <c r="E78" s="485"/>
      <c r="F78" s="485"/>
      <c r="G78" s="485"/>
      <c r="H78" s="485"/>
      <c r="I78" s="485"/>
      <c r="J78" s="485"/>
    </row>
    <row r="79" spans="3:13" x14ac:dyDescent="0.3">
      <c r="C79" s="485"/>
      <c r="D79" s="485"/>
      <c r="E79" s="485"/>
      <c r="F79" s="485"/>
      <c r="G79" s="485"/>
      <c r="H79" s="485"/>
      <c r="I79" s="485"/>
      <c r="J79" s="485"/>
    </row>
    <row r="80" spans="3:13" x14ac:dyDescent="0.3">
      <c r="C80" s="485"/>
      <c r="D80" s="485"/>
      <c r="E80" s="485"/>
      <c r="F80" s="485"/>
      <c r="G80" s="485"/>
      <c r="H80" s="485"/>
      <c r="I80" s="485"/>
      <c r="J80" s="485"/>
    </row>
    <row r="81" spans="3:10" ht="27" customHeight="1" x14ac:dyDescent="0.3">
      <c r="C81" s="485"/>
      <c r="D81" s="740" t="s">
        <v>1991</v>
      </c>
      <c r="E81" s="740"/>
      <c r="F81" s="740"/>
      <c r="G81" s="740"/>
      <c r="H81" s="740"/>
      <c r="I81" s="740"/>
      <c r="J81" s="740"/>
    </row>
    <row r="82" spans="3:10" x14ac:dyDescent="0.3">
      <c r="C82" s="485"/>
      <c r="D82" s="485"/>
      <c r="E82" s="485"/>
      <c r="F82" s="485"/>
      <c r="G82" s="485"/>
      <c r="H82" s="485"/>
      <c r="I82" s="485"/>
      <c r="J82" s="485"/>
    </row>
    <row r="83" spans="3:10" ht="18" x14ac:dyDescent="0.35">
      <c r="D83" s="731" t="s">
        <v>2000</v>
      </c>
      <c r="E83" s="731"/>
      <c r="F83" s="731"/>
      <c r="G83" s="731"/>
      <c r="H83" s="731"/>
      <c r="I83" s="731"/>
      <c r="J83" s="731"/>
    </row>
    <row r="84" spans="3:10" x14ac:dyDescent="0.3">
      <c r="C84" s="485"/>
      <c r="D84" s="485"/>
      <c r="E84" s="485"/>
      <c r="F84" s="485"/>
      <c r="G84" s="485"/>
      <c r="H84" s="485"/>
      <c r="I84" s="485"/>
      <c r="J84" s="485"/>
    </row>
    <row r="85" spans="3:10" x14ac:dyDescent="0.3">
      <c r="C85" s="485"/>
      <c r="D85" s="485"/>
      <c r="E85" s="485"/>
      <c r="F85" s="485"/>
      <c r="G85" s="485"/>
      <c r="H85" s="485"/>
      <c r="I85" s="485"/>
      <c r="J85" s="485"/>
    </row>
    <row r="86" spans="3:10" x14ac:dyDescent="0.3">
      <c r="C86" s="485"/>
      <c r="D86" s="485"/>
      <c r="E86" s="485"/>
      <c r="F86" s="485"/>
      <c r="G86" s="485"/>
      <c r="H86" s="485"/>
      <c r="I86" s="485"/>
      <c r="J86" s="485"/>
    </row>
    <row r="87" spans="3:10" x14ac:dyDescent="0.3">
      <c r="C87" s="485"/>
      <c r="D87" s="485"/>
      <c r="E87" s="485"/>
      <c r="F87" s="485"/>
      <c r="G87" s="485"/>
      <c r="H87" s="485"/>
      <c r="I87" s="485"/>
      <c r="J87" s="485"/>
    </row>
    <row r="88" spans="3:10" x14ac:dyDescent="0.3">
      <c r="C88" s="485"/>
      <c r="D88" s="485"/>
      <c r="E88" s="485"/>
      <c r="F88" s="485"/>
      <c r="G88" s="485"/>
      <c r="H88" s="485"/>
      <c r="I88" s="485"/>
      <c r="J88" s="485"/>
    </row>
    <row r="89" spans="3:10" x14ac:dyDescent="0.3">
      <c r="C89" s="485"/>
      <c r="D89" s="485"/>
      <c r="E89" s="485"/>
      <c r="F89" s="485"/>
      <c r="G89" s="485"/>
      <c r="H89" s="485"/>
      <c r="I89" s="485"/>
      <c r="J89" s="485"/>
    </row>
    <row r="90" spans="3:10" x14ac:dyDescent="0.3">
      <c r="C90" s="485"/>
      <c r="D90" s="485"/>
      <c r="E90" s="485"/>
      <c r="F90" s="485"/>
      <c r="G90" s="485"/>
      <c r="H90" s="485"/>
      <c r="I90" s="485"/>
      <c r="J90" s="485"/>
    </row>
    <row r="91" spans="3:10" x14ac:dyDescent="0.3">
      <c r="C91" s="485"/>
      <c r="D91" s="485"/>
      <c r="E91" s="485"/>
      <c r="F91" s="485"/>
      <c r="G91" s="485"/>
      <c r="H91" s="485"/>
      <c r="I91" s="485"/>
      <c r="J91" s="485"/>
    </row>
    <row r="92" spans="3:10" x14ac:dyDescent="0.3">
      <c r="C92" s="485"/>
      <c r="D92" s="485"/>
      <c r="E92" s="485"/>
      <c r="F92" s="485"/>
      <c r="G92" s="485"/>
      <c r="H92" s="485"/>
      <c r="I92" s="485"/>
      <c r="J92" s="485"/>
    </row>
    <row r="93" spans="3:10" x14ac:dyDescent="0.3">
      <c r="C93" s="485"/>
      <c r="D93" s="485"/>
      <c r="E93" s="485"/>
      <c r="F93" s="485"/>
      <c r="G93" s="485"/>
      <c r="H93" s="485"/>
      <c r="I93" s="485"/>
      <c r="J93" s="485"/>
    </row>
    <row r="94" spans="3:10" x14ac:dyDescent="0.3">
      <c r="C94" s="485"/>
      <c r="D94" s="485"/>
      <c r="E94" s="485"/>
      <c r="F94" s="485"/>
      <c r="G94" s="485"/>
      <c r="H94" s="485"/>
      <c r="I94" s="485"/>
      <c r="J94" s="485"/>
    </row>
    <row r="95" spans="3:10" x14ac:dyDescent="0.3">
      <c r="C95" s="485"/>
      <c r="D95" s="485"/>
      <c r="E95" s="485"/>
      <c r="F95" s="485"/>
      <c r="G95" s="485"/>
      <c r="H95" s="485"/>
      <c r="I95" s="485"/>
      <c r="J95" s="485"/>
    </row>
    <row r="96" spans="3:10" x14ac:dyDescent="0.3">
      <c r="C96" s="485"/>
      <c r="D96" s="485"/>
      <c r="E96" s="485"/>
      <c r="F96" s="485"/>
      <c r="G96" s="485"/>
      <c r="H96" s="485"/>
      <c r="I96" s="485"/>
      <c r="J96" s="485"/>
    </row>
    <row r="97" spans="3:13" ht="15.75" x14ac:dyDescent="0.35">
      <c r="C97" s="641"/>
      <c r="D97" s="642"/>
      <c r="E97" s="641"/>
      <c r="F97" s="642"/>
      <c r="G97" s="642"/>
      <c r="H97" s="642"/>
      <c r="I97" s="641"/>
      <c r="J97" s="642"/>
      <c r="K97" s="636"/>
    </row>
    <row r="98" spans="3:13" ht="15.75" x14ac:dyDescent="0.35">
      <c r="C98" s="641"/>
      <c r="D98" s="642"/>
      <c r="E98" s="642"/>
      <c r="F98" s="642"/>
      <c r="G98" s="642"/>
      <c r="H98" s="642"/>
      <c r="I98" s="641"/>
      <c r="J98" s="642"/>
      <c r="K98" s="636"/>
    </row>
    <row r="99" spans="3:13" ht="20.25" customHeight="1" x14ac:dyDescent="0.3">
      <c r="C99" s="635"/>
      <c r="D99" s="640"/>
      <c r="E99" s="640"/>
      <c r="F99" s="640"/>
      <c r="G99" s="640"/>
      <c r="H99" s="640"/>
      <c r="I99" s="640"/>
      <c r="J99" s="640"/>
      <c r="K99" s="510"/>
      <c r="L99" s="498"/>
      <c r="M99" s="498"/>
    </row>
    <row r="100" spans="3:13" x14ac:dyDescent="0.3">
      <c r="C100" s="485"/>
      <c r="D100" s="485"/>
      <c r="E100" s="485"/>
      <c r="F100" s="485"/>
      <c r="G100" s="485"/>
      <c r="H100" s="485"/>
      <c r="I100" s="485"/>
      <c r="J100" s="485"/>
    </row>
    <row r="101" spans="3:13" x14ac:dyDescent="0.3">
      <c r="C101" s="485"/>
      <c r="D101" s="485"/>
      <c r="E101" s="485"/>
      <c r="F101" s="485"/>
      <c r="G101" s="485"/>
      <c r="H101" s="485"/>
      <c r="I101" s="485"/>
      <c r="J101" s="485"/>
    </row>
    <row r="102" spans="3:13" x14ac:dyDescent="0.3">
      <c r="C102" s="485"/>
      <c r="D102" s="485"/>
      <c r="E102" s="485"/>
      <c r="F102" s="485"/>
      <c r="G102" s="485"/>
      <c r="H102" s="485"/>
      <c r="I102" s="485"/>
      <c r="J102" s="485"/>
    </row>
    <row r="103" spans="3:13" x14ac:dyDescent="0.3">
      <c r="C103" s="485"/>
      <c r="D103" s="485"/>
      <c r="E103" s="485"/>
      <c r="F103" s="485"/>
      <c r="G103" s="485"/>
      <c r="H103" s="485"/>
      <c r="I103" s="485"/>
      <c r="J103" s="485"/>
    </row>
    <row r="104" spans="3:13" x14ac:dyDescent="0.3">
      <c r="C104" s="485"/>
      <c r="D104" s="485"/>
      <c r="E104" s="485"/>
      <c r="F104" s="485"/>
      <c r="G104" s="485"/>
      <c r="H104" s="485"/>
      <c r="I104" s="485"/>
      <c r="J104" s="485"/>
    </row>
    <row r="105" spans="3:13" x14ac:dyDescent="0.3">
      <c r="C105" s="485"/>
      <c r="D105" s="485"/>
      <c r="E105" s="485"/>
      <c r="F105" s="485"/>
      <c r="G105" s="485"/>
      <c r="H105" s="485"/>
      <c r="I105" s="485"/>
      <c r="J105" s="485"/>
    </row>
    <row r="106" spans="3:13" x14ac:dyDescent="0.3">
      <c r="C106" s="485"/>
      <c r="D106" s="485"/>
      <c r="E106" s="485"/>
      <c r="F106" s="485"/>
      <c r="G106" s="485"/>
      <c r="H106" s="485"/>
      <c r="I106" s="485"/>
      <c r="J106" s="485"/>
    </row>
    <row r="107" spans="3:13" x14ac:dyDescent="0.3">
      <c r="C107" s="485"/>
      <c r="D107" s="485"/>
      <c r="E107" s="485"/>
      <c r="F107" s="485"/>
      <c r="G107" s="485"/>
      <c r="H107" s="485"/>
      <c r="I107" s="485"/>
      <c r="J107" s="485"/>
    </row>
    <row r="108" spans="3:13" x14ac:dyDescent="0.3">
      <c r="C108" s="485"/>
      <c r="D108" s="485"/>
      <c r="E108" s="485"/>
      <c r="F108" s="485"/>
      <c r="G108" s="485"/>
      <c r="H108" s="485"/>
      <c r="I108" s="485"/>
      <c r="J108" s="485"/>
    </row>
    <row r="109" spans="3:13" x14ac:dyDescent="0.3">
      <c r="C109" s="485"/>
      <c r="D109" s="485"/>
      <c r="E109" s="485"/>
      <c r="F109" s="485"/>
      <c r="G109" s="485"/>
      <c r="H109" s="485"/>
      <c r="I109" s="485"/>
      <c r="J109" s="485"/>
    </row>
    <row r="110" spans="3:13" x14ac:dyDescent="0.3">
      <c r="C110" s="485"/>
      <c r="D110" s="485"/>
      <c r="E110" s="485"/>
      <c r="F110" s="485"/>
      <c r="G110" s="485"/>
      <c r="H110" s="485"/>
      <c r="I110" s="485"/>
      <c r="J110" s="485"/>
    </row>
    <row r="111" spans="3:13" x14ac:dyDescent="0.3">
      <c r="C111" s="485"/>
      <c r="D111" s="485"/>
      <c r="E111" s="485"/>
      <c r="F111" s="485"/>
      <c r="G111" s="485"/>
      <c r="H111" s="485"/>
      <c r="I111" s="485"/>
      <c r="J111" s="485"/>
    </row>
    <row r="112" spans="3:13" x14ac:dyDescent="0.3">
      <c r="C112" s="485"/>
      <c r="D112" s="485"/>
      <c r="E112" s="485"/>
      <c r="F112" s="485"/>
      <c r="G112" s="485"/>
      <c r="H112" s="485"/>
      <c r="I112" s="485"/>
      <c r="J112" s="485"/>
    </row>
    <row r="113" spans="3:10" x14ac:dyDescent="0.3">
      <c r="C113" s="485"/>
      <c r="D113" s="485"/>
      <c r="E113" s="485"/>
      <c r="F113" s="485"/>
      <c r="G113" s="485"/>
      <c r="H113" s="485"/>
      <c r="I113" s="485"/>
      <c r="J113" s="485"/>
    </row>
    <row r="114" spans="3:10" x14ac:dyDescent="0.3">
      <c r="C114" s="485"/>
      <c r="D114" s="485"/>
      <c r="E114" s="485"/>
      <c r="F114" s="485"/>
      <c r="G114" s="485"/>
      <c r="H114" s="485"/>
      <c r="I114" s="485"/>
      <c r="J114" s="485"/>
    </row>
    <row r="115" spans="3:10" x14ac:dyDescent="0.3">
      <c r="C115" s="485"/>
      <c r="D115" s="485"/>
      <c r="E115" s="485"/>
      <c r="F115" s="485"/>
      <c r="G115" s="485"/>
      <c r="H115" s="485"/>
      <c r="I115" s="485"/>
      <c r="J115" s="485"/>
    </row>
    <row r="116" spans="3:10" x14ac:dyDescent="0.3">
      <c r="C116" s="485"/>
      <c r="D116" s="485"/>
      <c r="E116" s="485"/>
      <c r="F116" s="485"/>
      <c r="G116" s="485"/>
      <c r="H116" s="485"/>
      <c r="I116" s="485"/>
      <c r="J116" s="485"/>
    </row>
    <row r="117" spans="3:10" x14ac:dyDescent="0.3">
      <c r="C117" s="485"/>
      <c r="D117" s="485"/>
      <c r="E117" s="485"/>
      <c r="F117" s="485"/>
      <c r="G117" s="485"/>
      <c r="H117" s="485"/>
      <c r="I117" s="485"/>
      <c r="J117" s="485"/>
    </row>
    <row r="118" spans="3:10" x14ac:dyDescent="0.3">
      <c r="C118" s="485"/>
      <c r="D118" s="485"/>
      <c r="E118" s="485"/>
      <c r="F118" s="485"/>
      <c r="G118" s="485"/>
      <c r="H118" s="485"/>
      <c r="I118" s="485"/>
      <c r="J118" s="485"/>
    </row>
    <row r="119" spans="3:10" x14ac:dyDescent="0.3">
      <c r="C119" s="485"/>
      <c r="D119" s="485"/>
      <c r="E119" s="485"/>
      <c r="F119" s="485"/>
      <c r="G119" s="485"/>
      <c r="H119" s="485"/>
      <c r="I119" s="485"/>
      <c r="J119" s="485"/>
    </row>
    <row r="120" spans="3:10" x14ac:dyDescent="0.3">
      <c r="C120" s="485"/>
      <c r="D120" s="485"/>
      <c r="E120" s="485"/>
      <c r="F120" s="485"/>
      <c r="G120" s="485"/>
      <c r="H120" s="485"/>
      <c r="I120" s="485"/>
      <c r="J120" s="485"/>
    </row>
    <row r="121" spans="3:10" x14ac:dyDescent="0.3">
      <c r="C121" s="485"/>
      <c r="D121" s="485"/>
      <c r="E121" s="485"/>
      <c r="F121" s="485"/>
      <c r="G121" s="485"/>
      <c r="H121" s="485"/>
      <c r="I121" s="485"/>
      <c r="J121" s="485"/>
    </row>
    <row r="122" spans="3:10" x14ac:dyDescent="0.3">
      <c r="C122" s="485"/>
      <c r="D122" s="485"/>
      <c r="E122" s="485"/>
      <c r="F122" s="485"/>
      <c r="G122" s="485"/>
      <c r="H122" s="485"/>
      <c r="I122" s="485"/>
      <c r="J122" s="485"/>
    </row>
    <row r="123" spans="3:10" x14ac:dyDescent="0.3">
      <c r="C123" s="485"/>
      <c r="D123" s="485"/>
      <c r="E123" s="485"/>
      <c r="F123" s="485"/>
      <c r="G123" s="485"/>
      <c r="H123" s="485"/>
      <c r="I123" s="485"/>
      <c r="J123" s="485"/>
    </row>
    <row r="124" spans="3:10" x14ac:dyDescent="0.3">
      <c r="C124" s="485"/>
      <c r="D124" s="485"/>
      <c r="E124" s="485"/>
      <c r="F124" s="485"/>
      <c r="G124" s="485"/>
      <c r="H124" s="485"/>
      <c r="I124" s="485"/>
      <c r="J124" s="485"/>
    </row>
    <row r="125" spans="3:10" x14ac:dyDescent="0.3">
      <c r="C125" s="485"/>
      <c r="D125" s="485"/>
      <c r="E125" s="485"/>
      <c r="F125" s="485"/>
      <c r="G125" s="485"/>
      <c r="H125" s="485"/>
      <c r="I125" s="485"/>
      <c r="J125" s="485"/>
    </row>
    <row r="126" spans="3:10" x14ac:dyDescent="0.3">
      <c r="C126" s="485"/>
      <c r="D126" s="485"/>
      <c r="E126" s="485"/>
      <c r="F126" s="485"/>
      <c r="G126" s="485"/>
      <c r="H126" s="485"/>
      <c r="I126" s="485"/>
      <c r="J126" s="485"/>
    </row>
    <row r="127" spans="3:10" x14ac:dyDescent="0.3">
      <c r="C127" s="485"/>
      <c r="D127" s="485"/>
      <c r="E127" s="485"/>
      <c r="F127" s="485"/>
      <c r="G127" s="485"/>
      <c r="H127" s="485"/>
      <c r="I127" s="485"/>
      <c r="J127" s="485"/>
    </row>
    <row r="128" spans="3:10" x14ac:dyDescent="0.3">
      <c r="C128" s="485"/>
      <c r="D128" s="485"/>
      <c r="E128" s="485"/>
      <c r="F128" s="485"/>
      <c r="G128" s="485"/>
      <c r="H128" s="485"/>
      <c r="I128" s="485"/>
      <c r="J128" s="485"/>
    </row>
    <row r="129" spans="3:10" x14ac:dyDescent="0.3">
      <c r="C129" s="485"/>
      <c r="D129" s="485"/>
      <c r="E129" s="485"/>
      <c r="F129" s="485"/>
      <c r="G129" s="485"/>
      <c r="H129" s="485"/>
      <c r="I129" s="485"/>
      <c r="J129" s="485"/>
    </row>
    <row r="130" spans="3:10" x14ac:dyDescent="0.3">
      <c r="C130" s="485"/>
      <c r="D130" s="485"/>
      <c r="E130" s="485"/>
      <c r="F130" s="485"/>
      <c r="G130" s="485"/>
      <c r="H130" s="485"/>
      <c r="I130" s="485"/>
      <c r="J130" s="485"/>
    </row>
    <row r="131" spans="3:10" x14ac:dyDescent="0.3">
      <c r="C131" s="485"/>
      <c r="D131" s="485"/>
      <c r="E131" s="485"/>
      <c r="F131" s="485"/>
      <c r="G131" s="485"/>
      <c r="H131" s="485"/>
      <c r="I131" s="485"/>
      <c r="J131" s="485"/>
    </row>
    <row r="132" spans="3:10" x14ac:dyDescent="0.3">
      <c r="C132" s="485"/>
      <c r="D132" s="485"/>
      <c r="E132" s="485"/>
      <c r="F132" s="485"/>
      <c r="G132" s="485"/>
      <c r="H132" s="485"/>
      <c r="I132" s="485"/>
      <c r="J132" s="485"/>
    </row>
    <row r="133" spans="3:10" x14ac:dyDescent="0.3">
      <c r="C133" s="485"/>
      <c r="D133" s="485"/>
      <c r="E133" s="485"/>
      <c r="F133" s="485"/>
      <c r="G133" s="485"/>
      <c r="H133" s="485"/>
      <c r="I133" s="485"/>
      <c r="J133" s="485"/>
    </row>
    <row r="134" spans="3:10" x14ac:dyDescent="0.3">
      <c r="C134" s="485"/>
      <c r="D134" s="485"/>
      <c r="E134" s="485"/>
      <c r="F134" s="485"/>
      <c r="G134" s="485"/>
      <c r="H134" s="485"/>
      <c r="I134" s="485"/>
      <c r="J134" s="485"/>
    </row>
    <row r="135" spans="3:10" x14ac:dyDescent="0.3">
      <c r="C135" s="485"/>
      <c r="D135" s="485"/>
      <c r="E135" s="485"/>
      <c r="F135" s="485"/>
      <c r="G135" s="485"/>
      <c r="H135" s="485"/>
      <c r="I135" s="485"/>
      <c r="J135" s="485"/>
    </row>
    <row r="136" spans="3:10" x14ac:dyDescent="0.3">
      <c r="C136" s="485"/>
      <c r="D136" s="485"/>
      <c r="E136" s="485"/>
      <c r="F136" s="485"/>
      <c r="G136" s="485"/>
      <c r="H136" s="485"/>
      <c r="I136" s="485"/>
      <c r="J136" s="485"/>
    </row>
    <row r="137" spans="3:10" x14ac:dyDescent="0.3">
      <c r="C137" s="485"/>
      <c r="D137" s="485"/>
      <c r="E137" s="485"/>
      <c r="F137" s="485"/>
      <c r="G137" s="485"/>
      <c r="H137" s="485"/>
      <c r="I137" s="485"/>
      <c r="J137" s="485"/>
    </row>
    <row r="138" spans="3:10" x14ac:dyDescent="0.3">
      <c r="C138" s="485"/>
      <c r="D138" s="485"/>
      <c r="E138" s="485"/>
      <c r="F138" s="485"/>
      <c r="G138" s="485"/>
      <c r="H138" s="485"/>
      <c r="I138" s="485"/>
      <c r="J138" s="485"/>
    </row>
    <row r="139" spans="3:10" x14ac:dyDescent="0.3">
      <c r="C139" s="485"/>
      <c r="D139" s="485"/>
      <c r="E139" s="485"/>
      <c r="F139" s="485"/>
      <c r="G139" s="485"/>
      <c r="H139" s="485"/>
      <c r="I139" s="485"/>
      <c r="J139" s="485"/>
    </row>
    <row r="140" spans="3:10" x14ac:dyDescent="0.3">
      <c r="C140" s="485"/>
      <c r="D140" s="485"/>
      <c r="E140" s="485"/>
      <c r="F140" s="485"/>
      <c r="G140" s="485"/>
      <c r="H140" s="485"/>
      <c r="I140" s="485"/>
      <c r="J140" s="485"/>
    </row>
    <row r="141" spans="3:10" x14ac:dyDescent="0.3">
      <c r="C141" s="485"/>
      <c r="D141" s="485"/>
      <c r="E141" s="485"/>
      <c r="F141" s="485"/>
      <c r="G141" s="485"/>
      <c r="H141" s="485"/>
      <c r="I141" s="485"/>
      <c r="J141" s="485"/>
    </row>
    <row r="142" spans="3:10" x14ac:dyDescent="0.3">
      <c r="C142" s="485"/>
      <c r="D142" s="485"/>
      <c r="E142" s="485"/>
      <c r="F142" s="485"/>
      <c r="G142" s="485"/>
      <c r="H142" s="485"/>
      <c r="I142" s="485"/>
      <c r="J142" s="485"/>
    </row>
    <row r="143" spans="3:10" x14ac:dyDescent="0.3">
      <c r="C143" s="485"/>
      <c r="D143" s="485"/>
      <c r="E143" s="485"/>
      <c r="F143" s="485"/>
      <c r="G143" s="485"/>
      <c r="H143" s="485"/>
      <c r="I143" s="485"/>
      <c r="J143" s="485"/>
    </row>
    <row r="144" spans="3:10" x14ac:dyDescent="0.3">
      <c r="C144" s="485"/>
      <c r="D144" s="485"/>
      <c r="E144" s="485"/>
      <c r="F144" s="485"/>
      <c r="G144" s="485"/>
      <c r="H144" s="485"/>
      <c r="I144" s="485"/>
      <c r="J144" s="485"/>
    </row>
    <row r="145" spans="3:10" x14ac:dyDescent="0.3">
      <c r="C145" s="485"/>
      <c r="D145" s="485"/>
      <c r="E145" s="485"/>
      <c r="F145" s="485"/>
      <c r="G145" s="485"/>
      <c r="H145" s="485"/>
      <c r="I145" s="485"/>
      <c r="J145" s="485"/>
    </row>
    <row r="146" spans="3:10" x14ac:dyDescent="0.3">
      <c r="C146" s="485"/>
      <c r="D146" s="485"/>
      <c r="E146" s="485"/>
      <c r="F146" s="485"/>
      <c r="G146" s="485"/>
      <c r="H146" s="485"/>
      <c r="I146" s="485"/>
      <c r="J146" s="485"/>
    </row>
    <row r="147" spans="3:10" x14ac:dyDescent="0.3">
      <c r="C147" s="485"/>
      <c r="D147" s="485"/>
      <c r="E147" s="485"/>
      <c r="F147" s="485"/>
      <c r="G147" s="485"/>
      <c r="H147" s="485"/>
      <c r="I147" s="485"/>
      <c r="J147" s="485"/>
    </row>
    <row r="148" spans="3:10" x14ac:dyDescent="0.3">
      <c r="C148" s="485"/>
      <c r="D148" s="485"/>
      <c r="E148" s="485"/>
      <c r="F148" s="485"/>
      <c r="G148" s="485"/>
      <c r="H148" s="485"/>
      <c r="I148" s="485"/>
      <c r="J148" s="485"/>
    </row>
    <row r="149" spans="3:10" x14ac:dyDescent="0.3">
      <c r="C149" s="485"/>
      <c r="D149" s="485"/>
      <c r="E149" s="485"/>
      <c r="F149" s="485"/>
      <c r="G149" s="485"/>
      <c r="H149" s="485"/>
      <c r="I149" s="485"/>
      <c r="J149" s="485"/>
    </row>
    <row r="150" spans="3:10" x14ac:dyDescent="0.3">
      <c r="C150" s="485"/>
      <c r="D150" s="485"/>
      <c r="E150" s="485"/>
      <c r="F150" s="485"/>
      <c r="G150" s="485"/>
      <c r="H150" s="485"/>
      <c r="I150" s="485"/>
      <c r="J150" s="485"/>
    </row>
    <row r="151" spans="3:10" x14ac:dyDescent="0.3">
      <c r="C151" s="485"/>
      <c r="D151" s="485"/>
      <c r="E151" s="485"/>
      <c r="F151" s="485"/>
      <c r="G151" s="485"/>
      <c r="H151" s="485"/>
      <c r="I151" s="485"/>
      <c r="J151" s="485"/>
    </row>
    <row r="152" spans="3:10" x14ac:dyDescent="0.3">
      <c r="C152" s="485"/>
      <c r="D152" s="485"/>
      <c r="E152" s="485"/>
      <c r="F152" s="485"/>
      <c r="G152" s="485"/>
      <c r="H152" s="485"/>
      <c r="I152" s="485"/>
      <c r="J152" s="485"/>
    </row>
  </sheetData>
  <sheetProtection algorithmName="SHA-512" hashValue="0iQiPKeSnVxIVX7LOOvQTiWHvG3WiTFzxhLshAXkSDxGS2CtKYdhGNqOflGyVFw4trxnwxYbYnxZqdmTfjBUxA==" saltValue="FNsaaC36Xu62FxnO/Vrk1g==" spinCount="100000" sheet="1" selectLockedCells="1"/>
  <protectedRanges>
    <protectedRange sqref="D10:D24" name="Bereik1"/>
    <protectedRange sqref="H26:J28" name="Bereik2"/>
    <protectedRange sqref="D33:J59" name="Bereik3"/>
  </protectedRanges>
  <mergeCells count="6">
    <mergeCell ref="D81:J81"/>
    <mergeCell ref="K39:N43"/>
    <mergeCell ref="B33:B41"/>
    <mergeCell ref="B56:B60"/>
    <mergeCell ref="B48:B55"/>
    <mergeCell ref="B44:B47"/>
  </mergeCells>
  <conditionalFormatting sqref="A5">
    <cfRule type="iconSet" priority="1">
      <iconSet iconSet="3Symbols" showValue="0">
        <cfvo type="percent" val="0"/>
        <cfvo type="num" val="0"/>
        <cfvo type="num" val="1"/>
      </iconSet>
    </cfRule>
  </conditionalFormatting>
  <conditionalFormatting sqref="D45 F45 H45 J45">
    <cfRule type="expression" dxfId="31" priority="18">
      <formula>D19="Nieuwkoop"</formula>
    </cfRule>
  </conditionalFormatting>
  <conditionalFormatting sqref="D47">
    <cfRule type="expression" dxfId="30" priority="13">
      <formula>D45&lt;&gt;"Anders, namelijk:"</formula>
    </cfRule>
  </conditionalFormatting>
  <conditionalFormatting sqref="D49">
    <cfRule type="expression" dxfId="29" priority="38">
      <formula>D$41&lt;&gt;"Kies eigen model"</formula>
    </cfRule>
  </conditionalFormatting>
  <conditionalFormatting sqref="D51">
    <cfRule type="expression" dxfId="28" priority="30">
      <formula>D$41&lt;&gt;"Kies eigen model"</formula>
    </cfRule>
  </conditionalFormatting>
  <conditionalFormatting sqref="D53">
    <cfRule type="expression" dxfId="27" priority="26">
      <formula>D$41&lt;&gt;"Kies eigen model"</formula>
    </cfRule>
  </conditionalFormatting>
  <conditionalFormatting sqref="D55">
    <cfRule type="expression" dxfId="26" priority="22">
      <formula>D$41&lt;&gt;"Kies eigen model"</formula>
    </cfRule>
  </conditionalFormatting>
  <conditionalFormatting sqref="D57 F57 H57 J57">
    <cfRule type="expression" dxfId="25" priority="188">
      <formula>D$33&lt;&gt;"Tweedehands"</formula>
    </cfRule>
  </conditionalFormatting>
  <conditionalFormatting sqref="D59 F59 H59 J59">
    <cfRule type="expression" dxfId="24" priority="180">
      <formula>D$33&lt;&gt;"Tweedehands"</formula>
    </cfRule>
  </conditionalFormatting>
  <conditionalFormatting sqref="D61:J61">
    <cfRule type="iconSet" priority="56">
      <iconSet iconSet="3Symbols" showValue="0">
        <cfvo type="percent" val="0"/>
        <cfvo type="num" val="0"/>
        <cfvo type="num" val="1"/>
      </iconSet>
    </cfRule>
  </conditionalFormatting>
  <conditionalFormatting sqref="F47">
    <cfRule type="expression" dxfId="23" priority="6">
      <formula>F45&lt;&gt;"Anders, namelijk:"</formula>
    </cfRule>
  </conditionalFormatting>
  <conditionalFormatting sqref="F49">
    <cfRule type="expression" dxfId="22" priority="37">
      <formula>F$41&lt;&gt;"Kies eigen model"</formula>
    </cfRule>
  </conditionalFormatting>
  <conditionalFormatting sqref="F51">
    <cfRule type="expression" dxfId="21" priority="29">
      <formula>F$41&lt;&gt;"Kies eigen model"</formula>
    </cfRule>
  </conditionalFormatting>
  <conditionalFormatting sqref="F53">
    <cfRule type="expression" dxfId="20" priority="25">
      <formula>F$41&lt;&gt;"Kies eigen model"</formula>
    </cfRule>
  </conditionalFormatting>
  <conditionalFormatting sqref="F55">
    <cfRule type="expression" dxfId="19" priority="21">
      <formula>F$41&lt;&gt;"Kies eigen model"</formula>
    </cfRule>
  </conditionalFormatting>
  <conditionalFormatting sqref="G47">
    <cfRule type="expression" dxfId="18" priority="16">
      <formula>#REF!="Nieuwkoop"</formula>
    </cfRule>
  </conditionalFormatting>
  <conditionalFormatting sqref="G59">
    <cfRule type="expression" dxfId="17" priority="101">
      <formula>#REF!="Nieuwkoop"</formula>
    </cfRule>
  </conditionalFormatting>
  <conditionalFormatting sqref="H47">
    <cfRule type="expression" dxfId="16" priority="5">
      <formula>H45&lt;&gt;"Anders, namelijk:"</formula>
    </cfRule>
  </conditionalFormatting>
  <conditionalFormatting sqref="H49">
    <cfRule type="expression" dxfId="15" priority="36">
      <formula>H$41&lt;&gt;"Kies eigen model"</formula>
    </cfRule>
  </conditionalFormatting>
  <conditionalFormatting sqref="H51">
    <cfRule type="expression" dxfId="14" priority="28">
      <formula>H$41&lt;&gt;"Kies eigen model"</formula>
    </cfRule>
  </conditionalFormatting>
  <conditionalFormatting sqref="H53">
    <cfRule type="expression" dxfId="13" priority="24">
      <formula>H$41&lt;&gt;"Kies eigen model"</formula>
    </cfRule>
  </conditionalFormatting>
  <conditionalFormatting sqref="H55">
    <cfRule type="expression" dxfId="12" priority="20">
      <formula>H$41&lt;&gt;"Kies eigen model"</formula>
    </cfRule>
  </conditionalFormatting>
  <conditionalFormatting sqref="H25:J28">
    <cfRule type="expression" dxfId="11" priority="3">
      <formula>$D$24&lt;&gt;"ja"</formula>
    </cfRule>
  </conditionalFormatting>
  <conditionalFormatting sqref="I47">
    <cfRule type="expression" dxfId="10" priority="14">
      <formula>#REF!="Nieuwkoop"</formula>
    </cfRule>
  </conditionalFormatting>
  <conditionalFormatting sqref="I59">
    <cfRule type="expression" dxfId="9" priority="76">
      <formula>#REF!="Nieuwkoop"</formula>
    </cfRule>
  </conditionalFormatting>
  <conditionalFormatting sqref="J47">
    <cfRule type="expression" dxfId="8" priority="4">
      <formula>J45&lt;&gt;"Anders, namelijk:"</formula>
    </cfRule>
  </conditionalFormatting>
  <conditionalFormatting sqref="J49">
    <cfRule type="expression" dxfId="7" priority="35">
      <formula>J$41&lt;&gt;"Kies eigen model"</formula>
    </cfRule>
  </conditionalFormatting>
  <conditionalFormatting sqref="J51">
    <cfRule type="expression" dxfId="6" priority="27">
      <formula>J$41&lt;&gt;"Kies eigen model"</formula>
    </cfRule>
  </conditionalFormatting>
  <conditionalFormatting sqref="J53">
    <cfRule type="expression" dxfId="5" priority="23">
      <formula>J$41&lt;&gt;"Kies eigen model"</formula>
    </cfRule>
  </conditionalFormatting>
  <conditionalFormatting sqref="J55">
    <cfRule type="expression" dxfId="4" priority="19">
      <formula>J$41&lt;&gt;"Kies eigen model"</formula>
    </cfRule>
  </conditionalFormatting>
  <conditionalFormatting sqref="K47">
    <cfRule type="expression" dxfId="3" priority="15">
      <formula>#REF!="Nieuwkoop"</formula>
    </cfRule>
  </conditionalFormatting>
  <conditionalFormatting sqref="K53">
    <cfRule type="expression" dxfId="2" priority="46">
      <formula>#REF!="Nieuwkoop"</formula>
    </cfRule>
  </conditionalFormatting>
  <conditionalFormatting sqref="K55">
    <cfRule type="expression" dxfId="1" priority="69">
      <formula>#REF!="Nieuwkoop"</formula>
    </cfRule>
  </conditionalFormatting>
  <conditionalFormatting sqref="K59">
    <cfRule type="expression" dxfId="0" priority="82">
      <formula>#REF!="Nieuwkoop"</formula>
    </cfRule>
  </conditionalFormatting>
  <dataValidations count="22">
    <dataValidation type="whole" operator="greaterThan" allowBlank="1" showInputMessage="1" showErrorMessage="1" sqref="K11 G11 I11 H60 F60 D60 J60" xr:uid="{A2C95808-B316-4494-B1FA-97F7E1FB9446}">
      <formula1>0</formula1>
    </dataValidation>
    <dataValidation type="decimal" allowBlank="1" showInputMessage="1" showErrorMessage="1" sqref="D15 H26:H28 I21 G21 K21 K14:K18 G14:G18 I14:I18" xr:uid="{9517EDA4-9C59-4B3A-983B-BE80449366B7}">
      <formula1>0</formula1>
      <formula2>1</formula2>
    </dataValidation>
    <dataValidation type="whole" allowBlank="1" showInputMessage="1" showErrorMessage="1" sqref="I7:I9 K7:K9 G7:G9" xr:uid="{CB4EC994-BDA5-4EC3-97EE-BCD35FB84CE5}">
      <formula1>0</formula1>
      <formula2>20</formula2>
    </dataValidation>
    <dataValidation type="decimal" allowBlank="1" showInputMessage="1" showErrorMessage="1" sqref="D15" xr:uid="{5AC9FD97-82D4-49D5-879A-809251C846AC}">
      <formula1>0</formula1>
      <formula2>365</formula2>
    </dataValidation>
    <dataValidation type="list" allowBlank="1" showInputMessage="1" showErrorMessage="1" sqref="F58 D56 J58 H58 H48 H56 J56 F56 J48 F48 D48 D58" xr:uid="{10EF85B6-CB1E-44E6-8CD1-CD8F71571DBB}">
      <formula1>_xlfn.ANCHORARRAY(D55)</formula1>
    </dataValidation>
    <dataValidation type="list" allowBlank="1" showInputMessage="1" showErrorMessage="1" sqref="F34 D34 J34 H34" xr:uid="{D9CAA0F6-C648-46D1-8491-772320CECC54}">
      <formula1>_xlfn.ANCHORARRAY(D63)</formula1>
    </dataValidation>
    <dataValidation type="list" allowBlank="1" showInputMessage="1" showErrorMessage="1" sqref="D20 D22 D24" xr:uid="{BB33DB0E-D97E-4B8C-ABD4-58F2C291D584}">
      <formula1>"Ja,Nee"</formula1>
    </dataValidation>
    <dataValidation type="list" allowBlank="1" showInputMessage="1" showErrorMessage="1" sqref="D34 F34 J34 H34" xr:uid="{F2873A77-82E0-4B81-9DBB-F2421EADFCB0}">
      <formula1>_xlfn.ANCHORARRAY(D66)</formula1>
    </dataValidation>
    <dataValidation type="list" allowBlank="1" showInputMessage="1" showErrorMessage="1" sqref="H32 D32 F32 J32" xr:uid="{FF023097-D38C-4665-BE88-9646B3A081B5}">
      <formula1>_xlfn.ANCHORARRAY(D65)</formula1>
    </dataValidation>
    <dataValidation type="textLength" allowBlank="1" showInputMessage="1" showErrorMessage="1" sqref="D49:J49" xr:uid="{0853E27B-E518-4680-A1AC-BD424D893A76}">
      <formula1>1</formula1>
      <formula2>50</formula2>
    </dataValidation>
    <dataValidation type="list" allowBlank="1" showInputMessage="1" showErrorMessage="1" sqref="F44 D44 J44 H44" xr:uid="{F965E647-3EB0-4A40-BBD0-742419E66887}">
      <formula1>_xlfn.ANCHORARRAY(D59)</formula1>
    </dataValidation>
    <dataValidation type="decimal" operator="greaterThanOrEqual" allowBlank="1" showInputMessage="1" showErrorMessage="1" sqref="D50:J50 D52:J52 D54:J54" xr:uid="{83BB61FB-D9D8-4C22-9CFD-18993EBE117D}">
      <formula1>0</formula1>
    </dataValidation>
    <dataValidation type="list" allowBlank="1" showInputMessage="1" showErrorMessage="1" sqref="D60 F60 H60 J60" xr:uid="{AD859DF0-CD0F-4206-91E2-2CD25A2C8D2F}">
      <formula1>_xlfn.ANCHORARRAY(D69)</formula1>
    </dataValidation>
    <dataValidation type="list" allowBlank="1" showInputMessage="1" showErrorMessage="1" sqref="J46 D46 F46 H46" xr:uid="{226FD2B0-1B90-4061-9B74-023F1B3479B9}">
      <formula1>_xlfn.ANCHORARRAY(#REF!)</formula1>
    </dataValidation>
    <dataValidation type="whole" allowBlank="1" showInputMessage="1" showErrorMessage="1" errorTitle="Maximale waarde" error="Geef een waarde tussen de 0 en 500.000 kilometer per jaar" sqref="D14" xr:uid="{C60B1666-58E7-4C6A-8C3A-B6836EF66E35}">
      <formula1>0</formula1>
      <formula2>500000</formula2>
    </dataValidation>
    <dataValidation type="decimal" allowBlank="1" showInputMessage="1" showErrorMessage="1" errorTitle="Aanschafprijs niet toegestaan" error="Geef een aanschafprijs tussen de €0,00 en €1.000.000,00" sqref="D47:J47" xr:uid="{9A12B415-D52D-478D-BC86-462CBA37402E}">
      <formula1>0</formula1>
      <formula2>1000000</formula2>
    </dataValidation>
    <dataValidation type="decimal" allowBlank="1" showInputMessage="1" showErrorMessage="1" errorTitle="Invoer gewicht" error="Geef een waarde tussen de 0 en 5.000 kg." sqref="D51:J51" xr:uid="{CBC2AB27-2C05-464F-9FBE-8D8EA89D503E}">
      <formula1>0</formula1>
      <formula2>5000</formula2>
    </dataValidation>
    <dataValidation type="decimal" allowBlank="1" showInputMessage="1" showErrorMessage="1" errorTitle="WLTP-testwaarde" error="Geef een WLTP-testwaarde tussen de 0 en 300 g CO2/km." sqref="D53:J53" xr:uid="{41252AFF-4E8E-4272-85EE-8BE67494CA83}">
      <formula1>0</formula1>
      <formula2>300</formula2>
    </dataValidation>
    <dataValidation type="decimal" allowBlank="1" showInputMessage="1" showErrorMessage="1" errorTitle="Elektrisch verbruik" error="Geef een waarde tussen de 0 en 100 kWh/100km. " sqref="D55:J55" xr:uid="{DD8D330F-740A-4839-A5F6-CDBFE63E8A49}">
      <formula1>0</formula1>
      <formula2>100</formula2>
    </dataValidation>
    <dataValidation type="decimal" allowBlank="1" showInputMessage="1" showErrorMessage="1" errorTitle="Kilometerstand" error="Geef een kilometerstand tussen de 0 en 1.000.000 kilometer." sqref="D59:J59" xr:uid="{B9FC08D5-4F96-4B48-992A-94B07B68E055}">
      <formula1>0</formula1>
      <formula2>1000000</formula2>
    </dataValidation>
    <dataValidation type="decimal" errorStyle="warning" allowBlank="1" showInputMessage="1" showErrorMessage="1" errorTitle="Te hoge waarde" error="Vul een prijs in van maximaal €2/kWh" sqref="J27:J28" xr:uid="{E1A43855-7C97-4FAA-B9B8-172EE2853D14}">
      <formula1>0</formula1>
      <formula2>2</formula2>
    </dataValidation>
    <dataValidation type="decimal" allowBlank="1" showInputMessage="1" showErrorMessage="1" errorTitle="Te hoge waarde" error="Vul een prijs in van maximaal €2/kWh" sqref="J26" xr:uid="{6CF31C32-685A-42BD-B1CB-E961CBBD47B3}">
      <formula1>0</formula1>
      <formula2>2</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1">
        <x14:dataValidation type="list" allowBlank="1" showInputMessage="1" showErrorMessage="1" xr:uid="{3604E490-426A-4708-95CA-6422CCB14496}">
          <x14:formula1>
            <xm:f>Input_lists!$B$12:$D$12</xm:f>
          </x14:formula1>
          <xm:sqref>D16</xm:sqref>
        </x14:dataValidation>
        <x14:dataValidation type="list" allowBlank="1" showInputMessage="1" showErrorMessage="1" xr:uid="{E0EB0992-1572-42C0-8DF7-36256D7938EC}">
          <x14:formula1>
            <xm:f>Input_lists!$B$3:$C$3</xm:f>
          </x14:formula1>
          <xm:sqref>D36 F36 D33:D34 J33:J34 J36 F33:F34 H33:H34 H36</xm:sqref>
        </x14:dataValidation>
        <x14:dataValidation type="list" allowBlank="1" showInputMessage="1" showErrorMessage="1" xr:uid="{0486654B-F3B3-440C-868C-93B3850E79C2}">
          <x14:formula1>
            <xm:f>Input_lists!$B$9:$C$9</xm:f>
          </x14:formula1>
          <xm:sqref>D10</xm:sqref>
        </x14:dataValidation>
        <x14:dataValidation type="list" allowBlank="1" showInputMessage="1" showErrorMessage="1" xr:uid="{B04E85AA-EA83-41BC-8905-B405AC848068}">
          <x14:formula1>
            <xm:f>Input_lists!$B$13:$D$13</xm:f>
          </x14:formula1>
          <xm:sqref>D18</xm:sqref>
        </x14:dataValidation>
        <x14:dataValidation type="list" allowBlank="1" showInputMessage="1" showErrorMessage="1" xr:uid="{7DB33659-9CD9-4D2E-99AE-481E33AE0414}">
          <x14:formula1>
            <xm:f>_xlfn.ANCHORARRAY(Selectie_voertuigen!$C$53)</xm:f>
          </x14:formula1>
          <xm:sqref>D39</xm:sqref>
        </x14:dataValidation>
        <x14:dataValidation type="list" allowBlank="1" showInputMessage="1" showErrorMessage="1" xr:uid="{5F0DAAE3-1DFF-4044-A521-943FB69532EB}">
          <x14:formula1>
            <xm:f>_xlfn.ANCHORARRAY(Selectie_voertuigen!$D$53)</xm:f>
          </x14:formula1>
          <xm:sqref>F39</xm:sqref>
        </x14:dataValidation>
        <x14:dataValidation type="list" allowBlank="1" showInputMessage="1" showErrorMessage="1" xr:uid="{87069B77-6823-4A49-95E7-A75230A62BB3}">
          <x14:formula1>
            <xm:f>_xlfn.ANCHORARRAY(Selectie_voertuigen!$F$53)</xm:f>
          </x14:formula1>
          <xm:sqref>J39</xm:sqref>
        </x14:dataValidation>
        <x14:dataValidation type="list" allowBlank="1" showInputMessage="1" showErrorMessage="1" xr:uid="{724EA5B9-5620-422D-AE55-40BBDA81536C}">
          <x14:formula1>
            <xm:f>Input_lists!$B$2:$C$2</xm:f>
          </x14:formula1>
          <xm:sqref>D33:D35 F33:F35 J33:J35 H33:H35</xm:sqref>
        </x14:dataValidation>
        <x14:dataValidation type="list" allowBlank="1" showInputMessage="1" showErrorMessage="1" xr:uid="{E3CE3DEE-6C41-4732-A038-61C526C8CF29}">
          <x14:formula1>
            <xm:f>Input_lists!$B$4:$F$4</xm:f>
          </x14:formula1>
          <xm:sqref>F37 D37 J37 H37</xm:sqref>
        </x14:dataValidation>
        <x14:dataValidation type="list" allowBlank="1" showInputMessage="1" showErrorMessage="1" xr:uid="{48A54A9D-C538-4076-AACD-C7C3C77A3580}">
          <x14:formula1>
            <xm:f>Input_lists!$B$11:$K$11</xm:f>
          </x14:formula1>
          <xm:sqref>D12</xm:sqref>
        </x14:dataValidation>
        <x14:dataValidation type="list" allowBlank="1" showInputMessage="1" showErrorMessage="1" xr:uid="{CCEABD08-76F8-49C6-B7E1-05CEE6FA27B4}">
          <x14:formula1>
            <xm:f>_xlfn.ANCHORARRAY(Selectie_voertuigen!$C$169)</xm:f>
          </x14:formula1>
          <xm:sqref>D45</xm:sqref>
        </x14:dataValidation>
        <x14:dataValidation type="list" errorStyle="information" allowBlank="1" showInputMessage="1" showErrorMessage="1" error="Kies een jaartal tussen 2000 en 2025" xr:uid="{2B2E4E0B-5D7E-4F0A-AD61-156BF3FC27C7}">
          <x14:formula1>
            <xm:f>Selectie_voertuigen!$C$166:$C$167</xm:f>
          </x14:formula1>
          <xm:sqref>D45</xm:sqref>
        </x14:dataValidation>
        <x14:dataValidation type="list" allowBlank="1" showInputMessage="1" showErrorMessage="1" xr:uid="{8B1D2A51-D50A-42D2-8372-6E8BDB9A5594}">
          <x14:formula1>
            <xm:f>_xlfn.ANCHORARRAY(Selectie_voertuigen!$D$169)</xm:f>
          </x14:formula1>
          <xm:sqref>F45</xm:sqref>
        </x14:dataValidation>
        <x14:dataValidation type="list" errorStyle="information" allowBlank="1" showInputMessage="1" showErrorMessage="1" error="Kies een jaartal tussen 2000 en 2025" xr:uid="{C47BB427-BAC3-407F-BFB7-4DECBB293186}">
          <x14:formula1>
            <xm:f>_xlfn.ANCHORARRAY(Selectie_voertuigen!$F$169)</xm:f>
          </x14:formula1>
          <xm:sqref>J45</xm:sqref>
        </x14:dataValidation>
        <x14:dataValidation type="list" allowBlank="1" showInputMessage="1" showErrorMessage="1" xr:uid="{270D9746-37A5-44B4-8AFE-E02992039427}">
          <x14:formula1>
            <xm:f>Selectie_voertuigen!$F$166:$F$167</xm:f>
          </x14:formula1>
          <xm:sqref>J45</xm:sqref>
        </x14:dataValidation>
        <x14:dataValidation type="list" errorStyle="information" allowBlank="1" showInputMessage="1" showErrorMessage="1" error="Kies een jaartal tussen 2000 en 2025" xr:uid="{A38973A9-E920-47FC-A0E9-C90557A18F5E}">
          <x14:formula1>
            <xm:f>Selectie_voertuigen!$D$166:$D$167</xm:f>
          </x14:formula1>
          <xm:sqref>F45</xm:sqref>
        </x14:dataValidation>
        <x14:dataValidation type="list" allowBlank="1" showInputMessage="1" showErrorMessage="1" xr:uid="{F4D1A820-C3D3-4AFF-B1CC-3C33B4710D80}">
          <x14:formula1>
            <xm:f>Input_lists!$B$35:$D$35</xm:f>
          </x14:formula1>
          <xm:sqref>D43 F43 J43 H43</xm:sqref>
        </x14:dataValidation>
        <x14:dataValidation type="list" allowBlank="1" showInputMessage="1" showErrorMessage="1" xr:uid="{4C33B155-CC61-443C-92EB-E8947A7F63F8}">
          <x14:formula1>
            <xm:f>_xlfn.ANCHORARRAY(Selectie_voertuigen!$D$128)</xm:f>
          </x14:formula1>
          <xm:sqref>F57</xm:sqref>
        </x14:dataValidation>
        <x14:dataValidation type="list" allowBlank="1" showInputMessage="1" showErrorMessage="1" xr:uid="{783EE136-1B51-40C4-9215-20D9153A72B5}">
          <x14:formula1>
            <xm:f>_xlfn.ANCHORARRAY(Selectie_voertuigen!$E$53)</xm:f>
          </x14:formula1>
          <xm:sqref>H39</xm:sqref>
        </x14:dataValidation>
        <x14:dataValidation type="list" allowBlank="1" showInputMessage="1" showErrorMessage="1" xr:uid="{A2EFF6FC-2DC2-40B9-988F-52D9DA33BDE1}">
          <x14:formula1>
            <xm:f>_xlfn.ANCHORARRAY(Selectie_voertuigen!$E$169)</xm:f>
          </x14:formula1>
          <xm:sqref>H45</xm:sqref>
        </x14:dataValidation>
        <x14:dataValidation type="list" errorStyle="information" allowBlank="1" showInputMessage="1" showErrorMessage="1" error="Kies een jaartal tussen 2000 en 2025" xr:uid="{35CF907D-EB23-4600-8C7C-8862203B53D2}">
          <x14:formula1>
            <xm:f>Selectie_voertuigen!$E$166:$E$167</xm:f>
          </x14:formula1>
          <xm:sqref>H45</xm:sqref>
        </x14:dataValidation>
        <x14:dataValidation type="list" allowBlank="1" showInputMessage="1" showErrorMessage="1" xr:uid="{C39B66D5-1AAE-4413-8D91-8E5861638D5E}">
          <x14:formula1>
            <xm:f>_xlfn.ANCHORARRAY(Selectie_voertuigen!C128)</xm:f>
          </x14:formula1>
          <xm:sqref>D57</xm:sqref>
        </x14:dataValidation>
        <x14:dataValidation type="list" errorStyle="information" allowBlank="1" showInputMessage="1" showErrorMessage="1" error="Kies een jaartal tussen 2000 en 2025" xr:uid="{99B8CB03-F334-4014-908C-372C15FC190C}">
          <x14:formula1>
            <xm:f>_xlfn.ANCHORARRAY(Selectie_voertuigen!C128)</xm:f>
          </x14:formula1>
          <xm:sqref>D57 F57</xm:sqref>
        </x14:dataValidation>
        <x14:dataValidation type="list" errorStyle="information" allowBlank="1" showInputMessage="1" showErrorMessage="1" error="Kies een jaartal tussen 2000 en 2025" xr:uid="{84186A05-F5DF-4D89-A875-842703D8F395}">
          <x14:formula1>
            <xm:f>_xlfn.ANCHORARRAY(Selectie_voertuigen!E128)</xm:f>
          </x14:formula1>
          <xm:sqref>H57</xm:sqref>
        </x14:dataValidation>
        <x14:dataValidation type="list" allowBlank="1" showInputMessage="1" showErrorMessage="1" xr:uid="{9981352A-90D3-4101-B25A-00E8C5F77D5B}">
          <x14:formula1>
            <xm:f>_xlfn.ANCHORARRAY(Selectie_voertuigen!E128)</xm:f>
          </x14:formula1>
          <xm:sqref>H57</xm:sqref>
        </x14:dataValidation>
        <x14:dataValidation type="list" allowBlank="1" showInputMessage="1" showErrorMessage="1" xr:uid="{DD5BAE7E-B1CD-4736-B5E6-8340BDEE5172}">
          <x14:formula1>
            <xm:f>_xlfn.ANCHORARRAY(Selectie_voertuigen!F128)</xm:f>
          </x14:formula1>
          <xm:sqref>J57</xm:sqref>
        </x14:dataValidation>
        <x14:dataValidation type="list" allowBlank="1" showInputMessage="1" showErrorMessage="1" xr:uid="{69662A87-E696-4F01-80F9-1FB8B79FB62E}">
          <x14:formula1>
            <xm:f>_xlfn.ANCHORARRAY(Selectie_voertuigen!D77)</xm:f>
          </x14:formula1>
          <xm:sqref>F41</xm:sqref>
        </x14:dataValidation>
        <x14:dataValidation type="list" allowBlank="1" showInputMessage="1" showErrorMessage="1" xr:uid="{ECE1B7F1-CD48-4998-89E7-DFDAD5E881B0}">
          <x14:formula1>
            <xm:f>_xlfn.ANCHORARRAY(Selectie_voertuigen!F77)</xm:f>
          </x14:formula1>
          <xm:sqref>J41</xm:sqref>
        </x14:dataValidation>
        <x14:dataValidation type="list" allowBlank="1" showInputMessage="1" showErrorMessage="1" xr:uid="{218155FE-8EDB-401C-92AC-2EC6DC59C619}">
          <x14:formula1>
            <xm:f>_xlfn.ANCHORARRAY(Selectie_voertuigen!C77)</xm:f>
          </x14:formula1>
          <xm:sqref>D41</xm:sqref>
        </x14:dataValidation>
        <x14:dataValidation type="list" allowBlank="1" showInputMessage="1" showErrorMessage="1" xr:uid="{4A81B253-5D23-4196-A791-0B5BB0E1A994}">
          <x14:formula1>
            <xm:f>_xlfn.ANCHORARRAY(Selectie_voertuigen!E77)</xm:f>
          </x14:formula1>
          <xm:sqref>H41</xm:sqref>
        </x14:dataValidation>
        <x14:dataValidation type="list" errorStyle="information" allowBlank="1" showInputMessage="1" showErrorMessage="1" error="Kies een jaartal tussen 2000 en 2025" xr:uid="{BF32B1F8-9B51-4482-949F-EE232FD605D2}">
          <x14:formula1>
            <xm:f>_xlfn.ANCHORARRAY(Selectie_voertuigen!F128)</xm:f>
          </x14:formula1>
          <xm:sqref>J57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52110-F5E0-4BB6-B033-16DFE685FF06}">
  <sheetPr codeName="Blad30">
    <tabColor rgb="FF92D050"/>
  </sheetPr>
  <dimension ref="A1:K77"/>
  <sheetViews>
    <sheetView showGridLines="0" zoomScaleNormal="100" workbookViewId="0">
      <selection activeCell="F43" sqref="F43"/>
    </sheetView>
  </sheetViews>
  <sheetFormatPr defaultRowHeight="15" x14ac:dyDescent="0.3"/>
  <cols>
    <col min="2" max="2" width="29.7109375" customWidth="1"/>
    <col min="3" max="3" width="24" customWidth="1"/>
    <col min="4" max="4" width="23.5703125" customWidth="1"/>
    <col min="5" max="6" width="21.28515625" customWidth="1"/>
    <col min="9" max="12" width="13.140625" customWidth="1"/>
  </cols>
  <sheetData>
    <row r="1" spans="1:11" s="430" customFormat="1" ht="13.15" customHeight="1" x14ac:dyDescent="0.3">
      <c r="A1" s="478">
        <v>1</v>
      </c>
      <c r="B1" s="478">
        <v>1</v>
      </c>
      <c r="C1" s="478">
        <v>1</v>
      </c>
      <c r="D1" s="478">
        <v>1</v>
      </c>
      <c r="E1" s="478">
        <v>1</v>
      </c>
      <c r="F1" s="478">
        <v>1</v>
      </c>
      <c r="G1" s="478">
        <v>1</v>
      </c>
      <c r="H1" s="478">
        <v>1</v>
      </c>
      <c r="I1" s="478">
        <v>1</v>
      </c>
      <c r="J1" s="478">
        <v>1</v>
      </c>
      <c r="K1" s="478">
        <v>1</v>
      </c>
    </row>
    <row r="2" spans="1:11" s="480" customFormat="1" ht="33.75" x14ac:dyDescent="0.5">
      <c r="A2" s="479"/>
      <c r="B2" s="479"/>
      <c r="C2" s="479" t="s">
        <v>1480</v>
      </c>
      <c r="E2" s="479"/>
      <c r="G2" s="479"/>
      <c r="I2" s="479"/>
      <c r="K2" s="479"/>
    </row>
    <row r="3" spans="1:11" s="376" customFormat="1" ht="16.5" x14ac:dyDescent="0.3"/>
    <row r="4" spans="1:11" s="482" customFormat="1" ht="18" x14ac:dyDescent="0.35">
      <c r="A4" s="481"/>
      <c r="B4" s="482" t="s">
        <v>1409</v>
      </c>
    </row>
    <row r="7" spans="1:11" x14ac:dyDescent="0.3">
      <c r="B7" s="513" t="str">
        <f>Selectie_voertuigen!B1</f>
        <v>Kenmerk</v>
      </c>
      <c r="C7" s="491" t="str">
        <f>IF(Resultaten_tabellen!B$1=1,Selectie_voertuigen!C1,"")</f>
        <v/>
      </c>
      <c r="D7" s="491" t="str">
        <f>IF(Resultaten_tabellen!C$1=1,Selectie_voertuigen!D1,"")</f>
        <v/>
      </c>
      <c r="E7" s="491" t="str">
        <f>IF(Resultaten_tabellen!D$1=1,Selectie_voertuigen!E1,"")</f>
        <v/>
      </c>
      <c r="F7" s="491" t="str">
        <f>IF(Resultaten_tabellen!E$1=1,Selectie_voertuigen!F1,"")</f>
        <v/>
      </c>
    </row>
    <row r="8" spans="1:11" x14ac:dyDescent="0.3">
      <c r="B8" s="492" t="str">
        <f>Selectie_voertuigen!B2</f>
        <v>Inrichting</v>
      </c>
      <c r="C8" s="493" t="str">
        <f>IF(Resultaten_tabellen!B$1=1,Selectie_voertuigen!C2,"")</f>
        <v/>
      </c>
      <c r="D8" s="493" t="str">
        <f>IF(Resultaten_tabellen!C$1=1,Selectie_voertuigen!D2,"")</f>
        <v/>
      </c>
      <c r="E8" s="493" t="str">
        <f>IF(Resultaten_tabellen!D$1=1,Selectie_voertuigen!E2,"")</f>
        <v/>
      </c>
      <c r="F8" s="493" t="str">
        <f>IF(Resultaten_tabellen!E$1=1,Selectie_voertuigen!F2,"")</f>
        <v/>
      </c>
    </row>
    <row r="9" spans="1:11" x14ac:dyDescent="0.3">
      <c r="B9" s="492" t="str">
        <f>Selectie_voertuigen!B3</f>
        <v>Brandstof</v>
      </c>
      <c r="C9" s="493" t="str">
        <f>IF(Resultaten_tabellen!B$1=1,Selectie_voertuigen!C3,"")</f>
        <v/>
      </c>
      <c r="D9" s="493" t="str">
        <f>IF(Resultaten_tabellen!C$1=1,Selectie_voertuigen!D3,"")</f>
        <v/>
      </c>
      <c r="E9" s="493" t="str">
        <f>IF(Resultaten_tabellen!D$1=1,Selectie_voertuigen!E3,"")</f>
        <v/>
      </c>
      <c r="F9" s="493" t="str">
        <f>IF(Resultaten_tabellen!E$1=1,Selectie_voertuigen!F3,"")</f>
        <v/>
      </c>
    </row>
    <row r="10" spans="1:11" ht="15" customHeight="1" x14ac:dyDescent="0.3">
      <c r="B10" s="492" t="str">
        <f>Selectie_voertuigen!B5</f>
        <v>Voertuig type</v>
      </c>
      <c r="C10" s="503" t="str">
        <f>IFERROR(IF(Resultaten_tabellen!B$1=1,_xlfn.TEXTAFTER(Selectie_voertuigen!C25,"- "),""),"")</f>
        <v/>
      </c>
      <c r="D10" s="503" t="str">
        <f>IFERROR(IF(Resultaten_tabellen!C$1=1,_xlfn.TEXTAFTER(Selectie_voertuigen!D25,"- "),""),"")</f>
        <v/>
      </c>
      <c r="E10" s="503" t="str">
        <f>IFERROR(IF(Resultaten_tabellen!D$1=1,_xlfn.TEXTAFTER(Selectie_voertuigen!E25,"- "),""),"")</f>
        <v/>
      </c>
      <c r="F10" s="503" t="str">
        <f>IFERROR(IF(Resultaten_tabellen!E$1=1,_xlfn.TEXTAFTER(Selectie_voertuigen!F25,"- "),""),"")</f>
        <v/>
      </c>
    </row>
    <row r="11" spans="1:11" x14ac:dyDescent="0.3">
      <c r="B11" s="492" t="str">
        <f>Selectie_voertuigen!B6</f>
        <v>Aanschafstatus</v>
      </c>
      <c r="C11" s="493" t="str">
        <f>IF(Resultaten_tabellen!B$1=1,Selectie_voertuigen!C6,"")</f>
        <v/>
      </c>
      <c r="D11" s="493" t="str">
        <f>IF(Resultaten_tabellen!C$1=1,Selectie_voertuigen!D6,"")</f>
        <v/>
      </c>
      <c r="E11" s="493" t="str">
        <f>IF(Resultaten_tabellen!D$1=1,Selectie_voertuigen!E6,"")</f>
        <v/>
      </c>
      <c r="F11" s="493" t="str">
        <f>IF(Resultaten_tabellen!E$1=1,Selectie_voertuigen!F6,"")</f>
        <v/>
      </c>
    </row>
    <row r="12" spans="1:11" x14ac:dyDescent="0.3">
      <c r="B12" s="489" t="str">
        <f>Selectie_voertuigen!B10</f>
        <v>Bouwjaar (=zichtjaar bij nieuwkoop)</v>
      </c>
      <c r="C12" s="503" t="str">
        <f>IF(Resultaten_tabellen!B$1=1,Selectie_voertuigen!C10,"")</f>
        <v/>
      </c>
      <c r="D12" s="503" t="str">
        <f>IF(Resultaten_tabellen!C$1=1,Selectie_voertuigen!D10,"")</f>
        <v/>
      </c>
      <c r="E12" s="503" t="str">
        <f>IF(Resultaten_tabellen!D$1=1,Selectie_voertuigen!E10,"")</f>
        <v/>
      </c>
      <c r="F12" s="503" t="str">
        <f>IF(Resultaten_tabellen!E$1=1,Selectie_voertuigen!F10,"")</f>
        <v/>
      </c>
    </row>
    <row r="14" spans="1:11" x14ac:dyDescent="0.3">
      <c r="B14" s="667" t="s">
        <v>1904</v>
      </c>
    </row>
    <row r="15" spans="1:11" x14ac:dyDescent="0.3">
      <c r="B15" s="513"/>
      <c r="C15" s="666" t="str">
        <f>C$10</f>
        <v/>
      </c>
      <c r="D15" s="666" t="str">
        <f t="shared" ref="D15:F15" si="0">D$10</f>
        <v/>
      </c>
      <c r="E15" s="666" t="str">
        <f t="shared" si="0"/>
        <v/>
      </c>
      <c r="F15" s="666" t="str">
        <f t="shared" si="0"/>
        <v/>
      </c>
    </row>
    <row r="16" spans="1:11" x14ac:dyDescent="0.3">
      <c r="B16" s="489" t="s">
        <v>154</v>
      </c>
      <c r="C16" s="665">
        <f>IFERROR(Resultaten_tabellen!B8,0)</f>
        <v>0</v>
      </c>
      <c r="D16" s="665">
        <f>IFERROR(Resultaten_tabellen!C8,0)</f>
        <v>0</v>
      </c>
      <c r="E16" s="665">
        <f>IFERROR(Resultaten_tabellen!D8,0)</f>
        <v>0</v>
      </c>
      <c r="F16" s="665">
        <f>IFERROR(Resultaten_tabellen!E8,0)</f>
        <v>0</v>
      </c>
    </row>
    <row r="17" spans="2:6" x14ac:dyDescent="0.3">
      <c r="B17" s="489" t="s">
        <v>244</v>
      </c>
      <c r="C17" s="665">
        <f>IFERROR(Resultaten_tabellen!B9,0)</f>
        <v>0</v>
      </c>
      <c r="D17" s="665">
        <f>IFERROR(Resultaten_tabellen!C9,0)</f>
        <v>0</v>
      </c>
      <c r="E17" s="665">
        <f>IFERROR(Resultaten_tabellen!D9,0)</f>
        <v>0</v>
      </c>
      <c r="F17" s="665">
        <f>IFERROR(Resultaten_tabellen!E9,0)</f>
        <v>0</v>
      </c>
    </row>
    <row r="18" spans="2:6" x14ac:dyDescent="0.3">
      <c r="B18" s="489" t="s">
        <v>1524</v>
      </c>
      <c r="C18" s="665">
        <f>IFERROR(Resultaten_tabellen!B10,0)</f>
        <v>0</v>
      </c>
      <c r="D18" s="665">
        <f>IFERROR(Resultaten_tabellen!C10,0)</f>
        <v>0</v>
      </c>
      <c r="E18" s="665">
        <f>IFERROR(Resultaten_tabellen!D10,0)</f>
        <v>0</v>
      </c>
      <c r="F18" s="665">
        <f>IFERROR(Resultaten_tabellen!E10,0)</f>
        <v>0</v>
      </c>
    </row>
    <row r="19" spans="2:6" x14ac:dyDescent="0.3">
      <c r="B19" s="489" t="s">
        <v>1525</v>
      </c>
      <c r="C19" s="665">
        <f>IFERROR(Resultaten_tabellen!B11,0)</f>
        <v>0</v>
      </c>
      <c r="D19" s="665">
        <f>IFERROR(Resultaten_tabellen!C11,0)</f>
        <v>0</v>
      </c>
      <c r="E19" s="665">
        <f>IFERROR(Resultaten_tabellen!D11,0)</f>
        <v>0</v>
      </c>
      <c r="F19" s="665">
        <f>IFERROR(Resultaten_tabellen!E11,0)</f>
        <v>0</v>
      </c>
    </row>
    <row r="20" spans="2:6" x14ac:dyDescent="0.3">
      <c r="B20" s="489" t="s">
        <v>1526</v>
      </c>
      <c r="C20" s="665">
        <f>IFERROR(Resultaten_tabellen!B12,0)</f>
        <v>0</v>
      </c>
      <c r="D20" s="665">
        <f>IFERROR(Resultaten_tabellen!C12,0)</f>
        <v>0</v>
      </c>
      <c r="E20" s="665">
        <f>IFERROR(Resultaten_tabellen!D12,0)</f>
        <v>0</v>
      </c>
      <c r="F20" s="665">
        <f>IFERROR(Resultaten_tabellen!E12,0)</f>
        <v>0</v>
      </c>
    </row>
    <row r="21" spans="2:6" x14ac:dyDescent="0.3">
      <c r="B21" s="489" t="s">
        <v>1959</v>
      </c>
      <c r="C21" s="665">
        <f>IFERROR(Resultaten_tabellen!B13,0)</f>
        <v>0</v>
      </c>
      <c r="D21" s="665">
        <f>IFERROR(Resultaten_tabellen!C13,0)</f>
        <v>0</v>
      </c>
      <c r="E21" s="665">
        <f>IFERROR(Resultaten_tabellen!D13,0)</f>
        <v>0</v>
      </c>
      <c r="F21" s="665">
        <f>IFERROR(Resultaten_tabellen!E13,0)</f>
        <v>0</v>
      </c>
    </row>
    <row r="22" spans="2:6" x14ac:dyDescent="0.3">
      <c r="B22" s="489" t="s">
        <v>160</v>
      </c>
      <c r="C22" s="665">
        <f>IFERROR(Resultaten_tabellen!B14,0)</f>
        <v>0</v>
      </c>
      <c r="D22" s="665">
        <f>IFERROR(Resultaten_tabellen!C14,0)</f>
        <v>0</v>
      </c>
      <c r="E22" s="665">
        <f>IFERROR(Resultaten_tabellen!D14,0)</f>
        <v>0</v>
      </c>
      <c r="F22" s="665">
        <f>IFERROR(Resultaten_tabellen!E14,0)</f>
        <v>0</v>
      </c>
    </row>
    <row r="23" spans="2:6" x14ac:dyDescent="0.3">
      <c r="B23" s="687" t="s">
        <v>1991</v>
      </c>
    </row>
    <row r="41" spans="2:6" x14ac:dyDescent="0.3">
      <c r="B41" s="667" t="s">
        <v>1905</v>
      </c>
    </row>
    <row r="42" spans="2:6" x14ac:dyDescent="0.3">
      <c r="B42" s="513"/>
      <c r="C42" s="666" t="str">
        <f>C$10</f>
        <v/>
      </c>
      <c r="D42" s="666" t="str">
        <f t="shared" ref="D42:F42" si="1">D$10</f>
        <v/>
      </c>
      <c r="E42" s="666" t="str">
        <f t="shared" si="1"/>
        <v/>
      </c>
      <c r="F42" s="666" t="str">
        <f t="shared" si="1"/>
        <v/>
      </c>
    </row>
    <row r="43" spans="2:6" x14ac:dyDescent="0.3">
      <c r="B43" s="489" t="s">
        <v>154</v>
      </c>
      <c r="C43" s="668">
        <f>IFERROR(Resultaten_tabellen!B23,0)</f>
        <v>0</v>
      </c>
      <c r="D43" s="668">
        <f>IFERROR(Resultaten_tabellen!C23,0)</f>
        <v>0</v>
      </c>
      <c r="E43" s="668">
        <f>IFERROR(Resultaten_tabellen!D23,0)</f>
        <v>0</v>
      </c>
      <c r="F43" s="668">
        <f>IFERROR(Resultaten_tabellen!E23,0)</f>
        <v>0</v>
      </c>
    </row>
    <row r="44" spans="2:6" x14ac:dyDescent="0.3">
      <c r="B44" s="489" t="s">
        <v>244</v>
      </c>
      <c r="C44" s="668">
        <f>IFERROR(Resultaten_tabellen!B24,0)</f>
        <v>0</v>
      </c>
      <c r="D44" s="668">
        <f>IFERROR(Resultaten_tabellen!C24,0)</f>
        <v>0</v>
      </c>
      <c r="E44" s="668">
        <f>IFERROR(Resultaten_tabellen!D24,0)</f>
        <v>0</v>
      </c>
      <c r="F44" s="668">
        <f>IFERROR(Resultaten_tabellen!E24,0)</f>
        <v>0</v>
      </c>
    </row>
    <row r="45" spans="2:6" x14ac:dyDescent="0.3">
      <c r="B45" s="489" t="s">
        <v>1524</v>
      </c>
      <c r="C45" s="668">
        <f>IFERROR(Resultaten_tabellen!B25,0)</f>
        <v>0</v>
      </c>
      <c r="D45" s="668">
        <f>IFERROR(Resultaten_tabellen!C25,0)</f>
        <v>0</v>
      </c>
      <c r="E45" s="668">
        <f>IFERROR(Resultaten_tabellen!D25,0)</f>
        <v>0</v>
      </c>
      <c r="F45" s="668">
        <f>IFERROR(Resultaten_tabellen!E25,0)</f>
        <v>0</v>
      </c>
    </row>
    <row r="46" spans="2:6" x14ac:dyDescent="0.3">
      <c r="B46" s="489" t="s">
        <v>1525</v>
      </c>
      <c r="C46" s="668">
        <f>IFERROR(Resultaten_tabellen!B26,0)</f>
        <v>0</v>
      </c>
      <c r="D46" s="668">
        <f>IFERROR(Resultaten_tabellen!C26,0)</f>
        <v>0</v>
      </c>
      <c r="E46" s="668">
        <f>IFERROR(Resultaten_tabellen!D26,0)</f>
        <v>0</v>
      </c>
      <c r="F46" s="668">
        <f>IFERROR(Resultaten_tabellen!E26,0)</f>
        <v>0</v>
      </c>
    </row>
    <row r="47" spans="2:6" x14ac:dyDescent="0.3">
      <c r="B47" s="489" t="s">
        <v>1526</v>
      </c>
      <c r="C47" s="668">
        <f>IFERROR(Resultaten_tabellen!B27,0)</f>
        <v>0</v>
      </c>
      <c r="D47" s="668">
        <f>IFERROR(Resultaten_tabellen!C27,0)</f>
        <v>0</v>
      </c>
      <c r="E47" s="668">
        <f>IFERROR(Resultaten_tabellen!D27,0)</f>
        <v>0</v>
      </c>
      <c r="F47" s="668">
        <f>IFERROR(Resultaten_tabellen!E27,0)</f>
        <v>0</v>
      </c>
    </row>
    <row r="48" spans="2:6" x14ac:dyDescent="0.3">
      <c r="B48" s="489" t="s">
        <v>1959</v>
      </c>
      <c r="C48" s="668">
        <f>IFERROR(Resultaten_tabellen!B28,0)</f>
        <v>0</v>
      </c>
      <c r="D48" s="668">
        <f>IFERROR(Resultaten_tabellen!C28,0)</f>
        <v>0</v>
      </c>
      <c r="E48" s="668">
        <f>IFERROR(Resultaten_tabellen!D28,0)</f>
        <v>0</v>
      </c>
      <c r="F48" s="668">
        <f>IFERROR(Resultaten_tabellen!E28,0)</f>
        <v>0</v>
      </c>
    </row>
    <row r="49" spans="2:6" x14ac:dyDescent="0.3">
      <c r="B49" s="489" t="s">
        <v>160</v>
      </c>
      <c r="C49" s="668">
        <f>IFERROR(Resultaten_tabellen!B29,0)</f>
        <v>0</v>
      </c>
      <c r="D49" s="668">
        <f>IFERROR(Resultaten_tabellen!C29,0)</f>
        <v>0</v>
      </c>
      <c r="E49" s="668">
        <f>IFERROR(Resultaten_tabellen!D29,0)</f>
        <v>0</v>
      </c>
      <c r="F49" s="668">
        <f>IFERROR(Resultaten_tabellen!E29,0)</f>
        <v>0</v>
      </c>
    </row>
    <row r="50" spans="2:6" x14ac:dyDescent="0.3">
      <c r="B50" s="687" t="s">
        <v>1991</v>
      </c>
    </row>
    <row r="68" spans="2:6" x14ac:dyDescent="0.3">
      <c r="B68" s="667" t="s">
        <v>1906</v>
      </c>
    </row>
    <row r="69" spans="2:6" x14ac:dyDescent="0.3">
      <c r="B69" s="513"/>
      <c r="C69" s="666" t="str">
        <f>C$10</f>
        <v/>
      </c>
      <c r="D69" s="666" t="str">
        <f t="shared" ref="D69:F69" si="2">D$10</f>
        <v/>
      </c>
      <c r="E69" s="666" t="str">
        <f t="shared" si="2"/>
        <v/>
      </c>
      <c r="F69" s="666" t="str">
        <f t="shared" si="2"/>
        <v/>
      </c>
    </row>
    <row r="70" spans="2:6" x14ac:dyDescent="0.3">
      <c r="B70" s="489" t="s">
        <v>154</v>
      </c>
      <c r="C70" s="665">
        <f>IFERROR(Resultaten_tabellen!B39,0)</f>
        <v>0</v>
      </c>
      <c r="D70" s="665">
        <f>IFERROR(Resultaten_tabellen!C39,0)</f>
        <v>0</v>
      </c>
      <c r="E70" s="665">
        <f>IFERROR(Resultaten_tabellen!D39,0)</f>
        <v>0</v>
      </c>
      <c r="F70" s="665">
        <f>IFERROR(Resultaten_tabellen!E39,0)</f>
        <v>0</v>
      </c>
    </row>
    <row r="71" spans="2:6" x14ac:dyDescent="0.3">
      <c r="B71" s="489" t="s">
        <v>244</v>
      </c>
      <c r="C71" s="665">
        <f>IFERROR(Resultaten_tabellen!B40,0)</f>
        <v>0</v>
      </c>
      <c r="D71" s="665">
        <f>IFERROR(Resultaten_tabellen!C40,0)</f>
        <v>0</v>
      </c>
      <c r="E71" s="665">
        <f>IFERROR(Resultaten_tabellen!D40,0)</f>
        <v>0</v>
      </c>
      <c r="F71" s="665">
        <f>IFERROR(Resultaten_tabellen!E40,0)</f>
        <v>0</v>
      </c>
    </row>
    <row r="72" spans="2:6" x14ac:dyDescent="0.3">
      <c r="B72" s="489" t="s">
        <v>1524</v>
      </c>
      <c r="C72" s="665">
        <f>IFERROR(Resultaten_tabellen!B41,0)</f>
        <v>0</v>
      </c>
      <c r="D72" s="665">
        <f>IFERROR(Resultaten_tabellen!C41,0)</f>
        <v>0</v>
      </c>
      <c r="E72" s="665">
        <f>IFERROR(Resultaten_tabellen!D41,0)</f>
        <v>0</v>
      </c>
      <c r="F72" s="665">
        <f>IFERROR(Resultaten_tabellen!E41,0)</f>
        <v>0</v>
      </c>
    </row>
    <row r="73" spans="2:6" x14ac:dyDescent="0.3">
      <c r="B73" s="489" t="s">
        <v>1525</v>
      </c>
      <c r="C73" s="665">
        <f>IFERROR(Resultaten_tabellen!B42,0)</f>
        <v>0</v>
      </c>
      <c r="D73" s="665">
        <f>IFERROR(Resultaten_tabellen!C42,0)</f>
        <v>0</v>
      </c>
      <c r="E73" s="665">
        <f>IFERROR(Resultaten_tabellen!D42,0)</f>
        <v>0</v>
      </c>
      <c r="F73" s="665">
        <f>IFERROR(Resultaten_tabellen!E42,0)</f>
        <v>0</v>
      </c>
    </row>
    <row r="74" spans="2:6" x14ac:dyDescent="0.3">
      <c r="B74" s="489" t="s">
        <v>1526</v>
      </c>
      <c r="C74" s="665">
        <f>IFERROR(Resultaten_tabellen!B43,0)</f>
        <v>0</v>
      </c>
      <c r="D74" s="665">
        <f>IFERROR(Resultaten_tabellen!C43,0)</f>
        <v>0</v>
      </c>
      <c r="E74" s="665">
        <f>IFERROR(Resultaten_tabellen!D43,0)</f>
        <v>0</v>
      </c>
      <c r="F74" s="665">
        <f>IFERROR(Resultaten_tabellen!E43,0)</f>
        <v>0</v>
      </c>
    </row>
    <row r="75" spans="2:6" x14ac:dyDescent="0.3">
      <c r="B75" s="489" t="s">
        <v>1959</v>
      </c>
      <c r="C75" s="665">
        <f>IFERROR(Resultaten_tabellen!B44,0)</f>
        <v>0</v>
      </c>
      <c r="D75" s="665">
        <f>IFERROR(Resultaten_tabellen!C44,0)</f>
        <v>0</v>
      </c>
      <c r="E75" s="665">
        <f>IFERROR(Resultaten_tabellen!D44,0)</f>
        <v>0</v>
      </c>
      <c r="F75" s="665">
        <f>IFERROR(Resultaten_tabellen!E44,0)</f>
        <v>0</v>
      </c>
    </row>
    <row r="76" spans="2:6" x14ac:dyDescent="0.3">
      <c r="B76" s="489" t="s">
        <v>160</v>
      </c>
      <c r="C76" s="665">
        <f>IFERROR(Resultaten_tabellen!B45,0)</f>
        <v>0</v>
      </c>
      <c r="D76" s="665">
        <f>IFERROR(Resultaten_tabellen!C45,0)</f>
        <v>0</v>
      </c>
      <c r="E76" s="665">
        <f>IFERROR(Resultaten_tabellen!D45,0)</f>
        <v>0</v>
      </c>
      <c r="F76" s="665">
        <f>IFERROR(Resultaten_tabellen!E45,0)</f>
        <v>0</v>
      </c>
    </row>
    <row r="77" spans="2:6" x14ac:dyDescent="0.3">
      <c r="B77" s="687" t="s">
        <v>1991</v>
      </c>
    </row>
  </sheetData>
  <sheetProtection algorithmName="SHA-512" hashValue="dGPsEK65D+uPJWx8l7LKA7oZYoixD+SQDBtsE+JyZ9LPWd/Q240tDIwCAGeStTx5o+h0FETYLuT8c42J/CK+xg==" saltValue="mUEQgULQWTmTKM9vkxye/Q==" spinCount="100000"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6B8E3-EE30-40C3-93A9-52E2A3B194C2}">
  <sheetPr codeName="Blad31"/>
  <dimension ref="A1:E46"/>
  <sheetViews>
    <sheetView workbookViewId="0">
      <selection activeCell="E33" sqref="E33"/>
    </sheetView>
  </sheetViews>
  <sheetFormatPr defaultRowHeight="15" x14ac:dyDescent="0.3"/>
  <cols>
    <col min="1" max="1" width="22.85546875" customWidth="1"/>
    <col min="2" max="2" width="13.5703125" customWidth="1"/>
    <col min="3" max="5" width="11.5703125" customWidth="1"/>
  </cols>
  <sheetData>
    <row r="1" spans="1:5" x14ac:dyDescent="0.3">
      <c r="A1" t="s">
        <v>1620</v>
      </c>
      <c r="B1">
        <f>Selectie_voertuigen!C26</f>
        <v>-1</v>
      </c>
      <c r="C1">
        <f>Selectie_voertuigen!D26</f>
        <v>-1</v>
      </c>
      <c r="D1">
        <f>Selectie_voertuigen!E26</f>
        <v>-1</v>
      </c>
      <c r="E1">
        <f>Selectie_voertuigen!F26</f>
        <v>-1</v>
      </c>
    </row>
    <row r="2" spans="1:5" ht="18" x14ac:dyDescent="0.35">
      <c r="A2" s="512" t="s">
        <v>1457</v>
      </c>
    </row>
    <row r="3" spans="1:5" x14ac:dyDescent="0.3">
      <c r="A3" t="s">
        <v>264</v>
      </c>
      <c r="B3">
        <f>VLOOKUP(input_eenheid,calc_TCO!$J$13:$L$17,3,0)</f>
        <v>1</v>
      </c>
      <c r="D3" s="3"/>
      <c r="E3" s="3"/>
    </row>
    <row r="4" spans="1:5" x14ac:dyDescent="0.3">
      <c r="A4" s="3"/>
      <c r="B4" s="3"/>
      <c r="C4" s="3"/>
      <c r="D4" s="3"/>
      <c r="E4" s="3"/>
    </row>
    <row r="5" spans="1:5" x14ac:dyDescent="0.3">
      <c r="A5" t="str">
        <f>"TCO resultaat - "&amp;A6</f>
        <v>TCO resultaat - 0</v>
      </c>
    </row>
    <row r="6" spans="1:5" x14ac:dyDescent="0.3">
      <c r="A6">
        <f>input_zichtjaar</f>
        <v>0</v>
      </c>
    </row>
    <row r="7" spans="1:5" x14ac:dyDescent="0.3">
      <c r="A7" s="38"/>
      <c r="B7" s="38" t="str">
        <f>Selectie_voertuigen!C25</f>
        <v>---onjuiste selectie---</v>
      </c>
      <c r="C7" s="38" t="str">
        <f>Selectie_voertuigen!D25</f>
        <v>---onjuiste selectie---</v>
      </c>
      <c r="D7" s="38" t="str">
        <f>Selectie_voertuigen!E25</f>
        <v>---onjuiste selectie---</v>
      </c>
      <c r="E7" s="38" t="str">
        <f>Selectie_voertuigen!F25</f>
        <v>---onjuiste selectie---</v>
      </c>
    </row>
    <row r="8" spans="1:5" x14ac:dyDescent="0.3">
      <c r="A8" s="38" t="s">
        <v>154</v>
      </c>
      <c r="B8" s="422">
        <f>IF(B$1&lt;0,0,INDEX(calc_TCO!$D6:$E6,,$A$6-input_basisjaar+1))*($B$3)</f>
        <v>0</v>
      </c>
      <c r="C8" s="422">
        <f>IF(C$1&lt;0,0,INDEX(calc_TCO!$D15:$E15,,$A$6-input_basisjaar+1))*($B$3)</f>
        <v>0</v>
      </c>
      <c r="D8" s="422">
        <f>IF(D$1&lt;0,0,INDEX(calc_TCO!$D24:$E24,,$A$6-input_basisjaar+1))*($B$3)</f>
        <v>0</v>
      </c>
      <c r="E8" s="422">
        <f>IF(E$1&lt;0,0,INDEX(calc_TCO!$D33:$E33,,$A$6-input_basisjaar+1))*($B$3)</f>
        <v>0</v>
      </c>
    </row>
    <row r="9" spans="1:5" x14ac:dyDescent="0.3">
      <c r="A9" s="38" t="s">
        <v>244</v>
      </c>
      <c r="B9" s="422">
        <f>IF(B$1&lt;0,0,INDEX(calc_TCO!$D7:$E7,,$A$6-input_basisjaar+1))*($B$3)</f>
        <v>0</v>
      </c>
      <c r="C9" s="422">
        <f>IF(C$1&lt;0,0,INDEX(calc_TCO!$D16:$E16,,$A$6-input_basisjaar+1))*($B$3)</f>
        <v>0</v>
      </c>
      <c r="D9" s="422">
        <f>IF(D$1&lt;0,0,INDEX(calc_TCO!$D25:$E25,,$A$6-input_basisjaar+1))*($B$3)</f>
        <v>0</v>
      </c>
      <c r="E9" s="422">
        <f>IF(E$1&lt;0,0,INDEX(calc_TCO!$D34:$E34,,$A$6-input_basisjaar+1))*($B$3)</f>
        <v>0</v>
      </c>
    </row>
    <row r="10" spans="1:5" x14ac:dyDescent="0.3">
      <c r="A10" s="38" t="s">
        <v>1524</v>
      </c>
      <c r="B10" s="422">
        <f>IF(B$1&lt;0,0,INDEX(calc_TCO!$D8:$E8,,$A$6-input_basisjaar+1))*($B$3)</f>
        <v>0</v>
      </c>
      <c r="C10" s="422">
        <f>IF(C$1&lt;0,0,INDEX(calc_TCO!$D17:$E17,,$A$6-input_basisjaar+1))*($B$3)</f>
        <v>0</v>
      </c>
      <c r="D10" s="422">
        <f>IF(D$1&lt;0,0,INDEX(calc_TCO!$D26:$E26,,$A$6-input_basisjaar+1))*($B$3)</f>
        <v>0</v>
      </c>
      <c r="E10" s="422">
        <f>IF(E$1&lt;0,0,INDEX(calc_TCO!$D35:$E35,,$A$6-input_basisjaar+1))*($B$3)</f>
        <v>0</v>
      </c>
    </row>
    <row r="11" spans="1:5" x14ac:dyDescent="0.3">
      <c r="A11" s="38" t="s">
        <v>1525</v>
      </c>
      <c r="B11" s="422">
        <f>IF(B$1&lt;0,0,INDEX(calc_TCO!$D9:$E9,,$A$6-input_basisjaar+1))*($B$3)</f>
        <v>0</v>
      </c>
      <c r="C11" s="422">
        <f>IF(C$1&lt;0,0,INDEX(calc_TCO!$D18:$E18,,$A$6-input_basisjaar+1))*($B$3)</f>
        <v>0</v>
      </c>
      <c r="D11" s="422">
        <f>IF(D$1&lt;0,0,INDEX(calc_TCO!$D27:$E27,,$A$6-input_basisjaar+1))*($B$3)</f>
        <v>0</v>
      </c>
      <c r="E11" s="422">
        <f>IF(E$1&lt;0,0,INDEX(calc_TCO!$D36:$E36,,$A$6-input_basisjaar+1))*($B$3)</f>
        <v>0</v>
      </c>
    </row>
    <row r="12" spans="1:5" x14ac:dyDescent="0.3">
      <c r="A12" s="38" t="s">
        <v>1526</v>
      </c>
      <c r="B12" s="422">
        <f>IF(B$1&lt;0,0,INDEX(calc_TCO!$D10:$E10,,$A$6-input_basisjaar+1))*($B$3)</f>
        <v>0</v>
      </c>
      <c r="C12" s="422">
        <f>IF(C$1&lt;0,0,INDEX(calc_TCO!$D19:$E19,,$A$6-input_basisjaar+1))*($B$3)</f>
        <v>0</v>
      </c>
      <c r="D12" s="422">
        <f>IF(D$1&lt;0,0,INDEX(calc_TCO!$D28:$E28,,$A$6-input_basisjaar+1))*($B$3)</f>
        <v>0</v>
      </c>
      <c r="E12" s="422">
        <f>IF(E$1&lt;0,0,INDEX(calc_TCO!$D37:$E37,,$A$6-input_basisjaar+1))*($B$3)</f>
        <v>0</v>
      </c>
    </row>
    <row r="13" spans="1:5" x14ac:dyDescent="0.3">
      <c r="A13" s="38" t="s">
        <v>1527</v>
      </c>
      <c r="B13" s="422">
        <f>IF(B$1&lt;0,0,INDEX(calc_TCO!$D11:$E11,,$A$6-input_basisjaar+1))*($B$3)</f>
        <v>0</v>
      </c>
      <c r="C13" s="422">
        <f>IF(C$1&lt;0,0,INDEX(calc_TCO!$D20:$E20,,$A$6-input_basisjaar+1))*($B$3)</f>
        <v>0</v>
      </c>
      <c r="D13" s="422">
        <f>IF(D$1&lt;0,0,INDEX(calc_TCO!$D29:$E29,,$A$6-input_basisjaar+1))*($B$3)</f>
        <v>0</v>
      </c>
      <c r="E13" s="422">
        <f>IF(E$1&lt;0,0,INDEX(calc_TCO!$D38:$E38,,$A$6-input_basisjaar+1))*($B$3)</f>
        <v>0</v>
      </c>
    </row>
    <row r="14" spans="1:5" x14ac:dyDescent="0.3">
      <c r="B14" s="391">
        <f>SUM(B8:B13)</f>
        <v>0</v>
      </c>
      <c r="C14" s="391">
        <f>SUM(C8:C13)</f>
        <v>0</v>
      </c>
      <c r="D14" s="391">
        <f>SUM(D8:D13)</f>
        <v>0</v>
      </c>
      <c r="E14" s="391">
        <f>SUM(E8:E13)</f>
        <v>0</v>
      </c>
    </row>
    <row r="15" spans="1:5" x14ac:dyDescent="0.3">
      <c r="A15" s="3"/>
      <c r="B15" s="3"/>
      <c r="C15" s="3"/>
      <c r="D15" s="3"/>
      <c r="E15" s="3"/>
    </row>
    <row r="17" spans="1:5" ht="18" x14ac:dyDescent="0.35">
      <c r="A17" s="512" t="s">
        <v>1458</v>
      </c>
    </row>
    <row r="18" spans="1:5" x14ac:dyDescent="0.3">
      <c r="A18" t="s">
        <v>264</v>
      </c>
      <c r="B18" s="44" t="e">
        <f>calc_TCO!L17</f>
        <v>#DIV/0!</v>
      </c>
      <c r="D18" s="3"/>
      <c r="E18" s="3"/>
    </row>
    <row r="19" spans="1:5" x14ac:dyDescent="0.3">
      <c r="A19" s="3"/>
      <c r="B19" s="3"/>
      <c r="C19" s="3"/>
      <c r="D19" s="3"/>
      <c r="E19" s="3"/>
    </row>
    <row r="20" spans="1:5" x14ac:dyDescent="0.3">
      <c r="A20" t="str">
        <f>"TCO resultaat - "&amp;A21</f>
        <v>TCO resultaat - 0</v>
      </c>
    </row>
    <row r="21" spans="1:5" x14ac:dyDescent="0.3">
      <c r="A21">
        <f>input_zichtjaar</f>
        <v>0</v>
      </c>
    </row>
    <row r="22" spans="1:5" x14ac:dyDescent="0.3">
      <c r="A22" s="38"/>
      <c r="B22" s="38" t="str">
        <f>Selectie_voertuigen!C25</f>
        <v>---onjuiste selectie---</v>
      </c>
      <c r="C22" s="38" t="str">
        <f>Selectie_voertuigen!D25</f>
        <v>---onjuiste selectie---</v>
      </c>
      <c r="D22" s="38" t="str">
        <f>Selectie_voertuigen!E25</f>
        <v>---onjuiste selectie---</v>
      </c>
      <c r="E22" s="38" t="str">
        <f>Selectie_voertuigen!F25</f>
        <v>---onjuiste selectie---</v>
      </c>
    </row>
    <row r="23" spans="1:5" x14ac:dyDescent="0.3">
      <c r="A23" s="38" t="s">
        <v>154</v>
      </c>
      <c r="B23" s="516" t="e">
        <f>B8*$B$18/$B$3</f>
        <v>#DIV/0!</v>
      </c>
      <c r="C23" s="516" t="e">
        <f t="shared" ref="C23:E23" si="0">C8*$B$18/$B$3</f>
        <v>#DIV/0!</v>
      </c>
      <c r="D23" s="516" t="e">
        <f t="shared" si="0"/>
        <v>#DIV/0!</v>
      </c>
      <c r="E23" s="516" t="e">
        <f t="shared" si="0"/>
        <v>#DIV/0!</v>
      </c>
    </row>
    <row r="24" spans="1:5" x14ac:dyDescent="0.3">
      <c r="A24" s="38" t="s">
        <v>244</v>
      </c>
      <c r="B24" s="516" t="e">
        <f t="shared" ref="B24:E24" si="1">B9*$B$18/$B$3</f>
        <v>#DIV/0!</v>
      </c>
      <c r="C24" s="516" t="e">
        <f t="shared" si="1"/>
        <v>#DIV/0!</v>
      </c>
      <c r="D24" s="516" t="e">
        <f t="shared" si="1"/>
        <v>#DIV/0!</v>
      </c>
      <c r="E24" s="516" t="e">
        <f t="shared" si="1"/>
        <v>#DIV/0!</v>
      </c>
    </row>
    <row r="25" spans="1:5" x14ac:dyDescent="0.3">
      <c r="A25" s="38" t="s">
        <v>1524</v>
      </c>
      <c r="B25" s="516" t="e">
        <f t="shared" ref="B25:E25" si="2">B10*$B$18/$B$3</f>
        <v>#DIV/0!</v>
      </c>
      <c r="C25" s="516" t="e">
        <f t="shared" si="2"/>
        <v>#DIV/0!</v>
      </c>
      <c r="D25" s="516" t="e">
        <f t="shared" si="2"/>
        <v>#DIV/0!</v>
      </c>
      <c r="E25" s="516" t="e">
        <f t="shared" si="2"/>
        <v>#DIV/0!</v>
      </c>
    </row>
    <row r="26" spans="1:5" x14ac:dyDescent="0.3">
      <c r="A26" s="38" t="s">
        <v>1525</v>
      </c>
      <c r="B26" s="516" t="e">
        <f t="shared" ref="B26:E26" si="3">B11*$B$18/$B$3</f>
        <v>#DIV/0!</v>
      </c>
      <c r="C26" s="516" t="e">
        <f t="shared" si="3"/>
        <v>#DIV/0!</v>
      </c>
      <c r="D26" s="516" t="e">
        <f t="shared" si="3"/>
        <v>#DIV/0!</v>
      </c>
      <c r="E26" s="516" t="e">
        <f t="shared" si="3"/>
        <v>#DIV/0!</v>
      </c>
    </row>
    <row r="27" spans="1:5" x14ac:dyDescent="0.3">
      <c r="A27" s="38" t="s">
        <v>1526</v>
      </c>
      <c r="B27" s="516" t="e">
        <f t="shared" ref="B27:E27" si="4">B12*$B$18/$B$3</f>
        <v>#DIV/0!</v>
      </c>
      <c r="C27" s="516" t="e">
        <f t="shared" si="4"/>
        <v>#DIV/0!</v>
      </c>
      <c r="D27" s="516" t="e">
        <f t="shared" si="4"/>
        <v>#DIV/0!</v>
      </c>
      <c r="E27" s="516" t="e">
        <f t="shared" si="4"/>
        <v>#DIV/0!</v>
      </c>
    </row>
    <row r="28" spans="1:5" x14ac:dyDescent="0.3">
      <c r="A28" s="38" t="s">
        <v>1527</v>
      </c>
      <c r="B28" s="516" t="e">
        <f t="shared" ref="B28:E28" si="5">B13*$B$18/$B$3</f>
        <v>#DIV/0!</v>
      </c>
      <c r="C28" s="516" t="e">
        <f t="shared" si="5"/>
        <v>#DIV/0!</v>
      </c>
      <c r="D28" s="516" t="e">
        <f t="shared" si="5"/>
        <v>#DIV/0!</v>
      </c>
      <c r="E28" s="516" t="e">
        <f t="shared" si="5"/>
        <v>#DIV/0!</v>
      </c>
    </row>
    <row r="29" spans="1:5" x14ac:dyDescent="0.3">
      <c r="B29" s="517" t="e">
        <f>SUM(B23:B28)</f>
        <v>#DIV/0!</v>
      </c>
      <c r="C29" s="517" t="e">
        <f>SUM(C23:C28)</f>
        <v>#DIV/0!</v>
      </c>
      <c r="D29" s="517" t="e">
        <f>SUM(D23:D28)</f>
        <v>#DIV/0!</v>
      </c>
      <c r="E29" s="517" t="e">
        <f>SUM(E23:E28)</f>
        <v>#DIV/0!</v>
      </c>
    </row>
    <row r="30" spans="1:5" x14ac:dyDescent="0.3">
      <c r="A30" s="3"/>
      <c r="B30" s="3"/>
      <c r="C30" s="3"/>
      <c r="D30" s="3"/>
      <c r="E30" s="3"/>
    </row>
    <row r="33" spans="1:5" ht="18" x14ac:dyDescent="0.35">
      <c r="A33" s="512" t="s">
        <v>1521</v>
      </c>
    </row>
    <row r="34" spans="1:5" x14ac:dyDescent="0.3">
      <c r="A34" t="s">
        <v>264</v>
      </c>
      <c r="B34" s="44" t="e">
        <f>calc_TCO!L14</f>
        <v>#DIV/0!</v>
      </c>
      <c r="D34" s="3"/>
      <c r="E34" s="3"/>
    </row>
    <row r="35" spans="1:5" x14ac:dyDescent="0.3">
      <c r="A35" s="3"/>
      <c r="B35" s="3"/>
      <c r="C35" s="3"/>
      <c r="D35" s="3"/>
      <c r="E35" s="3"/>
    </row>
    <row r="36" spans="1:5" x14ac:dyDescent="0.3">
      <c r="A36" t="str">
        <f>"TCO resultaat - "&amp;A37</f>
        <v>TCO resultaat - 0</v>
      </c>
    </row>
    <row r="37" spans="1:5" x14ac:dyDescent="0.3">
      <c r="A37">
        <f>input_zichtjaar</f>
        <v>0</v>
      </c>
    </row>
    <row r="38" spans="1:5" x14ac:dyDescent="0.3">
      <c r="A38" s="38"/>
      <c r="B38" s="38" t="str">
        <f>Selectie_voertuigen!C25</f>
        <v>---onjuiste selectie---</v>
      </c>
      <c r="C38" s="38" t="str">
        <f>Selectie_voertuigen!D25</f>
        <v>---onjuiste selectie---</v>
      </c>
      <c r="D38" s="38" t="str">
        <f>Selectie_voertuigen!E25</f>
        <v>---onjuiste selectie---</v>
      </c>
      <c r="E38" s="38" t="str">
        <f>Selectie_voertuigen!F25</f>
        <v>---onjuiste selectie---</v>
      </c>
    </row>
    <row r="39" spans="1:5" x14ac:dyDescent="0.3">
      <c r="A39" s="38" t="s">
        <v>154</v>
      </c>
      <c r="B39" s="516" t="e">
        <f>B8*$B$34/$B$3</f>
        <v>#DIV/0!</v>
      </c>
      <c r="C39" s="516" t="e">
        <f t="shared" ref="C39:E39" si="6">C8*$B$34/$B$3</f>
        <v>#DIV/0!</v>
      </c>
      <c r="D39" s="516" t="e">
        <f t="shared" si="6"/>
        <v>#DIV/0!</v>
      </c>
      <c r="E39" s="516" t="e">
        <f t="shared" si="6"/>
        <v>#DIV/0!</v>
      </c>
    </row>
    <row r="40" spans="1:5" x14ac:dyDescent="0.3">
      <c r="A40" s="38" t="s">
        <v>244</v>
      </c>
      <c r="B40" s="516" t="e">
        <f>B9*$B$34/$B$3</f>
        <v>#DIV/0!</v>
      </c>
      <c r="C40" s="516" t="e">
        <f t="shared" ref="B40:E44" si="7">C9*$B$34/$B$3</f>
        <v>#DIV/0!</v>
      </c>
      <c r="D40" s="516" t="e">
        <f t="shared" si="7"/>
        <v>#DIV/0!</v>
      </c>
      <c r="E40" s="516" t="e">
        <f t="shared" si="7"/>
        <v>#DIV/0!</v>
      </c>
    </row>
    <row r="41" spans="1:5" x14ac:dyDescent="0.3">
      <c r="A41" s="38" t="s">
        <v>1524</v>
      </c>
      <c r="B41" s="516" t="e">
        <f t="shared" si="7"/>
        <v>#DIV/0!</v>
      </c>
      <c r="C41" s="516" t="e">
        <f t="shared" si="7"/>
        <v>#DIV/0!</v>
      </c>
      <c r="D41" s="516" t="e">
        <f t="shared" si="7"/>
        <v>#DIV/0!</v>
      </c>
      <c r="E41" s="516" t="e">
        <f t="shared" si="7"/>
        <v>#DIV/0!</v>
      </c>
    </row>
    <row r="42" spans="1:5" x14ac:dyDescent="0.3">
      <c r="A42" s="38" t="s">
        <v>1525</v>
      </c>
      <c r="B42" s="516" t="e">
        <f t="shared" si="7"/>
        <v>#DIV/0!</v>
      </c>
      <c r="C42" s="516" t="e">
        <f t="shared" si="7"/>
        <v>#DIV/0!</v>
      </c>
      <c r="D42" s="516" t="e">
        <f t="shared" si="7"/>
        <v>#DIV/0!</v>
      </c>
      <c r="E42" s="516" t="e">
        <f t="shared" si="7"/>
        <v>#DIV/0!</v>
      </c>
    </row>
    <row r="43" spans="1:5" x14ac:dyDescent="0.3">
      <c r="A43" s="38" t="s">
        <v>1526</v>
      </c>
      <c r="B43" s="516" t="e">
        <f t="shared" si="7"/>
        <v>#DIV/0!</v>
      </c>
      <c r="C43" s="516" t="e">
        <f t="shared" si="7"/>
        <v>#DIV/0!</v>
      </c>
      <c r="D43" s="516" t="e">
        <f t="shared" si="7"/>
        <v>#DIV/0!</v>
      </c>
      <c r="E43" s="516" t="e">
        <f t="shared" si="7"/>
        <v>#DIV/0!</v>
      </c>
    </row>
    <row r="44" spans="1:5" x14ac:dyDescent="0.3">
      <c r="A44" s="38" t="s">
        <v>1527</v>
      </c>
      <c r="B44" s="516" t="e">
        <f t="shared" si="7"/>
        <v>#DIV/0!</v>
      </c>
      <c r="C44" s="516" t="e">
        <f t="shared" si="7"/>
        <v>#DIV/0!</v>
      </c>
      <c r="D44" s="516" t="e">
        <f t="shared" si="7"/>
        <v>#DIV/0!</v>
      </c>
      <c r="E44" s="516" t="e">
        <f t="shared" si="7"/>
        <v>#DIV/0!</v>
      </c>
    </row>
    <row r="45" spans="1:5" x14ac:dyDescent="0.3">
      <c r="B45" s="517" t="e">
        <f>SUM(B39:B44)</f>
        <v>#DIV/0!</v>
      </c>
      <c r="C45" s="517" t="e">
        <f>SUM(C39:C44)</f>
        <v>#DIV/0!</v>
      </c>
      <c r="D45" s="517" t="e">
        <f>SUM(D39:D44)</f>
        <v>#DIV/0!</v>
      </c>
      <c r="E45" s="517" t="e">
        <f>SUM(E39:E44)</f>
        <v>#DIV/0!</v>
      </c>
    </row>
    <row r="46" spans="1:5" x14ac:dyDescent="0.3">
      <c r="A46" s="3"/>
      <c r="B46" s="3"/>
      <c r="C46" s="3"/>
      <c r="D46" s="3"/>
      <c r="E46" s="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6C43-9FB0-47C2-B5A7-4438AB8F7205}">
  <sheetPr codeName="Blad29">
    <tabColor rgb="FFFFFF00"/>
    <pageSetUpPr autoPageBreaks="0"/>
  </sheetPr>
  <dimension ref="A2:AJ39"/>
  <sheetViews>
    <sheetView zoomScale="85" zoomScaleNormal="85" workbookViewId="0">
      <selection activeCell="E33" sqref="E33"/>
    </sheetView>
  </sheetViews>
  <sheetFormatPr defaultRowHeight="15" x14ac:dyDescent="0.3"/>
  <cols>
    <col min="1" max="1" width="27" style="81" customWidth="1"/>
    <col min="2" max="6" width="24.7109375" customWidth="1"/>
    <col min="7" max="7" width="10" bestFit="1" customWidth="1"/>
  </cols>
  <sheetData>
    <row r="2" spans="1:36" x14ac:dyDescent="0.3">
      <c r="A2" s="495" t="s">
        <v>1362</v>
      </c>
      <c r="B2" t="s">
        <v>994</v>
      </c>
      <c r="C2" s="40" t="s">
        <v>1960</v>
      </c>
    </row>
    <row r="3" spans="1:36" x14ac:dyDescent="0.3">
      <c r="A3" s="495" t="s">
        <v>1363</v>
      </c>
      <c r="B3" t="s">
        <v>1377</v>
      </c>
      <c r="C3" t="s">
        <v>1378</v>
      </c>
    </row>
    <row r="4" spans="1:36" x14ac:dyDescent="0.3">
      <c r="A4" s="495" t="s">
        <v>39</v>
      </c>
      <c r="B4" s="494" t="s">
        <v>46</v>
      </c>
      <c r="C4" s="494" t="s">
        <v>141</v>
      </c>
      <c r="D4" s="494" t="s">
        <v>45</v>
      </c>
      <c r="E4" s="494" t="s">
        <v>1929</v>
      </c>
      <c r="F4" s="494" t="s">
        <v>1930</v>
      </c>
    </row>
    <row r="5" spans="1:36" x14ac:dyDescent="0.3">
      <c r="A5" s="495" t="s">
        <v>1935</v>
      </c>
      <c r="B5" s="494" t="s">
        <v>46</v>
      </c>
      <c r="C5" s="494" t="s">
        <v>141</v>
      </c>
      <c r="D5" s="494" t="s">
        <v>45</v>
      </c>
      <c r="E5" s="494" t="s">
        <v>45</v>
      </c>
      <c r="F5" s="494" t="s">
        <v>1459</v>
      </c>
    </row>
    <row r="6" spans="1:36" x14ac:dyDescent="0.3">
      <c r="A6" s="495" t="s">
        <v>1373</v>
      </c>
      <c r="B6" s="494" t="s">
        <v>60</v>
      </c>
      <c r="C6" s="511" t="s">
        <v>1468</v>
      </c>
      <c r="D6" s="494" t="s">
        <v>1464</v>
      </c>
      <c r="E6" s="494" t="s">
        <v>1411</v>
      </c>
      <c r="F6" s="494" t="s">
        <v>1366</v>
      </c>
      <c r="G6" s="494" t="s">
        <v>1380</v>
      </c>
      <c r="H6" s="494" t="s">
        <v>245</v>
      </c>
      <c r="I6" s="494"/>
    </row>
    <row r="7" spans="1:36" x14ac:dyDescent="0.3">
      <c r="A7" s="496" t="s">
        <v>1374</v>
      </c>
      <c r="B7" s="494" t="s">
        <v>4</v>
      </c>
      <c r="C7" s="494" t="s">
        <v>13</v>
      </c>
      <c r="D7" t="s">
        <v>14</v>
      </c>
    </row>
    <row r="8" spans="1:36" x14ac:dyDescent="0.3">
      <c r="A8" s="496" t="s">
        <v>1375</v>
      </c>
      <c r="B8" t="s">
        <v>1372</v>
      </c>
    </row>
    <row r="9" spans="1:36" x14ac:dyDescent="0.3">
      <c r="A9" s="495" t="s">
        <v>392</v>
      </c>
      <c r="B9">
        <v>2025</v>
      </c>
      <c r="C9">
        <v>2026</v>
      </c>
    </row>
    <row r="10" spans="1:36" x14ac:dyDescent="0.3">
      <c r="A10" s="81" t="s">
        <v>1406</v>
      </c>
      <c r="B10" t="s">
        <v>1402</v>
      </c>
      <c r="C10" t="s">
        <v>1403</v>
      </c>
      <c r="D10" t="s">
        <v>1404</v>
      </c>
      <c r="E10" t="s">
        <v>1405</v>
      </c>
    </row>
    <row r="11" spans="1:36" x14ac:dyDescent="0.3">
      <c r="A11" s="81" t="s">
        <v>1408</v>
      </c>
      <c r="B11">
        <v>1</v>
      </c>
      <c r="C11">
        <v>2</v>
      </c>
      <c r="D11">
        <v>3</v>
      </c>
      <c r="E11">
        <v>4</v>
      </c>
      <c r="F11">
        <v>5</v>
      </c>
      <c r="G11">
        <v>6</v>
      </c>
      <c r="H11">
        <v>7</v>
      </c>
      <c r="I11">
        <v>8</v>
      </c>
      <c r="J11">
        <v>9</v>
      </c>
      <c r="K11">
        <v>10</v>
      </c>
    </row>
    <row r="12" spans="1:36" x14ac:dyDescent="0.3">
      <c r="A12" s="81" t="s">
        <v>1638</v>
      </c>
      <c r="B12" t="s">
        <v>1515</v>
      </c>
      <c r="C12" t="s">
        <v>1639</v>
      </c>
      <c r="D12" t="s">
        <v>1640</v>
      </c>
    </row>
    <row r="13" spans="1:36" x14ac:dyDescent="0.3">
      <c r="A13" s="81" t="s">
        <v>1646</v>
      </c>
      <c r="B13" t="s">
        <v>1647</v>
      </c>
      <c r="C13" t="s">
        <v>1648</v>
      </c>
      <c r="D13" t="s">
        <v>1649</v>
      </c>
    </row>
    <row r="14" spans="1:36" x14ac:dyDescent="0.3">
      <c r="A14" s="81" t="s">
        <v>158</v>
      </c>
      <c r="B14" s="544">
        <v>10000</v>
      </c>
      <c r="C14" s="544">
        <v>15000</v>
      </c>
      <c r="D14" s="544">
        <v>20000</v>
      </c>
      <c r="E14" s="544">
        <v>25000</v>
      </c>
      <c r="F14" s="544">
        <v>30000</v>
      </c>
      <c r="G14" s="544">
        <v>35000</v>
      </c>
      <c r="H14" s="544">
        <v>40000</v>
      </c>
      <c r="I14" s="544">
        <v>45000</v>
      </c>
      <c r="J14" s="544">
        <v>50000</v>
      </c>
      <c r="K14" s="544">
        <v>55000</v>
      </c>
      <c r="L14" s="544">
        <v>60000</v>
      </c>
      <c r="M14" s="544">
        <v>65000</v>
      </c>
      <c r="N14" s="544">
        <v>70000</v>
      </c>
      <c r="O14" s="544">
        <v>75000</v>
      </c>
      <c r="P14" s="544">
        <v>80000</v>
      </c>
      <c r="Q14" s="544">
        <v>85000</v>
      </c>
      <c r="R14" s="544">
        <v>90000</v>
      </c>
      <c r="S14" s="544">
        <v>95000</v>
      </c>
      <c r="T14" s="544">
        <v>100000</v>
      </c>
      <c r="U14" s="544">
        <v>105000</v>
      </c>
      <c r="V14" s="544">
        <v>110000</v>
      </c>
      <c r="W14" s="544">
        <v>115000</v>
      </c>
      <c r="X14" s="544">
        <v>120000</v>
      </c>
      <c r="Y14" s="544">
        <v>125000</v>
      </c>
      <c r="Z14" s="544">
        <v>130000</v>
      </c>
      <c r="AA14" s="544">
        <v>135000</v>
      </c>
      <c r="AB14" s="544">
        <v>140000</v>
      </c>
      <c r="AC14" s="544">
        <v>145000</v>
      </c>
      <c r="AD14" s="544">
        <v>150000</v>
      </c>
      <c r="AE14" s="544">
        <v>155000</v>
      </c>
      <c r="AF14" s="544">
        <v>160000</v>
      </c>
      <c r="AG14" s="544">
        <v>165000</v>
      </c>
      <c r="AH14" s="544">
        <v>170000</v>
      </c>
      <c r="AI14" s="544">
        <v>175000</v>
      </c>
      <c r="AJ14" s="544">
        <v>180000</v>
      </c>
    </row>
    <row r="15" spans="1:36" x14ac:dyDescent="0.3">
      <c r="A15" s="81" t="s">
        <v>1800</v>
      </c>
      <c r="B15">
        <v>20</v>
      </c>
      <c r="C15">
        <v>40</v>
      </c>
      <c r="D15">
        <v>60</v>
      </c>
      <c r="E15">
        <v>80</v>
      </c>
      <c r="F15">
        <v>100</v>
      </c>
      <c r="G15">
        <v>120</v>
      </c>
      <c r="H15">
        <v>140</v>
      </c>
      <c r="I15">
        <v>160</v>
      </c>
      <c r="J15">
        <v>180</v>
      </c>
      <c r="K15">
        <v>200</v>
      </c>
      <c r="L15">
        <v>220</v>
      </c>
      <c r="M15">
        <v>240</v>
      </c>
      <c r="N15">
        <v>260</v>
      </c>
      <c r="O15">
        <v>280</v>
      </c>
      <c r="P15">
        <v>300</v>
      </c>
      <c r="Q15">
        <v>320</v>
      </c>
      <c r="R15">
        <v>340</v>
      </c>
      <c r="S15">
        <v>360</v>
      </c>
      <c r="T15">
        <v>380</v>
      </c>
      <c r="U15">
        <v>400</v>
      </c>
      <c r="V15">
        <v>420</v>
      </c>
    </row>
    <row r="17" spans="1:5" x14ac:dyDescent="0.3">
      <c r="A17" s="81" t="s">
        <v>1514</v>
      </c>
      <c r="B17" t="s">
        <v>1512</v>
      </c>
      <c r="C17" t="s">
        <v>1513</v>
      </c>
    </row>
    <row r="18" spans="1:5" x14ac:dyDescent="0.3">
      <c r="A18" s="81" t="s">
        <v>1360</v>
      </c>
      <c r="B18" s="47">
        <v>0.8</v>
      </c>
      <c r="C18" s="47">
        <v>0.8</v>
      </c>
      <c r="D18" s="47"/>
      <c r="E18" s="47"/>
    </row>
    <row r="19" spans="1:5" x14ac:dyDescent="0.3">
      <c r="A19" s="81" t="s">
        <v>1361</v>
      </c>
      <c r="B19" s="47">
        <v>0</v>
      </c>
      <c r="C19" s="47">
        <v>0</v>
      </c>
      <c r="D19" s="47"/>
      <c r="E19" s="47"/>
    </row>
    <row r="20" spans="1:5" x14ac:dyDescent="0.3">
      <c r="A20" s="81" t="s">
        <v>1463</v>
      </c>
      <c r="B20" s="47">
        <v>0.2</v>
      </c>
      <c r="C20" s="47">
        <v>0.2</v>
      </c>
      <c r="D20" s="47"/>
      <c r="E20" s="47"/>
    </row>
    <row r="21" spans="1:5" x14ac:dyDescent="0.3">
      <c r="A21" s="81" t="s">
        <v>1519</v>
      </c>
      <c r="B21" t="s">
        <v>1518</v>
      </c>
      <c r="C21" t="s">
        <v>1518</v>
      </c>
      <c r="D21" t="s">
        <v>1520</v>
      </c>
      <c r="E21" t="s">
        <v>1520</v>
      </c>
    </row>
    <row r="22" spans="1:5" x14ac:dyDescent="0.3">
      <c r="A22" s="81" t="s">
        <v>1516</v>
      </c>
      <c r="B22" t="s">
        <v>393</v>
      </c>
      <c r="C22" t="s">
        <v>1358</v>
      </c>
      <c r="D22" t="s">
        <v>393</v>
      </c>
      <c r="E22" t="s">
        <v>1358</v>
      </c>
    </row>
    <row r="24" spans="1:5" x14ac:dyDescent="0.3">
      <c r="A24" s="81" t="s">
        <v>1963</v>
      </c>
      <c r="B24">
        <v>200</v>
      </c>
    </row>
    <row r="28" spans="1:5" x14ac:dyDescent="0.3">
      <c r="A28" s="81" t="s">
        <v>159</v>
      </c>
      <c r="B28" s="75"/>
    </row>
    <row r="29" spans="1:5" x14ac:dyDescent="0.3">
      <c r="A29" s="494" t="s">
        <v>46</v>
      </c>
      <c r="B29" s="47">
        <v>0.1</v>
      </c>
    </row>
    <row r="30" spans="1:5" x14ac:dyDescent="0.3">
      <c r="A30" s="494" t="s">
        <v>141</v>
      </c>
      <c r="B30" s="47">
        <v>0.05</v>
      </c>
    </row>
    <row r="31" spans="1:5" x14ac:dyDescent="0.3">
      <c r="A31" s="494" t="s">
        <v>45</v>
      </c>
      <c r="B31" s="47">
        <v>0.1</v>
      </c>
    </row>
    <row r="32" spans="1:5" x14ac:dyDescent="0.3">
      <c r="A32" s="494" t="s">
        <v>1459</v>
      </c>
      <c r="B32" s="47">
        <v>0.1</v>
      </c>
    </row>
    <row r="35" spans="1:4" x14ac:dyDescent="0.3">
      <c r="A35" s="81" t="s">
        <v>244</v>
      </c>
      <c r="B35" t="s">
        <v>1971</v>
      </c>
      <c r="C35" t="s">
        <v>1972</v>
      </c>
      <c r="D35" t="s">
        <v>1973</v>
      </c>
    </row>
    <row r="36" spans="1:4" x14ac:dyDescent="0.3">
      <c r="A36" s="81" t="s">
        <v>1974</v>
      </c>
      <c r="B36">
        <v>150</v>
      </c>
      <c r="C36">
        <v>175</v>
      </c>
      <c r="D36">
        <v>250</v>
      </c>
    </row>
    <row r="37" spans="1:4" x14ac:dyDescent="0.3">
      <c r="A37" s="81" t="s">
        <v>1975</v>
      </c>
      <c r="B37">
        <v>150</v>
      </c>
      <c r="C37">
        <v>200</v>
      </c>
      <c r="D37">
        <v>350</v>
      </c>
    </row>
    <row r="38" spans="1:4" x14ac:dyDescent="0.3">
      <c r="A38" s="81" t="s">
        <v>1978</v>
      </c>
      <c r="B38">
        <v>30000</v>
      </c>
      <c r="C38">
        <v>30000</v>
      </c>
      <c r="D38">
        <v>30000</v>
      </c>
    </row>
    <row r="39" spans="1:4" x14ac:dyDescent="0.3">
      <c r="A39" s="81" t="s">
        <v>1979</v>
      </c>
      <c r="B39">
        <v>80000</v>
      </c>
      <c r="C39">
        <v>80000</v>
      </c>
      <c r="D39">
        <v>80000</v>
      </c>
    </row>
  </sheetData>
  <phoneticPr fontId="5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3FF54-3EDD-4C2B-9DBF-6446B930A4A0}">
  <sheetPr codeName="Blad7">
    <tabColor rgb="FFFFFF00"/>
    <pageSetUpPr autoPageBreaks="0"/>
  </sheetPr>
  <dimension ref="A1:O170"/>
  <sheetViews>
    <sheetView topLeftCell="A12" zoomScale="85" zoomScaleNormal="85" workbookViewId="0">
      <selection activeCell="H223" sqref="H223"/>
    </sheetView>
  </sheetViews>
  <sheetFormatPr defaultRowHeight="15" x14ac:dyDescent="0.3"/>
  <cols>
    <col min="1" max="1" width="26.42578125" customWidth="1"/>
    <col min="2" max="2" width="41.140625" customWidth="1"/>
    <col min="3" max="5" width="32.42578125" customWidth="1"/>
    <col min="6" max="6" width="31.5703125" customWidth="1"/>
    <col min="10" max="10" width="12.28515625" bestFit="1" customWidth="1"/>
  </cols>
  <sheetData>
    <row r="1" spans="1:7" x14ac:dyDescent="0.3">
      <c r="B1" s="490" t="s">
        <v>1364</v>
      </c>
      <c r="C1" s="491" t="s">
        <v>1402</v>
      </c>
      <c r="D1" s="491" t="s">
        <v>1403</v>
      </c>
      <c r="E1" s="491" t="s">
        <v>1404</v>
      </c>
      <c r="F1" s="491" t="s">
        <v>1405</v>
      </c>
    </row>
    <row r="2" spans="1:7" x14ac:dyDescent="0.3">
      <c r="A2" s="650" t="s">
        <v>1628</v>
      </c>
      <c r="B2" s="611" t="s">
        <v>1362</v>
      </c>
      <c r="C2" s="653">
        <f>Keuzemenu!D35</f>
        <v>0</v>
      </c>
      <c r="D2" s="653">
        <f>Keuzemenu!F35</f>
        <v>0</v>
      </c>
      <c r="E2" s="653">
        <f>Keuzemenu!H35</f>
        <v>0</v>
      </c>
      <c r="F2" s="654">
        <f>Keuzemenu!J35</f>
        <v>0</v>
      </c>
    </row>
    <row r="3" spans="1:7" x14ac:dyDescent="0.3">
      <c r="A3" s="650"/>
      <c r="B3" s="612" t="s">
        <v>39</v>
      </c>
      <c r="C3" s="655">
        <f>Keuzemenu!D37</f>
        <v>0</v>
      </c>
      <c r="D3" s="655">
        <f>Keuzemenu!F37</f>
        <v>0</v>
      </c>
      <c r="E3" s="655">
        <f>Keuzemenu!H37</f>
        <v>0</v>
      </c>
      <c r="F3" s="656">
        <f>Keuzemenu!J37</f>
        <v>0</v>
      </c>
    </row>
    <row r="4" spans="1:7" x14ac:dyDescent="0.3">
      <c r="A4" s="650"/>
      <c r="B4" s="612" t="s">
        <v>1367</v>
      </c>
      <c r="C4" s="655">
        <f>Keuzemenu!D39</f>
        <v>0</v>
      </c>
      <c r="D4" s="655">
        <f>Keuzemenu!F39</f>
        <v>0</v>
      </c>
      <c r="E4" s="655">
        <f>Keuzemenu!H39</f>
        <v>0</v>
      </c>
      <c r="F4" s="656">
        <f>Keuzemenu!J39</f>
        <v>0</v>
      </c>
    </row>
    <row r="5" spans="1:7" x14ac:dyDescent="0.3">
      <c r="A5" s="650"/>
      <c r="B5" s="612" t="s">
        <v>1365</v>
      </c>
      <c r="C5" s="655">
        <f>Keuzemenu!D41</f>
        <v>0</v>
      </c>
      <c r="D5" s="655">
        <f>Keuzemenu!F41</f>
        <v>0</v>
      </c>
      <c r="E5" s="655">
        <f>Keuzemenu!H41</f>
        <v>0</v>
      </c>
      <c r="F5" s="656">
        <f>Keuzemenu!J41</f>
        <v>0</v>
      </c>
    </row>
    <row r="6" spans="1:7" x14ac:dyDescent="0.3">
      <c r="A6" s="650"/>
      <c r="B6" s="613" t="s">
        <v>1363</v>
      </c>
      <c r="C6" s="657">
        <f>Keuzemenu!D33</f>
        <v>0</v>
      </c>
      <c r="D6" s="657">
        <f>Keuzemenu!F33</f>
        <v>0</v>
      </c>
      <c r="E6" s="657">
        <f>Keuzemenu!H33</f>
        <v>0</v>
      </c>
      <c r="F6" s="658">
        <f>Keuzemenu!J33</f>
        <v>0</v>
      </c>
    </row>
    <row r="7" spans="1:7" x14ac:dyDescent="0.3">
      <c r="A7" s="650"/>
      <c r="B7" s="613" t="s">
        <v>244</v>
      </c>
      <c r="C7" s="657">
        <f>Keuzemenu!D43</f>
        <v>0</v>
      </c>
      <c r="D7" s="657">
        <f>Keuzemenu!F43</f>
        <v>0</v>
      </c>
      <c r="E7" s="657">
        <f>Keuzemenu!H43</f>
        <v>0</v>
      </c>
      <c r="F7" s="657">
        <f>Keuzemenu!J43</f>
        <v>0</v>
      </c>
    </row>
    <row r="8" spans="1:7" x14ac:dyDescent="0.3">
      <c r="A8" s="681" t="s">
        <v>1952</v>
      </c>
      <c r="B8" s="678" t="s">
        <v>1946</v>
      </c>
      <c r="C8" s="679">
        <f>Keuzemenu!D45</f>
        <v>0</v>
      </c>
      <c r="D8" s="679">
        <f>Keuzemenu!F45</f>
        <v>0</v>
      </c>
      <c r="E8" s="679">
        <f>Keuzemenu!H45</f>
        <v>0</v>
      </c>
      <c r="F8" s="680">
        <f>Keuzemenu!J45</f>
        <v>0</v>
      </c>
    </row>
    <row r="9" spans="1:7" x14ac:dyDescent="0.3">
      <c r="A9" s="681"/>
      <c r="B9" s="678" t="s">
        <v>1945</v>
      </c>
      <c r="C9" s="679">
        <f>Keuzemenu!D47</f>
        <v>0</v>
      </c>
      <c r="D9" s="679">
        <f>Keuzemenu!F47</f>
        <v>0</v>
      </c>
      <c r="E9" s="679">
        <f>Keuzemenu!H47</f>
        <v>0</v>
      </c>
      <c r="F9" s="680">
        <f>Keuzemenu!J47</f>
        <v>0</v>
      </c>
    </row>
    <row r="10" spans="1:7" x14ac:dyDescent="0.3">
      <c r="A10" s="458" t="s">
        <v>1629</v>
      </c>
      <c r="B10" s="611" t="s">
        <v>1633</v>
      </c>
      <c r="C10" s="653">
        <f>IF(C23,Keuzemenu!D57,C12)</f>
        <v>0</v>
      </c>
      <c r="D10" s="653">
        <f>IF(D23,Keuzemenu!F57,D12)</f>
        <v>0</v>
      </c>
      <c r="E10" s="653">
        <f>IF(E23,Keuzemenu!H57,E12)</f>
        <v>0</v>
      </c>
      <c r="F10" s="654">
        <f>IF(F23,Keuzemenu!J57,F12)</f>
        <v>0</v>
      </c>
      <c r="G10" s="607"/>
    </row>
    <row r="11" spans="1:7" x14ac:dyDescent="0.3">
      <c r="A11" s="458"/>
      <c r="B11" s="612" t="s">
        <v>1376</v>
      </c>
      <c r="C11" s="659">
        <f>IF(C$6=Input_lists!$C$3,Keuzemenu!D59,0)</f>
        <v>0</v>
      </c>
      <c r="D11" s="659">
        <f>IF(D$6=Input_lists!$C$3,Keuzemenu!F59,0)</f>
        <v>0</v>
      </c>
      <c r="E11" s="659">
        <f>IF(E$6=Input_lists!$C$3,Keuzemenu!H59,0)</f>
        <v>0</v>
      </c>
      <c r="F11" s="660">
        <f>IF(F$6=Input_lists!$C$3,Keuzemenu!J59,0)</f>
        <v>0</v>
      </c>
    </row>
    <row r="12" spans="1:7" x14ac:dyDescent="0.3">
      <c r="A12" s="458"/>
      <c r="B12" s="613" t="s">
        <v>1460</v>
      </c>
      <c r="C12" s="657">
        <f>Keuzemenu!$D$10</f>
        <v>0</v>
      </c>
      <c r="D12" s="657">
        <f>Keuzemenu!$D$10</f>
        <v>0</v>
      </c>
      <c r="E12" s="657">
        <f>Keuzemenu!$D$10</f>
        <v>0</v>
      </c>
      <c r="F12" s="658">
        <f>Keuzemenu!$D$10</f>
        <v>0</v>
      </c>
    </row>
    <row r="13" spans="1:7" x14ac:dyDescent="0.3">
      <c r="A13" s="652" t="s">
        <v>1798</v>
      </c>
      <c r="B13" s="611" t="s">
        <v>1801</v>
      </c>
      <c r="C13" s="662">
        <f>Keuzemenu!D49</f>
        <v>0</v>
      </c>
      <c r="D13" s="662">
        <f>Keuzemenu!F49</f>
        <v>0</v>
      </c>
      <c r="E13" s="662">
        <f>Keuzemenu!H49</f>
        <v>0</v>
      </c>
      <c r="F13" s="663">
        <f>Keuzemenu!J49</f>
        <v>0</v>
      </c>
    </row>
    <row r="14" spans="1:7" x14ac:dyDescent="0.3">
      <c r="A14" s="652"/>
      <c r="B14" s="612" t="s">
        <v>1796</v>
      </c>
      <c r="C14" s="659">
        <f>Keuzemenu!D51</f>
        <v>0</v>
      </c>
      <c r="D14" s="659">
        <f>Keuzemenu!F51</f>
        <v>0</v>
      </c>
      <c r="E14" s="659">
        <f>Keuzemenu!H51</f>
        <v>0</v>
      </c>
      <c r="F14" s="660">
        <f>Keuzemenu!J51</f>
        <v>0</v>
      </c>
    </row>
    <row r="15" spans="1:7" x14ac:dyDescent="0.3">
      <c r="A15" s="652"/>
      <c r="B15" s="612" t="s">
        <v>1797</v>
      </c>
      <c r="C15" s="659">
        <f>Keuzemenu!D53</f>
        <v>0</v>
      </c>
      <c r="D15" s="659">
        <f>Keuzemenu!F53</f>
        <v>0</v>
      </c>
      <c r="E15" s="659">
        <f>Keuzemenu!H53</f>
        <v>0</v>
      </c>
      <c r="F15" s="660">
        <f>Keuzemenu!J53</f>
        <v>0</v>
      </c>
    </row>
    <row r="16" spans="1:7" x14ac:dyDescent="0.3">
      <c r="A16" s="652"/>
      <c r="B16" s="613" t="s">
        <v>1380</v>
      </c>
      <c r="C16" s="657">
        <f>Keuzemenu!D55</f>
        <v>0</v>
      </c>
      <c r="D16" s="657">
        <f>Keuzemenu!F55</f>
        <v>0</v>
      </c>
      <c r="E16" s="657">
        <f>Keuzemenu!H55</f>
        <v>0</v>
      </c>
      <c r="F16" s="658">
        <f>Keuzemenu!J55</f>
        <v>0</v>
      </c>
    </row>
    <row r="17" spans="1:8" x14ac:dyDescent="0.3">
      <c r="B17" s="674" t="s">
        <v>1934</v>
      </c>
      <c r="C17" s="675" t="e" cm="1">
        <f t="array" ref="C17">INDEX(Input_lists!$B$5:$F$5,,MATCH(C3,Input_lists!$B$4:$F$4,0))</f>
        <v>#N/A</v>
      </c>
      <c r="D17" s="675" t="e" cm="1">
        <f t="array" ref="D17">INDEX(Input_lists!$B$5:$F$5,,MATCH(D3,Input_lists!$B$4:$F$4,0))</f>
        <v>#N/A</v>
      </c>
      <c r="E17" s="675" t="e" cm="1">
        <f t="array" ref="E17">INDEX(Input_lists!$B$5:$F$5,,MATCH(E3,Input_lists!$B$4:$F$4,0))</f>
        <v>#N/A</v>
      </c>
      <c r="F17" s="675" t="e" cm="1">
        <f t="array" ref="F17">INDEX(Input_lists!$B$5:$F$5,,MATCH(F3,Input_lists!$B$4:$F$4,0))</f>
        <v>#N/A</v>
      </c>
    </row>
    <row r="18" spans="1:8" ht="15.75" customHeight="1" x14ac:dyDescent="0.3">
      <c r="B18" s="651" t="s">
        <v>1411</v>
      </c>
      <c r="C18" s="629" t="e" cm="1">
        <f t="array" ref="C18">IF(C24,C15,IFERROR(INDEX(Input_WLTP!$G$2:$U$230,MATCH(Selectie_voertuigen!C5&amp;C3,Input_WLTP!$C$2:$C$230&amp;Input_WLTP!$D$2:$D$230,0),MATCH(Selectie_voertuigen!C28,Input_WLTP!$G$1:$U$1,0)),INDEX(Input_WLTP!$F$2:$F$230,MATCH(Selectie_voertuigen!C5,Input_WLTP!$C$2:$C$230,0))))</f>
        <v>#N/A</v>
      </c>
      <c r="D18" s="629" t="e" cm="1">
        <f t="array" ref="D18">IF(D24,D15,IFERROR(INDEX(Input_WLTP!$G$2:$U$230,MATCH(Selectie_voertuigen!D5&amp;D3,Input_WLTP!$C$2:$C$230&amp;Input_WLTP!$D$2:$D$230,0),MATCH(Selectie_voertuigen!D28,Input_WLTP!$G$1:$U$1,0)),INDEX(Input_WLTP!$F$2:$F$230,MATCH(Selectie_voertuigen!D5,Input_WLTP!$C$2:$C$230,0))))</f>
        <v>#N/A</v>
      </c>
      <c r="E18" s="629" t="e" cm="1">
        <f t="array" ref="E18">IF(E24,E15,IFERROR(INDEX(Input_WLTP!$G$2:$U$230,MATCH(Selectie_voertuigen!E5&amp;E3,Input_WLTP!$C$2:$C$230&amp;Input_WLTP!$D$2:$D$230,0),MATCH(Selectie_voertuigen!E28,Input_WLTP!$G$1:$U$1,0)),INDEX(Input_WLTP!$F$2:$F$230,MATCH(Selectie_voertuigen!E5,Input_WLTP!$C$2:$C$230,0))))</f>
        <v>#N/A</v>
      </c>
      <c r="F18" s="629" t="e" cm="1">
        <f t="array" ref="F18">IF(F24,F15,IFERROR(INDEX(Input_WLTP!$G$2:$U$230,MATCH(Selectie_voertuigen!F5&amp;F3,Input_WLTP!$C$2:$C$230&amp;Input_WLTP!$D$2:$D$230,0),MATCH(Selectie_voertuigen!F28,Input_WLTP!$G$1:$U$1,0)),INDEX(Input_WLTP!$F$2:$F$230,MATCH(Selectie_voertuigen!F5,Input_WLTP!$C$2:$C$230,0))))</f>
        <v>#N/A</v>
      </c>
      <c r="G18" s="607"/>
    </row>
    <row r="19" spans="1:8" x14ac:dyDescent="0.3">
      <c r="B19" s="508" t="s">
        <v>1964</v>
      </c>
      <c r="C19" s="626" cm="1">
        <f t="array" ref="C19">IF(C24,C16,IFERROR(MAX(INDEX(Input_EVverbruik!$G$2:$U$230,MATCH(Selectie_voertuigen!C5&amp;C3,Input_EVverbruik!$C$2:$C$230&amp;Input_EVverbruik!$D$2:$D$230,0),MATCH(Selectie_voertuigen!C28,Input_EVverbruik!$G$1:$U$1,0)),INDEX(Input_EVverbruik!$F$2:$F$230,MATCH(Selectie_voertuigen!C5&amp;C3,Input_EVverbruik!$C$2:$C$230&amp;Input_EVverbruik!$D$2:$D$230,0))),0))</f>
        <v>0</v>
      </c>
      <c r="D19" s="626" cm="1">
        <f t="array" ref="D19">IF(D24,D16,IFERROR(MAX(INDEX(Input_EVverbruik!$G$2:$U$230,MATCH(Selectie_voertuigen!D5&amp;D3,Input_EVverbruik!$C$2:$C$230&amp;Input_EVverbruik!$D$2:$D$230,0),MATCH(Selectie_voertuigen!D28,Input_EVverbruik!$G$1:$U$1,0)),INDEX(Input_EVverbruik!$F$2:$F$230,MATCH(Selectie_voertuigen!D5&amp;D3,Input_EVverbruik!$C$2:$C$230&amp;Input_EVverbruik!$D$2:$D$230,0))),0))</f>
        <v>0</v>
      </c>
      <c r="E19" s="626" cm="1">
        <f t="array" ref="E19">IF(E24,E16,IFERROR(MAX(INDEX(Input_EVverbruik!$G$2:$U$230,MATCH(Selectie_voertuigen!E5&amp;E3,Input_EVverbruik!$C$2:$C$230&amp;Input_EVverbruik!$D$2:$D$230,0),MATCH(Selectie_voertuigen!E28,Input_EVverbruik!$G$1:$U$1,0)),INDEX(Input_EVverbruik!$F$2:$F$230,MATCH(Selectie_voertuigen!E5&amp;E3,Input_EVverbruik!$C$2:$C$230&amp;Input_EVverbruik!$D$2:$D$230,0))),0))</f>
        <v>0</v>
      </c>
      <c r="F19" s="626" cm="1">
        <f t="array" ref="F19">IF(F24,F16,IFERROR(MAX(INDEX(Input_EVverbruik!$G$2:$U$230,MATCH(Selectie_voertuigen!F5&amp;F3,Input_EVverbruik!$C$2:$C$230&amp;Input_EVverbruik!$D$2:$D$230,0),MATCH(Selectie_voertuigen!F28,Input_EVverbruik!$G$1:$U$1,0)),INDEX(Input_EVverbruik!$F$2:$F$230,MATCH(Selectie_voertuigen!F5&amp;F3,Input_EVverbruik!$C$2:$C$230&amp;Input_EVverbruik!$D$2:$D$230,0))),0))</f>
        <v>0</v>
      </c>
      <c r="G19" s="607"/>
    </row>
    <row r="20" spans="1:8" ht="15.75" customHeight="1" x14ac:dyDescent="0.3">
      <c r="A20" s="669"/>
      <c r="B20" s="507" t="s">
        <v>1962</v>
      </c>
      <c r="C20" s="608" cm="1">
        <f t="array" ref="C20">IFERROR(C18*SUMPRODUCT((input_data!$B$353:$B$356=C17)*input_data!$C$353:$C$356)/SUMPRODUCT((input_data!$B$347:$B$349=C17)*(input_data!$H$347:$H$349))*100,0)</f>
        <v>0</v>
      </c>
      <c r="D20" s="608" cm="1">
        <f t="array" ref="D20">IFERROR(D18*SUMPRODUCT((input_data!$B$353:$B$356=D17)*input_data!$C$353:$C$356)/SUMPRODUCT((input_data!$B$347:$B$349=D17)*(input_data!$H$347:$H$349))*100,0)</f>
        <v>0</v>
      </c>
      <c r="E20" s="608" cm="1">
        <f t="array" ref="E20">IFERROR(E18*SUMPRODUCT((input_data!$B$353:$B$356=E17)*input_data!$C$353:$C$356)/SUMPRODUCT((input_data!$B$347:$B$349=E17)*(input_data!$H$347:$H$349))*100,0)</f>
        <v>0</v>
      </c>
      <c r="F20" s="608" cm="1">
        <f t="array" ref="F20">IFERROR(F18*SUMPRODUCT((input_data!$B$353:$B$356=F17)*input_data!$C$353:$C$356)/SUMPRODUCT((input_data!$B$347:$B$349=F17)*(input_data!$H$347:$H$349))*100,0)</f>
        <v>0</v>
      </c>
      <c r="G20" s="607"/>
    </row>
    <row r="21" spans="1:8" x14ac:dyDescent="0.3">
      <c r="B21" s="508" t="s">
        <v>1634</v>
      </c>
      <c r="C21" s="609">
        <f>IF(C23,0,C33)</f>
        <v>0</v>
      </c>
      <c r="D21" s="609">
        <f t="shared" ref="D21:F21" si="0">IF(D23,0,D33)</f>
        <v>0</v>
      </c>
      <c r="E21" s="609">
        <f t="shared" si="0"/>
        <v>0</v>
      </c>
      <c r="F21" s="609">
        <f t="shared" si="0"/>
        <v>0</v>
      </c>
      <c r="G21" s="607"/>
    </row>
    <row r="22" spans="1:8" x14ac:dyDescent="0.3">
      <c r="B22" s="508" t="s">
        <v>1366</v>
      </c>
      <c r="C22" s="488" t="e" cm="1">
        <f t="array" ref="C22">IF(C24,C14,IFERROR(INDEX(Input_massa!$G$2:$U$230,MATCH(Selectie_voertuigen!C5&amp;C3,Input_massa!$C$2:$C$230&amp;Input_massa!$D$2:$D$230,0),MATCH(Selectie_voertuigen!C28,Input_massa!$G$1:$U$1,0)),INDEX(Input_massa!$F$2:$F$230,MATCH(Selectie_voertuigen!C5&amp;C3,Input_massa!$C$2:$C$230&amp;Input_massa!$D$2:$D$230,0))))</f>
        <v>#N/A</v>
      </c>
      <c r="D22" s="488" t="e" cm="1">
        <f t="array" ref="D22">IF(D24,D14,IFERROR(INDEX(Input_massa!$G$2:$U$230,MATCH(Selectie_voertuigen!D5&amp;D3,Input_massa!$C$2:$C$230&amp;Input_massa!$D$2:$D$230,0),MATCH(Selectie_voertuigen!D28,Input_massa!$G$1:$U$1,0)),INDEX(Input_massa!$F$2:$F$230,MATCH(Selectie_voertuigen!D5&amp;D3,Input_massa!$C$2:$C$230&amp;Input_massa!$D$2:$D$230,0))))</f>
        <v>#N/A</v>
      </c>
      <c r="E22" s="488" t="e" cm="1">
        <f t="array" ref="E22">IF(E24,E14,IFERROR(INDEX(Input_massa!$G$2:$U$230,MATCH(Selectie_voertuigen!E5&amp;E3,Input_massa!$C$2:$C$230&amp;Input_massa!$D$2:$D$230,0),MATCH(Selectie_voertuigen!E28,Input_massa!$G$1:$U$1,0)),INDEX(Input_massa!$F$2:$F$230,MATCH(Selectie_voertuigen!E5&amp;E3,Input_massa!$C$2:$C$230&amp;Input_massa!$D$2:$D$230,0))))</f>
        <v>#N/A</v>
      </c>
      <c r="F22" s="488" t="e" cm="1">
        <f t="array" ref="F22">IF(F24,F14,IFERROR(INDEX(Input_massa!$G$2:$U$230,MATCH(Selectie_voertuigen!F5&amp;F3,Input_massa!$C$2:$C$230&amp;Input_massa!$D$2:$D$230,0),MATCH(Selectie_voertuigen!F28,Input_massa!$G$1:$U$1,0)),INDEX(Input_massa!$F$2:$F$230,MATCH(Selectie_voertuigen!F5&amp;F3,Input_massa!$C$2:$C$230&amp;Input_massa!$D$2:$D$230,0))))</f>
        <v>#N/A</v>
      </c>
      <c r="G22" s="607"/>
    </row>
    <row r="23" spans="1:8" x14ac:dyDescent="0.3">
      <c r="B23" s="508" t="s">
        <v>1379</v>
      </c>
      <c r="C23" s="610" t="b">
        <f>IF(Keuzemenu!D33=Input_lists!$B$3,FALSE,TRUE)</f>
        <v>1</v>
      </c>
      <c r="D23" s="610" t="b">
        <f>IF(Keuzemenu!F33=Input_lists!$B$3,FALSE,TRUE)</f>
        <v>1</v>
      </c>
      <c r="E23" s="610" t="b">
        <f>IF(Keuzemenu!H33=Input_lists!$B$3,FALSE,TRUE)</f>
        <v>1</v>
      </c>
      <c r="F23" s="610" t="b">
        <f>IF(Keuzemenu!J33=Input_lists!$B$3,FALSE,TRUE)</f>
        <v>1</v>
      </c>
    </row>
    <row r="24" spans="1:8" x14ac:dyDescent="0.3">
      <c r="B24" s="508" t="s">
        <v>1799</v>
      </c>
      <c r="C24" s="610" t="b">
        <f>IF(C5="Kies eigen model",TRUE)</f>
        <v>0</v>
      </c>
      <c r="D24" s="610" t="b">
        <f>IF(D5="Kies eigen model",TRUE)</f>
        <v>0</v>
      </c>
      <c r="E24" s="610" t="b">
        <f>IF(E5="Kies eigen model",TRUE)</f>
        <v>0</v>
      </c>
      <c r="F24" s="610" t="b">
        <f>IF(F5="Kies eigen model",TRUE)</f>
        <v>0</v>
      </c>
    </row>
    <row r="25" spans="1:8" x14ac:dyDescent="0.3">
      <c r="B25" s="489" t="s">
        <v>1407</v>
      </c>
      <c r="C25" s="503" t="str">
        <f t="shared" ref="C25:E25" si="1">IF(C24,IF(LEN(C13)&gt;1,C37&amp;" - "&amp;C13,C37&amp;" - Custom auto"),IF(AND(C26&gt;0,LEN(C5)&gt;1),C37&amp;" - "&amp;C5,"---onjuiste selectie---"))</f>
        <v>---onjuiste selectie---</v>
      </c>
      <c r="D25" s="503" t="str">
        <f t="shared" si="1"/>
        <v>---onjuiste selectie---</v>
      </c>
      <c r="E25" s="503" t="str">
        <f t="shared" si="1"/>
        <v>---onjuiste selectie---</v>
      </c>
      <c r="F25" s="503" t="str">
        <f>IF(F24,IF(LEN(F13)&gt;1,F37&amp;" - "&amp;F13,F37&amp;" - Custom auto"),IF(AND(F26&gt;0,LEN(F5)&gt;1),F37&amp;" - "&amp;F5,"---onjuiste selectie---"))</f>
        <v>---onjuiste selectie---</v>
      </c>
    </row>
    <row r="26" spans="1:8" x14ac:dyDescent="0.3">
      <c r="C26" s="509" cm="1">
        <f t="array" ref="C26">IFERROR(IF(C24,(SUM((C$14:C$16&gt;0)*1,(C8="Anders, namelijk:")*1,(C9&gt;0)*1)&gt;=4)*1,IF(SUM((Input_voertuig!$F$3:$T$230=Selectie_voertuigen!C28)*(Input_voertuig!$E$3:$E$230=Selectie_voertuigen!C2)*(Input_voertuig!$D$3:$D$230=Selectie_voertuigen!C3)*(Input_voertuig!$C$3:$C$230=Selectie_voertuigen!C5))=1,1,-1)),0)</f>
        <v>-1</v>
      </c>
      <c r="D26" s="509" cm="1">
        <f t="array" ref="D26">IFERROR(IF(D24,(SUM((D$14:D$16&gt;0)*1,(D8="Anders, namelijk:")*1,(D9&gt;0)*1)&gt;=4)*1,IF(SUM((Input_voertuig!$F$3:$T$230=Selectie_voertuigen!D28)*(Input_voertuig!$E$3:$E$230=Selectie_voertuigen!D2)*(Input_voertuig!$D$3:$D$230=Selectie_voertuigen!D3)*(Input_voertuig!$C$3:$C$230=Selectie_voertuigen!D5))=1,1,-1)),0)</f>
        <v>-1</v>
      </c>
      <c r="E26" s="509" cm="1">
        <f t="array" ref="E26">IFERROR(IF(E24,(SUM((E$14:E$16&gt;0)*1,(E8="Anders, namelijk:")*1,(E9&gt;0)*1)&gt;=4)*1,IF(SUM((Input_voertuig!$F$3:$T$230=Selectie_voertuigen!E28)*(Input_voertuig!$E$3:$E$230=Selectie_voertuigen!E2)*(Input_voertuig!$D$3:$D$230=Selectie_voertuigen!E3)*(Input_voertuig!$C$3:$C$230=Selectie_voertuigen!E5))=1,1,-1)),0)</f>
        <v>-1</v>
      </c>
      <c r="F26" s="509" cm="1">
        <f t="array" ref="F26">IFERROR(IF(F24,(SUM((F$14:F$16&gt;0)*1,(F8="Anders, namelijk:")*1,(F9&gt;0)*1)&gt;=4)*1,IF(SUM((Input_voertuig!$F$3:$T$230=Selectie_voertuigen!F28)*(Input_voertuig!$E$3:$E$230=Selectie_voertuigen!F2)*(Input_voertuig!$D$3:$D$230=Selectie_voertuigen!F3)*(Input_voertuig!$C$3:$C$230=Selectie_voertuigen!F5))=1,1,-1)),0)</f>
        <v>-1</v>
      </c>
    </row>
    <row r="27" spans="1:8" x14ac:dyDescent="0.3">
      <c r="B27" s="622" t="s">
        <v>1631</v>
      </c>
      <c r="C27" s="487" cm="1">
        <f t="array" ref="C27">IF(C24,0,MAX(_xlfn._xlws.FILTER(Input_voertuig!$F$3:$T$230,(Input_voertuig!$C$3:$C$230=Selectie_voertuigen!C5)*(Input_voertuig!$D$3:$D$230=Selectie_voertuigen!C3))))</f>
        <v>0</v>
      </c>
      <c r="D27" s="487" cm="1">
        <f t="array" ref="D27">IF(D24,0,MAX(_xlfn._xlws.FILTER(Input_voertuig!$F$3:$T$230,(Input_voertuig!$C$3:$C$230=Selectie_voertuigen!D5)*(Input_voertuig!$D$3:$D$230=Selectie_voertuigen!D3))))</f>
        <v>0</v>
      </c>
      <c r="E27" s="487" cm="1">
        <f t="array" ref="E27">IF(E24,0,MAX(_xlfn._xlws.FILTER(Input_voertuig!$F$3:$T$230,(Input_voertuig!$C$3:$C$230=Selectie_voertuigen!E5)*(Input_voertuig!$D$3:$D$230=Selectie_voertuigen!E3))))</f>
        <v>0</v>
      </c>
      <c r="F27" s="487" cm="1">
        <f t="array" ref="F27">IF(F24,0,MAX(_xlfn._xlws.FILTER(Input_voertuig!$F$3:$T$230,(Input_voertuig!$C$3:$C$230=Selectie_voertuigen!F5)*(Input_voertuig!$D$3:$D$230=Selectie_voertuigen!F3))))</f>
        <v>0</v>
      </c>
      <c r="H27" s="506"/>
    </row>
    <row r="28" spans="1:8" x14ac:dyDescent="0.3">
      <c r="B28" s="622" t="s">
        <v>1632</v>
      </c>
      <c r="C28" s="487">
        <f>IF(Selectie_voertuigen!C23,C10,IF(C24,C10,Selectie_voertuigen!C27))</f>
        <v>0</v>
      </c>
      <c r="D28" s="487">
        <f>IF(Selectie_voertuigen!D23,D10,IF(D24,D10,Selectie_voertuigen!D27))</f>
        <v>0</v>
      </c>
      <c r="E28" s="487">
        <f>IF(Selectie_voertuigen!E23,E10,IF(E24,E10,Selectie_voertuigen!E27))</f>
        <v>0</v>
      </c>
      <c r="F28" s="487">
        <f>IF(Selectie_voertuigen!F23,F10,IF(F24,F10,Selectie_voertuigen!F27))</f>
        <v>0</v>
      </c>
      <c r="H28" s="506"/>
    </row>
    <row r="29" spans="1:8" x14ac:dyDescent="0.3">
      <c r="B29" s="622" t="s">
        <v>1949</v>
      </c>
      <c r="C29" s="683" t="e" cm="1">
        <f t="array" ref="C29">IFERROR(INDEX(Input_voertuigprijzen!$G$2:$U$230,MATCH(Selectie_voertuigen!C5&amp;C3,Input_voertuigprijzen!$C$2:$C$230&amp;Input_voertuigprijzen!$D$2:$D$230,0),MATCH(Selectie_voertuigen!C28,Input_voertuigprijzen!$G$1:$U$1,0)),INDEX(Input_voertuigprijzen!$F$2:$F$230,MATCH(Selectie_voertuigen!C5&amp;C3,Input_voertuigprijzen!$C$2:$C$230&amp;Input_voertuigprijzen!$D$2:$D$230,0)))</f>
        <v>#N/A</v>
      </c>
      <c r="D29" s="683" t="e" cm="1">
        <f t="array" ref="D29">IFERROR(INDEX(Input_voertuigprijzen!$G$2:$U$230,MATCH(Selectie_voertuigen!D5&amp;D3,Input_voertuigprijzen!$C$2:$C$230&amp;Input_voertuigprijzen!$D$2:$D$230,0),MATCH(Selectie_voertuigen!D28,Input_voertuigprijzen!$G$1:$U$1,0)),INDEX(Input_voertuigprijzen!$F$2:$F$230,MATCH(Selectie_voertuigen!D5&amp;D3,Input_voertuigprijzen!$C$2:$C$230&amp;Input_voertuigprijzen!$D$2:$D$230,0)))</f>
        <v>#N/A</v>
      </c>
      <c r="E29" s="683" t="e" cm="1">
        <f t="array" ref="E29">IFERROR(INDEX(Input_voertuigprijzen!$G$2:$U$230,MATCH(Selectie_voertuigen!E5&amp;E3,Input_voertuigprijzen!$C$2:$C$230&amp;Input_voertuigprijzen!$D$2:$D$230,0),MATCH(Selectie_voertuigen!E28,Input_voertuigprijzen!$G$1:$U$1,0)),INDEX(Input_voertuigprijzen!$F$2:$F$230,MATCH(Selectie_voertuigen!E5&amp;E3,Input_voertuigprijzen!$C$2:$C$230&amp;Input_voertuigprijzen!$D$2:$D$230,0)))</f>
        <v>#N/A</v>
      </c>
      <c r="F29" s="683" t="e" cm="1">
        <f t="array" ref="F29">IFERROR(INDEX(Input_voertuigprijzen!$G$2:$U$230,MATCH(Selectie_voertuigen!F5&amp;F3,Input_voertuigprijzen!$C$2:$C$230&amp;Input_voertuigprijzen!$D$2:$D$230,0),MATCH(Selectie_voertuigen!F28,Input_voertuigprijzen!$G$1:$U$1,0)),INDEX(Input_voertuigprijzen!$F$2:$F$230,MATCH(Selectie_voertuigen!F5&amp;F3,Input_voertuigprijzen!$C$2:$C$230&amp;Input_voertuigprijzen!$D$2:$D$230,0)))</f>
        <v>#N/A</v>
      </c>
      <c r="H29" s="506"/>
    </row>
    <row r="30" spans="1:8" x14ac:dyDescent="0.3">
      <c r="B30" s="622" t="s">
        <v>1950</v>
      </c>
      <c r="C30" s="683">
        <f>C9</f>
        <v>0</v>
      </c>
      <c r="D30" s="683">
        <f t="shared" ref="D30:F30" si="2">D9</f>
        <v>0</v>
      </c>
      <c r="E30" s="683">
        <f t="shared" si="2"/>
        <v>0</v>
      </c>
      <c r="F30" s="683">
        <f t="shared" si="2"/>
        <v>0</v>
      </c>
      <c r="H30" s="506"/>
    </row>
    <row r="31" spans="1:8" x14ac:dyDescent="0.3">
      <c r="B31" s="622" t="s">
        <v>1947</v>
      </c>
      <c r="C31" s="682" t="str">
        <f>IF(C8="Anders, namelijk:","Custom","Standaard")</f>
        <v>Standaard</v>
      </c>
      <c r="D31" s="682" t="str">
        <f>IF(D8="Anders, namelijk:","Custom","Standaard")</f>
        <v>Standaard</v>
      </c>
      <c r="E31" s="682" t="str">
        <f>IF(E8="Anders, namelijk:","Custom","Standaard")</f>
        <v>Standaard</v>
      </c>
      <c r="F31" s="682" t="str">
        <f>IF(F8="Anders, namelijk:","Custom","Standaard")</f>
        <v>Standaard</v>
      </c>
      <c r="H31" s="506"/>
    </row>
    <row r="32" spans="1:8" x14ac:dyDescent="0.3">
      <c r="B32" s="622" t="s">
        <v>1948</v>
      </c>
      <c r="C32" s="684" t="e">
        <f>IF(C31="Custom",C30,C29)</f>
        <v>#N/A</v>
      </c>
      <c r="D32" s="684" t="e">
        <f t="shared" ref="D32:F32" si="3">IF(D31="Custom",D30,D29)</f>
        <v>#N/A</v>
      </c>
      <c r="E32" s="684" t="e">
        <f t="shared" si="3"/>
        <v>#N/A</v>
      </c>
      <c r="F32" s="684" t="e">
        <f t="shared" si="3"/>
        <v>#N/A</v>
      </c>
    </row>
    <row r="33" spans="2:7" x14ac:dyDescent="0.3">
      <c r="B33" s="622" t="s">
        <v>1538</v>
      </c>
      <c r="C33" s="95" t="e" cm="1">
        <f t="array" ref="C33">IF(C$2=Input_lists!$C$2,(C32-IF(C3="Diesel",273,-1283))/(1.21+0.377)*0.377+IF(C3="Diesel",273,-1283),INDEX(BPM!$D:$AM,MATCH(C17&amp;ROUND(C18,0),BPM!$B$1:$B$1104&amp;BPM!$C$1:$C$1104,0),C12-2014))</f>
        <v>#N/A</v>
      </c>
      <c r="D33" s="95" t="e" cm="1">
        <f t="array" ref="D33">IF(D$2=Input_lists!$C$2,(D32-IF(D3="Diesel",273,-1283))/(1.21+0.377)*0.377+IF(D3="Diesel",273,-1283),INDEX(BPM!$D:$AM,MATCH(D17&amp;ROUND(D18,0),BPM!$B$1:$B$1104&amp;BPM!$C$1:$C$1104,0),D12-2014))</f>
        <v>#N/A</v>
      </c>
      <c r="E33" s="95" t="e" cm="1">
        <f t="array" ref="E33">IF(E$2=Input_lists!$C$2,(E32-IF(E3="Diesel",273,-1283))/(1.21+0.377)*0.377+IF(E3="Diesel",273,-1283),INDEX(BPM!$D:$AM,MATCH(E17&amp;ROUND(E18,0),BPM!$B$1:$B$1104&amp;BPM!$C$1:$C$1104,0),E12-2014))</f>
        <v>#N/A</v>
      </c>
      <c r="F33" s="95" t="e" cm="1">
        <f t="array" ref="F33">IF(F$2=Input_lists!$C$2,(F32-IF(F3="Diesel",273,-1283))/(1.21+0.377)*0.377+IF(F3="Diesel",273,-1283),INDEX(BPM!$D:$AM,MATCH(F17&amp;ROUND(F18,0),BPM!$B$1:$B$1104&amp;BPM!$C$1:$C$1104,0),F12-2014))</f>
        <v>#N/A</v>
      </c>
    </row>
    <row r="34" spans="2:7" x14ac:dyDescent="0.3">
      <c r="B34" s="622" t="s">
        <v>1539</v>
      </c>
      <c r="C34" s="95" t="e">
        <f>(C32-C33)/1.21</f>
        <v>#N/A</v>
      </c>
      <c r="D34" s="95" t="e">
        <f t="shared" ref="D34:F34" si="4">(D32-D33)/1.21</f>
        <v>#N/A</v>
      </c>
      <c r="E34" s="95" t="e">
        <f t="shared" si="4"/>
        <v>#N/A</v>
      </c>
      <c r="F34" s="95" t="e">
        <f t="shared" si="4"/>
        <v>#N/A</v>
      </c>
    </row>
    <row r="35" spans="2:7" x14ac:dyDescent="0.3">
      <c r="B35" s="622" t="s">
        <v>1630</v>
      </c>
      <c r="C35" s="95">
        <f>C9/1.21</f>
        <v>0</v>
      </c>
      <c r="D35" s="95">
        <f t="shared" ref="D35:F35" si="5">D9/1.21</f>
        <v>0</v>
      </c>
      <c r="E35" s="95">
        <f t="shared" si="5"/>
        <v>0</v>
      </c>
      <c r="F35" s="95">
        <f t="shared" si="5"/>
        <v>0</v>
      </c>
    </row>
    <row r="36" spans="2:7" x14ac:dyDescent="0.3">
      <c r="B36" s="638" t="s">
        <v>1641</v>
      </c>
      <c r="C36" s="639">
        <f>IF(C23,C35,C34+C33)</f>
        <v>0</v>
      </c>
      <c r="D36" s="639">
        <f t="shared" ref="D36:F36" si="6">IF(D23,D35,D34+D33)</f>
        <v>0</v>
      </c>
      <c r="E36" s="639">
        <f t="shared" si="6"/>
        <v>0</v>
      </c>
      <c r="F36" s="639">
        <f t="shared" si="6"/>
        <v>0</v>
      </c>
      <c r="G36" s="517"/>
    </row>
    <row r="37" spans="2:7" x14ac:dyDescent="0.3">
      <c r="C37">
        <v>1</v>
      </c>
      <c r="D37">
        <v>2</v>
      </c>
      <c r="E37">
        <v>3</v>
      </c>
      <c r="F37">
        <v>4</v>
      </c>
    </row>
    <row r="38" spans="2:7" x14ac:dyDescent="0.3">
      <c r="B38" s="487" t="s">
        <v>1187</v>
      </c>
      <c r="C38" s="487">
        <f>Keuzemenu!D10</f>
        <v>0</v>
      </c>
    </row>
    <row r="39" spans="2:7" x14ac:dyDescent="0.3">
      <c r="B39" s="487" t="s">
        <v>1408</v>
      </c>
      <c r="C39" s="487">
        <f>Keuzemenu!D12</f>
        <v>0</v>
      </c>
    </row>
    <row r="40" spans="2:7" x14ac:dyDescent="0.3">
      <c r="B40" s="487" t="s">
        <v>158</v>
      </c>
      <c r="C40" s="487">
        <f>Keuzemenu!D14</f>
        <v>0</v>
      </c>
    </row>
    <row r="41" spans="2:7" x14ac:dyDescent="0.3">
      <c r="B41" s="487" t="s">
        <v>1516</v>
      </c>
      <c r="C41" s="487">
        <f>Keuzemenu!D16</f>
        <v>0</v>
      </c>
    </row>
    <row r="42" spans="2:7" x14ac:dyDescent="0.3">
      <c r="B42" s="487" t="s">
        <v>246</v>
      </c>
      <c r="C42" s="487" t="str">
        <f>IF(C41="nee","Nee","Ja")</f>
        <v>Ja</v>
      </c>
    </row>
    <row r="43" spans="2:7" x14ac:dyDescent="0.3">
      <c r="B43" s="489" t="s">
        <v>1517</v>
      </c>
      <c r="C43" s="489" t="str">
        <f>IF(Selectie_voertuigen!C42=Input_lists!$B$22,Input_lists!$B$17,Input_lists!$C$17)</f>
        <v>thuis met snel</v>
      </c>
    </row>
    <row r="44" spans="2:7" x14ac:dyDescent="0.3">
      <c r="B44" s="489" t="s">
        <v>1970</v>
      </c>
      <c r="C44" s="489" t="b">
        <f>IF(Keuzemenu!D24="ja",TRUE,FALSE)</f>
        <v>0</v>
      </c>
    </row>
    <row r="45" spans="2:7" x14ac:dyDescent="0.3">
      <c r="B45" s="489"/>
      <c r="C45" s="489" t="s">
        <v>1967</v>
      </c>
      <c r="D45" s="700" t="s">
        <v>1968</v>
      </c>
      <c r="E45" s="701" t="s">
        <v>1969</v>
      </c>
    </row>
    <row r="46" spans="2:7" x14ac:dyDescent="0.3">
      <c r="B46" s="682" t="str">
        <f>Input_lists!A18</f>
        <v>Thuis laden (%)</v>
      </c>
      <c r="C46" s="702">
        <v>0</v>
      </c>
      <c r="D46" s="702">
        <f>Keuzemenu!H26</f>
        <v>0</v>
      </c>
      <c r="E46" s="673">
        <f>IF($C$44,D46,C46)</f>
        <v>0</v>
      </c>
    </row>
    <row r="47" spans="2:7" x14ac:dyDescent="0.3">
      <c r="B47" s="682" t="str">
        <f>Input_lists!A19</f>
        <v>Publiek laden (%)</v>
      </c>
      <c r="C47" s="702">
        <v>0.8</v>
      </c>
      <c r="D47" s="702">
        <f>Keuzemenu!H27</f>
        <v>0</v>
      </c>
      <c r="E47" s="673">
        <f t="shared" ref="E47:E48" si="7">IF($C$44,D47,C47)</f>
        <v>0.8</v>
      </c>
    </row>
    <row r="48" spans="2:7" x14ac:dyDescent="0.3">
      <c r="B48" s="682" t="str">
        <f>Input_lists!A20</f>
        <v>Snel laden (%)</v>
      </c>
      <c r="C48" s="702">
        <f>INDEX(Input_lists!$B20:$E20,MATCH(Selectie_voertuigen!$C$43,Input_lists!$B$17:$E$17,0))</f>
        <v>0.2</v>
      </c>
      <c r="D48" s="702">
        <f>Keuzemenu!H28</f>
        <v>0</v>
      </c>
      <c r="E48" s="673">
        <f t="shared" si="7"/>
        <v>0.2</v>
      </c>
    </row>
    <row r="49" spans="2:15" x14ac:dyDescent="0.3">
      <c r="B49" s="487" t="s">
        <v>1646</v>
      </c>
      <c r="C49" s="487">
        <f>Keuzemenu!D18</f>
        <v>0</v>
      </c>
    </row>
    <row r="50" spans="2:15" x14ac:dyDescent="0.3">
      <c r="B50" s="487" t="s">
        <v>1983</v>
      </c>
      <c r="C50" s="487" t="b">
        <f>IF(Keuzemenu!D22="ja",TRUE,FALSE)</f>
        <v>0</v>
      </c>
    </row>
    <row r="52" spans="2:15" x14ac:dyDescent="0.3">
      <c r="C52" s="49" t="s">
        <v>1793</v>
      </c>
      <c r="I52" t="s">
        <v>1619</v>
      </c>
    </row>
    <row r="53" spans="2:15" x14ac:dyDescent="0.3">
      <c r="C53" cm="1">
        <f t="array" ref="C53:C54">_xlfn.UNIQUE(_xlfn._xlws.FILTER(_xlfn.ANCHORARRAY(L53),_xlfn.ANCHORARRAY(L53)&lt;&gt;""))</f>
        <v>0</v>
      </c>
      <c r="D53" cm="1">
        <f t="array" ref="D53:D54">_xlfn.UNIQUE(_xlfn._xlws.FILTER(_xlfn.ANCHORARRAY(M53),_xlfn.ANCHORARRAY(M53)&lt;&gt;""))</f>
        <v>0</v>
      </c>
      <c r="E53" cm="1">
        <f t="array" ref="E53:E54">_xlfn.UNIQUE(_xlfn._xlws.FILTER(_xlfn.ANCHORARRAY(N53),_xlfn.ANCHORARRAY(N53)&lt;&gt;""))</f>
        <v>0</v>
      </c>
      <c r="F53" cm="1">
        <f t="array" ref="F53:F54">_xlfn.UNIQUE(_xlfn._xlws.FILTER(_xlfn.ANCHORARRAY(O53),_xlfn.ANCHORARRAY(O53)&lt;&gt;""))</f>
        <v>0</v>
      </c>
      <c r="I53" t="s">
        <v>1981</v>
      </c>
      <c r="L53" cm="1">
        <f t="array" ref="L53:L54">IF(C6="Nieuwkoop",_xlfn.VSTACK(IFERROR(_xlfn.UNIQUE(_xlfn._xlws.SORT(_xlfn._xlws.FILTER(Input_voertuig!$A$3:$A$232,(Input_voertuig!$E$3:$E$232=C2)*(Input_voertuig!$D$3:$D$232=C3)*(Input_voertuig!$F$3:$F$232=2024)))),IF(C6=Input_lists!$B$3,$I$53,"")),$I$53),_xlfn.VSTACK(IFERROR(_xlfn.UNIQUE(_xlfn._xlws.SORT(_xlfn._xlws.FILTER(Input_voertuig!$A$3:$A$232,(Input_voertuig!$E$3:$E$232=C2)*(Input_voertuig!$D$3:$D$232=C3)))),IF(C6=Input_lists!$B$3,$I$53,"")),$I$53))</f>
        <v>0</v>
      </c>
      <c r="M53" cm="1">
        <f t="array" ref="M53:M54">IF(D6="Nieuwkoop",_xlfn.VSTACK(IFERROR(_xlfn.UNIQUE(_xlfn._xlws.SORT(_xlfn._xlws.FILTER(Input_voertuig!$A$3:$A$232,(Input_voertuig!$E$3:$E$232=D2)*(Input_voertuig!$D$3:$D$232=D3)*(Input_voertuig!$F$3:$F$232=2024)))),IF(D6=Input_lists!$B$3,$I$53,"")),$I$53),_xlfn.VSTACK(IFERROR(_xlfn.UNIQUE(_xlfn._xlws.SORT(_xlfn._xlws.FILTER(Input_voertuig!$A$3:$A$232,(Input_voertuig!$E$3:$E$232=D2)*(Input_voertuig!$D$3:$D$232=D3)))),IF(D6=Input_lists!$B$3,$I$53,"")),$I$53))</f>
        <v>0</v>
      </c>
      <c r="N53" cm="1">
        <f t="array" ref="N53:N54">IF(E6="Nieuwkoop",_xlfn.VSTACK(IFERROR(_xlfn.UNIQUE(_xlfn._xlws.SORT(_xlfn._xlws.FILTER(Input_voertuig!$A$3:$A$232,(Input_voertuig!$E$3:$E$232=E2)*(Input_voertuig!$D$3:$D$232=E3)*(Input_voertuig!$F$3:$F$232=2024)))),IF(E6=Input_lists!$B$3,$I$53,"")),$I$53),_xlfn.VSTACK(IFERROR(_xlfn.UNIQUE(_xlfn._xlws.SORT(_xlfn._xlws.FILTER(Input_voertuig!$A$3:$A$232,(Input_voertuig!$E$3:$E$232=E2)*(Input_voertuig!$D$3:$D$232=E3)))),IF(E6=Input_lists!$B$3,$I$53,"")),$I$53))</f>
        <v>0</v>
      </c>
      <c r="O53" cm="1">
        <f t="array" ref="O53:O54">IF(F6="Nieuwkoop",_xlfn.VSTACK(IFERROR(_xlfn.UNIQUE(_xlfn._xlws.SORT(_xlfn._xlws.FILTER(Input_voertuig!$A$3:$A$232,(Input_voertuig!$E$3:$E$232=F2)*(Input_voertuig!$D$3:$D$232=F3)*(Input_voertuig!$F$3:$F$232=2024)))),IF(F6=Input_lists!$B$3,$I$53,"")),$I$53),_xlfn.VSTACK(IFERROR(_xlfn.UNIQUE(_xlfn._xlws.SORT(_xlfn._xlws.FILTER(Input_voertuig!$A$3:$A$232,(Input_voertuig!$E$3:$E$232=F2)*(Input_voertuig!$D$3:$D$232=F3)))),IF(F6=Input_lists!$B$3,$I$53,"")),$I$53))</f>
        <v>0</v>
      </c>
    </row>
    <row r="54" spans="2:15" x14ac:dyDescent="0.3">
      <c r="C54" t="str">
        <v>Ander merk</v>
      </c>
      <c r="D54" t="str">
        <v>Ander merk</v>
      </c>
      <c r="E54" t="str">
        <v>Ander merk</v>
      </c>
      <c r="F54" t="str">
        <v>Ander merk</v>
      </c>
      <c r="L54" t="str">
        <v>Ander merk</v>
      </c>
      <c r="M54" t="str">
        <v>Ander merk</v>
      </c>
      <c r="N54" t="str">
        <v>Ander merk</v>
      </c>
      <c r="O54" t="str">
        <v>Ander merk</v>
      </c>
    </row>
    <row r="76" spans="3:9" x14ac:dyDescent="0.3">
      <c r="C76" s="49" t="s">
        <v>1795</v>
      </c>
    </row>
    <row r="77" spans="3:9" x14ac:dyDescent="0.3">
      <c r="C77" cm="1">
        <f t="array" ref="C77:C78">IF(C6="Nieuwkoop",IFERROR(_xlfn.VSTACK(_xlfn._xlws.SORT(_xlfn.UNIQUE(_xlfn._xlws.FILTER(Input_voertuig!$C$3:$C$232,(Input_voertuig!$A$3:$A$232=C4)*(Input_voertuig!$E$3:$E$232=C2)*(Input_voertuig!$D$3:$D$232=C3)*(Input_voertuig!$F$3:$F$232=2024)))),$I$78),$I$78),IFERROR(_xlfn.VSTACK(_xlfn._xlws.SORT(_xlfn.UNIQUE(_xlfn._xlws.FILTER(Input_voertuig!$C$3:$C$232,(Input_voertuig!$A$3:$A$232=C4)*(Input_voertuig!$E$3:$E$232=C2)*(Input_voertuig!$D$3:$D$232=C3)))),$I$78),$I$78))</f>
        <v>0</v>
      </c>
      <c r="D77" cm="1">
        <f t="array" ref="D77:D78">IF(D6="Nieuwkoop",IFERROR(_xlfn.VSTACK(_xlfn._xlws.SORT(_xlfn.UNIQUE(_xlfn._xlws.FILTER(Input_voertuig!$C$3:$C$232,(Input_voertuig!$A$3:$A$232=D4)*(Input_voertuig!$E$3:$E$232=D2)*(Input_voertuig!$D$3:$D$232=D3)*(Input_voertuig!$F$3:$F$232=2024)))),$I$78),$I$78),IFERROR(_xlfn.VSTACK(_xlfn._xlws.SORT(_xlfn.UNIQUE(_xlfn._xlws.FILTER(Input_voertuig!$C$3:$C$232,(Input_voertuig!$A$3:$A$232=D4)*(Input_voertuig!$E$3:$E$232=D2)*(Input_voertuig!$D$3:$D$232=D3)))),$I$78),$I$78))</f>
        <v>0</v>
      </c>
      <c r="E77" cm="1">
        <f t="array" ref="E77:E78">IF(E6="Nieuwkoop",IFERROR(_xlfn.VSTACK(_xlfn._xlws.SORT(_xlfn.UNIQUE(_xlfn._xlws.FILTER(Input_voertuig!$C$3:$C$232,(Input_voertuig!$A$3:$A$232=E4)*(Input_voertuig!$E$3:$E$232=E2)*(Input_voertuig!$D$3:$D$232=E3)*(Input_voertuig!$F$3:$F$232=2024)))),$I$78),$I$78),IFERROR(_xlfn.VSTACK(_xlfn._xlws.SORT(_xlfn.UNIQUE(_xlfn._xlws.FILTER(Input_voertuig!$C$3:$C$232,(Input_voertuig!$A$3:$A$232=E4)*(Input_voertuig!$E$3:$E$232=E2)*(Input_voertuig!$D$3:$D$232=E3)))),$I$78),$I$78))</f>
        <v>0</v>
      </c>
      <c r="F77" cm="1">
        <f t="array" ref="F77:F78">IF(F6="Nieuwkoop",IFERROR(_xlfn.VSTACK(_xlfn._xlws.SORT(_xlfn.UNIQUE(_xlfn._xlws.FILTER(Input_voertuig!$C$3:$C$232,(Input_voertuig!$A$3:$A$232=F4)*(Input_voertuig!$E$3:$E$232=F2)*(Input_voertuig!$D$3:$D$232=F3)*(Input_voertuig!$F$3:$F$232=2024)))),$I$78),$I$78),IFERROR(_xlfn.VSTACK(_xlfn._xlws.SORT(_xlfn.UNIQUE(_xlfn._xlws.FILTER(Input_voertuig!$C$3:$C$232,(Input_voertuig!$A$3:$A$232=F4)*(Input_voertuig!$E$3:$E$232=F2)*(Input_voertuig!$D$3:$D$232=F3)))),$I$78),$I$78))</f>
        <v>0</v>
      </c>
      <c r="H77" s="510"/>
      <c r="I77" t="s">
        <v>1619</v>
      </c>
    </row>
    <row r="78" spans="3:9" x14ac:dyDescent="0.3">
      <c r="C78" t="str">
        <v>Kies eigen model</v>
      </c>
      <c r="D78" t="str">
        <v>Kies eigen model</v>
      </c>
      <c r="E78" t="str">
        <v>Kies eigen model</v>
      </c>
      <c r="F78" t="str">
        <v>Kies eigen model</v>
      </c>
      <c r="I78" t="s">
        <v>1965</v>
      </c>
    </row>
    <row r="126" spans="3:9" x14ac:dyDescent="0.3">
      <c r="C126" s="49" t="s">
        <v>1536</v>
      </c>
    </row>
    <row r="127" spans="3:9" x14ac:dyDescent="0.3">
      <c r="C127" t="s">
        <v>1402</v>
      </c>
      <c r="D127" t="s">
        <v>1403</v>
      </c>
      <c r="E127" t="s">
        <v>1404</v>
      </c>
      <c r="F127" t="s">
        <v>1405</v>
      </c>
      <c r="I127" t="s">
        <v>1619</v>
      </c>
    </row>
    <row r="128" spans="3:9" x14ac:dyDescent="0.3">
      <c r="C128" t="str" cm="1">
        <f t="array" ref="C128">IF(C5="Kies eigen model",TRANSPOSE(Input_voertuig!$F$232:$T$232),IFERROR(TRANSPOSE(_xlfn._xlws.FILTER(_xlfn._xlws.FILTER(Input_voertuig!$F$3:$T$232,(Input_voertuig!$C$3:$C$232=Selectie_voertuigen!C5)*(Input_voertuig!$D$3:$D$232=Selectie_voertuigen!C3)),_xlfn._xlws.FILTER(Input_voertuig!$F$3:$T$232,(Input_voertuig!$C$3:$C$232=Selectie_voertuigen!C5)*(Input_voertuig!$D$3:$D$232=Selectie_voertuigen!C3))&lt;&gt;"")),$I$128))</f>
        <v>Geen modellen met deze brandstof beschikbaar</v>
      </c>
      <c r="D128" t="str" cm="1">
        <f t="array" ref="D128">IF(D5="Kies eigen model",TRANSPOSE(Input_voertuig!$F$232:$T$232),IFERROR(TRANSPOSE(_xlfn._xlws.FILTER(_xlfn._xlws.FILTER(Input_voertuig!$F$3:$T$232,(Input_voertuig!$C$3:$C$232=Selectie_voertuigen!D5)*(Input_voertuig!$D$3:$D$232=Selectie_voertuigen!D3)),_xlfn._xlws.FILTER(Input_voertuig!$F$3:$T$232,(Input_voertuig!$C$3:$C$232=Selectie_voertuigen!D5)*(Input_voertuig!$D$3:$D$232=Selectie_voertuigen!D3))&lt;&gt;"")),$I$128))</f>
        <v>Geen modellen met deze brandstof beschikbaar</v>
      </c>
      <c r="E128" t="str" cm="1">
        <f t="array" ref="E128">IF(E5="Kies eigen model",TRANSPOSE(Input_voertuig!$F$232:$T$232),IFERROR(TRANSPOSE(_xlfn._xlws.FILTER(_xlfn._xlws.FILTER(Input_voertuig!$F$3:$T$232,(Input_voertuig!$C$3:$C$232=Selectie_voertuigen!E5)*(Input_voertuig!$D$3:$D$232=Selectie_voertuigen!E3)),_xlfn._xlws.FILTER(Input_voertuig!$F$3:$T$232,(Input_voertuig!$C$3:$C$232=Selectie_voertuigen!E5)*(Input_voertuig!$D$3:$D$232=Selectie_voertuigen!E3))&lt;&gt;"")),$I$128))</f>
        <v>Geen modellen met deze brandstof beschikbaar</v>
      </c>
      <c r="F128" t="str" cm="1">
        <f t="array" ref="F128">IF(F5="Kies eigen model",TRANSPOSE(Input_voertuig!$F$232:$T$232),IFERROR(TRANSPOSE(_xlfn._xlws.FILTER(_xlfn._xlws.FILTER(Input_voertuig!$F$3:$T$232,(Input_voertuig!$C$3:$C$232=Selectie_voertuigen!F5)*(Input_voertuig!$D$3:$D$232=Selectie_voertuigen!F3)),_xlfn._xlws.FILTER(Input_voertuig!$F$3:$T$232,(Input_voertuig!$C$3:$C$232=Selectie_voertuigen!F5)*(Input_voertuig!$D$3:$D$232=Selectie_voertuigen!F3))&lt;&gt;"")),$I$128))</f>
        <v>Geen modellen met deze brandstof beschikbaar</v>
      </c>
      <c r="I128" t="s">
        <v>1618</v>
      </c>
    </row>
    <row r="165" spans="3:6" x14ac:dyDescent="0.3">
      <c r="C165" t="s">
        <v>1943</v>
      </c>
    </row>
    <row r="166" spans="3:6" x14ac:dyDescent="0.3">
      <c r="C166" s="682">
        <f>IFERROR(IF(C6=Input_lists!$B$3,"Standaard (€ "&amp;TEXT(TRUNC(C29),"##.###"&amp;")"),0),0)</f>
        <v>0</v>
      </c>
      <c r="D166" s="682">
        <f>IFERROR(IF(D6=Input_lists!$B$3,"Standaard (€ "&amp;TEXT(TRUNC(D29),"##.###"&amp;")"),0),0)</f>
        <v>0</v>
      </c>
      <c r="E166" s="682">
        <f>IFERROR(IF(E6=Input_lists!$B$3,"Standaard (€ "&amp;TEXT(TRUNC(E29),"##.###"&amp;")"),0),0)</f>
        <v>0</v>
      </c>
      <c r="F166" s="682">
        <f>IFERROR(IF(F6=Input_lists!$B$3,"Standaard (€ "&amp;TEXT(TRUNC(F29),"##.###"&amp;")"),0),0)</f>
        <v>0</v>
      </c>
    </row>
    <row r="167" spans="3:6" x14ac:dyDescent="0.3">
      <c r="C167" s="682" t="s">
        <v>1944</v>
      </c>
      <c r="D167" s="682" t="s">
        <v>1944</v>
      </c>
      <c r="E167" s="682" t="s">
        <v>1944</v>
      </c>
      <c r="F167" s="682" t="s">
        <v>1944</v>
      </c>
    </row>
    <row r="169" spans="3:6" x14ac:dyDescent="0.3">
      <c r="C169" s="489" t="str" cm="1">
        <f t="array" ref="C169">_xlfn._xlws.FILTER(C166:C167,C166:C167&lt;&gt;0)</f>
        <v>Anders, namelijk:</v>
      </c>
      <c r="D169" s="489" t="str" cm="1">
        <f t="array" ref="D169">_xlfn._xlws.FILTER(D166:D167,D166:D167&lt;&gt;0)</f>
        <v>Anders, namelijk:</v>
      </c>
      <c r="E169" s="489" t="str" cm="1">
        <f t="array" ref="E169">_xlfn._xlws.FILTER(E166:E167,E166:E167&lt;&gt;0)</f>
        <v>Anders, namelijk:</v>
      </c>
      <c r="F169" s="489" t="str" cm="1">
        <f t="array" ref="F169">_xlfn._xlws.FILTER(F166:F167,F166:F167&lt;&gt;0)</f>
        <v>Anders, namelijk:</v>
      </c>
    </row>
    <row r="170" spans="3:6" x14ac:dyDescent="0.3">
      <c r="C170" s="489"/>
      <c r="D170" s="489"/>
      <c r="E170" s="489"/>
      <c r="F170" s="489"/>
    </row>
  </sheetData>
  <conditionalFormatting sqref="C26:F26">
    <cfRule type="iconSet" priority="4">
      <iconSet iconSet="3Symbols" showValue="0">
        <cfvo type="percent" val="0"/>
        <cfvo type="num" val="0"/>
        <cfvo type="num" val="1"/>
      </iconSet>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8D70-D10E-49C5-8360-E333864FBBFE}">
  <dimension ref="A1:T232"/>
  <sheetViews>
    <sheetView topLeftCell="B1" zoomScaleNormal="100" workbookViewId="0">
      <selection activeCell="E33" sqref="E33"/>
    </sheetView>
  </sheetViews>
  <sheetFormatPr defaultRowHeight="15" x14ac:dyDescent="0.3"/>
  <cols>
    <col min="1" max="2" width="21.85546875" customWidth="1"/>
    <col min="3" max="3" width="34.5703125" customWidth="1"/>
    <col min="4" max="5" width="27" customWidth="1"/>
  </cols>
  <sheetData>
    <row r="1" spans="1:20" x14ac:dyDescent="0.3">
      <c r="C1" t="s">
        <v>1792</v>
      </c>
    </row>
    <row r="2" spans="1:20" x14ac:dyDescent="0.3">
      <c r="A2" s="513" t="s">
        <v>1367</v>
      </c>
      <c r="B2" s="513" t="s">
        <v>1368</v>
      </c>
      <c r="C2" s="513" t="s">
        <v>450</v>
      </c>
      <c r="D2" s="513" t="s">
        <v>39</v>
      </c>
      <c r="E2" s="513" t="s">
        <v>1362</v>
      </c>
      <c r="F2" s="513">
        <v>2024</v>
      </c>
      <c r="G2" s="513">
        <v>2023</v>
      </c>
      <c r="H2" s="513">
        <v>2022</v>
      </c>
      <c r="I2" s="513">
        <v>2021</v>
      </c>
      <c r="J2" s="513">
        <v>2020</v>
      </c>
      <c r="K2" s="513">
        <v>2019</v>
      </c>
      <c r="L2" s="513">
        <v>2018</v>
      </c>
      <c r="M2" s="513">
        <v>2017</v>
      </c>
      <c r="N2" s="513">
        <v>2016</v>
      </c>
      <c r="O2" s="513">
        <v>2015</v>
      </c>
      <c r="P2" s="513">
        <v>2014</v>
      </c>
      <c r="Q2" s="513">
        <v>2013</v>
      </c>
      <c r="R2" s="513">
        <v>2012</v>
      </c>
      <c r="S2" s="513">
        <v>2011</v>
      </c>
      <c r="T2" s="513">
        <v>2010</v>
      </c>
    </row>
    <row r="3" spans="1:20" x14ac:dyDescent="0.3">
      <c r="A3" s="489" t="s">
        <v>1414</v>
      </c>
      <c r="B3" s="489" t="s">
        <v>1430</v>
      </c>
      <c r="C3" s="489" t="s">
        <v>1431</v>
      </c>
      <c r="D3" s="489" t="s">
        <v>46</v>
      </c>
      <c r="E3" s="489" t="s">
        <v>1960</v>
      </c>
      <c r="F3" s="542">
        <f>IF(Input_voertuigprijzen!Z2&gt;0,Input_voertuig!F$2,"")</f>
        <v>2024</v>
      </c>
      <c r="G3" s="542">
        <f>IF(Input_voertuigprijzen!AA2&gt;0,Input_voertuig!G$2,"")</f>
        <v>2023</v>
      </c>
      <c r="H3" s="542">
        <f>IF(Input_voertuigprijzen!AB2&gt;0,Input_voertuig!H$2,"")</f>
        <v>2022</v>
      </c>
      <c r="I3" s="542">
        <f>IF(Input_voertuigprijzen!AC2&gt;0,Input_voertuig!I$2,"")</f>
        <v>2021</v>
      </c>
      <c r="J3" s="542">
        <f>IF(Input_voertuigprijzen!AD2&gt;0,Input_voertuig!J$2,"")</f>
        <v>2020</v>
      </c>
      <c r="K3" s="542">
        <f>IF(Input_voertuigprijzen!AE2&gt;0,Input_voertuig!K$2,"")</f>
        <v>2019</v>
      </c>
      <c r="L3" s="542">
        <f>IF(Input_voertuigprijzen!AF2&gt;0,Input_voertuig!L$2,"")</f>
        <v>2018</v>
      </c>
      <c r="M3" s="542">
        <f>IF(Input_voertuigprijzen!AG2&gt;0,Input_voertuig!M$2,"")</f>
        <v>2017</v>
      </c>
      <c r="N3" s="542">
        <f>IF(Input_voertuigprijzen!AH2&gt;0,Input_voertuig!N$2,"")</f>
        <v>2016</v>
      </c>
      <c r="O3" s="542">
        <f>IF(Input_voertuigprijzen!AI2&gt;0,Input_voertuig!O$2,"")</f>
        <v>2015</v>
      </c>
      <c r="P3" s="542">
        <f>IF(Input_voertuigprijzen!AJ2&gt;0,Input_voertuig!P$2,"")</f>
        <v>2014</v>
      </c>
      <c r="Q3" s="542">
        <f>IF(Input_voertuigprijzen!AK2&gt;0,Input_voertuig!Q$2,"")</f>
        <v>2013</v>
      </c>
      <c r="R3" s="542">
        <f>IF(Input_voertuigprijzen!AL2&gt;0,Input_voertuig!R$2,"")</f>
        <v>2012</v>
      </c>
      <c r="S3" s="542">
        <f>IF(Input_voertuigprijzen!AM2&gt;0,Input_voertuig!S$2,"")</f>
        <v>2011</v>
      </c>
      <c r="T3" s="542">
        <f>IF(Input_voertuigprijzen!AN2&gt;0,Input_voertuig!T$2,"")</f>
        <v>2010</v>
      </c>
    </row>
    <row r="4" spans="1:20" x14ac:dyDescent="0.3">
      <c r="A4" s="489" t="s">
        <v>1414</v>
      </c>
      <c r="B4" s="489" t="s">
        <v>1428</v>
      </c>
      <c r="C4" s="489" t="s">
        <v>1429</v>
      </c>
      <c r="D4" s="489" t="s">
        <v>46</v>
      </c>
      <c r="E4" s="489" t="s">
        <v>1960</v>
      </c>
      <c r="F4" s="542">
        <f>IF(Input_voertuigprijzen!Z3&gt;0,Input_voertuig!F$2,"")</f>
        <v>2024</v>
      </c>
      <c r="G4" s="542">
        <f>IF(Input_voertuigprijzen!AA3&gt;0,Input_voertuig!G$2,"")</f>
        <v>2023</v>
      </c>
      <c r="H4" s="542">
        <f>IF(Input_voertuigprijzen!AB3&gt;0,Input_voertuig!H$2,"")</f>
        <v>2022</v>
      </c>
      <c r="I4" s="542">
        <f>IF(Input_voertuigprijzen!AC3&gt;0,Input_voertuig!I$2,"")</f>
        <v>2021</v>
      </c>
      <c r="J4" s="542">
        <f>IF(Input_voertuigprijzen!AD3&gt;0,Input_voertuig!J$2,"")</f>
        <v>2020</v>
      </c>
      <c r="K4" s="542">
        <f>IF(Input_voertuigprijzen!AE3&gt;0,Input_voertuig!K$2,"")</f>
        <v>2019</v>
      </c>
      <c r="L4" s="542">
        <f>IF(Input_voertuigprijzen!AF3&gt;0,Input_voertuig!L$2,"")</f>
        <v>2018</v>
      </c>
      <c r="M4" s="542">
        <f>IF(Input_voertuigprijzen!AG3&gt;0,Input_voertuig!M$2,"")</f>
        <v>2017</v>
      </c>
      <c r="N4" s="542">
        <f>IF(Input_voertuigprijzen!AH3&gt;0,Input_voertuig!N$2,"")</f>
        <v>2016</v>
      </c>
      <c r="O4" s="542">
        <f>IF(Input_voertuigprijzen!AI3&gt;0,Input_voertuig!O$2,"")</f>
        <v>2015</v>
      </c>
      <c r="P4" s="542" t="str">
        <f>IF(Input_voertuigprijzen!AJ3&gt;0,Input_voertuig!P$2,"")</f>
        <v/>
      </c>
      <c r="Q4" s="542" t="str">
        <f>IF(Input_voertuigprijzen!AK3&gt;0,Input_voertuig!Q$2,"")</f>
        <v/>
      </c>
      <c r="R4" s="542" t="str">
        <f>IF(Input_voertuigprijzen!AL3&gt;0,Input_voertuig!R$2,"")</f>
        <v/>
      </c>
      <c r="S4" s="542" t="str">
        <f>IF(Input_voertuigprijzen!AM3&gt;0,Input_voertuig!S$2,"")</f>
        <v/>
      </c>
      <c r="T4" s="542" t="str">
        <f>IF(Input_voertuigprijzen!AN3&gt;0,Input_voertuig!T$2,"")</f>
        <v/>
      </c>
    </row>
    <row r="5" spans="1:20" x14ac:dyDescent="0.3">
      <c r="A5" s="489" t="s">
        <v>1441</v>
      </c>
      <c r="B5" s="489" t="s">
        <v>1447</v>
      </c>
      <c r="C5" s="489" t="s">
        <v>1448</v>
      </c>
      <c r="D5" s="489" t="s">
        <v>46</v>
      </c>
      <c r="E5" s="489" t="s">
        <v>1960</v>
      </c>
      <c r="F5" s="542">
        <f>IF(Input_voertuigprijzen!Z4&gt;0,Input_voertuig!F$2,"")</f>
        <v>2024</v>
      </c>
      <c r="G5" s="542">
        <f>IF(Input_voertuigprijzen!AA4&gt;0,Input_voertuig!G$2,"")</f>
        <v>2023</v>
      </c>
      <c r="H5" s="542">
        <f>IF(Input_voertuigprijzen!AB4&gt;0,Input_voertuig!H$2,"")</f>
        <v>2022</v>
      </c>
      <c r="I5" s="542">
        <f>IF(Input_voertuigprijzen!AC4&gt;0,Input_voertuig!I$2,"")</f>
        <v>2021</v>
      </c>
      <c r="J5" s="542">
        <f>IF(Input_voertuigprijzen!AD4&gt;0,Input_voertuig!J$2,"")</f>
        <v>2020</v>
      </c>
      <c r="K5" s="542">
        <f>IF(Input_voertuigprijzen!AE4&gt;0,Input_voertuig!K$2,"")</f>
        <v>2019</v>
      </c>
      <c r="L5" s="542">
        <f>IF(Input_voertuigprijzen!AF4&gt;0,Input_voertuig!L$2,"")</f>
        <v>2018</v>
      </c>
      <c r="M5" s="542">
        <f>IF(Input_voertuigprijzen!AG4&gt;0,Input_voertuig!M$2,"")</f>
        <v>2017</v>
      </c>
      <c r="N5" s="542">
        <f>IF(Input_voertuigprijzen!AH4&gt;0,Input_voertuig!N$2,"")</f>
        <v>2016</v>
      </c>
      <c r="O5" s="542">
        <f>IF(Input_voertuigprijzen!AI4&gt;0,Input_voertuig!O$2,"")</f>
        <v>2015</v>
      </c>
      <c r="P5" s="542">
        <f>IF(Input_voertuigprijzen!AJ4&gt;0,Input_voertuig!P$2,"")</f>
        <v>2014</v>
      </c>
      <c r="Q5" s="542">
        <f>IF(Input_voertuigprijzen!AK4&gt;0,Input_voertuig!Q$2,"")</f>
        <v>2013</v>
      </c>
      <c r="R5" s="542">
        <f>IF(Input_voertuigprijzen!AL4&gt;0,Input_voertuig!R$2,"")</f>
        <v>2012</v>
      </c>
      <c r="S5" s="542">
        <f>IF(Input_voertuigprijzen!AM4&gt;0,Input_voertuig!S$2,"")</f>
        <v>2011</v>
      </c>
      <c r="T5" s="542">
        <f>IF(Input_voertuigprijzen!AN4&gt;0,Input_voertuig!T$2,"")</f>
        <v>2010</v>
      </c>
    </row>
    <row r="6" spans="1:20" x14ac:dyDescent="0.3">
      <c r="A6" s="489" t="s">
        <v>1417</v>
      </c>
      <c r="B6" s="489" t="s">
        <v>1418</v>
      </c>
      <c r="C6" s="489" t="s">
        <v>1232</v>
      </c>
      <c r="D6" s="489" t="s">
        <v>141</v>
      </c>
      <c r="E6" s="489" t="s">
        <v>994</v>
      </c>
      <c r="F6" s="542">
        <f>IF(Input_voertuigprijzen!Z5&gt;0,Input_voertuig!F$2,"")</f>
        <v>2024</v>
      </c>
      <c r="G6" s="542">
        <f>IF(Input_voertuigprijzen!AA5&gt;0,Input_voertuig!G$2,"")</f>
        <v>2023</v>
      </c>
      <c r="H6" s="542">
        <f>IF(Input_voertuigprijzen!AB5&gt;0,Input_voertuig!H$2,"")</f>
        <v>2022</v>
      </c>
      <c r="I6" s="542">
        <f>IF(Input_voertuigprijzen!AC5&gt;0,Input_voertuig!I$2,"")</f>
        <v>2021</v>
      </c>
      <c r="J6" s="542">
        <f>IF(Input_voertuigprijzen!AD5&gt;0,Input_voertuig!J$2,"")</f>
        <v>2020</v>
      </c>
      <c r="K6" s="542">
        <f>IF(Input_voertuigprijzen!AE5&gt;0,Input_voertuig!K$2,"")</f>
        <v>2019</v>
      </c>
      <c r="L6" s="542">
        <f>IF(Input_voertuigprijzen!AF5&gt;0,Input_voertuig!L$2,"")</f>
        <v>2018</v>
      </c>
      <c r="M6" s="542" t="str">
        <f>IF(Input_voertuigprijzen!AG5&gt;0,Input_voertuig!M$2,"")</f>
        <v/>
      </c>
      <c r="N6" s="542" t="str">
        <f>IF(Input_voertuigprijzen!AH5&gt;0,Input_voertuig!N$2,"")</f>
        <v/>
      </c>
      <c r="O6" s="542" t="str">
        <f>IF(Input_voertuigprijzen!AI5&gt;0,Input_voertuig!O$2,"")</f>
        <v/>
      </c>
      <c r="P6" s="542" t="str">
        <f>IF(Input_voertuigprijzen!AJ5&gt;0,Input_voertuig!P$2,"")</f>
        <v/>
      </c>
      <c r="Q6" s="542" t="str">
        <f>IF(Input_voertuigprijzen!AK5&gt;0,Input_voertuig!Q$2,"")</f>
        <v/>
      </c>
      <c r="R6" s="542" t="str">
        <f>IF(Input_voertuigprijzen!AL5&gt;0,Input_voertuig!R$2,"")</f>
        <v/>
      </c>
      <c r="S6" s="542" t="str">
        <f>IF(Input_voertuigprijzen!AM5&gt;0,Input_voertuig!S$2,"")</f>
        <v/>
      </c>
      <c r="T6" s="542" t="str">
        <f>IF(Input_voertuigprijzen!AN5&gt;0,Input_voertuig!T$2,"")</f>
        <v/>
      </c>
    </row>
    <row r="7" spans="1:20" x14ac:dyDescent="0.3">
      <c r="A7" s="489" t="s">
        <v>1414</v>
      </c>
      <c r="B7" s="489" t="s">
        <v>1540</v>
      </c>
      <c r="C7" s="489" t="s">
        <v>1541</v>
      </c>
      <c r="D7" s="489" t="s">
        <v>46</v>
      </c>
      <c r="E7" s="489" t="s">
        <v>1960</v>
      </c>
      <c r="F7" s="542">
        <f>IF(Input_voertuigprijzen!Z6&gt;0,Input_voertuig!F$2,"")</f>
        <v>2024</v>
      </c>
      <c r="G7" s="542">
        <f>IF(Input_voertuigprijzen!AA6&gt;0,Input_voertuig!G$2,"")</f>
        <v>2023</v>
      </c>
      <c r="H7" s="542">
        <f>IF(Input_voertuigprijzen!AB6&gt;0,Input_voertuig!H$2,"")</f>
        <v>2022</v>
      </c>
      <c r="I7" s="542">
        <f>IF(Input_voertuigprijzen!AC6&gt;0,Input_voertuig!I$2,"")</f>
        <v>2021</v>
      </c>
      <c r="J7" s="542">
        <f>IF(Input_voertuigprijzen!AD6&gt;0,Input_voertuig!J$2,"")</f>
        <v>2020</v>
      </c>
      <c r="K7" s="542">
        <f>IF(Input_voertuigprijzen!AE6&gt;0,Input_voertuig!K$2,"")</f>
        <v>2019</v>
      </c>
      <c r="L7" s="542">
        <f>IF(Input_voertuigprijzen!AF6&gt;0,Input_voertuig!L$2,"")</f>
        <v>2018</v>
      </c>
      <c r="M7" s="542">
        <f>IF(Input_voertuigprijzen!AG6&gt;0,Input_voertuig!M$2,"")</f>
        <v>2017</v>
      </c>
      <c r="N7" s="542">
        <f>IF(Input_voertuigprijzen!AH6&gt;0,Input_voertuig!N$2,"")</f>
        <v>2016</v>
      </c>
      <c r="O7" s="542">
        <f>IF(Input_voertuigprijzen!AI6&gt;0,Input_voertuig!O$2,"")</f>
        <v>2015</v>
      </c>
      <c r="P7" s="542">
        <f>IF(Input_voertuigprijzen!AJ6&gt;0,Input_voertuig!P$2,"")</f>
        <v>2014</v>
      </c>
      <c r="Q7" s="542" t="str">
        <f>IF(Input_voertuigprijzen!AK6&gt;0,Input_voertuig!Q$2,"")</f>
        <v/>
      </c>
      <c r="R7" s="542" t="str">
        <f>IF(Input_voertuigprijzen!AL6&gt;0,Input_voertuig!R$2,"")</f>
        <v/>
      </c>
      <c r="S7" s="542" t="str">
        <f>IF(Input_voertuigprijzen!AM6&gt;0,Input_voertuig!S$2,"")</f>
        <v/>
      </c>
      <c r="T7" s="542" t="str">
        <f>IF(Input_voertuigprijzen!AN6&gt;0,Input_voertuig!T$2,"")</f>
        <v/>
      </c>
    </row>
    <row r="8" spans="1:20" x14ac:dyDescent="0.3">
      <c r="A8" s="489" t="s">
        <v>1432</v>
      </c>
      <c r="B8" s="489" t="s">
        <v>1433</v>
      </c>
      <c r="C8" s="489" t="s">
        <v>1434</v>
      </c>
      <c r="D8" s="489" t="s">
        <v>141</v>
      </c>
      <c r="E8" s="489" t="s">
        <v>1960</v>
      </c>
      <c r="F8" s="542">
        <f>IF(Input_voertuigprijzen!Z7&gt;0,Input_voertuig!F$2,"")</f>
        <v>2024</v>
      </c>
      <c r="G8" s="542">
        <f>IF(Input_voertuigprijzen!AA7&gt;0,Input_voertuig!G$2,"")</f>
        <v>2023</v>
      </c>
      <c r="H8" s="542">
        <f>IF(Input_voertuigprijzen!AB7&gt;0,Input_voertuig!H$2,"")</f>
        <v>2022</v>
      </c>
      <c r="I8" s="542">
        <f>IF(Input_voertuigprijzen!AC7&gt;0,Input_voertuig!I$2,"")</f>
        <v>2021</v>
      </c>
      <c r="J8" s="542" t="str">
        <f>IF(Input_voertuigprijzen!AD7&gt;0,Input_voertuig!J$2,"")</f>
        <v/>
      </c>
      <c r="K8" s="542" t="str">
        <f>IF(Input_voertuigprijzen!AE7&gt;0,Input_voertuig!K$2,"")</f>
        <v/>
      </c>
      <c r="L8" s="542" t="str">
        <f>IF(Input_voertuigprijzen!AF7&gt;0,Input_voertuig!L$2,"")</f>
        <v/>
      </c>
      <c r="M8" s="542" t="str">
        <f>IF(Input_voertuigprijzen!AG7&gt;0,Input_voertuig!M$2,"")</f>
        <v/>
      </c>
      <c r="N8" s="542" t="str">
        <f>IF(Input_voertuigprijzen!AH7&gt;0,Input_voertuig!N$2,"")</f>
        <v/>
      </c>
      <c r="O8" s="542" t="str">
        <f>IF(Input_voertuigprijzen!AI7&gt;0,Input_voertuig!O$2,"")</f>
        <v/>
      </c>
      <c r="P8" s="542" t="str">
        <f>IF(Input_voertuigprijzen!AJ7&gt;0,Input_voertuig!P$2,"")</f>
        <v/>
      </c>
      <c r="Q8" s="542" t="str">
        <f>IF(Input_voertuigprijzen!AK7&gt;0,Input_voertuig!Q$2,"")</f>
        <v/>
      </c>
      <c r="R8" s="542" t="str">
        <f>IF(Input_voertuigprijzen!AL7&gt;0,Input_voertuig!R$2,"")</f>
        <v/>
      </c>
      <c r="S8" s="542" t="str">
        <f>IF(Input_voertuigprijzen!AM7&gt;0,Input_voertuig!S$2,"")</f>
        <v/>
      </c>
      <c r="T8" s="542" t="str">
        <f>IF(Input_voertuigprijzen!AN7&gt;0,Input_voertuig!T$2,"")</f>
        <v/>
      </c>
    </row>
    <row r="9" spans="1:20" x14ac:dyDescent="0.3">
      <c r="A9" s="489" t="s">
        <v>1414</v>
      </c>
      <c r="B9" s="489" t="s">
        <v>1370</v>
      </c>
      <c r="C9" s="489" t="s">
        <v>1416</v>
      </c>
      <c r="D9" s="489" t="s">
        <v>46</v>
      </c>
      <c r="E9" s="489" t="s">
        <v>994</v>
      </c>
      <c r="F9" s="542">
        <f>IF(Input_voertuigprijzen!Z8&gt;0,Input_voertuig!F$2,"")</f>
        <v>2024</v>
      </c>
      <c r="G9" s="542">
        <f>IF(Input_voertuigprijzen!AA8&gt;0,Input_voertuig!G$2,"")</f>
        <v>2023</v>
      </c>
      <c r="H9" s="542">
        <f>IF(Input_voertuigprijzen!AB8&gt;0,Input_voertuig!H$2,"")</f>
        <v>2022</v>
      </c>
      <c r="I9" s="542">
        <f>IF(Input_voertuigprijzen!AC8&gt;0,Input_voertuig!I$2,"")</f>
        <v>2021</v>
      </c>
      <c r="J9" s="542">
        <f>IF(Input_voertuigprijzen!AD8&gt;0,Input_voertuig!J$2,"")</f>
        <v>2020</v>
      </c>
      <c r="K9" s="542">
        <f>IF(Input_voertuigprijzen!AE8&gt;0,Input_voertuig!K$2,"")</f>
        <v>2019</v>
      </c>
      <c r="L9" s="542">
        <f>IF(Input_voertuigprijzen!AF8&gt;0,Input_voertuig!L$2,"")</f>
        <v>2018</v>
      </c>
      <c r="M9" s="542">
        <f>IF(Input_voertuigprijzen!AG8&gt;0,Input_voertuig!M$2,"")</f>
        <v>2017</v>
      </c>
      <c r="N9" s="542">
        <f>IF(Input_voertuigprijzen!AH8&gt;0,Input_voertuig!N$2,"")</f>
        <v>2016</v>
      </c>
      <c r="O9" s="542" t="str">
        <f>IF(Input_voertuigprijzen!AI8&gt;0,Input_voertuig!O$2,"")</f>
        <v/>
      </c>
      <c r="P9" s="542" t="str">
        <f>IF(Input_voertuigprijzen!AJ8&gt;0,Input_voertuig!P$2,"")</f>
        <v/>
      </c>
      <c r="Q9" s="542" t="str">
        <f>IF(Input_voertuigprijzen!AK8&gt;0,Input_voertuig!Q$2,"")</f>
        <v/>
      </c>
      <c r="R9" s="542" t="str">
        <f>IF(Input_voertuigprijzen!AL8&gt;0,Input_voertuig!R$2,"")</f>
        <v/>
      </c>
      <c r="S9" s="542" t="str">
        <f>IF(Input_voertuigprijzen!AM8&gt;0,Input_voertuig!S$2,"")</f>
        <v/>
      </c>
      <c r="T9" s="542" t="str">
        <f>IF(Input_voertuigprijzen!AN8&gt;0,Input_voertuig!T$2,"")</f>
        <v/>
      </c>
    </row>
    <row r="10" spans="1:20" x14ac:dyDescent="0.3">
      <c r="A10" s="489" t="s">
        <v>1441</v>
      </c>
      <c r="B10" s="489" t="s">
        <v>1542</v>
      </c>
      <c r="C10" s="489" t="s">
        <v>1543</v>
      </c>
      <c r="D10" s="489" t="s">
        <v>46</v>
      </c>
      <c r="E10" s="489" t="s">
        <v>1960</v>
      </c>
      <c r="F10" s="542">
        <f>IF(Input_voertuigprijzen!Z9&gt;0,Input_voertuig!F$2,"")</f>
        <v>2024</v>
      </c>
      <c r="G10" s="542">
        <f>IF(Input_voertuigprijzen!AA9&gt;0,Input_voertuig!G$2,"")</f>
        <v>2023</v>
      </c>
      <c r="H10" s="542">
        <f>IF(Input_voertuigprijzen!AB9&gt;0,Input_voertuig!H$2,"")</f>
        <v>2022</v>
      </c>
      <c r="I10" s="542">
        <f>IF(Input_voertuigprijzen!AC9&gt;0,Input_voertuig!I$2,"")</f>
        <v>2021</v>
      </c>
      <c r="J10" s="542">
        <f>IF(Input_voertuigprijzen!AD9&gt;0,Input_voertuig!J$2,"")</f>
        <v>2020</v>
      </c>
      <c r="K10" s="542">
        <f>IF(Input_voertuigprijzen!AE9&gt;0,Input_voertuig!K$2,"")</f>
        <v>2019</v>
      </c>
      <c r="L10" s="542">
        <f>IF(Input_voertuigprijzen!AF9&gt;0,Input_voertuig!L$2,"")</f>
        <v>2018</v>
      </c>
      <c r="M10" s="542">
        <f>IF(Input_voertuigprijzen!AG9&gt;0,Input_voertuig!M$2,"")</f>
        <v>2017</v>
      </c>
      <c r="N10" s="542">
        <f>IF(Input_voertuigprijzen!AH9&gt;0,Input_voertuig!N$2,"")</f>
        <v>2016</v>
      </c>
      <c r="O10" s="542">
        <f>IF(Input_voertuigprijzen!AI9&gt;0,Input_voertuig!O$2,"")</f>
        <v>2015</v>
      </c>
      <c r="P10" s="542">
        <f>IF(Input_voertuigprijzen!AJ9&gt;0,Input_voertuig!P$2,"")</f>
        <v>2014</v>
      </c>
      <c r="Q10" s="542">
        <f>IF(Input_voertuigprijzen!AK9&gt;0,Input_voertuig!Q$2,"")</f>
        <v>2013</v>
      </c>
      <c r="R10" s="542">
        <f>IF(Input_voertuigprijzen!AL9&gt;0,Input_voertuig!R$2,"")</f>
        <v>2012</v>
      </c>
      <c r="S10" s="542">
        <f>IF(Input_voertuigprijzen!AM9&gt;0,Input_voertuig!S$2,"")</f>
        <v>2011</v>
      </c>
      <c r="T10" s="542">
        <f>IF(Input_voertuigprijzen!AN9&gt;0,Input_voertuig!T$2,"")</f>
        <v>2010</v>
      </c>
    </row>
    <row r="11" spans="1:20" x14ac:dyDescent="0.3">
      <c r="A11" s="489" t="s">
        <v>1441</v>
      </c>
      <c r="B11" s="489" t="s">
        <v>1444</v>
      </c>
      <c r="C11" s="489" t="s">
        <v>870</v>
      </c>
      <c r="D11" s="489" t="s">
        <v>46</v>
      </c>
      <c r="E11" s="489" t="s">
        <v>994</v>
      </c>
      <c r="F11" s="542">
        <f>IF(Input_voertuigprijzen!Z10&gt;0,Input_voertuig!F$2,"")</f>
        <v>2024</v>
      </c>
      <c r="G11" s="542">
        <f>IF(Input_voertuigprijzen!AA10&gt;0,Input_voertuig!G$2,"")</f>
        <v>2023</v>
      </c>
      <c r="H11" s="542">
        <f>IF(Input_voertuigprijzen!AB10&gt;0,Input_voertuig!H$2,"")</f>
        <v>2022</v>
      </c>
      <c r="I11" s="542">
        <f>IF(Input_voertuigprijzen!AC10&gt;0,Input_voertuig!I$2,"")</f>
        <v>2021</v>
      </c>
      <c r="J11" s="542">
        <f>IF(Input_voertuigprijzen!AD10&gt;0,Input_voertuig!J$2,"")</f>
        <v>2020</v>
      </c>
      <c r="K11" s="542">
        <f>IF(Input_voertuigprijzen!AE10&gt;0,Input_voertuig!K$2,"")</f>
        <v>2019</v>
      </c>
      <c r="L11" s="542">
        <f>IF(Input_voertuigprijzen!AF10&gt;0,Input_voertuig!L$2,"")</f>
        <v>2018</v>
      </c>
      <c r="M11" s="542">
        <f>IF(Input_voertuigprijzen!AG10&gt;0,Input_voertuig!M$2,"")</f>
        <v>2017</v>
      </c>
      <c r="N11" s="542">
        <f>IF(Input_voertuigprijzen!AH10&gt;0,Input_voertuig!N$2,"")</f>
        <v>2016</v>
      </c>
      <c r="O11" s="542">
        <f>IF(Input_voertuigprijzen!AI10&gt;0,Input_voertuig!O$2,"")</f>
        <v>2015</v>
      </c>
      <c r="P11" s="542">
        <f>IF(Input_voertuigprijzen!AJ10&gt;0,Input_voertuig!P$2,"")</f>
        <v>2014</v>
      </c>
      <c r="Q11" s="542">
        <f>IF(Input_voertuigprijzen!AK10&gt;0,Input_voertuig!Q$2,"")</f>
        <v>2013</v>
      </c>
      <c r="R11" s="542">
        <f>IF(Input_voertuigprijzen!AL10&gt;0,Input_voertuig!R$2,"")</f>
        <v>2012</v>
      </c>
      <c r="S11" s="542">
        <f>IF(Input_voertuigprijzen!AM10&gt;0,Input_voertuig!S$2,"")</f>
        <v>2011</v>
      </c>
      <c r="T11" s="542">
        <f>IF(Input_voertuigprijzen!AN10&gt;0,Input_voertuig!T$2,"")</f>
        <v>2010</v>
      </c>
    </row>
    <row r="12" spans="1:20" x14ac:dyDescent="0.3">
      <c r="A12" s="489" t="s">
        <v>1544</v>
      </c>
      <c r="B12" s="489" t="s">
        <v>1545</v>
      </c>
      <c r="C12" s="489" t="s">
        <v>1546</v>
      </c>
      <c r="D12" s="489" t="s">
        <v>46</v>
      </c>
      <c r="E12" s="489" t="s">
        <v>1960</v>
      </c>
      <c r="F12" s="542">
        <f>IF(Input_voertuigprijzen!Z11&gt;0,Input_voertuig!F$2,"")</f>
        <v>2024</v>
      </c>
      <c r="G12" s="542">
        <f>IF(Input_voertuigprijzen!AA11&gt;0,Input_voertuig!G$2,"")</f>
        <v>2023</v>
      </c>
      <c r="H12" s="542">
        <f>IF(Input_voertuigprijzen!AB11&gt;0,Input_voertuig!H$2,"")</f>
        <v>2022</v>
      </c>
      <c r="I12" s="542">
        <f>IF(Input_voertuigprijzen!AC11&gt;0,Input_voertuig!I$2,"")</f>
        <v>2021</v>
      </c>
      <c r="J12" s="542">
        <f>IF(Input_voertuigprijzen!AD11&gt;0,Input_voertuig!J$2,"")</f>
        <v>2020</v>
      </c>
      <c r="K12" s="542">
        <f>IF(Input_voertuigprijzen!AE11&gt;0,Input_voertuig!K$2,"")</f>
        <v>2019</v>
      </c>
      <c r="L12" s="542">
        <f>IF(Input_voertuigprijzen!AF11&gt;0,Input_voertuig!L$2,"")</f>
        <v>2018</v>
      </c>
      <c r="M12" s="542">
        <f>IF(Input_voertuigprijzen!AG11&gt;0,Input_voertuig!M$2,"")</f>
        <v>2017</v>
      </c>
      <c r="N12" s="542">
        <f>IF(Input_voertuigprijzen!AH11&gt;0,Input_voertuig!N$2,"")</f>
        <v>2016</v>
      </c>
      <c r="O12" s="542">
        <f>IF(Input_voertuigprijzen!AI11&gt;0,Input_voertuig!O$2,"")</f>
        <v>2015</v>
      </c>
      <c r="P12" s="542">
        <f>IF(Input_voertuigprijzen!AJ11&gt;0,Input_voertuig!P$2,"")</f>
        <v>2014</v>
      </c>
      <c r="Q12" s="542" t="str">
        <f>IF(Input_voertuigprijzen!AK11&gt;0,Input_voertuig!Q$2,"")</f>
        <v/>
      </c>
      <c r="R12" s="542" t="str">
        <f>IF(Input_voertuigprijzen!AL11&gt;0,Input_voertuig!R$2,"")</f>
        <v/>
      </c>
      <c r="S12" s="542" t="str">
        <f>IF(Input_voertuigprijzen!AM11&gt;0,Input_voertuig!S$2,"")</f>
        <v/>
      </c>
      <c r="T12" s="542" t="str">
        <f>IF(Input_voertuigprijzen!AN11&gt;0,Input_voertuig!T$2,"")</f>
        <v/>
      </c>
    </row>
    <row r="13" spans="1:20" x14ac:dyDescent="0.3">
      <c r="A13" s="489" t="s">
        <v>1414</v>
      </c>
      <c r="B13" s="489" t="s">
        <v>1369</v>
      </c>
      <c r="C13" s="489" t="s">
        <v>1415</v>
      </c>
      <c r="D13" s="489" t="s">
        <v>46</v>
      </c>
      <c r="E13" s="489" t="s">
        <v>994</v>
      </c>
      <c r="F13" s="542">
        <f>IF(Input_voertuigprijzen!Z12&gt;0,Input_voertuig!F$2,"")</f>
        <v>2024</v>
      </c>
      <c r="G13" s="542">
        <f>IF(Input_voertuigprijzen!AA12&gt;0,Input_voertuig!G$2,"")</f>
        <v>2023</v>
      </c>
      <c r="H13" s="542">
        <f>IF(Input_voertuigprijzen!AB12&gt;0,Input_voertuig!H$2,"")</f>
        <v>2022</v>
      </c>
      <c r="I13" s="542">
        <f>IF(Input_voertuigprijzen!AC12&gt;0,Input_voertuig!I$2,"")</f>
        <v>2021</v>
      </c>
      <c r="J13" s="542">
        <f>IF(Input_voertuigprijzen!AD12&gt;0,Input_voertuig!J$2,"")</f>
        <v>2020</v>
      </c>
      <c r="K13" s="542">
        <f>IF(Input_voertuigprijzen!AE12&gt;0,Input_voertuig!K$2,"")</f>
        <v>2019</v>
      </c>
      <c r="L13" s="542">
        <f>IF(Input_voertuigprijzen!AF12&gt;0,Input_voertuig!L$2,"")</f>
        <v>2018</v>
      </c>
      <c r="M13" s="542">
        <f>IF(Input_voertuigprijzen!AG12&gt;0,Input_voertuig!M$2,"")</f>
        <v>2017</v>
      </c>
      <c r="N13" s="542">
        <f>IF(Input_voertuigprijzen!AH12&gt;0,Input_voertuig!N$2,"")</f>
        <v>2016</v>
      </c>
      <c r="O13" s="542" t="str">
        <f>IF(Input_voertuigprijzen!AI12&gt;0,Input_voertuig!O$2,"")</f>
        <v/>
      </c>
      <c r="P13" s="542" t="str">
        <f>IF(Input_voertuigprijzen!AJ12&gt;0,Input_voertuig!P$2,"")</f>
        <v/>
      </c>
      <c r="Q13" s="542" t="str">
        <f>IF(Input_voertuigprijzen!AK12&gt;0,Input_voertuig!Q$2,"")</f>
        <v/>
      </c>
      <c r="R13" s="542" t="str">
        <f>IF(Input_voertuigprijzen!AL12&gt;0,Input_voertuig!R$2,"")</f>
        <v/>
      </c>
      <c r="S13" s="542" t="str">
        <f>IF(Input_voertuigprijzen!AM12&gt;0,Input_voertuig!S$2,"")</f>
        <v/>
      </c>
      <c r="T13" s="542" t="str">
        <f>IF(Input_voertuigprijzen!AN12&gt;0,Input_voertuig!T$2,"")</f>
        <v/>
      </c>
    </row>
    <row r="14" spans="1:20" x14ac:dyDescent="0.3">
      <c r="A14" s="489" t="s">
        <v>1414</v>
      </c>
      <c r="B14" s="489" t="s">
        <v>1435</v>
      </c>
      <c r="C14" s="489" t="s">
        <v>1436</v>
      </c>
      <c r="D14" s="489" t="s">
        <v>141</v>
      </c>
      <c r="E14" s="489" t="s">
        <v>1960</v>
      </c>
      <c r="F14" s="542">
        <f>IF(Input_voertuigprijzen!Z13&gt;0,Input_voertuig!F$2,"")</f>
        <v>2024</v>
      </c>
      <c r="G14" s="542">
        <f>IF(Input_voertuigprijzen!AA13&gt;0,Input_voertuig!G$2,"")</f>
        <v>2023</v>
      </c>
      <c r="H14" s="542">
        <f>IF(Input_voertuigprijzen!AB13&gt;0,Input_voertuig!H$2,"")</f>
        <v>2022</v>
      </c>
      <c r="I14" s="542">
        <f>IF(Input_voertuigprijzen!AC13&gt;0,Input_voertuig!I$2,"")</f>
        <v>2021</v>
      </c>
      <c r="J14" s="542">
        <f>IF(Input_voertuigprijzen!AD13&gt;0,Input_voertuig!J$2,"")</f>
        <v>2020</v>
      </c>
      <c r="K14" s="542">
        <f>IF(Input_voertuigprijzen!AE13&gt;0,Input_voertuig!K$2,"")</f>
        <v>2019</v>
      </c>
      <c r="L14" s="542" t="str">
        <f>IF(Input_voertuigprijzen!AF13&gt;0,Input_voertuig!L$2,"")</f>
        <v/>
      </c>
      <c r="M14" s="542" t="str">
        <f>IF(Input_voertuigprijzen!AG13&gt;0,Input_voertuig!M$2,"")</f>
        <v/>
      </c>
      <c r="N14" s="542" t="str">
        <f>IF(Input_voertuigprijzen!AH13&gt;0,Input_voertuig!N$2,"")</f>
        <v/>
      </c>
      <c r="O14" s="542" t="str">
        <f>IF(Input_voertuigprijzen!AI13&gt;0,Input_voertuig!O$2,"")</f>
        <v/>
      </c>
      <c r="P14" s="542" t="str">
        <f>IF(Input_voertuigprijzen!AJ13&gt;0,Input_voertuig!P$2,"")</f>
        <v/>
      </c>
      <c r="Q14" s="542" t="str">
        <f>IF(Input_voertuigprijzen!AK13&gt;0,Input_voertuig!Q$2,"")</f>
        <v/>
      </c>
      <c r="R14" s="542" t="str">
        <f>IF(Input_voertuigprijzen!AL13&gt;0,Input_voertuig!R$2,"")</f>
        <v/>
      </c>
      <c r="S14" s="542" t="str">
        <f>IF(Input_voertuigprijzen!AM13&gt;0,Input_voertuig!S$2,"")</f>
        <v/>
      </c>
      <c r="T14" s="542" t="str">
        <f>IF(Input_voertuigprijzen!AN13&gt;0,Input_voertuig!T$2,"")</f>
        <v/>
      </c>
    </row>
    <row r="15" spans="1:20" x14ac:dyDescent="0.3">
      <c r="A15" s="489" t="s">
        <v>1441</v>
      </c>
      <c r="B15" s="489" t="s">
        <v>1445</v>
      </c>
      <c r="C15" s="489" t="s">
        <v>346</v>
      </c>
      <c r="D15" s="489" t="s">
        <v>46</v>
      </c>
      <c r="E15" s="489" t="s">
        <v>994</v>
      </c>
      <c r="F15" s="542">
        <f>IF(Input_voertuigprijzen!Z14&gt;0,Input_voertuig!F$2,"")</f>
        <v>2024</v>
      </c>
      <c r="G15" s="542">
        <f>IF(Input_voertuigprijzen!AA14&gt;0,Input_voertuig!G$2,"")</f>
        <v>2023</v>
      </c>
      <c r="H15" s="542">
        <f>IF(Input_voertuigprijzen!AB14&gt;0,Input_voertuig!H$2,"")</f>
        <v>2022</v>
      </c>
      <c r="I15" s="542">
        <f>IF(Input_voertuigprijzen!AC14&gt;0,Input_voertuig!I$2,"")</f>
        <v>2021</v>
      </c>
      <c r="J15" s="542">
        <f>IF(Input_voertuigprijzen!AD14&gt;0,Input_voertuig!J$2,"")</f>
        <v>2020</v>
      </c>
      <c r="K15" s="542">
        <f>IF(Input_voertuigprijzen!AE14&gt;0,Input_voertuig!K$2,"")</f>
        <v>2019</v>
      </c>
      <c r="L15" s="542">
        <f>IF(Input_voertuigprijzen!AF14&gt;0,Input_voertuig!L$2,"")</f>
        <v>2018</v>
      </c>
      <c r="M15" s="542">
        <f>IF(Input_voertuigprijzen!AG14&gt;0,Input_voertuig!M$2,"")</f>
        <v>2017</v>
      </c>
      <c r="N15" s="542">
        <f>IF(Input_voertuigprijzen!AH14&gt;0,Input_voertuig!N$2,"")</f>
        <v>2016</v>
      </c>
      <c r="O15" s="542">
        <f>IF(Input_voertuigprijzen!AI14&gt;0,Input_voertuig!O$2,"")</f>
        <v>2015</v>
      </c>
      <c r="P15" s="542">
        <f>IF(Input_voertuigprijzen!AJ14&gt;0,Input_voertuig!P$2,"")</f>
        <v>2014</v>
      </c>
      <c r="Q15" s="542">
        <f>IF(Input_voertuigprijzen!AK14&gt;0,Input_voertuig!Q$2,"")</f>
        <v>2013</v>
      </c>
      <c r="R15" s="542">
        <f>IF(Input_voertuigprijzen!AL14&gt;0,Input_voertuig!R$2,"")</f>
        <v>2012</v>
      </c>
      <c r="S15" s="542">
        <f>IF(Input_voertuigprijzen!AM14&gt;0,Input_voertuig!S$2,"")</f>
        <v>2011</v>
      </c>
      <c r="T15" s="542">
        <f>IF(Input_voertuigprijzen!AN14&gt;0,Input_voertuig!T$2,"")</f>
        <v>2010</v>
      </c>
    </row>
    <row r="16" spans="1:20" x14ac:dyDescent="0.3">
      <c r="A16" s="489" t="s">
        <v>1451</v>
      </c>
      <c r="B16" s="489" t="s">
        <v>1452</v>
      </c>
      <c r="C16" s="489" t="s">
        <v>1453</v>
      </c>
      <c r="D16" s="489" t="s">
        <v>141</v>
      </c>
      <c r="E16" s="489" t="s">
        <v>1960</v>
      </c>
      <c r="F16" s="542">
        <f>IF(Input_voertuigprijzen!Z15&gt;0,Input_voertuig!F$2,"")</f>
        <v>2024</v>
      </c>
      <c r="G16" s="542">
        <f>IF(Input_voertuigprijzen!AA15&gt;0,Input_voertuig!G$2,"")</f>
        <v>2023</v>
      </c>
      <c r="H16" s="542">
        <f>IF(Input_voertuigprijzen!AB15&gt;0,Input_voertuig!H$2,"")</f>
        <v>2022</v>
      </c>
      <c r="I16" s="542">
        <f>IF(Input_voertuigprijzen!AC15&gt;0,Input_voertuig!I$2,"")</f>
        <v>2021</v>
      </c>
      <c r="J16" s="542" t="str">
        <f>IF(Input_voertuigprijzen!AD15&gt;0,Input_voertuig!J$2,"")</f>
        <v/>
      </c>
      <c r="K16" s="542" t="str">
        <f>IF(Input_voertuigprijzen!AE15&gt;0,Input_voertuig!K$2,"")</f>
        <v/>
      </c>
      <c r="L16" s="542" t="str">
        <f>IF(Input_voertuigprijzen!AF15&gt;0,Input_voertuig!L$2,"")</f>
        <v/>
      </c>
      <c r="M16" s="542" t="str">
        <f>IF(Input_voertuigprijzen!AG15&gt;0,Input_voertuig!M$2,"")</f>
        <v/>
      </c>
      <c r="N16" s="542" t="str">
        <f>IF(Input_voertuigprijzen!AH15&gt;0,Input_voertuig!N$2,"")</f>
        <v/>
      </c>
      <c r="O16" s="542" t="str">
        <f>IF(Input_voertuigprijzen!AI15&gt;0,Input_voertuig!O$2,"")</f>
        <v/>
      </c>
      <c r="P16" s="542" t="str">
        <f>IF(Input_voertuigprijzen!AJ15&gt;0,Input_voertuig!P$2,"")</f>
        <v/>
      </c>
      <c r="Q16" s="542" t="str">
        <f>IF(Input_voertuigprijzen!AK15&gt;0,Input_voertuig!Q$2,"")</f>
        <v/>
      </c>
      <c r="R16" s="542" t="str">
        <f>IF(Input_voertuigprijzen!AL15&gt;0,Input_voertuig!R$2,"")</f>
        <v/>
      </c>
      <c r="S16" s="542" t="str">
        <f>IF(Input_voertuigprijzen!AM15&gt;0,Input_voertuig!S$2,"")</f>
        <v/>
      </c>
      <c r="T16" s="542" t="str">
        <f>IF(Input_voertuigprijzen!AN15&gt;0,Input_voertuig!T$2,"")</f>
        <v/>
      </c>
    </row>
    <row r="17" spans="1:20" x14ac:dyDescent="0.3">
      <c r="A17" s="489" t="s">
        <v>1422</v>
      </c>
      <c r="B17" s="489" t="s">
        <v>1547</v>
      </c>
      <c r="C17" s="489" t="s">
        <v>1548</v>
      </c>
      <c r="D17" s="489" t="s">
        <v>46</v>
      </c>
      <c r="E17" s="489" t="s">
        <v>994</v>
      </c>
      <c r="F17" s="542">
        <f>IF(Input_voertuigprijzen!Z16&gt;0,Input_voertuig!F$2,"")</f>
        <v>2024</v>
      </c>
      <c r="G17" s="542">
        <f>IF(Input_voertuigprijzen!AA16&gt;0,Input_voertuig!G$2,"")</f>
        <v>2023</v>
      </c>
      <c r="H17" s="542">
        <f>IF(Input_voertuigprijzen!AB16&gt;0,Input_voertuig!H$2,"")</f>
        <v>2022</v>
      </c>
      <c r="I17" s="542">
        <f>IF(Input_voertuigprijzen!AC16&gt;0,Input_voertuig!I$2,"")</f>
        <v>2021</v>
      </c>
      <c r="J17" s="542">
        <f>IF(Input_voertuigprijzen!AD16&gt;0,Input_voertuig!J$2,"")</f>
        <v>2020</v>
      </c>
      <c r="K17" s="542">
        <f>IF(Input_voertuigprijzen!AE16&gt;0,Input_voertuig!K$2,"")</f>
        <v>2019</v>
      </c>
      <c r="L17" s="542">
        <f>IF(Input_voertuigprijzen!AF16&gt;0,Input_voertuig!L$2,"")</f>
        <v>2018</v>
      </c>
      <c r="M17" s="542">
        <f>IF(Input_voertuigprijzen!AG16&gt;0,Input_voertuig!M$2,"")</f>
        <v>2017</v>
      </c>
      <c r="N17" s="542">
        <f>IF(Input_voertuigprijzen!AH16&gt;0,Input_voertuig!N$2,"")</f>
        <v>2016</v>
      </c>
      <c r="O17" s="542">
        <f>IF(Input_voertuigprijzen!AI16&gt;0,Input_voertuig!O$2,"")</f>
        <v>2015</v>
      </c>
      <c r="P17" s="542">
        <f>IF(Input_voertuigprijzen!AJ16&gt;0,Input_voertuig!P$2,"")</f>
        <v>2014</v>
      </c>
      <c r="Q17" s="542">
        <f>IF(Input_voertuigprijzen!AK16&gt;0,Input_voertuig!Q$2,"")</f>
        <v>2013</v>
      </c>
      <c r="R17" s="542">
        <f>IF(Input_voertuigprijzen!AL16&gt;0,Input_voertuig!R$2,"")</f>
        <v>2012</v>
      </c>
      <c r="S17" s="542">
        <f>IF(Input_voertuigprijzen!AM16&gt;0,Input_voertuig!S$2,"")</f>
        <v>2011</v>
      </c>
      <c r="T17" s="542">
        <f>IF(Input_voertuigprijzen!AN16&gt;0,Input_voertuig!T$2,"")</f>
        <v>2010</v>
      </c>
    </row>
    <row r="18" spans="1:20" x14ac:dyDescent="0.3">
      <c r="A18" s="489" t="s">
        <v>1441</v>
      </c>
      <c r="B18" s="489" t="s">
        <v>1447</v>
      </c>
      <c r="C18" s="489" t="s">
        <v>1448</v>
      </c>
      <c r="D18" s="489" t="s">
        <v>1529</v>
      </c>
      <c r="E18" s="489" t="s">
        <v>1960</v>
      </c>
      <c r="F18" s="542" t="str">
        <f>IF(Input_voertuigprijzen!Z17&gt;0,Input_voertuig!F$2,"")</f>
        <v/>
      </c>
      <c r="G18" s="542" t="str">
        <f>IF(Input_voertuigprijzen!AA17&gt;0,Input_voertuig!G$2,"")</f>
        <v/>
      </c>
      <c r="H18" s="542" t="str">
        <f>IF(Input_voertuigprijzen!AB17&gt;0,Input_voertuig!H$2,"")</f>
        <v/>
      </c>
      <c r="I18" s="542" t="str">
        <f>IF(Input_voertuigprijzen!AC17&gt;0,Input_voertuig!I$2,"")</f>
        <v/>
      </c>
      <c r="J18" s="542" t="str">
        <f>IF(Input_voertuigprijzen!AD17&gt;0,Input_voertuig!J$2,"")</f>
        <v/>
      </c>
      <c r="K18" s="542" t="str">
        <f>IF(Input_voertuigprijzen!AE17&gt;0,Input_voertuig!K$2,"")</f>
        <v/>
      </c>
      <c r="L18" s="542">
        <f>IF(Input_voertuigprijzen!AF17&gt;0,Input_voertuig!L$2,"")</f>
        <v>2018</v>
      </c>
      <c r="M18" s="542">
        <f>IF(Input_voertuigprijzen!AG17&gt;0,Input_voertuig!M$2,"")</f>
        <v>2017</v>
      </c>
      <c r="N18" s="542">
        <f>IF(Input_voertuigprijzen!AH17&gt;0,Input_voertuig!N$2,"")</f>
        <v>2016</v>
      </c>
      <c r="O18" s="542" t="str">
        <f>IF(Input_voertuigprijzen!AI17&gt;0,Input_voertuig!O$2,"")</f>
        <v/>
      </c>
      <c r="P18" s="542" t="str">
        <f>IF(Input_voertuigprijzen!AJ17&gt;0,Input_voertuig!P$2,"")</f>
        <v/>
      </c>
      <c r="Q18" s="542" t="str">
        <f>IF(Input_voertuigprijzen!AK17&gt;0,Input_voertuig!Q$2,"")</f>
        <v/>
      </c>
      <c r="R18" s="542" t="str">
        <f>IF(Input_voertuigprijzen!AL17&gt;0,Input_voertuig!R$2,"")</f>
        <v/>
      </c>
      <c r="S18" s="542">
        <f>IF(Input_voertuigprijzen!AM17&gt;0,Input_voertuig!S$2,"")</f>
        <v>2011</v>
      </c>
      <c r="T18" s="542" t="str">
        <f>IF(Input_voertuigprijzen!AN17&gt;0,Input_voertuig!T$2,"")</f>
        <v/>
      </c>
    </row>
    <row r="19" spans="1:20" x14ac:dyDescent="0.3">
      <c r="A19" s="489" t="s">
        <v>1419</v>
      </c>
      <c r="B19" s="489" t="s">
        <v>1420</v>
      </c>
      <c r="C19" s="489" t="s">
        <v>1421</v>
      </c>
      <c r="D19" s="489" t="s">
        <v>141</v>
      </c>
      <c r="E19" s="489" t="s">
        <v>994</v>
      </c>
      <c r="F19" s="542">
        <f>IF(Input_voertuigprijzen!Z18&gt;0,Input_voertuig!F$2,"")</f>
        <v>2024</v>
      </c>
      <c r="G19" s="542">
        <f>IF(Input_voertuigprijzen!AA18&gt;0,Input_voertuig!G$2,"")</f>
        <v>2023</v>
      </c>
      <c r="H19" s="542">
        <f>IF(Input_voertuigprijzen!AB18&gt;0,Input_voertuig!H$2,"")</f>
        <v>2022</v>
      </c>
      <c r="I19" s="542">
        <f>IF(Input_voertuigprijzen!AC18&gt;0,Input_voertuig!I$2,"")</f>
        <v>2021</v>
      </c>
      <c r="J19" s="542" t="str">
        <f>IF(Input_voertuigprijzen!AD18&gt;0,Input_voertuig!J$2,"")</f>
        <v/>
      </c>
      <c r="K19" s="542" t="str">
        <f>IF(Input_voertuigprijzen!AE18&gt;0,Input_voertuig!K$2,"")</f>
        <v/>
      </c>
      <c r="L19" s="542" t="str">
        <f>IF(Input_voertuigprijzen!AF18&gt;0,Input_voertuig!L$2,"")</f>
        <v/>
      </c>
      <c r="M19" s="542" t="str">
        <f>IF(Input_voertuigprijzen!AG18&gt;0,Input_voertuig!M$2,"")</f>
        <v/>
      </c>
      <c r="N19" s="542" t="str">
        <f>IF(Input_voertuigprijzen!AH18&gt;0,Input_voertuig!N$2,"")</f>
        <v/>
      </c>
      <c r="O19" s="542" t="str">
        <f>IF(Input_voertuigprijzen!AI18&gt;0,Input_voertuig!O$2,"")</f>
        <v/>
      </c>
      <c r="P19" s="542" t="str">
        <f>IF(Input_voertuigprijzen!AJ18&gt;0,Input_voertuig!P$2,"")</f>
        <v/>
      </c>
      <c r="Q19" s="542" t="str">
        <f>IF(Input_voertuigprijzen!AK18&gt;0,Input_voertuig!Q$2,"")</f>
        <v/>
      </c>
      <c r="R19" s="542" t="str">
        <f>IF(Input_voertuigprijzen!AL18&gt;0,Input_voertuig!R$2,"")</f>
        <v/>
      </c>
      <c r="S19" s="542" t="str">
        <f>IF(Input_voertuigprijzen!AM18&gt;0,Input_voertuig!S$2,"")</f>
        <v/>
      </c>
      <c r="T19" s="542" t="str">
        <f>IF(Input_voertuigprijzen!AN18&gt;0,Input_voertuig!T$2,"")</f>
        <v/>
      </c>
    </row>
    <row r="20" spans="1:20" x14ac:dyDescent="0.3">
      <c r="A20" s="489" t="s">
        <v>1426</v>
      </c>
      <c r="B20" s="489" t="s">
        <v>343</v>
      </c>
      <c r="C20" s="489" t="s">
        <v>343</v>
      </c>
      <c r="D20" s="489" t="s">
        <v>1929</v>
      </c>
      <c r="E20" s="489" t="s">
        <v>994</v>
      </c>
      <c r="F20" s="542">
        <f>IF(Input_voertuigprijzen!Z19&gt;0,Input_voertuig!F$2,"")</f>
        <v>2024</v>
      </c>
      <c r="G20" s="542">
        <f>IF(Input_voertuigprijzen!AA19&gt;0,Input_voertuig!G$2,"")</f>
        <v>2023</v>
      </c>
      <c r="H20" s="542">
        <f>IF(Input_voertuigprijzen!AB19&gt;0,Input_voertuig!H$2,"")</f>
        <v>2022</v>
      </c>
      <c r="I20" s="542">
        <f>IF(Input_voertuigprijzen!AC19&gt;0,Input_voertuig!I$2,"")</f>
        <v>2021</v>
      </c>
      <c r="J20" s="542">
        <f>IF(Input_voertuigprijzen!AD19&gt;0,Input_voertuig!J$2,"")</f>
        <v>2020</v>
      </c>
      <c r="K20" s="542">
        <f>IF(Input_voertuigprijzen!AE19&gt;0,Input_voertuig!K$2,"")</f>
        <v>2019</v>
      </c>
      <c r="L20" s="542">
        <f>IF(Input_voertuigprijzen!AF19&gt;0,Input_voertuig!L$2,"")</f>
        <v>2018</v>
      </c>
      <c r="M20" s="542">
        <f>IF(Input_voertuigprijzen!AG19&gt;0,Input_voertuig!M$2,"")</f>
        <v>2017</v>
      </c>
      <c r="N20" s="542">
        <f>IF(Input_voertuigprijzen!AH19&gt;0,Input_voertuig!N$2,"")</f>
        <v>2016</v>
      </c>
      <c r="O20" s="542">
        <f>IF(Input_voertuigprijzen!AI19&gt;0,Input_voertuig!O$2,"")</f>
        <v>2015</v>
      </c>
      <c r="P20" s="542">
        <f>IF(Input_voertuigprijzen!AJ19&gt;0,Input_voertuig!P$2,"")</f>
        <v>2014</v>
      </c>
      <c r="Q20" s="542">
        <f>IF(Input_voertuigprijzen!AK19&gt;0,Input_voertuig!Q$2,"")</f>
        <v>2013</v>
      </c>
      <c r="R20" s="542">
        <f>IF(Input_voertuigprijzen!AL19&gt;0,Input_voertuig!R$2,"")</f>
        <v>2012</v>
      </c>
      <c r="S20" s="542">
        <f>IF(Input_voertuigprijzen!AM19&gt;0,Input_voertuig!S$2,"")</f>
        <v>2011</v>
      </c>
      <c r="T20" s="542" t="str">
        <f>IF(Input_voertuigprijzen!AN19&gt;0,Input_voertuig!T$2,"")</f>
        <v/>
      </c>
    </row>
    <row r="21" spans="1:20" x14ac:dyDescent="0.3">
      <c r="A21" s="489" t="s">
        <v>1419</v>
      </c>
      <c r="B21" s="489" t="s">
        <v>1446</v>
      </c>
      <c r="C21" s="489" t="s">
        <v>1218</v>
      </c>
      <c r="D21" s="489" t="s">
        <v>141</v>
      </c>
      <c r="E21" s="489" t="s">
        <v>994</v>
      </c>
      <c r="F21" s="542">
        <f>IF(Input_voertuigprijzen!Z20&gt;0,Input_voertuig!F$2,"")</f>
        <v>2024</v>
      </c>
      <c r="G21" s="542">
        <f>IF(Input_voertuigprijzen!AA20&gt;0,Input_voertuig!G$2,"")</f>
        <v>2023</v>
      </c>
      <c r="H21" s="542">
        <f>IF(Input_voertuigprijzen!AB20&gt;0,Input_voertuig!H$2,"")</f>
        <v>2022</v>
      </c>
      <c r="I21" s="542">
        <f>IF(Input_voertuigprijzen!AC20&gt;0,Input_voertuig!I$2,"")</f>
        <v>2021</v>
      </c>
      <c r="J21" s="542">
        <f>IF(Input_voertuigprijzen!AD20&gt;0,Input_voertuig!J$2,"")</f>
        <v>2020</v>
      </c>
      <c r="K21" s="542">
        <f>IF(Input_voertuigprijzen!AE20&gt;0,Input_voertuig!K$2,"")</f>
        <v>2019</v>
      </c>
      <c r="L21" s="542" t="str">
        <f>IF(Input_voertuigprijzen!AF20&gt;0,Input_voertuig!L$2,"")</f>
        <v/>
      </c>
      <c r="M21" s="542" t="str">
        <f>IF(Input_voertuigprijzen!AG20&gt;0,Input_voertuig!M$2,"")</f>
        <v/>
      </c>
      <c r="N21" s="542" t="str">
        <f>IF(Input_voertuigprijzen!AH20&gt;0,Input_voertuig!N$2,"")</f>
        <v/>
      </c>
      <c r="O21" s="542" t="str">
        <f>IF(Input_voertuigprijzen!AI20&gt;0,Input_voertuig!O$2,"")</f>
        <v/>
      </c>
      <c r="P21" s="542" t="str">
        <f>IF(Input_voertuigprijzen!AJ20&gt;0,Input_voertuig!P$2,"")</f>
        <v/>
      </c>
      <c r="Q21" s="542" t="str">
        <f>IF(Input_voertuigprijzen!AK20&gt;0,Input_voertuig!Q$2,"")</f>
        <v/>
      </c>
      <c r="R21" s="542" t="str">
        <f>IF(Input_voertuigprijzen!AL20&gt;0,Input_voertuig!R$2,"")</f>
        <v/>
      </c>
      <c r="S21" s="542" t="str">
        <f>IF(Input_voertuigprijzen!AM20&gt;0,Input_voertuig!S$2,"")</f>
        <v/>
      </c>
      <c r="T21" s="542" t="str">
        <f>IF(Input_voertuigprijzen!AN20&gt;0,Input_voertuig!T$2,"")</f>
        <v/>
      </c>
    </row>
    <row r="22" spans="1:20" x14ac:dyDescent="0.3">
      <c r="A22" s="489" t="s">
        <v>1441</v>
      </c>
      <c r="B22" s="489" t="s">
        <v>1549</v>
      </c>
      <c r="C22" s="489" t="s">
        <v>1550</v>
      </c>
      <c r="D22" s="489" t="s">
        <v>46</v>
      </c>
      <c r="E22" s="489" t="s">
        <v>1960</v>
      </c>
      <c r="F22" s="542">
        <f>IF(Input_voertuigprijzen!Z21&gt;0,Input_voertuig!F$2,"")</f>
        <v>2024</v>
      </c>
      <c r="G22" s="542">
        <f>IF(Input_voertuigprijzen!AA21&gt;0,Input_voertuig!G$2,"")</f>
        <v>2023</v>
      </c>
      <c r="H22" s="542">
        <f>IF(Input_voertuigprijzen!AB21&gt;0,Input_voertuig!H$2,"")</f>
        <v>2022</v>
      </c>
      <c r="I22" s="542">
        <f>IF(Input_voertuigprijzen!AC21&gt;0,Input_voertuig!I$2,"")</f>
        <v>2021</v>
      </c>
      <c r="J22" s="542">
        <f>IF(Input_voertuigprijzen!AD21&gt;0,Input_voertuig!J$2,"")</f>
        <v>2020</v>
      </c>
      <c r="K22" s="542">
        <f>IF(Input_voertuigprijzen!AE21&gt;0,Input_voertuig!K$2,"")</f>
        <v>2019</v>
      </c>
      <c r="L22" s="542">
        <f>IF(Input_voertuigprijzen!AF21&gt;0,Input_voertuig!L$2,"")</f>
        <v>2018</v>
      </c>
      <c r="M22" s="542">
        <f>IF(Input_voertuigprijzen!AG21&gt;0,Input_voertuig!M$2,"")</f>
        <v>2017</v>
      </c>
      <c r="N22" s="542">
        <f>IF(Input_voertuigprijzen!AH21&gt;0,Input_voertuig!N$2,"")</f>
        <v>2016</v>
      </c>
      <c r="O22" s="542">
        <f>IF(Input_voertuigprijzen!AI21&gt;0,Input_voertuig!O$2,"")</f>
        <v>2015</v>
      </c>
      <c r="P22" s="542">
        <f>IF(Input_voertuigprijzen!AJ21&gt;0,Input_voertuig!P$2,"")</f>
        <v>2014</v>
      </c>
      <c r="Q22" s="542">
        <f>IF(Input_voertuigprijzen!AK21&gt;0,Input_voertuig!Q$2,"")</f>
        <v>2013</v>
      </c>
      <c r="R22" s="542">
        <f>IF(Input_voertuigprijzen!AL21&gt;0,Input_voertuig!R$2,"")</f>
        <v>2012</v>
      </c>
      <c r="S22" s="542">
        <f>IF(Input_voertuigprijzen!AM21&gt;0,Input_voertuig!S$2,"")</f>
        <v>2011</v>
      </c>
      <c r="T22" s="542">
        <f>IF(Input_voertuigprijzen!AN21&gt;0,Input_voertuig!T$2,"")</f>
        <v>2010</v>
      </c>
    </row>
    <row r="23" spans="1:20" x14ac:dyDescent="0.3">
      <c r="A23" s="489" t="s">
        <v>1414</v>
      </c>
      <c r="B23" s="489" t="s">
        <v>1449</v>
      </c>
      <c r="C23" s="489" t="s">
        <v>1450</v>
      </c>
      <c r="D23" s="489" t="s">
        <v>141</v>
      </c>
      <c r="E23" s="489" t="s">
        <v>1960</v>
      </c>
      <c r="F23" s="542">
        <f>IF(Input_voertuigprijzen!Z22&gt;0,Input_voertuig!F$2,"")</f>
        <v>2024</v>
      </c>
      <c r="G23" s="542">
        <f>IF(Input_voertuigprijzen!AA22&gt;0,Input_voertuig!G$2,"")</f>
        <v>2023</v>
      </c>
      <c r="H23" s="542">
        <f>IF(Input_voertuigprijzen!AB22&gt;0,Input_voertuig!H$2,"")</f>
        <v>2022</v>
      </c>
      <c r="I23" s="542">
        <f>IF(Input_voertuigprijzen!AC22&gt;0,Input_voertuig!I$2,"")</f>
        <v>2021</v>
      </c>
      <c r="J23" s="542">
        <f>IF(Input_voertuigprijzen!AD22&gt;0,Input_voertuig!J$2,"")</f>
        <v>2020</v>
      </c>
      <c r="K23" s="542" t="str">
        <f>IF(Input_voertuigprijzen!AE22&gt;0,Input_voertuig!K$2,"")</f>
        <v/>
      </c>
      <c r="L23" s="542" t="str">
        <f>IF(Input_voertuigprijzen!AF22&gt;0,Input_voertuig!L$2,"")</f>
        <v/>
      </c>
      <c r="M23" s="542" t="str">
        <f>IF(Input_voertuigprijzen!AG22&gt;0,Input_voertuig!M$2,"")</f>
        <v/>
      </c>
      <c r="N23" s="542" t="str">
        <f>IF(Input_voertuigprijzen!AH22&gt;0,Input_voertuig!N$2,"")</f>
        <v/>
      </c>
      <c r="O23" s="542" t="str">
        <f>IF(Input_voertuigprijzen!AI22&gt;0,Input_voertuig!O$2,"")</f>
        <v/>
      </c>
      <c r="P23" s="542" t="str">
        <f>IF(Input_voertuigprijzen!AJ22&gt;0,Input_voertuig!P$2,"")</f>
        <v/>
      </c>
      <c r="Q23" s="542" t="str">
        <f>IF(Input_voertuigprijzen!AK22&gt;0,Input_voertuig!Q$2,"")</f>
        <v/>
      </c>
      <c r="R23" s="542" t="str">
        <f>IF(Input_voertuigprijzen!AL22&gt;0,Input_voertuig!R$2,"")</f>
        <v/>
      </c>
      <c r="S23" s="542" t="str">
        <f>IF(Input_voertuigprijzen!AM22&gt;0,Input_voertuig!S$2,"")</f>
        <v/>
      </c>
      <c r="T23" s="542" t="str">
        <f>IF(Input_voertuigprijzen!AN22&gt;0,Input_voertuig!T$2,"")</f>
        <v/>
      </c>
    </row>
    <row r="24" spans="1:20" x14ac:dyDescent="0.3">
      <c r="A24" s="489" t="s">
        <v>1441</v>
      </c>
      <c r="B24" s="489" t="s">
        <v>1551</v>
      </c>
      <c r="C24" s="489" t="s">
        <v>1552</v>
      </c>
      <c r="D24" s="489" t="s">
        <v>46</v>
      </c>
      <c r="E24" s="489" t="s">
        <v>994</v>
      </c>
      <c r="F24" s="542">
        <f>IF(Input_voertuigprijzen!Z23&gt;0,Input_voertuig!F$2,"")</f>
        <v>2024</v>
      </c>
      <c r="G24" s="542">
        <f>IF(Input_voertuigprijzen!AA23&gt;0,Input_voertuig!G$2,"")</f>
        <v>2023</v>
      </c>
      <c r="H24" s="542">
        <f>IF(Input_voertuigprijzen!AB23&gt;0,Input_voertuig!H$2,"")</f>
        <v>2022</v>
      </c>
      <c r="I24" s="542">
        <f>IF(Input_voertuigprijzen!AC23&gt;0,Input_voertuig!I$2,"")</f>
        <v>2021</v>
      </c>
      <c r="J24" s="542">
        <f>IF(Input_voertuigprijzen!AD23&gt;0,Input_voertuig!J$2,"")</f>
        <v>2020</v>
      </c>
      <c r="K24" s="542">
        <f>IF(Input_voertuigprijzen!AE23&gt;0,Input_voertuig!K$2,"")</f>
        <v>2019</v>
      </c>
      <c r="L24" s="542">
        <f>IF(Input_voertuigprijzen!AF23&gt;0,Input_voertuig!L$2,"")</f>
        <v>2018</v>
      </c>
      <c r="M24" s="542">
        <f>IF(Input_voertuigprijzen!AG23&gt;0,Input_voertuig!M$2,"")</f>
        <v>2017</v>
      </c>
      <c r="N24" s="542">
        <f>IF(Input_voertuigprijzen!AH23&gt;0,Input_voertuig!N$2,"")</f>
        <v>2016</v>
      </c>
      <c r="O24" s="542">
        <f>IF(Input_voertuigprijzen!AI23&gt;0,Input_voertuig!O$2,"")</f>
        <v>2015</v>
      </c>
      <c r="P24" s="542">
        <f>IF(Input_voertuigprijzen!AJ23&gt;0,Input_voertuig!P$2,"")</f>
        <v>2014</v>
      </c>
      <c r="Q24" s="542">
        <f>IF(Input_voertuigprijzen!AK23&gt;0,Input_voertuig!Q$2,"")</f>
        <v>2013</v>
      </c>
      <c r="R24" s="542">
        <f>IF(Input_voertuigprijzen!AL23&gt;0,Input_voertuig!R$2,"")</f>
        <v>2012</v>
      </c>
      <c r="S24" s="542">
        <f>IF(Input_voertuigprijzen!AM23&gt;0,Input_voertuig!S$2,"")</f>
        <v>2011</v>
      </c>
      <c r="T24" s="542">
        <f>IF(Input_voertuigprijzen!AN23&gt;0,Input_voertuig!T$2,"")</f>
        <v>2010</v>
      </c>
    </row>
    <row r="25" spans="1:20" x14ac:dyDescent="0.3">
      <c r="A25" s="489" t="s">
        <v>1422</v>
      </c>
      <c r="B25" s="489" t="s">
        <v>1423</v>
      </c>
      <c r="C25" s="489" t="s">
        <v>1424</v>
      </c>
      <c r="D25" s="489" t="s">
        <v>46</v>
      </c>
      <c r="E25" s="489" t="s">
        <v>994</v>
      </c>
      <c r="F25" s="542">
        <f>IF(Input_voertuigprijzen!Z24&gt;0,Input_voertuig!F$2,"")</f>
        <v>2024</v>
      </c>
      <c r="G25" s="542">
        <f>IF(Input_voertuigprijzen!AA24&gt;0,Input_voertuig!G$2,"")</f>
        <v>2023</v>
      </c>
      <c r="H25" s="542">
        <f>IF(Input_voertuigprijzen!AB24&gt;0,Input_voertuig!H$2,"")</f>
        <v>2022</v>
      </c>
      <c r="I25" s="542">
        <f>IF(Input_voertuigprijzen!AC24&gt;0,Input_voertuig!I$2,"")</f>
        <v>2021</v>
      </c>
      <c r="J25" s="542">
        <f>IF(Input_voertuigprijzen!AD24&gt;0,Input_voertuig!J$2,"")</f>
        <v>2020</v>
      </c>
      <c r="K25" s="542">
        <f>IF(Input_voertuigprijzen!AE24&gt;0,Input_voertuig!K$2,"")</f>
        <v>2019</v>
      </c>
      <c r="L25" s="542">
        <f>IF(Input_voertuigprijzen!AF24&gt;0,Input_voertuig!L$2,"")</f>
        <v>2018</v>
      </c>
      <c r="M25" s="542">
        <f>IF(Input_voertuigprijzen!AG24&gt;0,Input_voertuig!M$2,"")</f>
        <v>2017</v>
      </c>
      <c r="N25" s="542">
        <f>IF(Input_voertuigprijzen!AH24&gt;0,Input_voertuig!N$2,"")</f>
        <v>2016</v>
      </c>
      <c r="O25" s="542">
        <f>IF(Input_voertuigprijzen!AI24&gt;0,Input_voertuig!O$2,"")</f>
        <v>2015</v>
      </c>
      <c r="P25" s="542">
        <f>IF(Input_voertuigprijzen!AJ24&gt;0,Input_voertuig!P$2,"")</f>
        <v>2014</v>
      </c>
      <c r="Q25" s="542">
        <f>IF(Input_voertuigprijzen!AK24&gt;0,Input_voertuig!Q$2,"")</f>
        <v>2013</v>
      </c>
      <c r="R25" s="542">
        <f>IF(Input_voertuigprijzen!AL24&gt;0,Input_voertuig!R$2,"")</f>
        <v>2012</v>
      </c>
      <c r="S25" s="542">
        <f>IF(Input_voertuigprijzen!AM24&gt;0,Input_voertuig!S$2,"")</f>
        <v>2011</v>
      </c>
      <c r="T25" s="542" t="str">
        <f>IF(Input_voertuigprijzen!AN24&gt;0,Input_voertuig!T$2,"")</f>
        <v/>
      </c>
    </row>
    <row r="26" spans="1:20" x14ac:dyDescent="0.3">
      <c r="A26" s="489" t="s">
        <v>1414</v>
      </c>
      <c r="B26" s="489" t="s">
        <v>1430</v>
      </c>
      <c r="C26" s="489" t="s">
        <v>1431</v>
      </c>
      <c r="D26" s="489" t="s">
        <v>1530</v>
      </c>
      <c r="E26" s="489" t="s">
        <v>1960</v>
      </c>
      <c r="F26" s="542" t="str">
        <f>IF(Input_voertuigprijzen!Z25&gt;0,Input_voertuig!F$2,"")</f>
        <v/>
      </c>
      <c r="G26" s="542" t="str">
        <f>IF(Input_voertuigprijzen!AA25&gt;0,Input_voertuig!G$2,"")</f>
        <v/>
      </c>
      <c r="H26" s="542" t="str">
        <f>IF(Input_voertuigprijzen!AB25&gt;0,Input_voertuig!H$2,"")</f>
        <v/>
      </c>
      <c r="I26" s="542" t="str">
        <f>IF(Input_voertuigprijzen!AC25&gt;0,Input_voertuig!I$2,"")</f>
        <v/>
      </c>
      <c r="J26" s="542" t="str">
        <f>IF(Input_voertuigprijzen!AD25&gt;0,Input_voertuig!J$2,"")</f>
        <v/>
      </c>
      <c r="K26" s="542" t="str">
        <f>IF(Input_voertuigprijzen!AE25&gt;0,Input_voertuig!K$2,"")</f>
        <v/>
      </c>
      <c r="L26" s="542">
        <f>IF(Input_voertuigprijzen!AF25&gt;0,Input_voertuig!L$2,"")</f>
        <v>2018</v>
      </c>
      <c r="M26" s="542">
        <f>IF(Input_voertuigprijzen!AG25&gt;0,Input_voertuig!M$2,"")</f>
        <v>2017</v>
      </c>
      <c r="N26" s="542">
        <f>IF(Input_voertuigprijzen!AH25&gt;0,Input_voertuig!N$2,"")</f>
        <v>2016</v>
      </c>
      <c r="O26" s="542">
        <f>IF(Input_voertuigprijzen!AI25&gt;0,Input_voertuig!O$2,"")</f>
        <v>2015</v>
      </c>
      <c r="P26" s="542">
        <f>IF(Input_voertuigprijzen!AJ25&gt;0,Input_voertuig!P$2,"")</f>
        <v>2014</v>
      </c>
      <c r="Q26" s="542" t="str">
        <f>IF(Input_voertuigprijzen!AK25&gt;0,Input_voertuig!Q$2,"")</f>
        <v/>
      </c>
      <c r="R26" s="542">
        <f>IF(Input_voertuigprijzen!AL25&gt;0,Input_voertuig!R$2,"")</f>
        <v>2012</v>
      </c>
      <c r="S26" s="542" t="str">
        <f>IF(Input_voertuigprijzen!AM25&gt;0,Input_voertuig!S$2,"")</f>
        <v/>
      </c>
      <c r="T26" s="542">
        <f>IF(Input_voertuigprijzen!AN25&gt;0,Input_voertuig!T$2,"")</f>
        <v>2010</v>
      </c>
    </row>
    <row r="27" spans="1:20" x14ac:dyDescent="0.3">
      <c r="A27" s="489" t="s">
        <v>1454</v>
      </c>
      <c r="B27" s="489" t="s">
        <v>1553</v>
      </c>
      <c r="C27" s="489" t="s">
        <v>1554</v>
      </c>
      <c r="D27" s="489" t="s">
        <v>46</v>
      </c>
      <c r="E27" s="489" t="s">
        <v>994</v>
      </c>
      <c r="F27" s="542">
        <f>IF(Input_voertuigprijzen!Z26&gt;0,Input_voertuig!F$2,"")</f>
        <v>2024</v>
      </c>
      <c r="G27" s="542">
        <f>IF(Input_voertuigprijzen!AA26&gt;0,Input_voertuig!G$2,"")</f>
        <v>2023</v>
      </c>
      <c r="H27" s="542">
        <f>IF(Input_voertuigprijzen!AB26&gt;0,Input_voertuig!H$2,"")</f>
        <v>2022</v>
      </c>
      <c r="I27" s="542">
        <f>IF(Input_voertuigprijzen!AC26&gt;0,Input_voertuig!I$2,"")</f>
        <v>2021</v>
      </c>
      <c r="J27" s="542">
        <f>IF(Input_voertuigprijzen!AD26&gt;0,Input_voertuig!J$2,"")</f>
        <v>2020</v>
      </c>
      <c r="K27" s="542">
        <f>IF(Input_voertuigprijzen!AE26&gt;0,Input_voertuig!K$2,"")</f>
        <v>2019</v>
      </c>
      <c r="L27" s="542">
        <f>IF(Input_voertuigprijzen!AF26&gt;0,Input_voertuig!L$2,"")</f>
        <v>2018</v>
      </c>
      <c r="M27" s="542">
        <f>IF(Input_voertuigprijzen!AG26&gt;0,Input_voertuig!M$2,"")</f>
        <v>2017</v>
      </c>
      <c r="N27" s="542">
        <f>IF(Input_voertuigprijzen!AH26&gt;0,Input_voertuig!N$2,"")</f>
        <v>2016</v>
      </c>
      <c r="O27" s="542">
        <f>IF(Input_voertuigprijzen!AI26&gt;0,Input_voertuig!O$2,"")</f>
        <v>2015</v>
      </c>
      <c r="P27" s="542">
        <f>IF(Input_voertuigprijzen!AJ26&gt;0,Input_voertuig!P$2,"")</f>
        <v>2014</v>
      </c>
      <c r="Q27" s="542">
        <f>IF(Input_voertuigprijzen!AK26&gt;0,Input_voertuig!Q$2,"")</f>
        <v>2013</v>
      </c>
      <c r="R27" s="542">
        <f>IF(Input_voertuigprijzen!AL26&gt;0,Input_voertuig!R$2,"")</f>
        <v>2012</v>
      </c>
      <c r="S27" s="542">
        <f>IF(Input_voertuigprijzen!AM26&gt;0,Input_voertuig!S$2,"")</f>
        <v>2011</v>
      </c>
      <c r="T27" s="542">
        <f>IF(Input_voertuigprijzen!AN26&gt;0,Input_voertuig!T$2,"")</f>
        <v>2010</v>
      </c>
    </row>
    <row r="28" spans="1:20" x14ac:dyDescent="0.3">
      <c r="A28" s="489" t="s">
        <v>1432</v>
      </c>
      <c r="B28" s="489" t="s">
        <v>1555</v>
      </c>
      <c r="C28" s="489" t="s">
        <v>1556</v>
      </c>
      <c r="D28" s="489" t="s">
        <v>141</v>
      </c>
      <c r="E28" s="489" t="s">
        <v>1960</v>
      </c>
      <c r="F28" s="542">
        <f>IF(Input_voertuigprijzen!Z27&gt;0,Input_voertuig!F$2,"")</f>
        <v>2024</v>
      </c>
      <c r="G28" s="542">
        <f>IF(Input_voertuigprijzen!AA27&gt;0,Input_voertuig!G$2,"")</f>
        <v>2023</v>
      </c>
      <c r="H28" s="542">
        <f>IF(Input_voertuigprijzen!AB27&gt;0,Input_voertuig!H$2,"")</f>
        <v>2022</v>
      </c>
      <c r="I28" s="542">
        <f>IF(Input_voertuigprijzen!AC27&gt;0,Input_voertuig!I$2,"")</f>
        <v>2021</v>
      </c>
      <c r="J28" s="542" t="str">
        <f>IF(Input_voertuigprijzen!AD27&gt;0,Input_voertuig!J$2,"")</f>
        <v/>
      </c>
      <c r="K28" s="542" t="str">
        <f>IF(Input_voertuigprijzen!AE27&gt;0,Input_voertuig!K$2,"")</f>
        <v/>
      </c>
      <c r="L28" s="542" t="str">
        <f>IF(Input_voertuigprijzen!AF27&gt;0,Input_voertuig!L$2,"")</f>
        <v/>
      </c>
      <c r="M28" s="542" t="str">
        <f>IF(Input_voertuigprijzen!AG27&gt;0,Input_voertuig!M$2,"")</f>
        <v/>
      </c>
      <c r="N28" s="542" t="str">
        <f>IF(Input_voertuigprijzen!AH27&gt;0,Input_voertuig!N$2,"")</f>
        <v/>
      </c>
      <c r="O28" s="542" t="str">
        <f>IF(Input_voertuigprijzen!AI27&gt;0,Input_voertuig!O$2,"")</f>
        <v/>
      </c>
      <c r="P28" s="542" t="str">
        <f>IF(Input_voertuigprijzen!AJ27&gt;0,Input_voertuig!P$2,"")</f>
        <v/>
      </c>
      <c r="Q28" s="542" t="str">
        <f>IF(Input_voertuigprijzen!AK27&gt;0,Input_voertuig!Q$2,"")</f>
        <v/>
      </c>
      <c r="R28" s="542" t="str">
        <f>IF(Input_voertuigprijzen!AL27&gt;0,Input_voertuig!R$2,"")</f>
        <v/>
      </c>
      <c r="S28" s="542" t="str">
        <f>IF(Input_voertuigprijzen!AM27&gt;0,Input_voertuig!S$2,"")</f>
        <v/>
      </c>
      <c r="T28" s="542" t="str">
        <f>IF(Input_voertuigprijzen!AN27&gt;0,Input_voertuig!T$2,"")</f>
        <v/>
      </c>
    </row>
    <row r="29" spans="1:20" x14ac:dyDescent="0.3">
      <c r="A29" s="489" t="s">
        <v>1426</v>
      </c>
      <c r="B29" s="489" t="s">
        <v>343</v>
      </c>
      <c r="C29" s="489" t="s">
        <v>343</v>
      </c>
      <c r="D29" s="489" t="s">
        <v>1936</v>
      </c>
      <c r="E29" s="489" t="s">
        <v>994</v>
      </c>
      <c r="F29" s="542" t="str">
        <f>IF(Input_voertuigprijzen!Z28&gt;0,Input_voertuig!F$2,"")</f>
        <v/>
      </c>
      <c r="G29" s="542" t="str">
        <f>IF(Input_voertuigprijzen!AA28&gt;0,Input_voertuig!G$2,"")</f>
        <v/>
      </c>
      <c r="H29" s="542" t="str">
        <f>IF(Input_voertuigprijzen!AB28&gt;0,Input_voertuig!H$2,"")</f>
        <v/>
      </c>
      <c r="I29" s="542" t="str">
        <f>IF(Input_voertuigprijzen!AC28&gt;0,Input_voertuig!I$2,"")</f>
        <v/>
      </c>
      <c r="J29" s="542" t="str">
        <f>IF(Input_voertuigprijzen!AD28&gt;0,Input_voertuig!J$2,"")</f>
        <v/>
      </c>
      <c r="K29" s="542">
        <f>IF(Input_voertuigprijzen!AE28&gt;0,Input_voertuig!K$2,"")</f>
        <v>2019</v>
      </c>
      <c r="L29" s="542">
        <f>IF(Input_voertuigprijzen!AF28&gt;0,Input_voertuig!L$2,"")</f>
        <v>2018</v>
      </c>
      <c r="M29" s="542">
        <f>IF(Input_voertuigprijzen!AG28&gt;0,Input_voertuig!M$2,"")</f>
        <v>2017</v>
      </c>
      <c r="N29" s="542">
        <f>IF(Input_voertuigprijzen!AH28&gt;0,Input_voertuig!N$2,"")</f>
        <v>2016</v>
      </c>
      <c r="O29" s="542">
        <f>IF(Input_voertuigprijzen!AI28&gt;0,Input_voertuig!O$2,"")</f>
        <v>2015</v>
      </c>
      <c r="P29" s="542">
        <f>IF(Input_voertuigprijzen!AJ28&gt;0,Input_voertuig!P$2,"")</f>
        <v>2014</v>
      </c>
      <c r="Q29" s="542" t="str">
        <f>IF(Input_voertuigprijzen!AK28&gt;0,Input_voertuig!Q$2,"")</f>
        <v/>
      </c>
      <c r="R29" s="542" t="str">
        <f>IF(Input_voertuigprijzen!AL28&gt;0,Input_voertuig!R$2,"")</f>
        <v/>
      </c>
      <c r="S29" s="542" t="str">
        <f>IF(Input_voertuigprijzen!AM28&gt;0,Input_voertuig!S$2,"")</f>
        <v/>
      </c>
      <c r="T29" s="542" t="str">
        <f>IF(Input_voertuigprijzen!AN28&gt;0,Input_voertuig!T$2,"")</f>
        <v/>
      </c>
    </row>
    <row r="30" spans="1:20" x14ac:dyDescent="0.3">
      <c r="A30" s="489" t="s">
        <v>1441</v>
      </c>
      <c r="B30" s="489" t="s">
        <v>1447</v>
      </c>
      <c r="C30" s="489" t="s">
        <v>1448</v>
      </c>
      <c r="D30" s="489" t="s">
        <v>1530</v>
      </c>
      <c r="E30" s="489" t="s">
        <v>1960</v>
      </c>
      <c r="F30" s="542" t="str">
        <f>IF(Input_voertuigprijzen!Z29&gt;0,Input_voertuig!F$2,"")</f>
        <v/>
      </c>
      <c r="G30" s="542" t="str">
        <f>IF(Input_voertuigprijzen!AA29&gt;0,Input_voertuig!G$2,"")</f>
        <v/>
      </c>
      <c r="H30" s="542" t="str">
        <f>IF(Input_voertuigprijzen!AB29&gt;0,Input_voertuig!H$2,"")</f>
        <v/>
      </c>
      <c r="I30" s="542" t="str">
        <f>IF(Input_voertuigprijzen!AC29&gt;0,Input_voertuig!I$2,"")</f>
        <v/>
      </c>
      <c r="J30" s="542" t="str">
        <f>IF(Input_voertuigprijzen!AD29&gt;0,Input_voertuig!J$2,"")</f>
        <v/>
      </c>
      <c r="K30" s="542" t="str">
        <f>IF(Input_voertuigprijzen!AE29&gt;0,Input_voertuig!K$2,"")</f>
        <v/>
      </c>
      <c r="L30" s="542">
        <f>IF(Input_voertuigprijzen!AF29&gt;0,Input_voertuig!L$2,"")</f>
        <v>2018</v>
      </c>
      <c r="M30" s="542">
        <f>IF(Input_voertuigprijzen!AG29&gt;0,Input_voertuig!M$2,"")</f>
        <v>2017</v>
      </c>
      <c r="N30" s="542">
        <f>IF(Input_voertuigprijzen!AH29&gt;0,Input_voertuig!N$2,"")</f>
        <v>2016</v>
      </c>
      <c r="O30" s="542" t="str">
        <f>IF(Input_voertuigprijzen!AI29&gt;0,Input_voertuig!O$2,"")</f>
        <v/>
      </c>
      <c r="P30" s="542" t="str">
        <f>IF(Input_voertuigprijzen!AJ29&gt;0,Input_voertuig!P$2,"")</f>
        <v/>
      </c>
      <c r="Q30" s="542" t="str">
        <f>IF(Input_voertuigprijzen!AK29&gt;0,Input_voertuig!Q$2,"")</f>
        <v/>
      </c>
      <c r="R30" s="542">
        <f>IF(Input_voertuigprijzen!AL29&gt;0,Input_voertuig!R$2,"")</f>
        <v>2012</v>
      </c>
      <c r="S30" s="542">
        <f>IF(Input_voertuigprijzen!AM29&gt;0,Input_voertuig!S$2,"")</f>
        <v>2011</v>
      </c>
      <c r="T30" s="542" t="str">
        <f>IF(Input_voertuigprijzen!AN29&gt;0,Input_voertuig!T$2,"")</f>
        <v/>
      </c>
    </row>
    <row r="31" spans="1:20" x14ac:dyDescent="0.3">
      <c r="A31" s="489" t="s">
        <v>1426</v>
      </c>
      <c r="B31" s="489" t="s">
        <v>1427</v>
      </c>
      <c r="C31" s="489" t="s">
        <v>1427</v>
      </c>
      <c r="D31" s="489" t="s">
        <v>1936</v>
      </c>
      <c r="E31" s="489" t="s">
        <v>994</v>
      </c>
      <c r="F31" s="542">
        <f>IF(Input_voertuigprijzen!Z30&gt;0,Input_voertuig!F$2,"")</f>
        <v>2024</v>
      </c>
      <c r="G31" s="542">
        <f>IF(Input_voertuigprijzen!AA30&gt;0,Input_voertuig!G$2,"")</f>
        <v>2023</v>
      </c>
      <c r="H31" s="542">
        <f>IF(Input_voertuigprijzen!AB30&gt;0,Input_voertuig!H$2,"")</f>
        <v>2022</v>
      </c>
      <c r="I31" s="542">
        <f>IF(Input_voertuigprijzen!AC30&gt;0,Input_voertuig!I$2,"")</f>
        <v>2021</v>
      </c>
      <c r="J31" s="542">
        <f>IF(Input_voertuigprijzen!AD30&gt;0,Input_voertuig!J$2,"")</f>
        <v>2020</v>
      </c>
      <c r="K31" s="542">
        <f>IF(Input_voertuigprijzen!AE30&gt;0,Input_voertuig!K$2,"")</f>
        <v>2019</v>
      </c>
      <c r="L31" s="542" t="str">
        <f>IF(Input_voertuigprijzen!AF30&gt;0,Input_voertuig!L$2,"")</f>
        <v/>
      </c>
      <c r="M31" s="542" t="str">
        <f>IF(Input_voertuigprijzen!AG30&gt;0,Input_voertuig!M$2,"")</f>
        <v/>
      </c>
      <c r="N31" s="542" t="str">
        <f>IF(Input_voertuigprijzen!AH30&gt;0,Input_voertuig!N$2,"")</f>
        <v/>
      </c>
      <c r="O31" s="542" t="str">
        <f>IF(Input_voertuigprijzen!AI30&gt;0,Input_voertuig!O$2,"")</f>
        <v/>
      </c>
      <c r="P31" s="542" t="str">
        <f>IF(Input_voertuigprijzen!AJ30&gt;0,Input_voertuig!P$2,"")</f>
        <v/>
      </c>
      <c r="Q31" s="542" t="str">
        <f>IF(Input_voertuigprijzen!AK30&gt;0,Input_voertuig!Q$2,"")</f>
        <v/>
      </c>
      <c r="R31" s="542" t="str">
        <f>IF(Input_voertuigprijzen!AL30&gt;0,Input_voertuig!R$2,"")</f>
        <v/>
      </c>
      <c r="S31" s="542" t="str">
        <f>IF(Input_voertuigprijzen!AM30&gt;0,Input_voertuig!S$2,"")</f>
        <v/>
      </c>
      <c r="T31" s="542" t="str">
        <f>IF(Input_voertuigprijzen!AN30&gt;0,Input_voertuig!T$2,"")</f>
        <v/>
      </c>
    </row>
    <row r="32" spans="1:20" x14ac:dyDescent="0.3">
      <c r="A32" s="489" t="s">
        <v>1451</v>
      </c>
      <c r="B32" s="489" t="s">
        <v>1557</v>
      </c>
      <c r="C32" s="489" t="s">
        <v>1558</v>
      </c>
      <c r="D32" s="489" t="s">
        <v>141</v>
      </c>
      <c r="E32" s="489" t="s">
        <v>994</v>
      </c>
      <c r="F32" s="542" t="str">
        <f>IF(Input_voertuigprijzen!Z31&gt;0,Input_voertuig!F$2,"")</f>
        <v/>
      </c>
      <c r="G32" s="542">
        <f>IF(Input_voertuigprijzen!AA31&gt;0,Input_voertuig!G$2,"")</f>
        <v>2023</v>
      </c>
      <c r="H32" s="542">
        <f>IF(Input_voertuigprijzen!AB31&gt;0,Input_voertuig!H$2,"")</f>
        <v>2022</v>
      </c>
      <c r="I32" s="542">
        <f>IF(Input_voertuigprijzen!AC31&gt;0,Input_voertuig!I$2,"")</f>
        <v>2021</v>
      </c>
      <c r="J32" s="542">
        <f>IF(Input_voertuigprijzen!AD31&gt;0,Input_voertuig!J$2,"")</f>
        <v>2020</v>
      </c>
      <c r="K32" s="542" t="str">
        <f>IF(Input_voertuigprijzen!AE31&gt;0,Input_voertuig!K$2,"")</f>
        <v/>
      </c>
      <c r="L32" s="542" t="str">
        <f>IF(Input_voertuigprijzen!AF31&gt;0,Input_voertuig!L$2,"")</f>
        <v/>
      </c>
      <c r="M32" s="542" t="str">
        <f>IF(Input_voertuigprijzen!AG31&gt;0,Input_voertuig!M$2,"")</f>
        <v/>
      </c>
      <c r="N32" s="542" t="str">
        <f>IF(Input_voertuigprijzen!AH31&gt;0,Input_voertuig!N$2,"")</f>
        <v/>
      </c>
      <c r="O32" s="542" t="str">
        <f>IF(Input_voertuigprijzen!AI31&gt;0,Input_voertuig!O$2,"")</f>
        <v/>
      </c>
      <c r="P32" s="542" t="str">
        <f>IF(Input_voertuigprijzen!AJ31&gt;0,Input_voertuig!P$2,"")</f>
        <v/>
      </c>
      <c r="Q32" s="542" t="str">
        <f>IF(Input_voertuigprijzen!AK31&gt;0,Input_voertuig!Q$2,"")</f>
        <v/>
      </c>
      <c r="R32" s="542" t="str">
        <f>IF(Input_voertuigprijzen!AL31&gt;0,Input_voertuig!R$2,"")</f>
        <v/>
      </c>
      <c r="S32" s="542" t="str">
        <f>IF(Input_voertuigprijzen!AM31&gt;0,Input_voertuig!S$2,"")</f>
        <v/>
      </c>
      <c r="T32" s="542" t="str">
        <f>IF(Input_voertuigprijzen!AN31&gt;0,Input_voertuig!T$2,"")</f>
        <v/>
      </c>
    </row>
    <row r="33" spans="1:20" x14ac:dyDescent="0.3">
      <c r="A33" s="489" t="s">
        <v>1414</v>
      </c>
      <c r="B33" s="489" t="s">
        <v>1559</v>
      </c>
      <c r="C33" s="489" t="s">
        <v>1560</v>
      </c>
      <c r="D33" s="489" t="s">
        <v>46</v>
      </c>
      <c r="E33" s="489" t="s">
        <v>994</v>
      </c>
      <c r="F33" s="542" t="str">
        <f>IF(Input_voertuigprijzen!Z32&gt;0,Input_voertuig!F$2,"")</f>
        <v/>
      </c>
      <c r="G33" s="542">
        <f>IF(Input_voertuigprijzen!AA32&gt;0,Input_voertuig!G$2,"")</f>
        <v>2023</v>
      </c>
      <c r="H33" s="542">
        <f>IF(Input_voertuigprijzen!AB32&gt;0,Input_voertuig!H$2,"")</f>
        <v>2022</v>
      </c>
      <c r="I33" s="542">
        <f>IF(Input_voertuigprijzen!AC32&gt;0,Input_voertuig!I$2,"")</f>
        <v>2021</v>
      </c>
      <c r="J33" s="542">
        <f>IF(Input_voertuigprijzen!AD32&gt;0,Input_voertuig!J$2,"")</f>
        <v>2020</v>
      </c>
      <c r="K33" s="542">
        <f>IF(Input_voertuigprijzen!AE32&gt;0,Input_voertuig!K$2,"")</f>
        <v>2019</v>
      </c>
      <c r="L33" s="542">
        <f>IF(Input_voertuigprijzen!AF32&gt;0,Input_voertuig!L$2,"")</f>
        <v>2018</v>
      </c>
      <c r="M33" s="542">
        <f>IF(Input_voertuigprijzen!AG32&gt;0,Input_voertuig!M$2,"")</f>
        <v>2017</v>
      </c>
      <c r="N33" s="542">
        <f>IF(Input_voertuigprijzen!AH32&gt;0,Input_voertuig!N$2,"")</f>
        <v>2016</v>
      </c>
      <c r="O33" s="542">
        <f>IF(Input_voertuigprijzen!AI32&gt;0,Input_voertuig!O$2,"")</f>
        <v>2015</v>
      </c>
      <c r="P33" s="542">
        <f>IF(Input_voertuigprijzen!AJ32&gt;0,Input_voertuig!P$2,"")</f>
        <v>2014</v>
      </c>
      <c r="Q33" s="542">
        <f>IF(Input_voertuigprijzen!AK32&gt;0,Input_voertuig!Q$2,"")</f>
        <v>2013</v>
      </c>
      <c r="R33" s="542">
        <f>IF(Input_voertuigprijzen!AL32&gt;0,Input_voertuig!R$2,"")</f>
        <v>2012</v>
      </c>
      <c r="S33" s="542">
        <f>IF(Input_voertuigprijzen!AM32&gt;0,Input_voertuig!S$2,"")</f>
        <v>2011</v>
      </c>
      <c r="T33" s="542">
        <f>IF(Input_voertuigprijzen!AN32&gt;0,Input_voertuig!T$2,"")</f>
        <v>2010</v>
      </c>
    </row>
    <row r="34" spans="1:20" x14ac:dyDescent="0.3">
      <c r="A34" s="489" t="s">
        <v>1426</v>
      </c>
      <c r="B34" s="489" t="s">
        <v>816</v>
      </c>
      <c r="C34" s="489" t="s">
        <v>816</v>
      </c>
      <c r="D34" s="489" t="s">
        <v>1929</v>
      </c>
      <c r="E34" s="489" t="s">
        <v>994</v>
      </c>
      <c r="F34" s="542">
        <f>IF(Input_voertuigprijzen!Z33&gt;0,Input_voertuig!F$2,"")</f>
        <v>2024</v>
      </c>
      <c r="G34" s="542">
        <f>IF(Input_voertuigprijzen!AA33&gt;0,Input_voertuig!G$2,"")</f>
        <v>2023</v>
      </c>
      <c r="H34" s="542">
        <f>IF(Input_voertuigprijzen!AB33&gt;0,Input_voertuig!H$2,"")</f>
        <v>2022</v>
      </c>
      <c r="I34" s="542">
        <f>IF(Input_voertuigprijzen!AC33&gt;0,Input_voertuig!I$2,"")</f>
        <v>2021</v>
      </c>
      <c r="J34" s="542">
        <f>IF(Input_voertuigprijzen!AD33&gt;0,Input_voertuig!J$2,"")</f>
        <v>2020</v>
      </c>
      <c r="K34" s="542">
        <f>IF(Input_voertuigprijzen!AE33&gt;0,Input_voertuig!K$2,"")</f>
        <v>2019</v>
      </c>
      <c r="L34" s="542">
        <f>IF(Input_voertuigprijzen!AF33&gt;0,Input_voertuig!L$2,"")</f>
        <v>2018</v>
      </c>
      <c r="M34" s="542">
        <f>IF(Input_voertuigprijzen!AG33&gt;0,Input_voertuig!M$2,"")</f>
        <v>2017</v>
      </c>
      <c r="N34" s="542">
        <f>IF(Input_voertuigprijzen!AH33&gt;0,Input_voertuig!N$2,"")</f>
        <v>2016</v>
      </c>
      <c r="O34" s="542">
        <f>IF(Input_voertuigprijzen!AI33&gt;0,Input_voertuig!O$2,"")</f>
        <v>2015</v>
      </c>
      <c r="P34" s="542">
        <f>IF(Input_voertuigprijzen!AJ33&gt;0,Input_voertuig!P$2,"")</f>
        <v>2014</v>
      </c>
      <c r="Q34" s="542">
        <f>IF(Input_voertuigprijzen!AK33&gt;0,Input_voertuig!Q$2,"")</f>
        <v>2013</v>
      </c>
      <c r="R34" s="542">
        <f>IF(Input_voertuigprijzen!AL33&gt;0,Input_voertuig!R$2,"")</f>
        <v>2012</v>
      </c>
      <c r="S34" s="542">
        <f>IF(Input_voertuigprijzen!AM33&gt;0,Input_voertuig!S$2,"")</f>
        <v>2011</v>
      </c>
      <c r="T34" s="542">
        <f>IF(Input_voertuigprijzen!AN33&gt;0,Input_voertuig!T$2,"")</f>
        <v>2010</v>
      </c>
    </row>
    <row r="35" spans="1:20" x14ac:dyDescent="0.3">
      <c r="A35" s="489" t="s">
        <v>1561</v>
      </c>
      <c r="B35" s="489" t="s">
        <v>1562</v>
      </c>
      <c r="C35" s="489" t="s">
        <v>1563</v>
      </c>
      <c r="D35" s="489" t="s">
        <v>141</v>
      </c>
      <c r="E35" s="489" t="s">
        <v>994</v>
      </c>
      <c r="F35" s="542">
        <f>IF(Input_voertuigprijzen!Z34&gt;0,Input_voertuig!F$2,"")</f>
        <v>2024</v>
      </c>
      <c r="G35" s="542" t="str">
        <f>IF(Input_voertuigprijzen!AA34&gt;0,Input_voertuig!G$2,"")</f>
        <v/>
      </c>
      <c r="H35" s="542">
        <f>IF(Input_voertuigprijzen!AB34&gt;0,Input_voertuig!H$2,"")</f>
        <v>2022</v>
      </c>
      <c r="I35" s="542">
        <f>IF(Input_voertuigprijzen!AC34&gt;0,Input_voertuig!I$2,"")</f>
        <v>2021</v>
      </c>
      <c r="J35" s="542">
        <f>IF(Input_voertuigprijzen!AD34&gt;0,Input_voertuig!J$2,"")</f>
        <v>2020</v>
      </c>
      <c r="K35" s="542">
        <f>IF(Input_voertuigprijzen!AE34&gt;0,Input_voertuig!K$2,"")</f>
        <v>2019</v>
      </c>
      <c r="L35" s="542">
        <f>IF(Input_voertuigprijzen!AF34&gt;0,Input_voertuig!L$2,"")</f>
        <v>2018</v>
      </c>
      <c r="M35" s="542">
        <f>IF(Input_voertuigprijzen!AG34&gt;0,Input_voertuig!M$2,"")</f>
        <v>2017</v>
      </c>
      <c r="N35" s="542">
        <f>IF(Input_voertuigprijzen!AH34&gt;0,Input_voertuig!N$2,"")</f>
        <v>2016</v>
      </c>
      <c r="O35" s="542" t="str">
        <f>IF(Input_voertuigprijzen!AI34&gt;0,Input_voertuig!O$2,"")</f>
        <v/>
      </c>
      <c r="P35" s="542" t="str">
        <f>IF(Input_voertuigprijzen!AJ34&gt;0,Input_voertuig!P$2,"")</f>
        <v/>
      </c>
      <c r="Q35" s="542" t="str">
        <f>IF(Input_voertuigprijzen!AK34&gt;0,Input_voertuig!Q$2,"")</f>
        <v/>
      </c>
      <c r="R35" s="542" t="str">
        <f>IF(Input_voertuigprijzen!AL34&gt;0,Input_voertuig!R$2,"")</f>
        <v/>
      </c>
      <c r="S35" s="542" t="str">
        <f>IF(Input_voertuigprijzen!AM34&gt;0,Input_voertuig!S$2,"")</f>
        <v/>
      </c>
      <c r="T35" s="542" t="str">
        <f>IF(Input_voertuigprijzen!AN34&gt;0,Input_voertuig!T$2,"")</f>
        <v/>
      </c>
    </row>
    <row r="36" spans="1:20" x14ac:dyDescent="0.3">
      <c r="A36" s="489" t="s">
        <v>1564</v>
      </c>
      <c r="B36" s="489" t="s">
        <v>1565</v>
      </c>
      <c r="C36" s="489" t="s">
        <v>1566</v>
      </c>
      <c r="D36" s="489" t="s">
        <v>141</v>
      </c>
      <c r="E36" s="489" t="s">
        <v>994</v>
      </c>
      <c r="F36" s="542">
        <f>IF(Input_voertuigprijzen!Z35&gt;0,Input_voertuig!F$2,"")</f>
        <v>2024</v>
      </c>
      <c r="G36" s="542">
        <f>IF(Input_voertuigprijzen!AA35&gt;0,Input_voertuig!G$2,"")</f>
        <v>2023</v>
      </c>
      <c r="H36" s="542" t="str">
        <f>IF(Input_voertuigprijzen!AB35&gt;0,Input_voertuig!H$2,"")</f>
        <v/>
      </c>
      <c r="I36" s="542" t="str">
        <f>IF(Input_voertuigprijzen!AC35&gt;0,Input_voertuig!I$2,"")</f>
        <v/>
      </c>
      <c r="J36" s="542" t="str">
        <f>IF(Input_voertuigprijzen!AD35&gt;0,Input_voertuig!J$2,"")</f>
        <v/>
      </c>
      <c r="K36" s="542" t="str">
        <f>IF(Input_voertuigprijzen!AE35&gt;0,Input_voertuig!K$2,"")</f>
        <v/>
      </c>
      <c r="L36" s="542" t="str">
        <f>IF(Input_voertuigprijzen!AF35&gt;0,Input_voertuig!L$2,"")</f>
        <v/>
      </c>
      <c r="M36" s="542" t="str">
        <f>IF(Input_voertuigprijzen!AG35&gt;0,Input_voertuig!M$2,"")</f>
        <v/>
      </c>
      <c r="N36" s="542" t="str">
        <f>IF(Input_voertuigprijzen!AH35&gt;0,Input_voertuig!N$2,"")</f>
        <v/>
      </c>
      <c r="O36" s="542" t="str">
        <f>IF(Input_voertuigprijzen!AI35&gt;0,Input_voertuig!O$2,"")</f>
        <v/>
      </c>
      <c r="P36" s="542" t="str">
        <f>IF(Input_voertuigprijzen!AJ35&gt;0,Input_voertuig!P$2,"")</f>
        <v/>
      </c>
      <c r="Q36" s="542" t="str">
        <f>IF(Input_voertuigprijzen!AK35&gt;0,Input_voertuig!Q$2,"")</f>
        <v/>
      </c>
      <c r="R36" s="542" t="str">
        <f>IF(Input_voertuigprijzen!AL35&gt;0,Input_voertuig!R$2,"")</f>
        <v/>
      </c>
      <c r="S36" s="542" t="str">
        <f>IF(Input_voertuigprijzen!AM35&gt;0,Input_voertuig!S$2,"")</f>
        <v/>
      </c>
      <c r="T36" s="542" t="str">
        <f>IF(Input_voertuigprijzen!AN35&gt;0,Input_voertuig!T$2,"")</f>
        <v/>
      </c>
    </row>
    <row r="37" spans="1:20" x14ac:dyDescent="0.3">
      <c r="A37" s="489" t="s">
        <v>1567</v>
      </c>
      <c r="B37" s="489">
        <v>508</v>
      </c>
      <c r="C37" s="489" t="s">
        <v>865</v>
      </c>
      <c r="D37" s="489" t="s">
        <v>46</v>
      </c>
      <c r="E37" s="489" t="s">
        <v>994</v>
      </c>
      <c r="F37" s="542">
        <f>IF(Input_voertuigprijzen!Z36&gt;0,Input_voertuig!F$2,"")</f>
        <v>2024</v>
      </c>
      <c r="G37" s="542">
        <f>IF(Input_voertuigprijzen!AA36&gt;0,Input_voertuig!G$2,"")</f>
        <v>2023</v>
      </c>
      <c r="H37" s="542">
        <f>IF(Input_voertuigprijzen!AB36&gt;0,Input_voertuig!H$2,"")</f>
        <v>2022</v>
      </c>
      <c r="I37" s="542">
        <f>IF(Input_voertuigprijzen!AC36&gt;0,Input_voertuig!I$2,"")</f>
        <v>2021</v>
      </c>
      <c r="J37" s="542">
        <f>IF(Input_voertuigprijzen!AD36&gt;0,Input_voertuig!J$2,"")</f>
        <v>2020</v>
      </c>
      <c r="K37" s="542">
        <f>IF(Input_voertuigprijzen!AE36&gt;0,Input_voertuig!K$2,"")</f>
        <v>2019</v>
      </c>
      <c r="L37" s="542">
        <f>IF(Input_voertuigprijzen!AF36&gt;0,Input_voertuig!L$2,"")</f>
        <v>2018</v>
      </c>
      <c r="M37" s="542">
        <f>IF(Input_voertuigprijzen!AG36&gt;0,Input_voertuig!M$2,"")</f>
        <v>2017</v>
      </c>
      <c r="N37" s="542">
        <f>IF(Input_voertuigprijzen!AH36&gt;0,Input_voertuig!N$2,"")</f>
        <v>2016</v>
      </c>
      <c r="O37" s="542">
        <f>IF(Input_voertuigprijzen!AI36&gt;0,Input_voertuig!O$2,"")</f>
        <v>2015</v>
      </c>
      <c r="P37" s="542">
        <f>IF(Input_voertuigprijzen!AJ36&gt;0,Input_voertuig!P$2,"")</f>
        <v>2014</v>
      </c>
      <c r="Q37" s="542">
        <f>IF(Input_voertuigprijzen!AK36&gt;0,Input_voertuig!Q$2,"")</f>
        <v>2013</v>
      </c>
      <c r="R37" s="542">
        <f>IF(Input_voertuigprijzen!AL36&gt;0,Input_voertuig!R$2,"")</f>
        <v>2012</v>
      </c>
      <c r="S37" s="542">
        <f>IF(Input_voertuigprijzen!AM36&gt;0,Input_voertuig!S$2,"")</f>
        <v>2011</v>
      </c>
      <c r="T37" s="542" t="str">
        <f>IF(Input_voertuigprijzen!AN36&gt;0,Input_voertuig!T$2,"")</f>
        <v/>
      </c>
    </row>
    <row r="38" spans="1:20" x14ac:dyDescent="0.3">
      <c r="A38" s="489" t="s">
        <v>1414</v>
      </c>
      <c r="B38" s="489" t="s">
        <v>1568</v>
      </c>
      <c r="C38" s="489" t="s">
        <v>1569</v>
      </c>
      <c r="D38" s="489" t="s">
        <v>46</v>
      </c>
      <c r="E38" s="489" t="s">
        <v>1960</v>
      </c>
      <c r="F38" s="542">
        <f>IF(Input_voertuigprijzen!Z37&gt;0,Input_voertuig!F$2,"")</f>
        <v>2024</v>
      </c>
      <c r="G38" s="542">
        <f>IF(Input_voertuigprijzen!AA37&gt;0,Input_voertuig!G$2,"")</f>
        <v>2023</v>
      </c>
      <c r="H38" s="542">
        <f>IF(Input_voertuigprijzen!AB37&gt;0,Input_voertuig!H$2,"")</f>
        <v>2022</v>
      </c>
      <c r="I38" s="542">
        <f>IF(Input_voertuigprijzen!AC37&gt;0,Input_voertuig!I$2,"")</f>
        <v>2021</v>
      </c>
      <c r="J38" s="542" t="str">
        <f>IF(Input_voertuigprijzen!AD37&gt;0,Input_voertuig!J$2,"")</f>
        <v/>
      </c>
      <c r="K38" s="542">
        <f>IF(Input_voertuigprijzen!AE37&gt;0,Input_voertuig!K$2,"")</f>
        <v>2019</v>
      </c>
      <c r="L38" s="542">
        <f>IF(Input_voertuigprijzen!AF37&gt;0,Input_voertuig!L$2,"")</f>
        <v>2018</v>
      </c>
      <c r="M38" s="542">
        <f>IF(Input_voertuigprijzen!AG37&gt;0,Input_voertuig!M$2,"")</f>
        <v>2017</v>
      </c>
      <c r="N38" s="542">
        <f>IF(Input_voertuigprijzen!AH37&gt;0,Input_voertuig!N$2,"")</f>
        <v>2016</v>
      </c>
      <c r="O38" s="542">
        <f>IF(Input_voertuigprijzen!AI37&gt;0,Input_voertuig!O$2,"")</f>
        <v>2015</v>
      </c>
      <c r="P38" s="542">
        <f>IF(Input_voertuigprijzen!AJ37&gt;0,Input_voertuig!P$2,"")</f>
        <v>2014</v>
      </c>
      <c r="Q38" s="542">
        <f>IF(Input_voertuigprijzen!AK37&gt;0,Input_voertuig!Q$2,"")</f>
        <v>2013</v>
      </c>
      <c r="R38" s="542">
        <f>IF(Input_voertuigprijzen!AL37&gt;0,Input_voertuig!R$2,"")</f>
        <v>2012</v>
      </c>
      <c r="S38" s="542">
        <f>IF(Input_voertuigprijzen!AM37&gt;0,Input_voertuig!S$2,"")</f>
        <v>2011</v>
      </c>
      <c r="T38" s="542">
        <f>IF(Input_voertuigprijzen!AN37&gt;0,Input_voertuig!T$2,"")</f>
        <v>2010</v>
      </c>
    </row>
    <row r="39" spans="1:20" x14ac:dyDescent="0.3">
      <c r="A39" s="489" t="s">
        <v>1414</v>
      </c>
      <c r="B39" s="489" t="s">
        <v>1570</v>
      </c>
      <c r="C39" s="489" t="s">
        <v>1571</v>
      </c>
      <c r="D39" s="489" t="s">
        <v>46</v>
      </c>
      <c r="E39" s="489" t="s">
        <v>994</v>
      </c>
      <c r="F39" s="542" t="str">
        <f>IF(Input_voertuigprijzen!Z38&gt;0,Input_voertuig!F$2,"")</f>
        <v/>
      </c>
      <c r="G39" s="542">
        <f>IF(Input_voertuigprijzen!AA38&gt;0,Input_voertuig!G$2,"")</f>
        <v>2023</v>
      </c>
      <c r="H39" s="542">
        <f>IF(Input_voertuigprijzen!AB38&gt;0,Input_voertuig!H$2,"")</f>
        <v>2022</v>
      </c>
      <c r="I39" s="542">
        <f>IF(Input_voertuigprijzen!AC38&gt;0,Input_voertuig!I$2,"")</f>
        <v>2021</v>
      </c>
      <c r="J39" s="542">
        <f>IF(Input_voertuigprijzen!AD38&gt;0,Input_voertuig!J$2,"")</f>
        <v>2020</v>
      </c>
      <c r="K39" s="542">
        <f>IF(Input_voertuigprijzen!AE38&gt;0,Input_voertuig!K$2,"")</f>
        <v>2019</v>
      </c>
      <c r="L39" s="542">
        <f>IF(Input_voertuigprijzen!AF38&gt;0,Input_voertuig!L$2,"")</f>
        <v>2018</v>
      </c>
      <c r="M39" s="542">
        <f>IF(Input_voertuigprijzen!AG38&gt;0,Input_voertuig!M$2,"")</f>
        <v>2017</v>
      </c>
      <c r="N39" s="542">
        <f>IF(Input_voertuigprijzen!AH38&gt;0,Input_voertuig!N$2,"")</f>
        <v>2016</v>
      </c>
      <c r="O39" s="542">
        <f>IF(Input_voertuigprijzen!AI38&gt;0,Input_voertuig!O$2,"")</f>
        <v>2015</v>
      </c>
      <c r="P39" s="542">
        <f>IF(Input_voertuigprijzen!AJ38&gt;0,Input_voertuig!P$2,"")</f>
        <v>2014</v>
      </c>
      <c r="Q39" s="542">
        <f>IF(Input_voertuigprijzen!AK38&gt;0,Input_voertuig!Q$2,"")</f>
        <v>2013</v>
      </c>
      <c r="R39" s="542" t="str">
        <f>IF(Input_voertuigprijzen!AL38&gt;0,Input_voertuig!R$2,"")</f>
        <v/>
      </c>
      <c r="S39" s="542" t="str">
        <f>IF(Input_voertuigprijzen!AM38&gt;0,Input_voertuig!S$2,"")</f>
        <v/>
      </c>
      <c r="T39" s="542" t="str">
        <f>IF(Input_voertuigprijzen!AN38&gt;0,Input_voertuig!T$2,"")</f>
        <v/>
      </c>
    </row>
    <row r="40" spans="1:20" x14ac:dyDescent="0.3">
      <c r="A40" s="489" t="s">
        <v>1572</v>
      </c>
      <c r="B40" s="489" t="s">
        <v>1573</v>
      </c>
      <c r="C40" s="489" t="s">
        <v>1834</v>
      </c>
      <c r="D40" s="489" t="s">
        <v>1530</v>
      </c>
      <c r="E40" s="489" t="s">
        <v>1960</v>
      </c>
      <c r="F40" s="542" t="str">
        <f>IF(Input_voertuigprijzen!Z39&gt;0,Input_voertuig!F$2,"")</f>
        <v/>
      </c>
      <c r="G40" s="542" t="str">
        <f>IF(Input_voertuigprijzen!AA39&gt;0,Input_voertuig!G$2,"")</f>
        <v/>
      </c>
      <c r="H40" s="542" t="str">
        <f>IF(Input_voertuigprijzen!AB39&gt;0,Input_voertuig!H$2,"")</f>
        <v/>
      </c>
      <c r="I40" s="542" t="str">
        <f>IF(Input_voertuigprijzen!AC39&gt;0,Input_voertuig!I$2,"")</f>
        <v/>
      </c>
      <c r="J40" s="542" t="str">
        <f>IF(Input_voertuigprijzen!AD39&gt;0,Input_voertuig!J$2,"")</f>
        <v/>
      </c>
      <c r="K40" s="542">
        <f>IF(Input_voertuigprijzen!AE39&gt;0,Input_voertuig!K$2,"")</f>
        <v>2019</v>
      </c>
      <c r="L40" s="542">
        <f>IF(Input_voertuigprijzen!AF39&gt;0,Input_voertuig!L$2,"")</f>
        <v>2018</v>
      </c>
      <c r="M40" s="542">
        <f>IF(Input_voertuigprijzen!AG39&gt;0,Input_voertuig!M$2,"")</f>
        <v>2017</v>
      </c>
      <c r="N40" s="542">
        <f>IF(Input_voertuigprijzen!AH39&gt;0,Input_voertuig!N$2,"")</f>
        <v>2016</v>
      </c>
      <c r="O40" s="542" t="str">
        <f>IF(Input_voertuigprijzen!AI39&gt;0,Input_voertuig!O$2,"")</f>
        <v/>
      </c>
      <c r="P40" s="542" t="str">
        <f>IF(Input_voertuigprijzen!AJ39&gt;0,Input_voertuig!P$2,"")</f>
        <v/>
      </c>
      <c r="Q40" s="542">
        <f>IF(Input_voertuigprijzen!AK39&gt;0,Input_voertuig!Q$2,"")</f>
        <v>2013</v>
      </c>
      <c r="R40" s="542">
        <f>IF(Input_voertuigprijzen!AL39&gt;0,Input_voertuig!R$2,"")</f>
        <v>2012</v>
      </c>
      <c r="S40" s="542" t="str">
        <f>IF(Input_voertuigprijzen!AM39&gt;0,Input_voertuig!S$2,"")</f>
        <v/>
      </c>
      <c r="T40" s="542" t="str">
        <f>IF(Input_voertuigprijzen!AN39&gt;0,Input_voertuig!T$2,"")</f>
        <v/>
      </c>
    </row>
    <row r="41" spans="1:20" x14ac:dyDescent="0.3">
      <c r="A41" s="489" t="s">
        <v>1544</v>
      </c>
      <c r="B41" s="489" t="s">
        <v>1574</v>
      </c>
      <c r="C41" s="489" t="s">
        <v>1575</v>
      </c>
      <c r="D41" s="489" t="s">
        <v>141</v>
      </c>
      <c r="E41" s="489" t="s">
        <v>1960</v>
      </c>
      <c r="F41" s="542">
        <f>IF(Input_voertuigprijzen!Z40&gt;0,Input_voertuig!F$2,"")</f>
        <v>2024</v>
      </c>
      <c r="G41" s="542">
        <f>IF(Input_voertuigprijzen!AA40&gt;0,Input_voertuig!G$2,"")</f>
        <v>2023</v>
      </c>
      <c r="H41" s="542">
        <f>IF(Input_voertuigprijzen!AB40&gt;0,Input_voertuig!H$2,"")</f>
        <v>2022</v>
      </c>
      <c r="I41" s="542" t="str">
        <f>IF(Input_voertuigprijzen!AC40&gt;0,Input_voertuig!I$2,"")</f>
        <v/>
      </c>
      <c r="J41" s="542" t="str">
        <f>IF(Input_voertuigprijzen!AD40&gt;0,Input_voertuig!J$2,"")</f>
        <v/>
      </c>
      <c r="K41" s="542" t="str">
        <f>IF(Input_voertuigprijzen!AE40&gt;0,Input_voertuig!K$2,"")</f>
        <v/>
      </c>
      <c r="L41" s="542" t="str">
        <f>IF(Input_voertuigprijzen!AF40&gt;0,Input_voertuig!L$2,"")</f>
        <v/>
      </c>
      <c r="M41" s="542" t="str">
        <f>IF(Input_voertuigprijzen!AG40&gt;0,Input_voertuig!M$2,"")</f>
        <v/>
      </c>
      <c r="N41" s="542" t="str">
        <f>IF(Input_voertuigprijzen!AH40&gt;0,Input_voertuig!N$2,"")</f>
        <v/>
      </c>
      <c r="O41" s="542" t="str">
        <f>IF(Input_voertuigprijzen!AI40&gt;0,Input_voertuig!O$2,"")</f>
        <v/>
      </c>
      <c r="P41" s="542" t="str">
        <f>IF(Input_voertuigprijzen!AJ40&gt;0,Input_voertuig!P$2,"")</f>
        <v/>
      </c>
      <c r="Q41" s="542" t="str">
        <f>IF(Input_voertuigprijzen!AK40&gt;0,Input_voertuig!Q$2,"")</f>
        <v/>
      </c>
      <c r="R41" s="542" t="str">
        <f>IF(Input_voertuigprijzen!AL40&gt;0,Input_voertuig!R$2,"")</f>
        <v/>
      </c>
      <c r="S41" s="542" t="str">
        <f>IF(Input_voertuigprijzen!AM40&gt;0,Input_voertuig!S$2,"")</f>
        <v/>
      </c>
      <c r="T41" s="542" t="str">
        <f>IF(Input_voertuigprijzen!AN40&gt;0,Input_voertuig!T$2,"")</f>
        <v/>
      </c>
    </row>
    <row r="42" spans="1:20" x14ac:dyDescent="0.3">
      <c r="A42" s="489" t="s">
        <v>1451</v>
      </c>
      <c r="B42" s="489" t="s">
        <v>1576</v>
      </c>
      <c r="C42" s="489" t="s">
        <v>1577</v>
      </c>
      <c r="D42" s="489" t="s">
        <v>46</v>
      </c>
      <c r="E42" s="489" t="s">
        <v>1960</v>
      </c>
      <c r="F42" s="542" t="str">
        <f>IF(Input_voertuigprijzen!Z41&gt;0,Input_voertuig!F$2,"")</f>
        <v/>
      </c>
      <c r="G42" s="542" t="str">
        <f>IF(Input_voertuigprijzen!AA41&gt;0,Input_voertuig!G$2,"")</f>
        <v/>
      </c>
      <c r="H42" s="542" t="str">
        <f>IF(Input_voertuigprijzen!AB41&gt;0,Input_voertuig!H$2,"")</f>
        <v/>
      </c>
      <c r="I42" s="542" t="str">
        <f>IF(Input_voertuigprijzen!AC41&gt;0,Input_voertuig!I$2,"")</f>
        <v/>
      </c>
      <c r="J42" s="542" t="str">
        <f>IF(Input_voertuigprijzen!AD41&gt;0,Input_voertuig!J$2,"")</f>
        <v/>
      </c>
      <c r="K42" s="542">
        <f>IF(Input_voertuigprijzen!AE41&gt;0,Input_voertuig!K$2,"")</f>
        <v>2019</v>
      </c>
      <c r="L42" s="542">
        <f>IF(Input_voertuigprijzen!AF41&gt;0,Input_voertuig!L$2,"")</f>
        <v>2018</v>
      </c>
      <c r="M42" s="542" t="str">
        <f>IF(Input_voertuigprijzen!AG41&gt;0,Input_voertuig!M$2,"")</f>
        <v/>
      </c>
      <c r="N42" s="542">
        <f>IF(Input_voertuigprijzen!AH41&gt;0,Input_voertuig!N$2,"")</f>
        <v>2016</v>
      </c>
      <c r="O42" s="542" t="str">
        <f>IF(Input_voertuigprijzen!AI41&gt;0,Input_voertuig!O$2,"")</f>
        <v/>
      </c>
      <c r="P42" s="542" t="str">
        <f>IF(Input_voertuigprijzen!AJ41&gt;0,Input_voertuig!P$2,"")</f>
        <v/>
      </c>
      <c r="Q42" s="542" t="str">
        <f>IF(Input_voertuigprijzen!AK41&gt;0,Input_voertuig!Q$2,"")</f>
        <v/>
      </c>
      <c r="R42" s="542">
        <f>IF(Input_voertuigprijzen!AL41&gt;0,Input_voertuig!R$2,"")</f>
        <v>2012</v>
      </c>
      <c r="S42" s="542" t="str">
        <f>IF(Input_voertuigprijzen!AM41&gt;0,Input_voertuig!S$2,"")</f>
        <v/>
      </c>
      <c r="T42" s="542" t="str">
        <f>IF(Input_voertuigprijzen!AN41&gt;0,Input_voertuig!T$2,"")</f>
        <v/>
      </c>
    </row>
    <row r="43" spans="1:20" x14ac:dyDescent="0.3">
      <c r="A43" s="489" t="s">
        <v>1544</v>
      </c>
      <c r="B43" s="489" t="s">
        <v>1578</v>
      </c>
      <c r="C43" s="489" t="s">
        <v>337</v>
      </c>
      <c r="D43" s="489" t="s">
        <v>46</v>
      </c>
      <c r="E43" s="489" t="s">
        <v>994</v>
      </c>
      <c r="F43" s="542">
        <f>IF(Input_voertuigprijzen!Z42&gt;0,Input_voertuig!F$2,"")</f>
        <v>2024</v>
      </c>
      <c r="G43" s="542">
        <f>IF(Input_voertuigprijzen!AA42&gt;0,Input_voertuig!G$2,"")</f>
        <v>2023</v>
      </c>
      <c r="H43" s="542">
        <f>IF(Input_voertuigprijzen!AB42&gt;0,Input_voertuig!H$2,"")</f>
        <v>2022</v>
      </c>
      <c r="I43" s="542">
        <f>IF(Input_voertuigprijzen!AC42&gt;0,Input_voertuig!I$2,"")</f>
        <v>2021</v>
      </c>
      <c r="J43" s="542">
        <f>IF(Input_voertuigprijzen!AD42&gt;0,Input_voertuig!J$2,"")</f>
        <v>2020</v>
      </c>
      <c r="K43" s="542">
        <f>IF(Input_voertuigprijzen!AE42&gt;0,Input_voertuig!K$2,"")</f>
        <v>2019</v>
      </c>
      <c r="L43" s="542">
        <f>IF(Input_voertuigprijzen!AF42&gt;0,Input_voertuig!L$2,"")</f>
        <v>2018</v>
      </c>
      <c r="M43" s="542">
        <f>IF(Input_voertuigprijzen!AG42&gt;0,Input_voertuig!M$2,"")</f>
        <v>2017</v>
      </c>
      <c r="N43" s="542">
        <f>IF(Input_voertuigprijzen!AH42&gt;0,Input_voertuig!N$2,"")</f>
        <v>2016</v>
      </c>
      <c r="O43" s="542">
        <f>IF(Input_voertuigprijzen!AI42&gt;0,Input_voertuig!O$2,"")</f>
        <v>2015</v>
      </c>
      <c r="P43" s="542">
        <f>IF(Input_voertuigprijzen!AJ42&gt;0,Input_voertuig!P$2,"")</f>
        <v>2014</v>
      </c>
      <c r="Q43" s="542">
        <f>IF(Input_voertuigprijzen!AK42&gt;0,Input_voertuig!Q$2,"")</f>
        <v>2013</v>
      </c>
      <c r="R43" s="542">
        <f>IF(Input_voertuigprijzen!AL42&gt;0,Input_voertuig!R$2,"")</f>
        <v>2012</v>
      </c>
      <c r="S43" s="542">
        <f>IF(Input_voertuigprijzen!AM42&gt;0,Input_voertuig!S$2,"")</f>
        <v>2011</v>
      </c>
      <c r="T43" s="542" t="str">
        <f>IF(Input_voertuigprijzen!AN42&gt;0,Input_voertuig!T$2,"")</f>
        <v/>
      </c>
    </row>
    <row r="44" spans="1:20" x14ac:dyDescent="0.3">
      <c r="A44" s="489" t="s">
        <v>1426</v>
      </c>
      <c r="B44" s="489" t="s">
        <v>1579</v>
      </c>
      <c r="C44" s="489" t="s">
        <v>1580</v>
      </c>
      <c r="D44" s="489" t="s">
        <v>46</v>
      </c>
      <c r="E44" s="489" t="s">
        <v>1960</v>
      </c>
      <c r="F44" s="542" t="str">
        <f>IF(Input_voertuigprijzen!Z43&gt;0,Input_voertuig!F$2,"")</f>
        <v/>
      </c>
      <c r="G44" s="542" t="str">
        <f>IF(Input_voertuigprijzen!AA43&gt;0,Input_voertuig!G$2,"")</f>
        <v/>
      </c>
      <c r="H44" s="542" t="str">
        <f>IF(Input_voertuigprijzen!AB43&gt;0,Input_voertuig!H$2,"")</f>
        <v/>
      </c>
      <c r="I44" s="542" t="str">
        <f>IF(Input_voertuigprijzen!AC43&gt;0,Input_voertuig!I$2,"")</f>
        <v/>
      </c>
      <c r="J44" s="542">
        <f>IF(Input_voertuigprijzen!AD43&gt;0,Input_voertuig!J$2,"")</f>
        <v>2020</v>
      </c>
      <c r="K44" s="542">
        <f>IF(Input_voertuigprijzen!AE43&gt;0,Input_voertuig!K$2,"")</f>
        <v>2019</v>
      </c>
      <c r="L44" s="542">
        <f>IF(Input_voertuigprijzen!AF43&gt;0,Input_voertuig!L$2,"")</f>
        <v>2018</v>
      </c>
      <c r="M44" s="542">
        <f>IF(Input_voertuigprijzen!AG43&gt;0,Input_voertuig!M$2,"")</f>
        <v>2017</v>
      </c>
      <c r="N44" s="542" t="str">
        <f>IF(Input_voertuigprijzen!AH43&gt;0,Input_voertuig!N$2,"")</f>
        <v/>
      </c>
      <c r="O44" s="542" t="str">
        <f>IF(Input_voertuigprijzen!AI43&gt;0,Input_voertuig!O$2,"")</f>
        <v/>
      </c>
      <c r="P44" s="542" t="str">
        <f>IF(Input_voertuigprijzen!AJ43&gt;0,Input_voertuig!P$2,"")</f>
        <v/>
      </c>
      <c r="Q44" s="542" t="str">
        <f>IF(Input_voertuigprijzen!AK43&gt;0,Input_voertuig!Q$2,"")</f>
        <v/>
      </c>
      <c r="R44" s="542" t="str">
        <f>IF(Input_voertuigprijzen!AL43&gt;0,Input_voertuig!R$2,"")</f>
        <v/>
      </c>
      <c r="S44" s="542" t="str">
        <f>IF(Input_voertuigprijzen!AM43&gt;0,Input_voertuig!S$2,"")</f>
        <v/>
      </c>
      <c r="T44" s="542" t="str">
        <f>IF(Input_voertuigprijzen!AN43&gt;0,Input_voertuig!T$2,"")</f>
        <v/>
      </c>
    </row>
    <row r="45" spans="1:20" x14ac:dyDescent="0.3">
      <c r="A45" s="489" t="s">
        <v>1441</v>
      </c>
      <c r="B45" s="489" t="s">
        <v>1549</v>
      </c>
      <c r="C45" s="489" t="s">
        <v>1550</v>
      </c>
      <c r="D45" s="489" t="s">
        <v>1530</v>
      </c>
      <c r="E45" s="489" t="s">
        <v>1960</v>
      </c>
      <c r="F45" s="542" t="str">
        <f>IF(Input_voertuigprijzen!Z44&gt;0,Input_voertuig!F$2,"")</f>
        <v/>
      </c>
      <c r="G45" s="542" t="str">
        <f>IF(Input_voertuigprijzen!AA44&gt;0,Input_voertuig!G$2,"")</f>
        <v/>
      </c>
      <c r="H45" s="542" t="str">
        <f>IF(Input_voertuigprijzen!AB44&gt;0,Input_voertuig!H$2,"")</f>
        <v/>
      </c>
      <c r="I45" s="542" t="str">
        <f>IF(Input_voertuigprijzen!AC44&gt;0,Input_voertuig!I$2,"")</f>
        <v/>
      </c>
      <c r="J45" s="542">
        <f>IF(Input_voertuigprijzen!AD44&gt;0,Input_voertuig!J$2,"")</f>
        <v>2020</v>
      </c>
      <c r="K45" s="542">
        <f>IF(Input_voertuigprijzen!AE44&gt;0,Input_voertuig!K$2,"")</f>
        <v>2019</v>
      </c>
      <c r="L45" s="542">
        <f>IF(Input_voertuigprijzen!AF44&gt;0,Input_voertuig!L$2,"")</f>
        <v>2018</v>
      </c>
      <c r="M45" s="542">
        <f>IF(Input_voertuigprijzen!AG44&gt;0,Input_voertuig!M$2,"")</f>
        <v>2017</v>
      </c>
      <c r="N45" s="542">
        <f>IF(Input_voertuigprijzen!AH44&gt;0,Input_voertuig!N$2,"")</f>
        <v>2016</v>
      </c>
      <c r="O45" s="542">
        <f>IF(Input_voertuigprijzen!AI44&gt;0,Input_voertuig!O$2,"")</f>
        <v>2015</v>
      </c>
      <c r="P45" s="542">
        <f>IF(Input_voertuigprijzen!AJ44&gt;0,Input_voertuig!P$2,"")</f>
        <v>2014</v>
      </c>
      <c r="Q45" s="542">
        <f>IF(Input_voertuigprijzen!AK44&gt;0,Input_voertuig!Q$2,"")</f>
        <v>2013</v>
      </c>
      <c r="R45" s="542">
        <f>IF(Input_voertuigprijzen!AL44&gt;0,Input_voertuig!R$2,"")</f>
        <v>2012</v>
      </c>
      <c r="S45" s="542">
        <f>IF(Input_voertuigprijzen!AM44&gt;0,Input_voertuig!S$2,"")</f>
        <v>2011</v>
      </c>
      <c r="T45" s="542" t="str">
        <f>IF(Input_voertuigprijzen!AN44&gt;0,Input_voertuig!T$2,"")</f>
        <v/>
      </c>
    </row>
    <row r="46" spans="1:20" x14ac:dyDescent="0.3">
      <c r="A46" s="489" t="s">
        <v>1426</v>
      </c>
      <c r="B46" s="489" t="s">
        <v>1579</v>
      </c>
      <c r="C46" s="489" t="s">
        <v>1580</v>
      </c>
      <c r="D46" s="489" t="s">
        <v>141</v>
      </c>
      <c r="E46" s="489" t="s">
        <v>1960</v>
      </c>
      <c r="F46" s="542">
        <f>IF(Input_voertuigprijzen!Z45&gt;0,Input_voertuig!F$2,"")</f>
        <v>2024</v>
      </c>
      <c r="G46" s="542">
        <f>IF(Input_voertuigprijzen!AA45&gt;0,Input_voertuig!G$2,"")</f>
        <v>2023</v>
      </c>
      <c r="H46" s="542">
        <f>IF(Input_voertuigprijzen!AB45&gt;0,Input_voertuig!H$2,"")</f>
        <v>2022</v>
      </c>
      <c r="I46" s="542">
        <f>IF(Input_voertuigprijzen!AC45&gt;0,Input_voertuig!I$2,"")</f>
        <v>2021</v>
      </c>
      <c r="J46" s="542" t="str">
        <f>IF(Input_voertuigprijzen!AD45&gt;0,Input_voertuig!J$2,"")</f>
        <v/>
      </c>
      <c r="K46" s="542" t="str">
        <f>IF(Input_voertuigprijzen!AE45&gt;0,Input_voertuig!K$2,"")</f>
        <v/>
      </c>
      <c r="L46" s="542" t="str">
        <f>IF(Input_voertuigprijzen!AF45&gt;0,Input_voertuig!L$2,"")</f>
        <v/>
      </c>
      <c r="M46" s="542" t="str">
        <f>IF(Input_voertuigprijzen!AG45&gt;0,Input_voertuig!M$2,"")</f>
        <v/>
      </c>
      <c r="N46" s="542" t="str">
        <f>IF(Input_voertuigprijzen!AH45&gt;0,Input_voertuig!N$2,"")</f>
        <v/>
      </c>
      <c r="O46" s="542" t="str">
        <f>IF(Input_voertuigprijzen!AI45&gt;0,Input_voertuig!O$2,"")</f>
        <v/>
      </c>
      <c r="P46" s="542" t="str">
        <f>IF(Input_voertuigprijzen!AJ45&gt;0,Input_voertuig!P$2,"")</f>
        <v/>
      </c>
      <c r="Q46" s="542" t="str">
        <f>IF(Input_voertuigprijzen!AK45&gt;0,Input_voertuig!Q$2,"")</f>
        <v/>
      </c>
      <c r="R46" s="542" t="str">
        <f>IF(Input_voertuigprijzen!AL45&gt;0,Input_voertuig!R$2,"")</f>
        <v/>
      </c>
      <c r="S46" s="542" t="str">
        <f>IF(Input_voertuigprijzen!AM45&gt;0,Input_voertuig!S$2,"")</f>
        <v/>
      </c>
      <c r="T46" s="542" t="str">
        <f>IF(Input_voertuigprijzen!AN45&gt;0,Input_voertuig!T$2,"")</f>
        <v/>
      </c>
    </row>
    <row r="47" spans="1:20" x14ac:dyDescent="0.3">
      <c r="A47" s="489" t="s">
        <v>1414</v>
      </c>
      <c r="B47" s="489" t="s">
        <v>1581</v>
      </c>
      <c r="C47" s="489" t="s">
        <v>1582</v>
      </c>
      <c r="D47" s="489" t="s">
        <v>46</v>
      </c>
      <c r="E47" s="489" t="s">
        <v>994</v>
      </c>
      <c r="F47" s="542" t="str">
        <f>IF(Input_voertuigprijzen!Z46&gt;0,Input_voertuig!F$2,"")</f>
        <v/>
      </c>
      <c r="G47" s="542">
        <f>IF(Input_voertuigprijzen!AA46&gt;0,Input_voertuig!G$2,"")</f>
        <v>2023</v>
      </c>
      <c r="H47" s="542">
        <f>IF(Input_voertuigprijzen!AB46&gt;0,Input_voertuig!H$2,"")</f>
        <v>2022</v>
      </c>
      <c r="I47" s="542" t="str">
        <f>IF(Input_voertuigprijzen!AC46&gt;0,Input_voertuig!I$2,"")</f>
        <v/>
      </c>
      <c r="J47" s="542" t="str">
        <f>IF(Input_voertuigprijzen!AD46&gt;0,Input_voertuig!J$2,"")</f>
        <v/>
      </c>
      <c r="K47" s="542">
        <f>IF(Input_voertuigprijzen!AE46&gt;0,Input_voertuig!K$2,"")</f>
        <v>2019</v>
      </c>
      <c r="L47" s="542">
        <f>IF(Input_voertuigprijzen!AF46&gt;0,Input_voertuig!L$2,"")</f>
        <v>2018</v>
      </c>
      <c r="M47" s="542">
        <f>IF(Input_voertuigprijzen!AG46&gt;0,Input_voertuig!M$2,"")</f>
        <v>2017</v>
      </c>
      <c r="N47" s="542">
        <f>IF(Input_voertuigprijzen!AH46&gt;0,Input_voertuig!N$2,"")</f>
        <v>2016</v>
      </c>
      <c r="O47" s="542">
        <f>IF(Input_voertuigprijzen!AI46&gt;0,Input_voertuig!O$2,"")</f>
        <v>2015</v>
      </c>
      <c r="P47" s="542">
        <f>IF(Input_voertuigprijzen!AJ46&gt;0,Input_voertuig!P$2,"")</f>
        <v>2014</v>
      </c>
      <c r="Q47" s="542">
        <f>IF(Input_voertuigprijzen!AK46&gt;0,Input_voertuig!Q$2,"")</f>
        <v>2013</v>
      </c>
      <c r="R47" s="542">
        <f>IF(Input_voertuigprijzen!AL46&gt;0,Input_voertuig!R$2,"")</f>
        <v>2012</v>
      </c>
      <c r="S47" s="542">
        <f>IF(Input_voertuigprijzen!AM46&gt;0,Input_voertuig!S$2,"")</f>
        <v>2011</v>
      </c>
      <c r="T47" s="542">
        <f>IF(Input_voertuigprijzen!AN46&gt;0,Input_voertuig!T$2,"")</f>
        <v>2010</v>
      </c>
    </row>
    <row r="48" spans="1:20" x14ac:dyDescent="0.3">
      <c r="A48" s="489" t="s">
        <v>1422</v>
      </c>
      <c r="B48" s="489" t="s">
        <v>1583</v>
      </c>
      <c r="C48" s="489" t="s">
        <v>1584</v>
      </c>
      <c r="D48" s="489" t="s">
        <v>141</v>
      </c>
      <c r="E48" s="489" t="s">
        <v>994</v>
      </c>
      <c r="F48" s="542">
        <f>IF(Input_voertuigprijzen!Z47&gt;0,Input_voertuig!F$2,"")</f>
        <v>2024</v>
      </c>
      <c r="G48" s="542">
        <f>IF(Input_voertuigprijzen!AA47&gt;0,Input_voertuig!G$2,"")</f>
        <v>2023</v>
      </c>
      <c r="H48" s="542">
        <f>IF(Input_voertuigprijzen!AB47&gt;0,Input_voertuig!H$2,"")</f>
        <v>2022</v>
      </c>
      <c r="I48" s="542">
        <f>IF(Input_voertuigprijzen!AC47&gt;0,Input_voertuig!I$2,"")</f>
        <v>2021</v>
      </c>
      <c r="J48" s="542" t="str">
        <f>IF(Input_voertuigprijzen!AD47&gt;0,Input_voertuig!J$2,"")</f>
        <v/>
      </c>
      <c r="K48" s="542" t="str">
        <f>IF(Input_voertuigprijzen!AE47&gt;0,Input_voertuig!K$2,"")</f>
        <v/>
      </c>
      <c r="L48" s="542" t="str">
        <f>IF(Input_voertuigprijzen!AF47&gt;0,Input_voertuig!L$2,"")</f>
        <v/>
      </c>
      <c r="M48" s="542" t="str">
        <f>IF(Input_voertuigprijzen!AG47&gt;0,Input_voertuig!M$2,"")</f>
        <v/>
      </c>
      <c r="N48" s="542" t="str">
        <f>IF(Input_voertuigprijzen!AH47&gt;0,Input_voertuig!N$2,"")</f>
        <v/>
      </c>
      <c r="O48" s="542" t="str">
        <f>IF(Input_voertuigprijzen!AI47&gt;0,Input_voertuig!O$2,"")</f>
        <v/>
      </c>
      <c r="P48" s="542" t="str">
        <f>IF(Input_voertuigprijzen!AJ47&gt;0,Input_voertuig!P$2,"")</f>
        <v/>
      </c>
      <c r="Q48" s="542" t="str">
        <f>IF(Input_voertuigprijzen!AK47&gt;0,Input_voertuig!Q$2,"")</f>
        <v/>
      </c>
      <c r="R48" s="542" t="str">
        <f>IF(Input_voertuigprijzen!AL47&gt;0,Input_voertuig!R$2,"")</f>
        <v/>
      </c>
      <c r="S48" s="542" t="str">
        <f>IF(Input_voertuigprijzen!AM47&gt;0,Input_voertuig!S$2,"")</f>
        <v/>
      </c>
      <c r="T48" s="542" t="str">
        <f>IF(Input_voertuigprijzen!AN47&gt;0,Input_voertuig!T$2,"")</f>
        <v/>
      </c>
    </row>
    <row r="49" spans="1:20" x14ac:dyDescent="0.3">
      <c r="A49" s="489" t="s">
        <v>1414</v>
      </c>
      <c r="B49" s="489" t="s">
        <v>1585</v>
      </c>
      <c r="C49" s="489" t="s">
        <v>1586</v>
      </c>
      <c r="D49" s="489" t="s">
        <v>46</v>
      </c>
      <c r="E49" s="489" t="s">
        <v>994</v>
      </c>
      <c r="F49" s="542">
        <f>IF(Input_voertuigprijzen!Z48&gt;0,Input_voertuig!F$2,"")</f>
        <v>2024</v>
      </c>
      <c r="G49" s="542">
        <f>IF(Input_voertuigprijzen!AA48&gt;0,Input_voertuig!G$2,"")</f>
        <v>2023</v>
      </c>
      <c r="H49" s="542">
        <f>IF(Input_voertuigprijzen!AB48&gt;0,Input_voertuig!H$2,"")</f>
        <v>2022</v>
      </c>
      <c r="I49" s="542">
        <f>IF(Input_voertuigprijzen!AC48&gt;0,Input_voertuig!I$2,"")</f>
        <v>2021</v>
      </c>
      <c r="J49" s="542">
        <f>IF(Input_voertuigprijzen!AD48&gt;0,Input_voertuig!J$2,"")</f>
        <v>2020</v>
      </c>
      <c r="K49" s="542">
        <f>IF(Input_voertuigprijzen!AE48&gt;0,Input_voertuig!K$2,"")</f>
        <v>2019</v>
      </c>
      <c r="L49" s="542">
        <f>IF(Input_voertuigprijzen!AF48&gt;0,Input_voertuig!L$2,"")</f>
        <v>2018</v>
      </c>
      <c r="M49" s="542">
        <f>IF(Input_voertuigprijzen!AG48&gt;0,Input_voertuig!M$2,"")</f>
        <v>2017</v>
      </c>
      <c r="N49" s="542">
        <f>IF(Input_voertuigprijzen!AH48&gt;0,Input_voertuig!N$2,"")</f>
        <v>2016</v>
      </c>
      <c r="O49" s="542">
        <f>IF(Input_voertuigprijzen!AI48&gt;0,Input_voertuig!O$2,"")</f>
        <v>2015</v>
      </c>
      <c r="P49" s="542">
        <f>IF(Input_voertuigprijzen!AJ48&gt;0,Input_voertuig!P$2,"")</f>
        <v>2014</v>
      </c>
      <c r="Q49" s="542" t="str">
        <f>IF(Input_voertuigprijzen!AK48&gt;0,Input_voertuig!Q$2,"")</f>
        <v/>
      </c>
      <c r="R49" s="542" t="str">
        <f>IF(Input_voertuigprijzen!AL48&gt;0,Input_voertuig!R$2,"")</f>
        <v/>
      </c>
      <c r="S49" s="542" t="str">
        <f>IF(Input_voertuigprijzen!AM48&gt;0,Input_voertuig!S$2,"")</f>
        <v/>
      </c>
      <c r="T49" s="542" t="str">
        <f>IF(Input_voertuigprijzen!AN48&gt;0,Input_voertuig!T$2,"")</f>
        <v/>
      </c>
    </row>
    <row r="50" spans="1:20" x14ac:dyDescent="0.3">
      <c r="A50" s="489" t="s">
        <v>1451</v>
      </c>
      <c r="B50" s="489" t="s">
        <v>1587</v>
      </c>
      <c r="C50" s="489" t="s">
        <v>1588</v>
      </c>
      <c r="D50" s="489" t="s">
        <v>46</v>
      </c>
      <c r="E50" s="489" t="s">
        <v>1960</v>
      </c>
      <c r="F50" s="542" t="str">
        <f>IF(Input_voertuigprijzen!Z49&gt;0,Input_voertuig!F$2,"")</f>
        <v/>
      </c>
      <c r="G50" s="542">
        <f>IF(Input_voertuigprijzen!AA49&gt;0,Input_voertuig!G$2,"")</f>
        <v>2023</v>
      </c>
      <c r="H50" s="542">
        <f>IF(Input_voertuigprijzen!AB49&gt;0,Input_voertuig!H$2,"")</f>
        <v>2022</v>
      </c>
      <c r="I50" s="542">
        <f>IF(Input_voertuigprijzen!AC49&gt;0,Input_voertuig!I$2,"")</f>
        <v>2021</v>
      </c>
      <c r="J50" s="542" t="str">
        <f>IF(Input_voertuigprijzen!AD49&gt;0,Input_voertuig!J$2,"")</f>
        <v/>
      </c>
      <c r="K50" s="542">
        <f>IF(Input_voertuigprijzen!AE49&gt;0,Input_voertuig!K$2,"")</f>
        <v>2019</v>
      </c>
      <c r="L50" s="542">
        <f>IF(Input_voertuigprijzen!AF49&gt;0,Input_voertuig!L$2,"")</f>
        <v>2018</v>
      </c>
      <c r="M50" s="542">
        <f>IF(Input_voertuigprijzen!AG49&gt;0,Input_voertuig!M$2,"")</f>
        <v>2017</v>
      </c>
      <c r="N50" s="542">
        <f>IF(Input_voertuigprijzen!AH49&gt;0,Input_voertuig!N$2,"")</f>
        <v>2016</v>
      </c>
      <c r="O50" s="542">
        <f>IF(Input_voertuigprijzen!AI49&gt;0,Input_voertuig!O$2,"")</f>
        <v>2015</v>
      </c>
      <c r="P50" s="542" t="str">
        <f>IF(Input_voertuigprijzen!AJ49&gt;0,Input_voertuig!P$2,"")</f>
        <v/>
      </c>
      <c r="Q50" s="542" t="str">
        <f>IF(Input_voertuigprijzen!AK49&gt;0,Input_voertuig!Q$2,"")</f>
        <v/>
      </c>
      <c r="R50" s="542" t="str">
        <f>IF(Input_voertuigprijzen!AL49&gt;0,Input_voertuig!R$2,"")</f>
        <v/>
      </c>
      <c r="S50" s="542" t="str">
        <f>IF(Input_voertuigprijzen!AM49&gt;0,Input_voertuig!S$2,"")</f>
        <v/>
      </c>
      <c r="T50" s="542" t="str">
        <f>IF(Input_voertuigprijzen!AN49&gt;0,Input_voertuig!T$2,"")</f>
        <v/>
      </c>
    </row>
    <row r="51" spans="1:20" x14ac:dyDescent="0.3">
      <c r="A51" s="489" t="s">
        <v>1454</v>
      </c>
      <c r="B51" s="489" t="s">
        <v>1589</v>
      </c>
      <c r="C51" s="489" t="s">
        <v>1590</v>
      </c>
      <c r="D51" s="489" t="s">
        <v>46</v>
      </c>
      <c r="E51" s="489" t="s">
        <v>1960</v>
      </c>
      <c r="F51" s="542" t="str">
        <f>IF(Input_voertuigprijzen!Z50&gt;0,Input_voertuig!F$2,"")</f>
        <v/>
      </c>
      <c r="G51" s="542">
        <f>IF(Input_voertuigprijzen!AA50&gt;0,Input_voertuig!G$2,"")</f>
        <v>2023</v>
      </c>
      <c r="H51" s="542">
        <f>IF(Input_voertuigprijzen!AB50&gt;0,Input_voertuig!H$2,"")</f>
        <v>2022</v>
      </c>
      <c r="I51" s="542">
        <f>IF(Input_voertuigprijzen!AC50&gt;0,Input_voertuig!I$2,"")</f>
        <v>2021</v>
      </c>
      <c r="J51" s="542" t="str">
        <f>IF(Input_voertuigprijzen!AD50&gt;0,Input_voertuig!J$2,"")</f>
        <v/>
      </c>
      <c r="K51" s="542">
        <f>IF(Input_voertuigprijzen!AE50&gt;0,Input_voertuig!K$2,"")</f>
        <v>2019</v>
      </c>
      <c r="L51" s="542">
        <f>IF(Input_voertuigprijzen!AF50&gt;0,Input_voertuig!L$2,"")</f>
        <v>2018</v>
      </c>
      <c r="M51" s="542">
        <f>IF(Input_voertuigprijzen!AG50&gt;0,Input_voertuig!M$2,"")</f>
        <v>2017</v>
      </c>
      <c r="N51" s="542">
        <f>IF(Input_voertuigprijzen!AH50&gt;0,Input_voertuig!N$2,"")</f>
        <v>2016</v>
      </c>
      <c r="O51" s="542">
        <f>IF(Input_voertuigprijzen!AI50&gt;0,Input_voertuig!O$2,"")</f>
        <v>2015</v>
      </c>
      <c r="P51" s="542">
        <f>IF(Input_voertuigprijzen!AJ50&gt;0,Input_voertuig!P$2,"")</f>
        <v>2014</v>
      </c>
      <c r="Q51" s="542">
        <f>IF(Input_voertuigprijzen!AK50&gt;0,Input_voertuig!Q$2,"")</f>
        <v>2013</v>
      </c>
      <c r="R51" s="542" t="str">
        <f>IF(Input_voertuigprijzen!AL50&gt;0,Input_voertuig!R$2,"")</f>
        <v/>
      </c>
      <c r="S51" s="542">
        <f>IF(Input_voertuigprijzen!AM50&gt;0,Input_voertuig!S$2,"")</f>
        <v>2011</v>
      </c>
      <c r="T51" s="542">
        <f>IF(Input_voertuigprijzen!AN50&gt;0,Input_voertuig!T$2,"")</f>
        <v>2010</v>
      </c>
    </row>
    <row r="52" spans="1:20" x14ac:dyDescent="0.3">
      <c r="A52" s="489" t="s">
        <v>1417</v>
      </c>
      <c r="B52" s="489" t="s">
        <v>1418</v>
      </c>
      <c r="C52" s="489" t="s">
        <v>1232</v>
      </c>
      <c r="D52" s="489" t="s">
        <v>1936</v>
      </c>
      <c r="E52" s="489" t="s">
        <v>994</v>
      </c>
      <c r="F52" s="542" t="str">
        <f>IF(Input_voertuigprijzen!Z51&gt;0,Input_voertuig!F$2,"")</f>
        <v/>
      </c>
      <c r="G52" s="542">
        <f>IF(Input_voertuigprijzen!AA51&gt;0,Input_voertuig!G$2,"")</f>
        <v>2023</v>
      </c>
      <c r="H52" s="542">
        <f>IF(Input_voertuigprijzen!AB51&gt;0,Input_voertuig!H$2,"")</f>
        <v>2022</v>
      </c>
      <c r="I52" s="542">
        <f>IF(Input_voertuigprijzen!AC51&gt;0,Input_voertuig!I$2,"")</f>
        <v>2021</v>
      </c>
      <c r="J52" s="542">
        <f>IF(Input_voertuigprijzen!AD51&gt;0,Input_voertuig!J$2,"")</f>
        <v>2020</v>
      </c>
      <c r="K52" s="542">
        <f>IF(Input_voertuigprijzen!AE51&gt;0,Input_voertuig!K$2,"")</f>
        <v>2019</v>
      </c>
      <c r="L52" s="542">
        <f>IF(Input_voertuigprijzen!AF51&gt;0,Input_voertuig!L$2,"")</f>
        <v>2018</v>
      </c>
      <c r="M52" s="542">
        <f>IF(Input_voertuigprijzen!AG51&gt;0,Input_voertuig!M$2,"")</f>
        <v>2017</v>
      </c>
      <c r="N52" s="542">
        <f>IF(Input_voertuigprijzen!AH51&gt;0,Input_voertuig!N$2,"")</f>
        <v>2016</v>
      </c>
      <c r="O52" s="542" t="str">
        <f>IF(Input_voertuigprijzen!AI51&gt;0,Input_voertuig!O$2,"")</f>
        <v/>
      </c>
      <c r="P52" s="542" t="str">
        <f>IF(Input_voertuigprijzen!AJ51&gt;0,Input_voertuig!P$2,"")</f>
        <v/>
      </c>
      <c r="Q52" s="542" t="str">
        <f>IF(Input_voertuigprijzen!AK51&gt;0,Input_voertuig!Q$2,"")</f>
        <v/>
      </c>
      <c r="R52" s="542" t="str">
        <f>IF(Input_voertuigprijzen!AL51&gt;0,Input_voertuig!R$2,"")</f>
        <v/>
      </c>
      <c r="S52" s="542" t="str">
        <f>IF(Input_voertuigprijzen!AM51&gt;0,Input_voertuig!S$2,"")</f>
        <v/>
      </c>
      <c r="T52" s="542" t="str">
        <f>IF(Input_voertuigprijzen!AN51&gt;0,Input_voertuig!T$2,"")</f>
        <v/>
      </c>
    </row>
    <row r="53" spans="1:20" x14ac:dyDescent="0.3">
      <c r="A53" s="489" t="s">
        <v>1591</v>
      </c>
      <c r="B53" s="489" t="s">
        <v>1592</v>
      </c>
      <c r="C53" s="489" t="s">
        <v>1592</v>
      </c>
      <c r="D53" s="489" t="s">
        <v>141</v>
      </c>
      <c r="E53" s="489" t="s">
        <v>994</v>
      </c>
      <c r="F53" s="542">
        <f>IF(Input_voertuigprijzen!Z52&gt;0,Input_voertuig!F$2,"")</f>
        <v>2024</v>
      </c>
      <c r="G53" s="542" t="str">
        <f>IF(Input_voertuigprijzen!AA52&gt;0,Input_voertuig!G$2,"")</f>
        <v/>
      </c>
      <c r="H53" s="542">
        <f>IF(Input_voertuigprijzen!AB52&gt;0,Input_voertuig!H$2,"")</f>
        <v>2022</v>
      </c>
      <c r="I53" s="542">
        <f>IF(Input_voertuigprijzen!AC52&gt;0,Input_voertuig!I$2,"")</f>
        <v>2021</v>
      </c>
      <c r="J53" s="542">
        <f>IF(Input_voertuigprijzen!AD52&gt;0,Input_voertuig!J$2,"")</f>
        <v>2020</v>
      </c>
      <c r="K53" s="542">
        <f>IF(Input_voertuigprijzen!AE52&gt;0,Input_voertuig!K$2,"")</f>
        <v>2019</v>
      </c>
      <c r="L53" s="542">
        <f>IF(Input_voertuigprijzen!AF52&gt;0,Input_voertuig!L$2,"")</f>
        <v>2018</v>
      </c>
      <c r="M53" s="542" t="str">
        <f>IF(Input_voertuigprijzen!AG52&gt;0,Input_voertuig!M$2,"")</f>
        <v/>
      </c>
      <c r="N53" s="542" t="str">
        <f>IF(Input_voertuigprijzen!AH52&gt;0,Input_voertuig!N$2,"")</f>
        <v/>
      </c>
      <c r="O53" s="542" t="str">
        <f>IF(Input_voertuigprijzen!AI52&gt;0,Input_voertuig!O$2,"")</f>
        <v/>
      </c>
      <c r="P53" s="542" t="str">
        <f>IF(Input_voertuigprijzen!AJ52&gt;0,Input_voertuig!P$2,"")</f>
        <v/>
      </c>
      <c r="Q53" s="542" t="str">
        <f>IF(Input_voertuigprijzen!AK52&gt;0,Input_voertuig!Q$2,"")</f>
        <v/>
      </c>
      <c r="R53" s="542" t="str">
        <f>IF(Input_voertuigprijzen!AL52&gt;0,Input_voertuig!R$2,"")</f>
        <v/>
      </c>
      <c r="S53" s="542" t="str">
        <f>IF(Input_voertuigprijzen!AM52&gt;0,Input_voertuig!S$2,"")</f>
        <v/>
      </c>
      <c r="T53" s="542" t="str">
        <f>IF(Input_voertuigprijzen!AN52&gt;0,Input_voertuig!T$2,"")</f>
        <v/>
      </c>
    </row>
    <row r="54" spans="1:20" x14ac:dyDescent="0.3">
      <c r="A54" s="489" t="s">
        <v>1441</v>
      </c>
      <c r="B54" s="489" t="s">
        <v>1593</v>
      </c>
      <c r="C54" s="489" t="s">
        <v>1594</v>
      </c>
      <c r="D54" s="489" t="s">
        <v>141</v>
      </c>
      <c r="E54" s="489" t="s">
        <v>994</v>
      </c>
      <c r="F54" s="542">
        <f>IF(Input_voertuigprijzen!Z53&gt;0,Input_voertuig!F$2,"")</f>
        <v>2024</v>
      </c>
      <c r="G54" s="542">
        <f>IF(Input_voertuigprijzen!AA53&gt;0,Input_voertuig!G$2,"")</f>
        <v>2023</v>
      </c>
      <c r="H54" s="542">
        <f>IF(Input_voertuigprijzen!AB53&gt;0,Input_voertuig!H$2,"")</f>
        <v>2022</v>
      </c>
      <c r="I54" s="542">
        <f>IF(Input_voertuigprijzen!AC53&gt;0,Input_voertuig!I$2,"")</f>
        <v>2021</v>
      </c>
      <c r="J54" s="542">
        <f>IF(Input_voertuigprijzen!AD53&gt;0,Input_voertuig!J$2,"")</f>
        <v>2020</v>
      </c>
      <c r="K54" s="542" t="str">
        <f>IF(Input_voertuigprijzen!AE53&gt;0,Input_voertuig!K$2,"")</f>
        <v/>
      </c>
      <c r="L54" s="542" t="str">
        <f>IF(Input_voertuigprijzen!AF53&gt;0,Input_voertuig!L$2,"")</f>
        <v/>
      </c>
      <c r="M54" s="542" t="str">
        <f>IF(Input_voertuigprijzen!AG53&gt;0,Input_voertuig!M$2,"")</f>
        <v/>
      </c>
      <c r="N54" s="542" t="str">
        <f>IF(Input_voertuigprijzen!AH53&gt;0,Input_voertuig!N$2,"")</f>
        <v/>
      </c>
      <c r="O54" s="542" t="str">
        <f>IF(Input_voertuigprijzen!AI53&gt;0,Input_voertuig!O$2,"")</f>
        <v/>
      </c>
      <c r="P54" s="542" t="str">
        <f>IF(Input_voertuigprijzen!AJ53&gt;0,Input_voertuig!P$2,"")</f>
        <v/>
      </c>
      <c r="Q54" s="542" t="str">
        <f>IF(Input_voertuigprijzen!AK53&gt;0,Input_voertuig!Q$2,"")</f>
        <v/>
      </c>
      <c r="R54" s="542" t="str">
        <f>IF(Input_voertuigprijzen!AL53&gt;0,Input_voertuig!R$2,"")</f>
        <v/>
      </c>
      <c r="S54" s="542" t="str">
        <f>IF(Input_voertuigprijzen!AM53&gt;0,Input_voertuig!S$2,"")</f>
        <v/>
      </c>
      <c r="T54" s="542" t="str">
        <f>IF(Input_voertuigprijzen!AN53&gt;0,Input_voertuig!T$2,"")</f>
        <v/>
      </c>
    </row>
    <row r="55" spans="1:20" x14ac:dyDescent="0.3">
      <c r="A55" s="489" t="s">
        <v>1544</v>
      </c>
      <c r="B55" s="489" t="s">
        <v>1574</v>
      </c>
      <c r="C55" s="489" t="s">
        <v>1575</v>
      </c>
      <c r="D55" s="489" t="s">
        <v>46</v>
      </c>
      <c r="E55" s="489" t="s">
        <v>1960</v>
      </c>
      <c r="F55" s="542" t="str">
        <f>IF(Input_voertuigprijzen!Z54&gt;0,Input_voertuig!F$2,"")</f>
        <v/>
      </c>
      <c r="G55" s="542" t="str">
        <f>IF(Input_voertuigprijzen!AA54&gt;0,Input_voertuig!G$2,"")</f>
        <v/>
      </c>
      <c r="H55" s="542">
        <f>IF(Input_voertuigprijzen!AB54&gt;0,Input_voertuig!H$2,"")</f>
        <v>2022</v>
      </c>
      <c r="I55" s="542">
        <f>IF(Input_voertuigprijzen!AC54&gt;0,Input_voertuig!I$2,"")</f>
        <v>2021</v>
      </c>
      <c r="J55" s="542">
        <f>IF(Input_voertuigprijzen!AD54&gt;0,Input_voertuig!J$2,"")</f>
        <v>2020</v>
      </c>
      <c r="K55" s="542">
        <f>IF(Input_voertuigprijzen!AE54&gt;0,Input_voertuig!K$2,"")</f>
        <v>2019</v>
      </c>
      <c r="L55" s="542">
        <f>IF(Input_voertuigprijzen!AF54&gt;0,Input_voertuig!L$2,"")</f>
        <v>2018</v>
      </c>
      <c r="M55" s="542">
        <f>IF(Input_voertuigprijzen!AG54&gt;0,Input_voertuig!M$2,"")</f>
        <v>2017</v>
      </c>
      <c r="N55" s="542" t="str">
        <f>IF(Input_voertuigprijzen!AH54&gt;0,Input_voertuig!N$2,"")</f>
        <v/>
      </c>
      <c r="O55" s="542">
        <f>IF(Input_voertuigprijzen!AI54&gt;0,Input_voertuig!O$2,"")</f>
        <v>2015</v>
      </c>
      <c r="P55" s="542" t="str">
        <f>IF(Input_voertuigprijzen!AJ54&gt;0,Input_voertuig!P$2,"")</f>
        <v/>
      </c>
      <c r="Q55" s="542">
        <f>IF(Input_voertuigprijzen!AK54&gt;0,Input_voertuig!Q$2,"")</f>
        <v>2013</v>
      </c>
      <c r="R55" s="542">
        <f>IF(Input_voertuigprijzen!AL54&gt;0,Input_voertuig!R$2,"")</f>
        <v>2012</v>
      </c>
      <c r="S55" s="542" t="str">
        <f>IF(Input_voertuigprijzen!AM54&gt;0,Input_voertuig!S$2,"")</f>
        <v/>
      </c>
      <c r="T55" s="542" t="str">
        <f>IF(Input_voertuigprijzen!AN54&gt;0,Input_voertuig!T$2,"")</f>
        <v/>
      </c>
    </row>
    <row r="56" spans="1:20" x14ac:dyDescent="0.3">
      <c r="A56" s="489" t="s">
        <v>1451</v>
      </c>
      <c r="B56" s="489" t="s">
        <v>1595</v>
      </c>
      <c r="C56" s="489" t="s">
        <v>1596</v>
      </c>
      <c r="D56" s="489" t="s">
        <v>46</v>
      </c>
      <c r="E56" s="489" t="s">
        <v>994</v>
      </c>
      <c r="F56" s="542">
        <f>IF(Input_voertuigprijzen!Z55&gt;0,Input_voertuig!F$2,"")</f>
        <v>2024</v>
      </c>
      <c r="G56" s="542">
        <f>IF(Input_voertuigprijzen!AA55&gt;0,Input_voertuig!G$2,"")</f>
        <v>2023</v>
      </c>
      <c r="H56" s="542">
        <f>IF(Input_voertuigprijzen!AB55&gt;0,Input_voertuig!H$2,"")</f>
        <v>2022</v>
      </c>
      <c r="I56" s="542">
        <f>IF(Input_voertuigprijzen!AC55&gt;0,Input_voertuig!I$2,"")</f>
        <v>2021</v>
      </c>
      <c r="J56" s="542">
        <f>IF(Input_voertuigprijzen!AD55&gt;0,Input_voertuig!J$2,"")</f>
        <v>2020</v>
      </c>
      <c r="K56" s="542">
        <f>IF(Input_voertuigprijzen!AE55&gt;0,Input_voertuig!K$2,"")</f>
        <v>2019</v>
      </c>
      <c r="L56" s="542">
        <f>IF(Input_voertuigprijzen!AF55&gt;0,Input_voertuig!L$2,"")</f>
        <v>2018</v>
      </c>
      <c r="M56" s="542">
        <f>IF(Input_voertuigprijzen!AG55&gt;0,Input_voertuig!M$2,"")</f>
        <v>2017</v>
      </c>
      <c r="N56" s="542">
        <f>IF(Input_voertuigprijzen!AH55&gt;0,Input_voertuig!N$2,"")</f>
        <v>2016</v>
      </c>
      <c r="O56" s="542">
        <f>IF(Input_voertuigprijzen!AI55&gt;0,Input_voertuig!O$2,"")</f>
        <v>2015</v>
      </c>
      <c r="P56" s="542">
        <f>IF(Input_voertuigprijzen!AJ55&gt;0,Input_voertuig!P$2,"")</f>
        <v>2014</v>
      </c>
      <c r="Q56" s="542">
        <f>IF(Input_voertuigprijzen!AK55&gt;0,Input_voertuig!Q$2,"")</f>
        <v>2013</v>
      </c>
      <c r="R56" s="542">
        <f>IF(Input_voertuigprijzen!AL55&gt;0,Input_voertuig!R$2,"")</f>
        <v>2012</v>
      </c>
      <c r="S56" s="542">
        <f>IF(Input_voertuigprijzen!AM55&gt;0,Input_voertuig!S$2,"")</f>
        <v>2011</v>
      </c>
      <c r="T56" s="542" t="str">
        <f>IF(Input_voertuigprijzen!AN55&gt;0,Input_voertuig!T$2,"")</f>
        <v/>
      </c>
    </row>
    <row r="57" spans="1:20" x14ac:dyDescent="0.3">
      <c r="A57" s="489" t="s">
        <v>1567</v>
      </c>
      <c r="B57" s="489">
        <v>308</v>
      </c>
      <c r="C57" s="489" t="s">
        <v>366</v>
      </c>
      <c r="D57" s="489" t="s">
        <v>46</v>
      </c>
      <c r="E57" s="489" t="s">
        <v>994</v>
      </c>
      <c r="F57" s="542" t="str">
        <f>IF(Input_voertuigprijzen!Z56&gt;0,Input_voertuig!F$2,"")</f>
        <v/>
      </c>
      <c r="G57" s="542">
        <f>IF(Input_voertuigprijzen!AA56&gt;0,Input_voertuig!G$2,"")</f>
        <v>2023</v>
      </c>
      <c r="H57" s="542">
        <f>IF(Input_voertuigprijzen!AB56&gt;0,Input_voertuig!H$2,"")</f>
        <v>2022</v>
      </c>
      <c r="I57" s="542">
        <f>IF(Input_voertuigprijzen!AC56&gt;0,Input_voertuig!I$2,"")</f>
        <v>2021</v>
      </c>
      <c r="J57" s="542">
        <f>IF(Input_voertuigprijzen!AD56&gt;0,Input_voertuig!J$2,"")</f>
        <v>2020</v>
      </c>
      <c r="K57" s="542">
        <f>IF(Input_voertuigprijzen!AE56&gt;0,Input_voertuig!K$2,"")</f>
        <v>2019</v>
      </c>
      <c r="L57" s="542">
        <f>IF(Input_voertuigprijzen!AF56&gt;0,Input_voertuig!L$2,"")</f>
        <v>2018</v>
      </c>
      <c r="M57" s="542">
        <f>IF(Input_voertuigprijzen!AG56&gt;0,Input_voertuig!M$2,"")</f>
        <v>2017</v>
      </c>
      <c r="N57" s="542">
        <f>IF(Input_voertuigprijzen!AH56&gt;0,Input_voertuig!N$2,"")</f>
        <v>2016</v>
      </c>
      <c r="O57" s="542">
        <f>IF(Input_voertuigprijzen!AI56&gt;0,Input_voertuig!O$2,"")</f>
        <v>2015</v>
      </c>
      <c r="P57" s="542">
        <f>IF(Input_voertuigprijzen!AJ56&gt;0,Input_voertuig!P$2,"")</f>
        <v>2014</v>
      </c>
      <c r="Q57" s="542">
        <f>IF(Input_voertuigprijzen!AK56&gt;0,Input_voertuig!Q$2,"")</f>
        <v>2013</v>
      </c>
      <c r="R57" s="542">
        <f>IF(Input_voertuigprijzen!AL56&gt;0,Input_voertuig!R$2,"")</f>
        <v>2012</v>
      </c>
      <c r="S57" s="542">
        <f>IF(Input_voertuigprijzen!AM56&gt;0,Input_voertuig!S$2,"")</f>
        <v>2011</v>
      </c>
      <c r="T57" s="542" t="str">
        <f>IF(Input_voertuigprijzen!AN56&gt;0,Input_voertuig!T$2,"")</f>
        <v/>
      </c>
    </row>
    <row r="58" spans="1:20" x14ac:dyDescent="0.3">
      <c r="A58" s="489" t="s">
        <v>1426</v>
      </c>
      <c r="B58" s="489" t="s">
        <v>1597</v>
      </c>
      <c r="C58" s="489" t="s">
        <v>1598</v>
      </c>
      <c r="D58" s="489" t="s">
        <v>141</v>
      </c>
      <c r="E58" s="489" t="s">
        <v>1960</v>
      </c>
      <c r="F58" s="542">
        <f>IF(Input_voertuigprijzen!Z57&gt;0,Input_voertuig!F$2,"")</f>
        <v>2024</v>
      </c>
      <c r="G58" s="542">
        <f>IF(Input_voertuigprijzen!AA57&gt;0,Input_voertuig!G$2,"")</f>
        <v>2023</v>
      </c>
      <c r="H58" s="542">
        <f>IF(Input_voertuigprijzen!AB57&gt;0,Input_voertuig!H$2,"")</f>
        <v>2022</v>
      </c>
      <c r="I58" s="542" t="str">
        <f>IF(Input_voertuigprijzen!AC57&gt;0,Input_voertuig!I$2,"")</f>
        <v/>
      </c>
      <c r="J58" s="542" t="str">
        <f>IF(Input_voertuigprijzen!AD57&gt;0,Input_voertuig!J$2,"")</f>
        <v/>
      </c>
      <c r="K58" s="542" t="str">
        <f>IF(Input_voertuigprijzen!AE57&gt;0,Input_voertuig!K$2,"")</f>
        <v/>
      </c>
      <c r="L58" s="542" t="str">
        <f>IF(Input_voertuigprijzen!AF57&gt;0,Input_voertuig!L$2,"")</f>
        <v/>
      </c>
      <c r="M58" s="542" t="str">
        <f>IF(Input_voertuigprijzen!AG57&gt;0,Input_voertuig!M$2,"")</f>
        <v/>
      </c>
      <c r="N58" s="542" t="str">
        <f>IF(Input_voertuigprijzen!AH57&gt;0,Input_voertuig!N$2,"")</f>
        <v/>
      </c>
      <c r="O58" s="542" t="str">
        <f>IF(Input_voertuigprijzen!AI57&gt;0,Input_voertuig!O$2,"")</f>
        <v/>
      </c>
      <c r="P58" s="542" t="str">
        <f>IF(Input_voertuigprijzen!AJ57&gt;0,Input_voertuig!P$2,"")</f>
        <v/>
      </c>
      <c r="Q58" s="542" t="str">
        <f>IF(Input_voertuigprijzen!AK57&gt;0,Input_voertuig!Q$2,"")</f>
        <v/>
      </c>
      <c r="R58" s="542" t="str">
        <f>IF(Input_voertuigprijzen!AL57&gt;0,Input_voertuig!R$2,"")</f>
        <v/>
      </c>
      <c r="S58" s="542" t="str">
        <f>IF(Input_voertuigprijzen!AM57&gt;0,Input_voertuig!S$2,"")</f>
        <v/>
      </c>
      <c r="T58" s="542" t="str">
        <f>IF(Input_voertuigprijzen!AN57&gt;0,Input_voertuig!T$2,"")</f>
        <v/>
      </c>
    </row>
    <row r="59" spans="1:20" x14ac:dyDescent="0.3">
      <c r="A59" s="489" t="s">
        <v>1414</v>
      </c>
      <c r="B59" s="489" t="s">
        <v>1599</v>
      </c>
      <c r="C59" s="489" t="s">
        <v>1600</v>
      </c>
      <c r="D59" s="489" t="s">
        <v>141</v>
      </c>
      <c r="E59" s="489" t="s">
        <v>994</v>
      </c>
      <c r="F59" s="542">
        <f>IF(Input_voertuigprijzen!Z58&gt;0,Input_voertuig!F$2,"")</f>
        <v>2024</v>
      </c>
      <c r="G59" s="542">
        <f>IF(Input_voertuigprijzen!AA58&gt;0,Input_voertuig!G$2,"")</f>
        <v>2023</v>
      </c>
      <c r="H59" s="542">
        <f>IF(Input_voertuigprijzen!AB58&gt;0,Input_voertuig!H$2,"")</f>
        <v>2022</v>
      </c>
      <c r="I59" s="542" t="str">
        <f>IF(Input_voertuigprijzen!AC58&gt;0,Input_voertuig!I$2,"")</f>
        <v/>
      </c>
      <c r="J59" s="542" t="str">
        <f>IF(Input_voertuigprijzen!AD58&gt;0,Input_voertuig!J$2,"")</f>
        <v/>
      </c>
      <c r="K59" s="542" t="str">
        <f>IF(Input_voertuigprijzen!AE58&gt;0,Input_voertuig!K$2,"")</f>
        <v/>
      </c>
      <c r="L59" s="542" t="str">
        <f>IF(Input_voertuigprijzen!AF58&gt;0,Input_voertuig!L$2,"")</f>
        <v/>
      </c>
      <c r="M59" s="542" t="str">
        <f>IF(Input_voertuigprijzen!AG58&gt;0,Input_voertuig!M$2,"")</f>
        <v/>
      </c>
      <c r="N59" s="542" t="str">
        <f>IF(Input_voertuigprijzen!AH58&gt;0,Input_voertuig!N$2,"")</f>
        <v/>
      </c>
      <c r="O59" s="542" t="str">
        <f>IF(Input_voertuigprijzen!AI58&gt;0,Input_voertuig!O$2,"")</f>
        <v/>
      </c>
      <c r="P59" s="542" t="str">
        <f>IF(Input_voertuigprijzen!AJ58&gt;0,Input_voertuig!P$2,"")</f>
        <v/>
      </c>
      <c r="Q59" s="542" t="str">
        <f>IF(Input_voertuigprijzen!AK58&gt;0,Input_voertuig!Q$2,"")</f>
        <v/>
      </c>
      <c r="R59" s="542" t="str">
        <f>IF(Input_voertuigprijzen!AL58&gt;0,Input_voertuig!R$2,"")</f>
        <v/>
      </c>
      <c r="S59" s="542" t="str">
        <f>IF(Input_voertuigprijzen!AM58&gt;0,Input_voertuig!S$2,"")</f>
        <v/>
      </c>
      <c r="T59" s="542" t="str">
        <f>IF(Input_voertuigprijzen!AN58&gt;0,Input_voertuig!T$2,"")</f>
        <v/>
      </c>
    </row>
    <row r="60" spans="1:20" x14ac:dyDescent="0.3">
      <c r="A60" s="489" t="s">
        <v>1414</v>
      </c>
      <c r="B60" s="489" t="s">
        <v>1601</v>
      </c>
      <c r="C60" s="489" t="s">
        <v>1602</v>
      </c>
      <c r="D60" s="489" t="s">
        <v>46</v>
      </c>
      <c r="E60" s="489" t="s">
        <v>994</v>
      </c>
      <c r="F60" s="542">
        <f>IF(Input_voertuigprijzen!Z59&gt;0,Input_voertuig!F$2,"")</f>
        <v>2024</v>
      </c>
      <c r="G60" s="542">
        <f>IF(Input_voertuigprijzen!AA59&gt;0,Input_voertuig!G$2,"")</f>
        <v>2023</v>
      </c>
      <c r="H60" s="542">
        <f>IF(Input_voertuigprijzen!AB59&gt;0,Input_voertuig!H$2,"")</f>
        <v>2022</v>
      </c>
      <c r="I60" s="542">
        <f>IF(Input_voertuigprijzen!AC59&gt;0,Input_voertuig!I$2,"")</f>
        <v>2021</v>
      </c>
      <c r="J60" s="542">
        <f>IF(Input_voertuigprijzen!AD59&gt;0,Input_voertuig!J$2,"")</f>
        <v>2020</v>
      </c>
      <c r="K60" s="542">
        <f>IF(Input_voertuigprijzen!AE59&gt;0,Input_voertuig!K$2,"")</f>
        <v>2019</v>
      </c>
      <c r="L60" s="542">
        <f>IF(Input_voertuigprijzen!AF59&gt;0,Input_voertuig!L$2,"")</f>
        <v>2018</v>
      </c>
      <c r="M60" s="542">
        <f>IF(Input_voertuigprijzen!AG59&gt;0,Input_voertuig!M$2,"")</f>
        <v>2017</v>
      </c>
      <c r="N60" s="542">
        <f>IF(Input_voertuigprijzen!AH59&gt;0,Input_voertuig!N$2,"")</f>
        <v>2016</v>
      </c>
      <c r="O60" s="542">
        <f>IF(Input_voertuigprijzen!AI59&gt;0,Input_voertuig!O$2,"")</f>
        <v>2015</v>
      </c>
      <c r="P60" s="542">
        <f>IF(Input_voertuigprijzen!AJ59&gt;0,Input_voertuig!P$2,"")</f>
        <v>2014</v>
      </c>
      <c r="Q60" s="542" t="str">
        <f>IF(Input_voertuigprijzen!AK59&gt;0,Input_voertuig!Q$2,"")</f>
        <v/>
      </c>
      <c r="R60" s="542" t="str">
        <f>IF(Input_voertuigprijzen!AL59&gt;0,Input_voertuig!R$2,"")</f>
        <v/>
      </c>
      <c r="S60" s="542" t="str">
        <f>IF(Input_voertuigprijzen!AM59&gt;0,Input_voertuig!S$2,"")</f>
        <v/>
      </c>
      <c r="T60" s="542" t="str">
        <f>IF(Input_voertuigprijzen!AN59&gt;0,Input_voertuig!T$2,"")</f>
        <v/>
      </c>
    </row>
    <row r="61" spans="1:20" x14ac:dyDescent="0.3">
      <c r="A61" s="489" t="s">
        <v>1417</v>
      </c>
      <c r="B61" s="489" t="s">
        <v>1603</v>
      </c>
      <c r="C61" s="489" t="s">
        <v>1604</v>
      </c>
      <c r="D61" s="489" t="s">
        <v>141</v>
      </c>
      <c r="E61" s="489" t="s">
        <v>994</v>
      </c>
      <c r="F61" s="542">
        <f>IF(Input_voertuigprijzen!Z60&gt;0,Input_voertuig!F$2,"")</f>
        <v>2024</v>
      </c>
      <c r="G61" s="542">
        <f>IF(Input_voertuigprijzen!AA60&gt;0,Input_voertuig!G$2,"")</f>
        <v>2023</v>
      </c>
      <c r="H61" s="542">
        <f>IF(Input_voertuigprijzen!AB60&gt;0,Input_voertuig!H$2,"")</f>
        <v>2022</v>
      </c>
      <c r="I61" s="542">
        <f>IF(Input_voertuigprijzen!AC60&gt;0,Input_voertuig!I$2,"")</f>
        <v>2021</v>
      </c>
      <c r="J61" s="542" t="str">
        <f>IF(Input_voertuigprijzen!AD60&gt;0,Input_voertuig!J$2,"")</f>
        <v/>
      </c>
      <c r="K61" s="542" t="str">
        <f>IF(Input_voertuigprijzen!AE60&gt;0,Input_voertuig!K$2,"")</f>
        <v/>
      </c>
      <c r="L61" s="542" t="str">
        <f>IF(Input_voertuigprijzen!AF60&gt;0,Input_voertuig!L$2,"")</f>
        <v/>
      </c>
      <c r="M61" s="542" t="str">
        <f>IF(Input_voertuigprijzen!AG60&gt;0,Input_voertuig!M$2,"")</f>
        <v/>
      </c>
      <c r="N61" s="542" t="str">
        <f>IF(Input_voertuigprijzen!AH60&gt;0,Input_voertuig!N$2,"")</f>
        <v/>
      </c>
      <c r="O61" s="542" t="str">
        <f>IF(Input_voertuigprijzen!AI60&gt;0,Input_voertuig!O$2,"")</f>
        <v/>
      </c>
      <c r="P61" s="542" t="str">
        <f>IF(Input_voertuigprijzen!AJ60&gt;0,Input_voertuig!P$2,"")</f>
        <v/>
      </c>
      <c r="Q61" s="542" t="str">
        <f>IF(Input_voertuigprijzen!AK60&gt;0,Input_voertuig!Q$2,"")</f>
        <v/>
      </c>
      <c r="R61" s="542" t="str">
        <f>IF(Input_voertuigprijzen!AL60&gt;0,Input_voertuig!R$2,"")</f>
        <v/>
      </c>
      <c r="S61" s="542" t="str">
        <f>IF(Input_voertuigprijzen!AM60&gt;0,Input_voertuig!S$2,"")</f>
        <v/>
      </c>
      <c r="T61" s="542" t="str">
        <f>IF(Input_voertuigprijzen!AN60&gt;0,Input_voertuig!T$2,"")</f>
        <v/>
      </c>
    </row>
    <row r="62" spans="1:20" x14ac:dyDescent="0.3">
      <c r="A62" s="489" t="s">
        <v>1422</v>
      </c>
      <c r="B62" s="489" t="s">
        <v>1547</v>
      </c>
      <c r="C62" s="489" t="s">
        <v>1548</v>
      </c>
      <c r="D62" s="489" t="s">
        <v>1529</v>
      </c>
      <c r="E62" s="489" t="s">
        <v>994</v>
      </c>
      <c r="F62" s="542" t="str">
        <f>IF(Input_voertuigprijzen!Z61&gt;0,Input_voertuig!F$2,"")</f>
        <v/>
      </c>
      <c r="G62" s="542" t="str">
        <f>IF(Input_voertuigprijzen!AA61&gt;0,Input_voertuig!G$2,"")</f>
        <v/>
      </c>
      <c r="H62" s="542" t="str">
        <f>IF(Input_voertuigprijzen!AB61&gt;0,Input_voertuig!H$2,"")</f>
        <v/>
      </c>
      <c r="I62" s="542" t="str">
        <f>IF(Input_voertuigprijzen!AC61&gt;0,Input_voertuig!I$2,"")</f>
        <v/>
      </c>
      <c r="J62" s="542" t="str">
        <f>IF(Input_voertuigprijzen!AD61&gt;0,Input_voertuig!J$2,"")</f>
        <v/>
      </c>
      <c r="K62" s="542" t="str">
        <f>IF(Input_voertuigprijzen!AE61&gt;0,Input_voertuig!K$2,"")</f>
        <v/>
      </c>
      <c r="L62" s="542">
        <f>IF(Input_voertuigprijzen!AF61&gt;0,Input_voertuig!L$2,"")</f>
        <v>2018</v>
      </c>
      <c r="M62" s="542">
        <f>IF(Input_voertuigprijzen!AG61&gt;0,Input_voertuig!M$2,"")</f>
        <v>2017</v>
      </c>
      <c r="N62" s="542">
        <f>IF(Input_voertuigprijzen!AH61&gt;0,Input_voertuig!N$2,"")</f>
        <v>2016</v>
      </c>
      <c r="O62" s="542">
        <f>IF(Input_voertuigprijzen!AI61&gt;0,Input_voertuig!O$2,"")</f>
        <v>2015</v>
      </c>
      <c r="P62" s="542" t="str">
        <f>IF(Input_voertuigprijzen!AJ61&gt;0,Input_voertuig!P$2,"")</f>
        <v/>
      </c>
      <c r="Q62" s="542" t="str">
        <f>IF(Input_voertuigprijzen!AK61&gt;0,Input_voertuig!Q$2,"")</f>
        <v/>
      </c>
      <c r="R62" s="542" t="str">
        <f>IF(Input_voertuigprijzen!AL61&gt;0,Input_voertuig!R$2,"")</f>
        <v/>
      </c>
      <c r="S62" s="542" t="str">
        <f>IF(Input_voertuigprijzen!AM61&gt;0,Input_voertuig!S$2,"")</f>
        <v/>
      </c>
      <c r="T62" s="542" t="str">
        <f>IF(Input_voertuigprijzen!AN61&gt;0,Input_voertuig!T$2,"")</f>
        <v/>
      </c>
    </row>
    <row r="63" spans="1:20" x14ac:dyDescent="0.3">
      <c r="A63" s="489" t="s">
        <v>1605</v>
      </c>
      <c r="B63" s="489" t="s">
        <v>1531</v>
      </c>
      <c r="C63" s="489" t="s">
        <v>873</v>
      </c>
      <c r="D63" s="489" t="s">
        <v>46</v>
      </c>
      <c r="E63" s="489" t="s">
        <v>994</v>
      </c>
      <c r="F63" s="542">
        <f>IF(Input_voertuigprijzen!Z62&gt;0,Input_voertuig!F$2,"")</f>
        <v>2024</v>
      </c>
      <c r="G63" s="542">
        <f>IF(Input_voertuigprijzen!AA62&gt;0,Input_voertuig!G$2,"")</f>
        <v>2023</v>
      </c>
      <c r="H63" s="542">
        <f>IF(Input_voertuigprijzen!AB62&gt;0,Input_voertuig!H$2,"")</f>
        <v>2022</v>
      </c>
      <c r="I63" s="542">
        <f>IF(Input_voertuigprijzen!AC62&gt;0,Input_voertuig!I$2,"")</f>
        <v>2021</v>
      </c>
      <c r="J63" s="542">
        <f>IF(Input_voertuigprijzen!AD62&gt;0,Input_voertuig!J$2,"")</f>
        <v>2020</v>
      </c>
      <c r="K63" s="542">
        <f>IF(Input_voertuigprijzen!AE62&gt;0,Input_voertuig!K$2,"")</f>
        <v>2019</v>
      </c>
      <c r="L63" s="542">
        <f>IF(Input_voertuigprijzen!AF62&gt;0,Input_voertuig!L$2,"")</f>
        <v>2018</v>
      </c>
      <c r="M63" s="542">
        <f>IF(Input_voertuigprijzen!AG62&gt;0,Input_voertuig!M$2,"")</f>
        <v>2017</v>
      </c>
      <c r="N63" s="542">
        <f>IF(Input_voertuigprijzen!AH62&gt;0,Input_voertuig!N$2,"")</f>
        <v>2016</v>
      </c>
      <c r="O63" s="542">
        <f>IF(Input_voertuigprijzen!AI62&gt;0,Input_voertuig!O$2,"")</f>
        <v>2015</v>
      </c>
      <c r="P63" s="542">
        <f>IF(Input_voertuigprijzen!AJ62&gt;0,Input_voertuig!P$2,"")</f>
        <v>2014</v>
      </c>
      <c r="Q63" s="542">
        <f>IF(Input_voertuigprijzen!AK62&gt;0,Input_voertuig!Q$2,"")</f>
        <v>2013</v>
      </c>
      <c r="R63" s="542">
        <f>IF(Input_voertuigprijzen!AL62&gt;0,Input_voertuig!R$2,"")</f>
        <v>2012</v>
      </c>
      <c r="S63" s="542">
        <f>IF(Input_voertuigprijzen!AM62&gt;0,Input_voertuig!S$2,"")</f>
        <v>2011</v>
      </c>
      <c r="T63" s="542" t="str">
        <f>IF(Input_voertuigprijzen!AN62&gt;0,Input_voertuig!T$2,"")</f>
        <v/>
      </c>
    </row>
    <row r="64" spans="1:20" x14ac:dyDescent="0.3">
      <c r="A64" s="489" t="s">
        <v>1414</v>
      </c>
      <c r="B64" s="489" t="s">
        <v>1532</v>
      </c>
      <c r="C64" s="489" t="s">
        <v>1606</v>
      </c>
      <c r="D64" s="489" t="s">
        <v>46</v>
      </c>
      <c r="E64" s="489" t="s">
        <v>994</v>
      </c>
      <c r="F64" s="542">
        <f>IF(Input_voertuigprijzen!Z63&gt;0,Input_voertuig!F$2,"")</f>
        <v>2024</v>
      </c>
      <c r="G64" s="542">
        <f>IF(Input_voertuigprijzen!AA63&gt;0,Input_voertuig!G$2,"")</f>
        <v>2023</v>
      </c>
      <c r="H64" s="542">
        <f>IF(Input_voertuigprijzen!AB63&gt;0,Input_voertuig!H$2,"")</f>
        <v>2022</v>
      </c>
      <c r="I64" s="542">
        <f>IF(Input_voertuigprijzen!AC63&gt;0,Input_voertuig!I$2,"")</f>
        <v>2021</v>
      </c>
      <c r="J64" s="542">
        <f>IF(Input_voertuigprijzen!AD63&gt;0,Input_voertuig!J$2,"")</f>
        <v>2020</v>
      </c>
      <c r="K64" s="542">
        <f>IF(Input_voertuigprijzen!AE63&gt;0,Input_voertuig!K$2,"")</f>
        <v>2019</v>
      </c>
      <c r="L64" s="542">
        <f>IF(Input_voertuigprijzen!AF63&gt;0,Input_voertuig!L$2,"")</f>
        <v>2018</v>
      </c>
      <c r="M64" s="542">
        <f>IF(Input_voertuigprijzen!AG63&gt;0,Input_voertuig!M$2,"")</f>
        <v>2017</v>
      </c>
      <c r="N64" s="542">
        <f>IF(Input_voertuigprijzen!AH63&gt;0,Input_voertuig!N$2,"")</f>
        <v>2016</v>
      </c>
      <c r="O64" s="542">
        <f>IF(Input_voertuigprijzen!AI63&gt;0,Input_voertuig!O$2,"")</f>
        <v>2015</v>
      </c>
      <c r="P64" s="542" t="str">
        <f>IF(Input_voertuigprijzen!AJ63&gt;0,Input_voertuig!P$2,"")</f>
        <v/>
      </c>
      <c r="Q64" s="542" t="str">
        <f>IF(Input_voertuigprijzen!AK63&gt;0,Input_voertuig!Q$2,"")</f>
        <v/>
      </c>
      <c r="R64" s="542" t="str">
        <f>IF(Input_voertuigprijzen!AL63&gt;0,Input_voertuig!R$2,"")</f>
        <v/>
      </c>
      <c r="S64" s="542" t="str">
        <f>IF(Input_voertuigprijzen!AM63&gt;0,Input_voertuig!S$2,"")</f>
        <v/>
      </c>
      <c r="T64" s="542" t="str">
        <f>IF(Input_voertuigprijzen!AN63&gt;0,Input_voertuig!T$2,"")</f>
        <v/>
      </c>
    </row>
    <row r="65" spans="1:20" x14ac:dyDescent="0.3">
      <c r="A65" s="489" t="s">
        <v>1607</v>
      </c>
      <c r="B65" s="489" t="s">
        <v>1608</v>
      </c>
      <c r="C65" s="489" t="s">
        <v>1609</v>
      </c>
      <c r="D65" s="489" t="s">
        <v>46</v>
      </c>
      <c r="E65" s="489" t="s">
        <v>994</v>
      </c>
      <c r="F65" s="542">
        <f>IF(Input_voertuigprijzen!Z64&gt;0,Input_voertuig!F$2,"")</f>
        <v>2024</v>
      </c>
      <c r="G65" s="542">
        <f>IF(Input_voertuigprijzen!AA64&gt;0,Input_voertuig!G$2,"")</f>
        <v>2023</v>
      </c>
      <c r="H65" s="542">
        <f>IF(Input_voertuigprijzen!AB64&gt;0,Input_voertuig!H$2,"")</f>
        <v>2022</v>
      </c>
      <c r="I65" s="542">
        <f>IF(Input_voertuigprijzen!AC64&gt;0,Input_voertuig!I$2,"")</f>
        <v>2021</v>
      </c>
      <c r="J65" s="542">
        <f>IF(Input_voertuigprijzen!AD64&gt;0,Input_voertuig!J$2,"")</f>
        <v>2020</v>
      </c>
      <c r="K65" s="542">
        <f>IF(Input_voertuigprijzen!AE64&gt;0,Input_voertuig!K$2,"")</f>
        <v>2019</v>
      </c>
      <c r="L65" s="542">
        <f>IF(Input_voertuigprijzen!AF64&gt;0,Input_voertuig!L$2,"")</f>
        <v>2018</v>
      </c>
      <c r="M65" s="542">
        <f>IF(Input_voertuigprijzen!AG64&gt;0,Input_voertuig!M$2,"")</f>
        <v>2017</v>
      </c>
      <c r="N65" s="542">
        <f>IF(Input_voertuigprijzen!AH64&gt;0,Input_voertuig!N$2,"")</f>
        <v>2016</v>
      </c>
      <c r="O65" s="542">
        <f>IF(Input_voertuigprijzen!AI64&gt;0,Input_voertuig!O$2,"")</f>
        <v>2015</v>
      </c>
      <c r="P65" s="542">
        <f>IF(Input_voertuigprijzen!AJ64&gt;0,Input_voertuig!P$2,"")</f>
        <v>2014</v>
      </c>
      <c r="Q65" s="542" t="str">
        <f>IF(Input_voertuigprijzen!AK64&gt;0,Input_voertuig!Q$2,"")</f>
        <v/>
      </c>
      <c r="R65" s="542" t="str">
        <f>IF(Input_voertuigprijzen!AL64&gt;0,Input_voertuig!R$2,"")</f>
        <v/>
      </c>
      <c r="S65" s="542" t="str">
        <f>IF(Input_voertuigprijzen!AM64&gt;0,Input_voertuig!S$2,"")</f>
        <v/>
      </c>
      <c r="T65" s="542" t="str">
        <f>IF(Input_voertuigprijzen!AN64&gt;0,Input_voertuig!T$2,"")</f>
        <v/>
      </c>
    </row>
    <row r="66" spans="1:20" x14ac:dyDescent="0.3">
      <c r="A66" s="489" t="s">
        <v>1414</v>
      </c>
      <c r="B66" s="489" t="s">
        <v>1533</v>
      </c>
      <c r="C66" s="489" t="s">
        <v>1610</v>
      </c>
      <c r="D66" s="489" t="s">
        <v>46</v>
      </c>
      <c r="E66" s="489" t="s">
        <v>994</v>
      </c>
      <c r="F66" s="542">
        <f>IF(Input_voertuigprijzen!Z65&gt;0,Input_voertuig!F$2,"")</f>
        <v>2024</v>
      </c>
      <c r="G66" s="542">
        <f>IF(Input_voertuigprijzen!AA65&gt;0,Input_voertuig!G$2,"")</f>
        <v>2023</v>
      </c>
      <c r="H66" s="542">
        <f>IF(Input_voertuigprijzen!AB65&gt;0,Input_voertuig!H$2,"")</f>
        <v>2022</v>
      </c>
      <c r="I66" s="542">
        <f>IF(Input_voertuigprijzen!AC65&gt;0,Input_voertuig!I$2,"")</f>
        <v>2021</v>
      </c>
      <c r="J66" s="542">
        <f>IF(Input_voertuigprijzen!AD65&gt;0,Input_voertuig!J$2,"")</f>
        <v>2020</v>
      </c>
      <c r="K66" s="542">
        <f>IF(Input_voertuigprijzen!AE65&gt;0,Input_voertuig!K$2,"")</f>
        <v>2019</v>
      </c>
      <c r="L66" s="542">
        <f>IF(Input_voertuigprijzen!AF65&gt;0,Input_voertuig!L$2,"")</f>
        <v>2018</v>
      </c>
      <c r="M66" s="542">
        <f>IF(Input_voertuigprijzen!AG65&gt;0,Input_voertuig!M$2,"")</f>
        <v>2017</v>
      </c>
      <c r="N66" s="542">
        <f>IF(Input_voertuigprijzen!AH65&gt;0,Input_voertuig!N$2,"")</f>
        <v>2016</v>
      </c>
      <c r="O66" s="542" t="str">
        <f>IF(Input_voertuigprijzen!AI65&gt;0,Input_voertuig!O$2,"")</f>
        <v/>
      </c>
      <c r="P66" s="542" t="str">
        <f>IF(Input_voertuigprijzen!AJ65&gt;0,Input_voertuig!P$2,"")</f>
        <v/>
      </c>
      <c r="Q66" s="542" t="str">
        <f>IF(Input_voertuigprijzen!AK65&gt;0,Input_voertuig!Q$2,"")</f>
        <v/>
      </c>
      <c r="R66" s="542" t="str">
        <f>IF(Input_voertuigprijzen!AL65&gt;0,Input_voertuig!R$2,"")</f>
        <v/>
      </c>
      <c r="S66" s="542" t="str">
        <f>IF(Input_voertuigprijzen!AM65&gt;0,Input_voertuig!S$2,"")</f>
        <v/>
      </c>
      <c r="T66" s="542" t="str">
        <f>IF(Input_voertuigprijzen!AN65&gt;0,Input_voertuig!T$2,"")</f>
        <v/>
      </c>
    </row>
    <row r="67" spans="1:20" x14ac:dyDescent="0.3">
      <c r="A67" s="489" t="s">
        <v>1591</v>
      </c>
      <c r="B67" s="489" t="s">
        <v>1611</v>
      </c>
      <c r="C67" s="489" t="s">
        <v>1611</v>
      </c>
      <c r="D67" s="489" t="s">
        <v>141</v>
      </c>
      <c r="E67" s="489" t="s">
        <v>994</v>
      </c>
      <c r="F67" s="542" t="str">
        <f>IF(Input_voertuigprijzen!Z66&gt;0,Input_voertuig!F$2,"")</f>
        <v/>
      </c>
      <c r="G67" s="542">
        <f>IF(Input_voertuigprijzen!AA66&gt;0,Input_voertuig!G$2,"")</f>
        <v>2023</v>
      </c>
      <c r="H67" s="542">
        <f>IF(Input_voertuigprijzen!AB66&gt;0,Input_voertuig!H$2,"")</f>
        <v>2022</v>
      </c>
      <c r="I67" s="542">
        <f>IF(Input_voertuigprijzen!AC66&gt;0,Input_voertuig!I$2,"")</f>
        <v>2021</v>
      </c>
      <c r="J67" s="542">
        <f>IF(Input_voertuigprijzen!AD66&gt;0,Input_voertuig!J$2,"")</f>
        <v>2020</v>
      </c>
      <c r="K67" s="542">
        <f>IF(Input_voertuigprijzen!AE66&gt;0,Input_voertuig!K$2,"")</f>
        <v>2019</v>
      </c>
      <c r="L67" s="542" t="str">
        <f>IF(Input_voertuigprijzen!AF66&gt;0,Input_voertuig!L$2,"")</f>
        <v/>
      </c>
      <c r="M67" s="542" t="str">
        <f>IF(Input_voertuigprijzen!AG66&gt;0,Input_voertuig!M$2,"")</f>
        <v/>
      </c>
      <c r="N67" s="542" t="str">
        <f>IF(Input_voertuigprijzen!AH66&gt;0,Input_voertuig!N$2,"")</f>
        <v/>
      </c>
      <c r="O67" s="542" t="str">
        <f>IF(Input_voertuigprijzen!AI66&gt;0,Input_voertuig!O$2,"")</f>
        <v/>
      </c>
      <c r="P67" s="542" t="str">
        <f>IF(Input_voertuigprijzen!AJ66&gt;0,Input_voertuig!P$2,"")</f>
        <v/>
      </c>
      <c r="Q67" s="542" t="str">
        <f>IF(Input_voertuigprijzen!AK66&gt;0,Input_voertuig!Q$2,"")</f>
        <v/>
      </c>
      <c r="R67" s="542" t="str">
        <f>IF(Input_voertuigprijzen!AL66&gt;0,Input_voertuig!R$2,"")</f>
        <v/>
      </c>
      <c r="S67" s="542" t="str">
        <f>IF(Input_voertuigprijzen!AM66&gt;0,Input_voertuig!S$2,"")</f>
        <v/>
      </c>
      <c r="T67" s="542" t="str">
        <f>IF(Input_voertuigprijzen!AN66&gt;0,Input_voertuig!T$2,"")</f>
        <v/>
      </c>
    </row>
    <row r="68" spans="1:20" x14ac:dyDescent="0.3">
      <c r="A68" s="489" t="s">
        <v>1417</v>
      </c>
      <c r="B68" s="489" t="s">
        <v>1612</v>
      </c>
      <c r="C68" s="489" t="s">
        <v>1613</v>
      </c>
      <c r="D68" s="489" t="s">
        <v>141</v>
      </c>
      <c r="E68" s="489" t="s">
        <v>994</v>
      </c>
      <c r="F68" s="542" t="str">
        <f>IF(Input_voertuigprijzen!Z67&gt;0,Input_voertuig!F$2,"")</f>
        <v/>
      </c>
      <c r="G68" s="542" t="str">
        <f>IF(Input_voertuigprijzen!AA67&gt;0,Input_voertuig!G$2,"")</f>
        <v/>
      </c>
      <c r="H68" s="542">
        <f>IF(Input_voertuigprijzen!AB67&gt;0,Input_voertuig!H$2,"")</f>
        <v>2022</v>
      </c>
      <c r="I68" s="542">
        <f>IF(Input_voertuigprijzen!AC67&gt;0,Input_voertuig!I$2,"")</f>
        <v>2021</v>
      </c>
      <c r="J68" s="542">
        <f>IF(Input_voertuigprijzen!AD67&gt;0,Input_voertuig!J$2,"")</f>
        <v>2020</v>
      </c>
      <c r="K68" s="542">
        <f>IF(Input_voertuigprijzen!AE67&gt;0,Input_voertuig!K$2,"")</f>
        <v>2019</v>
      </c>
      <c r="L68" s="542">
        <f>IF(Input_voertuigprijzen!AF67&gt;0,Input_voertuig!L$2,"")</f>
        <v>2018</v>
      </c>
      <c r="M68" s="542" t="str">
        <f>IF(Input_voertuigprijzen!AG67&gt;0,Input_voertuig!M$2,"")</f>
        <v/>
      </c>
      <c r="N68" s="542">
        <f>IF(Input_voertuigprijzen!AH67&gt;0,Input_voertuig!N$2,"")</f>
        <v>2016</v>
      </c>
      <c r="O68" s="542" t="str">
        <f>IF(Input_voertuigprijzen!AI67&gt;0,Input_voertuig!O$2,"")</f>
        <v/>
      </c>
      <c r="P68" s="542" t="str">
        <f>IF(Input_voertuigprijzen!AJ67&gt;0,Input_voertuig!P$2,"")</f>
        <v/>
      </c>
      <c r="Q68" s="542" t="str">
        <f>IF(Input_voertuigprijzen!AK67&gt;0,Input_voertuig!Q$2,"")</f>
        <v/>
      </c>
      <c r="R68" s="542" t="str">
        <f>IF(Input_voertuigprijzen!AL67&gt;0,Input_voertuig!R$2,"")</f>
        <v/>
      </c>
      <c r="S68" s="542" t="str">
        <f>IF(Input_voertuigprijzen!AM67&gt;0,Input_voertuig!S$2,"")</f>
        <v/>
      </c>
      <c r="T68" s="542" t="str">
        <f>IF(Input_voertuigprijzen!AN67&gt;0,Input_voertuig!T$2,"")</f>
        <v/>
      </c>
    </row>
    <row r="69" spans="1:20" x14ac:dyDescent="0.3">
      <c r="A69" s="489"/>
      <c r="B69" s="489"/>
      <c r="C69" s="489"/>
      <c r="D69" s="489"/>
      <c r="E69" s="489"/>
      <c r="F69" s="542"/>
      <c r="G69" s="542"/>
      <c r="H69" s="542"/>
      <c r="I69" s="542"/>
      <c r="J69" s="542"/>
      <c r="K69" s="542"/>
      <c r="L69" s="542"/>
      <c r="M69" s="542"/>
      <c r="N69" s="542"/>
      <c r="O69" s="542"/>
      <c r="P69" s="542"/>
      <c r="Q69" s="542"/>
      <c r="R69" s="542"/>
      <c r="S69" s="542"/>
      <c r="T69" s="542"/>
    </row>
    <row r="70" spans="1:20" x14ac:dyDescent="0.3">
      <c r="A70" s="489" t="s">
        <v>1561</v>
      </c>
      <c r="B70" s="489" t="s">
        <v>1614</v>
      </c>
      <c r="C70" s="489" t="s">
        <v>1615</v>
      </c>
      <c r="D70" s="489" t="s">
        <v>141</v>
      </c>
      <c r="E70" s="489" t="s">
        <v>994</v>
      </c>
      <c r="F70" s="542">
        <f>IF(Input_voertuigprijzen!Z69&gt;0,Input_voertuig!F$2,"")</f>
        <v>2024</v>
      </c>
      <c r="G70" s="542">
        <f>IF(Input_voertuigprijzen!AA69&gt;0,Input_voertuig!G$2,"")</f>
        <v>2023</v>
      </c>
      <c r="H70" s="542">
        <f>IF(Input_voertuigprijzen!AB69&gt;0,Input_voertuig!H$2,"")</f>
        <v>2022</v>
      </c>
      <c r="I70" s="542">
        <f>IF(Input_voertuigprijzen!AC69&gt;0,Input_voertuig!I$2,"")</f>
        <v>2021</v>
      </c>
      <c r="J70" s="542">
        <f>IF(Input_voertuigprijzen!AD69&gt;0,Input_voertuig!J$2,"")</f>
        <v>2020</v>
      </c>
      <c r="K70" s="542">
        <f>IF(Input_voertuigprijzen!AE69&gt;0,Input_voertuig!K$2,"")</f>
        <v>2019</v>
      </c>
      <c r="L70" s="542">
        <f>IF(Input_voertuigprijzen!AF69&gt;0,Input_voertuig!L$2,"")</f>
        <v>2018</v>
      </c>
      <c r="M70" s="542" t="str">
        <f>IF(Input_voertuigprijzen!AG69&gt;0,Input_voertuig!M$2,"")</f>
        <v/>
      </c>
      <c r="N70" s="542" t="str">
        <f>IF(Input_voertuigprijzen!AH69&gt;0,Input_voertuig!N$2,"")</f>
        <v/>
      </c>
      <c r="O70" s="542" t="str">
        <f>IF(Input_voertuigprijzen!AI69&gt;0,Input_voertuig!O$2,"")</f>
        <v/>
      </c>
      <c r="P70" s="542" t="str">
        <f>IF(Input_voertuigprijzen!AJ69&gt;0,Input_voertuig!P$2,"")</f>
        <v/>
      </c>
      <c r="Q70" s="542" t="str">
        <f>IF(Input_voertuigprijzen!AK69&gt;0,Input_voertuig!Q$2,"")</f>
        <v/>
      </c>
      <c r="R70" s="542" t="str">
        <f>IF(Input_voertuigprijzen!AL69&gt;0,Input_voertuig!R$2,"")</f>
        <v/>
      </c>
      <c r="S70" s="542" t="str">
        <f>IF(Input_voertuigprijzen!AM69&gt;0,Input_voertuig!S$2,"")</f>
        <v/>
      </c>
      <c r="T70" s="542" t="str">
        <f>IF(Input_voertuigprijzen!AN69&gt;0,Input_voertuig!T$2,"")</f>
        <v/>
      </c>
    </row>
    <row r="71" spans="1:20" x14ac:dyDescent="0.3">
      <c r="A71" s="489" t="s">
        <v>1419</v>
      </c>
      <c r="B71" s="489" t="s">
        <v>1616</v>
      </c>
      <c r="C71" s="489" t="s">
        <v>1222</v>
      </c>
      <c r="D71" s="489" t="s">
        <v>141</v>
      </c>
      <c r="E71" s="489" t="s">
        <v>994</v>
      </c>
      <c r="F71" s="542">
        <f>IF(Input_voertuigprijzen!Z70&gt;0,Input_voertuig!F$2,"")</f>
        <v>2024</v>
      </c>
      <c r="G71" s="542">
        <f>IF(Input_voertuigprijzen!AA70&gt;0,Input_voertuig!G$2,"")</f>
        <v>2023</v>
      </c>
      <c r="H71" s="542">
        <f>IF(Input_voertuigprijzen!AB70&gt;0,Input_voertuig!H$2,"")</f>
        <v>2022</v>
      </c>
      <c r="I71" s="542" t="str">
        <f>IF(Input_voertuigprijzen!AC70&gt;0,Input_voertuig!I$2,"")</f>
        <v/>
      </c>
      <c r="J71" s="542">
        <f>IF(Input_voertuigprijzen!AD70&gt;0,Input_voertuig!J$2,"")</f>
        <v>2020</v>
      </c>
      <c r="K71" s="542">
        <f>IF(Input_voertuigprijzen!AE70&gt;0,Input_voertuig!K$2,"")</f>
        <v>2019</v>
      </c>
      <c r="L71" s="542">
        <f>IF(Input_voertuigprijzen!AF70&gt;0,Input_voertuig!L$2,"")</f>
        <v>2018</v>
      </c>
      <c r="M71" s="542">
        <f>IF(Input_voertuigprijzen!AG70&gt;0,Input_voertuig!M$2,"")</f>
        <v>2017</v>
      </c>
      <c r="N71" s="542">
        <f>IF(Input_voertuigprijzen!AH70&gt;0,Input_voertuig!N$2,"")</f>
        <v>2016</v>
      </c>
      <c r="O71" s="542">
        <f>IF(Input_voertuigprijzen!AI70&gt;0,Input_voertuig!O$2,"")</f>
        <v>2015</v>
      </c>
      <c r="P71" s="542">
        <f>IF(Input_voertuigprijzen!AJ70&gt;0,Input_voertuig!P$2,"")</f>
        <v>2014</v>
      </c>
      <c r="Q71" s="542">
        <f>IF(Input_voertuigprijzen!AK70&gt;0,Input_voertuig!Q$2,"")</f>
        <v>2013</v>
      </c>
      <c r="R71" s="542" t="str">
        <f>IF(Input_voertuigprijzen!AL70&gt;0,Input_voertuig!R$2,"")</f>
        <v/>
      </c>
      <c r="S71" s="542" t="str">
        <f>IF(Input_voertuigprijzen!AM70&gt;0,Input_voertuig!S$2,"")</f>
        <v/>
      </c>
      <c r="T71" s="542" t="str">
        <f>IF(Input_voertuigprijzen!AN70&gt;0,Input_voertuig!T$2,"")</f>
        <v/>
      </c>
    </row>
    <row r="72" spans="1:20" x14ac:dyDescent="0.3">
      <c r="A72" s="489" t="s">
        <v>1414</v>
      </c>
      <c r="B72" s="489" t="s">
        <v>1534</v>
      </c>
      <c r="C72" s="489" t="s">
        <v>1617</v>
      </c>
      <c r="D72" s="489" t="s">
        <v>46</v>
      </c>
      <c r="E72" s="489" t="s">
        <v>994</v>
      </c>
      <c r="F72" s="542">
        <f>IF(Input_voertuigprijzen!Z71&gt;0,Input_voertuig!F$2,"")</f>
        <v>2024</v>
      </c>
      <c r="G72" s="542">
        <f>IF(Input_voertuigprijzen!AA71&gt;0,Input_voertuig!G$2,"")</f>
        <v>2023</v>
      </c>
      <c r="H72" s="542">
        <f>IF(Input_voertuigprijzen!AB71&gt;0,Input_voertuig!H$2,"")</f>
        <v>2022</v>
      </c>
      <c r="I72" s="542">
        <f>IF(Input_voertuigprijzen!AC71&gt;0,Input_voertuig!I$2,"")</f>
        <v>2021</v>
      </c>
      <c r="J72" s="542">
        <f>IF(Input_voertuigprijzen!AD71&gt;0,Input_voertuig!J$2,"")</f>
        <v>2020</v>
      </c>
      <c r="K72" s="542">
        <f>IF(Input_voertuigprijzen!AE71&gt;0,Input_voertuig!K$2,"")</f>
        <v>2019</v>
      </c>
      <c r="L72" s="542">
        <f>IF(Input_voertuigprijzen!AF71&gt;0,Input_voertuig!L$2,"")</f>
        <v>2018</v>
      </c>
      <c r="M72" s="542">
        <f>IF(Input_voertuigprijzen!AG71&gt;0,Input_voertuig!M$2,"")</f>
        <v>2017</v>
      </c>
      <c r="N72" s="542">
        <f>IF(Input_voertuigprijzen!AH71&gt;0,Input_voertuig!N$2,"")</f>
        <v>2016</v>
      </c>
      <c r="O72" s="542">
        <f>IF(Input_voertuigprijzen!AI71&gt;0,Input_voertuig!O$2,"")</f>
        <v>2015</v>
      </c>
      <c r="P72" s="542" t="str">
        <f>IF(Input_voertuigprijzen!AJ71&gt;0,Input_voertuig!P$2,"")</f>
        <v/>
      </c>
      <c r="Q72" s="542" t="str">
        <f>IF(Input_voertuigprijzen!AK71&gt;0,Input_voertuig!Q$2,"")</f>
        <v/>
      </c>
      <c r="R72" s="542" t="str">
        <f>IF(Input_voertuigprijzen!AL71&gt;0,Input_voertuig!R$2,"")</f>
        <v/>
      </c>
      <c r="S72" s="542" t="str">
        <f>IF(Input_voertuigprijzen!AM71&gt;0,Input_voertuig!S$2,"")</f>
        <v/>
      </c>
      <c r="T72" s="542" t="str">
        <f>IF(Input_voertuigprijzen!AN71&gt;0,Input_voertuig!T$2,"")</f>
        <v/>
      </c>
    </row>
    <row r="73" spans="1:20" x14ac:dyDescent="0.3">
      <c r="A73" s="489" t="s">
        <v>1544</v>
      </c>
      <c r="B73" s="489" t="s">
        <v>1676</v>
      </c>
      <c r="C73" s="489" t="s">
        <v>1802</v>
      </c>
      <c r="D73" s="489" t="s">
        <v>46</v>
      </c>
      <c r="E73" s="489" t="s">
        <v>994</v>
      </c>
      <c r="F73" s="542" t="str">
        <f>IF(Input_voertuigprijzen!Z72&gt;0,Input_voertuig!F$2,"")</f>
        <v/>
      </c>
      <c r="G73" s="542">
        <f>IF(Input_voertuigprijzen!AA72&gt;0,Input_voertuig!G$2,"")</f>
        <v>2023</v>
      </c>
      <c r="H73" s="542">
        <f>IF(Input_voertuigprijzen!AB72&gt;0,Input_voertuig!H$2,"")</f>
        <v>2022</v>
      </c>
      <c r="I73" s="542">
        <f>IF(Input_voertuigprijzen!AC72&gt;0,Input_voertuig!I$2,"")</f>
        <v>2021</v>
      </c>
      <c r="J73" s="542" t="str">
        <f>IF(Input_voertuigprijzen!AD72&gt;0,Input_voertuig!J$2,"")</f>
        <v/>
      </c>
      <c r="K73" s="542" t="str">
        <f>IF(Input_voertuigprijzen!AE72&gt;0,Input_voertuig!K$2,"")</f>
        <v/>
      </c>
      <c r="L73" s="542">
        <f>IF(Input_voertuigprijzen!AF72&gt;0,Input_voertuig!L$2,"")</f>
        <v>2018</v>
      </c>
      <c r="M73" s="542">
        <f>IF(Input_voertuigprijzen!AG72&gt;0,Input_voertuig!M$2,"")</f>
        <v>2017</v>
      </c>
      <c r="N73" s="542">
        <f>IF(Input_voertuigprijzen!AH72&gt;0,Input_voertuig!N$2,"")</f>
        <v>2016</v>
      </c>
      <c r="O73" s="542">
        <f>IF(Input_voertuigprijzen!AI72&gt;0,Input_voertuig!O$2,"")</f>
        <v>2015</v>
      </c>
      <c r="P73" s="542">
        <f>IF(Input_voertuigprijzen!AJ72&gt;0,Input_voertuig!P$2,"")</f>
        <v>2014</v>
      </c>
      <c r="Q73" s="542">
        <f>IF(Input_voertuigprijzen!AK72&gt;0,Input_voertuig!Q$2,"")</f>
        <v>2013</v>
      </c>
      <c r="R73" s="542">
        <f>IF(Input_voertuigprijzen!AL72&gt;0,Input_voertuig!R$2,"")</f>
        <v>2012</v>
      </c>
      <c r="S73" s="542">
        <f>IF(Input_voertuigprijzen!AM72&gt;0,Input_voertuig!S$2,"")</f>
        <v>2011</v>
      </c>
      <c r="T73" s="542">
        <f>IF(Input_voertuigprijzen!AN72&gt;0,Input_voertuig!T$2,"")</f>
        <v>2010</v>
      </c>
    </row>
    <row r="74" spans="1:20" x14ac:dyDescent="0.3">
      <c r="A74" s="489" t="s">
        <v>1677</v>
      </c>
      <c r="B74" s="489" t="s">
        <v>1678</v>
      </c>
      <c r="C74" s="489" t="s">
        <v>1803</v>
      </c>
      <c r="D74" s="489" t="s">
        <v>46</v>
      </c>
      <c r="E74" s="489" t="s">
        <v>994</v>
      </c>
      <c r="F74" s="542">
        <f>IF(Input_voertuigprijzen!Z73&gt;0,Input_voertuig!F$2,"")</f>
        <v>2024</v>
      </c>
      <c r="G74" s="542">
        <f>IF(Input_voertuigprijzen!AA73&gt;0,Input_voertuig!G$2,"")</f>
        <v>2023</v>
      </c>
      <c r="H74" s="542">
        <f>IF(Input_voertuigprijzen!AB73&gt;0,Input_voertuig!H$2,"")</f>
        <v>2022</v>
      </c>
      <c r="I74" s="542">
        <f>IF(Input_voertuigprijzen!AC73&gt;0,Input_voertuig!I$2,"")</f>
        <v>2021</v>
      </c>
      <c r="J74" s="542">
        <f>IF(Input_voertuigprijzen!AD73&gt;0,Input_voertuig!J$2,"")</f>
        <v>2020</v>
      </c>
      <c r="K74" s="542">
        <f>IF(Input_voertuigprijzen!AE73&gt;0,Input_voertuig!K$2,"")</f>
        <v>2019</v>
      </c>
      <c r="L74" s="542">
        <f>IF(Input_voertuigprijzen!AF73&gt;0,Input_voertuig!L$2,"")</f>
        <v>2018</v>
      </c>
      <c r="M74" s="542">
        <f>IF(Input_voertuigprijzen!AG73&gt;0,Input_voertuig!M$2,"")</f>
        <v>2017</v>
      </c>
      <c r="N74" s="542">
        <f>IF(Input_voertuigprijzen!AH73&gt;0,Input_voertuig!N$2,"")</f>
        <v>2016</v>
      </c>
      <c r="O74" s="542">
        <f>IF(Input_voertuigprijzen!AI73&gt;0,Input_voertuig!O$2,"")</f>
        <v>2015</v>
      </c>
      <c r="P74" s="542">
        <f>IF(Input_voertuigprijzen!AJ73&gt;0,Input_voertuig!P$2,"")</f>
        <v>2014</v>
      </c>
      <c r="Q74" s="542">
        <f>IF(Input_voertuigprijzen!AK73&gt;0,Input_voertuig!Q$2,"")</f>
        <v>2013</v>
      </c>
      <c r="R74" s="542">
        <f>IF(Input_voertuigprijzen!AL73&gt;0,Input_voertuig!R$2,"")</f>
        <v>2012</v>
      </c>
      <c r="S74" s="542">
        <f>IF(Input_voertuigprijzen!AM73&gt;0,Input_voertuig!S$2,"")</f>
        <v>2011</v>
      </c>
      <c r="T74" s="542" t="str">
        <f>IF(Input_voertuigprijzen!AN73&gt;0,Input_voertuig!T$2,"")</f>
        <v/>
      </c>
    </row>
    <row r="75" spans="1:20" x14ac:dyDescent="0.3">
      <c r="A75" s="489" t="s">
        <v>1441</v>
      </c>
      <c r="B75" s="489" t="s">
        <v>1679</v>
      </c>
      <c r="C75" s="489" t="s">
        <v>1804</v>
      </c>
      <c r="D75" s="489" t="s">
        <v>46</v>
      </c>
      <c r="E75" s="489" t="s">
        <v>994</v>
      </c>
      <c r="F75" s="542">
        <f>IF(Input_voertuigprijzen!Z74&gt;0,Input_voertuig!F$2,"")</f>
        <v>2024</v>
      </c>
      <c r="G75" s="542">
        <f>IF(Input_voertuigprijzen!AA74&gt;0,Input_voertuig!G$2,"")</f>
        <v>2023</v>
      </c>
      <c r="H75" s="542">
        <f>IF(Input_voertuigprijzen!AB74&gt;0,Input_voertuig!H$2,"")</f>
        <v>2022</v>
      </c>
      <c r="I75" s="542">
        <f>IF(Input_voertuigprijzen!AC74&gt;0,Input_voertuig!I$2,"")</f>
        <v>2021</v>
      </c>
      <c r="J75" s="542">
        <f>IF(Input_voertuigprijzen!AD74&gt;0,Input_voertuig!J$2,"")</f>
        <v>2020</v>
      </c>
      <c r="K75" s="542">
        <f>IF(Input_voertuigprijzen!AE74&gt;0,Input_voertuig!K$2,"")</f>
        <v>2019</v>
      </c>
      <c r="L75" s="542">
        <f>IF(Input_voertuigprijzen!AF74&gt;0,Input_voertuig!L$2,"")</f>
        <v>2018</v>
      </c>
      <c r="M75" s="542">
        <f>IF(Input_voertuigprijzen!AG74&gt;0,Input_voertuig!M$2,"")</f>
        <v>2017</v>
      </c>
      <c r="N75" s="542">
        <f>IF(Input_voertuigprijzen!AH74&gt;0,Input_voertuig!N$2,"")</f>
        <v>2016</v>
      </c>
      <c r="O75" s="542">
        <f>IF(Input_voertuigprijzen!AI74&gt;0,Input_voertuig!O$2,"")</f>
        <v>2015</v>
      </c>
      <c r="P75" s="542">
        <f>IF(Input_voertuigprijzen!AJ74&gt;0,Input_voertuig!P$2,"")</f>
        <v>2014</v>
      </c>
      <c r="Q75" s="542" t="str">
        <f>IF(Input_voertuigprijzen!AK74&gt;0,Input_voertuig!Q$2,"")</f>
        <v/>
      </c>
      <c r="R75" s="542">
        <f>IF(Input_voertuigprijzen!AL74&gt;0,Input_voertuig!R$2,"")</f>
        <v>2012</v>
      </c>
      <c r="S75" s="542">
        <f>IF(Input_voertuigprijzen!AM74&gt;0,Input_voertuig!S$2,"")</f>
        <v>2011</v>
      </c>
      <c r="T75" s="542">
        <f>IF(Input_voertuigprijzen!AN74&gt;0,Input_voertuig!T$2,"")</f>
        <v>2010</v>
      </c>
    </row>
    <row r="76" spans="1:20" x14ac:dyDescent="0.3">
      <c r="A76" s="489" t="s">
        <v>1414</v>
      </c>
      <c r="B76" s="489" t="s">
        <v>1657</v>
      </c>
      <c r="C76" s="489" t="s">
        <v>1805</v>
      </c>
      <c r="D76" s="489" t="s">
        <v>46</v>
      </c>
      <c r="E76" s="489" t="s">
        <v>994</v>
      </c>
      <c r="F76" s="542">
        <f>IF(Input_voertuigprijzen!Z75&gt;0,Input_voertuig!F$2,"")</f>
        <v>2024</v>
      </c>
      <c r="G76" s="542">
        <f>IF(Input_voertuigprijzen!AA75&gt;0,Input_voertuig!G$2,"")</f>
        <v>2023</v>
      </c>
      <c r="H76" s="542">
        <f>IF(Input_voertuigprijzen!AB75&gt;0,Input_voertuig!H$2,"")</f>
        <v>2022</v>
      </c>
      <c r="I76" s="542">
        <f>IF(Input_voertuigprijzen!AC75&gt;0,Input_voertuig!I$2,"")</f>
        <v>2021</v>
      </c>
      <c r="J76" s="542">
        <f>IF(Input_voertuigprijzen!AD75&gt;0,Input_voertuig!J$2,"")</f>
        <v>2020</v>
      </c>
      <c r="K76" s="542">
        <f>IF(Input_voertuigprijzen!AE75&gt;0,Input_voertuig!K$2,"")</f>
        <v>2019</v>
      </c>
      <c r="L76" s="542">
        <f>IF(Input_voertuigprijzen!AF75&gt;0,Input_voertuig!L$2,"")</f>
        <v>2018</v>
      </c>
      <c r="M76" s="542">
        <f>IF(Input_voertuigprijzen!AG75&gt;0,Input_voertuig!M$2,"")</f>
        <v>2017</v>
      </c>
      <c r="N76" s="542">
        <f>IF(Input_voertuigprijzen!AH75&gt;0,Input_voertuig!N$2,"")</f>
        <v>2016</v>
      </c>
      <c r="O76" s="542">
        <f>IF(Input_voertuigprijzen!AI75&gt;0,Input_voertuig!O$2,"")</f>
        <v>2015</v>
      </c>
      <c r="P76" s="542" t="str">
        <f>IF(Input_voertuigprijzen!AJ75&gt;0,Input_voertuig!P$2,"")</f>
        <v/>
      </c>
      <c r="Q76" s="542" t="str">
        <f>IF(Input_voertuigprijzen!AK75&gt;0,Input_voertuig!Q$2,"")</f>
        <v/>
      </c>
      <c r="R76" s="542" t="str">
        <f>IF(Input_voertuigprijzen!AL75&gt;0,Input_voertuig!R$2,"")</f>
        <v/>
      </c>
      <c r="S76" s="542" t="str">
        <f>IF(Input_voertuigprijzen!AM75&gt;0,Input_voertuig!S$2,"")</f>
        <v/>
      </c>
      <c r="T76" s="542" t="str">
        <f>IF(Input_voertuigprijzen!AN75&gt;0,Input_voertuig!T$2,"")</f>
        <v/>
      </c>
    </row>
    <row r="77" spans="1:20" x14ac:dyDescent="0.3">
      <c r="A77" s="489" t="s">
        <v>1544</v>
      </c>
      <c r="B77" s="489" t="s">
        <v>1680</v>
      </c>
      <c r="C77" s="489" t="s">
        <v>1806</v>
      </c>
      <c r="D77" s="489" t="s">
        <v>141</v>
      </c>
      <c r="E77" s="489" t="s">
        <v>994</v>
      </c>
      <c r="F77" s="542">
        <f>IF(Input_voertuigprijzen!Z76&gt;0,Input_voertuig!F$2,"")</f>
        <v>2024</v>
      </c>
      <c r="G77" s="542">
        <f>IF(Input_voertuigprijzen!AA76&gt;0,Input_voertuig!G$2,"")</f>
        <v>2023</v>
      </c>
      <c r="H77" s="542">
        <f>IF(Input_voertuigprijzen!AB76&gt;0,Input_voertuig!H$2,"")</f>
        <v>2022</v>
      </c>
      <c r="I77" s="542">
        <f>IF(Input_voertuigprijzen!AC76&gt;0,Input_voertuig!I$2,"")</f>
        <v>2021</v>
      </c>
      <c r="J77" s="542" t="str">
        <f>IF(Input_voertuigprijzen!AD76&gt;0,Input_voertuig!J$2,"")</f>
        <v/>
      </c>
      <c r="K77" s="542" t="str">
        <f>IF(Input_voertuigprijzen!AE76&gt;0,Input_voertuig!K$2,"")</f>
        <v/>
      </c>
      <c r="L77" s="542" t="str">
        <f>IF(Input_voertuigprijzen!AF76&gt;0,Input_voertuig!L$2,"")</f>
        <v/>
      </c>
      <c r="M77" s="542" t="str">
        <f>IF(Input_voertuigprijzen!AG76&gt;0,Input_voertuig!M$2,"")</f>
        <v/>
      </c>
      <c r="N77" s="542" t="str">
        <f>IF(Input_voertuigprijzen!AH76&gt;0,Input_voertuig!N$2,"")</f>
        <v/>
      </c>
      <c r="O77" s="542" t="str">
        <f>IF(Input_voertuigprijzen!AI76&gt;0,Input_voertuig!O$2,"")</f>
        <v/>
      </c>
      <c r="P77" s="542" t="str">
        <f>IF(Input_voertuigprijzen!AJ76&gt;0,Input_voertuig!P$2,"")</f>
        <v/>
      </c>
      <c r="Q77" s="542" t="str">
        <f>IF(Input_voertuigprijzen!AK76&gt;0,Input_voertuig!Q$2,"")</f>
        <v/>
      </c>
      <c r="R77" s="542" t="str">
        <f>IF(Input_voertuigprijzen!AL76&gt;0,Input_voertuig!R$2,"")</f>
        <v/>
      </c>
      <c r="S77" s="542" t="str">
        <f>IF(Input_voertuigprijzen!AM76&gt;0,Input_voertuig!S$2,"")</f>
        <v/>
      </c>
      <c r="T77" s="542" t="str">
        <f>IF(Input_voertuigprijzen!AN76&gt;0,Input_voertuig!T$2,"")</f>
        <v/>
      </c>
    </row>
    <row r="78" spans="1:20" x14ac:dyDescent="0.3">
      <c r="A78" s="489" t="s">
        <v>1561</v>
      </c>
      <c r="B78" s="489" t="s">
        <v>1681</v>
      </c>
      <c r="C78" s="489" t="s">
        <v>1807</v>
      </c>
      <c r="D78" s="489" t="s">
        <v>141</v>
      </c>
      <c r="E78" s="489" t="s">
        <v>994</v>
      </c>
      <c r="F78" s="542">
        <f>IF(Input_voertuigprijzen!Z77&gt;0,Input_voertuig!F$2,"")</f>
        <v>2024</v>
      </c>
      <c r="G78" s="542">
        <f>IF(Input_voertuigprijzen!AA77&gt;0,Input_voertuig!G$2,"")</f>
        <v>2023</v>
      </c>
      <c r="H78" s="542">
        <f>IF(Input_voertuigprijzen!AB77&gt;0,Input_voertuig!H$2,"")</f>
        <v>2022</v>
      </c>
      <c r="I78" s="542">
        <f>IF(Input_voertuigprijzen!AC77&gt;0,Input_voertuig!I$2,"")</f>
        <v>2021</v>
      </c>
      <c r="J78" s="542" t="str">
        <f>IF(Input_voertuigprijzen!AD77&gt;0,Input_voertuig!J$2,"")</f>
        <v/>
      </c>
      <c r="K78" s="542" t="str">
        <f>IF(Input_voertuigprijzen!AE77&gt;0,Input_voertuig!K$2,"")</f>
        <v/>
      </c>
      <c r="L78" s="542" t="str">
        <f>IF(Input_voertuigprijzen!AF77&gt;0,Input_voertuig!L$2,"")</f>
        <v/>
      </c>
      <c r="M78" s="542" t="str">
        <f>IF(Input_voertuigprijzen!AG77&gt;0,Input_voertuig!M$2,"")</f>
        <v/>
      </c>
      <c r="N78" s="542" t="str">
        <f>IF(Input_voertuigprijzen!AH77&gt;0,Input_voertuig!N$2,"")</f>
        <v/>
      </c>
      <c r="O78" s="542" t="str">
        <f>IF(Input_voertuigprijzen!AI77&gt;0,Input_voertuig!O$2,"")</f>
        <v/>
      </c>
      <c r="P78" s="542" t="str">
        <f>IF(Input_voertuigprijzen!AJ77&gt;0,Input_voertuig!P$2,"")</f>
        <v/>
      </c>
      <c r="Q78" s="542" t="str">
        <f>IF(Input_voertuigprijzen!AK77&gt;0,Input_voertuig!Q$2,"")</f>
        <v/>
      </c>
      <c r="R78" s="542" t="str">
        <f>IF(Input_voertuigprijzen!AL77&gt;0,Input_voertuig!R$2,"")</f>
        <v/>
      </c>
      <c r="S78" s="542" t="str">
        <f>IF(Input_voertuigprijzen!AM77&gt;0,Input_voertuig!S$2,"")</f>
        <v/>
      </c>
      <c r="T78" s="542" t="str">
        <f>IF(Input_voertuigprijzen!AN77&gt;0,Input_voertuig!T$2,"")</f>
        <v/>
      </c>
    </row>
    <row r="79" spans="1:20" x14ac:dyDescent="0.3">
      <c r="A79" s="489" t="s">
        <v>1426</v>
      </c>
      <c r="B79" s="489" t="s">
        <v>1440</v>
      </c>
      <c r="C79" s="489" t="s">
        <v>1440</v>
      </c>
      <c r="D79" s="489" t="s">
        <v>1929</v>
      </c>
      <c r="E79" s="489" t="s">
        <v>994</v>
      </c>
      <c r="F79" s="542" t="str">
        <f>IF(Input_voertuigprijzen!Z78&gt;0,Input_voertuig!F$2,"")</f>
        <v/>
      </c>
      <c r="G79" s="542">
        <f>IF(Input_voertuigprijzen!AA78&gt;0,Input_voertuig!G$2,"")</f>
        <v>2023</v>
      </c>
      <c r="H79" s="542">
        <f>IF(Input_voertuigprijzen!AB78&gt;0,Input_voertuig!H$2,"")</f>
        <v>2022</v>
      </c>
      <c r="I79" s="542">
        <f>IF(Input_voertuigprijzen!AC78&gt;0,Input_voertuig!I$2,"")</f>
        <v>2021</v>
      </c>
      <c r="J79" s="542">
        <f>IF(Input_voertuigprijzen!AD78&gt;0,Input_voertuig!J$2,"")</f>
        <v>2020</v>
      </c>
      <c r="K79" s="542">
        <f>IF(Input_voertuigprijzen!AE78&gt;0,Input_voertuig!K$2,"")</f>
        <v>2019</v>
      </c>
      <c r="L79" s="542" t="str">
        <f>IF(Input_voertuigprijzen!AF78&gt;0,Input_voertuig!L$2,"")</f>
        <v/>
      </c>
      <c r="M79" s="542">
        <f>IF(Input_voertuigprijzen!AG78&gt;0,Input_voertuig!M$2,"")</f>
        <v>2017</v>
      </c>
      <c r="N79" s="542">
        <f>IF(Input_voertuigprijzen!AH78&gt;0,Input_voertuig!N$2,"")</f>
        <v>2016</v>
      </c>
      <c r="O79" s="542">
        <f>IF(Input_voertuigprijzen!AI78&gt;0,Input_voertuig!O$2,"")</f>
        <v>2015</v>
      </c>
      <c r="P79" s="542" t="str">
        <f>IF(Input_voertuigprijzen!AJ78&gt;0,Input_voertuig!P$2,"")</f>
        <v/>
      </c>
      <c r="Q79" s="542">
        <f>IF(Input_voertuigprijzen!AK78&gt;0,Input_voertuig!Q$2,"")</f>
        <v>2013</v>
      </c>
      <c r="R79" s="542">
        <f>IF(Input_voertuigprijzen!AL78&gt;0,Input_voertuig!R$2,"")</f>
        <v>2012</v>
      </c>
      <c r="S79" s="542" t="str">
        <f>IF(Input_voertuigprijzen!AM78&gt;0,Input_voertuig!S$2,"")</f>
        <v/>
      </c>
      <c r="T79" s="542" t="str">
        <f>IF(Input_voertuigprijzen!AN78&gt;0,Input_voertuig!T$2,"")</f>
        <v/>
      </c>
    </row>
    <row r="80" spans="1:20" x14ac:dyDescent="0.3">
      <c r="A80" s="489" t="s">
        <v>1426</v>
      </c>
      <c r="B80" s="489" t="s">
        <v>1427</v>
      </c>
      <c r="C80" s="489" t="s">
        <v>1427</v>
      </c>
      <c r="D80" s="489" t="s">
        <v>1929</v>
      </c>
      <c r="E80" s="489" t="s">
        <v>994</v>
      </c>
      <c r="F80" s="542">
        <f>IF(Input_voertuigprijzen!Z79&gt;0,Input_voertuig!F$2,"")</f>
        <v>2024</v>
      </c>
      <c r="G80" s="542">
        <f>IF(Input_voertuigprijzen!AA79&gt;0,Input_voertuig!G$2,"")</f>
        <v>2023</v>
      </c>
      <c r="H80" s="542">
        <f>IF(Input_voertuigprijzen!AB79&gt;0,Input_voertuig!H$2,"")</f>
        <v>2022</v>
      </c>
      <c r="I80" s="542">
        <f>IF(Input_voertuigprijzen!AC79&gt;0,Input_voertuig!I$2,"")</f>
        <v>2021</v>
      </c>
      <c r="J80" s="542">
        <f>IF(Input_voertuigprijzen!AD79&gt;0,Input_voertuig!J$2,"")</f>
        <v>2020</v>
      </c>
      <c r="K80" s="542">
        <f>IF(Input_voertuigprijzen!AE79&gt;0,Input_voertuig!K$2,"")</f>
        <v>2019</v>
      </c>
      <c r="L80" s="542" t="str">
        <f>IF(Input_voertuigprijzen!AF79&gt;0,Input_voertuig!L$2,"")</f>
        <v/>
      </c>
      <c r="M80" s="542" t="str">
        <f>IF(Input_voertuigprijzen!AG79&gt;0,Input_voertuig!M$2,"")</f>
        <v/>
      </c>
      <c r="N80" s="542" t="str">
        <f>IF(Input_voertuigprijzen!AH79&gt;0,Input_voertuig!N$2,"")</f>
        <v/>
      </c>
      <c r="O80" s="542" t="str">
        <f>IF(Input_voertuigprijzen!AI79&gt;0,Input_voertuig!O$2,"")</f>
        <v/>
      </c>
      <c r="P80" s="542" t="str">
        <f>IF(Input_voertuigprijzen!AJ79&gt;0,Input_voertuig!P$2,"")</f>
        <v/>
      </c>
      <c r="Q80" s="542" t="str">
        <f>IF(Input_voertuigprijzen!AK79&gt;0,Input_voertuig!Q$2,"")</f>
        <v/>
      </c>
      <c r="R80" s="542" t="str">
        <f>IF(Input_voertuigprijzen!AL79&gt;0,Input_voertuig!R$2,"")</f>
        <v/>
      </c>
      <c r="S80" s="542" t="str">
        <f>IF(Input_voertuigprijzen!AM79&gt;0,Input_voertuig!S$2,"")</f>
        <v/>
      </c>
      <c r="T80" s="542" t="str">
        <f>IF(Input_voertuigprijzen!AN79&gt;0,Input_voertuig!T$2,"")</f>
        <v/>
      </c>
    </row>
    <row r="81" spans="1:20" x14ac:dyDescent="0.3">
      <c r="A81" s="489" t="s">
        <v>1419</v>
      </c>
      <c r="B81" s="489" t="s">
        <v>1682</v>
      </c>
      <c r="C81" s="489" t="s">
        <v>1808</v>
      </c>
      <c r="D81" s="489" t="s">
        <v>141</v>
      </c>
      <c r="E81" s="489" t="s">
        <v>994</v>
      </c>
      <c r="F81" s="542">
        <f>IF(Input_voertuigprijzen!Z80&gt;0,Input_voertuig!F$2,"")</f>
        <v>2024</v>
      </c>
      <c r="G81" s="542">
        <f>IF(Input_voertuigprijzen!AA80&gt;0,Input_voertuig!G$2,"")</f>
        <v>2023</v>
      </c>
      <c r="H81" s="542">
        <f>IF(Input_voertuigprijzen!AB80&gt;0,Input_voertuig!H$2,"")</f>
        <v>2022</v>
      </c>
      <c r="I81" s="542" t="str">
        <f>IF(Input_voertuigprijzen!AC80&gt;0,Input_voertuig!I$2,"")</f>
        <v/>
      </c>
      <c r="J81" s="542" t="str">
        <f>IF(Input_voertuigprijzen!AD80&gt;0,Input_voertuig!J$2,"")</f>
        <v/>
      </c>
      <c r="K81" s="542">
        <f>IF(Input_voertuigprijzen!AE80&gt;0,Input_voertuig!K$2,"")</f>
        <v>2019</v>
      </c>
      <c r="L81" s="542">
        <f>IF(Input_voertuigprijzen!AF80&gt;0,Input_voertuig!L$2,"")</f>
        <v>2018</v>
      </c>
      <c r="M81" s="542">
        <f>IF(Input_voertuigprijzen!AG80&gt;0,Input_voertuig!M$2,"")</f>
        <v>2017</v>
      </c>
      <c r="N81" s="542">
        <f>IF(Input_voertuigprijzen!AH80&gt;0,Input_voertuig!N$2,"")</f>
        <v>2016</v>
      </c>
      <c r="O81" s="542" t="str">
        <f>IF(Input_voertuigprijzen!AI80&gt;0,Input_voertuig!O$2,"")</f>
        <v/>
      </c>
      <c r="P81" s="542" t="str">
        <f>IF(Input_voertuigprijzen!AJ80&gt;0,Input_voertuig!P$2,"")</f>
        <v/>
      </c>
      <c r="Q81" s="542" t="str">
        <f>IF(Input_voertuigprijzen!AK80&gt;0,Input_voertuig!Q$2,"")</f>
        <v/>
      </c>
      <c r="R81" s="542" t="str">
        <f>IF(Input_voertuigprijzen!AL80&gt;0,Input_voertuig!R$2,"")</f>
        <v/>
      </c>
      <c r="S81" s="542" t="str">
        <f>IF(Input_voertuigprijzen!AM80&gt;0,Input_voertuig!S$2,"")</f>
        <v/>
      </c>
      <c r="T81" s="542" t="str">
        <f>IF(Input_voertuigprijzen!AN80&gt;0,Input_voertuig!T$2,"")</f>
        <v/>
      </c>
    </row>
    <row r="82" spans="1:20" x14ac:dyDescent="0.3">
      <c r="A82" s="489" t="s">
        <v>1441</v>
      </c>
      <c r="B82" s="489" t="s">
        <v>1683</v>
      </c>
      <c r="C82" s="489" t="s">
        <v>1809</v>
      </c>
      <c r="D82" s="489" t="s">
        <v>141</v>
      </c>
      <c r="E82" s="489" t="s">
        <v>994</v>
      </c>
      <c r="F82" s="542">
        <f>IF(Input_voertuigprijzen!Z81&gt;0,Input_voertuig!F$2,"")</f>
        <v>2024</v>
      </c>
      <c r="G82" s="542">
        <f>IF(Input_voertuigprijzen!AA81&gt;0,Input_voertuig!G$2,"")</f>
        <v>2023</v>
      </c>
      <c r="H82" s="542">
        <f>IF(Input_voertuigprijzen!AB81&gt;0,Input_voertuig!H$2,"")</f>
        <v>2022</v>
      </c>
      <c r="I82" s="542">
        <f>IF(Input_voertuigprijzen!AC81&gt;0,Input_voertuig!I$2,"")</f>
        <v>2021</v>
      </c>
      <c r="J82" s="542">
        <f>IF(Input_voertuigprijzen!AD81&gt;0,Input_voertuig!J$2,"")</f>
        <v>2020</v>
      </c>
      <c r="K82" s="542" t="str">
        <f>IF(Input_voertuigprijzen!AE81&gt;0,Input_voertuig!K$2,"")</f>
        <v/>
      </c>
      <c r="L82" s="542" t="str">
        <f>IF(Input_voertuigprijzen!AF81&gt;0,Input_voertuig!L$2,"")</f>
        <v/>
      </c>
      <c r="M82" s="542" t="str">
        <f>IF(Input_voertuigprijzen!AG81&gt;0,Input_voertuig!M$2,"")</f>
        <v/>
      </c>
      <c r="N82" s="542" t="str">
        <f>IF(Input_voertuigprijzen!AH81&gt;0,Input_voertuig!N$2,"")</f>
        <v/>
      </c>
      <c r="O82" s="542" t="str">
        <f>IF(Input_voertuigprijzen!AI81&gt;0,Input_voertuig!O$2,"")</f>
        <v/>
      </c>
      <c r="P82" s="542" t="str">
        <f>IF(Input_voertuigprijzen!AJ81&gt;0,Input_voertuig!P$2,"")</f>
        <v/>
      </c>
      <c r="Q82" s="542" t="str">
        <f>IF(Input_voertuigprijzen!AK81&gt;0,Input_voertuig!Q$2,"")</f>
        <v/>
      </c>
      <c r="R82" s="542" t="str">
        <f>IF(Input_voertuigprijzen!AL81&gt;0,Input_voertuig!R$2,"")</f>
        <v/>
      </c>
      <c r="S82" s="542" t="str">
        <f>IF(Input_voertuigprijzen!AM81&gt;0,Input_voertuig!S$2,"")</f>
        <v/>
      </c>
      <c r="T82" s="542" t="str">
        <f>IF(Input_voertuigprijzen!AN81&gt;0,Input_voertuig!T$2,"")</f>
        <v/>
      </c>
    </row>
    <row r="83" spans="1:20" x14ac:dyDescent="0.3">
      <c r="A83" s="489" t="s">
        <v>1605</v>
      </c>
      <c r="B83" s="489" t="s">
        <v>1658</v>
      </c>
      <c r="C83" s="489" t="s">
        <v>1810</v>
      </c>
      <c r="D83" s="489" t="s">
        <v>46</v>
      </c>
      <c r="E83" s="489" t="s">
        <v>994</v>
      </c>
      <c r="F83" s="542" t="str">
        <f>IF(Input_voertuigprijzen!Z82&gt;0,Input_voertuig!F$2,"")</f>
        <v/>
      </c>
      <c r="G83" s="542" t="str">
        <f>IF(Input_voertuigprijzen!AA82&gt;0,Input_voertuig!G$2,"")</f>
        <v/>
      </c>
      <c r="H83" s="542" t="str">
        <f>IF(Input_voertuigprijzen!AB82&gt;0,Input_voertuig!H$2,"")</f>
        <v/>
      </c>
      <c r="I83" s="542" t="str">
        <f>IF(Input_voertuigprijzen!AC82&gt;0,Input_voertuig!I$2,"")</f>
        <v/>
      </c>
      <c r="J83" s="542" t="str">
        <f>IF(Input_voertuigprijzen!AD82&gt;0,Input_voertuig!J$2,"")</f>
        <v/>
      </c>
      <c r="K83" s="542">
        <f>IF(Input_voertuigprijzen!AE82&gt;0,Input_voertuig!K$2,"")</f>
        <v>2019</v>
      </c>
      <c r="L83" s="542" t="str">
        <f>IF(Input_voertuigprijzen!AF82&gt;0,Input_voertuig!L$2,"")</f>
        <v/>
      </c>
      <c r="M83" s="542">
        <f>IF(Input_voertuigprijzen!AG82&gt;0,Input_voertuig!M$2,"")</f>
        <v>2017</v>
      </c>
      <c r="N83" s="542">
        <f>IF(Input_voertuigprijzen!AH82&gt;0,Input_voertuig!N$2,"")</f>
        <v>2016</v>
      </c>
      <c r="O83" s="542">
        <f>IF(Input_voertuigprijzen!AI82&gt;0,Input_voertuig!O$2,"")</f>
        <v>2015</v>
      </c>
      <c r="P83" s="542">
        <f>IF(Input_voertuigprijzen!AJ82&gt;0,Input_voertuig!P$2,"")</f>
        <v>2014</v>
      </c>
      <c r="Q83" s="542">
        <f>IF(Input_voertuigprijzen!AK82&gt;0,Input_voertuig!Q$2,"")</f>
        <v>2013</v>
      </c>
      <c r="R83" s="542">
        <f>IF(Input_voertuigprijzen!AL82&gt;0,Input_voertuig!R$2,"")</f>
        <v>2012</v>
      </c>
      <c r="S83" s="542">
        <f>IF(Input_voertuigprijzen!AM82&gt;0,Input_voertuig!S$2,"")</f>
        <v>2011</v>
      </c>
      <c r="T83" s="542">
        <f>IF(Input_voertuigprijzen!AN82&gt;0,Input_voertuig!T$2,"")</f>
        <v>2010</v>
      </c>
    </row>
    <row r="84" spans="1:20" x14ac:dyDescent="0.3">
      <c r="A84" s="489" t="s">
        <v>1414</v>
      </c>
      <c r="B84" s="489" t="s">
        <v>1684</v>
      </c>
      <c r="C84" s="489" t="s">
        <v>1811</v>
      </c>
      <c r="D84" s="489" t="s">
        <v>141</v>
      </c>
      <c r="E84" s="489" t="s">
        <v>994</v>
      </c>
      <c r="F84" s="542">
        <f>IF(Input_voertuigprijzen!Z83&gt;0,Input_voertuig!F$2,"")</f>
        <v>2024</v>
      </c>
      <c r="G84" s="542">
        <f>IF(Input_voertuigprijzen!AA83&gt;0,Input_voertuig!G$2,"")</f>
        <v>2023</v>
      </c>
      <c r="H84" s="542">
        <f>IF(Input_voertuigprijzen!AB83&gt;0,Input_voertuig!H$2,"")</f>
        <v>2022</v>
      </c>
      <c r="I84" s="542">
        <f>IF(Input_voertuigprijzen!AC83&gt;0,Input_voertuig!I$2,"")</f>
        <v>2021</v>
      </c>
      <c r="J84" s="542" t="str">
        <f>IF(Input_voertuigprijzen!AD83&gt;0,Input_voertuig!J$2,"")</f>
        <v/>
      </c>
      <c r="K84" s="542" t="str">
        <f>IF(Input_voertuigprijzen!AE83&gt;0,Input_voertuig!K$2,"")</f>
        <v/>
      </c>
      <c r="L84" s="542" t="str">
        <f>IF(Input_voertuigprijzen!AF83&gt;0,Input_voertuig!L$2,"")</f>
        <v/>
      </c>
      <c r="M84" s="542" t="str">
        <f>IF(Input_voertuigprijzen!AG83&gt;0,Input_voertuig!M$2,"")</f>
        <v/>
      </c>
      <c r="N84" s="542" t="str">
        <f>IF(Input_voertuigprijzen!AH83&gt;0,Input_voertuig!N$2,"")</f>
        <v/>
      </c>
      <c r="O84" s="542" t="str">
        <f>IF(Input_voertuigprijzen!AI83&gt;0,Input_voertuig!O$2,"")</f>
        <v/>
      </c>
      <c r="P84" s="542" t="str">
        <f>IF(Input_voertuigprijzen!AJ83&gt;0,Input_voertuig!P$2,"")</f>
        <v/>
      </c>
      <c r="Q84" s="542" t="str">
        <f>IF(Input_voertuigprijzen!AK83&gt;0,Input_voertuig!Q$2,"")</f>
        <v/>
      </c>
      <c r="R84" s="542" t="str">
        <f>IF(Input_voertuigprijzen!AL83&gt;0,Input_voertuig!R$2,"")</f>
        <v/>
      </c>
      <c r="S84" s="542" t="str">
        <f>IF(Input_voertuigprijzen!AM83&gt;0,Input_voertuig!S$2,"")</f>
        <v/>
      </c>
      <c r="T84" s="542" t="str">
        <f>IF(Input_voertuigprijzen!AN83&gt;0,Input_voertuig!T$2,"")</f>
        <v/>
      </c>
    </row>
    <row r="85" spans="1:20" x14ac:dyDescent="0.3">
      <c r="A85" s="489" t="s">
        <v>1441</v>
      </c>
      <c r="B85" s="489" t="s">
        <v>1542</v>
      </c>
      <c r="C85" s="489" t="s">
        <v>1543</v>
      </c>
      <c r="D85" s="489" t="s">
        <v>141</v>
      </c>
      <c r="E85" s="489" t="s">
        <v>1960</v>
      </c>
      <c r="F85" s="542" t="str">
        <f>IF(Input_voertuigprijzen!Z84&gt;0,Input_voertuig!F$2,"")</f>
        <v/>
      </c>
      <c r="G85" s="542" t="str">
        <f>IF(Input_voertuigprijzen!AA84&gt;0,Input_voertuig!G$2,"")</f>
        <v/>
      </c>
      <c r="H85" s="542">
        <f>IF(Input_voertuigprijzen!AB84&gt;0,Input_voertuig!H$2,"")</f>
        <v>2022</v>
      </c>
      <c r="I85" s="542" t="str">
        <f>IF(Input_voertuigprijzen!AC84&gt;0,Input_voertuig!I$2,"")</f>
        <v/>
      </c>
      <c r="J85" s="542">
        <f>IF(Input_voertuigprijzen!AD84&gt;0,Input_voertuig!J$2,"")</f>
        <v>2020</v>
      </c>
      <c r="K85" s="542">
        <f>IF(Input_voertuigprijzen!AE84&gt;0,Input_voertuig!K$2,"")</f>
        <v>2019</v>
      </c>
      <c r="L85" s="542" t="str">
        <f>IF(Input_voertuigprijzen!AF84&gt;0,Input_voertuig!L$2,"")</f>
        <v/>
      </c>
      <c r="M85" s="542" t="str">
        <f>IF(Input_voertuigprijzen!AG84&gt;0,Input_voertuig!M$2,"")</f>
        <v/>
      </c>
      <c r="N85" s="542" t="str">
        <f>IF(Input_voertuigprijzen!AH84&gt;0,Input_voertuig!N$2,"")</f>
        <v/>
      </c>
      <c r="O85" s="542" t="str">
        <f>IF(Input_voertuigprijzen!AI84&gt;0,Input_voertuig!O$2,"")</f>
        <v/>
      </c>
      <c r="P85" s="542" t="str">
        <f>IF(Input_voertuigprijzen!AJ84&gt;0,Input_voertuig!P$2,"")</f>
        <v/>
      </c>
      <c r="Q85" s="542" t="str">
        <f>IF(Input_voertuigprijzen!AK84&gt;0,Input_voertuig!Q$2,"")</f>
        <v/>
      </c>
      <c r="R85" s="542">
        <f>IF(Input_voertuigprijzen!AL84&gt;0,Input_voertuig!R$2,"")</f>
        <v>2012</v>
      </c>
      <c r="S85" s="542" t="str">
        <f>IF(Input_voertuigprijzen!AM84&gt;0,Input_voertuig!S$2,"")</f>
        <v/>
      </c>
      <c r="T85" s="542">
        <f>IF(Input_voertuigprijzen!AN84&gt;0,Input_voertuig!T$2,"")</f>
        <v>2010</v>
      </c>
    </row>
    <row r="86" spans="1:20" x14ac:dyDescent="0.3">
      <c r="A86" s="489" t="s">
        <v>1414</v>
      </c>
      <c r="B86" s="489" t="s">
        <v>1685</v>
      </c>
      <c r="C86" s="489" t="s">
        <v>1812</v>
      </c>
      <c r="D86" s="489" t="s">
        <v>141</v>
      </c>
      <c r="E86" s="489" t="s">
        <v>994</v>
      </c>
      <c r="F86" s="542">
        <f>IF(Input_voertuigprijzen!Z85&gt;0,Input_voertuig!F$2,"")</f>
        <v>2024</v>
      </c>
      <c r="G86" s="542">
        <f>IF(Input_voertuigprijzen!AA85&gt;0,Input_voertuig!G$2,"")</f>
        <v>2023</v>
      </c>
      <c r="H86" s="542" t="str">
        <f>IF(Input_voertuigprijzen!AB85&gt;0,Input_voertuig!H$2,"")</f>
        <v/>
      </c>
      <c r="I86" s="542" t="str">
        <f>IF(Input_voertuigprijzen!AC85&gt;0,Input_voertuig!I$2,"")</f>
        <v/>
      </c>
      <c r="J86" s="542" t="str">
        <f>IF(Input_voertuigprijzen!AD85&gt;0,Input_voertuig!J$2,"")</f>
        <v/>
      </c>
      <c r="K86" s="542" t="str">
        <f>IF(Input_voertuigprijzen!AE85&gt;0,Input_voertuig!K$2,"")</f>
        <v/>
      </c>
      <c r="L86" s="542" t="str">
        <f>IF(Input_voertuigprijzen!AF85&gt;0,Input_voertuig!L$2,"")</f>
        <v/>
      </c>
      <c r="M86" s="542" t="str">
        <f>IF(Input_voertuigprijzen!AG85&gt;0,Input_voertuig!M$2,"")</f>
        <v/>
      </c>
      <c r="N86" s="542" t="str">
        <f>IF(Input_voertuigprijzen!AH85&gt;0,Input_voertuig!N$2,"")</f>
        <v/>
      </c>
      <c r="O86" s="542" t="str">
        <f>IF(Input_voertuigprijzen!AI85&gt;0,Input_voertuig!O$2,"")</f>
        <v/>
      </c>
      <c r="P86" s="542" t="str">
        <f>IF(Input_voertuigprijzen!AJ85&gt;0,Input_voertuig!P$2,"")</f>
        <v/>
      </c>
      <c r="Q86" s="542" t="str">
        <f>IF(Input_voertuigprijzen!AK85&gt;0,Input_voertuig!Q$2,"")</f>
        <v/>
      </c>
      <c r="R86" s="542" t="str">
        <f>IF(Input_voertuigprijzen!AL85&gt;0,Input_voertuig!R$2,"")</f>
        <v/>
      </c>
      <c r="S86" s="542" t="str">
        <f>IF(Input_voertuigprijzen!AM85&gt;0,Input_voertuig!S$2,"")</f>
        <v/>
      </c>
      <c r="T86" s="542" t="str">
        <f>IF(Input_voertuigprijzen!AN85&gt;0,Input_voertuig!T$2,"")</f>
        <v/>
      </c>
    </row>
    <row r="87" spans="1:20" x14ac:dyDescent="0.3">
      <c r="A87" s="489" t="s">
        <v>1454</v>
      </c>
      <c r="B87" s="489" t="s">
        <v>1686</v>
      </c>
      <c r="C87" s="489" t="s">
        <v>1813</v>
      </c>
      <c r="D87" s="489" t="s">
        <v>46</v>
      </c>
      <c r="E87" s="489" t="s">
        <v>994</v>
      </c>
      <c r="F87" s="542">
        <f>IF(Input_voertuigprijzen!Z86&gt;0,Input_voertuig!F$2,"")</f>
        <v>2024</v>
      </c>
      <c r="G87" s="542">
        <f>IF(Input_voertuigprijzen!AA86&gt;0,Input_voertuig!G$2,"")</f>
        <v>2023</v>
      </c>
      <c r="H87" s="542">
        <f>IF(Input_voertuigprijzen!AB86&gt;0,Input_voertuig!H$2,"")</f>
        <v>2022</v>
      </c>
      <c r="I87" s="542" t="str">
        <f>IF(Input_voertuigprijzen!AC86&gt;0,Input_voertuig!I$2,"")</f>
        <v/>
      </c>
      <c r="J87" s="542" t="str">
        <f>IF(Input_voertuigprijzen!AD86&gt;0,Input_voertuig!J$2,"")</f>
        <v/>
      </c>
      <c r="K87" s="542">
        <f>IF(Input_voertuigprijzen!AE86&gt;0,Input_voertuig!K$2,"")</f>
        <v>2019</v>
      </c>
      <c r="L87" s="542">
        <f>IF(Input_voertuigprijzen!AF86&gt;0,Input_voertuig!L$2,"")</f>
        <v>2018</v>
      </c>
      <c r="M87" s="542">
        <f>IF(Input_voertuigprijzen!AG86&gt;0,Input_voertuig!M$2,"")</f>
        <v>2017</v>
      </c>
      <c r="N87" s="542">
        <f>IF(Input_voertuigprijzen!AH86&gt;0,Input_voertuig!N$2,"")</f>
        <v>2016</v>
      </c>
      <c r="O87" s="542" t="str">
        <f>IF(Input_voertuigprijzen!AI86&gt;0,Input_voertuig!O$2,"")</f>
        <v/>
      </c>
      <c r="P87" s="542" t="str">
        <f>IF(Input_voertuigprijzen!AJ86&gt;0,Input_voertuig!P$2,"")</f>
        <v/>
      </c>
      <c r="Q87" s="542" t="str">
        <f>IF(Input_voertuigprijzen!AK86&gt;0,Input_voertuig!Q$2,"")</f>
        <v/>
      </c>
      <c r="R87" s="542" t="str">
        <f>IF(Input_voertuigprijzen!AL86&gt;0,Input_voertuig!R$2,"")</f>
        <v/>
      </c>
      <c r="S87" s="542" t="str">
        <f>IF(Input_voertuigprijzen!AM86&gt;0,Input_voertuig!S$2,"")</f>
        <v/>
      </c>
      <c r="T87" s="542" t="str">
        <f>IF(Input_voertuigprijzen!AN86&gt;0,Input_voertuig!T$2,"")</f>
        <v/>
      </c>
    </row>
    <row r="88" spans="1:20" x14ac:dyDescent="0.3">
      <c r="A88" s="489" t="s">
        <v>1432</v>
      </c>
      <c r="B88" s="489" t="s">
        <v>1687</v>
      </c>
      <c r="C88" s="489" t="s">
        <v>1814</v>
      </c>
      <c r="D88" s="489" t="s">
        <v>46</v>
      </c>
      <c r="E88" s="489" t="s">
        <v>994</v>
      </c>
      <c r="F88" s="542" t="str">
        <f>IF(Input_voertuigprijzen!Z87&gt;0,Input_voertuig!F$2,"")</f>
        <v/>
      </c>
      <c r="G88" s="542" t="str">
        <f>IF(Input_voertuigprijzen!AA87&gt;0,Input_voertuig!G$2,"")</f>
        <v/>
      </c>
      <c r="H88" s="542">
        <f>IF(Input_voertuigprijzen!AB87&gt;0,Input_voertuig!H$2,"")</f>
        <v>2022</v>
      </c>
      <c r="I88" s="542" t="str">
        <f>IF(Input_voertuigprijzen!AC87&gt;0,Input_voertuig!I$2,"")</f>
        <v/>
      </c>
      <c r="J88" s="542" t="str">
        <f>IF(Input_voertuigprijzen!AD87&gt;0,Input_voertuig!J$2,"")</f>
        <v/>
      </c>
      <c r="K88" s="542">
        <f>IF(Input_voertuigprijzen!AE87&gt;0,Input_voertuig!K$2,"")</f>
        <v>2019</v>
      </c>
      <c r="L88" s="542">
        <f>IF(Input_voertuigprijzen!AF87&gt;0,Input_voertuig!L$2,"")</f>
        <v>2018</v>
      </c>
      <c r="M88" s="542">
        <f>IF(Input_voertuigprijzen!AG87&gt;0,Input_voertuig!M$2,"")</f>
        <v>2017</v>
      </c>
      <c r="N88" s="542">
        <f>IF(Input_voertuigprijzen!AH87&gt;0,Input_voertuig!N$2,"")</f>
        <v>2016</v>
      </c>
      <c r="O88" s="542">
        <f>IF(Input_voertuigprijzen!AI87&gt;0,Input_voertuig!O$2,"")</f>
        <v>2015</v>
      </c>
      <c r="P88" s="542">
        <f>IF(Input_voertuigprijzen!AJ87&gt;0,Input_voertuig!P$2,"")</f>
        <v>2014</v>
      </c>
      <c r="Q88" s="542">
        <f>IF(Input_voertuigprijzen!AK87&gt;0,Input_voertuig!Q$2,"")</f>
        <v>2013</v>
      </c>
      <c r="R88" s="542">
        <f>IF(Input_voertuigprijzen!AL87&gt;0,Input_voertuig!R$2,"")</f>
        <v>2012</v>
      </c>
      <c r="S88" s="542" t="str">
        <f>IF(Input_voertuigprijzen!AM87&gt;0,Input_voertuig!S$2,"")</f>
        <v/>
      </c>
      <c r="T88" s="542">
        <f>IF(Input_voertuigprijzen!AN87&gt;0,Input_voertuig!T$2,"")</f>
        <v>2010</v>
      </c>
    </row>
    <row r="89" spans="1:20" x14ac:dyDescent="0.3">
      <c r="A89" s="489" t="s">
        <v>1677</v>
      </c>
      <c r="B89" s="489" t="s">
        <v>1688</v>
      </c>
      <c r="C89" s="489" t="s">
        <v>1815</v>
      </c>
      <c r="D89" s="489" t="s">
        <v>141</v>
      </c>
      <c r="E89" s="489" t="s">
        <v>994</v>
      </c>
      <c r="F89" s="542">
        <f>IF(Input_voertuigprijzen!Z88&gt;0,Input_voertuig!F$2,"")</f>
        <v>2024</v>
      </c>
      <c r="G89" s="542" t="str">
        <f>IF(Input_voertuigprijzen!AA88&gt;0,Input_voertuig!G$2,"")</f>
        <v/>
      </c>
      <c r="H89" s="542" t="str">
        <f>IF(Input_voertuigprijzen!AB88&gt;0,Input_voertuig!H$2,"")</f>
        <v/>
      </c>
      <c r="I89" s="542" t="str">
        <f>IF(Input_voertuigprijzen!AC88&gt;0,Input_voertuig!I$2,"")</f>
        <v/>
      </c>
      <c r="J89" s="542" t="str">
        <f>IF(Input_voertuigprijzen!AD88&gt;0,Input_voertuig!J$2,"")</f>
        <v/>
      </c>
      <c r="K89" s="542" t="str">
        <f>IF(Input_voertuigprijzen!AE88&gt;0,Input_voertuig!K$2,"")</f>
        <v/>
      </c>
      <c r="L89" s="542" t="str">
        <f>IF(Input_voertuigprijzen!AF88&gt;0,Input_voertuig!L$2,"")</f>
        <v/>
      </c>
      <c r="M89" s="542" t="str">
        <f>IF(Input_voertuigprijzen!AG88&gt;0,Input_voertuig!M$2,"")</f>
        <v/>
      </c>
      <c r="N89" s="542" t="str">
        <f>IF(Input_voertuigprijzen!AH88&gt;0,Input_voertuig!N$2,"")</f>
        <v/>
      </c>
      <c r="O89" s="542" t="str">
        <f>IF(Input_voertuigprijzen!AI88&gt;0,Input_voertuig!O$2,"")</f>
        <v/>
      </c>
      <c r="P89" s="542" t="str">
        <f>IF(Input_voertuigprijzen!AJ88&gt;0,Input_voertuig!P$2,"")</f>
        <v/>
      </c>
      <c r="Q89" s="542" t="str">
        <f>IF(Input_voertuigprijzen!AK88&gt;0,Input_voertuig!Q$2,"")</f>
        <v/>
      </c>
      <c r="R89" s="542" t="str">
        <f>IF(Input_voertuigprijzen!AL88&gt;0,Input_voertuig!R$2,"")</f>
        <v/>
      </c>
      <c r="S89" s="542" t="str">
        <f>IF(Input_voertuigprijzen!AM88&gt;0,Input_voertuig!S$2,"")</f>
        <v/>
      </c>
      <c r="T89" s="542" t="str">
        <f>IF(Input_voertuigprijzen!AN88&gt;0,Input_voertuig!T$2,"")</f>
        <v/>
      </c>
    </row>
    <row r="90" spans="1:20" x14ac:dyDescent="0.3">
      <c r="A90" s="489" t="s">
        <v>1414</v>
      </c>
      <c r="B90" s="489" t="s">
        <v>1689</v>
      </c>
      <c r="C90" s="489" t="s">
        <v>1816</v>
      </c>
      <c r="D90" s="489" t="s">
        <v>1929</v>
      </c>
      <c r="E90" s="489" t="s">
        <v>994</v>
      </c>
      <c r="F90" s="542" t="str">
        <f>IF(Input_voertuigprijzen!Z89&gt;0,Input_voertuig!F$2,"")</f>
        <v/>
      </c>
      <c r="G90" s="542" t="str">
        <f>IF(Input_voertuigprijzen!AA89&gt;0,Input_voertuig!G$2,"")</f>
        <v/>
      </c>
      <c r="H90" s="542" t="str">
        <f>IF(Input_voertuigprijzen!AB89&gt;0,Input_voertuig!H$2,"")</f>
        <v/>
      </c>
      <c r="I90" s="542" t="str">
        <f>IF(Input_voertuigprijzen!AC89&gt;0,Input_voertuig!I$2,"")</f>
        <v/>
      </c>
      <c r="J90" s="542" t="str">
        <f>IF(Input_voertuigprijzen!AD89&gt;0,Input_voertuig!J$2,"")</f>
        <v/>
      </c>
      <c r="K90" s="542" t="str">
        <f>IF(Input_voertuigprijzen!AE89&gt;0,Input_voertuig!K$2,"")</f>
        <v/>
      </c>
      <c r="L90" s="542">
        <f>IF(Input_voertuigprijzen!AF89&gt;0,Input_voertuig!L$2,"")</f>
        <v>2018</v>
      </c>
      <c r="M90" s="542" t="str">
        <f>IF(Input_voertuigprijzen!AG89&gt;0,Input_voertuig!M$2,"")</f>
        <v/>
      </c>
      <c r="N90" s="542">
        <f>IF(Input_voertuigprijzen!AH89&gt;0,Input_voertuig!N$2,"")</f>
        <v>2016</v>
      </c>
      <c r="O90" s="542">
        <f>IF(Input_voertuigprijzen!AI89&gt;0,Input_voertuig!O$2,"")</f>
        <v>2015</v>
      </c>
      <c r="P90" s="542">
        <f>IF(Input_voertuigprijzen!AJ89&gt;0,Input_voertuig!P$2,"")</f>
        <v>2014</v>
      </c>
      <c r="Q90" s="542">
        <f>IF(Input_voertuigprijzen!AK89&gt;0,Input_voertuig!Q$2,"")</f>
        <v>2013</v>
      </c>
      <c r="R90" s="542" t="str">
        <f>IF(Input_voertuigprijzen!AL89&gt;0,Input_voertuig!R$2,"")</f>
        <v/>
      </c>
      <c r="S90" s="542" t="str">
        <f>IF(Input_voertuigprijzen!AM89&gt;0,Input_voertuig!S$2,"")</f>
        <v/>
      </c>
      <c r="T90" s="542" t="str">
        <f>IF(Input_voertuigprijzen!AN89&gt;0,Input_voertuig!T$2,"")</f>
        <v/>
      </c>
    </row>
    <row r="91" spans="1:20" x14ac:dyDescent="0.3">
      <c r="A91" s="489" t="s">
        <v>1414</v>
      </c>
      <c r="B91" s="489" t="s">
        <v>1690</v>
      </c>
      <c r="C91" s="489" t="s">
        <v>1817</v>
      </c>
      <c r="D91" s="489" t="s">
        <v>46</v>
      </c>
      <c r="E91" s="489" t="s">
        <v>994</v>
      </c>
      <c r="F91" s="542">
        <f>IF(Input_voertuigprijzen!Z90&gt;0,Input_voertuig!F$2,"")</f>
        <v>2024</v>
      </c>
      <c r="G91" s="542">
        <f>IF(Input_voertuigprijzen!AA90&gt;0,Input_voertuig!G$2,"")</f>
        <v>2023</v>
      </c>
      <c r="H91" s="542">
        <f>IF(Input_voertuigprijzen!AB90&gt;0,Input_voertuig!H$2,"")</f>
        <v>2022</v>
      </c>
      <c r="I91" s="542">
        <f>IF(Input_voertuigprijzen!AC90&gt;0,Input_voertuig!I$2,"")</f>
        <v>2021</v>
      </c>
      <c r="J91" s="542" t="str">
        <f>IF(Input_voertuigprijzen!AD90&gt;0,Input_voertuig!J$2,"")</f>
        <v/>
      </c>
      <c r="K91" s="542">
        <f>IF(Input_voertuigprijzen!AE90&gt;0,Input_voertuig!K$2,"")</f>
        <v>2019</v>
      </c>
      <c r="L91" s="542">
        <f>IF(Input_voertuigprijzen!AF90&gt;0,Input_voertuig!L$2,"")</f>
        <v>2018</v>
      </c>
      <c r="M91" s="542">
        <f>IF(Input_voertuigprijzen!AG90&gt;0,Input_voertuig!M$2,"")</f>
        <v>2017</v>
      </c>
      <c r="N91" s="542">
        <f>IF(Input_voertuigprijzen!AH90&gt;0,Input_voertuig!N$2,"")</f>
        <v>2016</v>
      </c>
      <c r="O91" s="542">
        <f>IF(Input_voertuigprijzen!AI90&gt;0,Input_voertuig!O$2,"")</f>
        <v>2015</v>
      </c>
      <c r="P91" s="542">
        <f>IF(Input_voertuigprijzen!AJ90&gt;0,Input_voertuig!P$2,"")</f>
        <v>2014</v>
      </c>
      <c r="Q91" s="542">
        <f>IF(Input_voertuigprijzen!AK90&gt;0,Input_voertuig!Q$2,"")</f>
        <v>2013</v>
      </c>
      <c r="R91" s="542">
        <f>IF(Input_voertuigprijzen!AL90&gt;0,Input_voertuig!R$2,"")</f>
        <v>2012</v>
      </c>
      <c r="S91" s="542">
        <f>IF(Input_voertuigprijzen!AM90&gt;0,Input_voertuig!S$2,"")</f>
        <v>2011</v>
      </c>
      <c r="T91" s="542">
        <f>IF(Input_voertuigprijzen!AN90&gt;0,Input_voertuig!T$2,"")</f>
        <v>2010</v>
      </c>
    </row>
    <row r="92" spans="1:20" x14ac:dyDescent="0.3">
      <c r="A92" s="489" t="s">
        <v>1414</v>
      </c>
      <c r="B92" s="489" t="s">
        <v>1691</v>
      </c>
      <c r="C92" s="489" t="s">
        <v>1818</v>
      </c>
      <c r="D92" s="489" t="s">
        <v>46</v>
      </c>
      <c r="E92" s="489" t="s">
        <v>994</v>
      </c>
      <c r="F92" s="542">
        <f>IF(Input_voertuigprijzen!Z91&gt;0,Input_voertuig!F$2,"")</f>
        <v>2024</v>
      </c>
      <c r="G92" s="542">
        <f>IF(Input_voertuigprijzen!AA91&gt;0,Input_voertuig!G$2,"")</f>
        <v>2023</v>
      </c>
      <c r="H92" s="542" t="str">
        <f>IF(Input_voertuigprijzen!AB91&gt;0,Input_voertuig!H$2,"")</f>
        <v/>
      </c>
      <c r="I92" s="542" t="str">
        <f>IF(Input_voertuigprijzen!AC91&gt;0,Input_voertuig!I$2,"")</f>
        <v/>
      </c>
      <c r="J92" s="542" t="str">
        <f>IF(Input_voertuigprijzen!AD91&gt;0,Input_voertuig!J$2,"")</f>
        <v/>
      </c>
      <c r="K92" s="542">
        <f>IF(Input_voertuigprijzen!AE91&gt;0,Input_voertuig!K$2,"")</f>
        <v>2019</v>
      </c>
      <c r="L92" s="542">
        <f>IF(Input_voertuigprijzen!AF91&gt;0,Input_voertuig!L$2,"")</f>
        <v>2018</v>
      </c>
      <c r="M92" s="542">
        <f>IF(Input_voertuigprijzen!AG91&gt;0,Input_voertuig!M$2,"")</f>
        <v>2017</v>
      </c>
      <c r="N92" s="542">
        <f>IF(Input_voertuigprijzen!AH91&gt;0,Input_voertuig!N$2,"")</f>
        <v>2016</v>
      </c>
      <c r="O92" s="542">
        <f>IF(Input_voertuigprijzen!AI91&gt;0,Input_voertuig!O$2,"")</f>
        <v>2015</v>
      </c>
      <c r="P92" s="542">
        <f>IF(Input_voertuigprijzen!AJ91&gt;0,Input_voertuig!P$2,"")</f>
        <v>2014</v>
      </c>
      <c r="Q92" s="542">
        <f>IF(Input_voertuigprijzen!AK91&gt;0,Input_voertuig!Q$2,"")</f>
        <v>2013</v>
      </c>
      <c r="R92" s="542">
        <f>IF(Input_voertuigprijzen!AL91&gt;0,Input_voertuig!R$2,"")</f>
        <v>2012</v>
      </c>
      <c r="S92" s="542">
        <f>IF(Input_voertuigprijzen!AM91&gt;0,Input_voertuig!S$2,"")</f>
        <v>2011</v>
      </c>
      <c r="T92" s="542">
        <f>IF(Input_voertuigprijzen!AN91&gt;0,Input_voertuig!T$2,"")</f>
        <v>2010</v>
      </c>
    </row>
    <row r="93" spans="1:20" x14ac:dyDescent="0.3">
      <c r="A93" s="489" t="s">
        <v>1605</v>
      </c>
      <c r="B93" s="489" t="s">
        <v>1659</v>
      </c>
      <c r="C93" s="489" t="s">
        <v>1819</v>
      </c>
      <c r="D93" s="489" t="s">
        <v>46</v>
      </c>
      <c r="E93" s="489" t="s">
        <v>994</v>
      </c>
      <c r="F93" s="542">
        <f>IF(Input_voertuigprijzen!Z92&gt;0,Input_voertuig!F$2,"")</f>
        <v>2024</v>
      </c>
      <c r="G93" s="542">
        <f>IF(Input_voertuigprijzen!AA92&gt;0,Input_voertuig!G$2,"")</f>
        <v>2023</v>
      </c>
      <c r="H93" s="542">
        <f>IF(Input_voertuigprijzen!AB92&gt;0,Input_voertuig!H$2,"")</f>
        <v>2022</v>
      </c>
      <c r="I93" s="542">
        <f>IF(Input_voertuigprijzen!AC92&gt;0,Input_voertuig!I$2,"")</f>
        <v>2021</v>
      </c>
      <c r="J93" s="542">
        <f>IF(Input_voertuigprijzen!AD92&gt;0,Input_voertuig!J$2,"")</f>
        <v>2020</v>
      </c>
      <c r="K93" s="542">
        <f>IF(Input_voertuigprijzen!AE92&gt;0,Input_voertuig!K$2,"")</f>
        <v>2019</v>
      </c>
      <c r="L93" s="542">
        <f>IF(Input_voertuigprijzen!AF92&gt;0,Input_voertuig!L$2,"")</f>
        <v>2018</v>
      </c>
      <c r="M93" s="542">
        <f>IF(Input_voertuigprijzen!AG92&gt;0,Input_voertuig!M$2,"")</f>
        <v>2017</v>
      </c>
      <c r="N93" s="542" t="str">
        <f>IF(Input_voertuigprijzen!AH92&gt;0,Input_voertuig!N$2,"")</f>
        <v/>
      </c>
      <c r="O93" s="542" t="str">
        <f>IF(Input_voertuigprijzen!AI92&gt;0,Input_voertuig!O$2,"")</f>
        <v/>
      </c>
      <c r="P93" s="542" t="str">
        <f>IF(Input_voertuigprijzen!AJ92&gt;0,Input_voertuig!P$2,"")</f>
        <v/>
      </c>
      <c r="Q93" s="542" t="str">
        <f>IF(Input_voertuigprijzen!AK92&gt;0,Input_voertuig!Q$2,"")</f>
        <v/>
      </c>
      <c r="R93" s="542" t="str">
        <f>IF(Input_voertuigprijzen!AL92&gt;0,Input_voertuig!R$2,"")</f>
        <v/>
      </c>
      <c r="S93" s="542" t="str">
        <f>IF(Input_voertuigprijzen!AM92&gt;0,Input_voertuig!S$2,"")</f>
        <v/>
      </c>
      <c r="T93" s="542" t="str">
        <f>IF(Input_voertuigprijzen!AN92&gt;0,Input_voertuig!T$2,"")</f>
        <v/>
      </c>
    </row>
    <row r="94" spans="1:20" x14ac:dyDescent="0.3">
      <c r="A94" s="489" t="s">
        <v>1422</v>
      </c>
      <c r="B94" s="489" t="s">
        <v>1692</v>
      </c>
      <c r="C94" s="489" t="s">
        <v>1820</v>
      </c>
      <c r="D94" s="489" t="s">
        <v>46</v>
      </c>
      <c r="E94" s="489" t="s">
        <v>994</v>
      </c>
      <c r="F94" s="542" t="str">
        <f>IF(Input_voertuigprijzen!Z93&gt;0,Input_voertuig!F$2,"")</f>
        <v/>
      </c>
      <c r="G94" s="542" t="str">
        <f>IF(Input_voertuigprijzen!AA93&gt;0,Input_voertuig!G$2,"")</f>
        <v/>
      </c>
      <c r="H94" s="542" t="str">
        <f>IF(Input_voertuigprijzen!AB93&gt;0,Input_voertuig!H$2,"")</f>
        <v/>
      </c>
      <c r="I94" s="542" t="str">
        <f>IF(Input_voertuigprijzen!AC93&gt;0,Input_voertuig!I$2,"")</f>
        <v/>
      </c>
      <c r="J94" s="542">
        <f>IF(Input_voertuigprijzen!AD93&gt;0,Input_voertuig!J$2,"")</f>
        <v>2020</v>
      </c>
      <c r="K94" s="542">
        <f>IF(Input_voertuigprijzen!AE93&gt;0,Input_voertuig!K$2,"")</f>
        <v>2019</v>
      </c>
      <c r="L94" s="542">
        <f>IF(Input_voertuigprijzen!AF93&gt;0,Input_voertuig!L$2,"")</f>
        <v>2018</v>
      </c>
      <c r="M94" s="542">
        <f>IF(Input_voertuigprijzen!AG93&gt;0,Input_voertuig!M$2,"")</f>
        <v>2017</v>
      </c>
      <c r="N94" s="542">
        <f>IF(Input_voertuigprijzen!AH93&gt;0,Input_voertuig!N$2,"")</f>
        <v>2016</v>
      </c>
      <c r="O94" s="542">
        <f>IF(Input_voertuigprijzen!AI93&gt;0,Input_voertuig!O$2,"")</f>
        <v>2015</v>
      </c>
      <c r="P94" s="542">
        <f>IF(Input_voertuigprijzen!AJ93&gt;0,Input_voertuig!P$2,"")</f>
        <v>2014</v>
      </c>
      <c r="Q94" s="542">
        <f>IF(Input_voertuigprijzen!AK93&gt;0,Input_voertuig!Q$2,"")</f>
        <v>2013</v>
      </c>
      <c r="R94" s="542">
        <f>IF(Input_voertuigprijzen!AL93&gt;0,Input_voertuig!R$2,"")</f>
        <v>2012</v>
      </c>
      <c r="S94" s="542">
        <f>IF(Input_voertuigprijzen!AM93&gt;0,Input_voertuig!S$2,"")</f>
        <v>2011</v>
      </c>
      <c r="T94" s="542">
        <f>IF(Input_voertuigprijzen!AN93&gt;0,Input_voertuig!T$2,"")</f>
        <v>2010</v>
      </c>
    </row>
    <row r="95" spans="1:20" x14ac:dyDescent="0.3">
      <c r="A95" s="489" t="s">
        <v>1451</v>
      </c>
      <c r="B95" s="489" t="s">
        <v>1693</v>
      </c>
      <c r="C95" s="489" t="s">
        <v>1821</v>
      </c>
      <c r="D95" s="489" t="s">
        <v>141</v>
      </c>
      <c r="E95" s="489" t="s">
        <v>994</v>
      </c>
      <c r="F95" s="542" t="str">
        <f>IF(Input_voertuigprijzen!Z94&gt;0,Input_voertuig!F$2,"")</f>
        <v/>
      </c>
      <c r="G95" s="542" t="str">
        <f>IF(Input_voertuigprijzen!AA94&gt;0,Input_voertuig!G$2,"")</f>
        <v/>
      </c>
      <c r="H95" s="542" t="str">
        <f>IF(Input_voertuigprijzen!AB94&gt;0,Input_voertuig!H$2,"")</f>
        <v/>
      </c>
      <c r="I95" s="542" t="str">
        <f>IF(Input_voertuigprijzen!AC94&gt;0,Input_voertuig!I$2,"")</f>
        <v/>
      </c>
      <c r="J95" s="542">
        <f>IF(Input_voertuigprijzen!AD94&gt;0,Input_voertuig!J$2,"")</f>
        <v>2020</v>
      </c>
      <c r="K95" s="542">
        <f>IF(Input_voertuigprijzen!AE94&gt;0,Input_voertuig!K$2,"")</f>
        <v>2019</v>
      </c>
      <c r="L95" s="542">
        <f>IF(Input_voertuigprijzen!AF94&gt;0,Input_voertuig!L$2,"")</f>
        <v>2018</v>
      </c>
      <c r="M95" s="542">
        <f>IF(Input_voertuigprijzen!AG94&gt;0,Input_voertuig!M$2,"")</f>
        <v>2017</v>
      </c>
      <c r="N95" s="542" t="str">
        <f>IF(Input_voertuigprijzen!AH94&gt;0,Input_voertuig!N$2,"")</f>
        <v/>
      </c>
      <c r="O95" s="542" t="str">
        <f>IF(Input_voertuigprijzen!AI94&gt;0,Input_voertuig!O$2,"")</f>
        <v/>
      </c>
      <c r="P95" s="542" t="str">
        <f>IF(Input_voertuigprijzen!AJ94&gt;0,Input_voertuig!P$2,"")</f>
        <v/>
      </c>
      <c r="Q95" s="542" t="str">
        <f>IF(Input_voertuigprijzen!AK94&gt;0,Input_voertuig!Q$2,"")</f>
        <v/>
      </c>
      <c r="R95" s="542" t="str">
        <f>IF(Input_voertuigprijzen!AL94&gt;0,Input_voertuig!R$2,"")</f>
        <v/>
      </c>
      <c r="S95" s="542" t="str">
        <f>IF(Input_voertuigprijzen!AM94&gt;0,Input_voertuig!S$2,"")</f>
        <v/>
      </c>
      <c r="T95" s="542" t="str">
        <f>IF(Input_voertuigprijzen!AN94&gt;0,Input_voertuig!T$2,"")</f>
        <v/>
      </c>
    </row>
    <row r="96" spans="1:20" x14ac:dyDescent="0.3">
      <c r="A96" s="489" t="s">
        <v>1694</v>
      </c>
      <c r="B96" s="489" t="s">
        <v>1695</v>
      </c>
      <c r="C96" s="489" t="s">
        <v>1822</v>
      </c>
      <c r="D96" s="489" t="s">
        <v>46</v>
      </c>
      <c r="E96" s="489" t="s">
        <v>994</v>
      </c>
      <c r="F96" s="542">
        <f>IF(Input_voertuigprijzen!Z95&gt;0,Input_voertuig!F$2,"")</f>
        <v>2024</v>
      </c>
      <c r="G96" s="542">
        <f>IF(Input_voertuigprijzen!AA95&gt;0,Input_voertuig!G$2,"")</f>
        <v>2023</v>
      </c>
      <c r="H96" s="542">
        <f>IF(Input_voertuigprijzen!AB95&gt;0,Input_voertuig!H$2,"")</f>
        <v>2022</v>
      </c>
      <c r="I96" s="542">
        <f>IF(Input_voertuigprijzen!AC95&gt;0,Input_voertuig!I$2,"")</f>
        <v>2021</v>
      </c>
      <c r="J96" s="542" t="str">
        <f>IF(Input_voertuigprijzen!AD95&gt;0,Input_voertuig!J$2,"")</f>
        <v/>
      </c>
      <c r="K96" s="542">
        <f>IF(Input_voertuigprijzen!AE95&gt;0,Input_voertuig!K$2,"")</f>
        <v>2019</v>
      </c>
      <c r="L96" s="542">
        <f>IF(Input_voertuigprijzen!AF95&gt;0,Input_voertuig!L$2,"")</f>
        <v>2018</v>
      </c>
      <c r="M96" s="542">
        <f>IF(Input_voertuigprijzen!AG95&gt;0,Input_voertuig!M$2,"")</f>
        <v>2017</v>
      </c>
      <c r="N96" s="542">
        <f>IF(Input_voertuigprijzen!AH95&gt;0,Input_voertuig!N$2,"")</f>
        <v>2016</v>
      </c>
      <c r="O96" s="542">
        <f>IF(Input_voertuigprijzen!AI95&gt;0,Input_voertuig!O$2,"")</f>
        <v>2015</v>
      </c>
      <c r="P96" s="542" t="str">
        <f>IF(Input_voertuigprijzen!AJ95&gt;0,Input_voertuig!P$2,"")</f>
        <v/>
      </c>
      <c r="Q96" s="542" t="str">
        <f>IF(Input_voertuigprijzen!AK95&gt;0,Input_voertuig!Q$2,"")</f>
        <v/>
      </c>
      <c r="R96" s="542" t="str">
        <f>IF(Input_voertuigprijzen!AL95&gt;0,Input_voertuig!R$2,"")</f>
        <v/>
      </c>
      <c r="S96" s="542" t="str">
        <f>IF(Input_voertuigprijzen!AM95&gt;0,Input_voertuig!S$2,"")</f>
        <v/>
      </c>
      <c r="T96" s="542" t="str">
        <f>IF(Input_voertuigprijzen!AN95&gt;0,Input_voertuig!T$2,"")</f>
        <v/>
      </c>
    </row>
    <row r="97" spans="1:20" x14ac:dyDescent="0.3">
      <c r="A97" s="489" t="s">
        <v>1544</v>
      </c>
      <c r="B97" s="489" t="s">
        <v>1696</v>
      </c>
      <c r="C97" s="489" t="s">
        <v>1823</v>
      </c>
      <c r="D97" s="489" t="s">
        <v>46</v>
      </c>
      <c r="E97" s="489" t="s">
        <v>1960</v>
      </c>
      <c r="F97" s="542" t="str">
        <f>IF(Input_voertuigprijzen!Z96&gt;0,Input_voertuig!F$2,"")</f>
        <v/>
      </c>
      <c r="G97" s="542" t="str">
        <f>IF(Input_voertuigprijzen!AA96&gt;0,Input_voertuig!G$2,"")</f>
        <v/>
      </c>
      <c r="H97" s="542" t="str">
        <f>IF(Input_voertuigprijzen!AB96&gt;0,Input_voertuig!H$2,"")</f>
        <v/>
      </c>
      <c r="I97" s="542" t="str">
        <f>IF(Input_voertuigprijzen!AC96&gt;0,Input_voertuig!I$2,"")</f>
        <v/>
      </c>
      <c r="J97" s="542" t="str">
        <f>IF(Input_voertuigprijzen!AD96&gt;0,Input_voertuig!J$2,"")</f>
        <v/>
      </c>
      <c r="K97" s="542">
        <f>IF(Input_voertuigprijzen!AE96&gt;0,Input_voertuig!K$2,"")</f>
        <v>2019</v>
      </c>
      <c r="L97" s="542" t="str">
        <f>IF(Input_voertuigprijzen!AF96&gt;0,Input_voertuig!L$2,"")</f>
        <v/>
      </c>
      <c r="M97" s="542" t="str">
        <f>IF(Input_voertuigprijzen!AG96&gt;0,Input_voertuig!M$2,"")</f>
        <v/>
      </c>
      <c r="N97" s="542" t="str">
        <f>IF(Input_voertuigprijzen!AH96&gt;0,Input_voertuig!N$2,"")</f>
        <v/>
      </c>
      <c r="O97" s="542" t="str">
        <f>IF(Input_voertuigprijzen!AI96&gt;0,Input_voertuig!O$2,"")</f>
        <v/>
      </c>
      <c r="P97" s="542" t="str">
        <f>IF(Input_voertuigprijzen!AJ96&gt;0,Input_voertuig!P$2,"")</f>
        <v/>
      </c>
      <c r="Q97" s="542" t="str">
        <f>IF(Input_voertuigprijzen!AK96&gt;0,Input_voertuig!Q$2,"")</f>
        <v/>
      </c>
      <c r="R97" s="542">
        <f>IF(Input_voertuigprijzen!AL96&gt;0,Input_voertuig!R$2,"")</f>
        <v>2012</v>
      </c>
      <c r="S97" s="542">
        <f>IF(Input_voertuigprijzen!AM96&gt;0,Input_voertuig!S$2,"")</f>
        <v>2011</v>
      </c>
      <c r="T97" s="542">
        <f>IF(Input_voertuigprijzen!AN96&gt;0,Input_voertuig!T$2,"")</f>
        <v>2010</v>
      </c>
    </row>
    <row r="98" spans="1:20" x14ac:dyDescent="0.3">
      <c r="A98" s="489" t="s">
        <v>1544</v>
      </c>
      <c r="B98" s="489" t="s">
        <v>1697</v>
      </c>
      <c r="C98" s="489" t="s">
        <v>1824</v>
      </c>
      <c r="D98" s="489" t="s">
        <v>46</v>
      </c>
      <c r="E98" s="489" t="s">
        <v>1960</v>
      </c>
      <c r="F98" s="542" t="str">
        <f>IF(Input_voertuigprijzen!Z97&gt;0,Input_voertuig!F$2,"")</f>
        <v/>
      </c>
      <c r="G98" s="542">
        <f>IF(Input_voertuigprijzen!AA97&gt;0,Input_voertuig!G$2,"")</f>
        <v>2023</v>
      </c>
      <c r="H98" s="542">
        <f>IF(Input_voertuigprijzen!AB97&gt;0,Input_voertuig!H$2,"")</f>
        <v>2022</v>
      </c>
      <c r="I98" s="542" t="str">
        <f>IF(Input_voertuigprijzen!AC97&gt;0,Input_voertuig!I$2,"")</f>
        <v/>
      </c>
      <c r="J98" s="542">
        <f>IF(Input_voertuigprijzen!AD97&gt;0,Input_voertuig!J$2,"")</f>
        <v>2020</v>
      </c>
      <c r="K98" s="542">
        <f>IF(Input_voertuigprijzen!AE97&gt;0,Input_voertuig!K$2,"")</f>
        <v>2019</v>
      </c>
      <c r="L98" s="542">
        <f>IF(Input_voertuigprijzen!AF97&gt;0,Input_voertuig!L$2,"")</f>
        <v>2018</v>
      </c>
      <c r="M98" s="542">
        <f>IF(Input_voertuigprijzen!AG97&gt;0,Input_voertuig!M$2,"")</f>
        <v>2017</v>
      </c>
      <c r="N98" s="542" t="str">
        <f>IF(Input_voertuigprijzen!AH97&gt;0,Input_voertuig!N$2,"")</f>
        <v/>
      </c>
      <c r="O98" s="542">
        <f>IF(Input_voertuigprijzen!AI97&gt;0,Input_voertuig!O$2,"")</f>
        <v>2015</v>
      </c>
      <c r="P98" s="542">
        <f>IF(Input_voertuigprijzen!AJ97&gt;0,Input_voertuig!P$2,"")</f>
        <v>2014</v>
      </c>
      <c r="Q98" s="542">
        <f>IF(Input_voertuigprijzen!AK97&gt;0,Input_voertuig!Q$2,"")</f>
        <v>2013</v>
      </c>
      <c r="R98" s="542" t="str">
        <f>IF(Input_voertuigprijzen!AL97&gt;0,Input_voertuig!R$2,"")</f>
        <v/>
      </c>
      <c r="S98" s="542" t="str">
        <f>IF(Input_voertuigprijzen!AM97&gt;0,Input_voertuig!S$2,"")</f>
        <v/>
      </c>
      <c r="T98" s="542" t="str">
        <f>IF(Input_voertuigprijzen!AN97&gt;0,Input_voertuig!T$2,"")</f>
        <v/>
      </c>
    </row>
    <row r="99" spans="1:20" x14ac:dyDescent="0.3">
      <c r="A99" s="489" t="s">
        <v>1417</v>
      </c>
      <c r="B99" s="489" t="s">
        <v>1698</v>
      </c>
      <c r="C99" s="489" t="s">
        <v>1825</v>
      </c>
      <c r="D99" s="489" t="s">
        <v>46</v>
      </c>
      <c r="E99" s="489" t="s">
        <v>994</v>
      </c>
      <c r="F99" s="542" t="str">
        <f>IF(Input_voertuigprijzen!Z98&gt;0,Input_voertuig!F$2,"")</f>
        <v/>
      </c>
      <c r="G99" s="542" t="str">
        <f>IF(Input_voertuigprijzen!AA98&gt;0,Input_voertuig!G$2,"")</f>
        <v/>
      </c>
      <c r="H99" s="542" t="str">
        <f>IF(Input_voertuigprijzen!AB98&gt;0,Input_voertuig!H$2,"")</f>
        <v/>
      </c>
      <c r="I99" s="542" t="str">
        <f>IF(Input_voertuigprijzen!AC98&gt;0,Input_voertuig!I$2,"")</f>
        <v/>
      </c>
      <c r="J99" s="542" t="str">
        <f>IF(Input_voertuigprijzen!AD98&gt;0,Input_voertuig!J$2,"")</f>
        <v/>
      </c>
      <c r="K99" s="542">
        <f>IF(Input_voertuigprijzen!AE98&gt;0,Input_voertuig!K$2,"")</f>
        <v>2019</v>
      </c>
      <c r="L99" s="542">
        <f>IF(Input_voertuigprijzen!AF98&gt;0,Input_voertuig!L$2,"")</f>
        <v>2018</v>
      </c>
      <c r="M99" s="542">
        <f>IF(Input_voertuigprijzen!AG98&gt;0,Input_voertuig!M$2,"")</f>
        <v>2017</v>
      </c>
      <c r="N99" s="542">
        <f>IF(Input_voertuigprijzen!AH98&gt;0,Input_voertuig!N$2,"")</f>
        <v>2016</v>
      </c>
      <c r="O99" s="542">
        <f>IF(Input_voertuigprijzen!AI98&gt;0,Input_voertuig!O$2,"")</f>
        <v>2015</v>
      </c>
      <c r="P99" s="542" t="str">
        <f>IF(Input_voertuigprijzen!AJ98&gt;0,Input_voertuig!P$2,"")</f>
        <v/>
      </c>
      <c r="Q99" s="542">
        <f>IF(Input_voertuigprijzen!AK98&gt;0,Input_voertuig!Q$2,"")</f>
        <v>2013</v>
      </c>
      <c r="R99" s="542">
        <f>IF(Input_voertuigprijzen!AL98&gt;0,Input_voertuig!R$2,"")</f>
        <v>2012</v>
      </c>
      <c r="S99" s="542" t="str">
        <f>IF(Input_voertuigprijzen!AM98&gt;0,Input_voertuig!S$2,"")</f>
        <v/>
      </c>
      <c r="T99" s="542" t="str">
        <f>IF(Input_voertuigprijzen!AN98&gt;0,Input_voertuig!T$2,"")</f>
        <v/>
      </c>
    </row>
    <row r="100" spans="1:20" x14ac:dyDescent="0.3">
      <c r="A100" s="489" t="s">
        <v>1544</v>
      </c>
      <c r="B100" s="489" t="s">
        <v>1699</v>
      </c>
      <c r="C100" s="489" t="s">
        <v>1826</v>
      </c>
      <c r="D100" s="489" t="s">
        <v>46</v>
      </c>
      <c r="E100" s="489" t="s">
        <v>1960</v>
      </c>
      <c r="F100" s="542" t="str">
        <f>IF(Input_voertuigprijzen!Z99&gt;0,Input_voertuig!F$2,"")</f>
        <v/>
      </c>
      <c r="G100" s="542" t="str">
        <f>IF(Input_voertuigprijzen!AA99&gt;0,Input_voertuig!G$2,"")</f>
        <v/>
      </c>
      <c r="H100" s="542" t="str">
        <f>IF(Input_voertuigprijzen!AB99&gt;0,Input_voertuig!H$2,"")</f>
        <v/>
      </c>
      <c r="I100" s="542" t="str">
        <f>IF(Input_voertuigprijzen!AC99&gt;0,Input_voertuig!I$2,"")</f>
        <v/>
      </c>
      <c r="J100" s="542" t="str">
        <f>IF(Input_voertuigprijzen!AD99&gt;0,Input_voertuig!J$2,"")</f>
        <v/>
      </c>
      <c r="K100" s="542" t="str">
        <f>IF(Input_voertuigprijzen!AE99&gt;0,Input_voertuig!K$2,"")</f>
        <v/>
      </c>
      <c r="L100" s="542" t="str">
        <f>IF(Input_voertuigprijzen!AF99&gt;0,Input_voertuig!L$2,"")</f>
        <v/>
      </c>
      <c r="M100" s="542" t="str">
        <f>IF(Input_voertuigprijzen!AG99&gt;0,Input_voertuig!M$2,"")</f>
        <v/>
      </c>
      <c r="N100" s="542" t="str">
        <f>IF(Input_voertuigprijzen!AH99&gt;0,Input_voertuig!N$2,"")</f>
        <v/>
      </c>
      <c r="O100" s="542" t="str">
        <f>IF(Input_voertuigprijzen!AI99&gt;0,Input_voertuig!O$2,"")</f>
        <v/>
      </c>
      <c r="P100" s="542">
        <f>IF(Input_voertuigprijzen!AJ99&gt;0,Input_voertuig!P$2,"")</f>
        <v>2014</v>
      </c>
      <c r="Q100" s="542">
        <f>IF(Input_voertuigprijzen!AK99&gt;0,Input_voertuig!Q$2,"")</f>
        <v>2013</v>
      </c>
      <c r="R100" s="542">
        <f>IF(Input_voertuigprijzen!AL99&gt;0,Input_voertuig!R$2,"")</f>
        <v>2012</v>
      </c>
      <c r="S100" s="542">
        <f>IF(Input_voertuigprijzen!AM99&gt;0,Input_voertuig!S$2,"")</f>
        <v>2011</v>
      </c>
      <c r="T100" s="542" t="str">
        <f>IF(Input_voertuigprijzen!AN99&gt;0,Input_voertuig!T$2,"")</f>
        <v/>
      </c>
    </row>
    <row r="101" spans="1:20" x14ac:dyDescent="0.3">
      <c r="A101" s="489" t="s">
        <v>1451</v>
      </c>
      <c r="B101" s="489" t="s">
        <v>1452</v>
      </c>
      <c r="C101" s="489" t="s">
        <v>1453</v>
      </c>
      <c r="D101" s="489" t="s">
        <v>46</v>
      </c>
      <c r="E101" s="489" t="s">
        <v>1960</v>
      </c>
      <c r="F101" s="542">
        <f>IF(Input_voertuigprijzen!Z100&gt;0,Input_voertuig!F$2,"")</f>
        <v>2024</v>
      </c>
      <c r="G101" s="542" t="str">
        <f>IF(Input_voertuigprijzen!AA100&gt;0,Input_voertuig!G$2,"")</f>
        <v/>
      </c>
      <c r="H101" s="542">
        <f>IF(Input_voertuigprijzen!AB100&gt;0,Input_voertuig!H$2,"")</f>
        <v>2022</v>
      </c>
      <c r="I101" s="542" t="str">
        <f>IF(Input_voertuigprijzen!AC100&gt;0,Input_voertuig!I$2,"")</f>
        <v/>
      </c>
      <c r="J101" s="542" t="str">
        <f>IF(Input_voertuigprijzen!AD100&gt;0,Input_voertuig!J$2,"")</f>
        <v/>
      </c>
      <c r="K101" s="542" t="str">
        <f>IF(Input_voertuigprijzen!AE100&gt;0,Input_voertuig!K$2,"")</f>
        <v/>
      </c>
      <c r="L101" s="542" t="str">
        <f>IF(Input_voertuigprijzen!AF100&gt;0,Input_voertuig!L$2,"")</f>
        <v/>
      </c>
      <c r="M101" s="542">
        <f>IF(Input_voertuigprijzen!AG100&gt;0,Input_voertuig!M$2,"")</f>
        <v>2017</v>
      </c>
      <c r="N101" s="542" t="str">
        <f>IF(Input_voertuigprijzen!AH100&gt;0,Input_voertuig!N$2,"")</f>
        <v/>
      </c>
      <c r="O101" s="542" t="str">
        <f>IF(Input_voertuigprijzen!AI100&gt;0,Input_voertuig!O$2,"")</f>
        <v/>
      </c>
      <c r="P101" s="542">
        <f>IF(Input_voertuigprijzen!AJ100&gt;0,Input_voertuig!P$2,"")</f>
        <v>2014</v>
      </c>
      <c r="Q101" s="542">
        <f>IF(Input_voertuigprijzen!AK100&gt;0,Input_voertuig!Q$2,"")</f>
        <v>2013</v>
      </c>
      <c r="R101" s="542">
        <f>IF(Input_voertuigprijzen!AL100&gt;0,Input_voertuig!R$2,"")</f>
        <v>2012</v>
      </c>
      <c r="S101" s="542">
        <f>IF(Input_voertuigprijzen!AM100&gt;0,Input_voertuig!S$2,"")</f>
        <v>2011</v>
      </c>
      <c r="T101" s="542">
        <f>IF(Input_voertuigprijzen!AN100&gt;0,Input_voertuig!T$2,"")</f>
        <v>2010</v>
      </c>
    </row>
    <row r="102" spans="1:20" x14ac:dyDescent="0.3">
      <c r="A102" s="489" t="s">
        <v>1605</v>
      </c>
      <c r="B102" s="489" t="s">
        <v>1660</v>
      </c>
      <c r="C102" s="489" t="s">
        <v>435</v>
      </c>
      <c r="D102" s="489" t="s">
        <v>46</v>
      </c>
      <c r="E102" s="489" t="s">
        <v>994</v>
      </c>
      <c r="F102" s="542" t="str">
        <f>IF(Input_voertuigprijzen!Z101&gt;0,Input_voertuig!F$2,"")</f>
        <v/>
      </c>
      <c r="G102" s="542" t="str">
        <f>IF(Input_voertuigprijzen!AA101&gt;0,Input_voertuig!G$2,"")</f>
        <v/>
      </c>
      <c r="H102" s="542">
        <f>IF(Input_voertuigprijzen!AB101&gt;0,Input_voertuig!H$2,"")</f>
        <v>2022</v>
      </c>
      <c r="I102" s="542" t="str">
        <f>IF(Input_voertuigprijzen!AC101&gt;0,Input_voertuig!I$2,"")</f>
        <v/>
      </c>
      <c r="J102" s="542" t="str">
        <f>IF(Input_voertuigprijzen!AD101&gt;0,Input_voertuig!J$2,"")</f>
        <v/>
      </c>
      <c r="K102" s="542">
        <f>IF(Input_voertuigprijzen!AE101&gt;0,Input_voertuig!K$2,"")</f>
        <v>2019</v>
      </c>
      <c r="L102" s="542">
        <f>IF(Input_voertuigprijzen!AF101&gt;0,Input_voertuig!L$2,"")</f>
        <v>2018</v>
      </c>
      <c r="M102" s="542">
        <f>IF(Input_voertuigprijzen!AG101&gt;0,Input_voertuig!M$2,"")</f>
        <v>2017</v>
      </c>
      <c r="N102" s="542" t="str">
        <f>IF(Input_voertuigprijzen!AH101&gt;0,Input_voertuig!N$2,"")</f>
        <v/>
      </c>
      <c r="O102" s="542">
        <f>IF(Input_voertuigprijzen!AI101&gt;0,Input_voertuig!O$2,"")</f>
        <v>2015</v>
      </c>
      <c r="P102" s="542">
        <f>IF(Input_voertuigprijzen!AJ101&gt;0,Input_voertuig!P$2,"")</f>
        <v>2014</v>
      </c>
      <c r="Q102" s="542">
        <f>IF(Input_voertuigprijzen!AK101&gt;0,Input_voertuig!Q$2,"")</f>
        <v>2013</v>
      </c>
      <c r="R102" s="542">
        <f>IF(Input_voertuigprijzen!AL101&gt;0,Input_voertuig!R$2,"")</f>
        <v>2012</v>
      </c>
      <c r="S102" s="542">
        <f>IF(Input_voertuigprijzen!AM101&gt;0,Input_voertuig!S$2,"")</f>
        <v>2011</v>
      </c>
      <c r="T102" s="542">
        <f>IF(Input_voertuigprijzen!AN101&gt;0,Input_voertuig!T$2,"")</f>
        <v>2010</v>
      </c>
    </row>
    <row r="103" spans="1:20" x14ac:dyDescent="0.3">
      <c r="A103" s="489" t="s">
        <v>1422</v>
      </c>
      <c r="B103" s="489" t="s">
        <v>1700</v>
      </c>
      <c r="C103" s="489" t="s">
        <v>1827</v>
      </c>
      <c r="D103" s="489" t="s">
        <v>141</v>
      </c>
      <c r="E103" s="489" t="s">
        <v>994</v>
      </c>
      <c r="F103" s="542">
        <f>IF(Input_voertuigprijzen!Z102&gt;0,Input_voertuig!F$2,"")</f>
        <v>2024</v>
      </c>
      <c r="G103" s="542">
        <f>IF(Input_voertuigprijzen!AA102&gt;0,Input_voertuig!G$2,"")</f>
        <v>2023</v>
      </c>
      <c r="H103" s="542">
        <f>IF(Input_voertuigprijzen!AB102&gt;0,Input_voertuig!H$2,"")</f>
        <v>2022</v>
      </c>
      <c r="I103" s="542">
        <f>IF(Input_voertuigprijzen!AC102&gt;0,Input_voertuig!I$2,"")</f>
        <v>2021</v>
      </c>
      <c r="J103" s="542" t="str">
        <f>IF(Input_voertuigprijzen!AD102&gt;0,Input_voertuig!J$2,"")</f>
        <v/>
      </c>
      <c r="K103" s="542" t="str">
        <f>IF(Input_voertuigprijzen!AE102&gt;0,Input_voertuig!K$2,"")</f>
        <v/>
      </c>
      <c r="L103" s="542" t="str">
        <f>IF(Input_voertuigprijzen!AF102&gt;0,Input_voertuig!L$2,"")</f>
        <v/>
      </c>
      <c r="M103" s="542" t="str">
        <f>IF(Input_voertuigprijzen!AG102&gt;0,Input_voertuig!M$2,"")</f>
        <v/>
      </c>
      <c r="N103" s="542" t="str">
        <f>IF(Input_voertuigprijzen!AH102&gt;0,Input_voertuig!N$2,"")</f>
        <v/>
      </c>
      <c r="O103" s="542" t="str">
        <f>IF(Input_voertuigprijzen!AI102&gt;0,Input_voertuig!O$2,"")</f>
        <v/>
      </c>
      <c r="P103" s="542" t="str">
        <f>IF(Input_voertuigprijzen!AJ102&gt;0,Input_voertuig!P$2,"")</f>
        <v/>
      </c>
      <c r="Q103" s="542" t="str">
        <f>IF(Input_voertuigprijzen!AK102&gt;0,Input_voertuig!Q$2,"")</f>
        <v/>
      </c>
      <c r="R103" s="542" t="str">
        <f>IF(Input_voertuigprijzen!AL102&gt;0,Input_voertuig!R$2,"")</f>
        <v/>
      </c>
      <c r="S103" s="542" t="str">
        <f>IF(Input_voertuigprijzen!AM102&gt;0,Input_voertuig!S$2,"")</f>
        <v/>
      </c>
      <c r="T103" s="542" t="str">
        <f>IF(Input_voertuigprijzen!AN102&gt;0,Input_voertuig!T$2,"")</f>
        <v/>
      </c>
    </row>
    <row r="104" spans="1:20" x14ac:dyDescent="0.3">
      <c r="A104" s="489" t="s">
        <v>1605</v>
      </c>
      <c r="B104" s="489" t="s">
        <v>1661</v>
      </c>
      <c r="C104" s="489" t="s">
        <v>1828</v>
      </c>
      <c r="D104" s="489" t="s">
        <v>46</v>
      </c>
      <c r="E104" s="489" t="s">
        <v>994</v>
      </c>
      <c r="F104" s="542" t="str">
        <f>IF(Input_voertuigprijzen!Z103&gt;0,Input_voertuig!F$2,"")</f>
        <v/>
      </c>
      <c r="G104" s="542" t="str">
        <f>IF(Input_voertuigprijzen!AA103&gt;0,Input_voertuig!G$2,"")</f>
        <v/>
      </c>
      <c r="H104" s="542">
        <f>IF(Input_voertuigprijzen!AB103&gt;0,Input_voertuig!H$2,"")</f>
        <v>2022</v>
      </c>
      <c r="I104" s="542">
        <f>IF(Input_voertuigprijzen!AC103&gt;0,Input_voertuig!I$2,"")</f>
        <v>2021</v>
      </c>
      <c r="J104" s="542">
        <f>IF(Input_voertuigprijzen!AD103&gt;0,Input_voertuig!J$2,"")</f>
        <v>2020</v>
      </c>
      <c r="K104" s="542">
        <f>IF(Input_voertuigprijzen!AE103&gt;0,Input_voertuig!K$2,"")</f>
        <v>2019</v>
      </c>
      <c r="L104" s="542">
        <f>IF(Input_voertuigprijzen!AF103&gt;0,Input_voertuig!L$2,"")</f>
        <v>2018</v>
      </c>
      <c r="M104" s="542">
        <f>IF(Input_voertuigprijzen!AG103&gt;0,Input_voertuig!M$2,"")</f>
        <v>2017</v>
      </c>
      <c r="N104" s="542" t="str">
        <f>IF(Input_voertuigprijzen!AH103&gt;0,Input_voertuig!N$2,"")</f>
        <v/>
      </c>
      <c r="O104" s="542" t="str">
        <f>IF(Input_voertuigprijzen!AI103&gt;0,Input_voertuig!O$2,"")</f>
        <v/>
      </c>
      <c r="P104" s="542" t="str">
        <f>IF(Input_voertuigprijzen!AJ103&gt;0,Input_voertuig!P$2,"")</f>
        <v/>
      </c>
      <c r="Q104" s="542" t="str">
        <f>IF(Input_voertuigprijzen!AK103&gt;0,Input_voertuig!Q$2,"")</f>
        <v/>
      </c>
      <c r="R104" s="542" t="str">
        <f>IF(Input_voertuigprijzen!AL103&gt;0,Input_voertuig!R$2,"")</f>
        <v/>
      </c>
      <c r="S104" s="542" t="str">
        <f>IF(Input_voertuigprijzen!AM103&gt;0,Input_voertuig!S$2,"")</f>
        <v/>
      </c>
      <c r="T104" s="542" t="str">
        <f>IF(Input_voertuigprijzen!AN103&gt;0,Input_voertuig!T$2,"")</f>
        <v/>
      </c>
    </row>
    <row r="105" spans="1:20" x14ac:dyDescent="0.3">
      <c r="A105" s="489" t="s">
        <v>1544</v>
      </c>
      <c r="B105" s="489" t="s">
        <v>1701</v>
      </c>
      <c r="C105" s="489" t="s">
        <v>1829</v>
      </c>
      <c r="D105" s="489" t="s">
        <v>46</v>
      </c>
      <c r="E105" s="489" t="s">
        <v>994</v>
      </c>
      <c r="F105" s="542">
        <f>IF(Input_voertuigprijzen!Z104&gt;0,Input_voertuig!F$2,"")</f>
        <v>2024</v>
      </c>
      <c r="G105" s="542">
        <f>IF(Input_voertuigprijzen!AA104&gt;0,Input_voertuig!G$2,"")</f>
        <v>2023</v>
      </c>
      <c r="H105" s="542">
        <f>IF(Input_voertuigprijzen!AB104&gt;0,Input_voertuig!H$2,"")</f>
        <v>2022</v>
      </c>
      <c r="I105" s="542" t="str">
        <f>IF(Input_voertuigprijzen!AC104&gt;0,Input_voertuig!I$2,"")</f>
        <v/>
      </c>
      <c r="J105" s="542" t="str">
        <f>IF(Input_voertuigprijzen!AD104&gt;0,Input_voertuig!J$2,"")</f>
        <v/>
      </c>
      <c r="K105" s="542">
        <f>IF(Input_voertuigprijzen!AE104&gt;0,Input_voertuig!K$2,"")</f>
        <v>2019</v>
      </c>
      <c r="L105" s="542">
        <f>IF(Input_voertuigprijzen!AF104&gt;0,Input_voertuig!L$2,"")</f>
        <v>2018</v>
      </c>
      <c r="M105" s="542">
        <f>IF(Input_voertuigprijzen!AG104&gt;0,Input_voertuig!M$2,"")</f>
        <v>2017</v>
      </c>
      <c r="N105" s="542">
        <f>IF(Input_voertuigprijzen!AH104&gt;0,Input_voertuig!N$2,"")</f>
        <v>2016</v>
      </c>
      <c r="O105" s="542">
        <f>IF(Input_voertuigprijzen!AI104&gt;0,Input_voertuig!O$2,"")</f>
        <v>2015</v>
      </c>
      <c r="P105" s="542">
        <f>IF(Input_voertuigprijzen!AJ104&gt;0,Input_voertuig!P$2,"")</f>
        <v>2014</v>
      </c>
      <c r="Q105" s="542">
        <f>IF(Input_voertuigprijzen!AK104&gt;0,Input_voertuig!Q$2,"")</f>
        <v>2013</v>
      </c>
      <c r="R105" s="542" t="str">
        <f>IF(Input_voertuigprijzen!AL104&gt;0,Input_voertuig!R$2,"")</f>
        <v/>
      </c>
      <c r="S105" s="542">
        <f>IF(Input_voertuigprijzen!AM104&gt;0,Input_voertuig!S$2,"")</f>
        <v>2011</v>
      </c>
      <c r="T105" s="542" t="str">
        <f>IF(Input_voertuigprijzen!AN104&gt;0,Input_voertuig!T$2,"")</f>
        <v/>
      </c>
    </row>
    <row r="106" spans="1:20" x14ac:dyDescent="0.3">
      <c r="A106" s="489" t="s">
        <v>1414</v>
      </c>
      <c r="B106" s="489" t="s">
        <v>1702</v>
      </c>
      <c r="C106" s="489" t="s">
        <v>1830</v>
      </c>
      <c r="D106" s="489" t="s">
        <v>1937</v>
      </c>
      <c r="E106" s="489" t="s">
        <v>994</v>
      </c>
      <c r="F106" s="542">
        <f>IF(Input_voertuigprijzen!Z105&gt;0,Input_voertuig!F$2,"")</f>
        <v>2024</v>
      </c>
      <c r="G106" s="542">
        <f>IF(Input_voertuigprijzen!AA105&gt;0,Input_voertuig!G$2,"")</f>
        <v>2023</v>
      </c>
      <c r="H106" s="542">
        <f>IF(Input_voertuigprijzen!AB105&gt;0,Input_voertuig!H$2,"")</f>
        <v>2022</v>
      </c>
      <c r="I106" s="542">
        <f>IF(Input_voertuigprijzen!AC105&gt;0,Input_voertuig!I$2,"")</f>
        <v>2021</v>
      </c>
      <c r="J106" s="542">
        <f>IF(Input_voertuigprijzen!AD105&gt;0,Input_voertuig!J$2,"")</f>
        <v>2020</v>
      </c>
      <c r="K106" s="542" t="str">
        <f>IF(Input_voertuigprijzen!AE105&gt;0,Input_voertuig!K$2,"")</f>
        <v/>
      </c>
      <c r="L106" s="542" t="str">
        <f>IF(Input_voertuigprijzen!AF105&gt;0,Input_voertuig!L$2,"")</f>
        <v/>
      </c>
      <c r="M106" s="542" t="str">
        <f>IF(Input_voertuigprijzen!AG105&gt;0,Input_voertuig!M$2,"")</f>
        <v/>
      </c>
      <c r="N106" s="542" t="str">
        <f>IF(Input_voertuigprijzen!AH105&gt;0,Input_voertuig!N$2,"")</f>
        <v/>
      </c>
      <c r="O106" s="542" t="str">
        <f>IF(Input_voertuigprijzen!AI105&gt;0,Input_voertuig!O$2,"")</f>
        <v/>
      </c>
      <c r="P106" s="542" t="str">
        <f>IF(Input_voertuigprijzen!AJ105&gt;0,Input_voertuig!P$2,"")</f>
        <v/>
      </c>
      <c r="Q106" s="542" t="str">
        <f>IF(Input_voertuigprijzen!AK105&gt;0,Input_voertuig!Q$2,"")</f>
        <v/>
      </c>
      <c r="R106" s="542" t="str">
        <f>IF(Input_voertuigprijzen!AL105&gt;0,Input_voertuig!R$2,"")</f>
        <v/>
      </c>
      <c r="S106" s="542" t="str">
        <f>IF(Input_voertuigprijzen!AM105&gt;0,Input_voertuig!S$2,"")</f>
        <v/>
      </c>
      <c r="T106" s="542" t="str">
        <f>IF(Input_voertuigprijzen!AN105&gt;0,Input_voertuig!T$2,"")</f>
        <v/>
      </c>
    </row>
    <row r="107" spans="1:20" x14ac:dyDescent="0.3">
      <c r="A107" s="489" t="s">
        <v>1414</v>
      </c>
      <c r="B107" s="489" t="s">
        <v>1662</v>
      </c>
      <c r="C107" s="489" t="s">
        <v>1831</v>
      </c>
      <c r="D107" s="489" t="s">
        <v>46</v>
      </c>
      <c r="E107" s="489" t="s">
        <v>994</v>
      </c>
      <c r="F107" s="542">
        <f>IF(Input_voertuigprijzen!Z106&gt;0,Input_voertuig!F$2,"")</f>
        <v>2024</v>
      </c>
      <c r="G107" s="542">
        <f>IF(Input_voertuigprijzen!AA106&gt;0,Input_voertuig!G$2,"")</f>
        <v>2023</v>
      </c>
      <c r="H107" s="542">
        <f>IF(Input_voertuigprijzen!AB106&gt;0,Input_voertuig!H$2,"")</f>
        <v>2022</v>
      </c>
      <c r="I107" s="542">
        <f>IF(Input_voertuigprijzen!AC106&gt;0,Input_voertuig!I$2,"")</f>
        <v>2021</v>
      </c>
      <c r="J107" s="542">
        <f>IF(Input_voertuigprijzen!AD106&gt;0,Input_voertuig!J$2,"")</f>
        <v>2020</v>
      </c>
      <c r="K107" s="542">
        <f>IF(Input_voertuigprijzen!AE106&gt;0,Input_voertuig!K$2,"")</f>
        <v>2019</v>
      </c>
      <c r="L107" s="542">
        <f>IF(Input_voertuigprijzen!AF106&gt;0,Input_voertuig!L$2,"")</f>
        <v>2018</v>
      </c>
      <c r="M107" s="542">
        <f>IF(Input_voertuigprijzen!AG106&gt;0,Input_voertuig!M$2,"")</f>
        <v>2017</v>
      </c>
      <c r="N107" s="542">
        <f>IF(Input_voertuigprijzen!AH106&gt;0,Input_voertuig!N$2,"")</f>
        <v>2016</v>
      </c>
      <c r="O107" s="542">
        <f>IF(Input_voertuigprijzen!AI106&gt;0,Input_voertuig!O$2,"")</f>
        <v>2015</v>
      </c>
      <c r="P107" s="542" t="str">
        <f>IF(Input_voertuigprijzen!AJ106&gt;0,Input_voertuig!P$2,"")</f>
        <v/>
      </c>
      <c r="Q107" s="542" t="str">
        <f>IF(Input_voertuigprijzen!AK106&gt;0,Input_voertuig!Q$2,"")</f>
        <v/>
      </c>
      <c r="R107" s="542" t="str">
        <f>IF(Input_voertuigprijzen!AL106&gt;0,Input_voertuig!R$2,"")</f>
        <v/>
      </c>
      <c r="S107" s="542" t="str">
        <f>IF(Input_voertuigprijzen!AM106&gt;0,Input_voertuig!S$2,"")</f>
        <v/>
      </c>
      <c r="T107" s="542" t="str">
        <f>IF(Input_voertuigprijzen!AN106&gt;0,Input_voertuig!T$2,"")</f>
        <v/>
      </c>
    </row>
    <row r="108" spans="1:20" x14ac:dyDescent="0.3">
      <c r="A108" s="489" t="s">
        <v>1607</v>
      </c>
      <c r="B108" s="489" t="s">
        <v>1703</v>
      </c>
      <c r="C108" s="489" t="s">
        <v>1832</v>
      </c>
      <c r="D108" s="489" t="s">
        <v>46</v>
      </c>
      <c r="E108" s="489" t="s">
        <v>994</v>
      </c>
      <c r="F108" s="542" t="str">
        <f>IF(Input_voertuigprijzen!Z107&gt;0,Input_voertuig!F$2,"")</f>
        <v/>
      </c>
      <c r="G108" s="542" t="str">
        <f>IF(Input_voertuigprijzen!AA107&gt;0,Input_voertuig!G$2,"")</f>
        <v/>
      </c>
      <c r="H108" s="542" t="str">
        <f>IF(Input_voertuigprijzen!AB107&gt;0,Input_voertuig!H$2,"")</f>
        <v/>
      </c>
      <c r="I108" s="542" t="str">
        <f>IF(Input_voertuigprijzen!AC107&gt;0,Input_voertuig!I$2,"")</f>
        <v/>
      </c>
      <c r="J108" s="542" t="str">
        <f>IF(Input_voertuigprijzen!AD107&gt;0,Input_voertuig!J$2,"")</f>
        <v/>
      </c>
      <c r="K108" s="542" t="str">
        <f>IF(Input_voertuigprijzen!AE107&gt;0,Input_voertuig!K$2,"")</f>
        <v/>
      </c>
      <c r="L108" s="542" t="str">
        <f>IF(Input_voertuigprijzen!AF107&gt;0,Input_voertuig!L$2,"")</f>
        <v/>
      </c>
      <c r="M108" s="542" t="str">
        <f>IF(Input_voertuigprijzen!AG107&gt;0,Input_voertuig!M$2,"")</f>
        <v/>
      </c>
      <c r="N108" s="542" t="str">
        <f>IF(Input_voertuigprijzen!AH107&gt;0,Input_voertuig!N$2,"")</f>
        <v/>
      </c>
      <c r="O108" s="542">
        <f>IF(Input_voertuigprijzen!AI107&gt;0,Input_voertuig!O$2,"")</f>
        <v>2015</v>
      </c>
      <c r="P108" s="542">
        <f>IF(Input_voertuigprijzen!AJ107&gt;0,Input_voertuig!P$2,"")</f>
        <v>2014</v>
      </c>
      <c r="Q108" s="542">
        <f>IF(Input_voertuigprijzen!AK107&gt;0,Input_voertuig!Q$2,"")</f>
        <v>2013</v>
      </c>
      <c r="R108" s="542">
        <f>IF(Input_voertuigprijzen!AL107&gt;0,Input_voertuig!R$2,"")</f>
        <v>2012</v>
      </c>
      <c r="S108" s="542">
        <f>IF(Input_voertuigprijzen!AM107&gt;0,Input_voertuig!S$2,"")</f>
        <v>2011</v>
      </c>
      <c r="T108" s="542">
        <f>IF(Input_voertuigprijzen!AN107&gt;0,Input_voertuig!T$2,"")</f>
        <v>2010</v>
      </c>
    </row>
    <row r="109" spans="1:20" x14ac:dyDescent="0.3">
      <c r="A109" s="489" t="s">
        <v>1451</v>
      </c>
      <c r="B109" s="489" t="s">
        <v>1704</v>
      </c>
      <c r="C109" s="489" t="s">
        <v>1833</v>
      </c>
      <c r="D109" s="489" t="s">
        <v>46</v>
      </c>
      <c r="E109" s="489" t="s">
        <v>994</v>
      </c>
      <c r="F109" s="542">
        <f>IF(Input_voertuigprijzen!Z108&gt;0,Input_voertuig!F$2,"")</f>
        <v>2024</v>
      </c>
      <c r="G109" s="542">
        <f>IF(Input_voertuigprijzen!AA108&gt;0,Input_voertuig!G$2,"")</f>
        <v>2023</v>
      </c>
      <c r="H109" s="542">
        <f>IF(Input_voertuigprijzen!AB108&gt;0,Input_voertuig!H$2,"")</f>
        <v>2022</v>
      </c>
      <c r="I109" s="542">
        <f>IF(Input_voertuigprijzen!AC108&gt;0,Input_voertuig!I$2,"")</f>
        <v>2021</v>
      </c>
      <c r="J109" s="542" t="str">
        <f>IF(Input_voertuigprijzen!AD108&gt;0,Input_voertuig!J$2,"")</f>
        <v/>
      </c>
      <c r="K109" s="542">
        <f>IF(Input_voertuigprijzen!AE108&gt;0,Input_voertuig!K$2,"")</f>
        <v>2019</v>
      </c>
      <c r="L109" s="542">
        <f>IF(Input_voertuigprijzen!AF108&gt;0,Input_voertuig!L$2,"")</f>
        <v>2018</v>
      </c>
      <c r="M109" s="542">
        <f>IF(Input_voertuigprijzen!AG108&gt;0,Input_voertuig!M$2,"")</f>
        <v>2017</v>
      </c>
      <c r="N109" s="542">
        <f>IF(Input_voertuigprijzen!AH108&gt;0,Input_voertuig!N$2,"")</f>
        <v>2016</v>
      </c>
      <c r="O109" s="542">
        <f>IF(Input_voertuigprijzen!AI108&gt;0,Input_voertuig!O$2,"")</f>
        <v>2015</v>
      </c>
      <c r="P109" s="542">
        <f>IF(Input_voertuigprijzen!AJ108&gt;0,Input_voertuig!P$2,"")</f>
        <v>2014</v>
      </c>
      <c r="Q109" s="542">
        <f>IF(Input_voertuigprijzen!AK108&gt;0,Input_voertuig!Q$2,"")</f>
        <v>2013</v>
      </c>
      <c r="R109" s="542">
        <f>IF(Input_voertuigprijzen!AL108&gt;0,Input_voertuig!R$2,"")</f>
        <v>2012</v>
      </c>
      <c r="S109" s="542">
        <f>IF(Input_voertuigprijzen!AM108&gt;0,Input_voertuig!S$2,"")</f>
        <v>2011</v>
      </c>
      <c r="T109" s="542">
        <f>IF(Input_voertuigprijzen!AN108&gt;0,Input_voertuig!T$2,"")</f>
        <v>2010</v>
      </c>
    </row>
    <row r="110" spans="1:20" x14ac:dyDescent="0.3">
      <c r="A110" s="489" t="s">
        <v>1572</v>
      </c>
      <c r="B110" s="489" t="s">
        <v>1573</v>
      </c>
      <c r="C110" s="489" t="s">
        <v>1834</v>
      </c>
      <c r="D110" s="489" t="s">
        <v>46</v>
      </c>
      <c r="E110" s="489" t="s">
        <v>1960</v>
      </c>
      <c r="F110" s="542" t="str">
        <f>IF(Input_voertuigprijzen!Z109&gt;0,Input_voertuig!F$2,"")</f>
        <v/>
      </c>
      <c r="G110" s="542" t="str">
        <f>IF(Input_voertuigprijzen!AA109&gt;0,Input_voertuig!G$2,"")</f>
        <v/>
      </c>
      <c r="H110" s="542" t="str">
        <f>IF(Input_voertuigprijzen!AB109&gt;0,Input_voertuig!H$2,"")</f>
        <v/>
      </c>
      <c r="I110" s="542" t="str">
        <f>IF(Input_voertuigprijzen!AC109&gt;0,Input_voertuig!I$2,"")</f>
        <v/>
      </c>
      <c r="J110" s="542" t="str">
        <f>IF(Input_voertuigprijzen!AD109&gt;0,Input_voertuig!J$2,"")</f>
        <v/>
      </c>
      <c r="K110" s="542" t="str">
        <f>IF(Input_voertuigprijzen!AE109&gt;0,Input_voertuig!K$2,"")</f>
        <v/>
      </c>
      <c r="L110" s="542">
        <f>IF(Input_voertuigprijzen!AF109&gt;0,Input_voertuig!L$2,"")</f>
        <v>2018</v>
      </c>
      <c r="M110" s="542" t="str">
        <f>IF(Input_voertuigprijzen!AG109&gt;0,Input_voertuig!M$2,"")</f>
        <v/>
      </c>
      <c r="N110" s="542" t="str">
        <f>IF(Input_voertuigprijzen!AH109&gt;0,Input_voertuig!N$2,"")</f>
        <v/>
      </c>
      <c r="O110" s="542">
        <f>IF(Input_voertuigprijzen!AI109&gt;0,Input_voertuig!O$2,"")</f>
        <v>2015</v>
      </c>
      <c r="P110" s="542">
        <f>IF(Input_voertuigprijzen!AJ109&gt;0,Input_voertuig!P$2,"")</f>
        <v>2014</v>
      </c>
      <c r="Q110" s="542">
        <f>IF(Input_voertuigprijzen!AK109&gt;0,Input_voertuig!Q$2,"")</f>
        <v>2013</v>
      </c>
      <c r="R110" s="542">
        <f>IF(Input_voertuigprijzen!AL109&gt;0,Input_voertuig!R$2,"")</f>
        <v>2012</v>
      </c>
      <c r="S110" s="542">
        <f>IF(Input_voertuigprijzen!AM109&gt;0,Input_voertuig!S$2,"")</f>
        <v>2011</v>
      </c>
      <c r="T110" s="542">
        <f>IF(Input_voertuigprijzen!AN109&gt;0,Input_voertuig!T$2,"")</f>
        <v>2010</v>
      </c>
    </row>
    <row r="111" spans="1:20" x14ac:dyDescent="0.3">
      <c r="A111" s="489" t="s">
        <v>1451</v>
      </c>
      <c r="B111" s="489" t="s">
        <v>1705</v>
      </c>
      <c r="C111" s="489" t="s">
        <v>1835</v>
      </c>
      <c r="D111" s="489" t="s">
        <v>46</v>
      </c>
      <c r="E111" s="489" t="s">
        <v>1960</v>
      </c>
      <c r="F111" s="542">
        <f>IF(Input_voertuigprijzen!Z110&gt;0,Input_voertuig!F$2,"")</f>
        <v>2024</v>
      </c>
      <c r="G111" s="542">
        <f>IF(Input_voertuigprijzen!AA110&gt;0,Input_voertuig!G$2,"")</f>
        <v>2023</v>
      </c>
      <c r="H111" s="542">
        <f>IF(Input_voertuigprijzen!AB110&gt;0,Input_voertuig!H$2,"")</f>
        <v>2022</v>
      </c>
      <c r="I111" s="542">
        <f>IF(Input_voertuigprijzen!AC110&gt;0,Input_voertuig!I$2,"")</f>
        <v>2021</v>
      </c>
      <c r="J111" s="542" t="str">
        <f>IF(Input_voertuigprijzen!AD110&gt;0,Input_voertuig!J$2,"")</f>
        <v/>
      </c>
      <c r="K111" s="542">
        <f>IF(Input_voertuigprijzen!AE110&gt;0,Input_voertuig!K$2,"")</f>
        <v>2019</v>
      </c>
      <c r="L111" s="542">
        <f>IF(Input_voertuigprijzen!AF110&gt;0,Input_voertuig!L$2,"")</f>
        <v>2018</v>
      </c>
      <c r="M111" s="542">
        <f>IF(Input_voertuigprijzen!AG110&gt;0,Input_voertuig!M$2,"")</f>
        <v>2017</v>
      </c>
      <c r="N111" s="542">
        <f>IF(Input_voertuigprijzen!AH110&gt;0,Input_voertuig!N$2,"")</f>
        <v>2016</v>
      </c>
      <c r="O111" s="542">
        <f>IF(Input_voertuigprijzen!AI110&gt;0,Input_voertuig!O$2,"")</f>
        <v>2015</v>
      </c>
      <c r="P111" s="542">
        <f>IF(Input_voertuigprijzen!AJ110&gt;0,Input_voertuig!P$2,"")</f>
        <v>2014</v>
      </c>
      <c r="Q111" s="542">
        <f>IF(Input_voertuigprijzen!AK110&gt;0,Input_voertuig!Q$2,"")</f>
        <v>2013</v>
      </c>
      <c r="R111" s="542">
        <f>IF(Input_voertuigprijzen!AL110&gt;0,Input_voertuig!R$2,"")</f>
        <v>2012</v>
      </c>
      <c r="S111" s="542" t="str">
        <f>IF(Input_voertuigprijzen!AM110&gt;0,Input_voertuig!S$2,"")</f>
        <v/>
      </c>
      <c r="T111" s="542" t="str">
        <f>IF(Input_voertuigprijzen!AN110&gt;0,Input_voertuig!T$2,"")</f>
        <v/>
      </c>
    </row>
    <row r="112" spans="1:20" x14ac:dyDescent="0.3">
      <c r="A112" s="489" t="s">
        <v>1414</v>
      </c>
      <c r="B112" s="489" t="s">
        <v>1706</v>
      </c>
      <c r="C112" s="489" t="s">
        <v>1836</v>
      </c>
      <c r="D112" s="489" t="s">
        <v>46</v>
      </c>
      <c r="E112" s="489" t="s">
        <v>994</v>
      </c>
      <c r="F112" s="542" t="str">
        <f>IF(Input_voertuigprijzen!Z111&gt;0,Input_voertuig!F$2,"")</f>
        <v/>
      </c>
      <c r="G112" s="542" t="str">
        <f>IF(Input_voertuigprijzen!AA111&gt;0,Input_voertuig!G$2,"")</f>
        <v/>
      </c>
      <c r="H112" s="542">
        <f>IF(Input_voertuigprijzen!AB111&gt;0,Input_voertuig!H$2,"")</f>
        <v>2022</v>
      </c>
      <c r="I112" s="542">
        <f>IF(Input_voertuigprijzen!AC111&gt;0,Input_voertuig!I$2,"")</f>
        <v>2021</v>
      </c>
      <c r="J112" s="542" t="str">
        <f>IF(Input_voertuigprijzen!AD111&gt;0,Input_voertuig!J$2,"")</f>
        <v/>
      </c>
      <c r="K112" s="542">
        <f>IF(Input_voertuigprijzen!AE111&gt;0,Input_voertuig!K$2,"")</f>
        <v>2019</v>
      </c>
      <c r="L112" s="542">
        <f>IF(Input_voertuigprijzen!AF111&gt;0,Input_voertuig!L$2,"")</f>
        <v>2018</v>
      </c>
      <c r="M112" s="542">
        <f>IF(Input_voertuigprijzen!AG111&gt;0,Input_voertuig!M$2,"")</f>
        <v>2017</v>
      </c>
      <c r="N112" s="542">
        <f>IF(Input_voertuigprijzen!AH111&gt;0,Input_voertuig!N$2,"")</f>
        <v>2016</v>
      </c>
      <c r="O112" s="542">
        <f>IF(Input_voertuigprijzen!AI111&gt;0,Input_voertuig!O$2,"")</f>
        <v>2015</v>
      </c>
      <c r="P112" s="542">
        <f>IF(Input_voertuigprijzen!AJ111&gt;0,Input_voertuig!P$2,"")</f>
        <v>2014</v>
      </c>
      <c r="Q112" s="542" t="str">
        <f>IF(Input_voertuigprijzen!AK111&gt;0,Input_voertuig!Q$2,"")</f>
        <v/>
      </c>
      <c r="R112" s="542" t="str">
        <f>IF(Input_voertuigprijzen!AL111&gt;0,Input_voertuig!R$2,"")</f>
        <v/>
      </c>
      <c r="S112" s="542" t="str">
        <f>IF(Input_voertuigprijzen!AM111&gt;0,Input_voertuig!S$2,"")</f>
        <v/>
      </c>
      <c r="T112" s="542" t="str">
        <f>IF(Input_voertuigprijzen!AN111&gt;0,Input_voertuig!T$2,"")</f>
        <v/>
      </c>
    </row>
    <row r="113" spans="1:20" x14ac:dyDescent="0.3">
      <c r="A113" s="489" t="s">
        <v>1414</v>
      </c>
      <c r="B113" s="489" t="s">
        <v>1702</v>
      </c>
      <c r="C113" s="489" t="s">
        <v>1830</v>
      </c>
      <c r="D113" s="489" t="s">
        <v>1930</v>
      </c>
      <c r="E113" s="489" t="s">
        <v>994</v>
      </c>
      <c r="F113" s="542">
        <f>IF(Input_voertuigprijzen!Z112&gt;0,Input_voertuig!F$2,"")</f>
        <v>2024</v>
      </c>
      <c r="G113" s="542">
        <f>IF(Input_voertuigprijzen!AA112&gt;0,Input_voertuig!G$2,"")</f>
        <v>2023</v>
      </c>
      <c r="H113" s="542">
        <f>IF(Input_voertuigprijzen!AB112&gt;0,Input_voertuig!H$2,"")</f>
        <v>2022</v>
      </c>
      <c r="I113" s="542">
        <f>IF(Input_voertuigprijzen!AC112&gt;0,Input_voertuig!I$2,"")</f>
        <v>2021</v>
      </c>
      <c r="J113" s="542">
        <f>IF(Input_voertuigprijzen!AD112&gt;0,Input_voertuig!J$2,"")</f>
        <v>2020</v>
      </c>
      <c r="K113" s="542">
        <f>IF(Input_voertuigprijzen!AE112&gt;0,Input_voertuig!K$2,"")</f>
        <v>2019</v>
      </c>
      <c r="L113" s="542" t="str">
        <f>IF(Input_voertuigprijzen!AF112&gt;0,Input_voertuig!L$2,"")</f>
        <v/>
      </c>
      <c r="M113" s="542" t="str">
        <f>IF(Input_voertuigprijzen!AG112&gt;0,Input_voertuig!M$2,"")</f>
        <v/>
      </c>
      <c r="N113" s="542" t="str">
        <f>IF(Input_voertuigprijzen!AH112&gt;0,Input_voertuig!N$2,"")</f>
        <v/>
      </c>
      <c r="O113" s="542" t="str">
        <f>IF(Input_voertuigprijzen!AI112&gt;0,Input_voertuig!O$2,"")</f>
        <v/>
      </c>
      <c r="P113" s="542" t="str">
        <f>IF(Input_voertuigprijzen!AJ112&gt;0,Input_voertuig!P$2,"")</f>
        <v/>
      </c>
      <c r="Q113" s="542" t="str">
        <f>IF(Input_voertuigprijzen!AK112&gt;0,Input_voertuig!Q$2,"")</f>
        <v/>
      </c>
      <c r="R113" s="542" t="str">
        <f>IF(Input_voertuigprijzen!AL112&gt;0,Input_voertuig!R$2,"")</f>
        <v/>
      </c>
      <c r="S113" s="542" t="str">
        <f>IF(Input_voertuigprijzen!AM112&gt;0,Input_voertuig!S$2,"")</f>
        <v/>
      </c>
      <c r="T113" s="542" t="str">
        <f>IF(Input_voertuigprijzen!AN112&gt;0,Input_voertuig!T$2,"")</f>
        <v/>
      </c>
    </row>
    <row r="114" spans="1:20" x14ac:dyDescent="0.3">
      <c r="A114" s="489" t="s">
        <v>1561</v>
      </c>
      <c r="B114" s="489" t="s">
        <v>1562</v>
      </c>
      <c r="C114" s="489" t="s">
        <v>1563</v>
      </c>
      <c r="D114" s="489" t="s">
        <v>1936</v>
      </c>
      <c r="E114" s="489" t="s">
        <v>994</v>
      </c>
      <c r="F114" s="542" t="str">
        <f>IF(Input_voertuigprijzen!Z113&gt;0,Input_voertuig!F$2,"")</f>
        <v/>
      </c>
      <c r="G114" s="542" t="str">
        <f>IF(Input_voertuigprijzen!AA113&gt;0,Input_voertuig!G$2,"")</f>
        <v/>
      </c>
      <c r="H114" s="542" t="str">
        <f>IF(Input_voertuigprijzen!AB113&gt;0,Input_voertuig!H$2,"")</f>
        <v/>
      </c>
      <c r="I114" s="542" t="str">
        <f>IF(Input_voertuigprijzen!AC113&gt;0,Input_voertuig!I$2,"")</f>
        <v/>
      </c>
      <c r="J114" s="542">
        <f>IF(Input_voertuigprijzen!AD113&gt;0,Input_voertuig!J$2,"")</f>
        <v>2020</v>
      </c>
      <c r="K114" s="542">
        <f>IF(Input_voertuigprijzen!AE113&gt;0,Input_voertuig!K$2,"")</f>
        <v>2019</v>
      </c>
      <c r="L114" s="542">
        <f>IF(Input_voertuigprijzen!AF113&gt;0,Input_voertuig!L$2,"")</f>
        <v>2018</v>
      </c>
      <c r="M114" s="542">
        <f>IF(Input_voertuigprijzen!AG113&gt;0,Input_voertuig!M$2,"")</f>
        <v>2017</v>
      </c>
      <c r="N114" s="542">
        <f>IF(Input_voertuigprijzen!AH113&gt;0,Input_voertuig!N$2,"")</f>
        <v>2016</v>
      </c>
      <c r="O114" s="542" t="str">
        <f>IF(Input_voertuigprijzen!AI113&gt;0,Input_voertuig!O$2,"")</f>
        <v/>
      </c>
      <c r="P114" s="542" t="str">
        <f>IF(Input_voertuigprijzen!AJ113&gt;0,Input_voertuig!P$2,"")</f>
        <v/>
      </c>
      <c r="Q114" s="542" t="str">
        <f>IF(Input_voertuigprijzen!AK113&gt;0,Input_voertuig!Q$2,"")</f>
        <v/>
      </c>
      <c r="R114" s="542" t="str">
        <f>IF(Input_voertuigprijzen!AL113&gt;0,Input_voertuig!R$2,"")</f>
        <v/>
      </c>
      <c r="S114" s="542" t="str">
        <f>IF(Input_voertuigprijzen!AM113&gt;0,Input_voertuig!S$2,"")</f>
        <v/>
      </c>
      <c r="T114" s="542" t="str">
        <f>IF(Input_voertuigprijzen!AN113&gt;0,Input_voertuig!T$2,"")</f>
        <v/>
      </c>
    </row>
    <row r="115" spans="1:20" x14ac:dyDescent="0.3">
      <c r="A115" s="489" t="s">
        <v>1414</v>
      </c>
      <c r="B115" s="489" t="s">
        <v>1707</v>
      </c>
      <c r="C115" s="489" t="s">
        <v>1837</v>
      </c>
      <c r="D115" s="489" t="s">
        <v>46</v>
      </c>
      <c r="E115" s="489" t="s">
        <v>994</v>
      </c>
      <c r="F115" s="542" t="str">
        <f>IF(Input_voertuigprijzen!Z114&gt;0,Input_voertuig!F$2,"")</f>
        <v/>
      </c>
      <c r="G115" s="542">
        <f>IF(Input_voertuigprijzen!AA114&gt;0,Input_voertuig!G$2,"")</f>
        <v>2023</v>
      </c>
      <c r="H115" s="542" t="str">
        <f>IF(Input_voertuigprijzen!AB114&gt;0,Input_voertuig!H$2,"")</f>
        <v/>
      </c>
      <c r="I115" s="542">
        <f>IF(Input_voertuigprijzen!AC114&gt;0,Input_voertuig!I$2,"")</f>
        <v>2021</v>
      </c>
      <c r="J115" s="542">
        <f>IF(Input_voertuigprijzen!AD114&gt;0,Input_voertuig!J$2,"")</f>
        <v>2020</v>
      </c>
      <c r="K115" s="542">
        <f>IF(Input_voertuigprijzen!AE114&gt;0,Input_voertuig!K$2,"")</f>
        <v>2019</v>
      </c>
      <c r="L115" s="542">
        <f>IF(Input_voertuigprijzen!AF114&gt;0,Input_voertuig!L$2,"")</f>
        <v>2018</v>
      </c>
      <c r="M115" s="542">
        <f>IF(Input_voertuigprijzen!AG114&gt;0,Input_voertuig!M$2,"")</f>
        <v>2017</v>
      </c>
      <c r="N115" s="542">
        <f>IF(Input_voertuigprijzen!AH114&gt;0,Input_voertuig!N$2,"")</f>
        <v>2016</v>
      </c>
      <c r="O115" s="542">
        <f>IF(Input_voertuigprijzen!AI114&gt;0,Input_voertuig!O$2,"")</f>
        <v>2015</v>
      </c>
      <c r="P115" s="542">
        <f>IF(Input_voertuigprijzen!AJ114&gt;0,Input_voertuig!P$2,"")</f>
        <v>2014</v>
      </c>
      <c r="Q115" s="542">
        <f>IF(Input_voertuigprijzen!AK114&gt;0,Input_voertuig!Q$2,"")</f>
        <v>2013</v>
      </c>
      <c r="R115" s="542">
        <f>IF(Input_voertuigprijzen!AL114&gt;0,Input_voertuig!R$2,"")</f>
        <v>2012</v>
      </c>
      <c r="S115" s="542">
        <f>IF(Input_voertuigprijzen!AM114&gt;0,Input_voertuig!S$2,"")</f>
        <v>2011</v>
      </c>
      <c r="T115" s="542" t="str">
        <f>IF(Input_voertuigprijzen!AN114&gt;0,Input_voertuig!T$2,"")</f>
        <v/>
      </c>
    </row>
    <row r="116" spans="1:20" x14ac:dyDescent="0.3">
      <c r="A116" s="489" t="s">
        <v>1426</v>
      </c>
      <c r="B116" s="489" t="s">
        <v>1708</v>
      </c>
      <c r="C116" s="489" t="s">
        <v>1708</v>
      </c>
      <c r="D116" s="489" t="s">
        <v>1938</v>
      </c>
      <c r="E116" s="489" t="s">
        <v>994</v>
      </c>
      <c r="F116" s="542" t="str">
        <f>IF(Input_voertuigprijzen!Z115&gt;0,Input_voertuig!F$2,"")</f>
        <v/>
      </c>
      <c r="G116" s="542" t="str">
        <f>IF(Input_voertuigprijzen!AA115&gt;0,Input_voertuig!G$2,"")</f>
        <v/>
      </c>
      <c r="H116" s="542">
        <f>IF(Input_voertuigprijzen!AB115&gt;0,Input_voertuig!H$2,"")</f>
        <v>2022</v>
      </c>
      <c r="I116" s="542">
        <f>IF(Input_voertuigprijzen!AC115&gt;0,Input_voertuig!I$2,"")</f>
        <v>2021</v>
      </c>
      <c r="J116" s="542" t="str">
        <f>IF(Input_voertuigprijzen!AD115&gt;0,Input_voertuig!J$2,"")</f>
        <v/>
      </c>
      <c r="K116" s="542">
        <f>IF(Input_voertuigprijzen!AE115&gt;0,Input_voertuig!K$2,"")</f>
        <v>2019</v>
      </c>
      <c r="L116" s="542" t="str">
        <f>IF(Input_voertuigprijzen!AF115&gt;0,Input_voertuig!L$2,"")</f>
        <v/>
      </c>
      <c r="M116" s="542" t="str">
        <f>IF(Input_voertuigprijzen!AG115&gt;0,Input_voertuig!M$2,"")</f>
        <v/>
      </c>
      <c r="N116" s="542" t="str">
        <f>IF(Input_voertuigprijzen!AH115&gt;0,Input_voertuig!N$2,"")</f>
        <v/>
      </c>
      <c r="O116" s="542" t="str">
        <f>IF(Input_voertuigprijzen!AI115&gt;0,Input_voertuig!O$2,"")</f>
        <v/>
      </c>
      <c r="P116" s="542" t="str">
        <f>IF(Input_voertuigprijzen!AJ115&gt;0,Input_voertuig!P$2,"")</f>
        <v/>
      </c>
      <c r="Q116" s="542" t="str">
        <f>IF(Input_voertuigprijzen!AK115&gt;0,Input_voertuig!Q$2,"")</f>
        <v/>
      </c>
      <c r="R116" s="542" t="str">
        <f>IF(Input_voertuigprijzen!AL115&gt;0,Input_voertuig!R$2,"")</f>
        <v/>
      </c>
      <c r="S116" s="542" t="str">
        <f>IF(Input_voertuigprijzen!AM115&gt;0,Input_voertuig!S$2,"")</f>
        <v/>
      </c>
      <c r="T116" s="542" t="str">
        <f>IF(Input_voertuigprijzen!AN115&gt;0,Input_voertuig!T$2,"")</f>
        <v/>
      </c>
    </row>
    <row r="117" spans="1:20" x14ac:dyDescent="0.3">
      <c r="A117" s="489" t="s">
        <v>1422</v>
      </c>
      <c r="B117" s="489" t="s">
        <v>1423</v>
      </c>
      <c r="C117" s="489" t="s">
        <v>1424</v>
      </c>
      <c r="D117" s="489" t="s">
        <v>45</v>
      </c>
      <c r="E117" s="489" t="s">
        <v>994</v>
      </c>
      <c r="F117" s="542" t="str">
        <f>IF(Input_voertuigprijzen!Z116&gt;0,Input_voertuig!F$2,"")</f>
        <v/>
      </c>
      <c r="G117" s="542" t="str">
        <f>IF(Input_voertuigprijzen!AA116&gt;0,Input_voertuig!G$2,"")</f>
        <v/>
      </c>
      <c r="H117" s="542">
        <f>IF(Input_voertuigprijzen!AB116&gt;0,Input_voertuig!H$2,"")</f>
        <v>2022</v>
      </c>
      <c r="I117" s="542">
        <f>IF(Input_voertuigprijzen!AC116&gt;0,Input_voertuig!I$2,"")</f>
        <v>2021</v>
      </c>
      <c r="J117" s="542">
        <f>IF(Input_voertuigprijzen!AD116&gt;0,Input_voertuig!J$2,"")</f>
        <v>2020</v>
      </c>
      <c r="K117" s="542">
        <f>IF(Input_voertuigprijzen!AE116&gt;0,Input_voertuig!K$2,"")</f>
        <v>2019</v>
      </c>
      <c r="L117" s="542">
        <f>IF(Input_voertuigprijzen!AF116&gt;0,Input_voertuig!L$2,"")</f>
        <v>2018</v>
      </c>
      <c r="M117" s="542" t="str">
        <f>IF(Input_voertuigprijzen!AG116&gt;0,Input_voertuig!M$2,"")</f>
        <v/>
      </c>
      <c r="N117" s="542">
        <f>IF(Input_voertuigprijzen!AH116&gt;0,Input_voertuig!N$2,"")</f>
        <v>2016</v>
      </c>
      <c r="O117" s="542" t="str">
        <f>IF(Input_voertuigprijzen!AI116&gt;0,Input_voertuig!O$2,"")</f>
        <v/>
      </c>
      <c r="P117" s="542" t="str">
        <f>IF(Input_voertuigprijzen!AJ116&gt;0,Input_voertuig!P$2,"")</f>
        <v/>
      </c>
      <c r="Q117" s="542">
        <f>IF(Input_voertuigprijzen!AK116&gt;0,Input_voertuig!Q$2,"")</f>
        <v>2013</v>
      </c>
      <c r="R117" s="542" t="str">
        <f>IF(Input_voertuigprijzen!AL116&gt;0,Input_voertuig!R$2,"")</f>
        <v/>
      </c>
      <c r="S117" s="542" t="str">
        <f>IF(Input_voertuigprijzen!AM116&gt;0,Input_voertuig!S$2,"")</f>
        <v/>
      </c>
      <c r="T117" s="542" t="str">
        <f>IF(Input_voertuigprijzen!AN116&gt;0,Input_voertuig!T$2,"")</f>
        <v/>
      </c>
    </row>
    <row r="118" spans="1:20" x14ac:dyDescent="0.3">
      <c r="A118" s="489" t="s">
        <v>1561</v>
      </c>
      <c r="B118" s="489" t="s">
        <v>1709</v>
      </c>
      <c r="C118" s="489" t="s">
        <v>1838</v>
      </c>
      <c r="D118" s="489" t="s">
        <v>1938</v>
      </c>
      <c r="E118" s="489" t="s">
        <v>994</v>
      </c>
      <c r="F118" s="542" t="str">
        <f>IF(Input_voertuigprijzen!Z117&gt;0,Input_voertuig!F$2,"")</f>
        <v/>
      </c>
      <c r="G118" s="542" t="str">
        <f>IF(Input_voertuigprijzen!AA117&gt;0,Input_voertuig!G$2,"")</f>
        <v/>
      </c>
      <c r="H118" s="542">
        <f>IF(Input_voertuigprijzen!AB117&gt;0,Input_voertuig!H$2,"")</f>
        <v>2022</v>
      </c>
      <c r="I118" s="542" t="str">
        <f>IF(Input_voertuigprijzen!AC117&gt;0,Input_voertuig!I$2,"")</f>
        <v/>
      </c>
      <c r="J118" s="542">
        <f>IF(Input_voertuigprijzen!AD117&gt;0,Input_voertuig!J$2,"")</f>
        <v>2020</v>
      </c>
      <c r="K118" s="542" t="str">
        <f>IF(Input_voertuigprijzen!AE117&gt;0,Input_voertuig!K$2,"")</f>
        <v/>
      </c>
      <c r="L118" s="542">
        <f>IF(Input_voertuigprijzen!AF117&gt;0,Input_voertuig!L$2,"")</f>
        <v>2018</v>
      </c>
      <c r="M118" s="542" t="str">
        <f>IF(Input_voertuigprijzen!AG117&gt;0,Input_voertuig!M$2,"")</f>
        <v/>
      </c>
      <c r="N118" s="542" t="str">
        <f>IF(Input_voertuigprijzen!AH117&gt;0,Input_voertuig!N$2,"")</f>
        <v/>
      </c>
      <c r="O118" s="542" t="str">
        <f>IF(Input_voertuigprijzen!AI117&gt;0,Input_voertuig!O$2,"")</f>
        <v/>
      </c>
      <c r="P118" s="542" t="str">
        <f>IF(Input_voertuigprijzen!AJ117&gt;0,Input_voertuig!P$2,"")</f>
        <v/>
      </c>
      <c r="Q118" s="542" t="str">
        <f>IF(Input_voertuigprijzen!AK117&gt;0,Input_voertuig!Q$2,"")</f>
        <v/>
      </c>
      <c r="R118" s="542" t="str">
        <f>IF(Input_voertuigprijzen!AL117&gt;0,Input_voertuig!R$2,"")</f>
        <v/>
      </c>
      <c r="S118" s="542" t="str">
        <f>IF(Input_voertuigprijzen!AM117&gt;0,Input_voertuig!S$2,"")</f>
        <v/>
      </c>
      <c r="T118" s="542" t="str">
        <f>IF(Input_voertuigprijzen!AN117&gt;0,Input_voertuig!T$2,"")</f>
        <v/>
      </c>
    </row>
    <row r="119" spans="1:20" x14ac:dyDescent="0.3">
      <c r="A119" s="489" t="s">
        <v>1607</v>
      </c>
      <c r="B119" s="489" t="s">
        <v>1710</v>
      </c>
      <c r="C119" s="489" t="s">
        <v>1839</v>
      </c>
      <c r="D119" s="489" t="s">
        <v>46</v>
      </c>
      <c r="E119" s="489" t="s">
        <v>994</v>
      </c>
      <c r="F119" s="542">
        <f>IF(Input_voertuigprijzen!Z118&gt;0,Input_voertuig!F$2,"")</f>
        <v>2024</v>
      </c>
      <c r="G119" s="542">
        <f>IF(Input_voertuigprijzen!AA118&gt;0,Input_voertuig!G$2,"")</f>
        <v>2023</v>
      </c>
      <c r="H119" s="542">
        <f>IF(Input_voertuigprijzen!AB118&gt;0,Input_voertuig!H$2,"")</f>
        <v>2022</v>
      </c>
      <c r="I119" s="542" t="str">
        <f>IF(Input_voertuigprijzen!AC118&gt;0,Input_voertuig!I$2,"")</f>
        <v/>
      </c>
      <c r="J119" s="542" t="str">
        <f>IF(Input_voertuigprijzen!AD118&gt;0,Input_voertuig!J$2,"")</f>
        <v/>
      </c>
      <c r="K119" s="542">
        <f>IF(Input_voertuigprijzen!AE118&gt;0,Input_voertuig!K$2,"")</f>
        <v>2019</v>
      </c>
      <c r="L119" s="542">
        <f>IF(Input_voertuigprijzen!AF118&gt;0,Input_voertuig!L$2,"")</f>
        <v>2018</v>
      </c>
      <c r="M119" s="542">
        <f>IF(Input_voertuigprijzen!AG118&gt;0,Input_voertuig!M$2,"")</f>
        <v>2017</v>
      </c>
      <c r="N119" s="542">
        <f>IF(Input_voertuigprijzen!AH118&gt;0,Input_voertuig!N$2,"")</f>
        <v>2016</v>
      </c>
      <c r="O119" s="542" t="str">
        <f>IF(Input_voertuigprijzen!AI118&gt;0,Input_voertuig!O$2,"")</f>
        <v/>
      </c>
      <c r="P119" s="542">
        <f>IF(Input_voertuigprijzen!AJ118&gt;0,Input_voertuig!P$2,"")</f>
        <v>2014</v>
      </c>
      <c r="Q119" s="542">
        <f>IF(Input_voertuigprijzen!AK118&gt;0,Input_voertuig!Q$2,"")</f>
        <v>2013</v>
      </c>
      <c r="R119" s="542">
        <f>IF(Input_voertuigprijzen!AL118&gt;0,Input_voertuig!R$2,"")</f>
        <v>2012</v>
      </c>
      <c r="S119" s="542">
        <f>IF(Input_voertuigprijzen!AM118&gt;0,Input_voertuig!S$2,"")</f>
        <v>2011</v>
      </c>
      <c r="T119" s="542">
        <f>IF(Input_voertuigprijzen!AN118&gt;0,Input_voertuig!T$2,"")</f>
        <v>2010</v>
      </c>
    </row>
    <row r="120" spans="1:20" x14ac:dyDescent="0.3">
      <c r="A120" s="489" t="s">
        <v>1414</v>
      </c>
      <c r="B120" s="489" t="s">
        <v>1711</v>
      </c>
      <c r="C120" s="489" t="s">
        <v>1840</v>
      </c>
      <c r="D120" s="489" t="s">
        <v>46</v>
      </c>
      <c r="E120" s="489" t="s">
        <v>994</v>
      </c>
      <c r="F120" s="542" t="str">
        <f>IF(Input_voertuigprijzen!Z119&gt;0,Input_voertuig!F$2,"")</f>
        <v/>
      </c>
      <c r="G120" s="542">
        <f>IF(Input_voertuigprijzen!AA119&gt;0,Input_voertuig!G$2,"")</f>
        <v>2023</v>
      </c>
      <c r="H120" s="542">
        <f>IF(Input_voertuigprijzen!AB119&gt;0,Input_voertuig!H$2,"")</f>
        <v>2022</v>
      </c>
      <c r="I120" s="542" t="str">
        <f>IF(Input_voertuigprijzen!AC119&gt;0,Input_voertuig!I$2,"")</f>
        <v/>
      </c>
      <c r="J120" s="542" t="str">
        <f>IF(Input_voertuigprijzen!AD119&gt;0,Input_voertuig!J$2,"")</f>
        <v/>
      </c>
      <c r="K120" s="542">
        <f>IF(Input_voertuigprijzen!AE119&gt;0,Input_voertuig!K$2,"")</f>
        <v>2019</v>
      </c>
      <c r="L120" s="542" t="str">
        <f>IF(Input_voertuigprijzen!AF119&gt;0,Input_voertuig!L$2,"")</f>
        <v/>
      </c>
      <c r="M120" s="542">
        <f>IF(Input_voertuigprijzen!AG119&gt;0,Input_voertuig!M$2,"")</f>
        <v>2017</v>
      </c>
      <c r="N120" s="542">
        <f>IF(Input_voertuigprijzen!AH119&gt;0,Input_voertuig!N$2,"")</f>
        <v>2016</v>
      </c>
      <c r="O120" s="542">
        <f>IF(Input_voertuigprijzen!AI119&gt;0,Input_voertuig!O$2,"")</f>
        <v>2015</v>
      </c>
      <c r="P120" s="542">
        <f>IF(Input_voertuigprijzen!AJ119&gt;0,Input_voertuig!P$2,"")</f>
        <v>2014</v>
      </c>
      <c r="Q120" s="542">
        <f>IF(Input_voertuigprijzen!AK119&gt;0,Input_voertuig!Q$2,"")</f>
        <v>2013</v>
      </c>
      <c r="R120" s="542">
        <f>IF(Input_voertuigprijzen!AL119&gt;0,Input_voertuig!R$2,"")</f>
        <v>2012</v>
      </c>
      <c r="S120" s="542">
        <f>IF(Input_voertuigprijzen!AM119&gt;0,Input_voertuig!S$2,"")</f>
        <v>2011</v>
      </c>
      <c r="T120" s="542" t="str">
        <f>IF(Input_voertuigprijzen!AN119&gt;0,Input_voertuig!T$2,"")</f>
        <v/>
      </c>
    </row>
    <row r="121" spans="1:20" x14ac:dyDescent="0.3">
      <c r="A121" s="489" t="s">
        <v>1591</v>
      </c>
      <c r="B121" s="489" t="s">
        <v>1712</v>
      </c>
      <c r="C121" s="489" t="s">
        <v>1712</v>
      </c>
      <c r="D121" s="489" t="s">
        <v>141</v>
      </c>
      <c r="E121" s="489" t="s">
        <v>1960</v>
      </c>
      <c r="F121" s="542" t="str">
        <f>IF(Input_voertuigprijzen!Z120&gt;0,Input_voertuig!F$2,"")</f>
        <v/>
      </c>
      <c r="G121" s="542" t="str">
        <f>IF(Input_voertuigprijzen!AA120&gt;0,Input_voertuig!G$2,"")</f>
        <v/>
      </c>
      <c r="H121" s="542" t="str">
        <f>IF(Input_voertuigprijzen!AB120&gt;0,Input_voertuig!H$2,"")</f>
        <v/>
      </c>
      <c r="I121" s="542" t="str">
        <f>IF(Input_voertuigprijzen!AC120&gt;0,Input_voertuig!I$2,"")</f>
        <v/>
      </c>
      <c r="J121" s="542">
        <f>IF(Input_voertuigprijzen!AD120&gt;0,Input_voertuig!J$2,"")</f>
        <v>2020</v>
      </c>
      <c r="K121" s="542">
        <f>IF(Input_voertuigprijzen!AE120&gt;0,Input_voertuig!K$2,"")</f>
        <v>2019</v>
      </c>
      <c r="L121" s="542">
        <f>IF(Input_voertuigprijzen!AF120&gt;0,Input_voertuig!L$2,"")</f>
        <v>2018</v>
      </c>
      <c r="M121" s="542" t="str">
        <f>IF(Input_voertuigprijzen!AG120&gt;0,Input_voertuig!M$2,"")</f>
        <v/>
      </c>
      <c r="N121" s="542" t="str">
        <f>IF(Input_voertuigprijzen!AH120&gt;0,Input_voertuig!N$2,"")</f>
        <v/>
      </c>
      <c r="O121" s="542" t="str">
        <f>IF(Input_voertuigprijzen!AI120&gt;0,Input_voertuig!O$2,"")</f>
        <v/>
      </c>
      <c r="P121" s="542">
        <f>IF(Input_voertuigprijzen!AJ120&gt;0,Input_voertuig!P$2,"")</f>
        <v>2014</v>
      </c>
      <c r="Q121" s="542" t="str">
        <f>IF(Input_voertuigprijzen!AK120&gt;0,Input_voertuig!Q$2,"")</f>
        <v/>
      </c>
      <c r="R121" s="542" t="str">
        <f>IF(Input_voertuigprijzen!AL120&gt;0,Input_voertuig!R$2,"")</f>
        <v/>
      </c>
      <c r="S121" s="542" t="str">
        <f>IF(Input_voertuigprijzen!AM120&gt;0,Input_voertuig!S$2,"")</f>
        <v/>
      </c>
      <c r="T121" s="542" t="str">
        <f>IF(Input_voertuigprijzen!AN120&gt;0,Input_voertuig!T$2,"")</f>
        <v/>
      </c>
    </row>
    <row r="122" spans="1:20" x14ac:dyDescent="0.3">
      <c r="A122" s="489" t="s">
        <v>1417</v>
      </c>
      <c r="B122" s="489" t="s">
        <v>1418</v>
      </c>
      <c r="C122" s="489" t="s">
        <v>1232</v>
      </c>
      <c r="D122" s="489" t="s">
        <v>1929</v>
      </c>
      <c r="E122" s="489" t="s">
        <v>994</v>
      </c>
      <c r="F122" s="542">
        <f>IF(Input_voertuigprijzen!Z121&gt;0,Input_voertuig!F$2,"")</f>
        <v>2024</v>
      </c>
      <c r="G122" s="542">
        <f>IF(Input_voertuigprijzen!AA121&gt;0,Input_voertuig!G$2,"")</f>
        <v>2023</v>
      </c>
      <c r="H122" s="542">
        <f>IF(Input_voertuigprijzen!AB121&gt;0,Input_voertuig!H$2,"")</f>
        <v>2022</v>
      </c>
      <c r="I122" s="542" t="str">
        <f>IF(Input_voertuigprijzen!AC121&gt;0,Input_voertuig!I$2,"")</f>
        <v/>
      </c>
      <c r="J122" s="542">
        <f>IF(Input_voertuigprijzen!AD121&gt;0,Input_voertuig!J$2,"")</f>
        <v>2020</v>
      </c>
      <c r="K122" s="542">
        <f>IF(Input_voertuigprijzen!AE121&gt;0,Input_voertuig!K$2,"")</f>
        <v>2019</v>
      </c>
      <c r="L122" s="542">
        <f>IF(Input_voertuigprijzen!AF121&gt;0,Input_voertuig!L$2,"")</f>
        <v>2018</v>
      </c>
      <c r="M122" s="542">
        <f>IF(Input_voertuigprijzen!AG121&gt;0,Input_voertuig!M$2,"")</f>
        <v>2017</v>
      </c>
      <c r="N122" s="542">
        <f>IF(Input_voertuigprijzen!AH121&gt;0,Input_voertuig!N$2,"")</f>
        <v>2016</v>
      </c>
      <c r="O122" s="542" t="str">
        <f>IF(Input_voertuigprijzen!AI121&gt;0,Input_voertuig!O$2,"")</f>
        <v/>
      </c>
      <c r="P122" s="542" t="str">
        <f>IF(Input_voertuigprijzen!AJ121&gt;0,Input_voertuig!P$2,"")</f>
        <v/>
      </c>
      <c r="Q122" s="542" t="str">
        <f>IF(Input_voertuigprijzen!AK121&gt;0,Input_voertuig!Q$2,"")</f>
        <v/>
      </c>
      <c r="R122" s="542" t="str">
        <f>IF(Input_voertuigprijzen!AL121&gt;0,Input_voertuig!R$2,"")</f>
        <v/>
      </c>
      <c r="S122" s="542" t="str">
        <f>IF(Input_voertuigprijzen!AM121&gt;0,Input_voertuig!S$2,"")</f>
        <v/>
      </c>
      <c r="T122" s="542" t="str">
        <f>IF(Input_voertuigprijzen!AN121&gt;0,Input_voertuig!T$2,"")</f>
        <v/>
      </c>
    </row>
    <row r="123" spans="1:20" x14ac:dyDescent="0.3">
      <c r="A123" s="489" t="s">
        <v>1713</v>
      </c>
      <c r="B123" s="489" t="s">
        <v>1714</v>
      </c>
      <c r="C123" s="489" t="s">
        <v>1841</v>
      </c>
      <c r="D123" s="489" t="s">
        <v>1929</v>
      </c>
      <c r="E123" s="489" t="s">
        <v>994</v>
      </c>
      <c r="F123" s="542" t="str">
        <f>IF(Input_voertuigprijzen!Z122&gt;0,Input_voertuig!F$2,"")</f>
        <v/>
      </c>
      <c r="G123" s="542" t="str">
        <f>IF(Input_voertuigprijzen!AA122&gt;0,Input_voertuig!G$2,"")</f>
        <v/>
      </c>
      <c r="H123" s="542" t="str">
        <f>IF(Input_voertuigprijzen!AB122&gt;0,Input_voertuig!H$2,"")</f>
        <v/>
      </c>
      <c r="I123" s="542" t="str">
        <f>IF(Input_voertuigprijzen!AC122&gt;0,Input_voertuig!I$2,"")</f>
        <v/>
      </c>
      <c r="J123" s="542" t="str">
        <f>IF(Input_voertuigprijzen!AD122&gt;0,Input_voertuig!J$2,"")</f>
        <v/>
      </c>
      <c r="K123" s="542" t="str">
        <f>IF(Input_voertuigprijzen!AE122&gt;0,Input_voertuig!K$2,"")</f>
        <v/>
      </c>
      <c r="L123" s="542" t="str">
        <f>IF(Input_voertuigprijzen!AF122&gt;0,Input_voertuig!L$2,"")</f>
        <v/>
      </c>
      <c r="M123" s="542" t="str">
        <f>IF(Input_voertuigprijzen!AG122&gt;0,Input_voertuig!M$2,"")</f>
        <v/>
      </c>
      <c r="N123" s="542" t="str">
        <f>IF(Input_voertuigprijzen!AH122&gt;0,Input_voertuig!N$2,"")</f>
        <v/>
      </c>
      <c r="O123" s="542" t="str">
        <f>IF(Input_voertuigprijzen!AI122&gt;0,Input_voertuig!O$2,"")</f>
        <v/>
      </c>
      <c r="P123" s="542">
        <f>IF(Input_voertuigprijzen!AJ122&gt;0,Input_voertuig!P$2,"")</f>
        <v>2014</v>
      </c>
      <c r="Q123" s="542">
        <f>IF(Input_voertuigprijzen!AK122&gt;0,Input_voertuig!Q$2,"")</f>
        <v>2013</v>
      </c>
      <c r="R123" s="542">
        <f>IF(Input_voertuigprijzen!AL122&gt;0,Input_voertuig!R$2,"")</f>
        <v>2012</v>
      </c>
      <c r="S123" s="542">
        <f>IF(Input_voertuigprijzen!AM122&gt;0,Input_voertuig!S$2,"")</f>
        <v>2011</v>
      </c>
      <c r="T123" s="542">
        <f>IF(Input_voertuigprijzen!AN122&gt;0,Input_voertuig!T$2,"")</f>
        <v>2010</v>
      </c>
    </row>
    <row r="124" spans="1:20" x14ac:dyDescent="0.3">
      <c r="A124" s="489" t="s">
        <v>1715</v>
      </c>
      <c r="B124" s="489" t="s">
        <v>1716</v>
      </c>
      <c r="C124" s="489" t="s">
        <v>1716</v>
      </c>
      <c r="D124" s="489" t="s">
        <v>141</v>
      </c>
      <c r="E124" s="489" t="s">
        <v>994</v>
      </c>
      <c r="F124" s="542">
        <f>IF(Input_voertuigprijzen!Z123&gt;0,Input_voertuig!F$2,"")</f>
        <v>2024</v>
      </c>
      <c r="G124" s="542">
        <f>IF(Input_voertuigprijzen!AA123&gt;0,Input_voertuig!G$2,"")</f>
        <v>2023</v>
      </c>
      <c r="H124" s="542">
        <f>IF(Input_voertuigprijzen!AB123&gt;0,Input_voertuig!H$2,"")</f>
        <v>2022</v>
      </c>
      <c r="I124" s="542">
        <f>IF(Input_voertuigprijzen!AC123&gt;0,Input_voertuig!I$2,"")</f>
        <v>2021</v>
      </c>
      <c r="J124" s="542">
        <f>IF(Input_voertuigprijzen!AD123&gt;0,Input_voertuig!J$2,"")</f>
        <v>2020</v>
      </c>
      <c r="K124" s="542">
        <f>IF(Input_voertuigprijzen!AE123&gt;0,Input_voertuig!K$2,"")</f>
        <v>2019</v>
      </c>
      <c r="L124" s="542" t="str">
        <f>IF(Input_voertuigprijzen!AF123&gt;0,Input_voertuig!L$2,"")</f>
        <v/>
      </c>
      <c r="M124" s="542" t="str">
        <f>IF(Input_voertuigprijzen!AG123&gt;0,Input_voertuig!M$2,"")</f>
        <v/>
      </c>
      <c r="N124" s="542" t="str">
        <f>IF(Input_voertuigprijzen!AH123&gt;0,Input_voertuig!N$2,"")</f>
        <v/>
      </c>
      <c r="O124" s="542" t="str">
        <f>IF(Input_voertuigprijzen!AI123&gt;0,Input_voertuig!O$2,"")</f>
        <v/>
      </c>
      <c r="P124" s="542" t="str">
        <f>IF(Input_voertuigprijzen!AJ123&gt;0,Input_voertuig!P$2,"")</f>
        <v/>
      </c>
      <c r="Q124" s="542" t="str">
        <f>IF(Input_voertuigprijzen!AK123&gt;0,Input_voertuig!Q$2,"")</f>
        <v/>
      </c>
      <c r="R124" s="542" t="str">
        <f>IF(Input_voertuigprijzen!AL123&gt;0,Input_voertuig!R$2,"")</f>
        <v/>
      </c>
      <c r="S124" s="542" t="str">
        <f>IF(Input_voertuigprijzen!AM123&gt;0,Input_voertuig!S$2,"")</f>
        <v/>
      </c>
      <c r="T124" s="542" t="str">
        <f>IF(Input_voertuigprijzen!AN123&gt;0,Input_voertuig!T$2,"")</f>
        <v/>
      </c>
    </row>
    <row r="125" spans="1:20" x14ac:dyDescent="0.3">
      <c r="A125" s="489" t="s">
        <v>1414</v>
      </c>
      <c r="B125" s="489" t="s">
        <v>1717</v>
      </c>
      <c r="C125" s="489" t="s">
        <v>1842</v>
      </c>
      <c r="D125" s="489" t="s">
        <v>141</v>
      </c>
      <c r="E125" s="489" t="s">
        <v>994</v>
      </c>
      <c r="F125" s="542">
        <f>IF(Input_voertuigprijzen!Z124&gt;0,Input_voertuig!F$2,"")</f>
        <v>2024</v>
      </c>
      <c r="G125" s="542">
        <f>IF(Input_voertuigprijzen!AA124&gt;0,Input_voertuig!G$2,"")</f>
        <v>2023</v>
      </c>
      <c r="H125" s="542">
        <f>IF(Input_voertuigprijzen!AB124&gt;0,Input_voertuig!H$2,"")</f>
        <v>2022</v>
      </c>
      <c r="I125" s="542" t="str">
        <f>IF(Input_voertuigprijzen!AC124&gt;0,Input_voertuig!I$2,"")</f>
        <v/>
      </c>
      <c r="J125" s="542" t="str">
        <f>IF(Input_voertuigprijzen!AD124&gt;0,Input_voertuig!J$2,"")</f>
        <v/>
      </c>
      <c r="K125" s="542" t="str">
        <f>IF(Input_voertuigprijzen!AE124&gt;0,Input_voertuig!K$2,"")</f>
        <v/>
      </c>
      <c r="L125" s="542" t="str">
        <f>IF(Input_voertuigprijzen!AF124&gt;0,Input_voertuig!L$2,"")</f>
        <v/>
      </c>
      <c r="M125" s="542" t="str">
        <f>IF(Input_voertuigprijzen!AG124&gt;0,Input_voertuig!M$2,"")</f>
        <v/>
      </c>
      <c r="N125" s="542" t="str">
        <f>IF(Input_voertuigprijzen!AH124&gt;0,Input_voertuig!N$2,"")</f>
        <v/>
      </c>
      <c r="O125" s="542" t="str">
        <f>IF(Input_voertuigprijzen!AI124&gt;0,Input_voertuig!O$2,"")</f>
        <v/>
      </c>
      <c r="P125" s="542" t="str">
        <f>IF(Input_voertuigprijzen!AJ124&gt;0,Input_voertuig!P$2,"")</f>
        <v/>
      </c>
      <c r="Q125" s="542" t="str">
        <f>IF(Input_voertuigprijzen!AK124&gt;0,Input_voertuig!Q$2,"")</f>
        <v/>
      </c>
      <c r="R125" s="542" t="str">
        <f>IF(Input_voertuigprijzen!AL124&gt;0,Input_voertuig!R$2,"")</f>
        <v/>
      </c>
      <c r="S125" s="542" t="str">
        <f>IF(Input_voertuigprijzen!AM124&gt;0,Input_voertuig!S$2,"")</f>
        <v/>
      </c>
      <c r="T125" s="542" t="str">
        <f>IF(Input_voertuigprijzen!AN124&gt;0,Input_voertuig!T$2,"")</f>
        <v/>
      </c>
    </row>
    <row r="126" spans="1:20" x14ac:dyDescent="0.3">
      <c r="A126" s="489" t="s">
        <v>1441</v>
      </c>
      <c r="B126" s="489" t="s">
        <v>1718</v>
      </c>
      <c r="C126" s="489" t="s">
        <v>1843</v>
      </c>
      <c r="D126" s="489" t="s">
        <v>46</v>
      </c>
      <c r="E126" s="489" t="s">
        <v>1960</v>
      </c>
      <c r="F126" s="542">
        <f>IF(Input_voertuigprijzen!Z125&gt;0,Input_voertuig!F$2,"")</f>
        <v>2024</v>
      </c>
      <c r="G126" s="542">
        <f>IF(Input_voertuigprijzen!AA125&gt;0,Input_voertuig!G$2,"")</f>
        <v>2023</v>
      </c>
      <c r="H126" s="542" t="str">
        <f>IF(Input_voertuigprijzen!AB125&gt;0,Input_voertuig!H$2,"")</f>
        <v/>
      </c>
      <c r="I126" s="542" t="str">
        <f>IF(Input_voertuigprijzen!AC125&gt;0,Input_voertuig!I$2,"")</f>
        <v/>
      </c>
      <c r="J126" s="542" t="str">
        <f>IF(Input_voertuigprijzen!AD125&gt;0,Input_voertuig!J$2,"")</f>
        <v/>
      </c>
      <c r="K126" s="542" t="str">
        <f>IF(Input_voertuigprijzen!AE125&gt;0,Input_voertuig!K$2,"")</f>
        <v/>
      </c>
      <c r="L126" s="542" t="str">
        <f>IF(Input_voertuigprijzen!AF125&gt;0,Input_voertuig!L$2,"")</f>
        <v/>
      </c>
      <c r="M126" s="542" t="str">
        <f>IF(Input_voertuigprijzen!AG125&gt;0,Input_voertuig!M$2,"")</f>
        <v/>
      </c>
      <c r="N126" s="542" t="str">
        <f>IF(Input_voertuigprijzen!AH125&gt;0,Input_voertuig!N$2,"")</f>
        <v/>
      </c>
      <c r="O126" s="542" t="str">
        <f>IF(Input_voertuigprijzen!AI125&gt;0,Input_voertuig!O$2,"")</f>
        <v/>
      </c>
      <c r="P126" s="542" t="str">
        <f>IF(Input_voertuigprijzen!AJ125&gt;0,Input_voertuig!P$2,"")</f>
        <v/>
      </c>
      <c r="Q126" s="542" t="str">
        <f>IF(Input_voertuigprijzen!AK125&gt;0,Input_voertuig!Q$2,"")</f>
        <v/>
      </c>
      <c r="R126" s="542" t="str">
        <f>IF(Input_voertuigprijzen!AL125&gt;0,Input_voertuig!R$2,"")</f>
        <v/>
      </c>
      <c r="S126" s="542" t="str">
        <f>IF(Input_voertuigprijzen!AM125&gt;0,Input_voertuig!S$2,"")</f>
        <v/>
      </c>
      <c r="T126" s="542" t="str">
        <f>IF(Input_voertuigprijzen!AN125&gt;0,Input_voertuig!T$2,"")</f>
        <v/>
      </c>
    </row>
    <row r="127" spans="1:20" x14ac:dyDescent="0.3">
      <c r="A127" s="489" t="s">
        <v>1694</v>
      </c>
      <c r="B127" s="489" t="s">
        <v>1719</v>
      </c>
      <c r="C127" s="489" t="s">
        <v>1844</v>
      </c>
      <c r="D127" s="489" t="s">
        <v>46</v>
      </c>
      <c r="E127" s="489" t="s">
        <v>994</v>
      </c>
      <c r="F127" s="542">
        <f>IF(Input_voertuigprijzen!Z126&gt;0,Input_voertuig!F$2,"")</f>
        <v>2024</v>
      </c>
      <c r="G127" s="542">
        <f>IF(Input_voertuigprijzen!AA126&gt;0,Input_voertuig!G$2,"")</f>
        <v>2023</v>
      </c>
      <c r="H127" s="542">
        <f>IF(Input_voertuigprijzen!AB126&gt;0,Input_voertuig!H$2,"")</f>
        <v>2022</v>
      </c>
      <c r="I127" s="542">
        <f>IF(Input_voertuigprijzen!AC126&gt;0,Input_voertuig!I$2,"")</f>
        <v>2021</v>
      </c>
      <c r="J127" s="542">
        <f>IF(Input_voertuigprijzen!AD126&gt;0,Input_voertuig!J$2,"")</f>
        <v>2020</v>
      </c>
      <c r="K127" s="542">
        <f>IF(Input_voertuigprijzen!AE126&gt;0,Input_voertuig!K$2,"")</f>
        <v>2019</v>
      </c>
      <c r="L127" s="542">
        <f>IF(Input_voertuigprijzen!AF126&gt;0,Input_voertuig!L$2,"")</f>
        <v>2018</v>
      </c>
      <c r="M127" s="542">
        <f>IF(Input_voertuigprijzen!AG126&gt;0,Input_voertuig!M$2,"")</f>
        <v>2017</v>
      </c>
      <c r="N127" s="542">
        <f>IF(Input_voertuigprijzen!AH126&gt;0,Input_voertuig!N$2,"")</f>
        <v>2016</v>
      </c>
      <c r="O127" s="542">
        <f>IF(Input_voertuigprijzen!AI126&gt;0,Input_voertuig!O$2,"")</f>
        <v>2015</v>
      </c>
      <c r="P127" s="542">
        <f>IF(Input_voertuigprijzen!AJ126&gt;0,Input_voertuig!P$2,"")</f>
        <v>2014</v>
      </c>
      <c r="Q127" s="542">
        <f>IF(Input_voertuigprijzen!AK126&gt;0,Input_voertuig!Q$2,"")</f>
        <v>2013</v>
      </c>
      <c r="R127" s="542">
        <f>IF(Input_voertuigprijzen!AL126&gt;0,Input_voertuig!R$2,"")</f>
        <v>2012</v>
      </c>
      <c r="S127" s="542" t="str">
        <f>IF(Input_voertuigprijzen!AM126&gt;0,Input_voertuig!S$2,"")</f>
        <v/>
      </c>
      <c r="T127" s="542" t="str">
        <f>IF(Input_voertuigprijzen!AN126&gt;0,Input_voertuig!T$2,"")</f>
        <v/>
      </c>
    </row>
    <row r="128" spans="1:20" x14ac:dyDescent="0.3">
      <c r="A128" s="489" t="s">
        <v>1544</v>
      </c>
      <c r="B128" s="489" t="s">
        <v>1720</v>
      </c>
      <c r="C128" s="489" t="s">
        <v>1845</v>
      </c>
      <c r="D128" s="489" t="s">
        <v>46</v>
      </c>
      <c r="E128" s="489" t="s">
        <v>994</v>
      </c>
      <c r="F128" s="542" t="str">
        <f>IF(Input_voertuigprijzen!Z127&gt;0,Input_voertuig!F$2,"")</f>
        <v/>
      </c>
      <c r="G128" s="542" t="str">
        <f>IF(Input_voertuigprijzen!AA127&gt;0,Input_voertuig!G$2,"")</f>
        <v/>
      </c>
      <c r="H128" s="542" t="str">
        <f>IF(Input_voertuigprijzen!AB127&gt;0,Input_voertuig!H$2,"")</f>
        <v/>
      </c>
      <c r="I128" s="542" t="str">
        <f>IF(Input_voertuigprijzen!AC127&gt;0,Input_voertuig!I$2,"")</f>
        <v/>
      </c>
      <c r="J128" s="542" t="str">
        <f>IF(Input_voertuigprijzen!AD127&gt;0,Input_voertuig!J$2,"")</f>
        <v/>
      </c>
      <c r="K128" s="542">
        <f>IF(Input_voertuigprijzen!AE127&gt;0,Input_voertuig!K$2,"")</f>
        <v>2019</v>
      </c>
      <c r="L128" s="542">
        <f>IF(Input_voertuigprijzen!AF127&gt;0,Input_voertuig!L$2,"")</f>
        <v>2018</v>
      </c>
      <c r="M128" s="542">
        <f>IF(Input_voertuigprijzen!AG127&gt;0,Input_voertuig!M$2,"")</f>
        <v>2017</v>
      </c>
      <c r="N128" s="542">
        <f>IF(Input_voertuigprijzen!AH127&gt;0,Input_voertuig!N$2,"")</f>
        <v>2016</v>
      </c>
      <c r="O128" s="542">
        <f>IF(Input_voertuigprijzen!AI127&gt;0,Input_voertuig!O$2,"")</f>
        <v>2015</v>
      </c>
      <c r="P128" s="542" t="str">
        <f>IF(Input_voertuigprijzen!AJ127&gt;0,Input_voertuig!P$2,"")</f>
        <v/>
      </c>
      <c r="Q128" s="542">
        <f>IF(Input_voertuigprijzen!AK127&gt;0,Input_voertuig!Q$2,"")</f>
        <v>2013</v>
      </c>
      <c r="R128" s="542" t="str">
        <f>IF(Input_voertuigprijzen!AL127&gt;0,Input_voertuig!R$2,"")</f>
        <v/>
      </c>
      <c r="S128" s="542" t="str">
        <f>IF(Input_voertuigprijzen!AM127&gt;0,Input_voertuig!S$2,"")</f>
        <v/>
      </c>
      <c r="T128" s="542" t="str">
        <f>IF(Input_voertuigprijzen!AN127&gt;0,Input_voertuig!T$2,"")</f>
        <v/>
      </c>
    </row>
    <row r="129" spans="1:20" x14ac:dyDescent="0.3">
      <c r="A129" s="489" t="s">
        <v>1414</v>
      </c>
      <c r="B129" s="489" t="s">
        <v>1721</v>
      </c>
      <c r="C129" s="489" t="s">
        <v>1846</v>
      </c>
      <c r="D129" s="489" t="s">
        <v>46</v>
      </c>
      <c r="E129" s="489" t="s">
        <v>994</v>
      </c>
      <c r="F129" s="542" t="str">
        <f>IF(Input_voertuigprijzen!Z128&gt;0,Input_voertuig!F$2,"")</f>
        <v/>
      </c>
      <c r="G129" s="542">
        <f>IF(Input_voertuigprijzen!AA128&gt;0,Input_voertuig!G$2,"")</f>
        <v>2023</v>
      </c>
      <c r="H129" s="542" t="str">
        <f>IF(Input_voertuigprijzen!AB128&gt;0,Input_voertuig!H$2,"")</f>
        <v/>
      </c>
      <c r="I129" s="542" t="str">
        <f>IF(Input_voertuigprijzen!AC128&gt;0,Input_voertuig!I$2,"")</f>
        <v/>
      </c>
      <c r="J129" s="542">
        <f>IF(Input_voertuigprijzen!AD128&gt;0,Input_voertuig!J$2,"")</f>
        <v>2020</v>
      </c>
      <c r="K129" s="542" t="str">
        <f>IF(Input_voertuigprijzen!AE128&gt;0,Input_voertuig!K$2,"")</f>
        <v/>
      </c>
      <c r="L129" s="542">
        <f>IF(Input_voertuigprijzen!AF128&gt;0,Input_voertuig!L$2,"")</f>
        <v>2018</v>
      </c>
      <c r="M129" s="542">
        <f>IF(Input_voertuigprijzen!AG128&gt;0,Input_voertuig!M$2,"")</f>
        <v>2017</v>
      </c>
      <c r="N129" s="542">
        <f>IF(Input_voertuigprijzen!AH128&gt;0,Input_voertuig!N$2,"")</f>
        <v>2016</v>
      </c>
      <c r="O129" s="542" t="str">
        <f>IF(Input_voertuigprijzen!AI128&gt;0,Input_voertuig!O$2,"")</f>
        <v/>
      </c>
      <c r="P129" s="542" t="str">
        <f>IF(Input_voertuigprijzen!AJ128&gt;0,Input_voertuig!P$2,"")</f>
        <v/>
      </c>
      <c r="Q129" s="542">
        <f>IF(Input_voertuigprijzen!AK128&gt;0,Input_voertuig!Q$2,"")</f>
        <v>2013</v>
      </c>
      <c r="R129" s="542">
        <f>IF(Input_voertuigprijzen!AL128&gt;0,Input_voertuig!R$2,"")</f>
        <v>2012</v>
      </c>
      <c r="S129" s="542">
        <f>IF(Input_voertuigprijzen!AM128&gt;0,Input_voertuig!S$2,"")</f>
        <v>2011</v>
      </c>
      <c r="T129" s="542">
        <f>IF(Input_voertuigprijzen!AN128&gt;0,Input_voertuig!T$2,"")</f>
        <v>2010</v>
      </c>
    </row>
    <row r="130" spans="1:20" x14ac:dyDescent="0.3">
      <c r="A130" s="489" t="s">
        <v>1677</v>
      </c>
      <c r="B130" s="489" t="s">
        <v>1722</v>
      </c>
      <c r="C130" s="489" t="s">
        <v>1847</v>
      </c>
      <c r="D130" s="489" t="s">
        <v>46</v>
      </c>
      <c r="E130" s="489" t="s">
        <v>994</v>
      </c>
      <c r="F130" s="542" t="str">
        <f>IF(Input_voertuigprijzen!Z129&gt;0,Input_voertuig!F$2,"")</f>
        <v/>
      </c>
      <c r="G130" s="542" t="str">
        <f>IF(Input_voertuigprijzen!AA129&gt;0,Input_voertuig!G$2,"")</f>
        <v/>
      </c>
      <c r="H130" s="542" t="str">
        <f>IF(Input_voertuigprijzen!AB129&gt;0,Input_voertuig!H$2,"")</f>
        <v/>
      </c>
      <c r="I130" s="542">
        <f>IF(Input_voertuigprijzen!AC129&gt;0,Input_voertuig!I$2,"")</f>
        <v>2021</v>
      </c>
      <c r="J130" s="542" t="str">
        <f>IF(Input_voertuigprijzen!AD129&gt;0,Input_voertuig!J$2,"")</f>
        <v/>
      </c>
      <c r="K130" s="542" t="str">
        <f>IF(Input_voertuigprijzen!AE129&gt;0,Input_voertuig!K$2,"")</f>
        <v/>
      </c>
      <c r="L130" s="542">
        <f>IF(Input_voertuigprijzen!AF129&gt;0,Input_voertuig!L$2,"")</f>
        <v>2018</v>
      </c>
      <c r="M130" s="542">
        <f>IF(Input_voertuigprijzen!AG129&gt;0,Input_voertuig!M$2,"")</f>
        <v>2017</v>
      </c>
      <c r="N130" s="542">
        <f>IF(Input_voertuigprijzen!AH129&gt;0,Input_voertuig!N$2,"")</f>
        <v>2016</v>
      </c>
      <c r="O130" s="542">
        <f>IF(Input_voertuigprijzen!AI129&gt;0,Input_voertuig!O$2,"")</f>
        <v>2015</v>
      </c>
      <c r="P130" s="542">
        <f>IF(Input_voertuigprijzen!AJ129&gt;0,Input_voertuig!P$2,"")</f>
        <v>2014</v>
      </c>
      <c r="Q130" s="542">
        <f>IF(Input_voertuigprijzen!AK129&gt;0,Input_voertuig!Q$2,"")</f>
        <v>2013</v>
      </c>
      <c r="R130" s="542">
        <f>IF(Input_voertuigprijzen!AL129&gt;0,Input_voertuig!R$2,"")</f>
        <v>2012</v>
      </c>
      <c r="S130" s="542">
        <f>IF(Input_voertuigprijzen!AM129&gt;0,Input_voertuig!S$2,"")</f>
        <v>2011</v>
      </c>
      <c r="T130" s="542">
        <f>IF(Input_voertuigprijzen!AN129&gt;0,Input_voertuig!T$2,"")</f>
        <v>2010</v>
      </c>
    </row>
    <row r="131" spans="1:20" x14ac:dyDescent="0.3">
      <c r="A131" s="489" t="s">
        <v>1694</v>
      </c>
      <c r="B131" s="489" t="s">
        <v>1723</v>
      </c>
      <c r="C131" s="489" t="s">
        <v>1848</v>
      </c>
      <c r="D131" s="489" t="s">
        <v>46</v>
      </c>
      <c r="E131" s="489" t="s">
        <v>994</v>
      </c>
      <c r="F131" s="542">
        <f>IF(Input_voertuigprijzen!Z130&gt;0,Input_voertuig!F$2,"")</f>
        <v>2024</v>
      </c>
      <c r="G131" s="542" t="str">
        <f>IF(Input_voertuigprijzen!AA130&gt;0,Input_voertuig!G$2,"")</f>
        <v/>
      </c>
      <c r="H131" s="542" t="str">
        <f>IF(Input_voertuigprijzen!AB130&gt;0,Input_voertuig!H$2,"")</f>
        <v/>
      </c>
      <c r="I131" s="542" t="str">
        <f>IF(Input_voertuigprijzen!AC130&gt;0,Input_voertuig!I$2,"")</f>
        <v/>
      </c>
      <c r="J131" s="542" t="str">
        <f>IF(Input_voertuigprijzen!AD130&gt;0,Input_voertuig!J$2,"")</f>
        <v/>
      </c>
      <c r="K131" s="542">
        <f>IF(Input_voertuigprijzen!AE130&gt;0,Input_voertuig!K$2,"")</f>
        <v>2019</v>
      </c>
      <c r="L131" s="542">
        <f>IF(Input_voertuigprijzen!AF130&gt;0,Input_voertuig!L$2,"")</f>
        <v>2018</v>
      </c>
      <c r="M131" s="542">
        <f>IF(Input_voertuigprijzen!AG130&gt;0,Input_voertuig!M$2,"")</f>
        <v>2017</v>
      </c>
      <c r="N131" s="542">
        <f>IF(Input_voertuigprijzen!AH130&gt;0,Input_voertuig!N$2,"")</f>
        <v>2016</v>
      </c>
      <c r="O131" s="542">
        <f>IF(Input_voertuigprijzen!AI130&gt;0,Input_voertuig!O$2,"")</f>
        <v>2015</v>
      </c>
      <c r="P131" s="542">
        <f>IF(Input_voertuigprijzen!AJ130&gt;0,Input_voertuig!P$2,"")</f>
        <v>2014</v>
      </c>
      <c r="Q131" s="542" t="str">
        <f>IF(Input_voertuigprijzen!AK130&gt;0,Input_voertuig!Q$2,"")</f>
        <v/>
      </c>
      <c r="R131" s="542" t="str">
        <f>IF(Input_voertuigprijzen!AL130&gt;0,Input_voertuig!R$2,"")</f>
        <v/>
      </c>
      <c r="S131" s="542" t="str">
        <f>IF(Input_voertuigprijzen!AM130&gt;0,Input_voertuig!S$2,"")</f>
        <v/>
      </c>
      <c r="T131" s="542" t="str">
        <f>IF(Input_voertuigprijzen!AN130&gt;0,Input_voertuig!T$2,"")</f>
        <v/>
      </c>
    </row>
    <row r="132" spans="1:20" x14ac:dyDescent="0.3">
      <c r="A132" s="489" t="s">
        <v>1414</v>
      </c>
      <c r="B132" s="489" t="s">
        <v>1724</v>
      </c>
      <c r="C132" s="489" t="s">
        <v>1849</v>
      </c>
      <c r="D132" s="489" t="s">
        <v>46</v>
      </c>
      <c r="E132" s="489" t="s">
        <v>994</v>
      </c>
      <c r="F132" s="542" t="str">
        <f>IF(Input_voertuigprijzen!Z131&gt;0,Input_voertuig!F$2,"")</f>
        <v/>
      </c>
      <c r="G132" s="542" t="str">
        <f>IF(Input_voertuigprijzen!AA131&gt;0,Input_voertuig!G$2,"")</f>
        <v/>
      </c>
      <c r="H132" s="542" t="str">
        <f>IF(Input_voertuigprijzen!AB131&gt;0,Input_voertuig!H$2,"")</f>
        <v/>
      </c>
      <c r="I132" s="542" t="str">
        <f>IF(Input_voertuigprijzen!AC131&gt;0,Input_voertuig!I$2,"")</f>
        <v/>
      </c>
      <c r="J132" s="542" t="str">
        <f>IF(Input_voertuigprijzen!AD131&gt;0,Input_voertuig!J$2,"")</f>
        <v/>
      </c>
      <c r="K132" s="542" t="str">
        <f>IF(Input_voertuigprijzen!AE131&gt;0,Input_voertuig!K$2,"")</f>
        <v/>
      </c>
      <c r="L132" s="542" t="str">
        <f>IF(Input_voertuigprijzen!AF131&gt;0,Input_voertuig!L$2,"")</f>
        <v/>
      </c>
      <c r="M132" s="542" t="str">
        <f>IF(Input_voertuigprijzen!AG131&gt;0,Input_voertuig!M$2,"")</f>
        <v/>
      </c>
      <c r="N132" s="542" t="str">
        <f>IF(Input_voertuigprijzen!AH131&gt;0,Input_voertuig!N$2,"")</f>
        <v/>
      </c>
      <c r="O132" s="542" t="str">
        <f>IF(Input_voertuigprijzen!AI131&gt;0,Input_voertuig!O$2,"")</f>
        <v/>
      </c>
      <c r="P132" s="542" t="str">
        <f>IF(Input_voertuigprijzen!AJ131&gt;0,Input_voertuig!P$2,"")</f>
        <v/>
      </c>
      <c r="Q132" s="542" t="str">
        <f>IF(Input_voertuigprijzen!AK131&gt;0,Input_voertuig!Q$2,"")</f>
        <v/>
      </c>
      <c r="R132" s="542" t="str">
        <f>IF(Input_voertuigprijzen!AL131&gt;0,Input_voertuig!R$2,"")</f>
        <v/>
      </c>
      <c r="S132" s="542" t="str">
        <f>IF(Input_voertuigprijzen!AM131&gt;0,Input_voertuig!S$2,"")</f>
        <v/>
      </c>
      <c r="T132" s="542" t="str">
        <f>IF(Input_voertuigprijzen!AN131&gt;0,Input_voertuig!T$2,"")</f>
        <v/>
      </c>
    </row>
    <row r="133" spans="1:20" x14ac:dyDescent="0.3">
      <c r="A133" s="489" t="s">
        <v>1414</v>
      </c>
      <c r="B133" s="489" t="s">
        <v>1725</v>
      </c>
      <c r="C133" s="489" t="s">
        <v>1850</v>
      </c>
      <c r="D133" s="489" t="s">
        <v>141</v>
      </c>
      <c r="E133" s="489" t="s">
        <v>994</v>
      </c>
      <c r="F133" s="542" t="str">
        <f>IF(Input_voertuigprijzen!Z132&gt;0,Input_voertuig!F$2,"")</f>
        <v/>
      </c>
      <c r="G133" s="542">
        <f>IF(Input_voertuigprijzen!AA132&gt;0,Input_voertuig!G$2,"")</f>
        <v>2023</v>
      </c>
      <c r="H133" s="542">
        <f>IF(Input_voertuigprijzen!AB132&gt;0,Input_voertuig!H$2,"")</f>
        <v>2022</v>
      </c>
      <c r="I133" s="542">
        <f>IF(Input_voertuigprijzen!AC132&gt;0,Input_voertuig!I$2,"")</f>
        <v>2021</v>
      </c>
      <c r="J133" s="542" t="str">
        <f>IF(Input_voertuigprijzen!AD132&gt;0,Input_voertuig!J$2,"")</f>
        <v/>
      </c>
      <c r="K133" s="542" t="str">
        <f>IF(Input_voertuigprijzen!AE132&gt;0,Input_voertuig!K$2,"")</f>
        <v/>
      </c>
      <c r="L133" s="542" t="str">
        <f>IF(Input_voertuigprijzen!AF132&gt;0,Input_voertuig!L$2,"")</f>
        <v/>
      </c>
      <c r="M133" s="542" t="str">
        <f>IF(Input_voertuigprijzen!AG132&gt;0,Input_voertuig!M$2,"")</f>
        <v/>
      </c>
      <c r="N133" s="542" t="str">
        <f>IF(Input_voertuigprijzen!AH132&gt;0,Input_voertuig!N$2,"")</f>
        <v/>
      </c>
      <c r="O133" s="542" t="str">
        <f>IF(Input_voertuigprijzen!AI132&gt;0,Input_voertuig!O$2,"")</f>
        <v/>
      </c>
      <c r="P133" s="542" t="str">
        <f>IF(Input_voertuigprijzen!AJ132&gt;0,Input_voertuig!P$2,"")</f>
        <v/>
      </c>
      <c r="Q133" s="542" t="str">
        <f>IF(Input_voertuigprijzen!AK132&gt;0,Input_voertuig!Q$2,"")</f>
        <v/>
      </c>
      <c r="R133" s="542" t="str">
        <f>IF(Input_voertuigprijzen!AL132&gt;0,Input_voertuig!R$2,"")</f>
        <v/>
      </c>
      <c r="S133" s="542" t="str">
        <f>IF(Input_voertuigprijzen!AM132&gt;0,Input_voertuig!S$2,"")</f>
        <v/>
      </c>
      <c r="T133" s="542" t="str">
        <f>IF(Input_voertuigprijzen!AN132&gt;0,Input_voertuig!T$2,"")</f>
        <v/>
      </c>
    </row>
    <row r="134" spans="1:20" x14ac:dyDescent="0.3">
      <c r="A134" s="489" t="s">
        <v>1426</v>
      </c>
      <c r="B134" s="489" t="s">
        <v>1726</v>
      </c>
      <c r="C134" s="489" t="s">
        <v>1726</v>
      </c>
      <c r="D134" s="489" t="s">
        <v>46</v>
      </c>
      <c r="E134" s="489" t="s">
        <v>994</v>
      </c>
      <c r="F134" s="542" t="str">
        <f>IF(Input_voertuigprijzen!Z133&gt;0,Input_voertuig!F$2,"")</f>
        <v/>
      </c>
      <c r="G134" s="542">
        <f>IF(Input_voertuigprijzen!AA133&gt;0,Input_voertuig!G$2,"")</f>
        <v>2023</v>
      </c>
      <c r="H134" s="542" t="str">
        <f>IF(Input_voertuigprijzen!AB133&gt;0,Input_voertuig!H$2,"")</f>
        <v/>
      </c>
      <c r="I134" s="542" t="str">
        <f>IF(Input_voertuigprijzen!AC133&gt;0,Input_voertuig!I$2,"")</f>
        <v/>
      </c>
      <c r="J134" s="542" t="str">
        <f>IF(Input_voertuigprijzen!AD133&gt;0,Input_voertuig!J$2,"")</f>
        <v/>
      </c>
      <c r="K134" s="542">
        <f>IF(Input_voertuigprijzen!AE133&gt;0,Input_voertuig!K$2,"")</f>
        <v>2019</v>
      </c>
      <c r="L134" s="542" t="str">
        <f>IF(Input_voertuigprijzen!AF133&gt;0,Input_voertuig!L$2,"")</f>
        <v/>
      </c>
      <c r="M134" s="542">
        <f>IF(Input_voertuigprijzen!AG133&gt;0,Input_voertuig!M$2,"")</f>
        <v>2017</v>
      </c>
      <c r="N134" s="542">
        <f>IF(Input_voertuigprijzen!AH133&gt;0,Input_voertuig!N$2,"")</f>
        <v>2016</v>
      </c>
      <c r="O134" s="542">
        <f>IF(Input_voertuigprijzen!AI133&gt;0,Input_voertuig!O$2,"")</f>
        <v>2015</v>
      </c>
      <c r="P134" s="542" t="str">
        <f>IF(Input_voertuigprijzen!AJ133&gt;0,Input_voertuig!P$2,"")</f>
        <v/>
      </c>
      <c r="Q134" s="542" t="str">
        <f>IF(Input_voertuigprijzen!AK133&gt;0,Input_voertuig!Q$2,"")</f>
        <v/>
      </c>
      <c r="R134" s="542">
        <f>IF(Input_voertuigprijzen!AL133&gt;0,Input_voertuig!R$2,"")</f>
        <v>2012</v>
      </c>
      <c r="S134" s="542">
        <f>IF(Input_voertuigprijzen!AM133&gt;0,Input_voertuig!S$2,"")</f>
        <v>2011</v>
      </c>
      <c r="T134" s="542">
        <f>IF(Input_voertuigprijzen!AN133&gt;0,Input_voertuig!T$2,"")</f>
        <v>2010</v>
      </c>
    </row>
    <row r="135" spans="1:20" x14ac:dyDescent="0.3">
      <c r="A135" s="489" t="s">
        <v>1414</v>
      </c>
      <c r="B135" s="489" t="s">
        <v>1727</v>
      </c>
      <c r="C135" s="489" t="s">
        <v>1851</v>
      </c>
      <c r="D135" s="489" t="s">
        <v>46</v>
      </c>
      <c r="E135" s="489" t="s">
        <v>994</v>
      </c>
      <c r="F135" s="542" t="str">
        <f>IF(Input_voertuigprijzen!Z134&gt;0,Input_voertuig!F$2,"")</f>
        <v/>
      </c>
      <c r="G135" s="542" t="str">
        <f>IF(Input_voertuigprijzen!AA134&gt;0,Input_voertuig!G$2,"")</f>
        <v/>
      </c>
      <c r="H135" s="542" t="str">
        <f>IF(Input_voertuigprijzen!AB134&gt;0,Input_voertuig!H$2,"")</f>
        <v/>
      </c>
      <c r="I135" s="542" t="str">
        <f>IF(Input_voertuigprijzen!AC134&gt;0,Input_voertuig!I$2,"")</f>
        <v/>
      </c>
      <c r="J135" s="542" t="str">
        <f>IF(Input_voertuigprijzen!AD134&gt;0,Input_voertuig!J$2,"")</f>
        <v/>
      </c>
      <c r="K135" s="542">
        <f>IF(Input_voertuigprijzen!AE134&gt;0,Input_voertuig!K$2,"")</f>
        <v>2019</v>
      </c>
      <c r="L135" s="542">
        <f>IF(Input_voertuigprijzen!AF134&gt;0,Input_voertuig!L$2,"")</f>
        <v>2018</v>
      </c>
      <c r="M135" s="542">
        <f>IF(Input_voertuigprijzen!AG134&gt;0,Input_voertuig!M$2,"")</f>
        <v>2017</v>
      </c>
      <c r="N135" s="542">
        <f>IF(Input_voertuigprijzen!AH134&gt;0,Input_voertuig!N$2,"")</f>
        <v>2016</v>
      </c>
      <c r="O135" s="542">
        <f>IF(Input_voertuigprijzen!AI134&gt;0,Input_voertuig!O$2,"")</f>
        <v>2015</v>
      </c>
      <c r="P135" s="542">
        <f>IF(Input_voertuigprijzen!AJ134&gt;0,Input_voertuig!P$2,"")</f>
        <v>2014</v>
      </c>
      <c r="Q135" s="542" t="str">
        <f>IF(Input_voertuigprijzen!AK134&gt;0,Input_voertuig!Q$2,"")</f>
        <v/>
      </c>
      <c r="R135" s="542">
        <f>IF(Input_voertuigprijzen!AL134&gt;0,Input_voertuig!R$2,"")</f>
        <v>2012</v>
      </c>
      <c r="S135" s="542">
        <f>IF(Input_voertuigprijzen!AM134&gt;0,Input_voertuig!S$2,"")</f>
        <v>2011</v>
      </c>
      <c r="T135" s="542">
        <f>IF(Input_voertuigprijzen!AN134&gt;0,Input_voertuig!T$2,"")</f>
        <v>2010</v>
      </c>
    </row>
    <row r="136" spans="1:20" x14ac:dyDescent="0.3">
      <c r="A136" s="489" t="s">
        <v>1414</v>
      </c>
      <c r="B136" s="489" t="s">
        <v>1728</v>
      </c>
      <c r="C136" s="489" t="s">
        <v>1852</v>
      </c>
      <c r="D136" s="489" t="s">
        <v>46</v>
      </c>
      <c r="E136" s="489" t="s">
        <v>994</v>
      </c>
      <c r="F136" s="542" t="str">
        <f>IF(Input_voertuigprijzen!Z135&gt;0,Input_voertuig!F$2,"")</f>
        <v/>
      </c>
      <c r="G136" s="542" t="str">
        <f>IF(Input_voertuigprijzen!AA135&gt;0,Input_voertuig!G$2,"")</f>
        <v/>
      </c>
      <c r="H136" s="542">
        <f>IF(Input_voertuigprijzen!AB135&gt;0,Input_voertuig!H$2,"")</f>
        <v>2022</v>
      </c>
      <c r="I136" s="542" t="str">
        <f>IF(Input_voertuigprijzen!AC135&gt;0,Input_voertuig!I$2,"")</f>
        <v/>
      </c>
      <c r="J136" s="542">
        <f>IF(Input_voertuigprijzen!AD135&gt;0,Input_voertuig!J$2,"")</f>
        <v>2020</v>
      </c>
      <c r="K136" s="542">
        <f>IF(Input_voertuigprijzen!AE135&gt;0,Input_voertuig!K$2,"")</f>
        <v>2019</v>
      </c>
      <c r="L136" s="542" t="str">
        <f>IF(Input_voertuigprijzen!AF135&gt;0,Input_voertuig!L$2,"")</f>
        <v/>
      </c>
      <c r="M136" s="542">
        <f>IF(Input_voertuigprijzen!AG135&gt;0,Input_voertuig!M$2,"")</f>
        <v>2017</v>
      </c>
      <c r="N136" s="542">
        <f>IF(Input_voertuigprijzen!AH135&gt;0,Input_voertuig!N$2,"")</f>
        <v>2016</v>
      </c>
      <c r="O136" s="542">
        <f>IF(Input_voertuigprijzen!AI135&gt;0,Input_voertuig!O$2,"")</f>
        <v>2015</v>
      </c>
      <c r="P136" s="542">
        <f>IF(Input_voertuigprijzen!AJ135&gt;0,Input_voertuig!P$2,"")</f>
        <v>2014</v>
      </c>
      <c r="Q136" s="542">
        <f>IF(Input_voertuigprijzen!AK135&gt;0,Input_voertuig!Q$2,"")</f>
        <v>2013</v>
      </c>
      <c r="R136" s="542">
        <f>IF(Input_voertuigprijzen!AL135&gt;0,Input_voertuig!R$2,"")</f>
        <v>2012</v>
      </c>
      <c r="S136" s="542" t="str">
        <f>IF(Input_voertuigprijzen!AM135&gt;0,Input_voertuig!S$2,"")</f>
        <v/>
      </c>
      <c r="T136" s="542" t="str">
        <f>IF(Input_voertuigprijzen!AN135&gt;0,Input_voertuig!T$2,"")</f>
        <v/>
      </c>
    </row>
    <row r="137" spans="1:20" x14ac:dyDescent="0.3">
      <c r="A137" s="489" t="s">
        <v>1414</v>
      </c>
      <c r="B137" s="489" t="s">
        <v>1729</v>
      </c>
      <c r="C137" s="489" t="s">
        <v>1853</v>
      </c>
      <c r="D137" s="489" t="s">
        <v>46</v>
      </c>
      <c r="E137" s="489" t="s">
        <v>994</v>
      </c>
      <c r="F137" s="542">
        <f>IF(Input_voertuigprijzen!Z136&gt;0,Input_voertuig!F$2,"")</f>
        <v>2024</v>
      </c>
      <c r="G137" s="542">
        <f>IF(Input_voertuigprijzen!AA136&gt;0,Input_voertuig!G$2,"")</f>
        <v>2023</v>
      </c>
      <c r="H137" s="542">
        <f>IF(Input_voertuigprijzen!AB136&gt;0,Input_voertuig!H$2,"")</f>
        <v>2022</v>
      </c>
      <c r="I137" s="542">
        <f>IF(Input_voertuigprijzen!AC136&gt;0,Input_voertuig!I$2,"")</f>
        <v>2021</v>
      </c>
      <c r="J137" s="542">
        <f>IF(Input_voertuigprijzen!AD136&gt;0,Input_voertuig!J$2,"")</f>
        <v>2020</v>
      </c>
      <c r="K137" s="542">
        <f>IF(Input_voertuigprijzen!AE136&gt;0,Input_voertuig!K$2,"")</f>
        <v>2019</v>
      </c>
      <c r="L137" s="542">
        <f>IF(Input_voertuigprijzen!AF136&gt;0,Input_voertuig!L$2,"")</f>
        <v>2018</v>
      </c>
      <c r="M137" s="542">
        <f>IF(Input_voertuigprijzen!AG136&gt;0,Input_voertuig!M$2,"")</f>
        <v>2017</v>
      </c>
      <c r="N137" s="542" t="str">
        <f>IF(Input_voertuigprijzen!AH136&gt;0,Input_voertuig!N$2,"")</f>
        <v/>
      </c>
      <c r="O137" s="542" t="str">
        <f>IF(Input_voertuigprijzen!AI136&gt;0,Input_voertuig!O$2,"")</f>
        <v/>
      </c>
      <c r="P137" s="542" t="str">
        <f>IF(Input_voertuigprijzen!AJ136&gt;0,Input_voertuig!P$2,"")</f>
        <v/>
      </c>
      <c r="Q137" s="542" t="str">
        <f>IF(Input_voertuigprijzen!AK136&gt;0,Input_voertuig!Q$2,"")</f>
        <v/>
      </c>
      <c r="R137" s="542" t="str">
        <f>IF(Input_voertuigprijzen!AL136&gt;0,Input_voertuig!R$2,"")</f>
        <v/>
      </c>
      <c r="S137" s="542" t="str">
        <f>IF(Input_voertuigprijzen!AM136&gt;0,Input_voertuig!S$2,"")</f>
        <v/>
      </c>
      <c r="T137" s="542" t="str">
        <f>IF(Input_voertuigprijzen!AN136&gt;0,Input_voertuig!T$2,"")</f>
        <v/>
      </c>
    </row>
    <row r="138" spans="1:20" x14ac:dyDescent="0.3">
      <c r="A138" s="489" t="s">
        <v>1605</v>
      </c>
      <c r="B138" s="489" t="s">
        <v>1730</v>
      </c>
      <c r="C138" s="489" t="s">
        <v>1854</v>
      </c>
      <c r="D138" s="489" t="s">
        <v>46</v>
      </c>
      <c r="E138" s="489" t="s">
        <v>994</v>
      </c>
      <c r="F138" s="542" t="str">
        <f>IF(Input_voertuigprijzen!Z137&gt;0,Input_voertuig!F$2,"")</f>
        <v/>
      </c>
      <c r="G138" s="542">
        <f>IF(Input_voertuigprijzen!AA137&gt;0,Input_voertuig!G$2,"")</f>
        <v>2023</v>
      </c>
      <c r="H138" s="542">
        <f>IF(Input_voertuigprijzen!AB137&gt;0,Input_voertuig!H$2,"")</f>
        <v>2022</v>
      </c>
      <c r="I138" s="542" t="str">
        <f>IF(Input_voertuigprijzen!AC137&gt;0,Input_voertuig!I$2,"")</f>
        <v/>
      </c>
      <c r="J138" s="542" t="str">
        <f>IF(Input_voertuigprijzen!AD137&gt;0,Input_voertuig!J$2,"")</f>
        <v/>
      </c>
      <c r="K138" s="542">
        <f>IF(Input_voertuigprijzen!AE137&gt;0,Input_voertuig!K$2,"")</f>
        <v>2019</v>
      </c>
      <c r="L138" s="542">
        <f>IF(Input_voertuigprijzen!AF137&gt;0,Input_voertuig!L$2,"")</f>
        <v>2018</v>
      </c>
      <c r="M138" s="542">
        <f>IF(Input_voertuigprijzen!AG137&gt;0,Input_voertuig!M$2,"")</f>
        <v>2017</v>
      </c>
      <c r="N138" s="542">
        <f>IF(Input_voertuigprijzen!AH137&gt;0,Input_voertuig!N$2,"")</f>
        <v>2016</v>
      </c>
      <c r="O138" s="542">
        <f>IF(Input_voertuigprijzen!AI137&gt;0,Input_voertuig!O$2,"")</f>
        <v>2015</v>
      </c>
      <c r="P138" s="542">
        <f>IF(Input_voertuigprijzen!AJ137&gt;0,Input_voertuig!P$2,"")</f>
        <v>2014</v>
      </c>
      <c r="Q138" s="542" t="str">
        <f>IF(Input_voertuigprijzen!AK137&gt;0,Input_voertuig!Q$2,"")</f>
        <v/>
      </c>
      <c r="R138" s="542">
        <f>IF(Input_voertuigprijzen!AL137&gt;0,Input_voertuig!R$2,"")</f>
        <v>2012</v>
      </c>
      <c r="S138" s="542" t="str">
        <f>IF(Input_voertuigprijzen!AM137&gt;0,Input_voertuig!S$2,"")</f>
        <v/>
      </c>
      <c r="T138" s="542" t="str">
        <f>IF(Input_voertuigprijzen!AN137&gt;0,Input_voertuig!T$2,"")</f>
        <v/>
      </c>
    </row>
    <row r="139" spans="1:20" x14ac:dyDescent="0.3">
      <c r="A139" s="489" t="s">
        <v>1451</v>
      </c>
      <c r="B139" s="489" t="s">
        <v>1731</v>
      </c>
      <c r="C139" s="489" t="s">
        <v>1855</v>
      </c>
      <c r="D139" s="489" t="s">
        <v>46</v>
      </c>
      <c r="E139" s="489" t="s">
        <v>994</v>
      </c>
      <c r="F139" s="542">
        <f>IF(Input_voertuigprijzen!Z138&gt;0,Input_voertuig!F$2,"")</f>
        <v>2024</v>
      </c>
      <c r="G139" s="542">
        <f>IF(Input_voertuigprijzen!AA138&gt;0,Input_voertuig!G$2,"")</f>
        <v>2023</v>
      </c>
      <c r="H139" s="542">
        <f>IF(Input_voertuigprijzen!AB138&gt;0,Input_voertuig!H$2,"")</f>
        <v>2022</v>
      </c>
      <c r="I139" s="542">
        <f>IF(Input_voertuigprijzen!AC138&gt;0,Input_voertuig!I$2,"")</f>
        <v>2021</v>
      </c>
      <c r="J139" s="542">
        <f>IF(Input_voertuigprijzen!AD138&gt;0,Input_voertuig!J$2,"")</f>
        <v>2020</v>
      </c>
      <c r="K139" s="542" t="str">
        <f>IF(Input_voertuigprijzen!AE138&gt;0,Input_voertuig!K$2,"")</f>
        <v/>
      </c>
      <c r="L139" s="542">
        <f>IF(Input_voertuigprijzen!AF138&gt;0,Input_voertuig!L$2,"")</f>
        <v>2018</v>
      </c>
      <c r="M139" s="542">
        <f>IF(Input_voertuigprijzen!AG138&gt;0,Input_voertuig!M$2,"")</f>
        <v>2017</v>
      </c>
      <c r="N139" s="542">
        <f>IF(Input_voertuigprijzen!AH138&gt;0,Input_voertuig!N$2,"")</f>
        <v>2016</v>
      </c>
      <c r="O139" s="542" t="str">
        <f>IF(Input_voertuigprijzen!AI138&gt;0,Input_voertuig!O$2,"")</f>
        <v/>
      </c>
      <c r="P139" s="542" t="str">
        <f>IF(Input_voertuigprijzen!AJ138&gt;0,Input_voertuig!P$2,"")</f>
        <v/>
      </c>
      <c r="Q139" s="542" t="str">
        <f>IF(Input_voertuigprijzen!AK138&gt;0,Input_voertuig!Q$2,"")</f>
        <v/>
      </c>
      <c r="R139" s="542" t="str">
        <f>IF(Input_voertuigprijzen!AL138&gt;0,Input_voertuig!R$2,"")</f>
        <v/>
      </c>
      <c r="S139" s="542" t="str">
        <f>IF(Input_voertuigprijzen!AM138&gt;0,Input_voertuig!S$2,"")</f>
        <v/>
      </c>
      <c r="T139" s="542" t="str">
        <f>IF(Input_voertuigprijzen!AN138&gt;0,Input_voertuig!T$2,"")</f>
        <v/>
      </c>
    </row>
    <row r="140" spans="1:20" x14ac:dyDescent="0.3">
      <c r="A140" s="489" t="s">
        <v>1414</v>
      </c>
      <c r="B140" s="489" t="s">
        <v>1732</v>
      </c>
      <c r="C140" s="489" t="s">
        <v>1856</v>
      </c>
      <c r="D140" s="489" t="s">
        <v>46</v>
      </c>
      <c r="E140" s="489" t="s">
        <v>994</v>
      </c>
      <c r="F140" s="542" t="str">
        <f>IF(Input_voertuigprijzen!Z139&gt;0,Input_voertuig!F$2,"")</f>
        <v/>
      </c>
      <c r="G140" s="542" t="str">
        <f>IF(Input_voertuigprijzen!AA139&gt;0,Input_voertuig!G$2,"")</f>
        <v/>
      </c>
      <c r="H140" s="542" t="str">
        <f>IF(Input_voertuigprijzen!AB139&gt;0,Input_voertuig!H$2,"")</f>
        <v/>
      </c>
      <c r="I140" s="542" t="str">
        <f>IF(Input_voertuigprijzen!AC139&gt;0,Input_voertuig!I$2,"")</f>
        <v/>
      </c>
      <c r="J140" s="542" t="str">
        <f>IF(Input_voertuigprijzen!AD139&gt;0,Input_voertuig!J$2,"")</f>
        <v/>
      </c>
      <c r="K140" s="542" t="str">
        <f>IF(Input_voertuigprijzen!AE139&gt;0,Input_voertuig!K$2,"")</f>
        <v/>
      </c>
      <c r="L140" s="542" t="str">
        <f>IF(Input_voertuigprijzen!AF139&gt;0,Input_voertuig!L$2,"")</f>
        <v/>
      </c>
      <c r="M140" s="542" t="str">
        <f>IF(Input_voertuigprijzen!AG139&gt;0,Input_voertuig!M$2,"")</f>
        <v/>
      </c>
      <c r="N140" s="542" t="str">
        <f>IF(Input_voertuigprijzen!AH139&gt;0,Input_voertuig!N$2,"")</f>
        <v/>
      </c>
      <c r="O140" s="542" t="str">
        <f>IF(Input_voertuigprijzen!AI139&gt;0,Input_voertuig!O$2,"")</f>
        <v/>
      </c>
      <c r="P140" s="542" t="str">
        <f>IF(Input_voertuigprijzen!AJ139&gt;0,Input_voertuig!P$2,"")</f>
        <v/>
      </c>
      <c r="Q140" s="542" t="str">
        <f>IF(Input_voertuigprijzen!AK139&gt;0,Input_voertuig!Q$2,"")</f>
        <v/>
      </c>
      <c r="R140" s="542">
        <f>IF(Input_voertuigprijzen!AL139&gt;0,Input_voertuig!R$2,"")</f>
        <v>2012</v>
      </c>
      <c r="S140" s="542">
        <f>IF(Input_voertuigprijzen!AM139&gt;0,Input_voertuig!S$2,"")</f>
        <v>2011</v>
      </c>
      <c r="T140" s="542" t="str">
        <f>IF(Input_voertuigprijzen!AN139&gt;0,Input_voertuig!T$2,"")</f>
        <v/>
      </c>
    </row>
    <row r="141" spans="1:20" x14ac:dyDescent="0.3">
      <c r="A141" s="489" t="s">
        <v>1567</v>
      </c>
      <c r="B141" s="489">
        <v>5008</v>
      </c>
      <c r="C141" s="489" t="s">
        <v>1857</v>
      </c>
      <c r="D141" s="489" t="s">
        <v>46</v>
      </c>
      <c r="E141" s="489" t="s">
        <v>994</v>
      </c>
      <c r="F141" s="542">
        <f>IF(Input_voertuigprijzen!Z140&gt;0,Input_voertuig!F$2,"")</f>
        <v>2024</v>
      </c>
      <c r="G141" s="542" t="str">
        <f>IF(Input_voertuigprijzen!AA140&gt;0,Input_voertuig!G$2,"")</f>
        <v/>
      </c>
      <c r="H141" s="542">
        <f>IF(Input_voertuigprijzen!AB140&gt;0,Input_voertuig!H$2,"")</f>
        <v>2022</v>
      </c>
      <c r="I141" s="542">
        <f>IF(Input_voertuigprijzen!AC140&gt;0,Input_voertuig!I$2,"")</f>
        <v>2021</v>
      </c>
      <c r="J141" s="542" t="str">
        <f>IF(Input_voertuigprijzen!AD140&gt;0,Input_voertuig!J$2,"")</f>
        <v/>
      </c>
      <c r="K141" s="542">
        <f>IF(Input_voertuigprijzen!AE140&gt;0,Input_voertuig!K$2,"")</f>
        <v>2019</v>
      </c>
      <c r="L141" s="542">
        <f>IF(Input_voertuigprijzen!AF140&gt;0,Input_voertuig!L$2,"")</f>
        <v>2018</v>
      </c>
      <c r="M141" s="542">
        <f>IF(Input_voertuigprijzen!AG140&gt;0,Input_voertuig!M$2,"")</f>
        <v>2017</v>
      </c>
      <c r="N141" s="542">
        <f>IF(Input_voertuigprijzen!AH140&gt;0,Input_voertuig!N$2,"")</f>
        <v>2016</v>
      </c>
      <c r="O141" s="542">
        <f>IF(Input_voertuigprijzen!AI140&gt;0,Input_voertuig!O$2,"")</f>
        <v>2015</v>
      </c>
      <c r="P141" s="542">
        <f>IF(Input_voertuigprijzen!AJ140&gt;0,Input_voertuig!P$2,"")</f>
        <v>2014</v>
      </c>
      <c r="Q141" s="542">
        <f>IF(Input_voertuigprijzen!AK140&gt;0,Input_voertuig!Q$2,"")</f>
        <v>2013</v>
      </c>
      <c r="R141" s="542">
        <f>IF(Input_voertuigprijzen!AL140&gt;0,Input_voertuig!R$2,"")</f>
        <v>2012</v>
      </c>
      <c r="S141" s="542">
        <f>IF(Input_voertuigprijzen!AM140&gt;0,Input_voertuig!S$2,"")</f>
        <v>2011</v>
      </c>
      <c r="T141" s="542">
        <f>IF(Input_voertuigprijzen!AN140&gt;0,Input_voertuig!T$2,"")</f>
        <v>2010</v>
      </c>
    </row>
    <row r="142" spans="1:20" x14ac:dyDescent="0.3">
      <c r="A142" s="489" t="s">
        <v>1414</v>
      </c>
      <c r="B142" s="489" t="s">
        <v>1371</v>
      </c>
      <c r="C142" s="489" t="s">
        <v>1425</v>
      </c>
      <c r="D142" s="489" t="s">
        <v>45</v>
      </c>
      <c r="E142" s="489" t="s">
        <v>994</v>
      </c>
      <c r="F142" s="542" t="str">
        <f>IF(Input_voertuigprijzen!Z141&gt;0,Input_voertuig!F$2,"")</f>
        <v/>
      </c>
      <c r="G142" s="542" t="str">
        <f>IF(Input_voertuigprijzen!AA141&gt;0,Input_voertuig!G$2,"")</f>
        <v/>
      </c>
      <c r="H142" s="542" t="str">
        <f>IF(Input_voertuigprijzen!AB141&gt;0,Input_voertuig!H$2,"")</f>
        <v/>
      </c>
      <c r="I142" s="542">
        <f>IF(Input_voertuigprijzen!AC141&gt;0,Input_voertuig!I$2,"")</f>
        <v>2021</v>
      </c>
      <c r="J142" s="542">
        <f>IF(Input_voertuigprijzen!AD141&gt;0,Input_voertuig!J$2,"")</f>
        <v>2020</v>
      </c>
      <c r="K142" s="542">
        <f>IF(Input_voertuigprijzen!AE141&gt;0,Input_voertuig!K$2,"")</f>
        <v>2019</v>
      </c>
      <c r="L142" s="542">
        <f>IF(Input_voertuigprijzen!AF141&gt;0,Input_voertuig!L$2,"")</f>
        <v>2018</v>
      </c>
      <c r="M142" s="542" t="str">
        <f>IF(Input_voertuigprijzen!AG141&gt;0,Input_voertuig!M$2,"")</f>
        <v/>
      </c>
      <c r="N142" s="542" t="str">
        <f>IF(Input_voertuigprijzen!AH141&gt;0,Input_voertuig!N$2,"")</f>
        <v/>
      </c>
      <c r="O142" s="542" t="str">
        <f>IF(Input_voertuigprijzen!AI141&gt;0,Input_voertuig!O$2,"")</f>
        <v/>
      </c>
      <c r="P142" s="542">
        <f>IF(Input_voertuigprijzen!AJ141&gt;0,Input_voertuig!P$2,"")</f>
        <v>2014</v>
      </c>
      <c r="Q142" s="542" t="str">
        <f>IF(Input_voertuigprijzen!AK141&gt;0,Input_voertuig!Q$2,"")</f>
        <v/>
      </c>
      <c r="R142" s="542" t="str">
        <f>IF(Input_voertuigprijzen!AL141&gt;0,Input_voertuig!R$2,"")</f>
        <v/>
      </c>
      <c r="S142" s="542" t="str">
        <f>IF(Input_voertuigprijzen!AM141&gt;0,Input_voertuig!S$2,"")</f>
        <v/>
      </c>
      <c r="T142" s="542" t="str">
        <f>IF(Input_voertuigprijzen!AN141&gt;0,Input_voertuig!T$2,"")</f>
        <v/>
      </c>
    </row>
    <row r="143" spans="1:20" x14ac:dyDescent="0.3">
      <c r="A143" s="489" t="s">
        <v>1432</v>
      </c>
      <c r="B143" s="489" t="s">
        <v>1663</v>
      </c>
      <c r="C143" s="489" t="s">
        <v>1858</v>
      </c>
      <c r="D143" s="489" t="s">
        <v>46</v>
      </c>
      <c r="E143" s="489" t="s">
        <v>994</v>
      </c>
      <c r="F143" s="542" t="str">
        <f>IF(Input_voertuigprijzen!Z142&gt;0,Input_voertuig!F$2,"")</f>
        <v/>
      </c>
      <c r="G143" s="542">
        <f>IF(Input_voertuigprijzen!AA142&gt;0,Input_voertuig!G$2,"")</f>
        <v>2023</v>
      </c>
      <c r="H143" s="542" t="str">
        <f>IF(Input_voertuigprijzen!AB142&gt;0,Input_voertuig!H$2,"")</f>
        <v/>
      </c>
      <c r="I143" s="542">
        <f>IF(Input_voertuigprijzen!AC142&gt;0,Input_voertuig!I$2,"")</f>
        <v>2021</v>
      </c>
      <c r="J143" s="542" t="str">
        <f>IF(Input_voertuigprijzen!AD142&gt;0,Input_voertuig!J$2,"")</f>
        <v/>
      </c>
      <c r="K143" s="542" t="str">
        <f>IF(Input_voertuigprijzen!AE142&gt;0,Input_voertuig!K$2,"")</f>
        <v/>
      </c>
      <c r="L143" s="542" t="str">
        <f>IF(Input_voertuigprijzen!AF142&gt;0,Input_voertuig!L$2,"")</f>
        <v/>
      </c>
      <c r="M143" s="542">
        <f>IF(Input_voertuigprijzen!AG142&gt;0,Input_voertuig!M$2,"")</f>
        <v>2017</v>
      </c>
      <c r="N143" s="542">
        <f>IF(Input_voertuigprijzen!AH142&gt;0,Input_voertuig!N$2,"")</f>
        <v>2016</v>
      </c>
      <c r="O143" s="542">
        <f>IF(Input_voertuigprijzen!AI142&gt;0,Input_voertuig!O$2,"")</f>
        <v>2015</v>
      </c>
      <c r="P143" s="542">
        <f>IF(Input_voertuigprijzen!AJ142&gt;0,Input_voertuig!P$2,"")</f>
        <v>2014</v>
      </c>
      <c r="Q143" s="542">
        <f>IF(Input_voertuigprijzen!AK142&gt;0,Input_voertuig!Q$2,"")</f>
        <v>2013</v>
      </c>
      <c r="R143" s="542">
        <f>IF(Input_voertuigprijzen!AL142&gt;0,Input_voertuig!R$2,"")</f>
        <v>2012</v>
      </c>
      <c r="S143" s="542">
        <f>IF(Input_voertuigprijzen!AM142&gt;0,Input_voertuig!S$2,"")</f>
        <v>2011</v>
      </c>
      <c r="T143" s="542">
        <f>IF(Input_voertuigprijzen!AN142&gt;0,Input_voertuig!T$2,"")</f>
        <v>2010</v>
      </c>
    </row>
    <row r="144" spans="1:20" x14ac:dyDescent="0.3">
      <c r="A144" s="489" t="s">
        <v>1414</v>
      </c>
      <c r="B144" s="489" t="s">
        <v>1664</v>
      </c>
      <c r="C144" s="489" t="s">
        <v>1859</v>
      </c>
      <c r="D144" s="489" t="s">
        <v>46</v>
      </c>
      <c r="E144" s="489" t="s">
        <v>994</v>
      </c>
      <c r="F144" s="542">
        <f>IF(Input_voertuigprijzen!Z143&gt;0,Input_voertuig!F$2,"")</f>
        <v>2024</v>
      </c>
      <c r="G144" s="542">
        <f>IF(Input_voertuigprijzen!AA143&gt;0,Input_voertuig!G$2,"")</f>
        <v>2023</v>
      </c>
      <c r="H144" s="542" t="str">
        <f>IF(Input_voertuigprijzen!AB143&gt;0,Input_voertuig!H$2,"")</f>
        <v/>
      </c>
      <c r="I144" s="542">
        <f>IF(Input_voertuigprijzen!AC143&gt;0,Input_voertuig!I$2,"")</f>
        <v>2021</v>
      </c>
      <c r="J144" s="542">
        <f>IF(Input_voertuigprijzen!AD143&gt;0,Input_voertuig!J$2,"")</f>
        <v>2020</v>
      </c>
      <c r="K144" s="542">
        <f>IF(Input_voertuigprijzen!AE143&gt;0,Input_voertuig!K$2,"")</f>
        <v>2019</v>
      </c>
      <c r="L144" s="542">
        <f>IF(Input_voertuigprijzen!AF143&gt;0,Input_voertuig!L$2,"")</f>
        <v>2018</v>
      </c>
      <c r="M144" s="542">
        <f>IF(Input_voertuigprijzen!AG143&gt;0,Input_voertuig!M$2,"")</f>
        <v>2017</v>
      </c>
      <c r="N144" s="542">
        <f>IF(Input_voertuigprijzen!AH143&gt;0,Input_voertuig!N$2,"")</f>
        <v>2016</v>
      </c>
      <c r="O144" s="542" t="str">
        <f>IF(Input_voertuigprijzen!AI143&gt;0,Input_voertuig!O$2,"")</f>
        <v/>
      </c>
      <c r="P144" s="542" t="str">
        <f>IF(Input_voertuigprijzen!AJ143&gt;0,Input_voertuig!P$2,"")</f>
        <v/>
      </c>
      <c r="Q144" s="542" t="str">
        <f>IF(Input_voertuigprijzen!AK143&gt;0,Input_voertuig!Q$2,"")</f>
        <v/>
      </c>
      <c r="R144" s="542" t="str">
        <f>IF(Input_voertuigprijzen!AL143&gt;0,Input_voertuig!R$2,"")</f>
        <v/>
      </c>
      <c r="S144" s="542" t="str">
        <f>IF(Input_voertuigprijzen!AM143&gt;0,Input_voertuig!S$2,"")</f>
        <v/>
      </c>
      <c r="T144" s="542" t="str">
        <f>IF(Input_voertuigprijzen!AN143&gt;0,Input_voertuig!T$2,"")</f>
        <v/>
      </c>
    </row>
    <row r="145" spans="1:20" x14ac:dyDescent="0.3">
      <c r="A145" s="489" t="s">
        <v>1441</v>
      </c>
      <c r="B145" s="489" t="s">
        <v>1733</v>
      </c>
      <c r="C145" s="489" t="s">
        <v>1860</v>
      </c>
      <c r="D145" s="489" t="s">
        <v>46</v>
      </c>
      <c r="E145" s="489" t="s">
        <v>1960</v>
      </c>
      <c r="F145" s="542" t="str">
        <f>IF(Input_voertuigprijzen!Z144&gt;0,Input_voertuig!F$2,"")</f>
        <v/>
      </c>
      <c r="G145" s="542" t="str">
        <f>IF(Input_voertuigprijzen!AA144&gt;0,Input_voertuig!G$2,"")</f>
        <v/>
      </c>
      <c r="H145" s="542" t="str">
        <f>IF(Input_voertuigprijzen!AB144&gt;0,Input_voertuig!H$2,"")</f>
        <v/>
      </c>
      <c r="I145" s="542" t="str">
        <f>IF(Input_voertuigprijzen!AC144&gt;0,Input_voertuig!I$2,"")</f>
        <v/>
      </c>
      <c r="J145" s="542" t="str">
        <f>IF(Input_voertuigprijzen!AD144&gt;0,Input_voertuig!J$2,"")</f>
        <v/>
      </c>
      <c r="K145" s="542" t="str">
        <f>IF(Input_voertuigprijzen!AE144&gt;0,Input_voertuig!K$2,"")</f>
        <v/>
      </c>
      <c r="L145" s="542" t="str">
        <f>IF(Input_voertuigprijzen!AF144&gt;0,Input_voertuig!L$2,"")</f>
        <v/>
      </c>
      <c r="M145" s="542" t="str">
        <f>IF(Input_voertuigprijzen!AG144&gt;0,Input_voertuig!M$2,"")</f>
        <v/>
      </c>
      <c r="N145" s="542" t="str">
        <f>IF(Input_voertuigprijzen!AH144&gt;0,Input_voertuig!N$2,"")</f>
        <v/>
      </c>
      <c r="O145" s="542">
        <f>IF(Input_voertuigprijzen!AI144&gt;0,Input_voertuig!O$2,"")</f>
        <v>2015</v>
      </c>
      <c r="P145" s="542" t="str">
        <f>IF(Input_voertuigprijzen!AJ144&gt;0,Input_voertuig!P$2,"")</f>
        <v/>
      </c>
      <c r="Q145" s="542" t="str">
        <f>IF(Input_voertuigprijzen!AK144&gt;0,Input_voertuig!Q$2,"")</f>
        <v/>
      </c>
      <c r="R145" s="542" t="str">
        <f>IF(Input_voertuigprijzen!AL144&gt;0,Input_voertuig!R$2,"")</f>
        <v/>
      </c>
      <c r="S145" s="542" t="str">
        <f>IF(Input_voertuigprijzen!AM144&gt;0,Input_voertuig!S$2,"")</f>
        <v/>
      </c>
      <c r="T145" s="542" t="str">
        <f>IF(Input_voertuigprijzen!AN144&gt;0,Input_voertuig!T$2,"")</f>
        <v/>
      </c>
    </row>
    <row r="146" spans="1:20" x14ac:dyDescent="0.3">
      <c r="A146" s="489" t="s">
        <v>1605</v>
      </c>
      <c r="B146" s="489" t="s">
        <v>1734</v>
      </c>
      <c r="C146" s="489" t="s">
        <v>1861</v>
      </c>
      <c r="D146" s="489" t="s">
        <v>1930</v>
      </c>
      <c r="E146" s="489" t="s">
        <v>994</v>
      </c>
      <c r="F146" s="542" t="str">
        <f>IF(Input_voertuigprijzen!Z145&gt;0,Input_voertuig!F$2,"")</f>
        <v/>
      </c>
      <c r="G146" s="542" t="str">
        <f>IF(Input_voertuigprijzen!AA145&gt;0,Input_voertuig!G$2,"")</f>
        <v/>
      </c>
      <c r="H146" s="542" t="str">
        <f>IF(Input_voertuigprijzen!AB145&gt;0,Input_voertuig!H$2,"")</f>
        <v/>
      </c>
      <c r="I146" s="542" t="str">
        <f>IF(Input_voertuigprijzen!AC145&gt;0,Input_voertuig!I$2,"")</f>
        <v/>
      </c>
      <c r="J146" s="542" t="str">
        <f>IF(Input_voertuigprijzen!AD145&gt;0,Input_voertuig!J$2,"")</f>
        <v/>
      </c>
      <c r="K146" s="542" t="str">
        <f>IF(Input_voertuigprijzen!AE145&gt;0,Input_voertuig!K$2,"")</f>
        <v/>
      </c>
      <c r="L146" s="542" t="str">
        <f>IF(Input_voertuigprijzen!AF145&gt;0,Input_voertuig!L$2,"")</f>
        <v/>
      </c>
      <c r="M146" s="542" t="str">
        <f>IF(Input_voertuigprijzen!AG145&gt;0,Input_voertuig!M$2,"")</f>
        <v/>
      </c>
      <c r="N146" s="542" t="str">
        <f>IF(Input_voertuigprijzen!AH145&gt;0,Input_voertuig!N$2,"")</f>
        <v/>
      </c>
      <c r="O146" s="542">
        <f>IF(Input_voertuigprijzen!AI145&gt;0,Input_voertuig!O$2,"")</f>
        <v>2015</v>
      </c>
      <c r="P146" s="542">
        <f>IF(Input_voertuigprijzen!AJ145&gt;0,Input_voertuig!P$2,"")</f>
        <v>2014</v>
      </c>
      <c r="Q146" s="542">
        <f>IF(Input_voertuigprijzen!AK145&gt;0,Input_voertuig!Q$2,"")</f>
        <v>2013</v>
      </c>
      <c r="R146" s="542" t="str">
        <f>IF(Input_voertuigprijzen!AL145&gt;0,Input_voertuig!R$2,"")</f>
        <v/>
      </c>
      <c r="S146" s="542" t="str">
        <f>IF(Input_voertuigprijzen!AM145&gt;0,Input_voertuig!S$2,"")</f>
        <v/>
      </c>
      <c r="T146" s="542" t="str">
        <f>IF(Input_voertuigprijzen!AN145&gt;0,Input_voertuig!T$2,"")</f>
        <v/>
      </c>
    </row>
    <row r="147" spans="1:20" x14ac:dyDescent="0.3">
      <c r="A147" s="489" t="s">
        <v>1414</v>
      </c>
      <c r="B147" s="489" t="s">
        <v>1735</v>
      </c>
      <c r="C147" s="489" t="s">
        <v>1862</v>
      </c>
      <c r="D147" s="489" t="s">
        <v>141</v>
      </c>
      <c r="E147" s="489" t="s">
        <v>994</v>
      </c>
      <c r="F147" s="542">
        <f>IF(Input_voertuigprijzen!Z146&gt;0,Input_voertuig!F$2,"")</f>
        <v>2024</v>
      </c>
      <c r="G147" s="542">
        <f>IF(Input_voertuigprijzen!AA146&gt;0,Input_voertuig!G$2,"")</f>
        <v>2023</v>
      </c>
      <c r="H147" s="542">
        <f>IF(Input_voertuigprijzen!AB146&gt;0,Input_voertuig!H$2,"")</f>
        <v>2022</v>
      </c>
      <c r="I147" s="542" t="str">
        <f>IF(Input_voertuigprijzen!AC146&gt;0,Input_voertuig!I$2,"")</f>
        <v/>
      </c>
      <c r="J147" s="542" t="str">
        <f>IF(Input_voertuigprijzen!AD146&gt;0,Input_voertuig!J$2,"")</f>
        <v/>
      </c>
      <c r="K147" s="542" t="str">
        <f>IF(Input_voertuigprijzen!AE146&gt;0,Input_voertuig!K$2,"")</f>
        <v/>
      </c>
      <c r="L147" s="542" t="str">
        <f>IF(Input_voertuigprijzen!AF146&gt;0,Input_voertuig!L$2,"")</f>
        <v/>
      </c>
      <c r="M147" s="542" t="str">
        <f>IF(Input_voertuigprijzen!AG146&gt;0,Input_voertuig!M$2,"")</f>
        <v/>
      </c>
      <c r="N147" s="542" t="str">
        <f>IF(Input_voertuigprijzen!AH146&gt;0,Input_voertuig!N$2,"")</f>
        <v/>
      </c>
      <c r="O147" s="542" t="str">
        <f>IF(Input_voertuigprijzen!AI146&gt;0,Input_voertuig!O$2,"")</f>
        <v/>
      </c>
      <c r="P147" s="542" t="str">
        <f>IF(Input_voertuigprijzen!AJ146&gt;0,Input_voertuig!P$2,"")</f>
        <v/>
      </c>
      <c r="Q147" s="542" t="str">
        <f>IF(Input_voertuigprijzen!AK146&gt;0,Input_voertuig!Q$2,"")</f>
        <v/>
      </c>
      <c r="R147" s="542" t="str">
        <f>IF(Input_voertuigprijzen!AL146&gt;0,Input_voertuig!R$2,"")</f>
        <v/>
      </c>
      <c r="S147" s="542" t="str">
        <f>IF(Input_voertuigprijzen!AM146&gt;0,Input_voertuig!S$2,"")</f>
        <v/>
      </c>
      <c r="T147" s="542" t="str">
        <f>IF(Input_voertuigprijzen!AN146&gt;0,Input_voertuig!T$2,"")</f>
        <v/>
      </c>
    </row>
    <row r="148" spans="1:20" x14ac:dyDescent="0.3">
      <c r="A148" s="489" t="s">
        <v>1605</v>
      </c>
      <c r="B148" s="489" t="s">
        <v>1730</v>
      </c>
      <c r="C148" s="489" t="s">
        <v>1854</v>
      </c>
      <c r="D148" s="489" t="s">
        <v>1936</v>
      </c>
      <c r="E148" s="489" t="s">
        <v>994</v>
      </c>
      <c r="F148" s="542">
        <f>IF(Input_voertuigprijzen!Z147&gt;0,Input_voertuig!F$2,"")</f>
        <v>2024</v>
      </c>
      <c r="G148" s="542">
        <f>IF(Input_voertuigprijzen!AA147&gt;0,Input_voertuig!G$2,"")</f>
        <v>2023</v>
      </c>
      <c r="H148" s="542">
        <f>IF(Input_voertuigprijzen!AB147&gt;0,Input_voertuig!H$2,"")</f>
        <v>2022</v>
      </c>
      <c r="I148" s="542">
        <f>IF(Input_voertuigprijzen!AC147&gt;0,Input_voertuig!I$2,"")</f>
        <v>2021</v>
      </c>
      <c r="J148" s="542" t="str">
        <f>IF(Input_voertuigprijzen!AD147&gt;0,Input_voertuig!J$2,"")</f>
        <v/>
      </c>
      <c r="K148" s="542" t="str">
        <f>IF(Input_voertuigprijzen!AE147&gt;0,Input_voertuig!K$2,"")</f>
        <v/>
      </c>
      <c r="L148" s="542" t="str">
        <f>IF(Input_voertuigprijzen!AF147&gt;0,Input_voertuig!L$2,"")</f>
        <v/>
      </c>
      <c r="M148" s="542" t="str">
        <f>IF(Input_voertuigprijzen!AG147&gt;0,Input_voertuig!M$2,"")</f>
        <v/>
      </c>
      <c r="N148" s="542" t="str">
        <f>IF(Input_voertuigprijzen!AH147&gt;0,Input_voertuig!N$2,"")</f>
        <v/>
      </c>
      <c r="O148" s="542" t="str">
        <f>IF(Input_voertuigprijzen!AI147&gt;0,Input_voertuig!O$2,"")</f>
        <v/>
      </c>
      <c r="P148" s="542" t="str">
        <f>IF(Input_voertuigprijzen!AJ147&gt;0,Input_voertuig!P$2,"")</f>
        <v/>
      </c>
      <c r="Q148" s="542" t="str">
        <f>IF(Input_voertuigprijzen!AK147&gt;0,Input_voertuig!Q$2,"")</f>
        <v/>
      </c>
      <c r="R148" s="542" t="str">
        <f>IF(Input_voertuigprijzen!AL147&gt;0,Input_voertuig!R$2,"")</f>
        <v/>
      </c>
      <c r="S148" s="542" t="str">
        <f>IF(Input_voertuigprijzen!AM147&gt;0,Input_voertuig!S$2,"")</f>
        <v/>
      </c>
      <c r="T148" s="542" t="str">
        <f>IF(Input_voertuigprijzen!AN147&gt;0,Input_voertuig!T$2,"")</f>
        <v/>
      </c>
    </row>
    <row r="149" spans="1:20" x14ac:dyDescent="0.3">
      <c r="A149" s="489" t="s">
        <v>1677</v>
      </c>
      <c r="B149" s="489" t="s">
        <v>1736</v>
      </c>
      <c r="C149" s="489" t="s">
        <v>1863</v>
      </c>
      <c r="D149" s="489" t="s">
        <v>46</v>
      </c>
      <c r="E149" s="489" t="s">
        <v>994</v>
      </c>
      <c r="F149" s="542" t="str">
        <f>IF(Input_voertuigprijzen!Z148&gt;0,Input_voertuig!F$2,"")</f>
        <v/>
      </c>
      <c r="G149" s="542">
        <f>IF(Input_voertuigprijzen!AA148&gt;0,Input_voertuig!G$2,"")</f>
        <v>2023</v>
      </c>
      <c r="H149" s="542">
        <f>IF(Input_voertuigprijzen!AB148&gt;0,Input_voertuig!H$2,"")</f>
        <v>2022</v>
      </c>
      <c r="I149" s="542">
        <f>IF(Input_voertuigprijzen!AC148&gt;0,Input_voertuig!I$2,"")</f>
        <v>2021</v>
      </c>
      <c r="J149" s="542">
        <f>IF(Input_voertuigprijzen!AD148&gt;0,Input_voertuig!J$2,"")</f>
        <v>2020</v>
      </c>
      <c r="K149" s="542">
        <f>IF(Input_voertuigprijzen!AE148&gt;0,Input_voertuig!K$2,"")</f>
        <v>2019</v>
      </c>
      <c r="L149" s="542" t="str">
        <f>IF(Input_voertuigprijzen!AF148&gt;0,Input_voertuig!L$2,"")</f>
        <v/>
      </c>
      <c r="M149" s="542">
        <f>IF(Input_voertuigprijzen!AG148&gt;0,Input_voertuig!M$2,"")</f>
        <v>2017</v>
      </c>
      <c r="N149" s="542">
        <f>IF(Input_voertuigprijzen!AH148&gt;0,Input_voertuig!N$2,"")</f>
        <v>2016</v>
      </c>
      <c r="O149" s="542">
        <f>IF(Input_voertuigprijzen!AI148&gt;0,Input_voertuig!O$2,"")</f>
        <v>2015</v>
      </c>
      <c r="P149" s="542">
        <f>IF(Input_voertuigprijzen!AJ148&gt;0,Input_voertuig!P$2,"")</f>
        <v>2014</v>
      </c>
      <c r="Q149" s="542">
        <f>IF(Input_voertuigprijzen!AK148&gt;0,Input_voertuig!Q$2,"")</f>
        <v>2013</v>
      </c>
      <c r="R149" s="542" t="str">
        <f>IF(Input_voertuigprijzen!AL148&gt;0,Input_voertuig!R$2,"")</f>
        <v/>
      </c>
      <c r="S149" s="542">
        <f>IF(Input_voertuigprijzen!AM148&gt;0,Input_voertuig!S$2,"")</f>
        <v>2011</v>
      </c>
      <c r="T149" s="542" t="str">
        <f>IF(Input_voertuigprijzen!AN148&gt;0,Input_voertuig!T$2,"")</f>
        <v/>
      </c>
    </row>
    <row r="150" spans="1:20" x14ac:dyDescent="0.3">
      <c r="A150" s="489" t="s">
        <v>1414</v>
      </c>
      <c r="B150" s="489" t="s">
        <v>1737</v>
      </c>
      <c r="C150" s="489" t="s">
        <v>1864</v>
      </c>
      <c r="D150" s="489" t="s">
        <v>46</v>
      </c>
      <c r="E150" s="489" t="s">
        <v>994</v>
      </c>
      <c r="F150" s="542">
        <f>IF(Input_voertuigprijzen!Z149&gt;0,Input_voertuig!F$2,"")</f>
        <v>2024</v>
      </c>
      <c r="G150" s="542">
        <f>IF(Input_voertuigprijzen!AA149&gt;0,Input_voertuig!G$2,"")</f>
        <v>2023</v>
      </c>
      <c r="H150" s="542" t="str">
        <f>IF(Input_voertuigprijzen!AB149&gt;0,Input_voertuig!H$2,"")</f>
        <v/>
      </c>
      <c r="I150" s="542" t="str">
        <f>IF(Input_voertuigprijzen!AC149&gt;0,Input_voertuig!I$2,"")</f>
        <v/>
      </c>
      <c r="J150" s="542" t="str">
        <f>IF(Input_voertuigprijzen!AD149&gt;0,Input_voertuig!J$2,"")</f>
        <v/>
      </c>
      <c r="K150" s="542">
        <f>IF(Input_voertuigprijzen!AE149&gt;0,Input_voertuig!K$2,"")</f>
        <v>2019</v>
      </c>
      <c r="L150" s="542" t="str">
        <f>IF(Input_voertuigprijzen!AF149&gt;0,Input_voertuig!L$2,"")</f>
        <v/>
      </c>
      <c r="M150" s="542" t="str">
        <f>IF(Input_voertuigprijzen!AG149&gt;0,Input_voertuig!M$2,"")</f>
        <v/>
      </c>
      <c r="N150" s="542" t="str">
        <f>IF(Input_voertuigprijzen!AH149&gt;0,Input_voertuig!N$2,"")</f>
        <v/>
      </c>
      <c r="O150" s="542" t="str">
        <f>IF(Input_voertuigprijzen!AI149&gt;0,Input_voertuig!O$2,"")</f>
        <v/>
      </c>
      <c r="P150" s="542" t="str">
        <f>IF(Input_voertuigprijzen!AJ149&gt;0,Input_voertuig!P$2,"")</f>
        <v/>
      </c>
      <c r="Q150" s="542" t="str">
        <f>IF(Input_voertuigprijzen!AK149&gt;0,Input_voertuig!Q$2,"")</f>
        <v/>
      </c>
      <c r="R150" s="542" t="str">
        <f>IF(Input_voertuigprijzen!AL149&gt;0,Input_voertuig!R$2,"")</f>
        <v/>
      </c>
      <c r="S150" s="542" t="str">
        <f>IF(Input_voertuigprijzen!AM149&gt;0,Input_voertuig!S$2,"")</f>
        <v/>
      </c>
      <c r="T150" s="542" t="str">
        <f>IF(Input_voertuigprijzen!AN149&gt;0,Input_voertuig!T$2,"")</f>
        <v/>
      </c>
    </row>
    <row r="151" spans="1:20" x14ac:dyDescent="0.3">
      <c r="A151" s="489" t="s">
        <v>1414</v>
      </c>
      <c r="B151" s="489" t="s">
        <v>1430</v>
      </c>
      <c r="C151" s="489" t="s">
        <v>1431</v>
      </c>
      <c r="D151" s="489" t="s">
        <v>1665</v>
      </c>
      <c r="E151" s="489" t="s">
        <v>1960</v>
      </c>
      <c r="F151" s="542" t="str">
        <f>IF(Input_voertuigprijzen!Z150&gt;0,Input_voertuig!F$2,"")</f>
        <v/>
      </c>
      <c r="G151" s="542" t="str">
        <f>IF(Input_voertuigprijzen!AA150&gt;0,Input_voertuig!G$2,"")</f>
        <v/>
      </c>
      <c r="H151" s="542" t="str">
        <f>IF(Input_voertuigprijzen!AB150&gt;0,Input_voertuig!H$2,"")</f>
        <v/>
      </c>
      <c r="I151" s="542" t="str">
        <f>IF(Input_voertuigprijzen!AC150&gt;0,Input_voertuig!I$2,"")</f>
        <v/>
      </c>
      <c r="J151" s="542" t="str">
        <f>IF(Input_voertuigprijzen!AD150&gt;0,Input_voertuig!J$2,"")</f>
        <v/>
      </c>
      <c r="K151" s="542">
        <f>IF(Input_voertuigprijzen!AE150&gt;0,Input_voertuig!K$2,"")</f>
        <v>2019</v>
      </c>
      <c r="L151" s="542">
        <f>IF(Input_voertuigprijzen!AF150&gt;0,Input_voertuig!L$2,"")</f>
        <v>2018</v>
      </c>
      <c r="M151" s="542">
        <f>IF(Input_voertuigprijzen!AG150&gt;0,Input_voertuig!M$2,"")</f>
        <v>2017</v>
      </c>
      <c r="N151" s="542" t="str">
        <f>IF(Input_voertuigprijzen!AH150&gt;0,Input_voertuig!N$2,"")</f>
        <v/>
      </c>
      <c r="O151" s="542">
        <f>IF(Input_voertuigprijzen!AI150&gt;0,Input_voertuig!O$2,"")</f>
        <v>2015</v>
      </c>
      <c r="P151" s="542">
        <f>IF(Input_voertuigprijzen!AJ150&gt;0,Input_voertuig!P$2,"")</f>
        <v>2014</v>
      </c>
      <c r="Q151" s="542">
        <f>IF(Input_voertuigprijzen!AK150&gt;0,Input_voertuig!Q$2,"")</f>
        <v>2013</v>
      </c>
      <c r="R151" s="542">
        <f>IF(Input_voertuigprijzen!AL150&gt;0,Input_voertuig!R$2,"")</f>
        <v>2012</v>
      </c>
      <c r="S151" s="542">
        <f>IF(Input_voertuigprijzen!AM150&gt;0,Input_voertuig!S$2,"")</f>
        <v>2011</v>
      </c>
      <c r="T151" s="542" t="str">
        <f>IF(Input_voertuigprijzen!AN150&gt;0,Input_voertuig!T$2,"")</f>
        <v/>
      </c>
    </row>
    <row r="152" spans="1:20" x14ac:dyDescent="0.3">
      <c r="A152" s="489" t="s">
        <v>1414</v>
      </c>
      <c r="B152" s="489" t="s">
        <v>1738</v>
      </c>
      <c r="C152" s="489" t="s">
        <v>1865</v>
      </c>
      <c r="D152" s="489" t="s">
        <v>46</v>
      </c>
      <c r="E152" s="489" t="s">
        <v>994</v>
      </c>
      <c r="F152" s="542">
        <f>IF(Input_voertuigprijzen!Z151&gt;0,Input_voertuig!F$2,"")</f>
        <v>2024</v>
      </c>
      <c r="G152" s="542">
        <f>IF(Input_voertuigprijzen!AA151&gt;0,Input_voertuig!G$2,"")</f>
        <v>2023</v>
      </c>
      <c r="H152" s="542">
        <f>IF(Input_voertuigprijzen!AB151&gt;0,Input_voertuig!H$2,"")</f>
        <v>2022</v>
      </c>
      <c r="I152" s="542">
        <f>IF(Input_voertuigprijzen!AC151&gt;0,Input_voertuig!I$2,"")</f>
        <v>2021</v>
      </c>
      <c r="J152" s="542" t="str">
        <f>IF(Input_voertuigprijzen!AD151&gt;0,Input_voertuig!J$2,"")</f>
        <v/>
      </c>
      <c r="K152" s="542">
        <f>IF(Input_voertuigprijzen!AE151&gt;0,Input_voertuig!K$2,"")</f>
        <v>2019</v>
      </c>
      <c r="L152" s="542">
        <f>IF(Input_voertuigprijzen!AF151&gt;0,Input_voertuig!L$2,"")</f>
        <v>2018</v>
      </c>
      <c r="M152" s="542">
        <f>IF(Input_voertuigprijzen!AG151&gt;0,Input_voertuig!M$2,"")</f>
        <v>2017</v>
      </c>
      <c r="N152" s="542" t="str">
        <f>IF(Input_voertuigprijzen!AH151&gt;0,Input_voertuig!N$2,"")</f>
        <v/>
      </c>
      <c r="O152" s="542" t="str">
        <f>IF(Input_voertuigprijzen!AI151&gt;0,Input_voertuig!O$2,"")</f>
        <v/>
      </c>
      <c r="P152" s="542" t="str">
        <f>IF(Input_voertuigprijzen!AJ151&gt;0,Input_voertuig!P$2,"")</f>
        <v/>
      </c>
      <c r="Q152" s="542" t="str">
        <f>IF(Input_voertuigprijzen!AK151&gt;0,Input_voertuig!Q$2,"")</f>
        <v/>
      </c>
      <c r="R152" s="542" t="str">
        <f>IF(Input_voertuigprijzen!AL151&gt;0,Input_voertuig!R$2,"")</f>
        <v/>
      </c>
      <c r="S152" s="542" t="str">
        <f>IF(Input_voertuigprijzen!AM151&gt;0,Input_voertuig!S$2,"")</f>
        <v/>
      </c>
      <c r="T152" s="542" t="str">
        <f>IF(Input_voertuigprijzen!AN151&gt;0,Input_voertuig!T$2,"")</f>
        <v/>
      </c>
    </row>
    <row r="153" spans="1:20" x14ac:dyDescent="0.3">
      <c r="A153" s="489" t="s">
        <v>1273</v>
      </c>
      <c r="B153" s="489" t="s">
        <v>1739</v>
      </c>
      <c r="C153" s="489" t="s">
        <v>1739</v>
      </c>
      <c r="D153" s="489" t="s">
        <v>141</v>
      </c>
      <c r="E153" s="489" t="s">
        <v>994</v>
      </c>
      <c r="F153" s="542" t="str">
        <f>IF(Input_voertuigprijzen!Z152&gt;0,Input_voertuig!F$2,"")</f>
        <v/>
      </c>
      <c r="G153" s="542">
        <f>IF(Input_voertuigprijzen!AA152&gt;0,Input_voertuig!G$2,"")</f>
        <v>2023</v>
      </c>
      <c r="H153" s="542">
        <f>IF(Input_voertuigprijzen!AB152&gt;0,Input_voertuig!H$2,"")</f>
        <v>2022</v>
      </c>
      <c r="I153" s="542">
        <f>IF(Input_voertuigprijzen!AC152&gt;0,Input_voertuig!I$2,"")</f>
        <v>2021</v>
      </c>
      <c r="J153" s="542" t="str">
        <f>IF(Input_voertuigprijzen!AD152&gt;0,Input_voertuig!J$2,"")</f>
        <v/>
      </c>
      <c r="K153" s="542" t="str">
        <f>IF(Input_voertuigprijzen!AE152&gt;0,Input_voertuig!K$2,"")</f>
        <v/>
      </c>
      <c r="L153" s="542" t="str">
        <f>IF(Input_voertuigprijzen!AF152&gt;0,Input_voertuig!L$2,"")</f>
        <v/>
      </c>
      <c r="M153" s="542" t="str">
        <f>IF(Input_voertuigprijzen!AG152&gt;0,Input_voertuig!M$2,"")</f>
        <v/>
      </c>
      <c r="N153" s="542" t="str">
        <f>IF(Input_voertuigprijzen!AH152&gt;0,Input_voertuig!N$2,"")</f>
        <v/>
      </c>
      <c r="O153" s="542" t="str">
        <f>IF(Input_voertuigprijzen!AI152&gt;0,Input_voertuig!O$2,"")</f>
        <v/>
      </c>
      <c r="P153" s="542" t="str">
        <f>IF(Input_voertuigprijzen!AJ152&gt;0,Input_voertuig!P$2,"")</f>
        <v/>
      </c>
      <c r="Q153" s="542" t="str">
        <f>IF(Input_voertuigprijzen!AK152&gt;0,Input_voertuig!Q$2,"")</f>
        <v/>
      </c>
      <c r="R153" s="542" t="str">
        <f>IF(Input_voertuigprijzen!AL152&gt;0,Input_voertuig!R$2,"")</f>
        <v/>
      </c>
      <c r="S153" s="542" t="str">
        <f>IF(Input_voertuigprijzen!AM152&gt;0,Input_voertuig!S$2,"")</f>
        <v/>
      </c>
      <c r="T153" s="542" t="str">
        <f>IF(Input_voertuigprijzen!AN152&gt;0,Input_voertuig!T$2,"")</f>
        <v/>
      </c>
    </row>
    <row r="154" spans="1:20" x14ac:dyDescent="0.3">
      <c r="A154" s="489" t="s">
        <v>1454</v>
      </c>
      <c r="B154" s="489" t="s">
        <v>1740</v>
      </c>
      <c r="C154" s="489" t="s">
        <v>304</v>
      </c>
      <c r="D154" s="489" t="s">
        <v>46</v>
      </c>
      <c r="E154" s="489" t="s">
        <v>994</v>
      </c>
      <c r="F154" s="542" t="str">
        <f>IF(Input_voertuigprijzen!Z153&gt;0,Input_voertuig!F$2,"")</f>
        <v/>
      </c>
      <c r="G154" s="542" t="str">
        <f>IF(Input_voertuigprijzen!AA153&gt;0,Input_voertuig!G$2,"")</f>
        <v/>
      </c>
      <c r="H154" s="542" t="str">
        <f>IF(Input_voertuigprijzen!AB153&gt;0,Input_voertuig!H$2,"")</f>
        <v/>
      </c>
      <c r="I154" s="542" t="str">
        <f>IF(Input_voertuigprijzen!AC153&gt;0,Input_voertuig!I$2,"")</f>
        <v/>
      </c>
      <c r="J154" s="542" t="str">
        <f>IF(Input_voertuigprijzen!AD153&gt;0,Input_voertuig!J$2,"")</f>
        <v/>
      </c>
      <c r="K154" s="542" t="str">
        <f>IF(Input_voertuigprijzen!AE153&gt;0,Input_voertuig!K$2,"")</f>
        <v/>
      </c>
      <c r="L154" s="542">
        <f>IF(Input_voertuigprijzen!AF153&gt;0,Input_voertuig!L$2,"")</f>
        <v>2018</v>
      </c>
      <c r="M154" s="542">
        <f>IF(Input_voertuigprijzen!AG153&gt;0,Input_voertuig!M$2,"")</f>
        <v>2017</v>
      </c>
      <c r="N154" s="542">
        <f>IF(Input_voertuigprijzen!AH153&gt;0,Input_voertuig!N$2,"")</f>
        <v>2016</v>
      </c>
      <c r="O154" s="542">
        <f>IF(Input_voertuigprijzen!AI153&gt;0,Input_voertuig!O$2,"")</f>
        <v>2015</v>
      </c>
      <c r="P154" s="542">
        <f>IF(Input_voertuigprijzen!AJ153&gt;0,Input_voertuig!P$2,"")</f>
        <v>2014</v>
      </c>
      <c r="Q154" s="542">
        <f>IF(Input_voertuigprijzen!AK153&gt;0,Input_voertuig!Q$2,"")</f>
        <v>2013</v>
      </c>
      <c r="R154" s="542" t="str">
        <f>IF(Input_voertuigprijzen!AL153&gt;0,Input_voertuig!R$2,"")</f>
        <v/>
      </c>
      <c r="S154" s="542" t="str">
        <f>IF(Input_voertuigprijzen!AM153&gt;0,Input_voertuig!S$2,"")</f>
        <v/>
      </c>
      <c r="T154" s="542" t="str">
        <f>IF(Input_voertuigprijzen!AN153&gt;0,Input_voertuig!T$2,"")</f>
        <v/>
      </c>
    </row>
    <row r="155" spans="1:20" x14ac:dyDescent="0.3">
      <c r="A155" s="489" t="s">
        <v>1561</v>
      </c>
      <c r="B155" s="489" t="s">
        <v>1562</v>
      </c>
      <c r="C155" s="489" t="s">
        <v>1563</v>
      </c>
      <c r="D155" s="489" t="s">
        <v>1929</v>
      </c>
      <c r="E155" s="489" t="s">
        <v>994</v>
      </c>
      <c r="F155" s="542">
        <f>IF(Input_voertuigprijzen!Z154&gt;0,Input_voertuig!F$2,"")</f>
        <v>2024</v>
      </c>
      <c r="G155" s="542">
        <f>IF(Input_voertuigprijzen!AA154&gt;0,Input_voertuig!G$2,"")</f>
        <v>2023</v>
      </c>
      <c r="H155" s="542">
        <f>IF(Input_voertuigprijzen!AB154&gt;0,Input_voertuig!H$2,"")</f>
        <v>2022</v>
      </c>
      <c r="I155" s="542">
        <f>IF(Input_voertuigprijzen!AC154&gt;0,Input_voertuig!I$2,"")</f>
        <v>2021</v>
      </c>
      <c r="J155" s="542">
        <f>IF(Input_voertuigprijzen!AD154&gt;0,Input_voertuig!J$2,"")</f>
        <v>2020</v>
      </c>
      <c r="K155" s="542">
        <f>IF(Input_voertuigprijzen!AE154&gt;0,Input_voertuig!K$2,"")</f>
        <v>2019</v>
      </c>
      <c r="L155" s="542">
        <f>IF(Input_voertuigprijzen!AF154&gt;0,Input_voertuig!L$2,"")</f>
        <v>2018</v>
      </c>
      <c r="M155" s="542">
        <f>IF(Input_voertuigprijzen!AG154&gt;0,Input_voertuig!M$2,"")</f>
        <v>2017</v>
      </c>
      <c r="N155" s="542" t="str">
        <f>IF(Input_voertuigprijzen!AH154&gt;0,Input_voertuig!N$2,"")</f>
        <v/>
      </c>
      <c r="O155" s="542" t="str">
        <f>IF(Input_voertuigprijzen!AI154&gt;0,Input_voertuig!O$2,"")</f>
        <v/>
      </c>
      <c r="P155" s="542" t="str">
        <f>IF(Input_voertuigprijzen!AJ154&gt;0,Input_voertuig!P$2,"")</f>
        <v/>
      </c>
      <c r="Q155" s="542" t="str">
        <f>IF(Input_voertuigprijzen!AK154&gt;0,Input_voertuig!Q$2,"")</f>
        <v/>
      </c>
      <c r="R155" s="542" t="str">
        <f>IF(Input_voertuigprijzen!AL154&gt;0,Input_voertuig!R$2,"")</f>
        <v/>
      </c>
      <c r="S155" s="542" t="str">
        <f>IF(Input_voertuigprijzen!AM154&gt;0,Input_voertuig!S$2,"")</f>
        <v/>
      </c>
      <c r="T155" s="542" t="str">
        <f>IF(Input_voertuigprijzen!AN154&gt;0,Input_voertuig!T$2,"")</f>
        <v/>
      </c>
    </row>
    <row r="156" spans="1:20" x14ac:dyDescent="0.3">
      <c r="A156" s="489" t="s">
        <v>1422</v>
      </c>
      <c r="B156" s="489" t="s">
        <v>1741</v>
      </c>
      <c r="C156" s="489" t="s">
        <v>1866</v>
      </c>
      <c r="D156" s="489" t="s">
        <v>46</v>
      </c>
      <c r="E156" s="489" t="s">
        <v>994</v>
      </c>
      <c r="F156" s="542">
        <f>IF(Input_voertuigprijzen!Z155&gt;0,Input_voertuig!F$2,"")</f>
        <v>2024</v>
      </c>
      <c r="G156" s="542">
        <f>IF(Input_voertuigprijzen!AA155&gt;0,Input_voertuig!G$2,"")</f>
        <v>2023</v>
      </c>
      <c r="H156" s="542">
        <f>IF(Input_voertuigprijzen!AB155&gt;0,Input_voertuig!H$2,"")</f>
        <v>2022</v>
      </c>
      <c r="I156" s="542">
        <f>IF(Input_voertuigprijzen!AC155&gt;0,Input_voertuig!I$2,"")</f>
        <v>2021</v>
      </c>
      <c r="J156" s="542">
        <f>IF(Input_voertuigprijzen!AD155&gt;0,Input_voertuig!J$2,"")</f>
        <v>2020</v>
      </c>
      <c r="K156" s="542">
        <f>IF(Input_voertuigprijzen!AE155&gt;0,Input_voertuig!K$2,"")</f>
        <v>2019</v>
      </c>
      <c r="L156" s="542">
        <f>IF(Input_voertuigprijzen!AF155&gt;0,Input_voertuig!L$2,"")</f>
        <v>2018</v>
      </c>
      <c r="M156" s="542">
        <f>IF(Input_voertuigprijzen!AG155&gt;0,Input_voertuig!M$2,"")</f>
        <v>2017</v>
      </c>
      <c r="N156" s="542" t="str">
        <f>IF(Input_voertuigprijzen!AH155&gt;0,Input_voertuig!N$2,"")</f>
        <v/>
      </c>
      <c r="O156" s="542" t="str">
        <f>IF(Input_voertuigprijzen!AI155&gt;0,Input_voertuig!O$2,"")</f>
        <v/>
      </c>
      <c r="P156" s="542" t="str">
        <f>IF(Input_voertuigprijzen!AJ155&gt;0,Input_voertuig!P$2,"")</f>
        <v/>
      </c>
      <c r="Q156" s="542" t="str">
        <f>IF(Input_voertuigprijzen!AK155&gt;0,Input_voertuig!Q$2,"")</f>
        <v/>
      </c>
      <c r="R156" s="542" t="str">
        <f>IF(Input_voertuigprijzen!AL155&gt;0,Input_voertuig!R$2,"")</f>
        <v/>
      </c>
      <c r="S156" s="542" t="str">
        <f>IF(Input_voertuigprijzen!AM155&gt;0,Input_voertuig!S$2,"")</f>
        <v/>
      </c>
      <c r="T156" s="542" t="str">
        <f>IF(Input_voertuigprijzen!AN155&gt;0,Input_voertuig!T$2,"")</f>
        <v/>
      </c>
    </row>
    <row r="157" spans="1:20" x14ac:dyDescent="0.3">
      <c r="A157" s="489" t="s">
        <v>1414</v>
      </c>
      <c r="B157" s="489" t="s">
        <v>1666</v>
      </c>
      <c r="C157" s="489" t="s">
        <v>1867</v>
      </c>
      <c r="D157" s="489" t="s">
        <v>46</v>
      </c>
      <c r="E157" s="489" t="s">
        <v>994</v>
      </c>
      <c r="F157" s="542">
        <f>IF(Input_voertuigprijzen!Z156&gt;0,Input_voertuig!F$2,"")</f>
        <v>2024</v>
      </c>
      <c r="G157" s="542" t="str">
        <f>IF(Input_voertuigprijzen!AA156&gt;0,Input_voertuig!G$2,"")</f>
        <v/>
      </c>
      <c r="H157" s="542" t="str">
        <f>IF(Input_voertuigprijzen!AB156&gt;0,Input_voertuig!H$2,"")</f>
        <v/>
      </c>
      <c r="I157" s="542" t="str">
        <f>IF(Input_voertuigprijzen!AC156&gt;0,Input_voertuig!I$2,"")</f>
        <v/>
      </c>
      <c r="J157" s="542">
        <f>IF(Input_voertuigprijzen!AD156&gt;0,Input_voertuig!J$2,"")</f>
        <v>2020</v>
      </c>
      <c r="K157" s="542">
        <f>IF(Input_voertuigprijzen!AE156&gt;0,Input_voertuig!K$2,"")</f>
        <v>2019</v>
      </c>
      <c r="L157" s="542">
        <f>IF(Input_voertuigprijzen!AF156&gt;0,Input_voertuig!L$2,"")</f>
        <v>2018</v>
      </c>
      <c r="M157" s="542">
        <f>IF(Input_voertuigprijzen!AG156&gt;0,Input_voertuig!M$2,"")</f>
        <v>2017</v>
      </c>
      <c r="N157" s="542" t="str">
        <f>IF(Input_voertuigprijzen!AH156&gt;0,Input_voertuig!N$2,"")</f>
        <v/>
      </c>
      <c r="O157" s="542" t="str">
        <f>IF(Input_voertuigprijzen!AI156&gt;0,Input_voertuig!O$2,"")</f>
        <v/>
      </c>
      <c r="P157" s="542" t="str">
        <f>IF(Input_voertuigprijzen!AJ156&gt;0,Input_voertuig!P$2,"")</f>
        <v/>
      </c>
      <c r="Q157" s="542" t="str">
        <f>IF(Input_voertuigprijzen!AK156&gt;0,Input_voertuig!Q$2,"")</f>
        <v/>
      </c>
      <c r="R157" s="542" t="str">
        <f>IF(Input_voertuigprijzen!AL156&gt;0,Input_voertuig!R$2,"")</f>
        <v/>
      </c>
      <c r="S157" s="542" t="str">
        <f>IF(Input_voertuigprijzen!AM156&gt;0,Input_voertuig!S$2,"")</f>
        <v/>
      </c>
      <c r="T157" s="542" t="str">
        <f>IF(Input_voertuigprijzen!AN156&gt;0,Input_voertuig!T$2,"")</f>
        <v/>
      </c>
    </row>
    <row r="158" spans="1:20" x14ac:dyDescent="0.3">
      <c r="A158" s="489" t="s">
        <v>1742</v>
      </c>
      <c r="B158" s="489" t="s">
        <v>1743</v>
      </c>
      <c r="C158" s="489" t="s">
        <v>1868</v>
      </c>
      <c r="D158" s="489" t="s">
        <v>141</v>
      </c>
      <c r="E158" s="489" t="s">
        <v>994</v>
      </c>
      <c r="F158" s="542">
        <f>IF(Input_voertuigprijzen!Z157&gt;0,Input_voertuig!F$2,"")</f>
        <v>2024</v>
      </c>
      <c r="G158" s="542">
        <f>IF(Input_voertuigprijzen!AA157&gt;0,Input_voertuig!G$2,"")</f>
        <v>2023</v>
      </c>
      <c r="H158" s="542" t="str">
        <f>IF(Input_voertuigprijzen!AB157&gt;0,Input_voertuig!H$2,"")</f>
        <v/>
      </c>
      <c r="I158" s="542" t="str">
        <f>IF(Input_voertuigprijzen!AC157&gt;0,Input_voertuig!I$2,"")</f>
        <v/>
      </c>
      <c r="J158" s="542" t="str">
        <f>IF(Input_voertuigprijzen!AD157&gt;0,Input_voertuig!J$2,"")</f>
        <v/>
      </c>
      <c r="K158" s="542" t="str">
        <f>IF(Input_voertuigprijzen!AE157&gt;0,Input_voertuig!K$2,"")</f>
        <v/>
      </c>
      <c r="L158" s="542" t="str">
        <f>IF(Input_voertuigprijzen!AF157&gt;0,Input_voertuig!L$2,"")</f>
        <v/>
      </c>
      <c r="M158" s="542" t="str">
        <f>IF(Input_voertuigprijzen!AG157&gt;0,Input_voertuig!M$2,"")</f>
        <v/>
      </c>
      <c r="N158" s="542" t="str">
        <f>IF(Input_voertuigprijzen!AH157&gt;0,Input_voertuig!N$2,"")</f>
        <v/>
      </c>
      <c r="O158" s="542" t="str">
        <f>IF(Input_voertuigprijzen!AI157&gt;0,Input_voertuig!O$2,"")</f>
        <v/>
      </c>
      <c r="P158" s="542" t="str">
        <f>IF(Input_voertuigprijzen!AJ157&gt;0,Input_voertuig!P$2,"")</f>
        <v/>
      </c>
      <c r="Q158" s="542" t="str">
        <f>IF(Input_voertuigprijzen!AK157&gt;0,Input_voertuig!Q$2,"")</f>
        <v/>
      </c>
      <c r="R158" s="542" t="str">
        <f>IF(Input_voertuigprijzen!AL157&gt;0,Input_voertuig!R$2,"")</f>
        <v/>
      </c>
      <c r="S158" s="542" t="str">
        <f>IF(Input_voertuigprijzen!AM157&gt;0,Input_voertuig!S$2,"")</f>
        <v/>
      </c>
      <c r="T158" s="542" t="str">
        <f>IF(Input_voertuigprijzen!AN157&gt;0,Input_voertuig!T$2,"")</f>
        <v/>
      </c>
    </row>
    <row r="159" spans="1:20" x14ac:dyDescent="0.3">
      <c r="A159" s="489" t="s">
        <v>1605</v>
      </c>
      <c r="B159" s="489" t="s">
        <v>1744</v>
      </c>
      <c r="C159" s="489" t="s">
        <v>1869</v>
      </c>
      <c r="D159" s="489" t="s">
        <v>1936</v>
      </c>
      <c r="E159" s="489" t="s">
        <v>994</v>
      </c>
      <c r="F159" s="542">
        <f>IF(Input_voertuigprijzen!Z158&gt;0,Input_voertuig!F$2,"")</f>
        <v>2024</v>
      </c>
      <c r="G159" s="542">
        <f>IF(Input_voertuigprijzen!AA158&gt;0,Input_voertuig!G$2,"")</f>
        <v>2023</v>
      </c>
      <c r="H159" s="542">
        <f>IF(Input_voertuigprijzen!AB158&gt;0,Input_voertuig!H$2,"")</f>
        <v>2022</v>
      </c>
      <c r="I159" s="542">
        <f>IF(Input_voertuigprijzen!AC158&gt;0,Input_voertuig!I$2,"")</f>
        <v>2021</v>
      </c>
      <c r="J159" s="542" t="str">
        <f>IF(Input_voertuigprijzen!AD158&gt;0,Input_voertuig!J$2,"")</f>
        <v/>
      </c>
      <c r="K159" s="542" t="str">
        <f>IF(Input_voertuigprijzen!AE158&gt;0,Input_voertuig!K$2,"")</f>
        <v/>
      </c>
      <c r="L159" s="542" t="str">
        <f>IF(Input_voertuigprijzen!AF158&gt;0,Input_voertuig!L$2,"")</f>
        <v/>
      </c>
      <c r="M159" s="542" t="str">
        <f>IF(Input_voertuigprijzen!AG158&gt;0,Input_voertuig!M$2,"")</f>
        <v/>
      </c>
      <c r="N159" s="542" t="str">
        <f>IF(Input_voertuigprijzen!AH158&gt;0,Input_voertuig!N$2,"")</f>
        <v/>
      </c>
      <c r="O159" s="542" t="str">
        <f>IF(Input_voertuigprijzen!AI158&gt;0,Input_voertuig!O$2,"")</f>
        <v/>
      </c>
      <c r="P159" s="542" t="str">
        <f>IF(Input_voertuigprijzen!AJ158&gt;0,Input_voertuig!P$2,"")</f>
        <v/>
      </c>
      <c r="Q159" s="542" t="str">
        <f>IF(Input_voertuigprijzen!AK158&gt;0,Input_voertuig!Q$2,"")</f>
        <v/>
      </c>
      <c r="R159" s="542" t="str">
        <f>IF(Input_voertuigprijzen!AL158&gt;0,Input_voertuig!R$2,"")</f>
        <v/>
      </c>
      <c r="S159" s="542" t="str">
        <f>IF(Input_voertuigprijzen!AM158&gt;0,Input_voertuig!S$2,"")</f>
        <v/>
      </c>
      <c r="T159" s="542" t="str">
        <f>IF(Input_voertuigprijzen!AN158&gt;0,Input_voertuig!T$2,"")</f>
        <v/>
      </c>
    </row>
    <row r="160" spans="1:20" x14ac:dyDescent="0.3">
      <c r="A160" s="489" t="s">
        <v>1605</v>
      </c>
      <c r="B160" s="489" t="s">
        <v>1667</v>
      </c>
      <c r="C160" s="489" t="s">
        <v>349</v>
      </c>
      <c r="D160" s="489" t="s">
        <v>46</v>
      </c>
      <c r="E160" s="489" t="s">
        <v>994</v>
      </c>
      <c r="F160" s="542" t="str">
        <f>IF(Input_voertuigprijzen!Z159&gt;0,Input_voertuig!F$2,"")</f>
        <v/>
      </c>
      <c r="G160" s="542">
        <f>IF(Input_voertuigprijzen!AA159&gt;0,Input_voertuig!G$2,"")</f>
        <v>2023</v>
      </c>
      <c r="H160" s="542">
        <f>IF(Input_voertuigprijzen!AB159&gt;0,Input_voertuig!H$2,"")</f>
        <v>2022</v>
      </c>
      <c r="I160" s="542">
        <f>IF(Input_voertuigprijzen!AC159&gt;0,Input_voertuig!I$2,"")</f>
        <v>2021</v>
      </c>
      <c r="J160" s="542" t="str">
        <f>IF(Input_voertuigprijzen!AD159&gt;0,Input_voertuig!J$2,"")</f>
        <v/>
      </c>
      <c r="K160" s="542" t="str">
        <f>IF(Input_voertuigprijzen!AE159&gt;0,Input_voertuig!K$2,"")</f>
        <v/>
      </c>
      <c r="L160" s="542">
        <f>IF(Input_voertuigprijzen!AF159&gt;0,Input_voertuig!L$2,"")</f>
        <v>2018</v>
      </c>
      <c r="M160" s="542" t="str">
        <f>IF(Input_voertuigprijzen!AG159&gt;0,Input_voertuig!M$2,"")</f>
        <v/>
      </c>
      <c r="N160" s="542">
        <f>IF(Input_voertuigprijzen!AH159&gt;0,Input_voertuig!N$2,"")</f>
        <v>2016</v>
      </c>
      <c r="O160" s="542">
        <f>IF(Input_voertuigprijzen!AI159&gt;0,Input_voertuig!O$2,"")</f>
        <v>2015</v>
      </c>
      <c r="P160" s="542">
        <f>IF(Input_voertuigprijzen!AJ159&gt;0,Input_voertuig!P$2,"")</f>
        <v>2014</v>
      </c>
      <c r="Q160" s="542">
        <f>IF(Input_voertuigprijzen!AK159&gt;0,Input_voertuig!Q$2,"")</f>
        <v>2013</v>
      </c>
      <c r="R160" s="542" t="str">
        <f>IF(Input_voertuigprijzen!AL159&gt;0,Input_voertuig!R$2,"")</f>
        <v/>
      </c>
      <c r="S160" s="542" t="str">
        <f>IF(Input_voertuigprijzen!AM159&gt;0,Input_voertuig!S$2,"")</f>
        <v/>
      </c>
      <c r="T160" s="542" t="str">
        <f>IF(Input_voertuigprijzen!AN159&gt;0,Input_voertuig!T$2,"")</f>
        <v/>
      </c>
    </row>
    <row r="161" spans="1:20" x14ac:dyDescent="0.3">
      <c r="A161" s="489" t="s">
        <v>1605</v>
      </c>
      <c r="B161" s="489" t="s">
        <v>1744</v>
      </c>
      <c r="C161" s="489" t="s">
        <v>1869</v>
      </c>
      <c r="D161" s="489" t="s">
        <v>46</v>
      </c>
      <c r="E161" s="489" t="s">
        <v>994</v>
      </c>
      <c r="F161" s="542" t="str">
        <f>IF(Input_voertuigprijzen!Z160&gt;0,Input_voertuig!F$2,"")</f>
        <v/>
      </c>
      <c r="G161" s="542" t="str">
        <f>IF(Input_voertuigprijzen!AA160&gt;0,Input_voertuig!G$2,"")</f>
        <v/>
      </c>
      <c r="H161" s="542">
        <f>IF(Input_voertuigprijzen!AB160&gt;0,Input_voertuig!H$2,"")</f>
        <v>2022</v>
      </c>
      <c r="I161" s="542" t="str">
        <f>IF(Input_voertuigprijzen!AC160&gt;0,Input_voertuig!I$2,"")</f>
        <v/>
      </c>
      <c r="J161" s="542" t="str">
        <f>IF(Input_voertuigprijzen!AD160&gt;0,Input_voertuig!J$2,"")</f>
        <v/>
      </c>
      <c r="K161" s="542">
        <f>IF(Input_voertuigprijzen!AE160&gt;0,Input_voertuig!K$2,"")</f>
        <v>2019</v>
      </c>
      <c r="L161" s="542">
        <f>IF(Input_voertuigprijzen!AF160&gt;0,Input_voertuig!L$2,"")</f>
        <v>2018</v>
      </c>
      <c r="M161" s="542" t="str">
        <f>IF(Input_voertuigprijzen!AG160&gt;0,Input_voertuig!M$2,"")</f>
        <v/>
      </c>
      <c r="N161" s="542" t="str">
        <f>IF(Input_voertuigprijzen!AH160&gt;0,Input_voertuig!N$2,"")</f>
        <v/>
      </c>
      <c r="O161" s="542" t="str">
        <f>IF(Input_voertuigprijzen!AI160&gt;0,Input_voertuig!O$2,"")</f>
        <v/>
      </c>
      <c r="P161" s="542" t="str">
        <f>IF(Input_voertuigprijzen!AJ160&gt;0,Input_voertuig!P$2,"")</f>
        <v/>
      </c>
      <c r="Q161" s="542" t="str">
        <f>IF(Input_voertuigprijzen!AK160&gt;0,Input_voertuig!Q$2,"")</f>
        <v/>
      </c>
      <c r="R161" s="542" t="str">
        <f>IF(Input_voertuigprijzen!AL160&gt;0,Input_voertuig!R$2,"")</f>
        <v/>
      </c>
      <c r="S161" s="542" t="str">
        <f>IF(Input_voertuigprijzen!AM160&gt;0,Input_voertuig!S$2,"")</f>
        <v/>
      </c>
      <c r="T161" s="542" t="str">
        <f>IF(Input_voertuigprijzen!AN160&gt;0,Input_voertuig!T$2,"")</f>
        <v/>
      </c>
    </row>
    <row r="162" spans="1:20" x14ac:dyDescent="0.3">
      <c r="A162" s="489" t="s">
        <v>1414</v>
      </c>
      <c r="B162" s="489" t="s">
        <v>1745</v>
      </c>
      <c r="C162" s="489" t="s">
        <v>1870</v>
      </c>
      <c r="D162" s="489" t="s">
        <v>46</v>
      </c>
      <c r="E162" s="489" t="s">
        <v>994</v>
      </c>
      <c r="F162" s="542">
        <f>IF(Input_voertuigprijzen!Z161&gt;0,Input_voertuig!F$2,"")</f>
        <v>2024</v>
      </c>
      <c r="G162" s="542" t="str">
        <f>IF(Input_voertuigprijzen!AA161&gt;0,Input_voertuig!G$2,"")</f>
        <v/>
      </c>
      <c r="H162" s="542">
        <f>IF(Input_voertuigprijzen!AB161&gt;0,Input_voertuig!H$2,"")</f>
        <v>2022</v>
      </c>
      <c r="I162" s="542">
        <f>IF(Input_voertuigprijzen!AC161&gt;0,Input_voertuig!I$2,"")</f>
        <v>2021</v>
      </c>
      <c r="J162" s="542">
        <f>IF(Input_voertuigprijzen!AD161&gt;0,Input_voertuig!J$2,"")</f>
        <v>2020</v>
      </c>
      <c r="K162" s="542">
        <f>IF(Input_voertuigprijzen!AE161&gt;0,Input_voertuig!K$2,"")</f>
        <v>2019</v>
      </c>
      <c r="L162" s="542">
        <f>IF(Input_voertuigprijzen!AF161&gt;0,Input_voertuig!L$2,"")</f>
        <v>2018</v>
      </c>
      <c r="M162" s="542">
        <f>IF(Input_voertuigprijzen!AG161&gt;0,Input_voertuig!M$2,"")</f>
        <v>2017</v>
      </c>
      <c r="N162" s="542">
        <f>IF(Input_voertuigprijzen!AH161&gt;0,Input_voertuig!N$2,"")</f>
        <v>2016</v>
      </c>
      <c r="O162" s="542" t="str">
        <f>IF(Input_voertuigprijzen!AI161&gt;0,Input_voertuig!O$2,"")</f>
        <v/>
      </c>
      <c r="P162" s="542" t="str">
        <f>IF(Input_voertuigprijzen!AJ161&gt;0,Input_voertuig!P$2,"")</f>
        <v/>
      </c>
      <c r="Q162" s="542" t="str">
        <f>IF(Input_voertuigprijzen!AK161&gt;0,Input_voertuig!Q$2,"")</f>
        <v/>
      </c>
      <c r="R162" s="542" t="str">
        <f>IF(Input_voertuigprijzen!AL161&gt;0,Input_voertuig!R$2,"")</f>
        <v/>
      </c>
      <c r="S162" s="542" t="str">
        <f>IF(Input_voertuigprijzen!AM161&gt;0,Input_voertuig!S$2,"")</f>
        <v/>
      </c>
      <c r="T162" s="542" t="str">
        <f>IF(Input_voertuigprijzen!AN161&gt;0,Input_voertuig!T$2,"")</f>
        <v/>
      </c>
    </row>
    <row r="163" spans="1:20" x14ac:dyDescent="0.3">
      <c r="A163" s="489" t="s">
        <v>1454</v>
      </c>
      <c r="B163" s="489" t="s">
        <v>1746</v>
      </c>
      <c r="C163" s="489" t="s">
        <v>1871</v>
      </c>
      <c r="D163" s="489" t="s">
        <v>46</v>
      </c>
      <c r="E163" s="489" t="s">
        <v>994</v>
      </c>
      <c r="F163" s="542" t="str">
        <f>IF(Input_voertuigprijzen!Z162&gt;0,Input_voertuig!F$2,"")</f>
        <v/>
      </c>
      <c r="G163" s="542" t="str">
        <f>IF(Input_voertuigprijzen!AA162&gt;0,Input_voertuig!G$2,"")</f>
        <v/>
      </c>
      <c r="H163" s="542">
        <f>IF(Input_voertuigprijzen!AB162&gt;0,Input_voertuig!H$2,"")</f>
        <v>2022</v>
      </c>
      <c r="I163" s="542">
        <f>IF(Input_voertuigprijzen!AC162&gt;0,Input_voertuig!I$2,"")</f>
        <v>2021</v>
      </c>
      <c r="J163" s="542" t="str">
        <f>IF(Input_voertuigprijzen!AD162&gt;0,Input_voertuig!J$2,"")</f>
        <v/>
      </c>
      <c r="K163" s="542">
        <f>IF(Input_voertuigprijzen!AE162&gt;0,Input_voertuig!K$2,"")</f>
        <v>2019</v>
      </c>
      <c r="L163" s="542">
        <f>IF(Input_voertuigprijzen!AF162&gt;0,Input_voertuig!L$2,"")</f>
        <v>2018</v>
      </c>
      <c r="M163" s="542">
        <f>IF(Input_voertuigprijzen!AG162&gt;0,Input_voertuig!M$2,"")</f>
        <v>2017</v>
      </c>
      <c r="N163" s="542">
        <f>IF(Input_voertuigprijzen!AH162&gt;0,Input_voertuig!N$2,"")</f>
        <v>2016</v>
      </c>
      <c r="O163" s="542">
        <f>IF(Input_voertuigprijzen!AI162&gt;0,Input_voertuig!O$2,"")</f>
        <v>2015</v>
      </c>
      <c r="P163" s="542">
        <f>IF(Input_voertuigprijzen!AJ162&gt;0,Input_voertuig!P$2,"")</f>
        <v>2014</v>
      </c>
      <c r="Q163" s="542">
        <f>IF(Input_voertuigprijzen!AK162&gt;0,Input_voertuig!Q$2,"")</f>
        <v>2013</v>
      </c>
      <c r="R163" s="542">
        <f>IF(Input_voertuigprijzen!AL162&gt;0,Input_voertuig!R$2,"")</f>
        <v>2012</v>
      </c>
      <c r="S163" s="542">
        <f>IF(Input_voertuigprijzen!AM162&gt;0,Input_voertuig!S$2,"")</f>
        <v>2011</v>
      </c>
      <c r="T163" s="542">
        <f>IF(Input_voertuigprijzen!AN162&gt;0,Input_voertuig!T$2,"")</f>
        <v>2010</v>
      </c>
    </row>
    <row r="164" spans="1:20" x14ac:dyDescent="0.3">
      <c r="A164" s="489" t="s">
        <v>1454</v>
      </c>
      <c r="B164" s="489" t="s">
        <v>1455</v>
      </c>
      <c r="C164" s="489" t="s">
        <v>1456</v>
      </c>
      <c r="D164" s="489" t="s">
        <v>46</v>
      </c>
      <c r="E164" s="489" t="s">
        <v>994</v>
      </c>
      <c r="F164" s="542" t="str">
        <f>IF(Input_voertuigprijzen!Z163&gt;0,Input_voertuig!F$2,"")</f>
        <v/>
      </c>
      <c r="G164" s="542">
        <f>IF(Input_voertuigprijzen!AA163&gt;0,Input_voertuig!G$2,"")</f>
        <v>2023</v>
      </c>
      <c r="H164" s="542">
        <f>IF(Input_voertuigprijzen!AB163&gt;0,Input_voertuig!H$2,"")</f>
        <v>2022</v>
      </c>
      <c r="I164" s="542">
        <f>IF(Input_voertuigprijzen!AC163&gt;0,Input_voertuig!I$2,"")</f>
        <v>2021</v>
      </c>
      <c r="J164" s="542">
        <f>IF(Input_voertuigprijzen!AD163&gt;0,Input_voertuig!J$2,"")</f>
        <v>2020</v>
      </c>
      <c r="K164" s="542">
        <f>IF(Input_voertuigprijzen!AE163&gt;0,Input_voertuig!K$2,"")</f>
        <v>2019</v>
      </c>
      <c r="L164" s="542">
        <f>IF(Input_voertuigprijzen!AF163&gt;0,Input_voertuig!L$2,"")</f>
        <v>2018</v>
      </c>
      <c r="M164" s="542">
        <f>IF(Input_voertuigprijzen!AG163&gt;0,Input_voertuig!M$2,"")</f>
        <v>2017</v>
      </c>
      <c r="N164" s="542">
        <f>IF(Input_voertuigprijzen!AH163&gt;0,Input_voertuig!N$2,"")</f>
        <v>2016</v>
      </c>
      <c r="O164" s="542">
        <f>IF(Input_voertuigprijzen!AI163&gt;0,Input_voertuig!O$2,"")</f>
        <v>2015</v>
      </c>
      <c r="P164" s="542">
        <f>IF(Input_voertuigprijzen!AJ163&gt;0,Input_voertuig!P$2,"")</f>
        <v>2014</v>
      </c>
      <c r="Q164" s="542" t="str">
        <f>IF(Input_voertuigprijzen!AK163&gt;0,Input_voertuig!Q$2,"")</f>
        <v/>
      </c>
      <c r="R164" s="542">
        <f>IF(Input_voertuigprijzen!AL163&gt;0,Input_voertuig!R$2,"")</f>
        <v>2012</v>
      </c>
      <c r="S164" s="542">
        <f>IF(Input_voertuigprijzen!AM163&gt;0,Input_voertuig!S$2,"")</f>
        <v>2011</v>
      </c>
      <c r="T164" s="542" t="str">
        <f>IF(Input_voertuigprijzen!AN163&gt;0,Input_voertuig!T$2,"")</f>
        <v/>
      </c>
    </row>
    <row r="165" spans="1:20" x14ac:dyDescent="0.3">
      <c r="A165" s="489" t="s">
        <v>1414</v>
      </c>
      <c r="B165" s="489" t="s">
        <v>1668</v>
      </c>
      <c r="C165" s="489" t="s">
        <v>1872</v>
      </c>
      <c r="D165" s="489" t="s">
        <v>1936</v>
      </c>
      <c r="E165" s="489" t="s">
        <v>994</v>
      </c>
      <c r="F165" s="542">
        <f>IF(Input_voertuigprijzen!Z164&gt;0,Input_voertuig!F$2,"")</f>
        <v>2024</v>
      </c>
      <c r="G165" s="542">
        <f>IF(Input_voertuigprijzen!AA164&gt;0,Input_voertuig!G$2,"")</f>
        <v>2023</v>
      </c>
      <c r="H165" s="542">
        <f>IF(Input_voertuigprijzen!AB164&gt;0,Input_voertuig!H$2,"")</f>
        <v>2022</v>
      </c>
      <c r="I165" s="542">
        <f>IF(Input_voertuigprijzen!AC164&gt;0,Input_voertuig!I$2,"")</f>
        <v>2021</v>
      </c>
      <c r="J165" s="542">
        <f>IF(Input_voertuigprijzen!AD164&gt;0,Input_voertuig!J$2,"")</f>
        <v>2020</v>
      </c>
      <c r="K165" s="542" t="str">
        <f>IF(Input_voertuigprijzen!AE164&gt;0,Input_voertuig!K$2,"")</f>
        <v/>
      </c>
      <c r="L165" s="542" t="str">
        <f>IF(Input_voertuigprijzen!AF164&gt;0,Input_voertuig!L$2,"")</f>
        <v/>
      </c>
      <c r="M165" s="542" t="str">
        <f>IF(Input_voertuigprijzen!AG164&gt;0,Input_voertuig!M$2,"")</f>
        <v/>
      </c>
      <c r="N165" s="542" t="str">
        <f>IF(Input_voertuigprijzen!AH164&gt;0,Input_voertuig!N$2,"")</f>
        <v/>
      </c>
      <c r="O165" s="542" t="str">
        <f>IF(Input_voertuigprijzen!AI164&gt;0,Input_voertuig!O$2,"")</f>
        <v/>
      </c>
      <c r="P165" s="542" t="str">
        <f>IF(Input_voertuigprijzen!AJ164&gt;0,Input_voertuig!P$2,"")</f>
        <v/>
      </c>
      <c r="Q165" s="542" t="str">
        <f>IF(Input_voertuigprijzen!AK164&gt;0,Input_voertuig!Q$2,"")</f>
        <v/>
      </c>
      <c r="R165" s="542" t="str">
        <f>IF(Input_voertuigprijzen!AL164&gt;0,Input_voertuig!R$2,"")</f>
        <v/>
      </c>
      <c r="S165" s="542" t="str">
        <f>IF(Input_voertuigprijzen!AM164&gt;0,Input_voertuig!S$2,"")</f>
        <v/>
      </c>
      <c r="T165" s="542" t="str">
        <f>IF(Input_voertuigprijzen!AN164&gt;0,Input_voertuig!T$2,"")</f>
        <v/>
      </c>
    </row>
    <row r="166" spans="1:20" x14ac:dyDescent="0.3">
      <c r="A166" s="489" t="s">
        <v>1451</v>
      </c>
      <c r="B166" s="489" t="s">
        <v>1747</v>
      </c>
      <c r="C166" s="489" t="s">
        <v>1873</v>
      </c>
      <c r="D166" s="489" t="s">
        <v>46</v>
      </c>
      <c r="E166" s="489" t="s">
        <v>994</v>
      </c>
      <c r="F166" s="542">
        <f>IF(Input_voertuigprijzen!Z165&gt;0,Input_voertuig!F$2,"")</f>
        <v>2024</v>
      </c>
      <c r="G166" s="542">
        <f>IF(Input_voertuigprijzen!AA165&gt;0,Input_voertuig!G$2,"")</f>
        <v>2023</v>
      </c>
      <c r="H166" s="542" t="str">
        <f>IF(Input_voertuigprijzen!AB165&gt;0,Input_voertuig!H$2,"")</f>
        <v/>
      </c>
      <c r="I166" s="542" t="str">
        <f>IF(Input_voertuigprijzen!AC165&gt;0,Input_voertuig!I$2,"")</f>
        <v/>
      </c>
      <c r="J166" s="542">
        <f>IF(Input_voertuigprijzen!AD165&gt;0,Input_voertuig!J$2,"")</f>
        <v>2020</v>
      </c>
      <c r="K166" s="542">
        <f>IF(Input_voertuigprijzen!AE165&gt;0,Input_voertuig!K$2,"")</f>
        <v>2019</v>
      </c>
      <c r="L166" s="542" t="str">
        <f>IF(Input_voertuigprijzen!AF165&gt;0,Input_voertuig!L$2,"")</f>
        <v/>
      </c>
      <c r="M166" s="542">
        <f>IF(Input_voertuigprijzen!AG165&gt;0,Input_voertuig!M$2,"")</f>
        <v>2017</v>
      </c>
      <c r="N166" s="542" t="str">
        <f>IF(Input_voertuigprijzen!AH165&gt;0,Input_voertuig!N$2,"")</f>
        <v/>
      </c>
      <c r="O166" s="542" t="str">
        <f>IF(Input_voertuigprijzen!AI165&gt;0,Input_voertuig!O$2,"")</f>
        <v/>
      </c>
      <c r="P166" s="542">
        <f>IF(Input_voertuigprijzen!AJ165&gt;0,Input_voertuig!P$2,"")</f>
        <v>2014</v>
      </c>
      <c r="Q166" s="542" t="str">
        <f>IF(Input_voertuigprijzen!AK165&gt;0,Input_voertuig!Q$2,"")</f>
        <v/>
      </c>
      <c r="R166" s="542" t="str">
        <f>IF(Input_voertuigprijzen!AL165&gt;0,Input_voertuig!R$2,"")</f>
        <v/>
      </c>
      <c r="S166" s="542" t="str">
        <f>IF(Input_voertuigprijzen!AM165&gt;0,Input_voertuig!S$2,"")</f>
        <v/>
      </c>
      <c r="T166" s="542">
        <f>IF(Input_voertuigprijzen!AN165&gt;0,Input_voertuig!T$2,"")</f>
        <v>2010</v>
      </c>
    </row>
    <row r="167" spans="1:20" x14ac:dyDescent="0.3">
      <c r="A167" s="489" t="s">
        <v>1567</v>
      </c>
      <c r="B167" s="489">
        <v>508</v>
      </c>
      <c r="C167" s="489" t="s">
        <v>865</v>
      </c>
      <c r="D167" s="489" t="s">
        <v>1929</v>
      </c>
      <c r="E167" s="489" t="s">
        <v>994</v>
      </c>
      <c r="F167" s="542" t="str">
        <f>IF(Input_voertuigprijzen!Z166&gt;0,Input_voertuig!F$2,"")</f>
        <v/>
      </c>
      <c r="G167" s="542" t="str">
        <f>IF(Input_voertuigprijzen!AA166&gt;0,Input_voertuig!G$2,"")</f>
        <v/>
      </c>
      <c r="H167" s="542" t="str">
        <f>IF(Input_voertuigprijzen!AB166&gt;0,Input_voertuig!H$2,"")</f>
        <v/>
      </c>
      <c r="I167" s="542" t="str">
        <f>IF(Input_voertuigprijzen!AC166&gt;0,Input_voertuig!I$2,"")</f>
        <v/>
      </c>
      <c r="J167" s="542" t="str">
        <f>IF(Input_voertuigprijzen!AD166&gt;0,Input_voertuig!J$2,"")</f>
        <v/>
      </c>
      <c r="K167" s="542">
        <f>IF(Input_voertuigprijzen!AE166&gt;0,Input_voertuig!K$2,"")</f>
        <v>2019</v>
      </c>
      <c r="L167" s="542" t="str">
        <f>IF(Input_voertuigprijzen!AF166&gt;0,Input_voertuig!L$2,"")</f>
        <v/>
      </c>
      <c r="M167" s="542" t="str">
        <f>IF(Input_voertuigprijzen!AG166&gt;0,Input_voertuig!M$2,"")</f>
        <v/>
      </c>
      <c r="N167" s="542" t="str">
        <f>IF(Input_voertuigprijzen!AH166&gt;0,Input_voertuig!N$2,"")</f>
        <v/>
      </c>
      <c r="O167" s="542" t="str">
        <f>IF(Input_voertuigprijzen!AI166&gt;0,Input_voertuig!O$2,"")</f>
        <v/>
      </c>
      <c r="P167" s="542">
        <f>IF(Input_voertuigprijzen!AJ166&gt;0,Input_voertuig!P$2,"")</f>
        <v>2014</v>
      </c>
      <c r="Q167" s="542">
        <f>IF(Input_voertuigprijzen!AK166&gt;0,Input_voertuig!Q$2,"")</f>
        <v>2013</v>
      </c>
      <c r="R167" s="542">
        <f>IF(Input_voertuigprijzen!AL166&gt;0,Input_voertuig!R$2,"")</f>
        <v>2012</v>
      </c>
      <c r="S167" s="542" t="str">
        <f>IF(Input_voertuigprijzen!AM166&gt;0,Input_voertuig!S$2,"")</f>
        <v/>
      </c>
      <c r="T167" s="542" t="str">
        <f>IF(Input_voertuigprijzen!AN166&gt;0,Input_voertuig!T$2,"")</f>
        <v/>
      </c>
    </row>
    <row r="168" spans="1:20" x14ac:dyDescent="0.3">
      <c r="A168" s="489" t="s">
        <v>1414</v>
      </c>
      <c r="B168" s="489" t="s">
        <v>1748</v>
      </c>
      <c r="C168" s="489" t="s">
        <v>1874</v>
      </c>
      <c r="D168" s="489" t="s">
        <v>46</v>
      </c>
      <c r="E168" s="489" t="s">
        <v>1960</v>
      </c>
      <c r="F168" s="542" t="str">
        <f>IF(Input_voertuigprijzen!Z167&gt;0,Input_voertuig!F$2,"")</f>
        <v/>
      </c>
      <c r="G168" s="542" t="str">
        <f>IF(Input_voertuigprijzen!AA167&gt;0,Input_voertuig!G$2,"")</f>
        <v/>
      </c>
      <c r="H168" s="542" t="str">
        <f>IF(Input_voertuigprijzen!AB167&gt;0,Input_voertuig!H$2,"")</f>
        <v/>
      </c>
      <c r="I168" s="542" t="str">
        <f>IF(Input_voertuigprijzen!AC167&gt;0,Input_voertuig!I$2,"")</f>
        <v/>
      </c>
      <c r="J168" s="542" t="str">
        <f>IF(Input_voertuigprijzen!AD167&gt;0,Input_voertuig!J$2,"")</f>
        <v/>
      </c>
      <c r="K168" s="542" t="str">
        <f>IF(Input_voertuigprijzen!AE167&gt;0,Input_voertuig!K$2,"")</f>
        <v/>
      </c>
      <c r="L168" s="542" t="str">
        <f>IF(Input_voertuigprijzen!AF167&gt;0,Input_voertuig!L$2,"")</f>
        <v/>
      </c>
      <c r="M168" s="542" t="str">
        <f>IF(Input_voertuigprijzen!AG167&gt;0,Input_voertuig!M$2,"")</f>
        <v/>
      </c>
      <c r="N168" s="542" t="str">
        <f>IF(Input_voertuigprijzen!AH167&gt;0,Input_voertuig!N$2,"")</f>
        <v/>
      </c>
      <c r="O168" s="542" t="str">
        <f>IF(Input_voertuigprijzen!AI167&gt;0,Input_voertuig!O$2,"")</f>
        <v/>
      </c>
      <c r="P168" s="542" t="str">
        <f>IF(Input_voertuigprijzen!AJ167&gt;0,Input_voertuig!P$2,"")</f>
        <v/>
      </c>
      <c r="Q168" s="542" t="str">
        <f>IF(Input_voertuigprijzen!AK167&gt;0,Input_voertuig!Q$2,"")</f>
        <v/>
      </c>
      <c r="R168" s="542" t="str">
        <f>IF(Input_voertuigprijzen!AL167&gt;0,Input_voertuig!R$2,"")</f>
        <v/>
      </c>
      <c r="S168" s="542" t="str">
        <f>IF(Input_voertuigprijzen!AM167&gt;0,Input_voertuig!S$2,"")</f>
        <v/>
      </c>
      <c r="T168" s="542">
        <f>IF(Input_voertuigprijzen!AN167&gt;0,Input_voertuig!T$2,"")</f>
        <v>2010</v>
      </c>
    </row>
    <row r="169" spans="1:20" x14ac:dyDescent="0.3">
      <c r="A169" s="489" t="s">
        <v>1426</v>
      </c>
      <c r="B169" s="489" t="s">
        <v>1749</v>
      </c>
      <c r="C169" s="489" t="s">
        <v>1749</v>
      </c>
      <c r="D169" s="489" t="s">
        <v>1930</v>
      </c>
      <c r="E169" s="489" t="s">
        <v>994</v>
      </c>
      <c r="F169" s="542" t="str">
        <f>IF(Input_voertuigprijzen!Z168&gt;0,Input_voertuig!F$2,"")</f>
        <v/>
      </c>
      <c r="G169" s="542" t="str">
        <f>IF(Input_voertuigprijzen!AA168&gt;0,Input_voertuig!G$2,"")</f>
        <v/>
      </c>
      <c r="H169" s="542" t="str">
        <f>IF(Input_voertuigprijzen!AB168&gt;0,Input_voertuig!H$2,"")</f>
        <v/>
      </c>
      <c r="I169" s="542" t="str">
        <f>IF(Input_voertuigprijzen!AC168&gt;0,Input_voertuig!I$2,"")</f>
        <v/>
      </c>
      <c r="J169" s="542" t="str">
        <f>IF(Input_voertuigprijzen!AD168&gt;0,Input_voertuig!J$2,"")</f>
        <v/>
      </c>
      <c r="K169" s="542" t="str">
        <f>IF(Input_voertuigprijzen!AE168&gt;0,Input_voertuig!K$2,"")</f>
        <v/>
      </c>
      <c r="L169" s="542" t="str">
        <f>IF(Input_voertuigprijzen!AF168&gt;0,Input_voertuig!L$2,"")</f>
        <v/>
      </c>
      <c r="M169" s="542" t="str">
        <f>IF(Input_voertuigprijzen!AG168&gt;0,Input_voertuig!M$2,"")</f>
        <v/>
      </c>
      <c r="N169" s="542" t="str">
        <f>IF(Input_voertuigprijzen!AH168&gt;0,Input_voertuig!N$2,"")</f>
        <v/>
      </c>
      <c r="O169" s="542" t="str">
        <f>IF(Input_voertuigprijzen!AI168&gt;0,Input_voertuig!O$2,"")</f>
        <v/>
      </c>
      <c r="P169" s="542">
        <f>IF(Input_voertuigprijzen!AJ168&gt;0,Input_voertuig!P$2,"")</f>
        <v>2014</v>
      </c>
      <c r="Q169" s="542">
        <f>IF(Input_voertuigprijzen!AK168&gt;0,Input_voertuig!Q$2,"")</f>
        <v>2013</v>
      </c>
      <c r="R169" s="542">
        <f>IF(Input_voertuigprijzen!AL168&gt;0,Input_voertuig!R$2,"")</f>
        <v>2012</v>
      </c>
      <c r="S169" s="542" t="str">
        <f>IF(Input_voertuigprijzen!AM168&gt;0,Input_voertuig!S$2,"")</f>
        <v/>
      </c>
      <c r="T169" s="542" t="str">
        <f>IF(Input_voertuigprijzen!AN168&gt;0,Input_voertuig!T$2,"")</f>
        <v/>
      </c>
    </row>
    <row r="170" spans="1:20" x14ac:dyDescent="0.3">
      <c r="A170" s="489" t="s">
        <v>1750</v>
      </c>
      <c r="B170" s="489" t="s">
        <v>1751</v>
      </c>
      <c r="C170" s="489" t="s">
        <v>1875</v>
      </c>
      <c r="D170" s="489" t="s">
        <v>46</v>
      </c>
      <c r="E170" s="489" t="s">
        <v>994</v>
      </c>
      <c r="F170" s="542" t="str">
        <f>IF(Input_voertuigprijzen!Z169&gt;0,Input_voertuig!F$2,"")</f>
        <v/>
      </c>
      <c r="G170" s="542" t="str">
        <f>IF(Input_voertuigprijzen!AA169&gt;0,Input_voertuig!G$2,"")</f>
        <v/>
      </c>
      <c r="H170" s="542" t="str">
        <f>IF(Input_voertuigprijzen!AB169&gt;0,Input_voertuig!H$2,"")</f>
        <v/>
      </c>
      <c r="I170" s="542" t="str">
        <f>IF(Input_voertuigprijzen!AC169&gt;0,Input_voertuig!I$2,"")</f>
        <v/>
      </c>
      <c r="J170" s="542" t="str">
        <f>IF(Input_voertuigprijzen!AD169&gt;0,Input_voertuig!J$2,"")</f>
        <v/>
      </c>
      <c r="K170" s="542" t="str">
        <f>IF(Input_voertuigprijzen!AE169&gt;0,Input_voertuig!K$2,"")</f>
        <v/>
      </c>
      <c r="L170" s="542">
        <f>IF(Input_voertuigprijzen!AF169&gt;0,Input_voertuig!L$2,"")</f>
        <v>2018</v>
      </c>
      <c r="M170" s="542">
        <f>IF(Input_voertuigprijzen!AG169&gt;0,Input_voertuig!M$2,"")</f>
        <v>2017</v>
      </c>
      <c r="N170" s="542">
        <f>IF(Input_voertuigprijzen!AH169&gt;0,Input_voertuig!N$2,"")</f>
        <v>2016</v>
      </c>
      <c r="O170" s="542">
        <f>IF(Input_voertuigprijzen!AI169&gt;0,Input_voertuig!O$2,"")</f>
        <v>2015</v>
      </c>
      <c r="P170" s="542">
        <f>IF(Input_voertuigprijzen!AJ169&gt;0,Input_voertuig!P$2,"")</f>
        <v>2014</v>
      </c>
      <c r="Q170" s="542" t="str">
        <f>IF(Input_voertuigprijzen!AK169&gt;0,Input_voertuig!Q$2,"")</f>
        <v/>
      </c>
      <c r="R170" s="542" t="str">
        <f>IF(Input_voertuigprijzen!AL169&gt;0,Input_voertuig!R$2,"")</f>
        <v/>
      </c>
      <c r="S170" s="542" t="str">
        <f>IF(Input_voertuigprijzen!AM169&gt;0,Input_voertuig!S$2,"")</f>
        <v/>
      </c>
      <c r="T170" s="542" t="str">
        <f>IF(Input_voertuigprijzen!AN169&gt;0,Input_voertuig!T$2,"")</f>
        <v/>
      </c>
    </row>
    <row r="171" spans="1:20" x14ac:dyDescent="0.3">
      <c r="A171" s="489" t="s">
        <v>1422</v>
      </c>
      <c r="B171" s="489" t="s">
        <v>1752</v>
      </c>
      <c r="C171" s="489" t="s">
        <v>1876</v>
      </c>
      <c r="D171" s="489" t="s">
        <v>46</v>
      </c>
      <c r="E171" s="489" t="s">
        <v>994</v>
      </c>
      <c r="F171" s="542" t="str">
        <f>IF(Input_voertuigprijzen!Z170&gt;0,Input_voertuig!F$2,"")</f>
        <v/>
      </c>
      <c r="G171" s="542" t="str">
        <f>IF(Input_voertuigprijzen!AA170&gt;0,Input_voertuig!G$2,"")</f>
        <v/>
      </c>
      <c r="H171" s="542" t="str">
        <f>IF(Input_voertuigprijzen!AB170&gt;0,Input_voertuig!H$2,"")</f>
        <v/>
      </c>
      <c r="I171" s="542" t="str">
        <f>IF(Input_voertuigprijzen!AC170&gt;0,Input_voertuig!I$2,"")</f>
        <v/>
      </c>
      <c r="J171" s="542" t="str">
        <f>IF(Input_voertuigprijzen!AD170&gt;0,Input_voertuig!J$2,"")</f>
        <v/>
      </c>
      <c r="K171" s="542">
        <f>IF(Input_voertuigprijzen!AE170&gt;0,Input_voertuig!K$2,"")</f>
        <v>2019</v>
      </c>
      <c r="L171" s="542">
        <f>IF(Input_voertuigprijzen!AF170&gt;0,Input_voertuig!L$2,"")</f>
        <v>2018</v>
      </c>
      <c r="M171" s="542">
        <f>IF(Input_voertuigprijzen!AG170&gt;0,Input_voertuig!M$2,"")</f>
        <v>2017</v>
      </c>
      <c r="N171" s="542">
        <f>IF(Input_voertuigprijzen!AH170&gt;0,Input_voertuig!N$2,"")</f>
        <v>2016</v>
      </c>
      <c r="O171" s="542">
        <f>IF(Input_voertuigprijzen!AI170&gt;0,Input_voertuig!O$2,"")</f>
        <v>2015</v>
      </c>
      <c r="P171" s="542">
        <f>IF(Input_voertuigprijzen!AJ170&gt;0,Input_voertuig!P$2,"")</f>
        <v>2014</v>
      </c>
      <c r="Q171" s="542" t="str">
        <f>IF(Input_voertuigprijzen!AK170&gt;0,Input_voertuig!Q$2,"")</f>
        <v/>
      </c>
      <c r="R171" s="542" t="str">
        <f>IF(Input_voertuigprijzen!AL170&gt;0,Input_voertuig!R$2,"")</f>
        <v/>
      </c>
      <c r="S171" s="542" t="str">
        <f>IF(Input_voertuigprijzen!AM170&gt;0,Input_voertuig!S$2,"")</f>
        <v/>
      </c>
      <c r="T171" s="542" t="str">
        <f>IF(Input_voertuigprijzen!AN170&gt;0,Input_voertuig!T$2,"")</f>
        <v/>
      </c>
    </row>
    <row r="172" spans="1:20" x14ac:dyDescent="0.3">
      <c r="A172" s="489" t="s">
        <v>1605</v>
      </c>
      <c r="B172" s="489" t="s">
        <v>1669</v>
      </c>
      <c r="C172" s="489" t="s">
        <v>1877</v>
      </c>
      <c r="D172" s="489" t="s">
        <v>46</v>
      </c>
      <c r="E172" s="489" t="s">
        <v>994</v>
      </c>
      <c r="F172" s="542" t="str">
        <f>IF(Input_voertuigprijzen!Z171&gt;0,Input_voertuig!F$2,"")</f>
        <v/>
      </c>
      <c r="G172" s="542" t="str">
        <f>IF(Input_voertuigprijzen!AA171&gt;0,Input_voertuig!G$2,"")</f>
        <v/>
      </c>
      <c r="H172" s="542" t="str">
        <f>IF(Input_voertuigprijzen!AB171&gt;0,Input_voertuig!H$2,"")</f>
        <v/>
      </c>
      <c r="I172" s="542" t="str">
        <f>IF(Input_voertuigprijzen!AC171&gt;0,Input_voertuig!I$2,"")</f>
        <v/>
      </c>
      <c r="J172" s="542" t="str">
        <f>IF(Input_voertuigprijzen!AD171&gt;0,Input_voertuig!J$2,"")</f>
        <v/>
      </c>
      <c r="K172" s="542">
        <f>IF(Input_voertuigprijzen!AE171&gt;0,Input_voertuig!K$2,"")</f>
        <v>2019</v>
      </c>
      <c r="L172" s="542" t="str">
        <f>IF(Input_voertuigprijzen!AF171&gt;0,Input_voertuig!L$2,"")</f>
        <v/>
      </c>
      <c r="M172" s="542">
        <f>IF(Input_voertuigprijzen!AG171&gt;0,Input_voertuig!M$2,"")</f>
        <v>2017</v>
      </c>
      <c r="N172" s="542">
        <f>IF(Input_voertuigprijzen!AH171&gt;0,Input_voertuig!N$2,"")</f>
        <v>2016</v>
      </c>
      <c r="O172" s="542" t="str">
        <f>IF(Input_voertuigprijzen!AI171&gt;0,Input_voertuig!O$2,"")</f>
        <v/>
      </c>
      <c r="P172" s="542">
        <f>IF(Input_voertuigprijzen!AJ171&gt;0,Input_voertuig!P$2,"")</f>
        <v>2014</v>
      </c>
      <c r="Q172" s="542" t="str">
        <f>IF(Input_voertuigprijzen!AK171&gt;0,Input_voertuig!Q$2,"")</f>
        <v/>
      </c>
      <c r="R172" s="542">
        <f>IF(Input_voertuigprijzen!AL171&gt;0,Input_voertuig!R$2,"")</f>
        <v>2012</v>
      </c>
      <c r="S172" s="542">
        <f>IF(Input_voertuigprijzen!AM171&gt;0,Input_voertuig!S$2,"")</f>
        <v>2011</v>
      </c>
      <c r="T172" s="542">
        <f>IF(Input_voertuigprijzen!AN171&gt;0,Input_voertuig!T$2,"")</f>
        <v>2010</v>
      </c>
    </row>
    <row r="173" spans="1:20" x14ac:dyDescent="0.3">
      <c r="A173" s="489" t="s">
        <v>1677</v>
      </c>
      <c r="B173" s="489" t="s">
        <v>1753</v>
      </c>
      <c r="C173" s="489" t="s">
        <v>1878</v>
      </c>
      <c r="D173" s="489" t="s">
        <v>46</v>
      </c>
      <c r="E173" s="489" t="s">
        <v>994</v>
      </c>
      <c r="F173" s="542" t="str">
        <f>IF(Input_voertuigprijzen!Z172&gt;0,Input_voertuig!F$2,"")</f>
        <v/>
      </c>
      <c r="G173" s="542">
        <f>IF(Input_voertuigprijzen!AA172&gt;0,Input_voertuig!G$2,"")</f>
        <v>2023</v>
      </c>
      <c r="H173" s="542">
        <f>IF(Input_voertuigprijzen!AB172&gt;0,Input_voertuig!H$2,"")</f>
        <v>2022</v>
      </c>
      <c r="I173" s="542" t="str">
        <f>IF(Input_voertuigprijzen!AC172&gt;0,Input_voertuig!I$2,"")</f>
        <v/>
      </c>
      <c r="J173" s="542" t="str">
        <f>IF(Input_voertuigprijzen!AD172&gt;0,Input_voertuig!J$2,"")</f>
        <v/>
      </c>
      <c r="K173" s="542">
        <f>IF(Input_voertuigprijzen!AE172&gt;0,Input_voertuig!K$2,"")</f>
        <v>2019</v>
      </c>
      <c r="L173" s="542">
        <f>IF(Input_voertuigprijzen!AF172&gt;0,Input_voertuig!L$2,"")</f>
        <v>2018</v>
      </c>
      <c r="M173" s="542">
        <f>IF(Input_voertuigprijzen!AG172&gt;0,Input_voertuig!M$2,"")</f>
        <v>2017</v>
      </c>
      <c r="N173" s="542">
        <f>IF(Input_voertuigprijzen!AH172&gt;0,Input_voertuig!N$2,"")</f>
        <v>2016</v>
      </c>
      <c r="O173" s="542">
        <f>IF(Input_voertuigprijzen!AI172&gt;0,Input_voertuig!O$2,"")</f>
        <v>2015</v>
      </c>
      <c r="P173" s="542" t="str">
        <f>IF(Input_voertuigprijzen!AJ172&gt;0,Input_voertuig!P$2,"")</f>
        <v/>
      </c>
      <c r="Q173" s="542">
        <f>IF(Input_voertuigprijzen!AK172&gt;0,Input_voertuig!Q$2,"")</f>
        <v>2013</v>
      </c>
      <c r="R173" s="542" t="str">
        <f>IF(Input_voertuigprijzen!AL172&gt;0,Input_voertuig!R$2,"")</f>
        <v/>
      </c>
      <c r="S173" s="542" t="str">
        <f>IF(Input_voertuigprijzen!AM172&gt;0,Input_voertuig!S$2,"")</f>
        <v/>
      </c>
      <c r="T173" s="542" t="str">
        <f>IF(Input_voertuigprijzen!AN172&gt;0,Input_voertuig!T$2,"")</f>
        <v/>
      </c>
    </row>
    <row r="174" spans="1:20" x14ac:dyDescent="0.3">
      <c r="A174" s="489" t="s">
        <v>1441</v>
      </c>
      <c r="B174" s="489" t="s">
        <v>1444</v>
      </c>
      <c r="C174" s="489" t="s">
        <v>870</v>
      </c>
      <c r="D174" s="489" t="s">
        <v>45</v>
      </c>
      <c r="E174" s="489" t="s">
        <v>994</v>
      </c>
      <c r="F174" s="542" t="str">
        <f>IF(Input_voertuigprijzen!Z173&gt;0,Input_voertuig!F$2,"")</f>
        <v/>
      </c>
      <c r="G174" s="542">
        <f>IF(Input_voertuigprijzen!AA173&gt;0,Input_voertuig!G$2,"")</f>
        <v>2023</v>
      </c>
      <c r="H174" s="542">
        <f>IF(Input_voertuigprijzen!AB173&gt;0,Input_voertuig!H$2,"")</f>
        <v>2022</v>
      </c>
      <c r="I174" s="542" t="str">
        <f>IF(Input_voertuigprijzen!AC173&gt;0,Input_voertuig!I$2,"")</f>
        <v/>
      </c>
      <c r="J174" s="542">
        <f>IF(Input_voertuigprijzen!AD173&gt;0,Input_voertuig!J$2,"")</f>
        <v>2020</v>
      </c>
      <c r="K174" s="542">
        <f>IF(Input_voertuigprijzen!AE173&gt;0,Input_voertuig!K$2,"")</f>
        <v>2019</v>
      </c>
      <c r="L174" s="542">
        <f>IF(Input_voertuigprijzen!AF173&gt;0,Input_voertuig!L$2,"")</f>
        <v>2018</v>
      </c>
      <c r="M174" s="542">
        <f>IF(Input_voertuigprijzen!AG173&gt;0,Input_voertuig!M$2,"")</f>
        <v>2017</v>
      </c>
      <c r="N174" s="542" t="str">
        <f>IF(Input_voertuigprijzen!AH173&gt;0,Input_voertuig!N$2,"")</f>
        <v/>
      </c>
      <c r="O174" s="542" t="str">
        <f>IF(Input_voertuigprijzen!AI173&gt;0,Input_voertuig!O$2,"")</f>
        <v/>
      </c>
      <c r="P174" s="542" t="str">
        <f>IF(Input_voertuigprijzen!AJ173&gt;0,Input_voertuig!P$2,"")</f>
        <v/>
      </c>
      <c r="Q174" s="542" t="str">
        <f>IF(Input_voertuigprijzen!AK173&gt;0,Input_voertuig!Q$2,"")</f>
        <v/>
      </c>
      <c r="R174" s="542">
        <f>IF(Input_voertuigprijzen!AL173&gt;0,Input_voertuig!R$2,"")</f>
        <v>2012</v>
      </c>
      <c r="S174" s="542" t="str">
        <f>IF(Input_voertuigprijzen!AM173&gt;0,Input_voertuig!S$2,"")</f>
        <v/>
      </c>
      <c r="T174" s="542" t="str">
        <f>IF(Input_voertuigprijzen!AN173&gt;0,Input_voertuig!T$2,"")</f>
        <v/>
      </c>
    </row>
    <row r="175" spans="1:20" x14ac:dyDescent="0.3">
      <c r="A175" s="489" t="s">
        <v>1544</v>
      </c>
      <c r="B175" s="489" t="s">
        <v>1754</v>
      </c>
      <c r="C175" s="489" t="s">
        <v>1879</v>
      </c>
      <c r="D175" s="489" t="s">
        <v>46</v>
      </c>
      <c r="E175" s="489" t="s">
        <v>994</v>
      </c>
      <c r="F175" s="542" t="str">
        <f>IF(Input_voertuigprijzen!Z174&gt;0,Input_voertuig!F$2,"")</f>
        <v/>
      </c>
      <c r="G175" s="542">
        <f>IF(Input_voertuigprijzen!AA174&gt;0,Input_voertuig!G$2,"")</f>
        <v>2023</v>
      </c>
      <c r="H175" s="542" t="str">
        <f>IF(Input_voertuigprijzen!AB174&gt;0,Input_voertuig!H$2,"")</f>
        <v/>
      </c>
      <c r="I175" s="542">
        <f>IF(Input_voertuigprijzen!AC174&gt;0,Input_voertuig!I$2,"")</f>
        <v>2021</v>
      </c>
      <c r="J175" s="542">
        <f>IF(Input_voertuigprijzen!AD174&gt;0,Input_voertuig!J$2,"")</f>
        <v>2020</v>
      </c>
      <c r="K175" s="542" t="str">
        <f>IF(Input_voertuigprijzen!AE174&gt;0,Input_voertuig!K$2,"")</f>
        <v/>
      </c>
      <c r="L175" s="542">
        <f>IF(Input_voertuigprijzen!AF174&gt;0,Input_voertuig!L$2,"")</f>
        <v>2018</v>
      </c>
      <c r="M175" s="542">
        <f>IF(Input_voertuigprijzen!AG174&gt;0,Input_voertuig!M$2,"")</f>
        <v>2017</v>
      </c>
      <c r="N175" s="542">
        <f>IF(Input_voertuigprijzen!AH174&gt;0,Input_voertuig!N$2,"")</f>
        <v>2016</v>
      </c>
      <c r="O175" s="542">
        <f>IF(Input_voertuigprijzen!AI174&gt;0,Input_voertuig!O$2,"")</f>
        <v>2015</v>
      </c>
      <c r="P175" s="542">
        <f>IF(Input_voertuigprijzen!AJ174&gt;0,Input_voertuig!P$2,"")</f>
        <v>2014</v>
      </c>
      <c r="Q175" s="542">
        <f>IF(Input_voertuigprijzen!AK174&gt;0,Input_voertuig!Q$2,"")</f>
        <v>2013</v>
      </c>
      <c r="R175" s="542" t="str">
        <f>IF(Input_voertuigprijzen!AL174&gt;0,Input_voertuig!R$2,"")</f>
        <v/>
      </c>
      <c r="S175" s="542" t="str">
        <f>IF(Input_voertuigprijzen!AM174&gt;0,Input_voertuig!S$2,"")</f>
        <v/>
      </c>
      <c r="T175" s="542">
        <f>IF(Input_voertuigprijzen!AN174&gt;0,Input_voertuig!T$2,"")</f>
        <v>2010</v>
      </c>
    </row>
    <row r="176" spans="1:20" x14ac:dyDescent="0.3">
      <c r="A176" s="489" t="s">
        <v>1694</v>
      </c>
      <c r="B176" s="489" t="s">
        <v>1719</v>
      </c>
      <c r="C176" s="489" t="s">
        <v>1844</v>
      </c>
      <c r="D176" s="489" t="s">
        <v>1929</v>
      </c>
      <c r="E176" s="489" t="s">
        <v>994</v>
      </c>
      <c r="F176" s="542">
        <f>IF(Input_voertuigprijzen!Z175&gt;0,Input_voertuig!F$2,"")</f>
        <v>2024</v>
      </c>
      <c r="G176" s="542">
        <f>IF(Input_voertuigprijzen!AA175&gt;0,Input_voertuig!G$2,"")</f>
        <v>2023</v>
      </c>
      <c r="H176" s="542">
        <f>IF(Input_voertuigprijzen!AB175&gt;0,Input_voertuig!H$2,"")</f>
        <v>2022</v>
      </c>
      <c r="I176" s="542">
        <f>IF(Input_voertuigprijzen!AC175&gt;0,Input_voertuig!I$2,"")</f>
        <v>2021</v>
      </c>
      <c r="J176" s="542">
        <f>IF(Input_voertuigprijzen!AD175&gt;0,Input_voertuig!J$2,"")</f>
        <v>2020</v>
      </c>
      <c r="K176" s="542">
        <f>IF(Input_voertuigprijzen!AE175&gt;0,Input_voertuig!K$2,"")</f>
        <v>2019</v>
      </c>
      <c r="L176" s="542" t="str">
        <f>IF(Input_voertuigprijzen!AF175&gt;0,Input_voertuig!L$2,"")</f>
        <v/>
      </c>
      <c r="M176" s="542" t="str">
        <f>IF(Input_voertuigprijzen!AG175&gt;0,Input_voertuig!M$2,"")</f>
        <v/>
      </c>
      <c r="N176" s="542" t="str">
        <f>IF(Input_voertuigprijzen!AH175&gt;0,Input_voertuig!N$2,"")</f>
        <v/>
      </c>
      <c r="O176" s="542" t="str">
        <f>IF(Input_voertuigprijzen!AI175&gt;0,Input_voertuig!O$2,"")</f>
        <v/>
      </c>
      <c r="P176" s="542" t="str">
        <f>IF(Input_voertuigprijzen!AJ175&gt;0,Input_voertuig!P$2,"")</f>
        <v/>
      </c>
      <c r="Q176" s="542" t="str">
        <f>IF(Input_voertuigprijzen!AK175&gt;0,Input_voertuig!Q$2,"")</f>
        <v/>
      </c>
      <c r="R176" s="542" t="str">
        <f>IF(Input_voertuigprijzen!AL175&gt;0,Input_voertuig!R$2,"")</f>
        <v/>
      </c>
      <c r="S176" s="542" t="str">
        <f>IF(Input_voertuigprijzen!AM175&gt;0,Input_voertuig!S$2,"")</f>
        <v/>
      </c>
      <c r="T176" s="542" t="str">
        <f>IF(Input_voertuigprijzen!AN175&gt;0,Input_voertuig!T$2,"")</f>
        <v/>
      </c>
    </row>
    <row r="177" spans="1:20" x14ac:dyDescent="0.3">
      <c r="A177" s="489" t="s">
        <v>1414</v>
      </c>
      <c r="B177" s="489" t="s">
        <v>1755</v>
      </c>
      <c r="C177" s="489" t="s">
        <v>1880</v>
      </c>
      <c r="D177" s="489" t="s">
        <v>46</v>
      </c>
      <c r="E177" s="489" t="s">
        <v>1960</v>
      </c>
      <c r="F177" s="542" t="str">
        <f>IF(Input_voertuigprijzen!Z176&gt;0,Input_voertuig!F$2,"")</f>
        <v/>
      </c>
      <c r="G177" s="542" t="str">
        <f>IF(Input_voertuigprijzen!AA176&gt;0,Input_voertuig!G$2,"")</f>
        <v/>
      </c>
      <c r="H177" s="542" t="str">
        <f>IF(Input_voertuigprijzen!AB176&gt;0,Input_voertuig!H$2,"")</f>
        <v/>
      </c>
      <c r="I177" s="542" t="str">
        <f>IF(Input_voertuigprijzen!AC176&gt;0,Input_voertuig!I$2,"")</f>
        <v/>
      </c>
      <c r="J177" s="542" t="str">
        <f>IF(Input_voertuigprijzen!AD176&gt;0,Input_voertuig!J$2,"")</f>
        <v/>
      </c>
      <c r="K177" s="542" t="str">
        <f>IF(Input_voertuigprijzen!AE176&gt;0,Input_voertuig!K$2,"")</f>
        <v/>
      </c>
      <c r="L177" s="542" t="str">
        <f>IF(Input_voertuigprijzen!AF176&gt;0,Input_voertuig!L$2,"")</f>
        <v/>
      </c>
      <c r="M177" s="542" t="str">
        <f>IF(Input_voertuigprijzen!AG176&gt;0,Input_voertuig!M$2,"")</f>
        <v/>
      </c>
      <c r="N177" s="542">
        <f>IF(Input_voertuigprijzen!AH176&gt;0,Input_voertuig!N$2,"")</f>
        <v>2016</v>
      </c>
      <c r="O177" s="542">
        <f>IF(Input_voertuigprijzen!AI176&gt;0,Input_voertuig!O$2,"")</f>
        <v>2015</v>
      </c>
      <c r="P177" s="542" t="str">
        <f>IF(Input_voertuigprijzen!AJ176&gt;0,Input_voertuig!P$2,"")</f>
        <v/>
      </c>
      <c r="Q177" s="542" t="str">
        <f>IF(Input_voertuigprijzen!AK176&gt;0,Input_voertuig!Q$2,"")</f>
        <v/>
      </c>
      <c r="R177" s="542">
        <f>IF(Input_voertuigprijzen!AL176&gt;0,Input_voertuig!R$2,"")</f>
        <v>2012</v>
      </c>
      <c r="S177" s="542" t="str">
        <f>IF(Input_voertuigprijzen!AM176&gt;0,Input_voertuig!S$2,"")</f>
        <v/>
      </c>
      <c r="T177" s="542">
        <f>IF(Input_voertuigprijzen!AN176&gt;0,Input_voertuig!T$2,"")</f>
        <v>2010</v>
      </c>
    </row>
    <row r="178" spans="1:20" x14ac:dyDescent="0.3">
      <c r="A178" s="489" t="s">
        <v>1437</v>
      </c>
      <c r="B178" s="489" t="s">
        <v>1438</v>
      </c>
      <c r="C178" s="489" t="s">
        <v>1439</v>
      </c>
      <c r="D178" s="489" t="s">
        <v>46</v>
      </c>
      <c r="E178" s="489" t="s">
        <v>994</v>
      </c>
      <c r="F178" s="542" t="str">
        <f>IF(Input_voertuigprijzen!Z177&gt;0,Input_voertuig!F$2,"")</f>
        <v/>
      </c>
      <c r="G178" s="542" t="str">
        <f>IF(Input_voertuigprijzen!AA177&gt;0,Input_voertuig!G$2,"")</f>
        <v/>
      </c>
      <c r="H178" s="542" t="str">
        <f>IF(Input_voertuigprijzen!AB177&gt;0,Input_voertuig!H$2,"")</f>
        <v/>
      </c>
      <c r="I178" s="542" t="str">
        <f>IF(Input_voertuigprijzen!AC177&gt;0,Input_voertuig!I$2,"")</f>
        <v/>
      </c>
      <c r="J178" s="542" t="str">
        <f>IF(Input_voertuigprijzen!AD177&gt;0,Input_voertuig!J$2,"")</f>
        <v/>
      </c>
      <c r="K178" s="542" t="str">
        <f>IF(Input_voertuigprijzen!AE177&gt;0,Input_voertuig!K$2,"")</f>
        <v/>
      </c>
      <c r="L178" s="542" t="str">
        <f>IF(Input_voertuigprijzen!AF177&gt;0,Input_voertuig!L$2,"")</f>
        <v/>
      </c>
      <c r="M178" s="542" t="str">
        <f>IF(Input_voertuigprijzen!AG177&gt;0,Input_voertuig!M$2,"")</f>
        <v/>
      </c>
      <c r="N178" s="542" t="str">
        <f>IF(Input_voertuigprijzen!AH177&gt;0,Input_voertuig!N$2,"")</f>
        <v/>
      </c>
      <c r="O178" s="542">
        <f>IF(Input_voertuigprijzen!AI177&gt;0,Input_voertuig!O$2,"")</f>
        <v>2015</v>
      </c>
      <c r="P178" s="542" t="str">
        <f>IF(Input_voertuigprijzen!AJ177&gt;0,Input_voertuig!P$2,"")</f>
        <v/>
      </c>
      <c r="Q178" s="542" t="str">
        <f>IF(Input_voertuigprijzen!AK177&gt;0,Input_voertuig!Q$2,"")</f>
        <v/>
      </c>
      <c r="R178" s="542" t="str">
        <f>IF(Input_voertuigprijzen!AL177&gt;0,Input_voertuig!R$2,"")</f>
        <v/>
      </c>
      <c r="S178" s="542" t="str">
        <f>IF(Input_voertuigprijzen!AM177&gt;0,Input_voertuig!S$2,"")</f>
        <v/>
      </c>
      <c r="T178" s="542">
        <f>IF(Input_voertuigprijzen!AN177&gt;0,Input_voertuig!T$2,"")</f>
        <v>2010</v>
      </c>
    </row>
    <row r="179" spans="1:20" x14ac:dyDescent="0.3">
      <c r="A179" s="489" t="s">
        <v>1713</v>
      </c>
      <c r="B179" s="489" t="s">
        <v>1756</v>
      </c>
      <c r="C179" s="489" t="s">
        <v>1881</v>
      </c>
      <c r="D179" s="489" t="s">
        <v>1929</v>
      </c>
      <c r="E179" s="489" t="s">
        <v>994</v>
      </c>
      <c r="F179" s="542" t="str">
        <f>IF(Input_voertuigprijzen!Z178&gt;0,Input_voertuig!F$2,"")</f>
        <v/>
      </c>
      <c r="G179" s="542" t="str">
        <f>IF(Input_voertuigprijzen!AA178&gt;0,Input_voertuig!G$2,"")</f>
        <v/>
      </c>
      <c r="H179" s="542" t="str">
        <f>IF(Input_voertuigprijzen!AB178&gt;0,Input_voertuig!H$2,"")</f>
        <v/>
      </c>
      <c r="I179" s="542" t="str">
        <f>IF(Input_voertuigprijzen!AC178&gt;0,Input_voertuig!I$2,"")</f>
        <v/>
      </c>
      <c r="J179" s="542" t="str">
        <f>IF(Input_voertuigprijzen!AD178&gt;0,Input_voertuig!J$2,"")</f>
        <v/>
      </c>
      <c r="K179" s="542" t="str">
        <f>IF(Input_voertuigprijzen!AE178&gt;0,Input_voertuig!K$2,"")</f>
        <v/>
      </c>
      <c r="L179" s="542" t="str">
        <f>IF(Input_voertuigprijzen!AF178&gt;0,Input_voertuig!L$2,"")</f>
        <v/>
      </c>
      <c r="M179" s="542" t="str">
        <f>IF(Input_voertuigprijzen!AG178&gt;0,Input_voertuig!M$2,"")</f>
        <v/>
      </c>
      <c r="N179" s="542" t="str">
        <f>IF(Input_voertuigprijzen!AH178&gt;0,Input_voertuig!N$2,"")</f>
        <v/>
      </c>
      <c r="O179" s="542" t="str">
        <f>IF(Input_voertuigprijzen!AI178&gt;0,Input_voertuig!O$2,"")</f>
        <v/>
      </c>
      <c r="P179" s="542" t="str">
        <f>IF(Input_voertuigprijzen!AJ178&gt;0,Input_voertuig!P$2,"")</f>
        <v/>
      </c>
      <c r="Q179" s="542" t="str">
        <f>IF(Input_voertuigprijzen!AK178&gt;0,Input_voertuig!Q$2,"")</f>
        <v/>
      </c>
      <c r="R179" s="542" t="str">
        <f>IF(Input_voertuigprijzen!AL178&gt;0,Input_voertuig!R$2,"")</f>
        <v/>
      </c>
      <c r="S179" s="542">
        <f>IF(Input_voertuigprijzen!AM178&gt;0,Input_voertuig!S$2,"")</f>
        <v>2011</v>
      </c>
      <c r="T179" s="542">
        <f>IF(Input_voertuigprijzen!AN178&gt;0,Input_voertuig!T$2,"")</f>
        <v>2010</v>
      </c>
    </row>
    <row r="180" spans="1:20" x14ac:dyDescent="0.3">
      <c r="A180" s="489" t="s">
        <v>1426</v>
      </c>
      <c r="B180" s="489" t="s">
        <v>816</v>
      </c>
      <c r="C180" s="489" t="s">
        <v>816</v>
      </c>
      <c r="D180" s="489" t="s">
        <v>1936</v>
      </c>
      <c r="E180" s="489" t="s">
        <v>994</v>
      </c>
      <c r="F180" s="542" t="str">
        <f>IF(Input_voertuigprijzen!Z179&gt;0,Input_voertuig!F$2,"")</f>
        <v/>
      </c>
      <c r="G180" s="542" t="str">
        <f>IF(Input_voertuigprijzen!AA179&gt;0,Input_voertuig!G$2,"")</f>
        <v/>
      </c>
      <c r="H180" s="542" t="str">
        <f>IF(Input_voertuigprijzen!AB179&gt;0,Input_voertuig!H$2,"")</f>
        <v/>
      </c>
      <c r="I180" s="542" t="str">
        <f>IF(Input_voertuigprijzen!AC179&gt;0,Input_voertuig!I$2,"")</f>
        <v/>
      </c>
      <c r="J180" s="542" t="str">
        <f>IF(Input_voertuigprijzen!AD179&gt;0,Input_voertuig!J$2,"")</f>
        <v/>
      </c>
      <c r="K180" s="542">
        <f>IF(Input_voertuigprijzen!AE179&gt;0,Input_voertuig!K$2,"")</f>
        <v>2019</v>
      </c>
      <c r="L180" s="542">
        <f>IF(Input_voertuigprijzen!AF179&gt;0,Input_voertuig!L$2,"")</f>
        <v>2018</v>
      </c>
      <c r="M180" s="542">
        <f>IF(Input_voertuigprijzen!AG179&gt;0,Input_voertuig!M$2,"")</f>
        <v>2017</v>
      </c>
      <c r="N180" s="542">
        <f>IF(Input_voertuigprijzen!AH179&gt;0,Input_voertuig!N$2,"")</f>
        <v>2016</v>
      </c>
      <c r="O180" s="542">
        <f>IF(Input_voertuigprijzen!AI179&gt;0,Input_voertuig!O$2,"")</f>
        <v>2015</v>
      </c>
      <c r="P180" s="542" t="str">
        <f>IF(Input_voertuigprijzen!AJ179&gt;0,Input_voertuig!P$2,"")</f>
        <v/>
      </c>
      <c r="Q180" s="542" t="str">
        <f>IF(Input_voertuigprijzen!AK179&gt;0,Input_voertuig!Q$2,"")</f>
        <v/>
      </c>
      <c r="R180" s="542" t="str">
        <f>IF(Input_voertuigprijzen!AL179&gt;0,Input_voertuig!R$2,"")</f>
        <v/>
      </c>
      <c r="S180" s="542" t="str">
        <f>IF(Input_voertuigprijzen!AM179&gt;0,Input_voertuig!S$2,"")</f>
        <v/>
      </c>
      <c r="T180" s="542">
        <f>IF(Input_voertuigprijzen!AN179&gt;0,Input_voertuig!T$2,"")</f>
        <v>2010</v>
      </c>
    </row>
    <row r="181" spans="1:20" x14ac:dyDescent="0.3">
      <c r="A181" s="489" t="s">
        <v>1715</v>
      </c>
      <c r="B181" s="489" t="s">
        <v>1757</v>
      </c>
      <c r="C181" s="489" t="s">
        <v>1757</v>
      </c>
      <c r="D181" s="489" t="s">
        <v>141</v>
      </c>
      <c r="E181" s="489" t="s">
        <v>994</v>
      </c>
      <c r="F181" s="542">
        <f>IF(Input_voertuigprijzen!Z180&gt;0,Input_voertuig!F$2,"")</f>
        <v>2024</v>
      </c>
      <c r="G181" s="542">
        <f>IF(Input_voertuigprijzen!AA180&gt;0,Input_voertuig!G$2,"")</f>
        <v>2023</v>
      </c>
      <c r="H181" s="542">
        <f>IF(Input_voertuigprijzen!AB180&gt;0,Input_voertuig!H$2,"")</f>
        <v>2022</v>
      </c>
      <c r="I181" s="542" t="str">
        <f>IF(Input_voertuigprijzen!AC180&gt;0,Input_voertuig!I$2,"")</f>
        <v/>
      </c>
      <c r="J181" s="542" t="str">
        <f>IF(Input_voertuigprijzen!AD180&gt;0,Input_voertuig!J$2,"")</f>
        <v/>
      </c>
      <c r="K181" s="542" t="str">
        <f>IF(Input_voertuigprijzen!AE180&gt;0,Input_voertuig!K$2,"")</f>
        <v/>
      </c>
      <c r="L181" s="542" t="str">
        <f>IF(Input_voertuigprijzen!AF180&gt;0,Input_voertuig!L$2,"")</f>
        <v/>
      </c>
      <c r="M181" s="542" t="str">
        <f>IF(Input_voertuigprijzen!AG180&gt;0,Input_voertuig!M$2,"")</f>
        <v/>
      </c>
      <c r="N181" s="542" t="str">
        <f>IF(Input_voertuigprijzen!AH180&gt;0,Input_voertuig!N$2,"")</f>
        <v/>
      </c>
      <c r="O181" s="542" t="str">
        <f>IF(Input_voertuigprijzen!AI180&gt;0,Input_voertuig!O$2,"")</f>
        <v/>
      </c>
      <c r="P181" s="542" t="str">
        <f>IF(Input_voertuigprijzen!AJ180&gt;0,Input_voertuig!P$2,"")</f>
        <v/>
      </c>
      <c r="Q181" s="542" t="str">
        <f>IF(Input_voertuigprijzen!AK180&gt;0,Input_voertuig!Q$2,"")</f>
        <v/>
      </c>
      <c r="R181" s="542" t="str">
        <f>IF(Input_voertuigprijzen!AL180&gt;0,Input_voertuig!R$2,"")</f>
        <v/>
      </c>
      <c r="S181" s="542" t="str">
        <f>IF(Input_voertuigprijzen!AM180&gt;0,Input_voertuig!S$2,"")</f>
        <v/>
      </c>
      <c r="T181" s="542" t="str">
        <f>IF(Input_voertuigprijzen!AN180&gt;0,Input_voertuig!T$2,"")</f>
        <v/>
      </c>
    </row>
    <row r="182" spans="1:20" x14ac:dyDescent="0.3">
      <c r="A182" s="489" t="s">
        <v>1441</v>
      </c>
      <c r="B182" s="489" t="s">
        <v>1445</v>
      </c>
      <c r="C182" s="489" t="s">
        <v>346</v>
      </c>
      <c r="D182" s="489" t="s">
        <v>141</v>
      </c>
      <c r="E182" s="489" t="s">
        <v>994</v>
      </c>
      <c r="F182" s="542" t="str">
        <f>IF(Input_voertuigprijzen!Z181&gt;0,Input_voertuig!F$2,"")</f>
        <v/>
      </c>
      <c r="G182" s="542" t="str">
        <f>IF(Input_voertuigprijzen!AA181&gt;0,Input_voertuig!G$2,"")</f>
        <v/>
      </c>
      <c r="H182" s="542" t="str">
        <f>IF(Input_voertuigprijzen!AB181&gt;0,Input_voertuig!H$2,"")</f>
        <v/>
      </c>
      <c r="I182" s="542" t="str">
        <f>IF(Input_voertuigprijzen!AC181&gt;0,Input_voertuig!I$2,"")</f>
        <v/>
      </c>
      <c r="J182" s="542">
        <f>IF(Input_voertuigprijzen!AD181&gt;0,Input_voertuig!J$2,"")</f>
        <v>2020</v>
      </c>
      <c r="K182" s="542">
        <f>IF(Input_voertuigprijzen!AE181&gt;0,Input_voertuig!K$2,"")</f>
        <v>2019</v>
      </c>
      <c r="L182" s="542">
        <f>IF(Input_voertuigprijzen!AF181&gt;0,Input_voertuig!L$2,"")</f>
        <v>2018</v>
      </c>
      <c r="M182" s="542" t="str">
        <f>IF(Input_voertuigprijzen!AG181&gt;0,Input_voertuig!M$2,"")</f>
        <v/>
      </c>
      <c r="N182" s="542" t="str">
        <f>IF(Input_voertuigprijzen!AH181&gt;0,Input_voertuig!N$2,"")</f>
        <v/>
      </c>
      <c r="O182" s="542" t="str">
        <f>IF(Input_voertuigprijzen!AI181&gt;0,Input_voertuig!O$2,"")</f>
        <v/>
      </c>
      <c r="P182" s="542" t="str">
        <f>IF(Input_voertuigprijzen!AJ181&gt;0,Input_voertuig!P$2,"")</f>
        <v/>
      </c>
      <c r="Q182" s="542" t="str">
        <f>IF(Input_voertuigprijzen!AK181&gt;0,Input_voertuig!Q$2,"")</f>
        <v/>
      </c>
      <c r="R182" s="542" t="str">
        <f>IF(Input_voertuigprijzen!AL181&gt;0,Input_voertuig!R$2,"")</f>
        <v/>
      </c>
      <c r="S182" s="542" t="str">
        <f>IF(Input_voertuigprijzen!AM181&gt;0,Input_voertuig!S$2,"")</f>
        <v/>
      </c>
      <c r="T182" s="542" t="str">
        <f>IF(Input_voertuigprijzen!AN181&gt;0,Input_voertuig!T$2,"")</f>
        <v/>
      </c>
    </row>
    <row r="183" spans="1:20" x14ac:dyDescent="0.3">
      <c r="A183" s="489" t="s">
        <v>1426</v>
      </c>
      <c r="B183" s="489" t="s">
        <v>307</v>
      </c>
      <c r="C183" s="489" t="s">
        <v>307</v>
      </c>
      <c r="D183" s="489" t="s">
        <v>46</v>
      </c>
      <c r="E183" s="489" t="s">
        <v>994</v>
      </c>
      <c r="F183" s="542" t="str">
        <f>IF(Input_voertuigprijzen!Z182&gt;0,Input_voertuig!F$2,"")</f>
        <v/>
      </c>
      <c r="G183" s="542" t="str">
        <f>IF(Input_voertuigprijzen!AA182&gt;0,Input_voertuig!G$2,"")</f>
        <v/>
      </c>
      <c r="H183" s="542" t="str">
        <f>IF(Input_voertuigprijzen!AB182&gt;0,Input_voertuig!H$2,"")</f>
        <v/>
      </c>
      <c r="I183" s="542" t="str">
        <f>IF(Input_voertuigprijzen!AC182&gt;0,Input_voertuig!I$2,"")</f>
        <v/>
      </c>
      <c r="J183" s="542" t="str">
        <f>IF(Input_voertuigprijzen!AD182&gt;0,Input_voertuig!J$2,"")</f>
        <v/>
      </c>
      <c r="K183" s="542" t="str">
        <f>IF(Input_voertuigprijzen!AE182&gt;0,Input_voertuig!K$2,"")</f>
        <v/>
      </c>
      <c r="L183" s="542" t="str">
        <f>IF(Input_voertuigprijzen!AF182&gt;0,Input_voertuig!L$2,"")</f>
        <v/>
      </c>
      <c r="M183" s="542" t="str">
        <f>IF(Input_voertuigprijzen!AG182&gt;0,Input_voertuig!M$2,"")</f>
        <v/>
      </c>
      <c r="N183" s="542" t="str">
        <f>IF(Input_voertuigprijzen!AH182&gt;0,Input_voertuig!N$2,"")</f>
        <v/>
      </c>
      <c r="O183" s="542" t="str">
        <f>IF(Input_voertuigprijzen!AI182&gt;0,Input_voertuig!O$2,"")</f>
        <v/>
      </c>
      <c r="P183" s="542" t="str">
        <f>IF(Input_voertuigprijzen!AJ182&gt;0,Input_voertuig!P$2,"")</f>
        <v/>
      </c>
      <c r="Q183" s="542" t="str">
        <f>IF(Input_voertuigprijzen!AK182&gt;0,Input_voertuig!Q$2,"")</f>
        <v/>
      </c>
      <c r="R183" s="542">
        <f>IF(Input_voertuigprijzen!AL182&gt;0,Input_voertuig!R$2,"")</f>
        <v>2012</v>
      </c>
      <c r="S183" s="542" t="str">
        <f>IF(Input_voertuigprijzen!AM182&gt;0,Input_voertuig!S$2,"")</f>
        <v/>
      </c>
      <c r="T183" s="542">
        <f>IF(Input_voertuigprijzen!AN182&gt;0,Input_voertuig!T$2,"")</f>
        <v>2010</v>
      </c>
    </row>
    <row r="184" spans="1:20" x14ac:dyDescent="0.3">
      <c r="A184" s="489" t="s">
        <v>1426</v>
      </c>
      <c r="B184" s="489" t="s">
        <v>1758</v>
      </c>
      <c r="C184" s="489" t="s">
        <v>1758</v>
      </c>
      <c r="D184" s="489" t="s">
        <v>1929</v>
      </c>
      <c r="E184" s="489" t="s">
        <v>994</v>
      </c>
      <c r="F184" s="542">
        <f>IF(Input_voertuigprijzen!Z183&gt;0,Input_voertuig!F$2,"")</f>
        <v>2024</v>
      </c>
      <c r="G184" s="542">
        <f>IF(Input_voertuigprijzen!AA183&gt;0,Input_voertuig!G$2,"")</f>
        <v>2023</v>
      </c>
      <c r="H184" s="542">
        <f>IF(Input_voertuigprijzen!AB183&gt;0,Input_voertuig!H$2,"")</f>
        <v>2022</v>
      </c>
      <c r="I184" s="542">
        <f>IF(Input_voertuigprijzen!AC183&gt;0,Input_voertuig!I$2,"")</f>
        <v>2021</v>
      </c>
      <c r="J184" s="542">
        <f>IF(Input_voertuigprijzen!AD183&gt;0,Input_voertuig!J$2,"")</f>
        <v>2020</v>
      </c>
      <c r="K184" s="542">
        <f>IF(Input_voertuigprijzen!AE183&gt;0,Input_voertuig!K$2,"")</f>
        <v>2019</v>
      </c>
      <c r="L184" s="542">
        <f>IF(Input_voertuigprijzen!AF183&gt;0,Input_voertuig!L$2,"")</f>
        <v>2018</v>
      </c>
      <c r="M184" s="542">
        <f>IF(Input_voertuigprijzen!AG183&gt;0,Input_voertuig!M$2,"")</f>
        <v>2017</v>
      </c>
      <c r="N184" s="542" t="str">
        <f>IF(Input_voertuigprijzen!AH183&gt;0,Input_voertuig!N$2,"")</f>
        <v/>
      </c>
      <c r="O184" s="542" t="str">
        <f>IF(Input_voertuigprijzen!AI183&gt;0,Input_voertuig!O$2,"")</f>
        <v/>
      </c>
      <c r="P184" s="542" t="str">
        <f>IF(Input_voertuigprijzen!AJ183&gt;0,Input_voertuig!P$2,"")</f>
        <v/>
      </c>
      <c r="Q184" s="542" t="str">
        <f>IF(Input_voertuigprijzen!AK183&gt;0,Input_voertuig!Q$2,"")</f>
        <v/>
      </c>
      <c r="R184" s="542" t="str">
        <f>IF(Input_voertuigprijzen!AL183&gt;0,Input_voertuig!R$2,"")</f>
        <v/>
      </c>
      <c r="S184" s="542" t="str">
        <f>IF(Input_voertuigprijzen!AM183&gt;0,Input_voertuig!S$2,"")</f>
        <v/>
      </c>
      <c r="T184" s="542" t="str">
        <f>IF(Input_voertuigprijzen!AN183&gt;0,Input_voertuig!T$2,"")</f>
        <v/>
      </c>
    </row>
    <row r="185" spans="1:20" x14ac:dyDescent="0.3">
      <c r="A185" s="489" t="s">
        <v>1426</v>
      </c>
      <c r="B185" s="489" t="s">
        <v>1440</v>
      </c>
      <c r="C185" s="489" t="s">
        <v>1440</v>
      </c>
      <c r="D185" s="489" t="s">
        <v>1936</v>
      </c>
      <c r="E185" s="489" t="s">
        <v>994</v>
      </c>
      <c r="F185" s="542">
        <f>IF(Input_voertuigprijzen!Z184&gt;0,Input_voertuig!F$2,"")</f>
        <v>2024</v>
      </c>
      <c r="G185" s="542" t="str">
        <f>IF(Input_voertuigprijzen!AA184&gt;0,Input_voertuig!G$2,"")</f>
        <v/>
      </c>
      <c r="H185" s="542" t="str">
        <f>IF(Input_voertuigprijzen!AB184&gt;0,Input_voertuig!H$2,"")</f>
        <v/>
      </c>
      <c r="I185" s="542" t="str">
        <f>IF(Input_voertuigprijzen!AC184&gt;0,Input_voertuig!I$2,"")</f>
        <v/>
      </c>
      <c r="J185" s="542">
        <f>IF(Input_voertuigprijzen!AD184&gt;0,Input_voertuig!J$2,"")</f>
        <v>2020</v>
      </c>
      <c r="K185" s="542">
        <f>IF(Input_voertuigprijzen!AE184&gt;0,Input_voertuig!K$2,"")</f>
        <v>2019</v>
      </c>
      <c r="L185" s="542">
        <f>IF(Input_voertuigprijzen!AF184&gt;0,Input_voertuig!L$2,"")</f>
        <v>2018</v>
      </c>
      <c r="M185" s="542">
        <f>IF(Input_voertuigprijzen!AG184&gt;0,Input_voertuig!M$2,"")</f>
        <v>2017</v>
      </c>
      <c r="N185" s="542">
        <f>IF(Input_voertuigprijzen!AH184&gt;0,Input_voertuig!N$2,"")</f>
        <v>2016</v>
      </c>
      <c r="O185" s="542">
        <f>IF(Input_voertuigprijzen!AI184&gt;0,Input_voertuig!O$2,"")</f>
        <v>2015</v>
      </c>
      <c r="P185" s="542" t="str">
        <f>IF(Input_voertuigprijzen!AJ184&gt;0,Input_voertuig!P$2,"")</f>
        <v/>
      </c>
      <c r="Q185" s="542" t="str">
        <f>IF(Input_voertuigprijzen!AK184&gt;0,Input_voertuig!Q$2,"")</f>
        <v/>
      </c>
      <c r="R185" s="542" t="str">
        <f>IF(Input_voertuigprijzen!AL184&gt;0,Input_voertuig!R$2,"")</f>
        <v/>
      </c>
      <c r="S185" s="542" t="str">
        <f>IF(Input_voertuigprijzen!AM184&gt;0,Input_voertuig!S$2,"")</f>
        <v/>
      </c>
      <c r="T185" s="542" t="str">
        <f>IF(Input_voertuigprijzen!AN184&gt;0,Input_voertuig!T$2,"")</f>
        <v/>
      </c>
    </row>
    <row r="186" spans="1:20" x14ac:dyDescent="0.3">
      <c r="A186" s="489" t="s">
        <v>1441</v>
      </c>
      <c r="B186" s="489" t="s">
        <v>1444</v>
      </c>
      <c r="C186" s="489" t="s">
        <v>870</v>
      </c>
      <c r="D186" s="489" t="s">
        <v>1936</v>
      </c>
      <c r="E186" s="489" t="s">
        <v>994</v>
      </c>
      <c r="F186" s="542">
        <f>IF(Input_voertuigprijzen!Z185&gt;0,Input_voertuig!F$2,"")</f>
        <v>2024</v>
      </c>
      <c r="G186" s="542">
        <f>IF(Input_voertuigprijzen!AA185&gt;0,Input_voertuig!G$2,"")</f>
        <v>2023</v>
      </c>
      <c r="H186" s="542" t="str">
        <f>IF(Input_voertuigprijzen!AB185&gt;0,Input_voertuig!H$2,"")</f>
        <v/>
      </c>
      <c r="I186" s="542" t="str">
        <f>IF(Input_voertuigprijzen!AC185&gt;0,Input_voertuig!I$2,"")</f>
        <v/>
      </c>
      <c r="J186" s="542" t="str">
        <f>IF(Input_voertuigprijzen!AD185&gt;0,Input_voertuig!J$2,"")</f>
        <v/>
      </c>
      <c r="K186" s="542" t="str">
        <f>IF(Input_voertuigprijzen!AE185&gt;0,Input_voertuig!K$2,"")</f>
        <v/>
      </c>
      <c r="L186" s="542" t="str">
        <f>IF(Input_voertuigprijzen!AF185&gt;0,Input_voertuig!L$2,"")</f>
        <v/>
      </c>
      <c r="M186" s="542" t="str">
        <f>IF(Input_voertuigprijzen!AG185&gt;0,Input_voertuig!M$2,"")</f>
        <v/>
      </c>
      <c r="N186" s="542">
        <f>IF(Input_voertuigprijzen!AH185&gt;0,Input_voertuig!N$2,"")</f>
        <v>2016</v>
      </c>
      <c r="O186" s="542">
        <f>IF(Input_voertuigprijzen!AI185&gt;0,Input_voertuig!O$2,"")</f>
        <v>2015</v>
      </c>
      <c r="P186" s="542" t="str">
        <f>IF(Input_voertuigprijzen!AJ185&gt;0,Input_voertuig!P$2,"")</f>
        <v/>
      </c>
      <c r="Q186" s="542" t="str">
        <f>IF(Input_voertuigprijzen!AK185&gt;0,Input_voertuig!Q$2,"")</f>
        <v/>
      </c>
      <c r="R186" s="542" t="str">
        <f>IF(Input_voertuigprijzen!AL185&gt;0,Input_voertuig!R$2,"")</f>
        <v/>
      </c>
      <c r="S186" s="542" t="str">
        <f>IF(Input_voertuigprijzen!AM185&gt;0,Input_voertuig!S$2,"")</f>
        <v/>
      </c>
      <c r="T186" s="542" t="str">
        <f>IF(Input_voertuigprijzen!AN185&gt;0,Input_voertuig!T$2,"")</f>
        <v/>
      </c>
    </row>
    <row r="187" spans="1:20" x14ac:dyDescent="0.3">
      <c r="A187" s="489" t="s">
        <v>1694</v>
      </c>
      <c r="B187" s="489" t="s">
        <v>1759</v>
      </c>
      <c r="C187" s="489" t="s">
        <v>1882</v>
      </c>
      <c r="D187" s="489" t="s">
        <v>141</v>
      </c>
      <c r="E187" s="489" t="s">
        <v>994</v>
      </c>
      <c r="F187" s="542" t="str">
        <f>IF(Input_voertuigprijzen!Z186&gt;0,Input_voertuig!F$2,"")</f>
        <v/>
      </c>
      <c r="G187" s="542">
        <f>IF(Input_voertuigprijzen!AA186&gt;0,Input_voertuig!G$2,"")</f>
        <v>2023</v>
      </c>
      <c r="H187" s="542">
        <f>IF(Input_voertuigprijzen!AB186&gt;0,Input_voertuig!H$2,"")</f>
        <v>2022</v>
      </c>
      <c r="I187" s="542">
        <f>IF(Input_voertuigprijzen!AC186&gt;0,Input_voertuig!I$2,"")</f>
        <v>2021</v>
      </c>
      <c r="J187" s="542" t="str">
        <f>IF(Input_voertuigprijzen!AD186&gt;0,Input_voertuig!J$2,"")</f>
        <v/>
      </c>
      <c r="K187" s="542" t="str">
        <f>IF(Input_voertuigprijzen!AE186&gt;0,Input_voertuig!K$2,"")</f>
        <v/>
      </c>
      <c r="L187" s="542" t="str">
        <f>IF(Input_voertuigprijzen!AF186&gt;0,Input_voertuig!L$2,"")</f>
        <v/>
      </c>
      <c r="M187" s="542" t="str">
        <f>IF(Input_voertuigprijzen!AG186&gt;0,Input_voertuig!M$2,"")</f>
        <v/>
      </c>
      <c r="N187" s="542" t="str">
        <f>IF(Input_voertuigprijzen!AH186&gt;0,Input_voertuig!N$2,"")</f>
        <v/>
      </c>
      <c r="O187" s="542" t="str">
        <f>IF(Input_voertuigprijzen!AI186&gt;0,Input_voertuig!O$2,"")</f>
        <v/>
      </c>
      <c r="P187" s="542" t="str">
        <f>IF(Input_voertuigprijzen!AJ186&gt;0,Input_voertuig!P$2,"")</f>
        <v/>
      </c>
      <c r="Q187" s="542" t="str">
        <f>IF(Input_voertuigprijzen!AK186&gt;0,Input_voertuig!Q$2,"")</f>
        <v/>
      </c>
      <c r="R187" s="542" t="str">
        <f>IF(Input_voertuigprijzen!AL186&gt;0,Input_voertuig!R$2,"")</f>
        <v/>
      </c>
      <c r="S187" s="542" t="str">
        <f>IF(Input_voertuigprijzen!AM186&gt;0,Input_voertuig!S$2,"")</f>
        <v/>
      </c>
      <c r="T187" s="542" t="str">
        <f>IF(Input_voertuigprijzen!AN186&gt;0,Input_voertuig!T$2,"")</f>
        <v/>
      </c>
    </row>
    <row r="188" spans="1:20" x14ac:dyDescent="0.3">
      <c r="A188" s="489" t="s">
        <v>1454</v>
      </c>
      <c r="B188" s="489" t="s">
        <v>1760</v>
      </c>
      <c r="C188" s="489" t="s">
        <v>1883</v>
      </c>
      <c r="D188" s="489" t="s">
        <v>46</v>
      </c>
      <c r="E188" s="489" t="s">
        <v>994</v>
      </c>
      <c r="F188" s="542" t="str">
        <f>IF(Input_voertuigprijzen!Z187&gt;0,Input_voertuig!F$2,"")</f>
        <v/>
      </c>
      <c r="G188" s="542" t="str">
        <f>IF(Input_voertuigprijzen!AA187&gt;0,Input_voertuig!G$2,"")</f>
        <v/>
      </c>
      <c r="H188" s="542" t="str">
        <f>IF(Input_voertuigprijzen!AB187&gt;0,Input_voertuig!H$2,"")</f>
        <v/>
      </c>
      <c r="I188" s="542" t="str">
        <f>IF(Input_voertuigprijzen!AC187&gt;0,Input_voertuig!I$2,"")</f>
        <v/>
      </c>
      <c r="J188" s="542" t="str">
        <f>IF(Input_voertuigprijzen!AD187&gt;0,Input_voertuig!J$2,"")</f>
        <v/>
      </c>
      <c r="K188" s="542">
        <f>IF(Input_voertuigprijzen!AE187&gt;0,Input_voertuig!K$2,"")</f>
        <v>2019</v>
      </c>
      <c r="L188" s="542" t="str">
        <f>IF(Input_voertuigprijzen!AF187&gt;0,Input_voertuig!L$2,"")</f>
        <v/>
      </c>
      <c r="M188" s="542">
        <f>IF(Input_voertuigprijzen!AG187&gt;0,Input_voertuig!M$2,"")</f>
        <v>2017</v>
      </c>
      <c r="N188" s="542" t="str">
        <f>IF(Input_voertuigprijzen!AH187&gt;0,Input_voertuig!N$2,"")</f>
        <v/>
      </c>
      <c r="O188" s="542">
        <f>IF(Input_voertuigprijzen!AI187&gt;0,Input_voertuig!O$2,"")</f>
        <v>2015</v>
      </c>
      <c r="P188" s="542">
        <f>IF(Input_voertuigprijzen!AJ187&gt;0,Input_voertuig!P$2,"")</f>
        <v>2014</v>
      </c>
      <c r="Q188" s="542">
        <f>IF(Input_voertuigprijzen!AK187&gt;0,Input_voertuig!Q$2,"")</f>
        <v>2013</v>
      </c>
      <c r="R188" s="542">
        <f>IF(Input_voertuigprijzen!AL187&gt;0,Input_voertuig!R$2,"")</f>
        <v>2012</v>
      </c>
      <c r="S188" s="542" t="str">
        <f>IF(Input_voertuigprijzen!AM187&gt;0,Input_voertuig!S$2,"")</f>
        <v/>
      </c>
      <c r="T188" s="542">
        <f>IF(Input_voertuigprijzen!AN187&gt;0,Input_voertuig!T$2,"")</f>
        <v>2010</v>
      </c>
    </row>
    <row r="189" spans="1:20" x14ac:dyDescent="0.3">
      <c r="A189" s="489" t="s">
        <v>1441</v>
      </c>
      <c r="B189" s="489" t="s">
        <v>1445</v>
      </c>
      <c r="C189" s="489" t="s">
        <v>346</v>
      </c>
      <c r="D189" s="489" t="s">
        <v>45</v>
      </c>
      <c r="E189" s="489" t="s">
        <v>994</v>
      </c>
      <c r="F189" s="542">
        <f>IF(Input_voertuigprijzen!Z188&gt;0,Input_voertuig!F$2,"")</f>
        <v>2024</v>
      </c>
      <c r="G189" s="542">
        <f>IF(Input_voertuigprijzen!AA188&gt;0,Input_voertuig!G$2,"")</f>
        <v>2023</v>
      </c>
      <c r="H189" s="542">
        <f>IF(Input_voertuigprijzen!AB188&gt;0,Input_voertuig!H$2,"")</f>
        <v>2022</v>
      </c>
      <c r="I189" s="542" t="str">
        <f>IF(Input_voertuigprijzen!AC188&gt;0,Input_voertuig!I$2,"")</f>
        <v/>
      </c>
      <c r="J189" s="542">
        <f>IF(Input_voertuigprijzen!AD188&gt;0,Input_voertuig!J$2,"")</f>
        <v>2020</v>
      </c>
      <c r="K189" s="542">
        <f>IF(Input_voertuigprijzen!AE188&gt;0,Input_voertuig!K$2,"")</f>
        <v>2019</v>
      </c>
      <c r="L189" s="542">
        <f>IF(Input_voertuigprijzen!AF188&gt;0,Input_voertuig!L$2,"")</f>
        <v>2018</v>
      </c>
      <c r="M189" s="542">
        <f>IF(Input_voertuigprijzen!AG188&gt;0,Input_voertuig!M$2,"")</f>
        <v>2017</v>
      </c>
      <c r="N189" s="542" t="str">
        <f>IF(Input_voertuigprijzen!AH188&gt;0,Input_voertuig!N$2,"")</f>
        <v/>
      </c>
      <c r="O189" s="542" t="str">
        <f>IF(Input_voertuigprijzen!AI188&gt;0,Input_voertuig!O$2,"")</f>
        <v/>
      </c>
      <c r="P189" s="542">
        <f>IF(Input_voertuigprijzen!AJ188&gt;0,Input_voertuig!P$2,"")</f>
        <v>2014</v>
      </c>
      <c r="Q189" s="542">
        <f>IF(Input_voertuigprijzen!AK188&gt;0,Input_voertuig!Q$2,"")</f>
        <v>2013</v>
      </c>
      <c r="R189" s="542">
        <f>IF(Input_voertuigprijzen!AL188&gt;0,Input_voertuig!R$2,"")</f>
        <v>2012</v>
      </c>
      <c r="S189" s="542" t="str">
        <f>IF(Input_voertuigprijzen!AM188&gt;0,Input_voertuig!S$2,"")</f>
        <v/>
      </c>
      <c r="T189" s="542">
        <f>IF(Input_voertuigprijzen!AN188&gt;0,Input_voertuig!T$2,"")</f>
        <v>2010</v>
      </c>
    </row>
    <row r="190" spans="1:20" x14ac:dyDescent="0.3">
      <c r="A190" s="489" t="s">
        <v>1432</v>
      </c>
      <c r="B190" s="489" t="s">
        <v>1761</v>
      </c>
      <c r="C190" s="489" t="s">
        <v>1884</v>
      </c>
      <c r="D190" s="489" t="s">
        <v>141</v>
      </c>
      <c r="E190" s="489" t="s">
        <v>1960</v>
      </c>
      <c r="F190" s="542" t="str">
        <f>IF(Input_voertuigprijzen!Z189&gt;0,Input_voertuig!F$2,"")</f>
        <v/>
      </c>
      <c r="G190" s="542">
        <f>IF(Input_voertuigprijzen!AA189&gt;0,Input_voertuig!G$2,"")</f>
        <v>2023</v>
      </c>
      <c r="H190" s="542">
        <f>IF(Input_voertuigprijzen!AB189&gt;0,Input_voertuig!H$2,"")</f>
        <v>2022</v>
      </c>
      <c r="I190" s="542">
        <f>IF(Input_voertuigprijzen!AC189&gt;0,Input_voertuig!I$2,"")</f>
        <v>2021</v>
      </c>
      <c r="J190" s="542" t="str">
        <f>IF(Input_voertuigprijzen!AD189&gt;0,Input_voertuig!J$2,"")</f>
        <v/>
      </c>
      <c r="K190" s="542" t="str">
        <f>IF(Input_voertuigprijzen!AE189&gt;0,Input_voertuig!K$2,"")</f>
        <v/>
      </c>
      <c r="L190" s="542" t="str">
        <f>IF(Input_voertuigprijzen!AF189&gt;0,Input_voertuig!L$2,"")</f>
        <v/>
      </c>
      <c r="M190" s="542" t="str">
        <f>IF(Input_voertuigprijzen!AG189&gt;0,Input_voertuig!M$2,"")</f>
        <v/>
      </c>
      <c r="N190" s="542" t="str">
        <f>IF(Input_voertuigprijzen!AH189&gt;0,Input_voertuig!N$2,"")</f>
        <v/>
      </c>
      <c r="O190" s="542" t="str">
        <f>IF(Input_voertuigprijzen!AI189&gt;0,Input_voertuig!O$2,"")</f>
        <v/>
      </c>
      <c r="P190" s="542" t="str">
        <f>IF(Input_voertuigprijzen!AJ189&gt;0,Input_voertuig!P$2,"")</f>
        <v/>
      </c>
      <c r="Q190" s="542" t="str">
        <f>IF(Input_voertuigprijzen!AK189&gt;0,Input_voertuig!Q$2,"")</f>
        <v/>
      </c>
      <c r="R190" s="542" t="str">
        <f>IF(Input_voertuigprijzen!AL189&gt;0,Input_voertuig!R$2,"")</f>
        <v/>
      </c>
      <c r="S190" s="542" t="str">
        <f>IF(Input_voertuigprijzen!AM189&gt;0,Input_voertuig!S$2,"")</f>
        <v/>
      </c>
      <c r="T190" s="542" t="str">
        <f>IF(Input_voertuigprijzen!AN189&gt;0,Input_voertuig!T$2,"")</f>
        <v/>
      </c>
    </row>
    <row r="191" spans="1:20" x14ac:dyDescent="0.3">
      <c r="A191" s="489" t="s">
        <v>1414</v>
      </c>
      <c r="B191" s="489" t="s">
        <v>1762</v>
      </c>
      <c r="C191" s="489" t="s">
        <v>1885</v>
      </c>
      <c r="D191" s="489" t="s">
        <v>46</v>
      </c>
      <c r="E191" s="489" t="s">
        <v>994</v>
      </c>
      <c r="F191" s="542" t="str">
        <f>IF(Input_voertuigprijzen!Z190&gt;0,Input_voertuig!F$2,"")</f>
        <v/>
      </c>
      <c r="G191" s="542" t="str">
        <f>IF(Input_voertuigprijzen!AA190&gt;0,Input_voertuig!G$2,"")</f>
        <v/>
      </c>
      <c r="H191" s="542" t="str">
        <f>IF(Input_voertuigprijzen!AB190&gt;0,Input_voertuig!H$2,"")</f>
        <v/>
      </c>
      <c r="I191" s="542" t="str">
        <f>IF(Input_voertuigprijzen!AC190&gt;0,Input_voertuig!I$2,"")</f>
        <v/>
      </c>
      <c r="J191" s="542" t="str">
        <f>IF(Input_voertuigprijzen!AD190&gt;0,Input_voertuig!J$2,"")</f>
        <v/>
      </c>
      <c r="K191" s="542">
        <f>IF(Input_voertuigprijzen!AE190&gt;0,Input_voertuig!K$2,"")</f>
        <v>2019</v>
      </c>
      <c r="L191" s="542">
        <f>IF(Input_voertuigprijzen!AF190&gt;0,Input_voertuig!L$2,"")</f>
        <v>2018</v>
      </c>
      <c r="M191" s="542">
        <f>IF(Input_voertuigprijzen!AG190&gt;0,Input_voertuig!M$2,"")</f>
        <v>2017</v>
      </c>
      <c r="N191" s="542">
        <f>IF(Input_voertuigprijzen!AH190&gt;0,Input_voertuig!N$2,"")</f>
        <v>2016</v>
      </c>
      <c r="O191" s="542">
        <f>IF(Input_voertuigprijzen!AI190&gt;0,Input_voertuig!O$2,"")</f>
        <v>2015</v>
      </c>
      <c r="P191" s="542">
        <f>IF(Input_voertuigprijzen!AJ190&gt;0,Input_voertuig!P$2,"")</f>
        <v>2014</v>
      </c>
      <c r="Q191" s="542">
        <f>IF(Input_voertuigprijzen!AK190&gt;0,Input_voertuig!Q$2,"")</f>
        <v>2013</v>
      </c>
      <c r="R191" s="542" t="str">
        <f>IF(Input_voertuigprijzen!AL190&gt;0,Input_voertuig!R$2,"")</f>
        <v/>
      </c>
      <c r="S191" s="542" t="str">
        <f>IF(Input_voertuigprijzen!AM190&gt;0,Input_voertuig!S$2,"")</f>
        <v/>
      </c>
      <c r="T191" s="542" t="str">
        <f>IF(Input_voertuigprijzen!AN190&gt;0,Input_voertuig!T$2,"")</f>
        <v/>
      </c>
    </row>
    <row r="192" spans="1:20" x14ac:dyDescent="0.3">
      <c r="A192" s="489" t="s">
        <v>1544</v>
      </c>
      <c r="B192" s="489" t="s">
        <v>1763</v>
      </c>
      <c r="C192" s="489" t="s">
        <v>1886</v>
      </c>
      <c r="D192" s="489" t="s">
        <v>46</v>
      </c>
      <c r="E192" s="489" t="s">
        <v>994</v>
      </c>
      <c r="F192" s="542" t="str">
        <f>IF(Input_voertuigprijzen!Z191&gt;0,Input_voertuig!F$2,"")</f>
        <v/>
      </c>
      <c r="G192" s="542">
        <f>IF(Input_voertuigprijzen!AA191&gt;0,Input_voertuig!G$2,"")</f>
        <v>2023</v>
      </c>
      <c r="H192" s="542" t="str">
        <f>IF(Input_voertuigprijzen!AB191&gt;0,Input_voertuig!H$2,"")</f>
        <v/>
      </c>
      <c r="I192" s="542">
        <f>IF(Input_voertuigprijzen!AC191&gt;0,Input_voertuig!I$2,"")</f>
        <v>2021</v>
      </c>
      <c r="J192" s="542" t="str">
        <f>IF(Input_voertuigprijzen!AD191&gt;0,Input_voertuig!J$2,"")</f>
        <v/>
      </c>
      <c r="K192" s="542">
        <f>IF(Input_voertuigprijzen!AE191&gt;0,Input_voertuig!K$2,"")</f>
        <v>2019</v>
      </c>
      <c r="L192" s="542">
        <f>IF(Input_voertuigprijzen!AF191&gt;0,Input_voertuig!L$2,"")</f>
        <v>2018</v>
      </c>
      <c r="M192" s="542">
        <f>IF(Input_voertuigprijzen!AG191&gt;0,Input_voertuig!M$2,"")</f>
        <v>2017</v>
      </c>
      <c r="N192" s="542">
        <f>IF(Input_voertuigprijzen!AH191&gt;0,Input_voertuig!N$2,"")</f>
        <v>2016</v>
      </c>
      <c r="O192" s="542" t="str">
        <f>IF(Input_voertuigprijzen!AI191&gt;0,Input_voertuig!O$2,"")</f>
        <v/>
      </c>
      <c r="P192" s="542" t="str">
        <f>IF(Input_voertuigprijzen!AJ191&gt;0,Input_voertuig!P$2,"")</f>
        <v/>
      </c>
      <c r="Q192" s="542">
        <f>IF(Input_voertuigprijzen!AK191&gt;0,Input_voertuig!Q$2,"")</f>
        <v>2013</v>
      </c>
      <c r="R192" s="542" t="str">
        <f>IF(Input_voertuigprijzen!AL191&gt;0,Input_voertuig!R$2,"")</f>
        <v/>
      </c>
      <c r="S192" s="542" t="str">
        <f>IF(Input_voertuigprijzen!AM191&gt;0,Input_voertuig!S$2,"")</f>
        <v/>
      </c>
      <c r="T192" s="542" t="str">
        <f>IF(Input_voertuigprijzen!AN191&gt;0,Input_voertuig!T$2,"")</f>
        <v/>
      </c>
    </row>
    <row r="193" spans="1:20" x14ac:dyDescent="0.3">
      <c r="A193" s="489" t="s">
        <v>1441</v>
      </c>
      <c r="B193" s="489" t="s">
        <v>1764</v>
      </c>
      <c r="C193" s="489" t="s">
        <v>1887</v>
      </c>
      <c r="D193" s="489" t="s">
        <v>46</v>
      </c>
      <c r="E193" s="489" t="s">
        <v>994</v>
      </c>
      <c r="F193" s="542">
        <f>IF(Input_voertuigprijzen!Z192&gt;0,Input_voertuig!F$2,"")</f>
        <v>2024</v>
      </c>
      <c r="G193" s="542">
        <f>IF(Input_voertuigprijzen!AA192&gt;0,Input_voertuig!G$2,"")</f>
        <v>2023</v>
      </c>
      <c r="H193" s="542">
        <f>IF(Input_voertuigprijzen!AB192&gt;0,Input_voertuig!H$2,"")</f>
        <v>2022</v>
      </c>
      <c r="I193" s="542" t="str">
        <f>IF(Input_voertuigprijzen!AC192&gt;0,Input_voertuig!I$2,"")</f>
        <v/>
      </c>
      <c r="J193" s="542" t="str">
        <f>IF(Input_voertuigprijzen!AD192&gt;0,Input_voertuig!J$2,"")</f>
        <v/>
      </c>
      <c r="K193" s="542">
        <f>IF(Input_voertuigprijzen!AE192&gt;0,Input_voertuig!K$2,"")</f>
        <v>2019</v>
      </c>
      <c r="L193" s="542">
        <f>IF(Input_voertuigprijzen!AF192&gt;0,Input_voertuig!L$2,"")</f>
        <v>2018</v>
      </c>
      <c r="M193" s="542">
        <f>IF(Input_voertuigprijzen!AG192&gt;0,Input_voertuig!M$2,"")</f>
        <v>2017</v>
      </c>
      <c r="N193" s="542" t="str">
        <f>IF(Input_voertuigprijzen!AH192&gt;0,Input_voertuig!N$2,"")</f>
        <v/>
      </c>
      <c r="O193" s="542" t="str">
        <f>IF(Input_voertuigprijzen!AI192&gt;0,Input_voertuig!O$2,"")</f>
        <v/>
      </c>
      <c r="P193" s="542" t="str">
        <f>IF(Input_voertuigprijzen!AJ192&gt;0,Input_voertuig!P$2,"")</f>
        <v/>
      </c>
      <c r="Q193" s="542" t="str">
        <f>IF(Input_voertuigprijzen!AK192&gt;0,Input_voertuig!Q$2,"")</f>
        <v/>
      </c>
      <c r="R193" s="542" t="str">
        <f>IF(Input_voertuigprijzen!AL192&gt;0,Input_voertuig!R$2,"")</f>
        <v/>
      </c>
      <c r="S193" s="542" t="str">
        <f>IF(Input_voertuigprijzen!AM192&gt;0,Input_voertuig!S$2,"")</f>
        <v/>
      </c>
      <c r="T193" s="542" t="str">
        <f>IF(Input_voertuigprijzen!AN192&gt;0,Input_voertuig!T$2,"")</f>
        <v/>
      </c>
    </row>
    <row r="194" spans="1:20" x14ac:dyDescent="0.3">
      <c r="A194" s="489" t="s">
        <v>1414</v>
      </c>
      <c r="B194" s="489" t="s">
        <v>1765</v>
      </c>
      <c r="C194" s="489" t="s">
        <v>1888</v>
      </c>
      <c r="D194" s="489" t="s">
        <v>141</v>
      </c>
      <c r="E194" s="489" t="s">
        <v>994</v>
      </c>
      <c r="F194" s="542">
        <f>IF(Input_voertuigprijzen!Z193&gt;0,Input_voertuig!F$2,"")</f>
        <v>2024</v>
      </c>
      <c r="G194" s="542">
        <f>IF(Input_voertuigprijzen!AA193&gt;0,Input_voertuig!G$2,"")</f>
        <v>2023</v>
      </c>
      <c r="H194" s="542">
        <f>IF(Input_voertuigprijzen!AB193&gt;0,Input_voertuig!H$2,"")</f>
        <v>2022</v>
      </c>
      <c r="I194" s="542">
        <f>IF(Input_voertuigprijzen!AC193&gt;0,Input_voertuig!I$2,"")</f>
        <v>2021</v>
      </c>
      <c r="J194" s="542">
        <f>IF(Input_voertuigprijzen!AD193&gt;0,Input_voertuig!J$2,"")</f>
        <v>2020</v>
      </c>
      <c r="K194" s="542">
        <f>IF(Input_voertuigprijzen!AE193&gt;0,Input_voertuig!K$2,"")</f>
        <v>2019</v>
      </c>
      <c r="L194" s="542" t="str">
        <f>IF(Input_voertuigprijzen!AF193&gt;0,Input_voertuig!L$2,"")</f>
        <v/>
      </c>
      <c r="M194" s="542" t="str">
        <f>IF(Input_voertuigprijzen!AG193&gt;0,Input_voertuig!M$2,"")</f>
        <v/>
      </c>
      <c r="N194" s="542" t="str">
        <f>IF(Input_voertuigprijzen!AH193&gt;0,Input_voertuig!N$2,"")</f>
        <v/>
      </c>
      <c r="O194" s="542" t="str">
        <f>IF(Input_voertuigprijzen!AI193&gt;0,Input_voertuig!O$2,"")</f>
        <v/>
      </c>
      <c r="P194" s="542" t="str">
        <f>IF(Input_voertuigprijzen!AJ193&gt;0,Input_voertuig!P$2,"")</f>
        <v/>
      </c>
      <c r="Q194" s="542" t="str">
        <f>IF(Input_voertuigprijzen!AK193&gt;0,Input_voertuig!Q$2,"")</f>
        <v/>
      </c>
      <c r="R194" s="542" t="str">
        <f>IF(Input_voertuigprijzen!AL193&gt;0,Input_voertuig!R$2,"")</f>
        <v/>
      </c>
      <c r="S194" s="542" t="str">
        <f>IF(Input_voertuigprijzen!AM193&gt;0,Input_voertuig!S$2,"")</f>
        <v/>
      </c>
      <c r="T194" s="542" t="str">
        <f>IF(Input_voertuigprijzen!AN193&gt;0,Input_voertuig!T$2,"")</f>
        <v/>
      </c>
    </row>
    <row r="195" spans="1:20" x14ac:dyDescent="0.3">
      <c r="A195" s="489" t="s">
        <v>1414</v>
      </c>
      <c r="B195" s="489" t="s">
        <v>1766</v>
      </c>
      <c r="C195" s="489" t="s">
        <v>1889</v>
      </c>
      <c r="D195" s="489" t="s">
        <v>141</v>
      </c>
      <c r="E195" s="489" t="s">
        <v>994</v>
      </c>
      <c r="F195" s="542">
        <f>IF(Input_voertuigprijzen!Z194&gt;0,Input_voertuig!F$2,"")</f>
        <v>2024</v>
      </c>
      <c r="G195" s="542">
        <f>IF(Input_voertuigprijzen!AA194&gt;0,Input_voertuig!G$2,"")</f>
        <v>2023</v>
      </c>
      <c r="H195" s="542">
        <f>IF(Input_voertuigprijzen!AB194&gt;0,Input_voertuig!H$2,"")</f>
        <v>2022</v>
      </c>
      <c r="I195" s="542" t="str">
        <f>IF(Input_voertuigprijzen!AC194&gt;0,Input_voertuig!I$2,"")</f>
        <v/>
      </c>
      <c r="J195" s="542" t="str">
        <f>IF(Input_voertuigprijzen!AD194&gt;0,Input_voertuig!J$2,"")</f>
        <v/>
      </c>
      <c r="K195" s="542" t="str">
        <f>IF(Input_voertuigprijzen!AE194&gt;0,Input_voertuig!K$2,"")</f>
        <v/>
      </c>
      <c r="L195" s="542" t="str">
        <f>IF(Input_voertuigprijzen!AF194&gt;0,Input_voertuig!L$2,"")</f>
        <v/>
      </c>
      <c r="M195" s="542" t="str">
        <f>IF(Input_voertuigprijzen!AG194&gt;0,Input_voertuig!M$2,"")</f>
        <v/>
      </c>
      <c r="N195" s="542" t="str">
        <f>IF(Input_voertuigprijzen!AH194&gt;0,Input_voertuig!N$2,"")</f>
        <v/>
      </c>
      <c r="O195" s="542" t="str">
        <f>IF(Input_voertuigprijzen!AI194&gt;0,Input_voertuig!O$2,"")</f>
        <v/>
      </c>
      <c r="P195" s="542" t="str">
        <f>IF(Input_voertuigprijzen!AJ194&gt;0,Input_voertuig!P$2,"")</f>
        <v/>
      </c>
      <c r="Q195" s="542" t="str">
        <f>IF(Input_voertuigprijzen!AK194&gt;0,Input_voertuig!Q$2,"")</f>
        <v/>
      </c>
      <c r="R195" s="542" t="str">
        <f>IF(Input_voertuigprijzen!AL194&gt;0,Input_voertuig!R$2,"")</f>
        <v/>
      </c>
      <c r="S195" s="542" t="str">
        <f>IF(Input_voertuigprijzen!AM194&gt;0,Input_voertuig!S$2,"")</f>
        <v/>
      </c>
      <c r="T195" s="542" t="str">
        <f>IF(Input_voertuigprijzen!AN194&gt;0,Input_voertuig!T$2,"")</f>
        <v/>
      </c>
    </row>
    <row r="196" spans="1:20" x14ac:dyDescent="0.3">
      <c r="A196" s="489" t="s">
        <v>1414</v>
      </c>
      <c r="B196" s="489" t="s">
        <v>1767</v>
      </c>
      <c r="C196" s="489" t="s">
        <v>1890</v>
      </c>
      <c r="D196" s="489" t="s">
        <v>46</v>
      </c>
      <c r="E196" s="489" t="s">
        <v>994</v>
      </c>
      <c r="F196" s="542">
        <f>IF(Input_voertuigprijzen!Z195&gt;0,Input_voertuig!F$2,"")</f>
        <v>2024</v>
      </c>
      <c r="G196" s="542">
        <f>IF(Input_voertuigprijzen!AA195&gt;0,Input_voertuig!G$2,"")</f>
        <v>2023</v>
      </c>
      <c r="H196" s="542">
        <f>IF(Input_voertuigprijzen!AB195&gt;0,Input_voertuig!H$2,"")</f>
        <v>2022</v>
      </c>
      <c r="I196" s="542" t="str">
        <f>IF(Input_voertuigprijzen!AC195&gt;0,Input_voertuig!I$2,"")</f>
        <v/>
      </c>
      <c r="J196" s="542">
        <f>IF(Input_voertuigprijzen!AD195&gt;0,Input_voertuig!J$2,"")</f>
        <v>2020</v>
      </c>
      <c r="K196" s="542">
        <f>IF(Input_voertuigprijzen!AE195&gt;0,Input_voertuig!K$2,"")</f>
        <v>2019</v>
      </c>
      <c r="L196" s="542" t="str">
        <f>IF(Input_voertuigprijzen!AF195&gt;0,Input_voertuig!L$2,"")</f>
        <v/>
      </c>
      <c r="M196" s="542" t="str">
        <f>IF(Input_voertuigprijzen!AG195&gt;0,Input_voertuig!M$2,"")</f>
        <v/>
      </c>
      <c r="N196" s="542" t="str">
        <f>IF(Input_voertuigprijzen!AH195&gt;0,Input_voertuig!N$2,"")</f>
        <v/>
      </c>
      <c r="O196" s="542" t="str">
        <f>IF(Input_voertuigprijzen!AI195&gt;0,Input_voertuig!O$2,"")</f>
        <v/>
      </c>
      <c r="P196" s="542" t="str">
        <f>IF(Input_voertuigprijzen!AJ195&gt;0,Input_voertuig!P$2,"")</f>
        <v/>
      </c>
      <c r="Q196" s="542" t="str">
        <f>IF(Input_voertuigprijzen!AK195&gt;0,Input_voertuig!Q$2,"")</f>
        <v/>
      </c>
      <c r="R196" s="542" t="str">
        <f>IF(Input_voertuigprijzen!AL195&gt;0,Input_voertuig!R$2,"")</f>
        <v/>
      </c>
      <c r="S196" s="542" t="str">
        <f>IF(Input_voertuigprijzen!AM195&gt;0,Input_voertuig!S$2,"")</f>
        <v/>
      </c>
      <c r="T196" s="542" t="str">
        <f>IF(Input_voertuigprijzen!AN195&gt;0,Input_voertuig!T$2,"")</f>
        <v/>
      </c>
    </row>
    <row r="197" spans="1:20" x14ac:dyDescent="0.3">
      <c r="A197" s="489" t="s">
        <v>1441</v>
      </c>
      <c r="B197" s="489" t="s">
        <v>1768</v>
      </c>
      <c r="C197" s="489" t="s">
        <v>85</v>
      </c>
      <c r="D197" s="489" t="s">
        <v>1530</v>
      </c>
      <c r="E197" s="489" t="s">
        <v>994</v>
      </c>
      <c r="F197" s="542" t="str">
        <f>IF(Input_voertuigprijzen!Z196&gt;0,Input_voertuig!F$2,"")</f>
        <v/>
      </c>
      <c r="G197" s="542" t="str">
        <f>IF(Input_voertuigprijzen!AA196&gt;0,Input_voertuig!G$2,"")</f>
        <v/>
      </c>
      <c r="H197" s="542" t="str">
        <f>IF(Input_voertuigprijzen!AB196&gt;0,Input_voertuig!H$2,"")</f>
        <v/>
      </c>
      <c r="I197" s="542" t="str">
        <f>IF(Input_voertuigprijzen!AC196&gt;0,Input_voertuig!I$2,"")</f>
        <v/>
      </c>
      <c r="J197" s="542" t="str">
        <f>IF(Input_voertuigprijzen!AD196&gt;0,Input_voertuig!J$2,"")</f>
        <v/>
      </c>
      <c r="K197" s="542" t="str">
        <f>IF(Input_voertuigprijzen!AE196&gt;0,Input_voertuig!K$2,"")</f>
        <v/>
      </c>
      <c r="L197" s="542" t="str">
        <f>IF(Input_voertuigprijzen!AF196&gt;0,Input_voertuig!L$2,"")</f>
        <v/>
      </c>
      <c r="M197" s="542">
        <f>IF(Input_voertuigprijzen!AG196&gt;0,Input_voertuig!M$2,"")</f>
        <v>2017</v>
      </c>
      <c r="N197" s="542" t="str">
        <f>IF(Input_voertuigprijzen!AH196&gt;0,Input_voertuig!N$2,"")</f>
        <v/>
      </c>
      <c r="O197" s="542">
        <f>IF(Input_voertuigprijzen!AI196&gt;0,Input_voertuig!O$2,"")</f>
        <v>2015</v>
      </c>
      <c r="P197" s="542" t="str">
        <f>IF(Input_voertuigprijzen!AJ196&gt;0,Input_voertuig!P$2,"")</f>
        <v/>
      </c>
      <c r="Q197" s="542" t="str">
        <f>IF(Input_voertuigprijzen!AK196&gt;0,Input_voertuig!Q$2,"")</f>
        <v/>
      </c>
      <c r="R197" s="542" t="str">
        <f>IF(Input_voertuigprijzen!AL196&gt;0,Input_voertuig!R$2,"")</f>
        <v/>
      </c>
      <c r="S197" s="542" t="str">
        <f>IF(Input_voertuigprijzen!AM196&gt;0,Input_voertuig!S$2,"")</f>
        <v/>
      </c>
      <c r="T197" s="542" t="str">
        <f>IF(Input_voertuigprijzen!AN196&gt;0,Input_voertuig!T$2,"")</f>
        <v/>
      </c>
    </row>
    <row r="198" spans="1:20" x14ac:dyDescent="0.3">
      <c r="A198" s="489" t="s">
        <v>1677</v>
      </c>
      <c r="B198" s="489" t="s">
        <v>1769</v>
      </c>
      <c r="C198" s="489" t="s">
        <v>1891</v>
      </c>
      <c r="D198" s="489" t="s">
        <v>46</v>
      </c>
      <c r="E198" s="489" t="s">
        <v>994</v>
      </c>
      <c r="F198" s="542" t="str">
        <f>IF(Input_voertuigprijzen!Z197&gt;0,Input_voertuig!F$2,"")</f>
        <v/>
      </c>
      <c r="G198" s="542" t="str">
        <f>IF(Input_voertuigprijzen!AA197&gt;0,Input_voertuig!G$2,"")</f>
        <v/>
      </c>
      <c r="H198" s="542" t="str">
        <f>IF(Input_voertuigprijzen!AB197&gt;0,Input_voertuig!H$2,"")</f>
        <v/>
      </c>
      <c r="I198" s="542">
        <f>IF(Input_voertuigprijzen!AC197&gt;0,Input_voertuig!I$2,"")</f>
        <v>2021</v>
      </c>
      <c r="J198" s="542" t="str">
        <f>IF(Input_voertuigprijzen!AD197&gt;0,Input_voertuig!J$2,"")</f>
        <v/>
      </c>
      <c r="K198" s="542" t="str">
        <f>IF(Input_voertuigprijzen!AE197&gt;0,Input_voertuig!K$2,"")</f>
        <v/>
      </c>
      <c r="L198" s="542">
        <f>IF(Input_voertuigprijzen!AF197&gt;0,Input_voertuig!L$2,"")</f>
        <v>2018</v>
      </c>
      <c r="M198" s="542">
        <f>IF(Input_voertuigprijzen!AG197&gt;0,Input_voertuig!M$2,"")</f>
        <v>2017</v>
      </c>
      <c r="N198" s="542">
        <f>IF(Input_voertuigprijzen!AH197&gt;0,Input_voertuig!N$2,"")</f>
        <v>2016</v>
      </c>
      <c r="O198" s="542">
        <f>IF(Input_voertuigprijzen!AI197&gt;0,Input_voertuig!O$2,"")</f>
        <v>2015</v>
      </c>
      <c r="P198" s="542" t="str">
        <f>IF(Input_voertuigprijzen!AJ197&gt;0,Input_voertuig!P$2,"")</f>
        <v/>
      </c>
      <c r="Q198" s="542" t="str">
        <f>IF(Input_voertuigprijzen!AK197&gt;0,Input_voertuig!Q$2,"")</f>
        <v/>
      </c>
      <c r="R198" s="542" t="str">
        <f>IF(Input_voertuigprijzen!AL197&gt;0,Input_voertuig!R$2,"")</f>
        <v/>
      </c>
      <c r="S198" s="542" t="str">
        <f>IF(Input_voertuigprijzen!AM197&gt;0,Input_voertuig!S$2,"")</f>
        <v/>
      </c>
      <c r="T198" s="542" t="str">
        <f>IF(Input_voertuigprijzen!AN197&gt;0,Input_voertuig!T$2,"")</f>
        <v/>
      </c>
    </row>
    <row r="199" spans="1:20" x14ac:dyDescent="0.3">
      <c r="A199" s="489" t="s">
        <v>1414</v>
      </c>
      <c r="B199" s="489" t="s">
        <v>1670</v>
      </c>
      <c r="C199" s="489" t="s">
        <v>1892</v>
      </c>
      <c r="D199" s="489" t="s">
        <v>1530</v>
      </c>
      <c r="E199" s="489" t="s">
        <v>994</v>
      </c>
      <c r="F199" s="542" t="str">
        <f>IF(Input_voertuigprijzen!Z198&gt;0,Input_voertuig!F$2,"")</f>
        <v/>
      </c>
      <c r="G199" s="542" t="str">
        <f>IF(Input_voertuigprijzen!AA198&gt;0,Input_voertuig!G$2,"")</f>
        <v/>
      </c>
      <c r="H199" s="542" t="str">
        <f>IF(Input_voertuigprijzen!AB198&gt;0,Input_voertuig!H$2,"")</f>
        <v/>
      </c>
      <c r="I199" s="542" t="str">
        <f>IF(Input_voertuigprijzen!AC198&gt;0,Input_voertuig!I$2,"")</f>
        <v/>
      </c>
      <c r="J199" s="542" t="str">
        <f>IF(Input_voertuigprijzen!AD198&gt;0,Input_voertuig!J$2,"")</f>
        <v/>
      </c>
      <c r="K199" s="542" t="str">
        <f>IF(Input_voertuigprijzen!AE198&gt;0,Input_voertuig!K$2,"")</f>
        <v/>
      </c>
      <c r="L199" s="542">
        <f>IF(Input_voertuigprijzen!AF198&gt;0,Input_voertuig!L$2,"")</f>
        <v>2018</v>
      </c>
      <c r="M199" s="542">
        <f>IF(Input_voertuigprijzen!AG198&gt;0,Input_voertuig!M$2,"")</f>
        <v>2017</v>
      </c>
      <c r="N199" s="542">
        <f>IF(Input_voertuigprijzen!AH198&gt;0,Input_voertuig!N$2,"")</f>
        <v>2016</v>
      </c>
      <c r="O199" s="542" t="str">
        <f>IF(Input_voertuigprijzen!AI198&gt;0,Input_voertuig!O$2,"")</f>
        <v/>
      </c>
      <c r="P199" s="542" t="str">
        <f>IF(Input_voertuigprijzen!AJ198&gt;0,Input_voertuig!P$2,"")</f>
        <v/>
      </c>
      <c r="Q199" s="542" t="str">
        <f>IF(Input_voertuigprijzen!AK198&gt;0,Input_voertuig!Q$2,"")</f>
        <v/>
      </c>
      <c r="R199" s="542" t="str">
        <f>IF(Input_voertuigprijzen!AL198&gt;0,Input_voertuig!R$2,"")</f>
        <v/>
      </c>
      <c r="S199" s="542" t="str">
        <f>IF(Input_voertuigprijzen!AM198&gt;0,Input_voertuig!S$2,"")</f>
        <v/>
      </c>
      <c r="T199" s="542" t="str">
        <f>IF(Input_voertuigprijzen!AN198&gt;0,Input_voertuig!T$2,"")</f>
        <v/>
      </c>
    </row>
    <row r="200" spans="1:20" x14ac:dyDescent="0.3">
      <c r="A200" s="489" t="s">
        <v>1441</v>
      </c>
      <c r="B200" s="489" t="s">
        <v>1770</v>
      </c>
      <c r="C200" s="489" t="s">
        <v>1893</v>
      </c>
      <c r="D200" s="489" t="s">
        <v>46</v>
      </c>
      <c r="E200" s="489" t="s">
        <v>994</v>
      </c>
      <c r="F200" s="542" t="str">
        <f>IF(Input_voertuigprijzen!Z199&gt;0,Input_voertuig!F$2,"")</f>
        <v/>
      </c>
      <c r="G200" s="542" t="str">
        <f>IF(Input_voertuigprijzen!AA199&gt;0,Input_voertuig!G$2,"")</f>
        <v/>
      </c>
      <c r="H200" s="542" t="str">
        <f>IF(Input_voertuigprijzen!AB199&gt;0,Input_voertuig!H$2,"")</f>
        <v/>
      </c>
      <c r="I200" s="542" t="str">
        <f>IF(Input_voertuigprijzen!AC199&gt;0,Input_voertuig!I$2,"")</f>
        <v/>
      </c>
      <c r="J200" s="542" t="str">
        <f>IF(Input_voertuigprijzen!AD199&gt;0,Input_voertuig!J$2,"")</f>
        <v/>
      </c>
      <c r="K200" s="542" t="str">
        <f>IF(Input_voertuigprijzen!AE199&gt;0,Input_voertuig!K$2,"")</f>
        <v/>
      </c>
      <c r="L200" s="542" t="str">
        <f>IF(Input_voertuigprijzen!AF199&gt;0,Input_voertuig!L$2,"")</f>
        <v/>
      </c>
      <c r="M200" s="542">
        <f>IF(Input_voertuigprijzen!AG199&gt;0,Input_voertuig!M$2,"")</f>
        <v>2017</v>
      </c>
      <c r="N200" s="542">
        <f>IF(Input_voertuigprijzen!AH199&gt;0,Input_voertuig!N$2,"")</f>
        <v>2016</v>
      </c>
      <c r="O200" s="542" t="str">
        <f>IF(Input_voertuigprijzen!AI199&gt;0,Input_voertuig!O$2,"")</f>
        <v/>
      </c>
      <c r="P200" s="542" t="str">
        <f>IF(Input_voertuigprijzen!AJ199&gt;0,Input_voertuig!P$2,"")</f>
        <v/>
      </c>
      <c r="Q200" s="542" t="str">
        <f>IF(Input_voertuigprijzen!AK199&gt;0,Input_voertuig!Q$2,"")</f>
        <v/>
      </c>
      <c r="R200" s="542">
        <f>IF(Input_voertuigprijzen!AL199&gt;0,Input_voertuig!R$2,"")</f>
        <v>2012</v>
      </c>
      <c r="S200" s="542">
        <f>IF(Input_voertuigprijzen!AM199&gt;0,Input_voertuig!S$2,"")</f>
        <v>2011</v>
      </c>
      <c r="T200" s="542">
        <f>IF(Input_voertuigprijzen!AN199&gt;0,Input_voertuig!T$2,"")</f>
        <v>2010</v>
      </c>
    </row>
    <row r="201" spans="1:20" x14ac:dyDescent="0.3">
      <c r="A201" s="489" t="s">
        <v>1677</v>
      </c>
      <c r="B201" s="489" t="s">
        <v>1771</v>
      </c>
      <c r="C201" s="489" t="s">
        <v>1894</v>
      </c>
      <c r="D201" s="489" t="s">
        <v>46</v>
      </c>
      <c r="E201" s="489" t="s">
        <v>994</v>
      </c>
      <c r="F201" s="542" t="str">
        <f>IF(Input_voertuigprijzen!Z200&gt;0,Input_voertuig!F$2,"")</f>
        <v/>
      </c>
      <c r="G201" s="542">
        <f>IF(Input_voertuigprijzen!AA200&gt;0,Input_voertuig!G$2,"")</f>
        <v>2023</v>
      </c>
      <c r="H201" s="542" t="str">
        <f>IF(Input_voertuigprijzen!AB200&gt;0,Input_voertuig!H$2,"")</f>
        <v/>
      </c>
      <c r="I201" s="542">
        <f>IF(Input_voertuigprijzen!AC200&gt;0,Input_voertuig!I$2,"")</f>
        <v>2021</v>
      </c>
      <c r="J201" s="542" t="str">
        <f>IF(Input_voertuigprijzen!AD200&gt;0,Input_voertuig!J$2,"")</f>
        <v/>
      </c>
      <c r="K201" s="542" t="str">
        <f>IF(Input_voertuigprijzen!AE200&gt;0,Input_voertuig!K$2,"")</f>
        <v/>
      </c>
      <c r="L201" s="542">
        <f>IF(Input_voertuigprijzen!AF200&gt;0,Input_voertuig!L$2,"")</f>
        <v>2018</v>
      </c>
      <c r="M201" s="542">
        <f>IF(Input_voertuigprijzen!AG200&gt;0,Input_voertuig!M$2,"")</f>
        <v>2017</v>
      </c>
      <c r="N201" s="542" t="str">
        <f>IF(Input_voertuigprijzen!AH200&gt;0,Input_voertuig!N$2,"")</f>
        <v/>
      </c>
      <c r="O201" s="542">
        <f>IF(Input_voertuigprijzen!AI200&gt;0,Input_voertuig!O$2,"")</f>
        <v>2015</v>
      </c>
      <c r="P201" s="542">
        <f>IF(Input_voertuigprijzen!AJ200&gt;0,Input_voertuig!P$2,"")</f>
        <v>2014</v>
      </c>
      <c r="Q201" s="542" t="str">
        <f>IF(Input_voertuigprijzen!AK200&gt;0,Input_voertuig!Q$2,"")</f>
        <v/>
      </c>
      <c r="R201" s="542" t="str">
        <f>IF(Input_voertuigprijzen!AL200&gt;0,Input_voertuig!R$2,"")</f>
        <v/>
      </c>
      <c r="S201" s="542" t="str">
        <f>IF(Input_voertuigprijzen!AM200&gt;0,Input_voertuig!S$2,"")</f>
        <v/>
      </c>
      <c r="T201" s="542">
        <f>IF(Input_voertuigprijzen!AN200&gt;0,Input_voertuig!T$2,"")</f>
        <v>2010</v>
      </c>
    </row>
    <row r="202" spans="1:20" x14ac:dyDescent="0.3">
      <c r="A202" s="489" t="s">
        <v>1414</v>
      </c>
      <c r="B202" s="489" t="s">
        <v>1772</v>
      </c>
      <c r="C202" s="489" t="s">
        <v>1895</v>
      </c>
      <c r="D202" s="489" t="s">
        <v>46</v>
      </c>
      <c r="E202" s="489" t="s">
        <v>994</v>
      </c>
      <c r="F202" s="542">
        <f>IF(Input_voertuigprijzen!Z201&gt;0,Input_voertuig!F$2,"")</f>
        <v>2024</v>
      </c>
      <c r="G202" s="542">
        <f>IF(Input_voertuigprijzen!AA201&gt;0,Input_voertuig!G$2,"")</f>
        <v>2023</v>
      </c>
      <c r="H202" s="542">
        <f>IF(Input_voertuigprijzen!AB201&gt;0,Input_voertuig!H$2,"")</f>
        <v>2022</v>
      </c>
      <c r="I202" s="542">
        <f>IF(Input_voertuigprijzen!AC201&gt;0,Input_voertuig!I$2,"")</f>
        <v>2021</v>
      </c>
      <c r="J202" s="542" t="str">
        <f>IF(Input_voertuigprijzen!AD201&gt;0,Input_voertuig!J$2,"")</f>
        <v/>
      </c>
      <c r="K202" s="542">
        <f>IF(Input_voertuigprijzen!AE201&gt;0,Input_voertuig!K$2,"")</f>
        <v>2019</v>
      </c>
      <c r="L202" s="542">
        <f>IF(Input_voertuigprijzen!AF201&gt;0,Input_voertuig!L$2,"")</f>
        <v>2018</v>
      </c>
      <c r="M202" s="542" t="str">
        <f>IF(Input_voertuigprijzen!AG201&gt;0,Input_voertuig!M$2,"")</f>
        <v/>
      </c>
      <c r="N202" s="542" t="str">
        <f>IF(Input_voertuigprijzen!AH201&gt;0,Input_voertuig!N$2,"")</f>
        <v/>
      </c>
      <c r="O202" s="542" t="str">
        <f>IF(Input_voertuigprijzen!AI201&gt;0,Input_voertuig!O$2,"")</f>
        <v/>
      </c>
      <c r="P202" s="542" t="str">
        <f>IF(Input_voertuigprijzen!AJ201&gt;0,Input_voertuig!P$2,"")</f>
        <v/>
      </c>
      <c r="Q202" s="542" t="str">
        <f>IF(Input_voertuigprijzen!AK201&gt;0,Input_voertuig!Q$2,"")</f>
        <v/>
      </c>
      <c r="R202" s="542" t="str">
        <f>IF(Input_voertuigprijzen!AL201&gt;0,Input_voertuig!R$2,"")</f>
        <v/>
      </c>
      <c r="S202" s="542" t="str">
        <f>IF(Input_voertuigprijzen!AM201&gt;0,Input_voertuig!S$2,"")</f>
        <v/>
      </c>
      <c r="T202" s="542" t="str">
        <f>IF(Input_voertuigprijzen!AN201&gt;0,Input_voertuig!T$2,"")</f>
        <v/>
      </c>
    </row>
    <row r="203" spans="1:20" x14ac:dyDescent="0.3">
      <c r="A203" s="489" t="s">
        <v>1426</v>
      </c>
      <c r="B203" s="489" t="s">
        <v>1773</v>
      </c>
      <c r="C203" s="489" t="s">
        <v>1708</v>
      </c>
      <c r="D203" s="489" t="s">
        <v>1939</v>
      </c>
      <c r="E203" s="489" t="s">
        <v>994</v>
      </c>
      <c r="F203" s="542" t="str">
        <f>IF(Input_voertuigprijzen!Z202&gt;0,Input_voertuig!F$2,"")</f>
        <v/>
      </c>
      <c r="G203" s="542">
        <f>IF(Input_voertuigprijzen!AA202&gt;0,Input_voertuig!G$2,"")</f>
        <v>2023</v>
      </c>
      <c r="H203" s="542" t="str">
        <f>IF(Input_voertuigprijzen!AB202&gt;0,Input_voertuig!H$2,"")</f>
        <v/>
      </c>
      <c r="I203" s="542" t="str">
        <f>IF(Input_voertuigprijzen!AC202&gt;0,Input_voertuig!I$2,"")</f>
        <v/>
      </c>
      <c r="J203" s="542">
        <f>IF(Input_voertuigprijzen!AD202&gt;0,Input_voertuig!J$2,"")</f>
        <v>2020</v>
      </c>
      <c r="K203" s="542" t="str">
        <f>IF(Input_voertuigprijzen!AE202&gt;0,Input_voertuig!K$2,"")</f>
        <v/>
      </c>
      <c r="L203" s="542" t="str">
        <f>IF(Input_voertuigprijzen!AF202&gt;0,Input_voertuig!L$2,"")</f>
        <v/>
      </c>
      <c r="M203" s="542" t="str">
        <f>IF(Input_voertuigprijzen!AG202&gt;0,Input_voertuig!M$2,"")</f>
        <v/>
      </c>
      <c r="N203" s="542" t="str">
        <f>IF(Input_voertuigprijzen!AH202&gt;0,Input_voertuig!N$2,"")</f>
        <v/>
      </c>
      <c r="O203" s="542" t="str">
        <f>IF(Input_voertuigprijzen!AI202&gt;0,Input_voertuig!O$2,"")</f>
        <v/>
      </c>
      <c r="P203" s="542" t="str">
        <f>IF(Input_voertuigprijzen!AJ202&gt;0,Input_voertuig!P$2,"")</f>
        <v/>
      </c>
      <c r="Q203" s="542" t="str">
        <f>IF(Input_voertuigprijzen!AK202&gt;0,Input_voertuig!Q$2,"")</f>
        <v/>
      </c>
      <c r="R203" s="542" t="str">
        <f>IF(Input_voertuigprijzen!AL202&gt;0,Input_voertuig!R$2,"")</f>
        <v/>
      </c>
      <c r="S203" s="542" t="str">
        <f>IF(Input_voertuigprijzen!AM202&gt;0,Input_voertuig!S$2,"")</f>
        <v/>
      </c>
      <c r="T203" s="542" t="str">
        <f>IF(Input_voertuigprijzen!AN202&gt;0,Input_voertuig!T$2,"")</f>
        <v/>
      </c>
    </row>
    <row r="204" spans="1:20" x14ac:dyDescent="0.3">
      <c r="A204" s="489" t="s">
        <v>1677</v>
      </c>
      <c r="B204" s="489" t="s">
        <v>1774</v>
      </c>
      <c r="C204" s="489" t="s">
        <v>1896</v>
      </c>
      <c r="D204" s="489" t="s">
        <v>141</v>
      </c>
      <c r="E204" s="489" t="s">
        <v>994</v>
      </c>
      <c r="F204" s="542">
        <f>IF(Input_voertuigprijzen!Z203&gt;0,Input_voertuig!F$2,"")</f>
        <v>2024</v>
      </c>
      <c r="G204" s="542">
        <f>IF(Input_voertuigprijzen!AA203&gt;0,Input_voertuig!G$2,"")</f>
        <v>2023</v>
      </c>
      <c r="H204" s="542">
        <f>IF(Input_voertuigprijzen!AB203&gt;0,Input_voertuig!H$2,"")</f>
        <v>2022</v>
      </c>
      <c r="I204" s="542" t="str">
        <f>IF(Input_voertuigprijzen!AC203&gt;0,Input_voertuig!I$2,"")</f>
        <v/>
      </c>
      <c r="J204" s="542" t="str">
        <f>IF(Input_voertuigprijzen!AD203&gt;0,Input_voertuig!J$2,"")</f>
        <v/>
      </c>
      <c r="K204" s="542" t="str">
        <f>IF(Input_voertuigprijzen!AE203&gt;0,Input_voertuig!K$2,"")</f>
        <v/>
      </c>
      <c r="L204" s="542" t="str">
        <f>IF(Input_voertuigprijzen!AF203&gt;0,Input_voertuig!L$2,"")</f>
        <v/>
      </c>
      <c r="M204" s="542" t="str">
        <f>IF(Input_voertuigprijzen!AG203&gt;0,Input_voertuig!M$2,"")</f>
        <v/>
      </c>
      <c r="N204" s="542" t="str">
        <f>IF(Input_voertuigprijzen!AH203&gt;0,Input_voertuig!N$2,"")</f>
        <v/>
      </c>
      <c r="O204" s="542" t="str">
        <f>IF(Input_voertuigprijzen!AI203&gt;0,Input_voertuig!O$2,"")</f>
        <v/>
      </c>
      <c r="P204" s="542" t="str">
        <f>IF(Input_voertuigprijzen!AJ203&gt;0,Input_voertuig!P$2,"")</f>
        <v/>
      </c>
      <c r="Q204" s="542" t="str">
        <f>IF(Input_voertuigprijzen!AK203&gt;0,Input_voertuig!Q$2,"")</f>
        <v/>
      </c>
      <c r="R204" s="542" t="str">
        <f>IF(Input_voertuigprijzen!AL203&gt;0,Input_voertuig!R$2,"")</f>
        <v/>
      </c>
      <c r="S204" s="542" t="str">
        <f>IF(Input_voertuigprijzen!AM203&gt;0,Input_voertuig!S$2,"")</f>
        <v/>
      </c>
      <c r="T204" s="542" t="str">
        <f>IF(Input_voertuigprijzen!AN203&gt;0,Input_voertuig!T$2,"")</f>
        <v/>
      </c>
    </row>
    <row r="205" spans="1:20" x14ac:dyDescent="0.3">
      <c r="A205" s="489" t="s">
        <v>1572</v>
      </c>
      <c r="B205" s="489" t="s">
        <v>1775</v>
      </c>
      <c r="C205" s="489" t="s">
        <v>1897</v>
      </c>
      <c r="D205" s="489" t="s">
        <v>46</v>
      </c>
      <c r="E205" s="489" t="s">
        <v>1960</v>
      </c>
      <c r="F205" s="542" t="str">
        <f>IF(Input_voertuigprijzen!Z204&gt;0,Input_voertuig!F$2,"")</f>
        <v/>
      </c>
      <c r="G205" s="542" t="str">
        <f>IF(Input_voertuigprijzen!AA204&gt;0,Input_voertuig!G$2,"")</f>
        <v/>
      </c>
      <c r="H205" s="542" t="str">
        <f>IF(Input_voertuigprijzen!AB204&gt;0,Input_voertuig!H$2,"")</f>
        <v/>
      </c>
      <c r="I205" s="542" t="str">
        <f>IF(Input_voertuigprijzen!AC204&gt;0,Input_voertuig!I$2,"")</f>
        <v/>
      </c>
      <c r="J205" s="542">
        <f>IF(Input_voertuigprijzen!AD204&gt;0,Input_voertuig!J$2,"")</f>
        <v>2020</v>
      </c>
      <c r="K205" s="542">
        <f>IF(Input_voertuigprijzen!AE204&gt;0,Input_voertuig!K$2,"")</f>
        <v>2019</v>
      </c>
      <c r="L205" s="542">
        <f>IF(Input_voertuigprijzen!AF204&gt;0,Input_voertuig!L$2,"")</f>
        <v>2018</v>
      </c>
      <c r="M205" s="542">
        <f>IF(Input_voertuigprijzen!AG204&gt;0,Input_voertuig!M$2,"")</f>
        <v>2017</v>
      </c>
      <c r="N205" s="542" t="str">
        <f>IF(Input_voertuigprijzen!AH204&gt;0,Input_voertuig!N$2,"")</f>
        <v/>
      </c>
      <c r="O205" s="542" t="str">
        <f>IF(Input_voertuigprijzen!AI204&gt;0,Input_voertuig!O$2,"")</f>
        <v/>
      </c>
      <c r="P205" s="542" t="str">
        <f>IF(Input_voertuigprijzen!AJ204&gt;0,Input_voertuig!P$2,"")</f>
        <v/>
      </c>
      <c r="Q205" s="542" t="str">
        <f>IF(Input_voertuigprijzen!AK204&gt;0,Input_voertuig!Q$2,"")</f>
        <v/>
      </c>
      <c r="R205" s="542" t="str">
        <f>IF(Input_voertuigprijzen!AL204&gt;0,Input_voertuig!R$2,"")</f>
        <v/>
      </c>
      <c r="S205" s="542" t="str">
        <f>IF(Input_voertuigprijzen!AM204&gt;0,Input_voertuig!S$2,"")</f>
        <v/>
      </c>
      <c r="T205" s="542" t="str">
        <f>IF(Input_voertuigprijzen!AN204&gt;0,Input_voertuig!T$2,"")</f>
        <v/>
      </c>
    </row>
    <row r="206" spans="1:20" x14ac:dyDescent="0.3">
      <c r="A206" s="489" t="s">
        <v>1567</v>
      </c>
      <c r="B206" s="489" t="s">
        <v>1776</v>
      </c>
      <c r="C206" s="489" t="s">
        <v>1898</v>
      </c>
      <c r="D206" s="489" t="s">
        <v>141</v>
      </c>
      <c r="E206" s="489" t="s">
        <v>1960</v>
      </c>
      <c r="F206" s="542" t="str">
        <f>IF(Input_voertuigprijzen!Z205&gt;0,Input_voertuig!F$2,"")</f>
        <v/>
      </c>
      <c r="G206" s="542" t="str">
        <f>IF(Input_voertuigprijzen!AA205&gt;0,Input_voertuig!G$2,"")</f>
        <v/>
      </c>
      <c r="H206" s="542">
        <f>IF(Input_voertuigprijzen!AB205&gt;0,Input_voertuig!H$2,"")</f>
        <v>2022</v>
      </c>
      <c r="I206" s="542">
        <f>IF(Input_voertuigprijzen!AC205&gt;0,Input_voertuig!I$2,"")</f>
        <v>2021</v>
      </c>
      <c r="J206" s="542" t="str">
        <f>IF(Input_voertuigprijzen!AD205&gt;0,Input_voertuig!J$2,"")</f>
        <v/>
      </c>
      <c r="K206" s="542" t="str">
        <f>IF(Input_voertuigprijzen!AE205&gt;0,Input_voertuig!K$2,"")</f>
        <v/>
      </c>
      <c r="L206" s="542" t="str">
        <f>IF(Input_voertuigprijzen!AF205&gt;0,Input_voertuig!L$2,"")</f>
        <v/>
      </c>
      <c r="M206" s="542" t="str">
        <f>IF(Input_voertuigprijzen!AG205&gt;0,Input_voertuig!M$2,"")</f>
        <v/>
      </c>
      <c r="N206" s="542" t="str">
        <f>IF(Input_voertuigprijzen!AH205&gt;0,Input_voertuig!N$2,"")</f>
        <v/>
      </c>
      <c r="O206" s="542" t="str">
        <f>IF(Input_voertuigprijzen!AI205&gt;0,Input_voertuig!O$2,"")</f>
        <v/>
      </c>
      <c r="P206" s="542" t="str">
        <f>IF(Input_voertuigprijzen!AJ205&gt;0,Input_voertuig!P$2,"")</f>
        <v/>
      </c>
      <c r="Q206" s="542" t="str">
        <f>IF(Input_voertuigprijzen!AK205&gt;0,Input_voertuig!Q$2,"")</f>
        <v/>
      </c>
      <c r="R206" s="542" t="str">
        <f>IF(Input_voertuigprijzen!AL205&gt;0,Input_voertuig!R$2,"")</f>
        <v/>
      </c>
      <c r="S206" s="542" t="str">
        <f>IF(Input_voertuigprijzen!AM205&gt;0,Input_voertuig!S$2,"")</f>
        <v/>
      </c>
      <c r="T206" s="542" t="str">
        <f>IF(Input_voertuigprijzen!AN205&gt;0,Input_voertuig!T$2,"")</f>
        <v/>
      </c>
    </row>
    <row r="207" spans="1:20" x14ac:dyDescent="0.3">
      <c r="A207" s="489" t="s">
        <v>1777</v>
      </c>
      <c r="B207" s="489" t="s">
        <v>1778</v>
      </c>
      <c r="C207" s="489" t="s">
        <v>1899</v>
      </c>
      <c r="D207" s="489" t="s">
        <v>46</v>
      </c>
      <c r="E207" s="489" t="s">
        <v>1960</v>
      </c>
      <c r="F207" s="542">
        <f>IF(Input_voertuigprijzen!Z206&gt;0,Input_voertuig!F$2,"")</f>
        <v>2024</v>
      </c>
      <c r="G207" s="542" t="str">
        <f>IF(Input_voertuigprijzen!AA206&gt;0,Input_voertuig!G$2,"")</f>
        <v/>
      </c>
      <c r="H207" s="542">
        <f>IF(Input_voertuigprijzen!AB206&gt;0,Input_voertuig!H$2,"")</f>
        <v>2022</v>
      </c>
      <c r="I207" s="542" t="str">
        <f>IF(Input_voertuigprijzen!AC206&gt;0,Input_voertuig!I$2,"")</f>
        <v/>
      </c>
      <c r="J207" s="542" t="str">
        <f>IF(Input_voertuigprijzen!AD206&gt;0,Input_voertuig!J$2,"")</f>
        <v/>
      </c>
      <c r="K207" s="542">
        <f>IF(Input_voertuigprijzen!AE206&gt;0,Input_voertuig!K$2,"")</f>
        <v>2019</v>
      </c>
      <c r="L207" s="542">
        <f>IF(Input_voertuigprijzen!AF206&gt;0,Input_voertuig!L$2,"")</f>
        <v>2018</v>
      </c>
      <c r="M207" s="542" t="str">
        <f>IF(Input_voertuigprijzen!AG206&gt;0,Input_voertuig!M$2,"")</f>
        <v/>
      </c>
      <c r="N207" s="542" t="str">
        <f>IF(Input_voertuigprijzen!AH206&gt;0,Input_voertuig!N$2,"")</f>
        <v/>
      </c>
      <c r="O207" s="542" t="str">
        <f>IF(Input_voertuigprijzen!AI206&gt;0,Input_voertuig!O$2,"")</f>
        <v/>
      </c>
      <c r="P207" s="542">
        <f>IF(Input_voertuigprijzen!AJ206&gt;0,Input_voertuig!P$2,"")</f>
        <v>2014</v>
      </c>
      <c r="Q207" s="542">
        <f>IF(Input_voertuigprijzen!AK206&gt;0,Input_voertuig!Q$2,"")</f>
        <v>2013</v>
      </c>
      <c r="R207" s="542">
        <f>IF(Input_voertuigprijzen!AL206&gt;0,Input_voertuig!R$2,"")</f>
        <v>2012</v>
      </c>
      <c r="S207" s="542" t="str">
        <f>IF(Input_voertuigprijzen!AM206&gt;0,Input_voertuig!S$2,"")</f>
        <v/>
      </c>
      <c r="T207" s="542" t="str">
        <f>IF(Input_voertuigprijzen!AN206&gt;0,Input_voertuig!T$2,"")</f>
        <v/>
      </c>
    </row>
    <row r="208" spans="1:20" x14ac:dyDescent="0.3">
      <c r="A208" s="489" t="s">
        <v>1677</v>
      </c>
      <c r="B208" s="489" t="s">
        <v>1779</v>
      </c>
      <c r="C208" s="489" t="s">
        <v>1900</v>
      </c>
      <c r="D208" s="489" t="s">
        <v>46</v>
      </c>
      <c r="E208" s="489" t="s">
        <v>994</v>
      </c>
      <c r="F208" s="542" t="str">
        <f>IF(Input_voertuigprijzen!Z207&gt;0,Input_voertuig!F$2,"")</f>
        <v/>
      </c>
      <c r="G208" s="542" t="str">
        <f>IF(Input_voertuigprijzen!AA207&gt;0,Input_voertuig!G$2,"")</f>
        <v/>
      </c>
      <c r="H208" s="542" t="str">
        <f>IF(Input_voertuigprijzen!AB207&gt;0,Input_voertuig!H$2,"")</f>
        <v/>
      </c>
      <c r="I208" s="542" t="str">
        <f>IF(Input_voertuigprijzen!AC207&gt;0,Input_voertuig!I$2,"")</f>
        <v/>
      </c>
      <c r="J208" s="542">
        <f>IF(Input_voertuigprijzen!AD207&gt;0,Input_voertuig!J$2,"")</f>
        <v>2020</v>
      </c>
      <c r="K208" s="542">
        <f>IF(Input_voertuigprijzen!AE207&gt;0,Input_voertuig!K$2,"")</f>
        <v>2019</v>
      </c>
      <c r="L208" s="542">
        <f>IF(Input_voertuigprijzen!AF207&gt;0,Input_voertuig!L$2,"")</f>
        <v>2018</v>
      </c>
      <c r="M208" s="542">
        <f>IF(Input_voertuigprijzen!AG207&gt;0,Input_voertuig!M$2,"")</f>
        <v>2017</v>
      </c>
      <c r="N208" s="542">
        <f>IF(Input_voertuigprijzen!AH207&gt;0,Input_voertuig!N$2,"")</f>
        <v>2016</v>
      </c>
      <c r="O208" s="542">
        <f>IF(Input_voertuigprijzen!AI207&gt;0,Input_voertuig!O$2,"")</f>
        <v>2015</v>
      </c>
      <c r="P208" s="542">
        <f>IF(Input_voertuigprijzen!AJ207&gt;0,Input_voertuig!P$2,"")</f>
        <v>2014</v>
      </c>
      <c r="Q208" s="542" t="str">
        <f>IF(Input_voertuigprijzen!AK207&gt;0,Input_voertuig!Q$2,"")</f>
        <v/>
      </c>
      <c r="R208" s="542" t="str">
        <f>IF(Input_voertuigprijzen!AL207&gt;0,Input_voertuig!R$2,"")</f>
        <v/>
      </c>
      <c r="S208" s="542" t="str">
        <f>IF(Input_voertuigprijzen!AM207&gt;0,Input_voertuig!S$2,"")</f>
        <v/>
      </c>
      <c r="T208" s="542" t="str">
        <f>IF(Input_voertuigprijzen!AN207&gt;0,Input_voertuig!T$2,"")</f>
        <v/>
      </c>
    </row>
    <row r="209" spans="1:20" x14ac:dyDescent="0.3">
      <c r="A209" s="489" t="s">
        <v>1414</v>
      </c>
      <c r="B209" s="489" t="s">
        <v>1671</v>
      </c>
      <c r="C209" s="489" t="s">
        <v>1901</v>
      </c>
      <c r="D209" s="489" t="s">
        <v>45</v>
      </c>
      <c r="E209" s="489" t="s">
        <v>994</v>
      </c>
      <c r="F209" s="542" t="str">
        <f>IF(Input_voertuigprijzen!Z208&gt;0,Input_voertuig!F$2,"")</f>
        <v/>
      </c>
      <c r="G209" s="542" t="str">
        <f>IF(Input_voertuigprijzen!AA208&gt;0,Input_voertuig!G$2,"")</f>
        <v/>
      </c>
      <c r="H209" s="542">
        <f>IF(Input_voertuigprijzen!AB208&gt;0,Input_voertuig!H$2,"")</f>
        <v>2022</v>
      </c>
      <c r="I209" s="542" t="str">
        <f>IF(Input_voertuigprijzen!AC208&gt;0,Input_voertuig!I$2,"")</f>
        <v/>
      </c>
      <c r="J209" s="542">
        <f>IF(Input_voertuigprijzen!AD208&gt;0,Input_voertuig!J$2,"")</f>
        <v>2020</v>
      </c>
      <c r="K209" s="542">
        <f>IF(Input_voertuigprijzen!AE208&gt;0,Input_voertuig!K$2,"")</f>
        <v>2019</v>
      </c>
      <c r="L209" s="542">
        <f>IF(Input_voertuigprijzen!AF208&gt;0,Input_voertuig!L$2,"")</f>
        <v>2018</v>
      </c>
      <c r="M209" s="542" t="str">
        <f>IF(Input_voertuigprijzen!AG208&gt;0,Input_voertuig!M$2,"")</f>
        <v/>
      </c>
      <c r="N209" s="542" t="str">
        <f>IF(Input_voertuigprijzen!AH208&gt;0,Input_voertuig!N$2,"")</f>
        <v/>
      </c>
      <c r="O209" s="542">
        <f>IF(Input_voertuigprijzen!AI208&gt;0,Input_voertuig!O$2,"")</f>
        <v>2015</v>
      </c>
      <c r="P209" s="542" t="str">
        <f>IF(Input_voertuigprijzen!AJ208&gt;0,Input_voertuig!P$2,"")</f>
        <v/>
      </c>
      <c r="Q209" s="542" t="str">
        <f>IF(Input_voertuigprijzen!AK208&gt;0,Input_voertuig!Q$2,"")</f>
        <v/>
      </c>
      <c r="R209" s="542">
        <f>IF(Input_voertuigprijzen!AL208&gt;0,Input_voertuig!R$2,"")</f>
        <v>2012</v>
      </c>
      <c r="S209" s="542" t="str">
        <f>IF(Input_voertuigprijzen!AM208&gt;0,Input_voertuig!S$2,"")</f>
        <v/>
      </c>
      <c r="T209" s="542" t="str">
        <f>IF(Input_voertuigprijzen!AN208&gt;0,Input_voertuig!T$2,"")</f>
        <v/>
      </c>
    </row>
    <row r="210" spans="1:20" x14ac:dyDescent="0.3">
      <c r="A210" s="489" t="s">
        <v>1414</v>
      </c>
      <c r="B210" s="489" t="s">
        <v>1780</v>
      </c>
      <c r="C210" s="489" t="s">
        <v>1902</v>
      </c>
      <c r="D210" s="489" t="s">
        <v>46</v>
      </c>
      <c r="E210" s="489" t="s">
        <v>994</v>
      </c>
      <c r="F210" s="542" t="str">
        <f>IF(Input_voertuigprijzen!Z209&gt;0,Input_voertuig!F$2,"")</f>
        <v/>
      </c>
      <c r="G210" s="542" t="str">
        <f>IF(Input_voertuigprijzen!AA209&gt;0,Input_voertuig!G$2,"")</f>
        <v/>
      </c>
      <c r="H210" s="542">
        <f>IF(Input_voertuigprijzen!AB209&gt;0,Input_voertuig!H$2,"")</f>
        <v>2022</v>
      </c>
      <c r="I210" s="542" t="str">
        <f>IF(Input_voertuigprijzen!AC209&gt;0,Input_voertuig!I$2,"")</f>
        <v/>
      </c>
      <c r="J210" s="542" t="str">
        <f>IF(Input_voertuigprijzen!AD209&gt;0,Input_voertuig!J$2,"")</f>
        <v/>
      </c>
      <c r="K210" s="542">
        <f>IF(Input_voertuigprijzen!AE209&gt;0,Input_voertuig!K$2,"")</f>
        <v>2019</v>
      </c>
      <c r="L210" s="542">
        <f>IF(Input_voertuigprijzen!AF209&gt;0,Input_voertuig!L$2,"")</f>
        <v>2018</v>
      </c>
      <c r="M210" s="542">
        <f>IF(Input_voertuigprijzen!AG209&gt;0,Input_voertuig!M$2,"")</f>
        <v>2017</v>
      </c>
      <c r="N210" s="542">
        <f>IF(Input_voertuigprijzen!AH209&gt;0,Input_voertuig!N$2,"")</f>
        <v>2016</v>
      </c>
      <c r="O210" s="542" t="str">
        <f>IF(Input_voertuigprijzen!AI209&gt;0,Input_voertuig!O$2,"")</f>
        <v/>
      </c>
      <c r="P210" s="542" t="str">
        <f>IF(Input_voertuigprijzen!AJ209&gt;0,Input_voertuig!P$2,"")</f>
        <v/>
      </c>
      <c r="Q210" s="542" t="str">
        <f>IF(Input_voertuigprijzen!AK209&gt;0,Input_voertuig!Q$2,"")</f>
        <v/>
      </c>
      <c r="R210" s="542" t="str">
        <f>IF(Input_voertuigprijzen!AL209&gt;0,Input_voertuig!R$2,"")</f>
        <v/>
      </c>
      <c r="S210" s="542" t="str">
        <f>IF(Input_voertuigprijzen!AM209&gt;0,Input_voertuig!S$2,"")</f>
        <v/>
      </c>
      <c r="T210" s="542" t="str">
        <f>IF(Input_voertuigprijzen!AN209&gt;0,Input_voertuig!T$2,"")</f>
        <v/>
      </c>
    </row>
    <row r="211" spans="1:20" x14ac:dyDescent="0.3">
      <c r="A211" s="489" t="s">
        <v>1672</v>
      </c>
      <c r="B211" s="489" t="s">
        <v>1781</v>
      </c>
      <c r="C211" s="489" t="s">
        <v>1903</v>
      </c>
      <c r="D211" s="489" t="s">
        <v>46</v>
      </c>
      <c r="E211" s="489" t="s">
        <v>1960</v>
      </c>
      <c r="F211" s="542" t="str">
        <f>IF(Input_voertuigprijzen!Z210&gt;0,Input_voertuig!F$2,"")</f>
        <v/>
      </c>
      <c r="G211" s="542" t="str">
        <f>IF(Input_voertuigprijzen!AA210&gt;0,Input_voertuig!G$2,"")</f>
        <v/>
      </c>
      <c r="H211" s="542">
        <f>IF(Input_voertuigprijzen!AB210&gt;0,Input_voertuig!H$2,"")</f>
        <v>2022</v>
      </c>
      <c r="I211" s="542" t="str">
        <f>IF(Input_voertuigprijzen!AC210&gt;0,Input_voertuig!I$2,"")</f>
        <v/>
      </c>
      <c r="J211" s="542">
        <f>IF(Input_voertuigprijzen!AD210&gt;0,Input_voertuig!J$2,"")</f>
        <v>2020</v>
      </c>
      <c r="K211" s="542" t="str">
        <f>IF(Input_voertuigprijzen!AE210&gt;0,Input_voertuig!K$2,"")</f>
        <v/>
      </c>
      <c r="L211" s="542">
        <f>IF(Input_voertuigprijzen!AF210&gt;0,Input_voertuig!L$2,"")</f>
        <v>2018</v>
      </c>
      <c r="M211" s="542" t="str">
        <f>IF(Input_voertuigprijzen!AG210&gt;0,Input_voertuig!M$2,"")</f>
        <v/>
      </c>
      <c r="N211" s="542" t="str">
        <f>IF(Input_voertuigprijzen!AH210&gt;0,Input_voertuig!N$2,"")</f>
        <v/>
      </c>
      <c r="O211" s="542" t="str">
        <f>IF(Input_voertuigprijzen!AI210&gt;0,Input_voertuig!O$2,"")</f>
        <v/>
      </c>
      <c r="P211" s="542" t="str">
        <f>IF(Input_voertuigprijzen!AJ210&gt;0,Input_voertuig!P$2,"")</f>
        <v/>
      </c>
      <c r="Q211" s="542" t="str">
        <f>IF(Input_voertuigprijzen!AK210&gt;0,Input_voertuig!Q$2,"")</f>
        <v/>
      </c>
      <c r="R211" s="542" t="str">
        <f>IF(Input_voertuigprijzen!AL210&gt;0,Input_voertuig!R$2,"")</f>
        <v/>
      </c>
      <c r="S211" s="542" t="str">
        <f>IF(Input_voertuigprijzen!AM210&gt;0,Input_voertuig!S$2,"")</f>
        <v/>
      </c>
      <c r="T211" s="542" t="str">
        <f>IF(Input_voertuigprijzen!AN210&gt;0,Input_voertuig!T$2,"")</f>
        <v/>
      </c>
    </row>
    <row r="212" spans="1:20" x14ac:dyDescent="0.3">
      <c r="A212" s="489"/>
      <c r="B212" s="489"/>
      <c r="C212" s="489"/>
      <c r="D212" s="489"/>
      <c r="E212" s="489"/>
      <c r="F212" s="542"/>
      <c r="G212" s="542"/>
      <c r="H212" s="542"/>
      <c r="I212" s="542"/>
      <c r="J212" s="542"/>
      <c r="K212" s="542"/>
      <c r="L212" s="542"/>
      <c r="M212" s="542"/>
      <c r="N212" s="542"/>
      <c r="O212" s="542"/>
      <c r="P212" s="542"/>
      <c r="Q212" s="542"/>
      <c r="R212" s="542"/>
      <c r="S212" s="542"/>
      <c r="T212" s="542"/>
    </row>
    <row r="213" spans="1:20" x14ac:dyDescent="0.3">
      <c r="A213" s="489" t="s">
        <v>1426</v>
      </c>
      <c r="B213" s="489" t="s">
        <v>1758</v>
      </c>
      <c r="C213" s="489" t="s">
        <v>1758</v>
      </c>
      <c r="D213" s="489" t="s">
        <v>1936</v>
      </c>
      <c r="E213" s="489" t="s">
        <v>994</v>
      </c>
      <c r="F213" s="542"/>
      <c r="G213" s="542"/>
      <c r="H213" s="542"/>
      <c r="I213" s="542"/>
      <c r="J213" s="542"/>
      <c r="K213" s="542"/>
      <c r="L213" s="542"/>
      <c r="M213" s="542"/>
      <c r="N213" s="542"/>
      <c r="O213" s="542"/>
      <c r="P213" s="542"/>
      <c r="Q213" s="542"/>
      <c r="R213" s="542"/>
      <c r="S213" s="542"/>
      <c r="T213" s="542"/>
    </row>
    <row r="214" spans="1:20" x14ac:dyDescent="0.3">
      <c r="A214" s="489" t="s">
        <v>1694</v>
      </c>
      <c r="B214" s="489" t="s">
        <v>438</v>
      </c>
      <c r="C214" s="489" t="s">
        <v>1907</v>
      </c>
      <c r="D214" s="489" t="s">
        <v>46</v>
      </c>
      <c r="E214" s="489" t="s">
        <v>994</v>
      </c>
      <c r="F214" s="542" t="str">
        <f>IF(Input_voertuigprijzen!Z213&gt;0,Input_voertuig!F$2,"")</f>
        <v/>
      </c>
      <c r="G214" s="542" t="str">
        <f>IF(Input_voertuigprijzen!AA213&gt;0,Input_voertuig!G$2,"")</f>
        <v/>
      </c>
      <c r="H214" s="542" t="str">
        <f>IF(Input_voertuigprijzen!AB213&gt;0,Input_voertuig!H$2,"")</f>
        <v/>
      </c>
      <c r="I214" s="542" t="str">
        <f>IF(Input_voertuigprijzen!AC213&gt;0,Input_voertuig!I$2,"")</f>
        <v/>
      </c>
      <c r="J214" s="542" t="str">
        <f>IF(Input_voertuigprijzen!AD213&gt;0,Input_voertuig!J$2,"")</f>
        <v/>
      </c>
      <c r="K214" s="542" t="str">
        <f>IF(Input_voertuigprijzen!AE213&gt;0,Input_voertuig!K$2,"")</f>
        <v/>
      </c>
      <c r="L214" s="542" t="str">
        <f>IF(Input_voertuigprijzen!AF213&gt;0,Input_voertuig!L$2,"")</f>
        <v/>
      </c>
      <c r="M214" s="542" t="str">
        <f>IF(Input_voertuigprijzen!AG213&gt;0,Input_voertuig!M$2,"")</f>
        <v/>
      </c>
      <c r="N214" s="542" t="str">
        <f>IF(Input_voertuigprijzen!AH213&gt;0,Input_voertuig!N$2,"")</f>
        <v/>
      </c>
      <c r="O214" s="542">
        <f>IF(Input_voertuigprijzen!AI213&gt;0,Input_voertuig!O$2,"")</f>
        <v>2015</v>
      </c>
      <c r="P214" s="542">
        <f>IF(Input_voertuigprijzen!AJ213&gt;0,Input_voertuig!P$2,"")</f>
        <v>2014</v>
      </c>
      <c r="Q214" s="542" t="str">
        <f>IF(Input_voertuigprijzen!AK213&gt;0,Input_voertuig!Q$2,"")</f>
        <v/>
      </c>
      <c r="R214" s="542" t="str">
        <f>IF(Input_voertuigprijzen!AL213&gt;0,Input_voertuig!R$2,"")</f>
        <v/>
      </c>
      <c r="S214" s="542">
        <f>IF(Input_voertuigprijzen!AM213&gt;0,Input_voertuig!S$2,"")</f>
        <v>2011</v>
      </c>
      <c r="T214" s="542">
        <f>IF(Input_voertuigprijzen!AN213&gt;0,Input_voertuig!T$2,"")</f>
        <v>2010</v>
      </c>
    </row>
    <row r="215" spans="1:20" x14ac:dyDescent="0.3">
      <c r="A215" s="489" t="s">
        <v>1605</v>
      </c>
      <c r="B215" s="489" t="s">
        <v>1673</v>
      </c>
      <c r="C215" s="489" t="s">
        <v>1908</v>
      </c>
      <c r="D215" s="489" t="s">
        <v>46</v>
      </c>
      <c r="E215" s="489" t="s">
        <v>994</v>
      </c>
      <c r="F215" s="542" t="str">
        <f>IF(Input_voertuigprijzen!Z214&gt;0,Input_voertuig!F$2,"")</f>
        <v/>
      </c>
      <c r="G215" s="542" t="str">
        <f>IF(Input_voertuigprijzen!AA214&gt;0,Input_voertuig!G$2,"")</f>
        <v/>
      </c>
      <c r="H215" s="542" t="str">
        <f>IF(Input_voertuigprijzen!AB214&gt;0,Input_voertuig!H$2,"")</f>
        <v/>
      </c>
      <c r="I215" s="542">
        <f>IF(Input_voertuigprijzen!AC214&gt;0,Input_voertuig!I$2,"")</f>
        <v>2021</v>
      </c>
      <c r="J215" s="542" t="str">
        <f>IF(Input_voertuigprijzen!AD214&gt;0,Input_voertuig!J$2,"")</f>
        <v/>
      </c>
      <c r="K215" s="542" t="str">
        <f>IF(Input_voertuigprijzen!AE214&gt;0,Input_voertuig!K$2,"")</f>
        <v/>
      </c>
      <c r="L215" s="542" t="str">
        <f>IF(Input_voertuigprijzen!AF214&gt;0,Input_voertuig!L$2,"")</f>
        <v/>
      </c>
      <c r="M215" s="542">
        <f>IF(Input_voertuigprijzen!AG214&gt;0,Input_voertuig!M$2,"")</f>
        <v>2017</v>
      </c>
      <c r="N215" s="542">
        <f>IF(Input_voertuigprijzen!AH214&gt;0,Input_voertuig!N$2,"")</f>
        <v>2016</v>
      </c>
      <c r="O215" s="542">
        <f>IF(Input_voertuigprijzen!AI214&gt;0,Input_voertuig!O$2,"")</f>
        <v>2015</v>
      </c>
      <c r="P215" s="542" t="str">
        <f>IF(Input_voertuigprijzen!AJ214&gt;0,Input_voertuig!P$2,"")</f>
        <v/>
      </c>
      <c r="Q215" s="542" t="str">
        <f>IF(Input_voertuigprijzen!AK214&gt;0,Input_voertuig!Q$2,"")</f>
        <v/>
      </c>
      <c r="R215" s="542">
        <f>IF(Input_voertuigprijzen!AL214&gt;0,Input_voertuig!R$2,"")</f>
        <v>2012</v>
      </c>
      <c r="S215" s="542" t="str">
        <f>IF(Input_voertuigprijzen!AM214&gt;0,Input_voertuig!S$2,"")</f>
        <v/>
      </c>
      <c r="T215" s="542" t="str">
        <f>IF(Input_voertuigprijzen!AN214&gt;0,Input_voertuig!T$2,"")</f>
        <v/>
      </c>
    </row>
    <row r="216" spans="1:20" x14ac:dyDescent="0.3">
      <c r="A216" s="489" t="s">
        <v>1441</v>
      </c>
      <c r="B216" s="489" t="s">
        <v>1782</v>
      </c>
      <c r="C216" s="489" t="s">
        <v>1909</v>
      </c>
      <c r="D216" s="489" t="s">
        <v>1929</v>
      </c>
      <c r="E216" s="489" t="s">
        <v>994</v>
      </c>
      <c r="F216" s="542" t="str">
        <f>IF(Input_voertuigprijzen!Z215&gt;0,Input_voertuig!F$2,"")</f>
        <v/>
      </c>
      <c r="G216" s="542" t="str">
        <f>IF(Input_voertuigprijzen!AA215&gt;0,Input_voertuig!G$2,"")</f>
        <v/>
      </c>
      <c r="H216" s="542" t="str">
        <f>IF(Input_voertuigprijzen!AB215&gt;0,Input_voertuig!H$2,"")</f>
        <v/>
      </c>
      <c r="I216" s="542" t="str">
        <f>IF(Input_voertuigprijzen!AC215&gt;0,Input_voertuig!I$2,"")</f>
        <v/>
      </c>
      <c r="J216" s="542" t="str">
        <f>IF(Input_voertuigprijzen!AD215&gt;0,Input_voertuig!J$2,"")</f>
        <v/>
      </c>
      <c r="K216" s="542" t="str">
        <f>IF(Input_voertuigprijzen!AE215&gt;0,Input_voertuig!K$2,"")</f>
        <v/>
      </c>
      <c r="L216" s="542" t="str">
        <f>IF(Input_voertuigprijzen!AF215&gt;0,Input_voertuig!L$2,"")</f>
        <v/>
      </c>
      <c r="M216" s="542" t="str">
        <f>IF(Input_voertuigprijzen!AG215&gt;0,Input_voertuig!M$2,"")</f>
        <v/>
      </c>
      <c r="N216" s="542" t="str">
        <f>IF(Input_voertuigprijzen!AH215&gt;0,Input_voertuig!N$2,"")</f>
        <v/>
      </c>
      <c r="O216" s="542" t="str">
        <f>IF(Input_voertuigprijzen!AI215&gt;0,Input_voertuig!O$2,"")</f>
        <v/>
      </c>
      <c r="P216" s="542">
        <f>IF(Input_voertuigprijzen!AJ215&gt;0,Input_voertuig!P$2,"")</f>
        <v>2014</v>
      </c>
      <c r="Q216" s="542">
        <f>IF(Input_voertuigprijzen!AK215&gt;0,Input_voertuig!Q$2,"")</f>
        <v>2013</v>
      </c>
      <c r="R216" s="542" t="str">
        <f>IF(Input_voertuigprijzen!AL215&gt;0,Input_voertuig!R$2,"")</f>
        <v/>
      </c>
      <c r="S216" s="542" t="str">
        <f>IF(Input_voertuigprijzen!AM215&gt;0,Input_voertuig!S$2,"")</f>
        <v/>
      </c>
      <c r="T216" s="542" t="str">
        <f>IF(Input_voertuigprijzen!AN215&gt;0,Input_voertuig!T$2,"")</f>
        <v/>
      </c>
    </row>
    <row r="217" spans="1:20" x14ac:dyDescent="0.3">
      <c r="A217" s="489" t="s">
        <v>1677</v>
      </c>
      <c r="B217" s="489" t="s">
        <v>1783</v>
      </c>
      <c r="C217" s="489" t="s">
        <v>1910</v>
      </c>
      <c r="D217" s="489" t="s">
        <v>46</v>
      </c>
      <c r="E217" s="489" t="s">
        <v>994</v>
      </c>
      <c r="F217" s="542" t="str">
        <f>IF(Input_voertuigprijzen!Z216&gt;0,Input_voertuig!F$2,"")</f>
        <v/>
      </c>
      <c r="G217" s="542" t="str">
        <f>IF(Input_voertuigprijzen!AA216&gt;0,Input_voertuig!G$2,"")</f>
        <v/>
      </c>
      <c r="H217" s="542" t="str">
        <f>IF(Input_voertuigprijzen!AB216&gt;0,Input_voertuig!H$2,"")</f>
        <v/>
      </c>
      <c r="I217" s="542" t="str">
        <f>IF(Input_voertuigprijzen!AC216&gt;0,Input_voertuig!I$2,"")</f>
        <v/>
      </c>
      <c r="J217" s="542" t="str">
        <f>IF(Input_voertuigprijzen!AD216&gt;0,Input_voertuig!J$2,"")</f>
        <v/>
      </c>
      <c r="K217" s="542">
        <f>IF(Input_voertuigprijzen!AE216&gt;0,Input_voertuig!K$2,"")</f>
        <v>2019</v>
      </c>
      <c r="L217" s="542" t="str">
        <f>IF(Input_voertuigprijzen!AF216&gt;0,Input_voertuig!L$2,"")</f>
        <v/>
      </c>
      <c r="M217" s="542">
        <f>IF(Input_voertuigprijzen!AG216&gt;0,Input_voertuig!M$2,"")</f>
        <v>2017</v>
      </c>
      <c r="N217" s="542" t="str">
        <f>IF(Input_voertuigprijzen!AH216&gt;0,Input_voertuig!N$2,"")</f>
        <v/>
      </c>
      <c r="O217" s="542" t="str">
        <f>IF(Input_voertuigprijzen!AI216&gt;0,Input_voertuig!O$2,"")</f>
        <v/>
      </c>
      <c r="P217" s="542">
        <f>IF(Input_voertuigprijzen!AJ216&gt;0,Input_voertuig!P$2,"")</f>
        <v>2014</v>
      </c>
      <c r="Q217" s="542">
        <f>IF(Input_voertuigprijzen!AK216&gt;0,Input_voertuig!Q$2,"")</f>
        <v>2013</v>
      </c>
      <c r="R217" s="542" t="str">
        <f>IF(Input_voertuigprijzen!AL216&gt;0,Input_voertuig!R$2,"")</f>
        <v/>
      </c>
      <c r="S217" s="542" t="str">
        <f>IF(Input_voertuigprijzen!AM216&gt;0,Input_voertuig!S$2,"")</f>
        <v/>
      </c>
      <c r="T217" s="542" t="str">
        <f>IF(Input_voertuigprijzen!AN216&gt;0,Input_voertuig!T$2,"")</f>
        <v/>
      </c>
    </row>
    <row r="218" spans="1:20" x14ac:dyDescent="0.3">
      <c r="A218" s="489" t="s">
        <v>1591</v>
      </c>
      <c r="B218" s="489" t="s">
        <v>1784</v>
      </c>
      <c r="C218" s="489" t="s">
        <v>1784</v>
      </c>
      <c r="D218" s="489" t="s">
        <v>46</v>
      </c>
      <c r="E218" s="489" t="s">
        <v>994</v>
      </c>
      <c r="F218" s="542" t="str">
        <f>IF(Input_voertuigprijzen!Z217&gt;0,Input_voertuig!F$2,"")</f>
        <v/>
      </c>
      <c r="G218" s="542">
        <f>IF(Input_voertuigprijzen!AA217&gt;0,Input_voertuig!G$2,"")</f>
        <v>2023</v>
      </c>
      <c r="H218" s="542">
        <f>IF(Input_voertuigprijzen!AB217&gt;0,Input_voertuig!H$2,"")</f>
        <v>2022</v>
      </c>
      <c r="I218" s="542" t="str">
        <f>IF(Input_voertuigprijzen!AC217&gt;0,Input_voertuig!I$2,"")</f>
        <v/>
      </c>
      <c r="J218" s="542">
        <f>IF(Input_voertuigprijzen!AD217&gt;0,Input_voertuig!J$2,"")</f>
        <v>2020</v>
      </c>
      <c r="K218" s="542">
        <f>IF(Input_voertuigprijzen!AE217&gt;0,Input_voertuig!K$2,"")</f>
        <v>2019</v>
      </c>
      <c r="L218" s="542">
        <f>IF(Input_voertuigprijzen!AF217&gt;0,Input_voertuig!L$2,"")</f>
        <v>2018</v>
      </c>
      <c r="M218" s="542">
        <f>IF(Input_voertuigprijzen!AG217&gt;0,Input_voertuig!M$2,"")</f>
        <v>2017</v>
      </c>
      <c r="N218" s="542" t="str">
        <f>IF(Input_voertuigprijzen!AH217&gt;0,Input_voertuig!N$2,"")</f>
        <v/>
      </c>
      <c r="O218" s="542" t="str">
        <f>IF(Input_voertuigprijzen!AI217&gt;0,Input_voertuig!O$2,"")</f>
        <v/>
      </c>
      <c r="P218" s="542">
        <f>IF(Input_voertuigprijzen!AJ217&gt;0,Input_voertuig!P$2,"")</f>
        <v>2014</v>
      </c>
      <c r="Q218" s="542" t="str">
        <f>IF(Input_voertuigprijzen!AK217&gt;0,Input_voertuig!Q$2,"")</f>
        <v/>
      </c>
      <c r="R218" s="542" t="str">
        <f>IF(Input_voertuigprijzen!AL217&gt;0,Input_voertuig!R$2,"")</f>
        <v/>
      </c>
      <c r="S218" s="542" t="str">
        <f>IF(Input_voertuigprijzen!AM217&gt;0,Input_voertuig!S$2,"")</f>
        <v/>
      </c>
      <c r="T218" s="542" t="str">
        <f>IF(Input_voertuigprijzen!AN217&gt;0,Input_voertuig!T$2,"")</f>
        <v/>
      </c>
    </row>
    <row r="219" spans="1:20" x14ac:dyDescent="0.3">
      <c r="A219" s="489" t="s">
        <v>1414</v>
      </c>
      <c r="B219" s="489" t="s">
        <v>1674</v>
      </c>
      <c r="C219" s="489" t="s">
        <v>1911</v>
      </c>
      <c r="D219" s="489" t="s">
        <v>46</v>
      </c>
      <c r="E219" s="489" t="s">
        <v>994</v>
      </c>
      <c r="F219" s="542" t="str">
        <f>IF(Input_voertuigprijzen!Z218&gt;0,Input_voertuig!F$2,"")</f>
        <v/>
      </c>
      <c r="G219" s="542">
        <f>IF(Input_voertuigprijzen!AA218&gt;0,Input_voertuig!G$2,"")</f>
        <v>2023</v>
      </c>
      <c r="H219" s="542" t="str">
        <f>IF(Input_voertuigprijzen!AB218&gt;0,Input_voertuig!H$2,"")</f>
        <v/>
      </c>
      <c r="I219" s="542" t="str">
        <f>IF(Input_voertuigprijzen!AC218&gt;0,Input_voertuig!I$2,"")</f>
        <v/>
      </c>
      <c r="J219" s="542" t="str">
        <f>IF(Input_voertuigprijzen!AD218&gt;0,Input_voertuig!J$2,"")</f>
        <v/>
      </c>
      <c r="K219" s="542">
        <f>IF(Input_voertuigprijzen!AE218&gt;0,Input_voertuig!K$2,"")</f>
        <v>2019</v>
      </c>
      <c r="L219" s="542">
        <f>IF(Input_voertuigprijzen!AF218&gt;0,Input_voertuig!L$2,"")</f>
        <v>2018</v>
      </c>
      <c r="M219" s="542">
        <f>IF(Input_voertuigprijzen!AG218&gt;0,Input_voertuig!M$2,"")</f>
        <v>2017</v>
      </c>
      <c r="N219" s="542" t="str">
        <f>IF(Input_voertuigprijzen!AH218&gt;0,Input_voertuig!N$2,"")</f>
        <v/>
      </c>
      <c r="O219" s="542" t="str">
        <f>IF(Input_voertuigprijzen!AI218&gt;0,Input_voertuig!O$2,"")</f>
        <v/>
      </c>
      <c r="P219" s="542" t="str">
        <f>IF(Input_voertuigprijzen!AJ218&gt;0,Input_voertuig!P$2,"")</f>
        <v/>
      </c>
      <c r="Q219" s="542" t="str">
        <f>IF(Input_voertuigprijzen!AK218&gt;0,Input_voertuig!Q$2,"")</f>
        <v/>
      </c>
      <c r="R219" s="542" t="str">
        <f>IF(Input_voertuigprijzen!AL218&gt;0,Input_voertuig!R$2,"")</f>
        <v/>
      </c>
      <c r="S219" s="542" t="str">
        <f>IF(Input_voertuigprijzen!AM218&gt;0,Input_voertuig!S$2,"")</f>
        <v/>
      </c>
      <c r="T219" s="542" t="str">
        <f>IF(Input_voertuigprijzen!AN218&gt;0,Input_voertuig!T$2,"")</f>
        <v/>
      </c>
    </row>
    <row r="220" spans="1:20" x14ac:dyDescent="0.3">
      <c r="A220" s="489" t="s">
        <v>1414</v>
      </c>
      <c r="B220" s="489" t="s">
        <v>1785</v>
      </c>
      <c r="C220" s="489" t="s">
        <v>1912</v>
      </c>
      <c r="D220" s="489" t="s">
        <v>46</v>
      </c>
      <c r="E220" s="489" t="s">
        <v>994</v>
      </c>
      <c r="F220" s="542">
        <f>IF(Input_voertuigprijzen!Z219&gt;0,Input_voertuig!F$2,"")</f>
        <v>2024</v>
      </c>
      <c r="G220" s="542">
        <f>IF(Input_voertuigprijzen!AA219&gt;0,Input_voertuig!G$2,"")</f>
        <v>2023</v>
      </c>
      <c r="H220" s="542" t="str">
        <f>IF(Input_voertuigprijzen!AB219&gt;0,Input_voertuig!H$2,"")</f>
        <v/>
      </c>
      <c r="I220" s="542">
        <f>IF(Input_voertuigprijzen!AC219&gt;0,Input_voertuig!I$2,"")</f>
        <v>2021</v>
      </c>
      <c r="J220" s="542" t="str">
        <f>IF(Input_voertuigprijzen!AD219&gt;0,Input_voertuig!J$2,"")</f>
        <v/>
      </c>
      <c r="K220" s="542" t="str">
        <f>IF(Input_voertuigprijzen!AE219&gt;0,Input_voertuig!K$2,"")</f>
        <v/>
      </c>
      <c r="L220" s="542">
        <f>IF(Input_voertuigprijzen!AF219&gt;0,Input_voertuig!L$2,"")</f>
        <v>2018</v>
      </c>
      <c r="M220" s="542">
        <f>IF(Input_voertuigprijzen!AG219&gt;0,Input_voertuig!M$2,"")</f>
        <v>2017</v>
      </c>
      <c r="N220" s="542">
        <f>IF(Input_voertuigprijzen!AH219&gt;0,Input_voertuig!N$2,"")</f>
        <v>2016</v>
      </c>
      <c r="O220" s="542">
        <f>IF(Input_voertuigprijzen!AI219&gt;0,Input_voertuig!O$2,"")</f>
        <v>2015</v>
      </c>
      <c r="P220" s="542" t="str">
        <f>IF(Input_voertuigprijzen!AJ219&gt;0,Input_voertuig!P$2,"")</f>
        <v/>
      </c>
      <c r="Q220" s="542" t="str">
        <f>IF(Input_voertuigprijzen!AK219&gt;0,Input_voertuig!Q$2,"")</f>
        <v/>
      </c>
      <c r="R220" s="542">
        <f>IF(Input_voertuigprijzen!AL219&gt;0,Input_voertuig!R$2,"")</f>
        <v>2012</v>
      </c>
      <c r="S220" s="542">
        <f>IF(Input_voertuigprijzen!AM219&gt;0,Input_voertuig!S$2,"")</f>
        <v>2011</v>
      </c>
      <c r="T220" s="542" t="str">
        <f>IF(Input_voertuigprijzen!AN219&gt;0,Input_voertuig!T$2,"")</f>
        <v/>
      </c>
    </row>
    <row r="221" spans="1:20" x14ac:dyDescent="0.3">
      <c r="A221" s="489" t="s">
        <v>1441</v>
      </c>
      <c r="B221" s="489" t="s">
        <v>1551</v>
      </c>
      <c r="C221" s="489" t="s">
        <v>1552</v>
      </c>
      <c r="D221" s="489" t="s">
        <v>1530</v>
      </c>
      <c r="E221" s="489" t="s">
        <v>994</v>
      </c>
      <c r="F221" s="542" t="str">
        <f>IF(Input_voertuigprijzen!Z220&gt;0,Input_voertuig!F$2,"")</f>
        <v/>
      </c>
      <c r="G221" s="542" t="str">
        <f>IF(Input_voertuigprijzen!AA220&gt;0,Input_voertuig!G$2,"")</f>
        <v/>
      </c>
      <c r="H221" s="542" t="str">
        <f>IF(Input_voertuigprijzen!AB220&gt;0,Input_voertuig!H$2,"")</f>
        <v/>
      </c>
      <c r="I221" s="542" t="str">
        <f>IF(Input_voertuigprijzen!AC220&gt;0,Input_voertuig!I$2,"")</f>
        <v/>
      </c>
      <c r="J221" s="542" t="str">
        <f>IF(Input_voertuigprijzen!AD220&gt;0,Input_voertuig!J$2,"")</f>
        <v/>
      </c>
      <c r="K221" s="542" t="str">
        <f>IF(Input_voertuigprijzen!AE220&gt;0,Input_voertuig!K$2,"")</f>
        <v/>
      </c>
      <c r="L221" s="542">
        <f>IF(Input_voertuigprijzen!AF220&gt;0,Input_voertuig!L$2,"")</f>
        <v>2018</v>
      </c>
      <c r="M221" s="542">
        <f>IF(Input_voertuigprijzen!AG220&gt;0,Input_voertuig!M$2,"")</f>
        <v>2017</v>
      </c>
      <c r="N221" s="542">
        <f>IF(Input_voertuigprijzen!AH220&gt;0,Input_voertuig!N$2,"")</f>
        <v>2016</v>
      </c>
      <c r="O221" s="542" t="str">
        <f>IF(Input_voertuigprijzen!AI220&gt;0,Input_voertuig!O$2,"")</f>
        <v/>
      </c>
      <c r="P221" s="542" t="str">
        <f>IF(Input_voertuigprijzen!AJ220&gt;0,Input_voertuig!P$2,"")</f>
        <v/>
      </c>
      <c r="Q221" s="542" t="str">
        <f>IF(Input_voertuigprijzen!AK220&gt;0,Input_voertuig!Q$2,"")</f>
        <v/>
      </c>
      <c r="R221" s="542">
        <f>IF(Input_voertuigprijzen!AL220&gt;0,Input_voertuig!R$2,"")</f>
        <v>2012</v>
      </c>
      <c r="S221" s="542">
        <f>IF(Input_voertuigprijzen!AM220&gt;0,Input_voertuig!S$2,"")</f>
        <v>2011</v>
      </c>
      <c r="T221" s="542" t="str">
        <f>IF(Input_voertuigprijzen!AN220&gt;0,Input_voertuig!T$2,"")</f>
        <v/>
      </c>
    </row>
    <row r="222" spans="1:20" x14ac:dyDescent="0.3">
      <c r="A222" s="489" t="s">
        <v>1441</v>
      </c>
      <c r="B222" s="489" t="s">
        <v>1786</v>
      </c>
      <c r="C222" s="489" t="s">
        <v>1913</v>
      </c>
      <c r="D222" s="489" t="s">
        <v>46</v>
      </c>
      <c r="E222" s="489" t="s">
        <v>1960</v>
      </c>
      <c r="F222" s="542" t="str">
        <f>IF(Input_voertuigprijzen!Z221&gt;0,Input_voertuig!F$2,"")</f>
        <v/>
      </c>
      <c r="G222" s="542" t="str">
        <f>IF(Input_voertuigprijzen!AA221&gt;0,Input_voertuig!G$2,"")</f>
        <v/>
      </c>
      <c r="H222" s="542">
        <f>IF(Input_voertuigprijzen!AB221&gt;0,Input_voertuig!H$2,"")</f>
        <v>2022</v>
      </c>
      <c r="I222" s="542" t="str">
        <f>IF(Input_voertuigprijzen!AC221&gt;0,Input_voertuig!I$2,"")</f>
        <v/>
      </c>
      <c r="J222" s="542" t="str">
        <f>IF(Input_voertuigprijzen!AD221&gt;0,Input_voertuig!J$2,"")</f>
        <v/>
      </c>
      <c r="K222" s="542" t="str">
        <f>IF(Input_voertuigprijzen!AE221&gt;0,Input_voertuig!K$2,"")</f>
        <v/>
      </c>
      <c r="L222" s="542" t="str">
        <f>IF(Input_voertuigprijzen!AF221&gt;0,Input_voertuig!L$2,"")</f>
        <v/>
      </c>
      <c r="M222" s="542">
        <f>IF(Input_voertuigprijzen!AG221&gt;0,Input_voertuig!M$2,"")</f>
        <v>2017</v>
      </c>
      <c r="N222" s="542" t="str">
        <f>IF(Input_voertuigprijzen!AH221&gt;0,Input_voertuig!N$2,"")</f>
        <v/>
      </c>
      <c r="O222" s="542">
        <f>IF(Input_voertuigprijzen!AI221&gt;0,Input_voertuig!O$2,"")</f>
        <v>2015</v>
      </c>
      <c r="P222" s="542">
        <f>IF(Input_voertuigprijzen!AJ221&gt;0,Input_voertuig!P$2,"")</f>
        <v>2014</v>
      </c>
      <c r="Q222" s="542">
        <f>IF(Input_voertuigprijzen!AK221&gt;0,Input_voertuig!Q$2,"")</f>
        <v>2013</v>
      </c>
      <c r="R222" s="542" t="str">
        <f>IF(Input_voertuigprijzen!AL221&gt;0,Input_voertuig!R$2,"")</f>
        <v/>
      </c>
      <c r="S222" s="542">
        <f>IF(Input_voertuigprijzen!AM221&gt;0,Input_voertuig!S$2,"")</f>
        <v>2011</v>
      </c>
      <c r="T222" s="542" t="str">
        <f>IF(Input_voertuigprijzen!AN221&gt;0,Input_voertuig!T$2,"")</f>
        <v/>
      </c>
    </row>
    <row r="223" spans="1:20" x14ac:dyDescent="0.3">
      <c r="A223" s="489" t="s">
        <v>1441</v>
      </c>
      <c r="B223" s="489" t="s">
        <v>1787</v>
      </c>
      <c r="C223" s="489" t="s">
        <v>1914</v>
      </c>
      <c r="D223" s="489" t="s">
        <v>46</v>
      </c>
      <c r="E223" s="489" t="s">
        <v>994</v>
      </c>
      <c r="F223" s="542" t="str">
        <f>IF(Input_voertuigprijzen!Z222&gt;0,Input_voertuig!F$2,"")</f>
        <v/>
      </c>
      <c r="G223" s="542" t="str">
        <f>IF(Input_voertuigprijzen!AA222&gt;0,Input_voertuig!G$2,"")</f>
        <v/>
      </c>
      <c r="H223" s="542">
        <f>IF(Input_voertuigprijzen!AB222&gt;0,Input_voertuig!H$2,"")</f>
        <v>2022</v>
      </c>
      <c r="I223" s="542" t="str">
        <f>IF(Input_voertuigprijzen!AC222&gt;0,Input_voertuig!I$2,"")</f>
        <v/>
      </c>
      <c r="J223" s="542" t="str">
        <f>IF(Input_voertuigprijzen!AD222&gt;0,Input_voertuig!J$2,"")</f>
        <v/>
      </c>
      <c r="K223" s="542" t="str">
        <f>IF(Input_voertuigprijzen!AE222&gt;0,Input_voertuig!K$2,"")</f>
        <v/>
      </c>
      <c r="L223" s="542">
        <f>IF(Input_voertuigprijzen!AF222&gt;0,Input_voertuig!L$2,"")</f>
        <v>2018</v>
      </c>
      <c r="M223" s="542" t="str">
        <f>IF(Input_voertuigprijzen!AG222&gt;0,Input_voertuig!M$2,"")</f>
        <v/>
      </c>
      <c r="N223" s="542">
        <f>IF(Input_voertuigprijzen!AH222&gt;0,Input_voertuig!N$2,"")</f>
        <v>2016</v>
      </c>
      <c r="O223" s="542">
        <f>IF(Input_voertuigprijzen!AI222&gt;0,Input_voertuig!O$2,"")</f>
        <v>2015</v>
      </c>
      <c r="P223" s="542">
        <f>IF(Input_voertuigprijzen!AJ222&gt;0,Input_voertuig!P$2,"")</f>
        <v>2014</v>
      </c>
      <c r="Q223" s="542" t="str">
        <f>IF(Input_voertuigprijzen!AK222&gt;0,Input_voertuig!Q$2,"")</f>
        <v/>
      </c>
      <c r="R223" s="542" t="str">
        <f>IF(Input_voertuigprijzen!AL222&gt;0,Input_voertuig!R$2,"")</f>
        <v/>
      </c>
      <c r="S223" s="542" t="str">
        <f>IF(Input_voertuigprijzen!AM222&gt;0,Input_voertuig!S$2,"")</f>
        <v/>
      </c>
      <c r="T223" s="542" t="str">
        <f>IF(Input_voertuigprijzen!AN222&gt;0,Input_voertuig!T$2,"")</f>
        <v/>
      </c>
    </row>
    <row r="224" spans="1:20" x14ac:dyDescent="0.3">
      <c r="A224" s="489" t="s">
        <v>1441</v>
      </c>
      <c r="B224" s="489" t="s">
        <v>1442</v>
      </c>
      <c r="C224" s="489" t="s">
        <v>1443</v>
      </c>
      <c r="D224" s="489" t="s">
        <v>46</v>
      </c>
      <c r="E224" s="489" t="s">
        <v>1960</v>
      </c>
      <c r="F224" s="542" t="str">
        <f>IF(Input_voertuigprijzen!Z223&gt;0,Input_voertuig!F$2,"")</f>
        <v/>
      </c>
      <c r="G224" s="542" t="str">
        <f>IF(Input_voertuigprijzen!AA223&gt;0,Input_voertuig!G$2,"")</f>
        <v/>
      </c>
      <c r="H224" s="542">
        <f>IF(Input_voertuigprijzen!AB223&gt;0,Input_voertuig!H$2,"")</f>
        <v>2022</v>
      </c>
      <c r="I224" s="542">
        <f>IF(Input_voertuigprijzen!AC223&gt;0,Input_voertuig!I$2,"")</f>
        <v>2021</v>
      </c>
      <c r="J224" s="542" t="str">
        <f>IF(Input_voertuigprijzen!AD223&gt;0,Input_voertuig!J$2,"")</f>
        <v/>
      </c>
      <c r="K224" s="542">
        <f>IF(Input_voertuigprijzen!AE223&gt;0,Input_voertuig!K$2,"")</f>
        <v>2019</v>
      </c>
      <c r="L224" s="542">
        <f>IF(Input_voertuigprijzen!AF223&gt;0,Input_voertuig!L$2,"")</f>
        <v>2018</v>
      </c>
      <c r="M224" s="542">
        <f>IF(Input_voertuigprijzen!AG223&gt;0,Input_voertuig!M$2,"")</f>
        <v>2017</v>
      </c>
      <c r="N224" s="542" t="str">
        <f>IF(Input_voertuigprijzen!AH223&gt;0,Input_voertuig!N$2,"")</f>
        <v/>
      </c>
      <c r="O224" s="542">
        <f>IF(Input_voertuigprijzen!AI223&gt;0,Input_voertuig!O$2,"")</f>
        <v>2015</v>
      </c>
      <c r="P224" s="542" t="str">
        <f>IF(Input_voertuigprijzen!AJ223&gt;0,Input_voertuig!P$2,"")</f>
        <v/>
      </c>
      <c r="Q224" s="542" t="str">
        <f>IF(Input_voertuigprijzen!AK223&gt;0,Input_voertuig!Q$2,"")</f>
        <v/>
      </c>
      <c r="R224" s="542">
        <f>IF(Input_voertuigprijzen!AL223&gt;0,Input_voertuig!R$2,"")</f>
        <v>2012</v>
      </c>
      <c r="S224" s="542" t="str">
        <f>IF(Input_voertuigprijzen!AM223&gt;0,Input_voertuig!S$2,"")</f>
        <v/>
      </c>
      <c r="T224" s="542" t="str">
        <f>IF(Input_voertuigprijzen!AN223&gt;0,Input_voertuig!T$2,"")</f>
        <v/>
      </c>
    </row>
    <row r="225" spans="1:20" x14ac:dyDescent="0.3">
      <c r="A225" s="489" t="s">
        <v>1694</v>
      </c>
      <c r="B225" s="489" t="s">
        <v>1788</v>
      </c>
      <c r="C225" s="489" t="s">
        <v>1915</v>
      </c>
      <c r="D225" s="489" t="s">
        <v>141</v>
      </c>
      <c r="E225" s="489" t="s">
        <v>994</v>
      </c>
      <c r="F225" s="542" t="str">
        <f>IF(Input_voertuigprijzen!Z224&gt;0,Input_voertuig!F$2,"")</f>
        <v/>
      </c>
      <c r="G225" s="542">
        <f>IF(Input_voertuigprijzen!AA224&gt;0,Input_voertuig!G$2,"")</f>
        <v>2023</v>
      </c>
      <c r="H225" s="542" t="str">
        <f>IF(Input_voertuigprijzen!AB224&gt;0,Input_voertuig!H$2,"")</f>
        <v/>
      </c>
      <c r="I225" s="542">
        <f>IF(Input_voertuigprijzen!AC224&gt;0,Input_voertuig!I$2,"")</f>
        <v>2021</v>
      </c>
      <c r="J225" s="542">
        <f>IF(Input_voertuigprijzen!AD224&gt;0,Input_voertuig!J$2,"")</f>
        <v>2020</v>
      </c>
      <c r="K225" s="542">
        <f>IF(Input_voertuigprijzen!AE224&gt;0,Input_voertuig!K$2,"")</f>
        <v>2019</v>
      </c>
      <c r="L225" s="542" t="str">
        <f>IF(Input_voertuigprijzen!AF224&gt;0,Input_voertuig!L$2,"")</f>
        <v/>
      </c>
      <c r="M225" s="542" t="str">
        <f>IF(Input_voertuigprijzen!AG224&gt;0,Input_voertuig!M$2,"")</f>
        <v/>
      </c>
      <c r="N225" s="542" t="str">
        <f>IF(Input_voertuigprijzen!AH224&gt;0,Input_voertuig!N$2,"")</f>
        <v/>
      </c>
      <c r="O225" s="542" t="str">
        <f>IF(Input_voertuigprijzen!AI224&gt;0,Input_voertuig!O$2,"")</f>
        <v/>
      </c>
      <c r="P225" s="542" t="str">
        <f>IF(Input_voertuigprijzen!AJ224&gt;0,Input_voertuig!P$2,"")</f>
        <v/>
      </c>
      <c r="Q225" s="542" t="str">
        <f>IF(Input_voertuigprijzen!AK224&gt;0,Input_voertuig!Q$2,"")</f>
        <v/>
      </c>
      <c r="R225" s="542" t="str">
        <f>IF(Input_voertuigprijzen!AL224&gt;0,Input_voertuig!R$2,"")</f>
        <v/>
      </c>
      <c r="S225" s="542" t="str">
        <f>IF(Input_voertuigprijzen!AM224&gt;0,Input_voertuig!S$2,"")</f>
        <v/>
      </c>
      <c r="T225" s="542" t="str">
        <f>IF(Input_voertuigprijzen!AN224&gt;0,Input_voertuig!T$2,"")</f>
        <v/>
      </c>
    </row>
    <row r="226" spans="1:20" x14ac:dyDescent="0.3">
      <c r="A226" s="489" t="s">
        <v>1414</v>
      </c>
      <c r="B226" s="489" t="s">
        <v>1789</v>
      </c>
      <c r="C226" s="489" t="s">
        <v>1916</v>
      </c>
      <c r="D226" s="489" t="s">
        <v>46</v>
      </c>
      <c r="E226" s="489" t="s">
        <v>994</v>
      </c>
      <c r="F226" s="542" t="str">
        <f>IF(Input_voertuigprijzen!Z225&gt;0,Input_voertuig!F$2,"")</f>
        <v/>
      </c>
      <c r="G226" s="542">
        <f>IF(Input_voertuigprijzen!AA225&gt;0,Input_voertuig!G$2,"")</f>
        <v>2023</v>
      </c>
      <c r="H226" s="542">
        <f>IF(Input_voertuigprijzen!AB225&gt;0,Input_voertuig!H$2,"")</f>
        <v>2022</v>
      </c>
      <c r="I226" s="542" t="str">
        <f>IF(Input_voertuigprijzen!AC225&gt;0,Input_voertuig!I$2,"")</f>
        <v/>
      </c>
      <c r="J226" s="542" t="str">
        <f>IF(Input_voertuigprijzen!AD225&gt;0,Input_voertuig!J$2,"")</f>
        <v/>
      </c>
      <c r="K226" s="542">
        <f>IF(Input_voertuigprijzen!AE225&gt;0,Input_voertuig!K$2,"")</f>
        <v>2019</v>
      </c>
      <c r="L226" s="542">
        <f>IF(Input_voertuigprijzen!AF225&gt;0,Input_voertuig!L$2,"")</f>
        <v>2018</v>
      </c>
      <c r="M226" s="542">
        <f>IF(Input_voertuigprijzen!AG225&gt;0,Input_voertuig!M$2,"")</f>
        <v>2017</v>
      </c>
      <c r="N226" s="542" t="str">
        <f>IF(Input_voertuigprijzen!AH225&gt;0,Input_voertuig!N$2,"")</f>
        <v/>
      </c>
      <c r="O226" s="542" t="str">
        <f>IF(Input_voertuigprijzen!AI225&gt;0,Input_voertuig!O$2,"")</f>
        <v/>
      </c>
      <c r="P226" s="542" t="str">
        <f>IF(Input_voertuigprijzen!AJ225&gt;0,Input_voertuig!P$2,"")</f>
        <v/>
      </c>
      <c r="Q226" s="542" t="str">
        <f>IF(Input_voertuigprijzen!AK225&gt;0,Input_voertuig!Q$2,"")</f>
        <v/>
      </c>
      <c r="R226" s="542" t="str">
        <f>IF(Input_voertuigprijzen!AL225&gt;0,Input_voertuig!R$2,"")</f>
        <v/>
      </c>
      <c r="S226" s="542" t="str">
        <f>IF(Input_voertuigprijzen!AM225&gt;0,Input_voertuig!S$2,"")</f>
        <v/>
      </c>
      <c r="T226" s="542" t="str">
        <f>IF(Input_voertuigprijzen!AN225&gt;0,Input_voertuig!T$2,"")</f>
        <v/>
      </c>
    </row>
    <row r="227" spans="1:20" x14ac:dyDescent="0.3">
      <c r="A227" s="489" t="s">
        <v>1544</v>
      </c>
      <c r="B227" s="489" t="s">
        <v>1578</v>
      </c>
      <c r="C227" s="489" t="s">
        <v>337</v>
      </c>
      <c r="D227" s="489" t="s">
        <v>1936</v>
      </c>
      <c r="E227" s="489" t="s">
        <v>994</v>
      </c>
      <c r="F227" s="542">
        <f>IF(Input_voertuigprijzen!Z226&gt;0,Input_voertuig!F$2,"")</f>
        <v>2024</v>
      </c>
      <c r="G227" s="542">
        <f>IF(Input_voertuigprijzen!AA226&gt;0,Input_voertuig!G$2,"")</f>
        <v>2023</v>
      </c>
      <c r="H227" s="542" t="str">
        <f>IF(Input_voertuigprijzen!AB226&gt;0,Input_voertuig!H$2,"")</f>
        <v/>
      </c>
      <c r="I227" s="542" t="str">
        <f>IF(Input_voertuigprijzen!AC226&gt;0,Input_voertuig!I$2,"")</f>
        <v/>
      </c>
      <c r="J227" s="542" t="str">
        <f>IF(Input_voertuigprijzen!AD226&gt;0,Input_voertuig!J$2,"")</f>
        <v/>
      </c>
      <c r="K227" s="542" t="str">
        <f>IF(Input_voertuigprijzen!AE226&gt;0,Input_voertuig!K$2,"")</f>
        <v/>
      </c>
      <c r="L227" s="542" t="str">
        <f>IF(Input_voertuigprijzen!AF226&gt;0,Input_voertuig!L$2,"")</f>
        <v/>
      </c>
      <c r="M227" s="542" t="str">
        <f>IF(Input_voertuigprijzen!AG226&gt;0,Input_voertuig!M$2,"")</f>
        <v/>
      </c>
      <c r="N227" s="542" t="str">
        <f>IF(Input_voertuigprijzen!AH226&gt;0,Input_voertuig!N$2,"")</f>
        <v/>
      </c>
      <c r="O227" s="542" t="str">
        <f>IF(Input_voertuigprijzen!AI226&gt;0,Input_voertuig!O$2,"")</f>
        <v/>
      </c>
      <c r="P227" s="542" t="str">
        <f>IF(Input_voertuigprijzen!AJ226&gt;0,Input_voertuig!P$2,"")</f>
        <v/>
      </c>
      <c r="Q227" s="542" t="str">
        <f>IF(Input_voertuigprijzen!AK226&gt;0,Input_voertuig!Q$2,"")</f>
        <v/>
      </c>
      <c r="R227" s="542" t="str">
        <f>IF(Input_voertuigprijzen!AL226&gt;0,Input_voertuig!R$2,"")</f>
        <v/>
      </c>
      <c r="S227" s="542" t="str">
        <f>IF(Input_voertuigprijzen!AM226&gt;0,Input_voertuig!S$2,"")</f>
        <v/>
      </c>
      <c r="T227" s="542" t="str">
        <f>IF(Input_voertuigprijzen!AN226&gt;0,Input_voertuig!T$2,"")</f>
        <v/>
      </c>
    </row>
    <row r="228" spans="1:20" x14ac:dyDescent="0.3">
      <c r="A228" s="489" t="s">
        <v>1414</v>
      </c>
      <c r="B228" s="489" t="s">
        <v>1370</v>
      </c>
      <c r="C228" s="489" t="s">
        <v>1416</v>
      </c>
      <c r="D228" s="489" t="s">
        <v>1937</v>
      </c>
      <c r="E228" s="489" t="s">
        <v>994</v>
      </c>
      <c r="F228" s="542">
        <f>IF(Input_voertuigprijzen!Z227&gt;0,Input_voertuig!F$2,"")</f>
        <v>2024</v>
      </c>
      <c r="G228" s="542">
        <f>IF(Input_voertuigprijzen!AA227&gt;0,Input_voertuig!G$2,"")</f>
        <v>2023</v>
      </c>
      <c r="H228" s="542" t="str">
        <f>IF(Input_voertuigprijzen!AB227&gt;0,Input_voertuig!H$2,"")</f>
        <v/>
      </c>
      <c r="I228" s="542" t="str">
        <f>IF(Input_voertuigprijzen!AC227&gt;0,Input_voertuig!I$2,"")</f>
        <v/>
      </c>
      <c r="J228" s="542" t="str">
        <f>IF(Input_voertuigprijzen!AD227&gt;0,Input_voertuig!J$2,"")</f>
        <v/>
      </c>
      <c r="K228" s="542" t="str">
        <f>IF(Input_voertuigprijzen!AE227&gt;0,Input_voertuig!K$2,"")</f>
        <v/>
      </c>
      <c r="L228" s="542" t="str">
        <f>IF(Input_voertuigprijzen!AF227&gt;0,Input_voertuig!L$2,"")</f>
        <v/>
      </c>
      <c r="M228" s="542" t="str">
        <f>IF(Input_voertuigprijzen!AG227&gt;0,Input_voertuig!M$2,"")</f>
        <v/>
      </c>
      <c r="N228" s="542" t="str">
        <f>IF(Input_voertuigprijzen!AH227&gt;0,Input_voertuig!N$2,"")</f>
        <v/>
      </c>
      <c r="O228" s="542" t="str">
        <f>IF(Input_voertuigprijzen!AI227&gt;0,Input_voertuig!O$2,"")</f>
        <v/>
      </c>
      <c r="P228" s="542" t="str">
        <f>IF(Input_voertuigprijzen!AJ227&gt;0,Input_voertuig!P$2,"")</f>
        <v/>
      </c>
      <c r="Q228" s="542" t="str">
        <f>IF(Input_voertuigprijzen!AK227&gt;0,Input_voertuig!Q$2,"")</f>
        <v/>
      </c>
      <c r="R228" s="542" t="str">
        <f>IF(Input_voertuigprijzen!AL227&gt;0,Input_voertuig!R$2,"")</f>
        <v/>
      </c>
      <c r="S228" s="542" t="str">
        <f>IF(Input_voertuigprijzen!AM227&gt;0,Input_voertuig!S$2,"")</f>
        <v/>
      </c>
      <c r="T228" s="542" t="str">
        <f>IF(Input_voertuigprijzen!AN227&gt;0,Input_voertuig!T$2,"")</f>
        <v/>
      </c>
    </row>
    <row r="229" spans="1:20" x14ac:dyDescent="0.3">
      <c r="A229" s="489" t="s">
        <v>1422</v>
      </c>
      <c r="B229" s="489" t="s">
        <v>1547</v>
      </c>
      <c r="C229" s="489" t="s">
        <v>1548</v>
      </c>
      <c r="D229" s="489" t="s">
        <v>1665</v>
      </c>
      <c r="E229" s="489" t="s">
        <v>994</v>
      </c>
      <c r="F229" s="542" t="str">
        <f>IF(Input_voertuigprijzen!Z228&gt;0,Input_voertuig!F$2,"")</f>
        <v/>
      </c>
      <c r="G229" s="542" t="str">
        <f>IF(Input_voertuigprijzen!AA228&gt;0,Input_voertuig!G$2,"")</f>
        <v/>
      </c>
      <c r="H229" s="542" t="str">
        <f>IF(Input_voertuigprijzen!AB228&gt;0,Input_voertuig!H$2,"")</f>
        <v/>
      </c>
      <c r="I229" s="542" t="str">
        <f>IF(Input_voertuigprijzen!AC228&gt;0,Input_voertuig!I$2,"")</f>
        <v/>
      </c>
      <c r="J229" s="542" t="str">
        <f>IF(Input_voertuigprijzen!AD228&gt;0,Input_voertuig!J$2,"")</f>
        <v/>
      </c>
      <c r="K229" s="542" t="str">
        <f>IF(Input_voertuigprijzen!AE228&gt;0,Input_voertuig!K$2,"")</f>
        <v/>
      </c>
      <c r="L229" s="542">
        <f>IF(Input_voertuigprijzen!AF228&gt;0,Input_voertuig!L$2,"")</f>
        <v>2018</v>
      </c>
      <c r="M229" s="542" t="str">
        <f>IF(Input_voertuigprijzen!AG228&gt;0,Input_voertuig!M$2,"")</f>
        <v/>
      </c>
      <c r="N229" s="542" t="str">
        <f>IF(Input_voertuigprijzen!AH228&gt;0,Input_voertuig!N$2,"")</f>
        <v/>
      </c>
      <c r="O229" s="542">
        <f>IF(Input_voertuigprijzen!AI228&gt;0,Input_voertuig!O$2,"")</f>
        <v>2015</v>
      </c>
      <c r="P229" s="542" t="str">
        <f>IF(Input_voertuigprijzen!AJ228&gt;0,Input_voertuig!P$2,"")</f>
        <v/>
      </c>
      <c r="Q229" s="542" t="str">
        <f>IF(Input_voertuigprijzen!AK228&gt;0,Input_voertuig!Q$2,"")</f>
        <v/>
      </c>
      <c r="R229" s="542" t="str">
        <f>IF(Input_voertuigprijzen!AL228&gt;0,Input_voertuig!R$2,"")</f>
        <v/>
      </c>
      <c r="S229" s="542" t="str">
        <f>IF(Input_voertuigprijzen!AM228&gt;0,Input_voertuig!S$2,"")</f>
        <v/>
      </c>
      <c r="T229" s="542" t="str">
        <f>IF(Input_voertuigprijzen!AN228&gt;0,Input_voertuig!T$2,"")</f>
        <v/>
      </c>
    </row>
    <row r="230" spans="1:20" x14ac:dyDescent="0.3">
      <c r="A230" s="489" t="s">
        <v>1414</v>
      </c>
      <c r="B230" s="489" t="s">
        <v>1675</v>
      </c>
      <c r="C230" s="489" t="s">
        <v>1917</v>
      </c>
      <c r="D230" s="489" t="s">
        <v>1936</v>
      </c>
      <c r="E230" s="489" t="s">
        <v>994</v>
      </c>
      <c r="F230" s="542" t="str">
        <f>IF(Input_voertuigprijzen!Z229&gt;0,Input_voertuig!F$2,"")</f>
        <v/>
      </c>
      <c r="G230" s="542" t="str">
        <f>IF(Input_voertuigprijzen!AA229&gt;0,Input_voertuig!G$2,"")</f>
        <v/>
      </c>
      <c r="H230" s="542" t="str">
        <f>IF(Input_voertuigprijzen!AB229&gt;0,Input_voertuig!H$2,"")</f>
        <v/>
      </c>
      <c r="I230" s="542" t="str">
        <f>IF(Input_voertuigprijzen!AC229&gt;0,Input_voertuig!I$2,"")</f>
        <v/>
      </c>
      <c r="J230" s="542" t="str">
        <f>IF(Input_voertuigprijzen!AD229&gt;0,Input_voertuig!J$2,"")</f>
        <v/>
      </c>
      <c r="K230" s="542" t="str">
        <f>IF(Input_voertuigprijzen!AE229&gt;0,Input_voertuig!K$2,"")</f>
        <v/>
      </c>
      <c r="L230" s="542" t="str">
        <f>IF(Input_voertuigprijzen!AF229&gt;0,Input_voertuig!L$2,"")</f>
        <v/>
      </c>
      <c r="M230" s="542" t="str">
        <f>IF(Input_voertuigprijzen!AG229&gt;0,Input_voertuig!M$2,"")</f>
        <v/>
      </c>
      <c r="N230" s="542">
        <f>IF(Input_voertuigprijzen!AH229&gt;0,Input_voertuig!N$2,"")</f>
        <v>2016</v>
      </c>
      <c r="O230" s="542">
        <f>IF(Input_voertuigprijzen!AI229&gt;0,Input_voertuig!O$2,"")</f>
        <v>2015</v>
      </c>
      <c r="P230" s="542" t="str">
        <f>IF(Input_voertuigprijzen!AJ229&gt;0,Input_voertuig!P$2,"")</f>
        <v/>
      </c>
      <c r="Q230" s="542" t="str">
        <f>IF(Input_voertuigprijzen!AK229&gt;0,Input_voertuig!Q$2,"")</f>
        <v/>
      </c>
      <c r="R230" s="542" t="str">
        <f>IF(Input_voertuigprijzen!AL229&gt;0,Input_voertuig!R$2,"")</f>
        <v/>
      </c>
      <c r="S230" s="542" t="str">
        <f>IF(Input_voertuigprijzen!AM229&gt;0,Input_voertuig!S$2,"")</f>
        <v/>
      </c>
      <c r="T230" s="542" t="str">
        <f>IF(Input_voertuigprijzen!AN229&gt;0,Input_voertuig!T$2,"")</f>
        <v/>
      </c>
    </row>
    <row r="231" spans="1:20" x14ac:dyDescent="0.3">
      <c r="A231" s="489" t="s">
        <v>1414</v>
      </c>
      <c r="B231" s="489" t="s">
        <v>1675</v>
      </c>
      <c r="C231" s="489" t="s">
        <v>1917</v>
      </c>
      <c r="D231" s="489" t="s">
        <v>1936</v>
      </c>
      <c r="E231" s="489" t="s">
        <v>994</v>
      </c>
      <c r="F231" s="542" t="str">
        <f>IF(Input_voertuigprijzen!Z229&gt;0,Input_voertuig!F$2,"")</f>
        <v/>
      </c>
      <c r="G231" s="542" t="str">
        <f>IF(Input_voertuigprijzen!AA229&gt;0,Input_voertuig!G$2,"")</f>
        <v/>
      </c>
      <c r="H231" s="542" t="str">
        <f>IF(Input_voertuigprijzen!AB229&gt;0,Input_voertuig!H$2,"")</f>
        <v/>
      </c>
      <c r="I231" s="542" t="str">
        <f>IF(Input_voertuigprijzen!AC229&gt;0,Input_voertuig!I$2,"")</f>
        <v/>
      </c>
      <c r="J231" s="542" t="str">
        <f>IF(Input_voertuigprijzen!AD229&gt;0,Input_voertuig!J$2,"")</f>
        <v/>
      </c>
      <c r="K231" s="542" t="str">
        <f>IF(Input_voertuigprijzen!AE229&gt;0,Input_voertuig!K$2,"")</f>
        <v/>
      </c>
      <c r="L231" s="542" t="str">
        <f>IF(Input_voertuigprijzen!AF229&gt;0,Input_voertuig!L$2,"")</f>
        <v/>
      </c>
      <c r="M231" s="542" t="str">
        <f>IF(Input_voertuigprijzen!AG229&gt;0,Input_voertuig!M$2,"")</f>
        <v/>
      </c>
      <c r="N231" s="542">
        <f>IF(Input_voertuigprijzen!AH229&gt;0,Input_voertuig!N$2,"")</f>
        <v>2016</v>
      </c>
      <c r="O231" s="542">
        <f>IF(Input_voertuigprijzen!AI229&gt;0,Input_voertuig!O$2,"")</f>
        <v>2015</v>
      </c>
      <c r="P231" s="542" t="str">
        <f>IF(Input_voertuigprijzen!AJ229&gt;0,Input_voertuig!P$2,"")</f>
        <v/>
      </c>
      <c r="Q231" s="542" t="str">
        <f>IF(Input_voertuigprijzen!AK229&gt;0,Input_voertuig!Q$2,"")</f>
        <v/>
      </c>
      <c r="R231" s="542" t="str">
        <f>IF(Input_voertuigprijzen!AL229&gt;0,Input_voertuig!R$2,"")</f>
        <v/>
      </c>
      <c r="S231" s="542" t="str">
        <f>IF(Input_voertuigprijzen!AM229&gt;0,Input_voertuig!S$2,"")</f>
        <v/>
      </c>
      <c r="T231" s="542" t="str">
        <f>IF(Input_voertuigprijzen!AN229&gt;0,Input_voertuig!T$2,"")</f>
        <v/>
      </c>
    </row>
    <row r="232" spans="1:20" x14ac:dyDescent="0.3">
      <c r="A232" s="489"/>
      <c r="B232" s="638"/>
      <c r="C232" s="638" t="s">
        <v>1965</v>
      </c>
      <c r="D232" s="638"/>
      <c r="E232" s="638" t="s">
        <v>994</v>
      </c>
      <c r="F232" s="694">
        <v>2024</v>
      </c>
      <c r="G232" s="694">
        <v>2023</v>
      </c>
      <c r="H232" s="694">
        <v>2022</v>
      </c>
      <c r="I232" s="694">
        <v>2021</v>
      </c>
      <c r="J232" s="694">
        <v>2020</v>
      </c>
      <c r="K232" s="694">
        <v>2019</v>
      </c>
      <c r="L232" s="694">
        <v>2018</v>
      </c>
      <c r="M232" s="694">
        <v>2017</v>
      </c>
      <c r="N232" s="694">
        <v>2016</v>
      </c>
      <c r="O232" s="694">
        <v>2015</v>
      </c>
      <c r="P232" s="694">
        <v>2014</v>
      </c>
      <c r="Q232" s="694">
        <v>2013</v>
      </c>
      <c r="R232" s="694">
        <v>2012</v>
      </c>
      <c r="S232" s="694">
        <v>2011</v>
      </c>
      <c r="T232" s="694">
        <v>2010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C816-5E8A-49C9-8A1E-51827DBB4F69}">
  <dimension ref="A1:AN230"/>
  <sheetViews>
    <sheetView topLeftCell="C1" zoomScale="55" zoomScaleNormal="55" workbookViewId="0">
      <selection activeCell="E33" sqref="E33"/>
    </sheetView>
  </sheetViews>
  <sheetFormatPr defaultRowHeight="15" x14ac:dyDescent="0.3"/>
  <cols>
    <col min="1" max="2" width="21.85546875" customWidth="1"/>
    <col min="3" max="3" width="34.5703125" customWidth="1"/>
    <col min="4" max="4" width="21.85546875" customWidth="1"/>
    <col min="5" max="21" width="16.140625" customWidth="1"/>
    <col min="25" max="40" width="16.140625" customWidth="1"/>
  </cols>
  <sheetData>
    <row r="1" spans="1:40" ht="16.5" x14ac:dyDescent="0.3">
      <c r="A1" s="513" t="s">
        <v>1367</v>
      </c>
      <c r="B1" s="513" t="s">
        <v>1368</v>
      </c>
      <c r="C1" s="513" t="s">
        <v>450</v>
      </c>
      <c r="D1" s="513" t="s">
        <v>39</v>
      </c>
      <c r="E1" s="513" t="s">
        <v>1528</v>
      </c>
      <c r="F1" s="620" t="s">
        <v>1535</v>
      </c>
      <c r="G1" s="513">
        <v>2024</v>
      </c>
      <c r="H1" s="513">
        <v>2023</v>
      </c>
      <c r="I1" s="513">
        <v>2022</v>
      </c>
      <c r="J1" s="513">
        <v>2021</v>
      </c>
      <c r="K1" s="513">
        <v>2020</v>
      </c>
      <c r="L1" s="513">
        <v>2019</v>
      </c>
      <c r="M1" s="513">
        <v>2018</v>
      </c>
      <c r="N1" s="513">
        <v>2017</v>
      </c>
      <c r="O1" s="513">
        <v>2016</v>
      </c>
      <c r="P1" s="513">
        <v>2015</v>
      </c>
      <c r="Q1" s="513">
        <v>2014</v>
      </c>
      <c r="R1" s="513">
        <v>2013</v>
      </c>
      <c r="S1" s="513">
        <v>2012</v>
      </c>
      <c r="T1" s="513">
        <v>2011</v>
      </c>
      <c r="U1" s="513">
        <v>2010</v>
      </c>
      <c r="V1" s="617"/>
      <c r="W1" t="s">
        <v>1791</v>
      </c>
      <c r="Y1" s="620" t="s">
        <v>1535</v>
      </c>
      <c r="Z1" s="513">
        <v>2024</v>
      </c>
      <c r="AA1" s="513">
        <v>2023</v>
      </c>
      <c r="AB1" s="513">
        <v>2022</v>
      </c>
      <c r="AC1" s="513">
        <v>2021</v>
      </c>
      <c r="AD1" s="513">
        <v>2020</v>
      </c>
      <c r="AE1" s="513">
        <v>2019</v>
      </c>
      <c r="AF1" s="513">
        <v>2018</v>
      </c>
      <c r="AG1" s="513">
        <v>2017</v>
      </c>
      <c r="AH1" s="513">
        <v>2016</v>
      </c>
      <c r="AI1" s="513">
        <v>2015</v>
      </c>
      <c r="AJ1" s="513">
        <v>2014</v>
      </c>
      <c r="AK1" s="513">
        <v>2013</v>
      </c>
      <c r="AL1" s="513">
        <v>2012</v>
      </c>
      <c r="AM1" s="513">
        <v>2011</v>
      </c>
      <c r="AN1" s="513">
        <v>2010</v>
      </c>
    </row>
    <row r="2" spans="1:40" x14ac:dyDescent="0.3">
      <c r="A2" s="489" t="s">
        <v>1414</v>
      </c>
      <c r="B2" s="489" t="s">
        <v>1430</v>
      </c>
      <c r="C2" s="489" t="s">
        <v>1431</v>
      </c>
      <c r="D2" s="489" t="s">
        <v>46</v>
      </c>
      <c r="E2" s="619">
        <v>4826</v>
      </c>
      <c r="F2" s="627">
        <f>Y2</f>
        <v>2704.6165320074579</v>
      </c>
      <c r="G2" s="628">
        <f t="shared" ref="G2:U17" si="0">IF(Z2&gt;0,Z2,IF(H2&gt;0,H2,0))</f>
        <v>2714.0954198473282</v>
      </c>
      <c r="H2" s="628">
        <f t="shared" si="0"/>
        <v>2711.1581508515815</v>
      </c>
      <c r="I2" s="628">
        <f t="shared" si="0"/>
        <v>2716.5326797385619</v>
      </c>
      <c r="J2" s="628">
        <f t="shared" si="0"/>
        <v>2715.8727272727274</v>
      </c>
      <c r="K2" s="628">
        <f t="shared" si="0"/>
        <v>2732.1188118811883</v>
      </c>
      <c r="L2" s="628">
        <f t="shared" si="0"/>
        <v>2727.0939104915628</v>
      </c>
      <c r="M2" s="628">
        <f t="shared" si="0"/>
        <v>2707.9679487179487</v>
      </c>
      <c r="N2" s="628">
        <f t="shared" si="0"/>
        <v>2726.3477272727273</v>
      </c>
      <c r="O2" s="628">
        <f t="shared" si="0"/>
        <v>2720.4307304785893</v>
      </c>
      <c r="P2" s="628">
        <f t="shared" si="0"/>
        <v>2707.3186274509803</v>
      </c>
      <c r="Q2" s="628">
        <f t="shared" si="0"/>
        <v>2691.0418848167537</v>
      </c>
      <c r="R2" s="628">
        <f t="shared" si="0"/>
        <v>2559.3806451612904</v>
      </c>
      <c r="S2" s="628">
        <f t="shared" si="0"/>
        <v>2628.2413793103447</v>
      </c>
      <c r="T2" s="628">
        <f t="shared" si="0"/>
        <v>2607.6153846153848</v>
      </c>
      <c r="U2" s="628">
        <f t="shared" si="0"/>
        <v>2588.7701149425288</v>
      </c>
      <c r="V2" s="618"/>
      <c r="W2" t="s">
        <v>1790</v>
      </c>
      <c r="Y2" s="627">
        <v>2704.6165320074579</v>
      </c>
      <c r="Z2" s="628">
        <v>2714.0954198473282</v>
      </c>
      <c r="AA2" s="628">
        <v>2711.1581508515815</v>
      </c>
      <c r="AB2" s="628">
        <v>2716.5326797385619</v>
      </c>
      <c r="AC2" s="628">
        <v>2715.8727272727274</v>
      </c>
      <c r="AD2" s="628">
        <v>2732.1188118811883</v>
      </c>
      <c r="AE2" s="628">
        <v>2727.0939104915628</v>
      </c>
      <c r="AF2" s="628">
        <v>2707.9679487179487</v>
      </c>
      <c r="AG2" s="628">
        <v>2726.3477272727273</v>
      </c>
      <c r="AH2" s="628">
        <v>2720.4307304785893</v>
      </c>
      <c r="AI2" s="628">
        <v>2707.3186274509803</v>
      </c>
      <c r="AJ2" s="628">
        <v>2691.0418848167537</v>
      </c>
      <c r="AK2" s="628">
        <v>2559.3806451612904</v>
      </c>
      <c r="AL2" s="628">
        <v>2628.2413793103447</v>
      </c>
      <c r="AM2" s="628">
        <v>2607.6153846153848</v>
      </c>
      <c r="AN2" s="628">
        <v>2588.7701149425288</v>
      </c>
    </row>
    <row r="3" spans="1:40" x14ac:dyDescent="0.3">
      <c r="A3" s="489" t="s">
        <v>1414</v>
      </c>
      <c r="B3" s="489" t="s">
        <v>1428</v>
      </c>
      <c r="C3" s="489" t="s">
        <v>1429</v>
      </c>
      <c r="D3" s="489" t="s">
        <v>46</v>
      </c>
      <c r="E3" s="619">
        <v>2174</v>
      </c>
      <c r="F3" s="627">
        <f t="shared" ref="F3:F66" si="1">Y3</f>
        <v>1904.045538178473</v>
      </c>
      <c r="G3" s="628">
        <f t="shared" si="0"/>
        <v>1936.5833333333333</v>
      </c>
      <c r="H3" s="628">
        <f t="shared" si="0"/>
        <v>1948.3235294117646</v>
      </c>
      <c r="I3" s="628">
        <f t="shared" si="0"/>
        <v>1932.3484848484848</v>
      </c>
      <c r="J3" s="628">
        <f t="shared" si="0"/>
        <v>1923</v>
      </c>
      <c r="K3" s="628">
        <f t="shared" si="0"/>
        <v>1910.5</v>
      </c>
      <c r="L3" s="628">
        <f t="shared" si="0"/>
        <v>1924.972914409534</v>
      </c>
      <c r="M3" s="628">
        <f t="shared" si="0"/>
        <v>1881.4531645569621</v>
      </c>
      <c r="N3" s="628">
        <f t="shared" si="0"/>
        <v>1870.4611260053618</v>
      </c>
      <c r="O3" s="628">
        <f t="shared" si="0"/>
        <v>1872.0096153846155</v>
      </c>
      <c r="P3" s="628">
        <f t="shared" si="0"/>
        <v>1936.2048192771085</v>
      </c>
      <c r="Q3" s="628">
        <f t="shared" si="0"/>
        <v>0</v>
      </c>
      <c r="R3" s="628">
        <f t="shared" si="0"/>
        <v>0</v>
      </c>
      <c r="S3" s="628">
        <f t="shared" si="0"/>
        <v>0</v>
      </c>
      <c r="T3" s="628">
        <f t="shared" si="0"/>
        <v>0</v>
      </c>
      <c r="U3" s="628">
        <f t="shared" si="0"/>
        <v>0</v>
      </c>
      <c r="V3" s="618"/>
      <c r="Y3" s="627">
        <v>1904.045538178473</v>
      </c>
      <c r="Z3" s="628">
        <v>1936.5833333333333</v>
      </c>
      <c r="AA3" s="628">
        <v>1948.3235294117646</v>
      </c>
      <c r="AB3" s="628">
        <v>1932.3484848484848</v>
      </c>
      <c r="AC3" s="628">
        <v>1923</v>
      </c>
      <c r="AD3" s="628">
        <v>1910.5</v>
      </c>
      <c r="AE3" s="628">
        <v>1924.972914409534</v>
      </c>
      <c r="AF3" s="628">
        <v>1881.4531645569621</v>
      </c>
      <c r="AG3" s="628">
        <v>1870.4611260053618</v>
      </c>
      <c r="AH3" s="628">
        <v>1872.0096153846155</v>
      </c>
      <c r="AI3" s="628">
        <v>1936.2048192771085</v>
      </c>
      <c r="AJ3" s="628">
        <v>0</v>
      </c>
      <c r="AK3" s="628">
        <v>0</v>
      </c>
      <c r="AL3" s="628">
        <v>0</v>
      </c>
      <c r="AM3" s="628">
        <v>0</v>
      </c>
      <c r="AN3" s="628">
        <v>0</v>
      </c>
    </row>
    <row r="4" spans="1:40" x14ac:dyDescent="0.3">
      <c r="A4" s="489" t="s">
        <v>1441</v>
      </c>
      <c r="B4" s="489" t="s">
        <v>1447</v>
      </c>
      <c r="C4" s="489" t="s">
        <v>1448</v>
      </c>
      <c r="D4" s="489" t="s">
        <v>46</v>
      </c>
      <c r="E4" s="619">
        <v>1174</v>
      </c>
      <c r="F4" s="627">
        <f t="shared" si="1"/>
        <v>1787.4565587734241</v>
      </c>
      <c r="G4" s="628">
        <f t="shared" si="0"/>
        <v>1854</v>
      </c>
      <c r="H4" s="628">
        <f t="shared" si="0"/>
        <v>1854</v>
      </c>
      <c r="I4" s="628">
        <f t="shared" si="0"/>
        <v>2013.6</v>
      </c>
      <c r="J4" s="628">
        <f t="shared" si="0"/>
        <v>1814.3333333333333</v>
      </c>
      <c r="K4" s="628">
        <f t="shared" si="0"/>
        <v>1854</v>
      </c>
      <c r="L4" s="628">
        <f t="shared" si="0"/>
        <v>1753.1088607594936</v>
      </c>
      <c r="M4" s="628">
        <f t="shared" si="0"/>
        <v>1773.2289156626507</v>
      </c>
      <c r="N4" s="628">
        <f t="shared" si="0"/>
        <v>1763.2167487684728</v>
      </c>
      <c r="O4" s="628">
        <f t="shared" si="0"/>
        <v>1788.9447852760736</v>
      </c>
      <c r="P4" s="628">
        <f t="shared" si="0"/>
        <v>1839.408163265306</v>
      </c>
      <c r="Q4" s="628">
        <f t="shared" si="0"/>
        <v>1877.6170212765958</v>
      </c>
      <c r="R4" s="628">
        <f t="shared" si="0"/>
        <v>1876.3421052631579</v>
      </c>
      <c r="S4" s="628">
        <f t="shared" si="0"/>
        <v>1876</v>
      </c>
      <c r="T4" s="628">
        <f t="shared" si="0"/>
        <v>1876</v>
      </c>
      <c r="U4" s="628">
        <f t="shared" si="0"/>
        <v>1876.0869565217392</v>
      </c>
      <c r="V4" s="618"/>
      <c r="Y4" s="627">
        <v>1787.4565587734241</v>
      </c>
      <c r="Z4" s="628">
        <v>1854</v>
      </c>
      <c r="AA4" s="628">
        <v>1854</v>
      </c>
      <c r="AB4" s="628">
        <v>2013.6</v>
      </c>
      <c r="AC4" s="628">
        <v>1814.3333333333333</v>
      </c>
      <c r="AD4" s="628">
        <v>1854</v>
      </c>
      <c r="AE4" s="628">
        <v>1753.1088607594936</v>
      </c>
      <c r="AF4" s="628">
        <v>1773.2289156626507</v>
      </c>
      <c r="AG4" s="628">
        <v>1763.2167487684728</v>
      </c>
      <c r="AH4" s="628">
        <v>1788.9447852760736</v>
      </c>
      <c r="AI4" s="628">
        <v>1839.408163265306</v>
      </c>
      <c r="AJ4" s="628">
        <v>1877.6170212765958</v>
      </c>
      <c r="AK4" s="628">
        <v>1876.3421052631579</v>
      </c>
      <c r="AL4" s="628">
        <v>1876</v>
      </c>
      <c r="AM4" s="628">
        <v>1876</v>
      </c>
      <c r="AN4" s="628">
        <v>1876.0869565217392</v>
      </c>
    </row>
    <row r="5" spans="1:40" x14ac:dyDescent="0.3">
      <c r="A5" s="489" t="s">
        <v>1417</v>
      </c>
      <c r="B5" s="489" t="s">
        <v>1418</v>
      </c>
      <c r="C5" s="489" t="s">
        <v>1232</v>
      </c>
      <c r="D5" s="489" t="s">
        <v>141</v>
      </c>
      <c r="E5" s="619">
        <v>1068</v>
      </c>
      <c r="F5" s="627">
        <f t="shared" si="1"/>
        <v>1683.6104868913858</v>
      </c>
      <c r="G5" s="628">
        <f t="shared" si="0"/>
        <v>1658.1133603238866</v>
      </c>
      <c r="H5" s="628">
        <f t="shared" si="0"/>
        <v>1659.9620853080569</v>
      </c>
      <c r="I5" s="628">
        <f t="shared" si="0"/>
        <v>1683.5700483091787</v>
      </c>
      <c r="J5" s="628">
        <f t="shared" si="0"/>
        <v>1711.2676767676767</v>
      </c>
      <c r="K5" s="628">
        <f t="shared" si="0"/>
        <v>1712</v>
      </c>
      <c r="L5" s="628">
        <f t="shared" si="0"/>
        <v>1712</v>
      </c>
      <c r="M5" s="628">
        <f t="shared" si="0"/>
        <v>1712</v>
      </c>
      <c r="N5" s="628">
        <f t="shared" si="0"/>
        <v>0</v>
      </c>
      <c r="O5" s="628">
        <f t="shared" si="0"/>
        <v>0</v>
      </c>
      <c r="P5" s="628">
        <f t="shared" si="0"/>
        <v>0</v>
      </c>
      <c r="Q5" s="628">
        <f t="shared" si="0"/>
        <v>0</v>
      </c>
      <c r="R5" s="628">
        <f t="shared" si="0"/>
        <v>0</v>
      </c>
      <c r="S5" s="628">
        <f t="shared" si="0"/>
        <v>0</v>
      </c>
      <c r="T5" s="628">
        <f t="shared" si="0"/>
        <v>0</v>
      </c>
      <c r="U5" s="628">
        <f t="shared" si="0"/>
        <v>0</v>
      </c>
      <c r="V5" s="618"/>
      <c r="Y5" s="627">
        <v>1683.6104868913858</v>
      </c>
      <c r="Z5" s="628">
        <v>1658.1133603238866</v>
      </c>
      <c r="AA5" s="628">
        <v>1659.9620853080569</v>
      </c>
      <c r="AB5" s="628">
        <v>1683.5700483091787</v>
      </c>
      <c r="AC5" s="628">
        <v>1711.2676767676767</v>
      </c>
      <c r="AD5" s="628">
        <v>1712</v>
      </c>
      <c r="AE5" s="628">
        <v>1712</v>
      </c>
      <c r="AF5" s="628">
        <v>1712</v>
      </c>
      <c r="AG5" s="628">
        <v>0</v>
      </c>
      <c r="AH5" s="628">
        <v>0</v>
      </c>
      <c r="AI5" s="628">
        <v>0</v>
      </c>
      <c r="AJ5" s="628">
        <v>0</v>
      </c>
      <c r="AK5" s="628">
        <v>0</v>
      </c>
      <c r="AL5" s="628">
        <v>0</v>
      </c>
      <c r="AM5" s="628">
        <v>0</v>
      </c>
      <c r="AN5" s="628">
        <v>0</v>
      </c>
    </row>
    <row r="6" spans="1:40" x14ac:dyDescent="0.3">
      <c r="A6" s="489" t="s">
        <v>1414</v>
      </c>
      <c r="B6" s="489" t="s">
        <v>1540</v>
      </c>
      <c r="C6" s="489" t="s">
        <v>1541</v>
      </c>
      <c r="D6" s="489" t="s">
        <v>46</v>
      </c>
      <c r="E6" s="619">
        <v>965</v>
      </c>
      <c r="F6" s="627">
        <f t="shared" si="1"/>
        <v>2075.1709844559587</v>
      </c>
      <c r="G6" s="628">
        <f t="shared" si="0"/>
        <v>2082.6216216216217</v>
      </c>
      <c r="H6" s="628">
        <f t="shared" si="0"/>
        <v>2081.8358208955224</v>
      </c>
      <c r="I6" s="628">
        <f t="shared" si="0"/>
        <v>2068.7948717948716</v>
      </c>
      <c r="J6" s="628">
        <f t="shared" si="0"/>
        <v>2067.4375</v>
      </c>
      <c r="K6" s="628">
        <f t="shared" si="0"/>
        <v>2080.0416666666665</v>
      </c>
      <c r="L6" s="628">
        <f t="shared" si="0"/>
        <v>2085.3916666666669</v>
      </c>
      <c r="M6" s="628">
        <f t="shared" si="0"/>
        <v>2067.1767955801106</v>
      </c>
      <c r="N6" s="628">
        <f t="shared" si="0"/>
        <v>2062.3888888888887</v>
      </c>
      <c r="O6" s="628">
        <f t="shared" si="0"/>
        <v>2066.014492753623</v>
      </c>
      <c r="P6" s="628">
        <f t="shared" si="0"/>
        <v>2073.9459459459458</v>
      </c>
      <c r="Q6" s="628">
        <f t="shared" si="0"/>
        <v>2029.4444444444443</v>
      </c>
      <c r="R6" s="628">
        <f t="shared" si="0"/>
        <v>0</v>
      </c>
      <c r="S6" s="628">
        <f t="shared" si="0"/>
        <v>0</v>
      </c>
      <c r="T6" s="628">
        <f t="shared" si="0"/>
        <v>0</v>
      </c>
      <c r="U6" s="628">
        <f t="shared" si="0"/>
        <v>0</v>
      </c>
      <c r="V6" s="618"/>
      <c r="Y6" s="627">
        <v>2075.1709844559587</v>
      </c>
      <c r="Z6" s="628">
        <v>2082.6216216216217</v>
      </c>
      <c r="AA6" s="628">
        <v>2081.8358208955224</v>
      </c>
      <c r="AB6" s="628">
        <v>2068.7948717948716</v>
      </c>
      <c r="AC6" s="628">
        <v>2067.4375</v>
      </c>
      <c r="AD6" s="628">
        <v>2080.0416666666665</v>
      </c>
      <c r="AE6" s="628">
        <v>2085.3916666666669</v>
      </c>
      <c r="AF6" s="628">
        <v>2067.1767955801106</v>
      </c>
      <c r="AG6" s="628">
        <v>2062.3888888888887</v>
      </c>
      <c r="AH6" s="628">
        <v>2066.014492753623</v>
      </c>
      <c r="AI6" s="628">
        <v>2073.9459459459458</v>
      </c>
      <c r="AJ6" s="628">
        <v>2029.4444444444443</v>
      </c>
      <c r="AK6" s="628">
        <v>0</v>
      </c>
      <c r="AL6" s="628">
        <v>0</v>
      </c>
      <c r="AM6" s="628">
        <v>0</v>
      </c>
      <c r="AN6" s="628">
        <v>0</v>
      </c>
    </row>
    <row r="7" spans="1:40" x14ac:dyDescent="0.3">
      <c r="A7" s="489" t="s">
        <v>1432</v>
      </c>
      <c r="B7" s="489" t="s">
        <v>1433</v>
      </c>
      <c r="C7" s="489" t="s">
        <v>1434</v>
      </c>
      <c r="D7" s="489" t="s">
        <v>141</v>
      </c>
      <c r="E7" s="619">
        <v>952</v>
      </c>
      <c r="F7" s="627">
        <f t="shared" si="1"/>
        <v>2061.2647058823532</v>
      </c>
      <c r="G7" s="628">
        <f t="shared" si="0"/>
        <v>2062.211009174312</v>
      </c>
      <c r="H7" s="628">
        <f t="shared" si="0"/>
        <v>2055.0525164113787</v>
      </c>
      <c r="I7" s="628">
        <f t="shared" si="0"/>
        <v>2060.5240793201133</v>
      </c>
      <c r="J7" s="628">
        <f t="shared" si="0"/>
        <v>2152.090909090909</v>
      </c>
      <c r="K7" s="628">
        <f t="shared" si="0"/>
        <v>0</v>
      </c>
      <c r="L7" s="628">
        <f t="shared" si="0"/>
        <v>0</v>
      </c>
      <c r="M7" s="628">
        <f t="shared" si="0"/>
        <v>0</v>
      </c>
      <c r="N7" s="628">
        <f t="shared" si="0"/>
        <v>0</v>
      </c>
      <c r="O7" s="628">
        <f t="shared" si="0"/>
        <v>0</v>
      </c>
      <c r="P7" s="628">
        <f t="shared" si="0"/>
        <v>0</v>
      </c>
      <c r="Q7" s="628">
        <f t="shared" si="0"/>
        <v>0</v>
      </c>
      <c r="R7" s="628">
        <f t="shared" si="0"/>
        <v>0</v>
      </c>
      <c r="S7" s="628">
        <f t="shared" si="0"/>
        <v>0</v>
      </c>
      <c r="T7" s="628">
        <f t="shared" si="0"/>
        <v>0</v>
      </c>
      <c r="U7" s="628">
        <f t="shared" si="0"/>
        <v>0</v>
      </c>
      <c r="V7" s="618"/>
      <c r="Y7" s="627">
        <v>2061.2647058823532</v>
      </c>
      <c r="Z7" s="628">
        <v>2062.211009174312</v>
      </c>
      <c r="AA7" s="628">
        <v>2055.0525164113787</v>
      </c>
      <c r="AB7" s="628">
        <v>2060.5240793201133</v>
      </c>
      <c r="AC7" s="628">
        <v>2152.090909090909</v>
      </c>
      <c r="AD7" s="628">
        <v>0</v>
      </c>
      <c r="AE7" s="628">
        <v>0</v>
      </c>
      <c r="AF7" s="628">
        <v>0</v>
      </c>
      <c r="AG7" s="628">
        <v>0</v>
      </c>
      <c r="AH7" s="628">
        <v>0</v>
      </c>
      <c r="AI7" s="628">
        <v>0</v>
      </c>
      <c r="AJ7" s="628">
        <v>0</v>
      </c>
      <c r="AK7" s="628">
        <v>0</v>
      </c>
      <c r="AL7" s="628">
        <v>0</v>
      </c>
      <c r="AM7" s="628">
        <v>0</v>
      </c>
      <c r="AN7" s="628">
        <v>0</v>
      </c>
    </row>
    <row r="8" spans="1:40" x14ac:dyDescent="0.3">
      <c r="A8" s="489" t="s">
        <v>1414</v>
      </c>
      <c r="B8" s="489" t="s">
        <v>1370</v>
      </c>
      <c r="C8" s="489" t="s">
        <v>1416</v>
      </c>
      <c r="D8" s="489" t="s">
        <v>46</v>
      </c>
      <c r="E8" s="619">
        <v>843</v>
      </c>
      <c r="F8" s="627">
        <f t="shared" si="1"/>
        <v>1625.5041518386713</v>
      </c>
      <c r="G8" s="628">
        <f t="shared" si="0"/>
        <v>1688.125</v>
      </c>
      <c r="H8" s="628">
        <f t="shared" si="0"/>
        <v>1688.5714285714287</v>
      </c>
      <c r="I8" s="628">
        <f t="shared" si="0"/>
        <v>1652</v>
      </c>
      <c r="J8" s="628">
        <f t="shared" si="0"/>
        <v>1669.4642857142858</v>
      </c>
      <c r="K8" s="628">
        <f t="shared" si="0"/>
        <v>1628.5185185185185</v>
      </c>
      <c r="L8" s="628">
        <f t="shared" si="0"/>
        <v>1626.3741721854306</v>
      </c>
      <c r="M8" s="628">
        <f t="shared" si="0"/>
        <v>1609.4029850746269</v>
      </c>
      <c r="N8" s="628">
        <f t="shared" si="0"/>
        <v>1608.796992481203</v>
      </c>
      <c r="O8" s="628">
        <f t="shared" si="0"/>
        <v>1591.3265306122448</v>
      </c>
      <c r="P8" s="628">
        <f t="shared" si="0"/>
        <v>0</v>
      </c>
      <c r="Q8" s="628">
        <f t="shared" si="0"/>
        <v>0</v>
      </c>
      <c r="R8" s="628">
        <f t="shared" si="0"/>
        <v>0</v>
      </c>
      <c r="S8" s="628">
        <f t="shared" si="0"/>
        <v>0</v>
      </c>
      <c r="T8" s="628">
        <f t="shared" si="0"/>
        <v>0</v>
      </c>
      <c r="U8" s="628">
        <f t="shared" si="0"/>
        <v>0</v>
      </c>
      <c r="V8" s="618"/>
      <c r="Y8" s="627">
        <v>1625.5041518386713</v>
      </c>
      <c r="Z8" s="628">
        <v>1688.125</v>
      </c>
      <c r="AA8" s="628">
        <v>1688.5714285714287</v>
      </c>
      <c r="AB8" s="628">
        <v>1652</v>
      </c>
      <c r="AC8" s="628">
        <v>1669.4642857142858</v>
      </c>
      <c r="AD8" s="628">
        <v>1628.5185185185185</v>
      </c>
      <c r="AE8" s="628">
        <v>1626.3741721854306</v>
      </c>
      <c r="AF8" s="628">
        <v>1609.4029850746269</v>
      </c>
      <c r="AG8" s="628">
        <v>1608.796992481203</v>
      </c>
      <c r="AH8" s="628">
        <v>1591.3265306122448</v>
      </c>
      <c r="AI8" s="628">
        <v>0</v>
      </c>
      <c r="AJ8" s="628">
        <v>0</v>
      </c>
      <c r="AK8" s="628">
        <v>0</v>
      </c>
      <c r="AL8" s="628">
        <v>0</v>
      </c>
      <c r="AM8" s="628">
        <v>0</v>
      </c>
      <c r="AN8" s="628">
        <v>0</v>
      </c>
    </row>
    <row r="9" spans="1:40" x14ac:dyDescent="0.3">
      <c r="A9" s="489" t="s">
        <v>1441</v>
      </c>
      <c r="B9" s="489" t="s">
        <v>1542</v>
      </c>
      <c r="C9" s="489" t="s">
        <v>1543</v>
      </c>
      <c r="D9" s="489" t="s">
        <v>46</v>
      </c>
      <c r="E9" s="619">
        <v>837</v>
      </c>
      <c r="F9" s="627">
        <f t="shared" si="1"/>
        <v>2603.6105137395461</v>
      </c>
      <c r="G9" s="628">
        <f t="shared" si="0"/>
        <v>2477.6521739130435</v>
      </c>
      <c r="H9" s="628">
        <f t="shared" si="0"/>
        <v>2591.962962962963</v>
      </c>
      <c r="I9" s="628">
        <f t="shared" si="0"/>
        <v>2653.7</v>
      </c>
      <c r="J9" s="628">
        <f t="shared" si="0"/>
        <v>2594.090909090909</v>
      </c>
      <c r="K9" s="628">
        <f t="shared" si="0"/>
        <v>2543.7692307692309</v>
      </c>
      <c r="L9" s="628">
        <f t="shared" si="0"/>
        <v>2475.0151515151515</v>
      </c>
      <c r="M9" s="628">
        <f t="shared" si="0"/>
        <v>2626.2444444444445</v>
      </c>
      <c r="N9" s="628">
        <f t="shared" si="0"/>
        <v>2780.731707317073</v>
      </c>
      <c r="O9" s="628">
        <f t="shared" si="0"/>
        <v>2669.8904109589039</v>
      </c>
      <c r="P9" s="628">
        <f t="shared" si="0"/>
        <v>2697.53125</v>
      </c>
      <c r="Q9" s="628">
        <f t="shared" si="0"/>
        <v>2621.875</v>
      </c>
      <c r="R9" s="628">
        <f t="shared" si="0"/>
        <v>2633.4385964912281</v>
      </c>
      <c r="S9" s="628">
        <f t="shared" si="0"/>
        <v>2627.9444444444443</v>
      </c>
      <c r="T9" s="628">
        <f t="shared" si="0"/>
        <v>2614.4059405940593</v>
      </c>
      <c r="U9" s="628">
        <f t="shared" si="0"/>
        <v>2666.7407407407409</v>
      </c>
      <c r="V9" s="618"/>
      <c r="Y9" s="627">
        <v>2603.6105137395461</v>
      </c>
      <c r="Z9" s="628">
        <v>2477.6521739130435</v>
      </c>
      <c r="AA9" s="628">
        <v>2591.962962962963</v>
      </c>
      <c r="AB9" s="628">
        <v>2653.7</v>
      </c>
      <c r="AC9" s="628">
        <v>2594.090909090909</v>
      </c>
      <c r="AD9" s="628">
        <v>2543.7692307692309</v>
      </c>
      <c r="AE9" s="628">
        <v>2475.0151515151515</v>
      </c>
      <c r="AF9" s="628">
        <v>2626.2444444444445</v>
      </c>
      <c r="AG9" s="628">
        <v>2780.731707317073</v>
      </c>
      <c r="AH9" s="628">
        <v>2669.8904109589039</v>
      </c>
      <c r="AI9" s="628">
        <v>2697.53125</v>
      </c>
      <c r="AJ9" s="628">
        <v>2621.875</v>
      </c>
      <c r="AK9" s="628">
        <v>2633.4385964912281</v>
      </c>
      <c r="AL9" s="628">
        <v>2627.9444444444443</v>
      </c>
      <c r="AM9" s="628">
        <v>2614.4059405940593</v>
      </c>
      <c r="AN9" s="628">
        <v>2666.7407407407409</v>
      </c>
    </row>
    <row r="10" spans="1:40" x14ac:dyDescent="0.3">
      <c r="A10" s="489" t="s">
        <v>1441</v>
      </c>
      <c r="B10" s="489" t="s">
        <v>1444</v>
      </c>
      <c r="C10" s="489" t="s">
        <v>870</v>
      </c>
      <c r="D10" s="489" t="s">
        <v>46</v>
      </c>
      <c r="E10" s="619">
        <v>837</v>
      </c>
      <c r="F10" s="627">
        <f t="shared" si="1"/>
        <v>1432.8593380614657</v>
      </c>
      <c r="G10" s="628">
        <f t="shared" si="0"/>
        <v>1465.7288135593221</v>
      </c>
      <c r="H10" s="628">
        <f t="shared" si="0"/>
        <v>1459.3243243243244</v>
      </c>
      <c r="I10" s="628">
        <f t="shared" si="0"/>
        <v>1440.0526315789473</v>
      </c>
      <c r="J10" s="628">
        <f t="shared" si="0"/>
        <v>1450.2352941176471</v>
      </c>
      <c r="K10" s="628">
        <f t="shared" si="0"/>
        <v>1450.3461538461538</v>
      </c>
      <c r="L10" s="628">
        <f t="shared" si="0"/>
        <v>1456.8115942028985</v>
      </c>
      <c r="M10" s="628">
        <f t="shared" si="0"/>
        <v>1429.9591836734694</v>
      </c>
      <c r="N10" s="628">
        <f t="shared" si="0"/>
        <v>1420.8571428571429</v>
      </c>
      <c r="O10" s="628">
        <f t="shared" si="0"/>
        <v>1415.7249999999999</v>
      </c>
      <c r="P10" s="628">
        <f t="shared" si="0"/>
        <v>1400.9914529914529</v>
      </c>
      <c r="Q10" s="628">
        <f t="shared" si="0"/>
        <v>1461.0625</v>
      </c>
      <c r="R10" s="628">
        <f t="shared" si="0"/>
        <v>1461.6428571428571</v>
      </c>
      <c r="S10" s="628">
        <f t="shared" si="0"/>
        <v>1471.8666666666666</v>
      </c>
      <c r="T10" s="628">
        <f t="shared" si="0"/>
        <v>1453.3</v>
      </c>
      <c r="U10" s="628">
        <f t="shared" si="0"/>
        <v>1459.4</v>
      </c>
      <c r="V10" s="618"/>
      <c r="Y10" s="627">
        <v>1432.8593380614657</v>
      </c>
      <c r="Z10" s="628">
        <v>1465.7288135593221</v>
      </c>
      <c r="AA10" s="628">
        <v>1459.3243243243244</v>
      </c>
      <c r="AB10" s="628">
        <v>1440.0526315789473</v>
      </c>
      <c r="AC10" s="628">
        <v>1450.2352941176471</v>
      </c>
      <c r="AD10" s="628">
        <v>1450.3461538461538</v>
      </c>
      <c r="AE10" s="628">
        <v>1456.8115942028985</v>
      </c>
      <c r="AF10" s="628">
        <v>1429.9591836734694</v>
      </c>
      <c r="AG10" s="628">
        <v>1420.8571428571429</v>
      </c>
      <c r="AH10" s="628">
        <v>1415.7249999999999</v>
      </c>
      <c r="AI10" s="628">
        <v>1400.9914529914529</v>
      </c>
      <c r="AJ10" s="628">
        <v>1461.0625</v>
      </c>
      <c r="AK10" s="628">
        <v>1461.6428571428571</v>
      </c>
      <c r="AL10" s="628">
        <v>1471.8666666666666</v>
      </c>
      <c r="AM10" s="628">
        <v>1453.3</v>
      </c>
      <c r="AN10" s="628">
        <v>1459.4</v>
      </c>
    </row>
    <row r="11" spans="1:40" x14ac:dyDescent="0.3">
      <c r="A11" s="489" t="s">
        <v>1544</v>
      </c>
      <c r="B11" s="489" t="s">
        <v>1545</v>
      </c>
      <c r="C11" s="489" t="s">
        <v>1546</v>
      </c>
      <c r="D11" s="489" t="s">
        <v>46</v>
      </c>
      <c r="E11" s="619">
        <v>837</v>
      </c>
      <c r="F11" s="627">
        <f t="shared" si="1"/>
        <v>1980.547192353644</v>
      </c>
      <c r="G11" s="628">
        <f t="shared" si="0"/>
        <v>2379</v>
      </c>
      <c r="H11" s="628">
        <f t="shared" si="0"/>
        <v>2019.3333333333333</v>
      </c>
      <c r="I11" s="628">
        <f t="shared" si="0"/>
        <v>2066</v>
      </c>
      <c r="J11" s="628">
        <f t="shared" si="0"/>
        <v>2145</v>
      </c>
      <c r="K11" s="628">
        <f t="shared" si="0"/>
        <v>1956.6666666666667</v>
      </c>
      <c r="L11" s="628">
        <f t="shared" si="0"/>
        <v>1982.4989154013015</v>
      </c>
      <c r="M11" s="628">
        <f t="shared" si="0"/>
        <v>1978.8194444444443</v>
      </c>
      <c r="N11" s="628">
        <f t="shared" si="0"/>
        <v>1979.2605042016808</v>
      </c>
      <c r="O11" s="628">
        <f t="shared" si="0"/>
        <v>1969.2266666666667</v>
      </c>
      <c r="P11" s="628">
        <f t="shared" si="0"/>
        <v>1898</v>
      </c>
      <c r="Q11" s="628">
        <f t="shared" si="0"/>
        <v>1907.4</v>
      </c>
      <c r="R11" s="628">
        <f t="shared" si="0"/>
        <v>0</v>
      </c>
      <c r="S11" s="628">
        <f t="shared" si="0"/>
        <v>0</v>
      </c>
      <c r="T11" s="628">
        <f t="shared" si="0"/>
        <v>0</v>
      </c>
      <c r="U11" s="628">
        <f t="shared" si="0"/>
        <v>0</v>
      </c>
      <c r="V11" s="618"/>
      <c r="Y11" s="627">
        <v>1980.547192353644</v>
      </c>
      <c r="Z11" s="628">
        <v>2379</v>
      </c>
      <c r="AA11" s="628">
        <v>2019.3333333333333</v>
      </c>
      <c r="AB11" s="628">
        <v>2066</v>
      </c>
      <c r="AC11" s="628">
        <v>2145</v>
      </c>
      <c r="AD11" s="628">
        <v>1956.6666666666667</v>
      </c>
      <c r="AE11" s="628">
        <v>1982.4989154013015</v>
      </c>
      <c r="AF11" s="628">
        <v>1978.8194444444443</v>
      </c>
      <c r="AG11" s="628">
        <v>1979.2605042016808</v>
      </c>
      <c r="AH11" s="628">
        <v>1969.2266666666667</v>
      </c>
      <c r="AI11" s="628">
        <v>1898</v>
      </c>
      <c r="AJ11" s="628">
        <v>1907.4</v>
      </c>
      <c r="AK11" s="628">
        <v>0</v>
      </c>
      <c r="AL11" s="628">
        <v>0</v>
      </c>
      <c r="AM11" s="628">
        <v>0</v>
      </c>
      <c r="AN11" s="628">
        <v>0</v>
      </c>
    </row>
    <row r="12" spans="1:40" x14ac:dyDescent="0.3">
      <c r="A12" s="489" t="s">
        <v>1414</v>
      </c>
      <c r="B12" s="489" t="s">
        <v>1369</v>
      </c>
      <c r="C12" s="489" t="s">
        <v>1415</v>
      </c>
      <c r="D12" s="489" t="s">
        <v>46</v>
      </c>
      <c r="E12" s="619">
        <v>806</v>
      </c>
      <c r="F12" s="627">
        <f t="shared" si="1"/>
        <v>1625.2295285359801</v>
      </c>
      <c r="G12" s="628">
        <f t="shared" si="0"/>
        <v>1662.6</v>
      </c>
      <c r="H12" s="628">
        <f t="shared" si="0"/>
        <v>1654.5588235294117</v>
      </c>
      <c r="I12" s="628">
        <f t="shared" si="0"/>
        <v>1646.5</v>
      </c>
      <c r="J12" s="628">
        <f t="shared" si="0"/>
        <v>1674.8076923076924</v>
      </c>
      <c r="K12" s="628">
        <f t="shared" si="0"/>
        <v>1653.2608695652175</v>
      </c>
      <c r="L12" s="628">
        <f t="shared" si="0"/>
        <v>1632.6198630136987</v>
      </c>
      <c r="M12" s="628">
        <f t="shared" si="0"/>
        <v>1601.3802083333333</v>
      </c>
      <c r="N12" s="628">
        <f t="shared" si="0"/>
        <v>1612.3976608187133</v>
      </c>
      <c r="O12" s="628">
        <f t="shared" si="0"/>
        <v>1633.8461538461538</v>
      </c>
      <c r="P12" s="628">
        <f t="shared" si="0"/>
        <v>0</v>
      </c>
      <c r="Q12" s="628">
        <f t="shared" si="0"/>
        <v>0</v>
      </c>
      <c r="R12" s="628">
        <f t="shared" si="0"/>
        <v>0</v>
      </c>
      <c r="S12" s="628">
        <f t="shared" si="0"/>
        <v>0</v>
      </c>
      <c r="T12" s="628">
        <f t="shared" si="0"/>
        <v>0</v>
      </c>
      <c r="U12" s="628">
        <f t="shared" si="0"/>
        <v>0</v>
      </c>
      <c r="V12" s="618"/>
      <c r="Y12" s="627">
        <v>1625.2295285359801</v>
      </c>
      <c r="Z12" s="628">
        <v>1662.6</v>
      </c>
      <c r="AA12" s="628">
        <v>1654.5588235294117</v>
      </c>
      <c r="AB12" s="628">
        <v>1646.5</v>
      </c>
      <c r="AC12" s="628">
        <v>1674.8076923076924</v>
      </c>
      <c r="AD12" s="628">
        <v>1653.2608695652175</v>
      </c>
      <c r="AE12" s="628">
        <v>1632.6198630136987</v>
      </c>
      <c r="AF12" s="628">
        <v>1601.3802083333333</v>
      </c>
      <c r="AG12" s="628">
        <v>1612.3976608187133</v>
      </c>
      <c r="AH12" s="628">
        <v>1633.8461538461538</v>
      </c>
      <c r="AI12" s="628">
        <v>0</v>
      </c>
      <c r="AJ12" s="628">
        <v>0</v>
      </c>
      <c r="AK12" s="628">
        <v>0</v>
      </c>
      <c r="AL12" s="628">
        <v>0</v>
      </c>
      <c r="AM12" s="628">
        <v>0</v>
      </c>
      <c r="AN12" s="628">
        <v>0</v>
      </c>
    </row>
    <row r="13" spans="1:40" x14ac:dyDescent="0.3">
      <c r="A13" s="489" t="s">
        <v>1414</v>
      </c>
      <c r="B13" s="489" t="s">
        <v>1435</v>
      </c>
      <c r="C13" s="489" t="s">
        <v>1436</v>
      </c>
      <c r="D13" s="489" t="s">
        <v>141</v>
      </c>
      <c r="E13" s="619">
        <v>771</v>
      </c>
      <c r="F13" s="627">
        <f t="shared" si="1"/>
        <v>2436.378728923476</v>
      </c>
      <c r="G13" s="628">
        <f t="shared" si="0"/>
        <v>2463.8333333333335</v>
      </c>
      <c r="H13" s="628">
        <f t="shared" si="0"/>
        <v>2455.0821256038648</v>
      </c>
      <c r="I13" s="628">
        <f t="shared" si="0"/>
        <v>2450.9880952380954</v>
      </c>
      <c r="J13" s="628">
        <f t="shared" si="0"/>
        <v>2445.7848101265822</v>
      </c>
      <c r="K13" s="628">
        <f t="shared" si="0"/>
        <v>2441.6999999999998</v>
      </c>
      <c r="L13" s="628">
        <f t="shared" si="0"/>
        <v>2185</v>
      </c>
      <c r="M13" s="628">
        <f t="shared" si="0"/>
        <v>0</v>
      </c>
      <c r="N13" s="628">
        <f t="shared" si="0"/>
        <v>0</v>
      </c>
      <c r="O13" s="628">
        <f t="shared" si="0"/>
        <v>0</v>
      </c>
      <c r="P13" s="628">
        <f t="shared" si="0"/>
        <v>0</v>
      </c>
      <c r="Q13" s="628">
        <f t="shared" si="0"/>
        <v>0</v>
      </c>
      <c r="R13" s="628">
        <f t="shared" si="0"/>
        <v>0</v>
      </c>
      <c r="S13" s="628">
        <f t="shared" si="0"/>
        <v>0</v>
      </c>
      <c r="T13" s="628">
        <f t="shared" si="0"/>
        <v>0</v>
      </c>
      <c r="U13" s="628">
        <f t="shared" si="0"/>
        <v>0</v>
      </c>
      <c r="V13" s="618"/>
      <c r="Y13" s="627">
        <v>2436.378728923476</v>
      </c>
      <c r="Z13" s="628">
        <v>2463.8333333333335</v>
      </c>
      <c r="AA13" s="628">
        <v>2455.0821256038648</v>
      </c>
      <c r="AB13" s="628">
        <v>2450.9880952380954</v>
      </c>
      <c r="AC13" s="628">
        <v>2445.7848101265822</v>
      </c>
      <c r="AD13" s="628">
        <v>2441.6999999999998</v>
      </c>
      <c r="AE13" s="628">
        <v>2185</v>
      </c>
      <c r="AF13" s="628">
        <v>0</v>
      </c>
      <c r="AG13" s="628">
        <v>0</v>
      </c>
      <c r="AH13" s="628">
        <v>0</v>
      </c>
      <c r="AI13" s="628">
        <v>0</v>
      </c>
      <c r="AJ13" s="628">
        <v>0</v>
      </c>
      <c r="AK13" s="628">
        <v>0</v>
      </c>
      <c r="AL13" s="628">
        <v>0</v>
      </c>
      <c r="AM13" s="628">
        <v>0</v>
      </c>
      <c r="AN13" s="628">
        <v>0</v>
      </c>
    </row>
    <row r="14" spans="1:40" x14ac:dyDescent="0.3">
      <c r="A14" s="489" t="s">
        <v>1441</v>
      </c>
      <c r="B14" s="489" t="s">
        <v>1445</v>
      </c>
      <c r="C14" s="489" t="s">
        <v>346</v>
      </c>
      <c r="D14" s="489" t="s">
        <v>46</v>
      </c>
      <c r="E14" s="619">
        <v>725</v>
      </c>
      <c r="F14" s="627">
        <f t="shared" si="1"/>
        <v>1326.0876010781672</v>
      </c>
      <c r="G14" s="628">
        <f t="shared" si="0"/>
        <v>1337.6415094339623</v>
      </c>
      <c r="H14" s="628">
        <f t="shared" si="0"/>
        <v>1329.2647058823529</v>
      </c>
      <c r="I14" s="628">
        <f t="shared" si="0"/>
        <v>1331.6603773584907</v>
      </c>
      <c r="J14" s="628">
        <f t="shared" si="0"/>
        <v>1323.8888888888889</v>
      </c>
      <c r="K14" s="628">
        <f t="shared" si="0"/>
        <v>1329.4</v>
      </c>
      <c r="L14" s="628">
        <f t="shared" si="0"/>
        <v>1326.3064516129032</v>
      </c>
      <c r="M14" s="628">
        <f t="shared" si="0"/>
        <v>1315.0704225352113</v>
      </c>
      <c r="N14" s="628">
        <f t="shared" si="0"/>
        <v>1308.1818181818182</v>
      </c>
      <c r="O14" s="628">
        <f t="shared" si="0"/>
        <v>1311.8852459016393</v>
      </c>
      <c r="P14" s="628">
        <f t="shared" si="0"/>
        <v>1311.2857142857142</v>
      </c>
      <c r="Q14" s="628">
        <f t="shared" si="0"/>
        <v>1307.6941176470589</v>
      </c>
      <c r="R14" s="628">
        <f t="shared" si="0"/>
        <v>1352.6792452830189</v>
      </c>
      <c r="S14" s="628">
        <f t="shared" si="0"/>
        <v>1372.3191489361702</v>
      </c>
      <c r="T14" s="628">
        <f t="shared" si="0"/>
        <v>1370.1333333333334</v>
      </c>
      <c r="U14" s="628">
        <f t="shared" si="0"/>
        <v>1366.3333333333333</v>
      </c>
      <c r="V14" s="618"/>
      <c r="Y14" s="627">
        <v>1326.0876010781672</v>
      </c>
      <c r="Z14" s="628">
        <v>1337.6415094339623</v>
      </c>
      <c r="AA14" s="628">
        <v>1329.2647058823529</v>
      </c>
      <c r="AB14" s="628">
        <v>1331.6603773584907</v>
      </c>
      <c r="AC14" s="628">
        <v>1323.8888888888889</v>
      </c>
      <c r="AD14" s="628">
        <v>1329.4</v>
      </c>
      <c r="AE14" s="628">
        <v>1326.3064516129032</v>
      </c>
      <c r="AF14" s="628">
        <v>1315.0704225352113</v>
      </c>
      <c r="AG14" s="628">
        <v>1308.1818181818182</v>
      </c>
      <c r="AH14" s="628">
        <v>1311.8852459016393</v>
      </c>
      <c r="AI14" s="628">
        <v>1311.2857142857142</v>
      </c>
      <c r="AJ14" s="628">
        <v>1307.6941176470589</v>
      </c>
      <c r="AK14" s="628">
        <v>1352.6792452830189</v>
      </c>
      <c r="AL14" s="628">
        <v>1372.3191489361702</v>
      </c>
      <c r="AM14" s="628">
        <v>1370.1333333333334</v>
      </c>
      <c r="AN14" s="628">
        <v>1366.3333333333333</v>
      </c>
    </row>
    <row r="15" spans="1:40" x14ac:dyDescent="0.3">
      <c r="A15" s="489" t="s">
        <v>1451</v>
      </c>
      <c r="B15" s="489" t="s">
        <v>1452</v>
      </c>
      <c r="C15" s="489" t="s">
        <v>1453</v>
      </c>
      <c r="D15" s="489" t="s">
        <v>141</v>
      </c>
      <c r="E15" s="619">
        <v>672</v>
      </c>
      <c r="F15" s="627">
        <f t="shared" si="1"/>
        <v>2092.5625</v>
      </c>
      <c r="G15" s="628">
        <f t="shared" si="0"/>
        <v>2087.818181818182</v>
      </c>
      <c r="H15" s="628">
        <f t="shared" si="0"/>
        <v>2086.597733711048</v>
      </c>
      <c r="I15" s="628">
        <f t="shared" si="0"/>
        <v>2100.1808873720138</v>
      </c>
      <c r="J15" s="628">
        <f t="shared" si="0"/>
        <v>2087</v>
      </c>
      <c r="K15" s="628">
        <f t="shared" si="0"/>
        <v>0</v>
      </c>
      <c r="L15" s="628">
        <f t="shared" si="0"/>
        <v>0</v>
      </c>
      <c r="M15" s="628">
        <f t="shared" si="0"/>
        <v>0</v>
      </c>
      <c r="N15" s="628">
        <f t="shared" si="0"/>
        <v>0</v>
      </c>
      <c r="O15" s="628">
        <f t="shared" si="0"/>
        <v>0</v>
      </c>
      <c r="P15" s="628">
        <f t="shared" si="0"/>
        <v>0</v>
      </c>
      <c r="Q15" s="628">
        <f t="shared" si="0"/>
        <v>0</v>
      </c>
      <c r="R15" s="628">
        <f t="shared" si="0"/>
        <v>0</v>
      </c>
      <c r="S15" s="628">
        <f t="shared" si="0"/>
        <v>0</v>
      </c>
      <c r="T15" s="628">
        <f t="shared" si="0"/>
        <v>0</v>
      </c>
      <c r="U15" s="628">
        <f t="shared" si="0"/>
        <v>0</v>
      </c>
      <c r="V15" s="618"/>
      <c r="Y15" s="627">
        <v>2092.5625</v>
      </c>
      <c r="Z15" s="628">
        <v>2087.818181818182</v>
      </c>
      <c r="AA15" s="628">
        <v>2086.597733711048</v>
      </c>
      <c r="AB15" s="628">
        <v>2100.1808873720138</v>
      </c>
      <c r="AC15" s="628">
        <v>2087</v>
      </c>
      <c r="AD15" s="628">
        <v>0</v>
      </c>
      <c r="AE15" s="628">
        <v>0</v>
      </c>
      <c r="AF15" s="628">
        <v>0</v>
      </c>
      <c r="AG15" s="628">
        <v>0</v>
      </c>
      <c r="AH15" s="628">
        <v>0</v>
      </c>
      <c r="AI15" s="628">
        <v>0</v>
      </c>
      <c r="AJ15" s="628">
        <v>0</v>
      </c>
      <c r="AK15" s="628">
        <v>0</v>
      </c>
      <c r="AL15" s="628">
        <v>0</v>
      </c>
      <c r="AM15" s="628">
        <v>0</v>
      </c>
      <c r="AN15" s="628">
        <v>0</v>
      </c>
    </row>
    <row r="16" spans="1:40" x14ac:dyDescent="0.3">
      <c r="A16" s="489" t="s">
        <v>1422</v>
      </c>
      <c r="B16" s="489" t="s">
        <v>1547</v>
      </c>
      <c r="C16" s="489" t="s">
        <v>1548</v>
      </c>
      <c r="D16" s="489" t="s">
        <v>46</v>
      </c>
      <c r="E16" s="619">
        <v>670</v>
      </c>
      <c r="F16" s="627">
        <f t="shared" si="1"/>
        <v>1251.1567164179105</v>
      </c>
      <c r="G16" s="628">
        <f t="shared" si="0"/>
        <v>1285.4878048780488</v>
      </c>
      <c r="H16" s="628">
        <f t="shared" si="0"/>
        <v>1271.3809523809523</v>
      </c>
      <c r="I16" s="628">
        <f t="shared" si="0"/>
        <v>1271.1666666666667</v>
      </c>
      <c r="J16" s="628">
        <f t="shared" si="0"/>
        <v>1300</v>
      </c>
      <c r="K16" s="628">
        <f t="shared" si="0"/>
        <v>1280.5833333333333</v>
      </c>
      <c r="L16" s="628">
        <f t="shared" si="0"/>
        <v>1275.9401709401709</v>
      </c>
      <c r="M16" s="628">
        <f t="shared" si="0"/>
        <v>1247.9453125</v>
      </c>
      <c r="N16" s="628">
        <f t="shared" si="0"/>
        <v>1239.1875</v>
      </c>
      <c r="O16" s="628">
        <f t="shared" si="0"/>
        <v>1238.9852941176471</v>
      </c>
      <c r="P16" s="628">
        <f t="shared" si="0"/>
        <v>1237.8571428571429</v>
      </c>
      <c r="Q16" s="628">
        <f t="shared" si="0"/>
        <v>1216.936507936508</v>
      </c>
      <c r="R16" s="628">
        <f t="shared" si="0"/>
        <v>1238.8965517241379</v>
      </c>
      <c r="S16" s="628">
        <f t="shared" si="0"/>
        <v>1300</v>
      </c>
      <c r="T16" s="628">
        <f t="shared" si="0"/>
        <v>1280</v>
      </c>
      <c r="U16" s="628">
        <f t="shared" si="0"/>
        <v>1290</v>
      </c>
      <c r="V16" s="618"/>
      <c r="Y16" s="627">
        <v>1251.1567164179105</v>
      </c>
      <c r="Z16" s="628">
        <v>1285.4878048780488</v>
      </c>
      <c r="AA16" s="628">
        <v>1271.3809523809523</v>
      </c>
      <c r="AB16" s="628">
        <v>1271.1666666666667</v>
      </c>
      <c r="AC16" s="628">
        <v>1300</v>
      </c>
      <c r="AD16" s="628">
        <v>1280.5833333333333</v>
      </c>
      <c r="AE16" s="628">
        <v>1275.9401709401709</v>
      </c>
      <c r="AF16" s="628">
        <v>1247.9453125</v>
      </c>
      <c r="AG16" s="628">
        <v>1239.1875</v>
      </c>
      <c r="AH16" s="628">
        <v>1238.9852941176471</v>
      </c>
      <c r="AI16" s="628">
        <v>1237.8571428571429</v>
      </c>
      <c r="AJ16" s="628">
        <v>1216.936507936508</v>
      </c>
      <c r="AK16" s="628">
        <v>1238.8965517241379</v>
      </c>
      <c r="AL16" s="628">
        <v>1300</v>
      </c>
      <c r="AM16" s="628">
        <v>1280</v>
      </c>
      <c r="AN16" s="628">
        <v>1290</v>
      </c>
    </row>
    <row r="17" spans="1:40" x14ac:dyDescent="0.3">
      <c r="A17" s="489" t="s">
        <v>1441</v>
      </c>
      <c r="B17" s="489" t="s">
        <v>1447</v>
      </c>
      <c r="C17" s="489" t="s">
        <v>1448</v>
      </c>
      <c r="D17" s="489" t="s">
        <v>1529</v>
      </c>
      <c r="E17" s="619">
        <v>484</v>
      </c>
      <c r="F17" s="627">
        <f t="shared" si="1"/>
        <v>2240.4173553719006</v>
      </c>
      <c r="G17" s="628">
        <f t="shared" si="0"/>
        <v>2209.3048128342248</v>
      </c>
      <c r="H17" s="628">
        <f t="shared" si="0"/>
        <v>2209.3048128342248</v>
      </c>
      <c r="I17" s="628">
        <f t="shared" si="0"/>
        <v>2209.3048128342248</v>
      </c>
      <c r="J17" s="628">
        <f t="shared" si="0"/>
        <v>2209.3048128342248</v>
      </c>
      <c r="K17" s="628">
        <f t="shared" si="0"/>
        <v>2209.3048128342248</v>
      </c>
      <c r="L17" s="628">
        <f t="shared" si="0"/>
        <v>2209.3048128342248</v>
      </c>
      <c r="M17" s="628">
        <f t="shared" si="0"/>
        <v>2209.3048128342248</v>
      </c>
      <c r="N17" s="628">
        <f t="shared" si="0"/>
        <v>2268.4187725631768</v>
      </c>
      <c r="O17" s="628">
        <f t="shared" si="0"/>
        <v>2143.3333333333335</v>
      </c>
      <c r="P17" s="628">
        <f t="shared" si="0"/>
        <v>2145</v>
      </c>
      <c r="Q17" s="628">
        <f t="shared" si="0"/>
        <v>2145</v>
      </c>
      <c r="R17" s="628">
        <f t="shared" si="0"/>
        <v>2145</v>
      </c>
      <c r="S17" s="628">
        <f t="shared" si="0"/>
        <v>2145</v>
      </c>
      <c r="T17" s="628">
        <f t="shared" si="0"/>
        <v>2145</v>
      </c>
      <c r="U17" s="628">
        <f t="shared" si="0"/>
        <v>0</v>
      </c>
      <c r="V17" s="618"/>
      <c r="Y17" s="627">
        <v>2240.4173553719006</v>
      </c>
      <c r="Z17" s="628">
        <v>0</v>
      </c>
      <c r="AA17" s="628">
        <v>0</v>
      </c>
      <c r="AB17" s="628">
        <v>0</v>
      </c>
      <c r="AC17" s="628">
        <v>0</v>
      </c>
      <c r="AD17" s="628">
        <v>0</v>
      </c>
      <c r="AE17" s="628">
        <v>0</v>
      </c>
      <c r="AF17" s="628">
        <v>2209.3048128342248</v>
      </c>
      <c r="AG17" s="628">
        <v>2268.4187725631768</v>
      </c>
      <c r="AH17" s="628">
        <v>2143.3333333333335</v>
      </c>
      <c r="AI17" s="628">
        <v>0</v>
      </c>
      <c r="AJ17" s="628">
        <v>0</v>
      </c>
      <c r="AK17" s="628">
        <v>0</v>
      </c>
      <c r="AL17" s="628">
        <v>0</v>
      </c>
      <c r="AM17" s="628">
        <v>2145</v>
      </c>
      <c r="AN17" s="628">
        <v>0</v>
      </c>
    </row>
    <row r="18" spans="1:40" x14ac:dyDescent="0.3">
      <c r="A18" s="489" t="s">
        <v>1419</v>
      </c>
      <c r="B18" s="489" t="s">
        <v>1420</v>
      </c>
      <c r="C18" s="489" t="s">
        <v>1421</v>
      </c>
      <c r="D18" s="489" t="s">
        <v>141</v>
      </c>
      <c r="E18" s="619">
        <v>436</v>
      </c>
      <c r="F18" s="627">
        <f t="shared" si="1"/>
        <v>1922.2018348623853</v>
      </c>
      <c r="G18" s="628">
        <f t="shared" ref="G18:U33" si="2">IF(Z18&gt;0,Z18,IF(H18&gt;0,H18,0))</f>
        <v>1911.3613445378151</v>
      </c>
      <c r="H18" s="628">
        <f t="shared" si="2"/>
        <v>1931.520325203252</v>
      </c>
      <c r="I18" s="628">
        <f t="shared" si="2"/>
        <v>1903.6615384615384</v>
      </c>
      <c r="J18" s="628">
        <f t="shared" si="2"/>
        <v>1956</v>
      </c>
      <c r="K18" s="628">
        <f t="shared" si="2"/>
        <v>0</v>
      </c>
      <c r="L18" s="628">
        <f t="shared" si="2"/>
        <v>0</v>
      </c>
      <c r="M18" s="628">
        <f t="shared" si="2"/>
        <v>0</v>
      </c>
      <c r="N18" s="628">
        <f t="shared" si="2"/>
        <v>0</v>
      </c>
      <c r="O18" s="628">
        <f t="shared" si="2"/>
        <v>0</v>
      </c>
      <c r="P18" s="628">
        <f t="shared" si="2"/>
        <v>0</v>
      </c>
      <c r="Q18" s="628">
        <f t="shared" si="2"/>
        <v>0</v>
      </c>
      <c r="R18" s="628">
        <f t="shared" si="2"/>
        <v>0</v>
      </c>
      <c r="S18" s="628">
        <f t="shared" si="2"/>
        <v>0</v>
      </c>
      <c r="T18" s="628">
        <f t="shared" si="2"/>
        <v>0</v>
      </c>
      <c r="U18" s="628">
        <f t="shared" si="2"/>
        <v>0</v>
      </c>
      <c r="V18" s="618"/>
      <c r="Y18" s="627">
        <v>1922.2018348623853</v>
      </c>
      <c r="Z18" s="628">
        <v>1911.3613445378151</v>
      </c>
      <c r="AA18" s="628">
        <v>1931.520325203252</v>
      </c>
      <c r="AB18" s="628">
        <v>1903.6615384615384</v>
      </c>
      <c r="AC18" s="628">
        <v>1956</v>
      </c>
      <c r="AD18" s="628">
        <v>0</v>
      </c>
      <c r="AE18" s="628">
        <v>0</v>
      </c>
      <c r="AF18" s="628">
        <v>0</v>
      </c>
      <c r="AG18" s="628">
        <v>0</v>
      </c>
      <c r="AH18" s="628">
        <v>0</v>
      </c>
      <c r="AI18" s="628">
        <v>0</v>
      </c>
      <c r="AJ18" s="628">
        <v>0</v>
      </c>
      <c r="AK18" s="628">
        <v>0</v>
      </c>
      <c r="AL18" s="628">
        <v>0</v>
      </c>
      <c r="AM18" s="628">
        <v>0</v>
      </c>
      <c r="AN18" s="628">
        <v>0</v>
      </c>
    </row>
    <row r="19" spans="1:40" x14ac:dyDescent="0.3">
      <c r="A19" s="489" t="s">
        <v>1426</v>
      </c>
      <c r="B19" s="489" t="s">
        <v>343</v>
      </c>
      <c r="C19" s="489" t="s">
        <v>343</v>
      </c>
      <c r="D19" s="489" t="s">
        <v>1929</v>
      </c>
      <c r="E19" s="619">
        <v>423</v>
      </c>
      <c r="F19" s="627">
        <f t="shared" si="1"/>
        <v>1312.9787234042553</v>
      </c>
      <c r="G19" s="628">
        <f t="shared" si="2"/>
        <v>1312.5</v>
      </c>
      <c r="H19" s="628">
        <f t="shared" si="2"/>
        <v>1311.1111111111111</v>
      </c>
      <c r="I19" s="628">
        <f t="shared" si="2"/>
        <v>1309.1666666666667</v>
      </c>
      <c r="J19" s="628">
        <f t="shared" si="2"/>
        <v>1308.9583333333333</v>
      </c>
      <c r="K19" s="628">
        <f t="shared" si="2"/>
        <v>1310</v>
      </c>
      <c r="L19" s="628">
        <f t="shared" si="2"/>
        <v>1310</v>
      </c>
      <c r="M19" s="628">
        <f t="shared" si="2"/>
        <v>1313.25</v>
      </c>
      <c r="N19" s="628">
        <f t="shared" si="2"/>
        <v>1310.909090909091</v>
      </c>
      <c r="O19" s="628">
        <f t="shared" si="2"/>
        <v>1307.7272727272727</v>
      </c>
      <c r="P19" s="628">
        <f t="shared" si="2"/>
        <v>1309.8148148148148</v>
      </c>
      <c r="Q19" s="628">
        <f t="shared" si="2"/>
        <v>1317.1071428571429</v>
      </c>
      <c r="R19" s="628">
        <f t="shared" si="2"/>
        <v>1312.5384615384614</v>
      </c>
      <c r="S19" s="628">
        <f t="shared" si="2"/>
        <v>1355</v>
      </c>
      <c r="T19" s="628">
        <f t="shared" si="2"/>
        <v>1355</v>
      </c>
      <c r="U19" s="628">
        <f t="shared" si="2"/>
        <v>0</v>
      </c>
      <c r="V19" s="618"/>
      <c r="Y19" s="627">
        <v>1312.9787234042553</v>
      </c>
      <c r="Z19" s="628">
        <v>1312.5</v>
      </c>
      <c r="AA19" s="628">
        <v>1311.1111111111111</v>
      </c>
      <c r="AB19" s="628">
        <v>1309.1666666666667</v>
      </c>
      <c r="AC19" s="628">
        <v>1308.9583333333333</v>
      </c>
      <c r="AD19" s="628">
        <v>1310</v>
      </c>
      <c r="AE19" s="628">
        <v>1310</v>
      </c>
      <c r="AF19" s="628">
        <v>1313.25</v>
      </c>
      <c r="AG19" s="628">
        <v>1310.909090909091</v>
      </c>
      <c r="AH19" s="628">
        <v>1307.7272727272727</v>
      </c>
      <c r="AI19" s="628">
        <v>1309.8148148148148</v>
      </c>
      <c r="AJ19" s="628">
        <v>1317.1071428571429</v>
      </c>
      <c r="AK19" s="628">
        <v>1312.5384615384614</v>
      </c>
      <c r="AL19" s="628">
        <v>1355</v>
      </c>
      <c r="AM19" s="628">
        <v>1355</v>
      </c>
      <c r="AN19" s="628">
        <v>0</v>
      </c>
    </row>
    <row r="20" spans="1:40" x14ac:dyDescent="0.3">
      <c r="A20" s="489" t="s">
        <v>1419</v>
      </c>
      <c r="B20" s="489" t="s">
        <v>1446</v>
      </c>
      <c r="C20" s="489" t="s">
        <v>1218</v>
      </c>
      <c r="D20" s="489" t="s">
        <v>141</v>
      </c>
      <c r="E20" s="619">
        <v>422</v>
      </c>
      <c r="F20" s="627">
        <f t="shared" si="1"/>
        <v>1750.4857819905212</v>
      </c>
      <c r="G20" s="628">
        <f t="shared" si="2"/>
        <v>1763.52</v>
      </c>
      <c r="H20" s="628">
        <f t="shared" si="2"/>
        <v>1736.3854166666667</v>
      </c>
      <c r="I20" s="628">
        <f t="shared" si="2"/>
        <v>1750.5</v>
      </c>
      <c r="J20" s="628">
        <f t="shared" si="2"/>
        <v>1811.75</v>
      </c>
      <c r="K20" s="628">
        <f t="shared" si="2"/>
        <v>1724.3333333333333</v>
      </c>
      <c r="L20" s="628">
        <f t="shared" si="2"/>
        <v>1763.6091954022988</v>
      </c>
      <c r="M20" s="628">
        <f t="shared" si="2"/>
        <v>0</v>
      </c>
      <c r="N20" s="628">
        <f t="shared" si="2"/>
        <v>0</v>
      </c>
      <c r="O20" s="628">
        <f t="shared" si="2"/>
        <v>0</v>
      </c>
      <c r="P20" s="628">
        <f t="shared" si="2"/>
        <v>0</v>
      </c>
      <c r="Q20" s="628">
        <f t="shared" si="2"/>
        <v>0</v>
      </c>
      <c r="R20" s="628">
        <f t="shared" si="2"/>
        <v>0</v>
      </c>
      <c r="S20" s="628">
        <f t="shared" si="2"/>
        <v>0</v>
      </c>
      <c r="T20" s="628">
        <f t="shared" si="2"/>
        <v>0</v>
      </c>
      <c r="U20" s="628">
        <f t="shared" si="2"/>
        <v>0</v>
      </c>
      <c r="V20" s="618"/>
      <c r="Y20" s="627">
        <v>1750.4857819905212</v>
      </c>
      <c r="Z20" s="628">
        <v>1763.52</v>
      </c>
      <c r="AA20" s="628">
        <v>1736.3854166666667</v>
      </c>
      <c r="AB20" s="628">
        <v>1750.5</v>
      </c>
      <c r="AC20" s="628">
        <v>1811.75</v>
      </c>
      <c r="AD20" s="628">
        <v>1724.3333333333333</v>
      </c>
      <c r="AE20" s="628">
        <v>1763.6091954022988</v>
      </c>
      <c r="AF20" s="628">
        <v>0</v>
      </c>
      <c r="AG20" s="628">
        <v>0</v>
      </c>
      <c r="AH20" s="628">
        <v>0</v>
      </c>
      <c r="AI20" s="628">
        <v>0</v>
      </c>
      <c r="AJ20" s="628">
        <v>0</v>
      </c>
      <c r="AK20" s="628">
        <v>0</v>
      </c>
      <c r="AL20" s="628">
        <v>0</v>
      </c>
      <c r="AM20" s="628">
        <v>0</v>
      </c>
      <c r="AN20" s="628">
        <v>0</v>
      </c>
    </row>
    <row r="21" spans="1:40" x14ac:dyDescent="0.3">
      <c r="A21" s="489" t="s">
        <v>1441</v>
      </c>
      <c r="B21" s="489" t="s">
        <v>1549</v>
      </c>
      <c r="C21" s="489" t="s">
        <v>1550</v>
      </c>
      <c r="D21" s="489" t="s">
        <v>46</v>
      </c>
      <c r="E21" s="619">
        <v>409</v>
      </c>
      <c r="F21" s="627">
        <f t="shared" si="1"/>
        <v>1571.8439024390243</v>
      </c>
      <c r="G21" s="628">
        <f t="shared" si="2"/>
        <v>1620.5882352941176</v>
      </c>
      <c r="H21" s="628">
        <f t="shared" si="2"/>
        <v>1653.8846153846155</v>
      </c>
      <c r="I21" s="628">
        <f t="shared" si="2"/>
        <v>1660.5263157894738</v>
      </c>
      <c r="J21" s="628">
        <f t="shared" si="2"/>
        <v>1645.421052631579</v>
      </c>
      <c r="K21" s="628">
        <f t="shared" si="2"/>
        <v>1577.0952380952381</v>
      </c>
      <c r="L21" s="628">
        <f t="shared" si="2"/>
        <v>1555.5</v>
      </c>
      <c r="M21" s="628">
        <f t="shared" si="2"/>
        <v>1601.3877551020407</v>
      </c>
      <c r="N21" s="628">
        <f t="shared" si="2"/>
        <v>1541.8888888888889</v>
      </c>
      <c r="O21" s="628">
        <f t="shared" si="2"/>
        <v>1473.7941176470588</v>
      </c>
      <c r="P21" s="628">
        <f t="shared" si="2"/>
        <v>1507.15</v>
      </c>
      <c r="Q21" s="628">
        <f t="shared" si="2"/>
        <v>1589.6</v>
      </c>
      <c r="R21" s="628">
        <f t="shared" si="2"/>
        <v>1577.2</v>
      </c>
      <c r="S21" s="628">
        <f t="shared" si="2"/>
        <v>1566.1304347826087</v>
      </c>
      <c r="T21" s="628">
        <f t="shared" si="2"/>
        <v>1590.9333333333334</v>
      </c>
      <c r="U21" s="628">
        <f t="shared" si="2"/>
        <v>1570</v>
      </c>
      <c r="V21" s="618"/>
      <c r="Y21" s="627">
        <v>1571.8439024390243</v>
      </c>
      <c r="Z21" s="628">
        <v>1620.5882352941176</v>
      </c>
      <c r="AA21" s="628">
        <v>1653.8846153846155</v>
      </c>
      <c r="AB21" s="628">
        <v>1660.5263157894738</v>
      </c>
      <c r="AC21" s="628">
        <v>1645.421052631579</v>
      </c>
      <c r="AD21" s="628">
        <v>1577.0952380952381</v>
      </c>
      <c r="AE21" s="628">
        <v>1555.5</v>
      </c>
      <c r="AF21" s="628">
        <v>1601.3877551020407</v>
      </c>
      <c r="AG21" s="628">
        <v>1541.8888888888889</v>
      </c>
      <c r="AH21" s="628">
        <v>1473.7941176470588</v>
      </c>
      <c r="AI21" s="628">
        <v>1507.15</v>
      </c>
      <c r="AJ21" s="628">
        <v>1589.6</v>
      </c>
      <c r="AK21" s="628">
        <v>1577.2</v>
      </c>
      <c r="AL21" s="628">
        <v>1566.1304347826087</v>
      </c>
      <c r="AM21" s="628">
        <v>1590.9333333333334</v>
      </c>
      <c r="AN21" s="628">
        <v>1570</v>
      </c>
    </row>
    <row r="22" spans="1:40" x14ac:dyDescent="0.3">
      <c r="A22" s="489" t="s">
        <v>1414</v>
      </c>
      <c r="B22" s="489" t="s">
        <v>1449</v>
      </c>
      <c r="C22" s="489" t="s">
        <v>1450</v>
      </c>
      <c r="D22" s="489" t="s">
        <v>141</v>
      </c>
      <c r="E22" s="619">
        <v>396</v>
      </c>
      <c r="F22" s="627">
        <f t="shared" si="1"/>
        <v>2558.7398989898988</v>
      </c>
      <c r="G22" s="628">
        <f t="shared" si="2"/>
        <v>2559.3008849557523</v>
      </c>
      <c r="H22" s="628">
        <f t="shared" si="2"/>
        <v>2560.0139860139861</v>
      </c>
      <c r="I22" s="628">
        <f t="shared" si="2"/>
        <v>2560.5666666666666</v>
      </c>
      <c r="J22" s="628">
        <f t="shared" si="2"/>
        <v>2555.6470588235293</v>
      </c>
      <c r="K22" s="628">
        <f t="shared" si="2"/>
        <v>2539.6875</v>
      </c>
      <c r="L22" s="628">
        <f t="shared" si="2"/>
        <v>0</v>
      </c>
      <c r="M22" s="628">
        <f t="shared" si="2"/>
        <v>0</v>
      </c>
      <c r="N22" s="628">
        <f t="shared" si="2"/>
        <v>0</v>
      </c>
      <c r="O22" s="628">
        <f t="shared" si="2"/>
        <v>0</v>
      </c>
      <c r="P22" s="628">
        <f t="shared" si="2"/>
        <v>0</v>
      </c>
      <c r="Q22" s="628">
        <f t="shared" si="2"/>
        <v>0</v>
      </c>
      <c r="R22" s="628">
        <f t="shared" si="2"/>
        <v>0</v>
      </c>
      <c r="S22" s="628">
        <f t="shared" si="2"/>
        <v>0</v>
      </c>
      <c r="T22" s="628">
        <f t="shared" si="2"/>
        <v>0</v>
      </c>
      <c r="U22" s="628">
        <f t="shared" si="2"/>
        <v>0</v>
      </c>
      <c r="V22" s="618"/>
      <c r="Y22" s="627">
        <v>2558.7398989898988</v>
      </c>
      <c r="Z22" s="628">
        <v>2559.3008849557523</v>
      </c>
      <c r="AA22" s="628">
        <v>2560.0139860139861</v>
      </c>
      <c r="AB22" s="628">
        <v>2560.5666666666666</v>
      </c>
      <c r="AC22" s="628">
        <v>2555.6470588235293</v>
      </c>
      <c r="AD22" s="628">
        <v>2539.6875</v>
      </c>
      <c r="AE22" s="628">
        <v>0</v>
      </c>
      <c r="AF22" s="628">
        <v>0</v>
      </c>
      <c r="AG22" s="628">
        <v>0</v>
      </c>
      <c r="AH22" s="628">
        <v>0</v>
      </c>
      <c r="AI22" s="628">
        <v>0</v>
      </c>
      <c r="AJ22" s="628">
        <v>0</v>
      </c>
      <c r="AK22" s="628">
        <v>0</v>
      </c>
      <c r="AL22" s="628">
        <v>0</v>
      </c>
      <c r="AM22" s="628">
        <v>0</v>
      </c>
      <c r="AN22" s="628">
        <v>0</v>
      </c>
    </row>
    <row r="23" spans="1:40" x14ac:dyDescent="0.3">
      <c r="A23" s="489" t="s">
        <v>1441</v>
      </c>
      <c r="B23" s="489" t="s">
        <v>1551</v>
      </c>
      <c r="C23" s="489" t="s">
        <v>1552</v>
      </c>
      <c r="D23" s="489" t="s">
        <v>46</v>
      </c>
      <c r="E23" s="619">
        <v>394</v>
      </c>
      <c r="F23" s="627">
        <f t="shared" si="1"/>
        <v>1492.3848101265824</v>
      </c>
      <c r="G23" s="628">
        <f t="shared" si="2"/>
        <v>1517.1111111111111</v>
      </c>
      <c r="H23" s="628">
        <f t="shared" si="2"/>
        <v>1497.8125</v>
      </c>
      <c r="I23" s="628">
        <f t="shared" si="2"/>
        <v>1491.1333333333334</v>
      </c>
      <c r="J23" s="628">
        <f t="shared" si="2"/>
        <v>1499.909090909091</v>
      </c>
      <c r="K23" s="628">
        <f t="shared" si="2"/>
        <v>1496.4</v>
      </c>
      <c r="L23" s="628">
        <f t="shared" si="2"/>
        <v>1504.9444444444443</v>
      </c>
      <c r="M23" s="628">
        <f t="shared" si="2"/>
        <v>1482.8571428571429</v>
      </c>
      <c r="N23" s="628">
        <f t="shared" si="2"/>
        <v>1473.1458333333333</v>
      </c>
      <c r="O23" s="628">
        <f t="shared" si="2"/>
        <v>1475.0425531914893</v>
      </c>
      <c r="P23" s="628">
        <f t="shared" si="2"/>
        <v>1501.1375</v>
      </c>
      <c r="Q23" s="628">
        <f t="shared" si="2"/>
        <v>1499.719298245614</v>
      </c>
      <c r="R23" s="628">
        <f t="shared" si="2"/>
        <v>1498.35</v>
      </c>
      <c r="S23" s="628">
        <f t="shared" si="2"/>
        <v>1490.9</v>
      </c>
      <c r="T23" s="628">
        <f t="shared" si="2"/>
        <v>1489.6666666666667</v>
      </c>
      <c r="U23" s="628">
        <f t="shared" si="2"/>
        <v>1501</v>
      </c>
      <c r="V23" s="618"/>
      <c r="Y23" s="627">
        <v>1492.3848101265824</v>
      </c>
      <c r="Z23" s="628">
        <v>1517.1111111111111</v>
      </c>
      <c r="AA23" s="628">
        <v>1497.8125</v>
      </c>
      <c r="AB23" s="628">
        <v>1491.1333333333334</v>
      </c>
      <c r="AC23" s="628">
        <v>1499.909090909091</v>
      </c>
      <c r="AD23" s="628">
        <v>1496.4</v>
      </c>
      <c r="AE23" s="628">
        <v>1504.9444444444443</v>
      </c>
      <c r="AF23" s="628">
        <v>1482.8571428571429</v>
      </c>
      <c r="AG23" s="628">
        <v>1473.1458333333333</v>
      </c>
      <c r="AH23" s="628">
        <v>1475.0425531914893</v>
      </c>
      <c r="AI23" s="628">
        <v>1501.1375</v>
      </c>
      <c r="AJ23" s="628">
        <v>1499.719298245614</v>
      </c>
      <c r="AK23" s="628">
        <v>1498.35</v>
      </c>
      <c r="AL23" s="628">
        <v>1490.9</v>
      </c>
      <c r="AM23" s="628">
        <v>1489.6666666666667</v>
      </c>
      <c r="AN23" s="628">
        <v>1501</v>
      </c>
    </row>
    <row r="24" spans="1:40" x14ac:dyDescent="0.3">
      <c r="A24" s="489" t="s">
        <v>1422</v>
      </c>
      <c r="B24" s="489" t="s">
        <v>1423</v>
      </c>
      <c r="C24" s="489" t="s">
        <v>1424</v>
      </c>
      <c r="D24" s="489" t="s">
        <v>46</v>
      </c>
      <c r="E24" s="619">
        <v>387</v>
      </c>
      <c r="F24" s="627">
        <f t="shared" si="1"/>
        <v>1438.7209302325582</v>
      </c>
      <c r="G24" s="628">
        <f t="shared" si="2"/>
        <v>1459.8888888888889</v>
      </c>
      <c r="H24" s="628">
        <f t="shared" si="2"/>
        <v>1486.9677419354839</v>
      </c>
      <c r="I24" s="628">
        <f t="shared" si="2"/>
        <v>1447.2</v>
      </c>
      <c r="J24" s="628">
        <f t="shared" si="2"/>
        <v>1441.5714285714287</v>
      </c>
      <c r="K24" s="628">
        <f t="shared" si="2"/>
        <v>1452.3333333333333</v>
      </c>
      <c r="L24" s="628">
        <f t="shared" si="2"/>
        <v>1465.6756756756756</v>
      </c>
      <c r="M24" s="628">
        <f t="shared" si="2"/>
        <v>1435.3493975903614</v>
      </c>
      <c r="N24" s="628">
        <f t="shared" si="2"/>
        <v>1407.8936170212767</v>
      </c>
      <c r="O24" s="628">
        <f t="shared" si="2"/>
        <v>1394.46</v>
      </c>
      <c r="P24" s="628">
        <f t="shared" si="2"/>
        <v>1419.4705882352941</v>
      </c>
      <c r="Q24" s="628">
        <f t="shared" si="2"/>
        <v>1442.8571428571429</v>
      </c>
      <c r="R24" s="628">
        <f t="shared" si="2"/>
        <v>1439</v>
      </c>
      <c r="S24" s="628">
        <f t="shared" si="2"/>
        <v>1446.125</v>
      </c>
      <c r="T24" s="628">
        <f t="shared" si="2"/>
        <v>1441.6</v>
      </c>
      <c r="U24" s="628">
        <f t="shared" si="2"/>
        <v>0</v>
      </c>
      <c r="V24" s="618"/>
      <c r="Y24" s="627">
        <v>1438.7209302325582</v>
      </c>
      <c r="Z24" s="628">
        <v>1459.8888888888889</v>
      </c>
      <c r="AA24" s="628">
        <v>1486.9677419354839</v>
      </c>
      <c r="AB24" s="628">
        <v>1447.2</v>
      </c>
      <c r="AC24" s="628">
        <v>1441.5714285714287</v>
      </c>
      <c r="AD24" s="628">
        <v>1452.3333333333333</v>
      </c>
      <c r="AE24" s="628">
        <v>1465.6756756756756</v>
      </c>
      <c r="AF24" s="628">
        <v>1435.3493975903614</v>
      </c>
      <c r="AG24" s="628">
        <v>1407.8936170212767</v>
      </c>
      <c r="AH24" s="628">
        <v>1394.46</v>
      </c>
      <c r="AI24" s="628">
        <v>1419.4705882352941</v>
      </c>
      <c r="AJ24" s="628">
        <v>1442.8571428571429</v>
      </c>
      <c r="AK24" s="628">
        <v>1439</v>
      </c>
      <c r="AL24" s="628">
        <v>1446.125</v>
      </c>
      <c r="AM24" s="628">
        <v>1441.6</v>
      </c>
      <c r="AN24" s="628">
        <v>0</v>
      </c>
    </row>
    <row r="25" spans="1:40" x14ac:dyDescent="0.3">
      <c r="A25" s="489" t="s">
        <v>1414</v>
      </c>
      <c r="B25" s="489" t="s">
        <v>1430</v>
      </c>
      <c r="C25" s="489" t="s">
        <v>1431</v>
      </c>
      <c r="D25" s="489" t="s">
        <v>1530</v>
      </c>
      <c r="E25" s="619">
        <v>373</v>
      </c>
      <c r="F25" s="627">
        <f t="shared" si="1"/>
        <v>2637.2091152815015</v>
      </c>
      <c r="G25" s="628">
        <f t="shared" si="2"/>
        <v>2784.4666666666667</v>
      </c>
      <c r="H25" s="628">
        <f t="shared" si="2"/>
        <v>2784.4666666666667</v>
      </c>
      <c r="I25" s="628">
        <f t="shared" si="2"/>
        <v>2784.4666666666667</v>
      </c>
      <c r="J25" s="628">
        <f t="shared" si="2"/>
        <v>2784.4666666666667</v>
      </c>
      <c r="K25" s="628">
        <f t="shared" si="2"/>
        <v>2784.4666666666667</v>
      </c>
      <c r="L25" s="628">
        <f t="shared" si="2"/>
        <v>2784.4666666666667</v>
      </c>
      <c r="M25" s="628">
        <f t="shared" si="2"/>
        <v>2784.4666666666667</v>
      </c>
      <c r="N25" s="628">
        <f t="shared" si="2"/>
        <v>2758.7545454545457</v>
      </c>
      <c r="O25" s="628">
        <f t="shared" si="2"/>
        <v>2734.5575221238937</v>
      </c>
      <c r="P25" s="628">
        <f t="shared" si="2"/>
        <v>2556.9787234042551</v>
      </c>
      <c r="Q25" s="628">
        <f t="shared" si="2"/>
        <v>2222.5081967213114</v>
      </c>
      <c r="R25" s="628">
        <f t="shared" si="2"/>
        <v>2737</v>
      </c>
      <c r="S25" s="628">
        <f t="shared" si="2"/>
        <v>2737</v>
      </c>
      <c r="T25" s="628">
        <f t="shared" si="2"/>
        <v>2653.5454545454545</v>
      </c>
      <c r="U25" s="628">
        <f t="shared" si="2"/>
        <v>2653.5454545454545</v>
      </c>
      <c r="V25" s="618"/>
      <c r="Y25" s="627">
        <v>2637.2091152815015</v>
      </c>
      <c r="Z25" s="628">
        <v>0</v>
      </c>
      <c r="AA25" s="628">
        <v>0</v>
      </c>
      <c r="AB25" s="628">
        <v>0</v>
      </c>
      <c r="AC25" s="628">
        <v>0</v>
      </c>
      <c r="AD25" s="628">
        <v>0</v>
      </c>
      <c r="AE25" s="628">
        <v>0</v>
      </c>
      <c r="AF25" s="628">
        <v>2784.4666666666667</v>
      </c>
      <c r="AG25" s="628">
        <v>2758.7545454545457</v>
      </c>
      <c r="AH25" s="628">
        <v>2734.5575221238937</v>
      </c>
      <c r="AI25" s="628">
        <v>2556.9787234042551</v>
      </c>
      <c r="AJ25" s="628">
        <v>2222.5081967213114</v>
      </c>
      <c r="AK25" s="628">
        <v>0</v>
      </c>
      <c r="AL25" s="628">
        <v>2737</v>
      </c>
      <c r="AM25" s="628">
        <v>0</v>
      </c>
      <c r="AN25" s="628">
        <v>2653.5454545454545</v>
      </c>
    </row>
    <row r="26" spans="1:40" x14ac:dyDescent="0.3">
      <c r="A26" s="489" t="s">
        <v>1454</v>
      </c>
      <c r="B26" s="489" t="s">
        <v>1553</v>
      </c>
      <c r="C26" s="489" t="s">
        <v>1554</v>
      </c>
      <c r="D26" s="489" t="s">
        <v>46</v>
      </c>
      <c r="E26" s="619">
        <v>344</v>
      </c>
      <c r="F26" s="627">
        <f t="shared" si="1"/>
        <v>1278.546511627907</v>
      </c>
      <c r="G26" s="628">
        <f t="shared" si="2"/>
        <v>1318.75</v>
      </c>
      <c r="H26" s="628">
        <f t="shared" si="2"/>
        <v>1295</v>
      </c>
      <c r="I26" s="628">
        <f t="shared" si="2"/>
        <v>1319.1666666666667</v>
      </c>
      <c r="J26" s="628">
        <f t="shared" si="2"/>
        <v>1295</v>
      </c>
      <c r="K26" s="628">
        <f t="shared" si="2"/>
        <v>1289.1666666666667</v>
      </c>
      <c r="L26" s="628">
        <f t="shared" si="2"/>
        <v>1300.08</v>
      </c>
      <c r="M26" s="628">
        <f t="shared" si="2"/>
        <v>1284.6511627906978</v>
      </c>
      <c r="N26" s="628">
        <f t="shared" si="2"/>
        <v>1278.4166666666667</v>
      </c>
      <c r="O26" s="628">
        <f t="shared" si="2"/>
        <v>1267.68</v>
      </c>
      <c r="P26" s="628">
        <f t="shared" si="2"/>
        <v>1267.8</v>
      </c>
      <c r="Q26" s="628">
        <f t="shared" si="2"/>
        <v>1269.4375</v>
      </c>
      <c r="R26" s="628">
        <f t="shared" si="2"/>
        <v>1275.5</v>
      </c>
      <c r="S26" s="628">
        <f t="shared" si="2"/>
        <v>1270.9736842105262</v>
      </c>
      <c r="T26" s="628">
        <f t="shared" si="2"/>
        <v>1259.047619047619</v>
      </c>
      <c r="U26" s="628">
        <f t="shared" si="2"/>
        <v>1251.25</v>
      </c>
      <c r="V26" s="618"/>
      <c r="Y26" s="627">
        <v>1278.546511627907</v>
      </c>
      <c r="Z26" s="628">
        <v>1318.75</v>
      </c>
      <c r="AA26" s="628">
        <v>1295</v>
      </c>
      <c r="AB26" s="628">
        <v>1319.1666666666667</v>
      </c>
      <c r="AC26" s="628">
        <v>1295</v>
      </c>
      <c r="AD26" s="628">
        <v>1289.1666666666667</v>
      </c>
      <c r="AE26" s="628">
        <v>1300.08</v>
      </c>
      <c r="AF26" s="628">
        <v>1284.6511627906978</v>
      </c>
      <c r="AG26" s="628">
        <v>1278.4166666666667</v>
      </c>
      <c r="AH26" s="628">
        <v>1267.68</v>
      </c>
      <c r="AI26" s="628">
        <v>1267.8</v>
      </c>
      <c r="AJ26" s="628">
        <v>1269.4375</v>
      </c>
      <c r="AK26" s="628">
        <v>1275.5</v>
      </c>
      <c r="AL26" s="628">
        <v>1270.9736842105262</v>
      </c>
      <c r="AM26" s="628">
        <v>1259.047619047619</v>
      </c>
      <c r="AN26" s="628">
        <v>1251.25</v>
      </c>
    </row>
    <row r="27" spans="1:40" x14ac:dyDescent="0.3">
      <c r="A27" s="489" t="s">
        <v>1432</v>
      </c>
      <c r="B27" s="489" t="s">
        <v>1555</v>
      </c>
      <c r="C27" s="489" t="s">
        <v>1556</v>
      </c>
      <c r="D27" s="489" t="s">
        <v>141</v>
      </c>
      <c r="E27" s="619">
        <v>341</v>
      </c>
      <c r="F27" s="627">
        <f t="shared" si="1"/>
        <v>2067.768328445748</v>
      </c>
      <c r="G27" s="628">
        <f t="shared" si="2"/>
        <v>2069.439024390244</v>
      </c>
      <c r="H27" s="628">
        <f t="shared" si="2"/>
        <v>2062.2537313432836</v>
      </c>
      <c r="I27" s="628">
        <f t="shared" si="2"/>
        <v>2030.8387096774193</v>
      </c>
      <c r="J27" s="628">
        <f t="shared" si="2"/>
        <v>2112.5412844036696</v>
      </c>
      <c r="K27" s="628">
        <f t="shared" si="2"/>
        <v>0</v>
      </c>
      <c r="L27" s="628">
        <f t="shared" si="2"/>
        <v>0</v>
      </c>
      <c r="M27" s="628">
        <f t="shared" si="2"/>
        <v>0</v>
      </c>
      <c r="N27" s="628">
        <f t="shared" si="2"/>
        <v>0</v>
      </c>
      <c r="O27" s="628">
        <f t="shared" si="2"/>
        <v>0</v>
      </c>
      <c r="P27" s="628">
        <f t="shared" si="2"/>
        <v>0</v>
      </c>
      <c r="Q27" s="628">
        <f t="shared" si="2"/>
        <v>0</v>
      </c>
      <c r="R27" s="628">
        <f t="shared" si="2"/>
        <v>0</v>
      </c>
      <c r="S27" s="628">
        <f t="shared" si="2"/>
        <v>0</v>
      </c>
      <c r="T27" s="628">
        <f t="shared" si="2"/>
        <v>0</v>
      </c>
      <c r="U27" s="628">
        <f t="shared" si="2"/>
        <v>0</v>
      </c>
      <c r="V27" s="618"/>
      <c r="Y27" s="627">
        <v>2067.768328445748</v>
      </c>
      <c r="Z27" s="628">
        <v>2069.439024390244</v>
      </c>
      <c r="AA27" s="628">
        <v>2062.2537313432836</v>
      </c>
      <c r="AB27" s="628">
        <v>2030.8387096774193</v>
      </c>
      <c r="AC27" s="628">
        <v>2112.5412844036696</v>
      </c>
      <c r="AD27" s="628">
        <v>0</v>
      </c>
      <c r="AE27" s="628">
        <v>0</v>
      </c>
      <c r="AF27" s="628">
        <v>0</v>
      </c>
      <c r="AG27" s="628">
        <v>0</v>
      </c>
      <c r="AH27" s="628">
        <v>0</v>
      </c>
      <c r="AI27" s="628">
        <v>0</v>
      </c>
      <c r="AJ27" s="628">
        <v>0</v>
      </c>
      <c r="AK27" s="628">
        <v>0</v>
      </c>
      <c r="AL27" s="628">
        <v>0</v>
      </c>
      <c r="AM27" s="628">
        <v>0</v>
      </c>
      <c r="AN27" s="628">
        <v>0</v>
      </c>
    </row>
    <row r="28" spans="1:40" x14ac:dyDescent="0.3">
      <c r="A28" s="489" t="s">
        <v>1426</v>
      </c>
      <c r="B28" s="489" t="s">
        <v>343</v>
      </c>
      <c r="C28" s="489" t="s">
        <v>343</v>
      </c>
      <c r="D28" s="489" t="s">
        <v>1936</v>
      </c>
      <c r="E28" s="619">
        <v>325</v>
      </c>
      <c r="F28" s="627">
        <f t="shared" si="1"/>
        <v>1309.8615384615384</v>
      </c>
      <c r="G28" s="628">
        <f t="shared" si="2"/>
        <v>1307.5</v>
      </c>
      <c r="H28" s="628">
        <f t="shared" si="2"/>
        <v>1307.5</v>
      </c>
      <c r="I28" s="628">
        <f t="shared" si="2"/>
        <v>1307.5</v>
      </c>
      <c r="J28" s="628">
        <f t="shared" si="2"/>
        <v>1307.5</v>
      </c>
      <c r="K28" s="628">
        <f t="shared" si="2"/>
        <v>1307.5</v>
      </c>
      <c r="L28" s="628">
        <f t="shared" si="2"/>
        <v>1307.5</v>
      </c>
      <c r="M28" s="628">
        <f t="shared" si="2"/>
        <v>1310</v>
      </c>
      <c r="N28" s="628">
        <f t="shared" si="2"/>
        <v>1309.5098039215686</v>
      </c>
      <c r="O28" s="628">
        <f t="shared" si="2"/>
        <v>1310.3076923076924</v>
      </c>
      <c r="P28" s="628">
        <f t="shared" si="2"/>
        <v>1309.8046875</v>
      </c>
      <c r="Q28" s="628">
        <f t="shared" si="2"/>
        <v>1315</v>
      </c>
      <c r="R28" s="628">
        <f t="shared" si="2"/>
        <v>0</v>
      </c>
      <c r="S28" s="628">
        <f t="shared" si="2"/>
        <v>0</v>
      </c>
      <c r="T28" s="628">
        <f t="shared" si="2"/>
        <v>0</v>
      </c>
      <c r="U28" s="628">
        <f t="shared" si="2"/>
        <v>0</v>
      </c>
      <c r="V28" s="618"/>
      <c r="Y28" s="627">
        <v>1309.8615384615384</v>
      </c>
      <c r="Z28" s="628">
        <v>0</v>
      </c>
      <c r="AA28" s="628">
        <v>0</v>
      </c>
      <c r="AB28" s="628">
        <v>0</v>
      </c>
      <c r="AC28" s="628">
        <v>0</v>
      </c>
      <c r="AD28" s="628">
        <v>0</v>
      </c>
      <c r="AE28" s="628">
        <v>1307.5</v>
      </c>
      <c r="AF28" s="628">
        <v>1310</v>
      </c>
      <c r="AG28" s="628">
        <v>1309.5098039215686</v>
      </c>
      <c r="AH28" s="628">
        <v>1310.3076923076924</v>
      </c>
      <c r="AI28" s="628">
        <v>1309.8046875</v>
      </c>
      <c r="AJ28" s="628">
        <v>1315</v>
      </c>
      <c r="AK28" s="628">
        <v>0</v>
      </c>
      <c r="AL28" s="628">
        <v>0</v>
      </c>
      <c r="AM28" s="628">
        <v>0</v>
      </c>
      <c r="AN28" s="628">
        <v>0</v>
      </c>
    </row>
    <row r="29" spans="1:40" x14ac:dyDescent="0.3">
      <c r="A29" s="489" t="s">
        <v>1441</v>
      </c>
      <c r="B29" s="489" t="s">
        <v>1447</v>
      </c>
      <c r="C29" s="489" t="s">
        <v>1448</v>
      </c>
      <c r="D29" s="489" t="s">
        <v>1530</v>
      </c>
      <c r="E29" s="619">
        <v>313</v>
      </c>
      <c r="F29" s="627">
        <f t="shared" si="1"/>
        <v>2219.5399361022364</v>
      </c>
      <c r="G29" s="628">
        <f t="shared" si="2"/>
        <v>2196.7272727272725</v>
      </c>
      <c r="H29" s="628">
        <f t="shared" si="2"/>
        <v>2196.7272727272725</v>
      </c>
      <c r="I29" s="628">
        <f t="shared" si="2"/>
        <v>2196.7272727272725</v>
      </c>
      <c r="J29" s="628">
        <f t="shared" si="2"/>
        <v>2196.7272727272725</v>
      </c>
      <c r="K29" s="628">
        <f t="shared" si="2"/>
        <v>2196.7272727272725</v>
      </c>
      <c r="L29" s="628">
        <f t="shared" si="2"/>
        <v>2196.7272727272725</v>
      </c>
      <c r="M29" s="628">
        <f t="shared" si="2"/>
        <v>2196.7272727272725</v>
      </c>
      <c r="N29" s="628">
        <f t="shared" si="2"/>
        <v>2258.5470085470088</v>
      </c>
      <c r="O29" s="628">
        <f t="shared" si="2"/>
        <v>2297.7777777777778</v>
      </c>
      <c r="P29" s="628">
        <f t="shared" si="2"/>
        <v>2210</v>
      </c>
      <c r="Q29" s="628">
        <f t="shared" si="2"/>
        <v>2210</v>
      </c>
      <c r="R29" s="628">
        <f t="shared" si="2"/>
        <v>2210</v>
      </c>
      <c r="S29" s="628">
        <f t="shared" si="2"/>
        <v>2210</v>
      </c>
      <c r="T29" s="628">
        <f t="shared" si="2"/>
        <v>2148.3809523809523</v>
      </c>
      <c r="U29" s="628">
        <f t="shared" si="2"/>
        <v>0</v>
      </c>
      <c r="V29" s="618"/>
      <c r="Y29" s="627">
        <v>2219.5399361022364</v>
      </c>
      <c r="Z29" s="628">
        <v>0</v>
      </c>
      <c r="AA29" s="628">
        <v>0</v>
      </c>
      <c r="AB29" s="628">
        <v>0</v>
      </c>
      <c r="AC29" s="628">
        <v>0</v>
      </c>
      <c r="AD29" s="628">
        <v>0</v>
      </c>
      <c r="AE29" s="628">
        <v>0</v>
      </c>
      <c r="AF29" s="628">
        <v>2196.7272727272725</v>
      </c>
      <c r="AG29" s="628">
        <v>2258.5470085470088</v>
      </c>
      <c r="AH29" s="628">
        <v>2297.7777777777778</v>
      </c>
      <c r="AI29" s="628">
        <v>0</v>
      </c>
      <c r="AJ29" s="628">
        <v>0</v>
      </c>
      <c r="AK29" s="628">
        <v>0</v>
      </c>
      <c r="AL29" s="628">
        <v>2210</v>
      </c>
      <c r="AM29" s="628">
        <v>2148.3809523809523</v>
      </c>
      <c r="AN29" s="628">
        <v>0</v>
      </c>
    </row>
    <row r="30" spans="1:40" x14ac:dyDescent="0.3">
      <c r="A30" s="489" t="s">
        <v>1426</v>
      </c>
      <c r="B30" s="489" t="s">
        <v>1427</v>
      </c>
      <c r="C30" s="489" t="s">
        <v>1427</v>
      </c>
      <c r="D30" s="489" t="s">
        <v>1936</v>
      </c>
      <c r="E30" s="619">
        <v>303</v>
      </c>
      <c r="F30" s="627">
        <f t="shared" si="1"/>
        <v>1311.6006600660066</v>
      </c>
      <c r="G30" s="628">
        <f t="shared" si="2"/>
        <v>1347.5</v>
      </c>
      <c r="H30" s="628">
        <f t="shared" si="2"/>
        <v>1376.1764705882354</v>
      </c>
      <c r="I30" s="628">
        <f t="shared" si="2"/>
        <v>1347.2222222222222</v>
      </c>
      <c r="J30" s="628">
        <f t="shared" si="2"/>
        <v>1337.5925925925926</v>
      </c>
      <c r="K30" s="628">
        <f t="shared" si="2"/>
        <v>1268.8636363636363</v>
      </c>
      <c r="L30" s="628">
        <f t="shared" si="2"/>
        <v>1279.7916666666667</v>
      </c>
      <c r="M30" s="628">
        <f t="shared" si="2"/>
        <v>0</v>
      </c>
      <c r="N30" s="628">
        <f t="shared" si="2"/>
        <v>0</v>
      </c>
      <c r="O30" s="628">
        <f t="shared" si="2"/>
        <v>0</v>
      </c>
      <c r="P30" s="628">
        <f t="shared" si="2"/>
        <v>0</v>
      </c>
      <c r="Q30" s="628">
        <f t="shared" si="2"/>
        <v>0</v>
      </c>
      <c r="R30" s="628">
        <f t="shared" si="2"/>
        <v>0</v>
      </c>
      <c r="S30" s="628">
        <f t="shared" si="2"/>
        <v>0</v>
      </c>
      <c r="T30" s="628">
        <f t="shared" si="2"/>
        <v>0</v>
      </c>
      <c r="U30" s="628">
        <f t="shared" si="2"/>
        <v>0</v>
      </c>
      <c r="V30" s="618"/>
      <c r="Y30" s="627">
        <v>1311.6006600660066</v>
      </c>
      <c r="Z30" s="628">
        <v>1347.5</v>
      </c>
      <c r="AA30" s="628">
        <v>1376.1764705882354</v>
      </c>
      <c r="AB30" s="628">
        <v>1347.2222222222222</v>
      </c>
      <c r="AC30" s="628">
        <v>1337.5925925925926</v>
      </c>
      <c r="AD30" s="628">
        <v>1268.8636363636363</v>
      </c>
      <c r="AE30" s="628">
        <v>1279.7916666666667</v>
      </c>
      <c r="AF30" s="628">
        <v>0</v>
      </c>
      <c r="AG30" s="628">
        <v>0</v>
      </c>
      <c r="AH30" s="628">
        <v>0</v>
      </c>
      <c r="AI30" s="628">
        <v>0</v>
      </c>
      <c r="AJ30" s="628">
        <v>0</v>
      </c>
      <c r="AK30" s="628">
        <v>0</v>
      </c>
      <c r="AL30" s="628">
        <v>0</v>
      </c>
      <c r="AM30" s="628">
        <v>0</v>
      </c>
      <c r="AN30" s="628">
        <v>0</v>
      </c>
    </row>
    <row r="31" spans="1:40" x14ac:dyDescent="0.3">
      <c r="A31" s="489" t="s">
        <v>1451</v>
      </c>
      <c r="B31" s="489" t="s">
        <v>1557</v>
      </c>
      <c r="C31" s="489" t="s">
        <v>1558</v>
      </c>
      <c r="D31" s="489" t="s">
        <v>141</v>
      </c>
      <c r="E31" s="619">
        <v>289</v>
      </c>
      <c r="F31" s="627">
        <f t="shared" si="1"/>
        <v>2162.9826989619378</v>
      </c>
      <c r="G31" s="628">
        <f t="shared" si="2"/>
        <v>2057</v>
      </c>
      <c r="H31" s="628">
        <f t="shared" si="2"/>
        <v>2057</v>
      </c>
      <c r="I31" s="628">
        <f t="shared" si="2"/>
        <v>1998</v>
      </c>
      <c r="J31" s="628">
        <f t="shared" si="2"/>
        <v>2167.0714285714284</v>
      </c>
      <c r="K31" s="628">
        <f t="shared" si="2"/>
        <v>2038.1428571428571</v>
      </c>
      <c r="L31" s="628">
        <f t="shared" si="2"/>
        <v>0</v>
      </c>
      <c r="M31" s="628">
        <f t="shared" si="2"/>
        <v>0</v>
      </c>
      <c r="N31" s="628">
        <f t="shared" si="2"/>
        <v>0</v>
      </c>
      <c r="O31" s="628">
        <f t="shared" si="2"/>
        <v>0</v>
      </c>
      <c r="P31" s="628">
        <f t="shared" si="2"/>
        <v>0</v>
      </c>
      <c r="Q31" s="628">
        <f t="shared" si="2"/>
        <v>0</v>
      </c>
      <c r="R31" s="628">
        <f t="shared" si="2"/>
        <v>0</v>
      </c>
      <c r="S31" s="628">
        <f t="shared" si="2"/>
        <v>0</v>
      </c>
      <c r="T31" s="628">
        <f t="shared" si="2"/>
        <v>0</v>
      </c>
      <c r="U31" s="628">
        <f t="shared" si="2"/>
        <v>0</v>
      </c>
      <c r="V31" s="618"/>
      <c r="Y31" s="627">
        <v>2162.9826989619378</v>
      </c>
      <c r="Z31" s="628">
        <v>0</v>
      </c>
      <c r="AA31" s="628">
        <v>2057</v>
      </c>
      <c r="AB31" s="628">
        <v>1998</v>
      </c>
      <c r="AC31" s="628">
        <v>2167.0714285714284</v>
      </c>
      <c r="AD31" s="628">
        <v>2038.1428571428571</v>
      </c>
      <c r="AE31" s="628">
        <v>0</v>
      </c>
      <c r="AF31" s="628">
        <v>0</v>
      </c>
      <c r="AG31" s="628">
        <v>0</v>
      </c>
      <c r="AH31" s="628">
        <v>0</v>
      </c>
      <c r="AI31" s="628">
        <v>0</v>
      </c>
      <c r="AJ31" s="628">
        <v>0</v>
      </c>
      <c r="AK31" s="628">
        <v>0</v>
      </c>
      <c r="AL31" s="628">
        <v>0</v>
      </c>
      <c r="AM31" s="628">
        <v>0</v>
      </c>
      <c r="AN31" s="628">
        <v>0</v>
      </c>
    </row>
    <row r="32" spans="1:40" x14ac:dyDescent="0.3">
      <c r="A32" s="489" t="s">
        <v>1414</v>
      </c>
      <c r="B32" s="489" t="s">
        <v>1559</v>
      </c>
      <c r="C32" s="489" t="s">
        <v>1560</v>
      </c>
      <c r="D32" s="489" t="s">
        <v>46</v>
      </c>
      <c r="E32" s="619">
        <v>281</v>
      </c>
      <c r="F32" s="627">
        <f t="shared" si="1"/>
        <v>1661.7081850533807</v>
      </c>
      <c r="G32" s="628">
        <f t="shared" si="2"/>
        <v>1717.5</v>
      </c>
      <c r="H32" s="628">
        <f t="shared" si="2"/>
        <v>1717.5</v>
      </c>
      <c r="I32" s="628">
        <f t="shared" si="2"/>
        <v>1708.3333333333333</v>
      </c>
      <c r="J32" s="628">
        <f t="shared" si="2"/>
        <v>1745</v>
      </c>
      <c r="K32" s="628">
        <f t="shared" si="2"/>
        <v>1745</v>
      </c>
      <c r="L32" s="628">
        <f t="shared" si="2"/>
        <v>1701</v>
      </c>
      <c r="M32" s="628">
        <f t="shared" si="2"/>
        <v>1672.1052631578948</v>
      </c>
      <c r="N32" s="628">
        <f t="shared" si="2"/>
        <v>1664.7368421052631</v>
      </c>
      <c r="O32" s="628">
        <f t="shared" si="2"/>
        <v>1661.875</v>
      </c>
      <c r="P32" s="628">
        <f t="shared" si="2"/>
        <v>1678</v>
      </c>
      <c r="Q32" s="628">
        <f t="shared" si="2"/>
        <v>1669.7872340425531</v>
      </c>
      <c r="R32" s="628">
        <f t="shared" si="2"/>
        <v>1667.0588235294117</v>
      </c>
      <c r="S32" s="628">
        <f t="shared" si="2"/>
        <v>1663.148148148148</v>
      </c>
      <c r="T32" s="628">
        <f t="shared" si="2"/>
        <v>1667.037037037037</v>
      </c>
      <c r="U32" s="628">
        <f t="shared" si="2"/>
        <v>1656.7857142857142</v>
      </c>
      <c r="V32" s="618"/>
      <c r="Y32" s="627">
        <v>1661.7081850533807</v>
      </c>
      <c r="Z32" s="628">
        <v>0</v>
      </c>
      <c r="AA32" s="628">
        <v>1717.5</v>
      </c>
      <c r="AB32" s="628">
        <v>1708.3333333333333</v>
      </c>
      <c r="AC32" s="628">
        <v>1745</v>
      </c>
      <c r="AD32" s="628">
        <v>1745</v>
      </c>
      <c r="AE32" s="628">
        <v>1701</v>
      </c>
      <c r="AF32" s="628">
        <v>1672.1052631578948</v>
      </c>
      <c r="AG32" s="628">
        <v>1664.7368421052631</v>
      </c>
      <c r="AH32" s="628">
        <v>1661.875</v>
      </c>
      <c r="AI32" s="628">
        <v>1678</v>
      </c>
      <c r="AJ32" s="628">
        <v>1669.7872340425531</v>
      </c>
      <c r="AK32" s="628">
        <v>1667.0588235294117</v>
      </c>
      <c r="AL32" s="628">
        <v>1663.148148148148</v>
      </c>
      <c r="AM32" s="628">
        <v>1667.037037037037</v>
      </c>
      <c r="AN32" s="628">
        <v>1656.7857142857142</v>
      </c>
    </row>
    <row r="33" spans="1:40" x14ac:dyDescent="0.3">
      <c r="A33" s="489" t="s">
        <v>1426</v>
      </c>
      <c r="B33" s="489" t="s">
        <v>816</v>
      </c>
      <c r="C33" s="489" t="s">
        <v>816</v>
      </c>
      <c r="D33" s="489" t="s">
        <v>1929</v>
      </c>
      <c r="E33" s="619">
        <v>238</v>
      </c>
      <c r="F33" s="627">
        <f t="shared" si="1"/>
        <v>1342.8151260504201</v>
      </c>
      <c r="G33" s="628">
        <f t="shared" si="2"/>
        <v>1350</v>
      </c>
      <c r="H33" s="628">
        <f t="shared" si="2"/>
        <v>1350</v>
      </c>
      <c r="I33" s="628">
        <f t="shared" si="2"/>
        <v>1350</v>
      </c>
      <c r="J33" s="628">
        <f t="shared" si="2"/>
        <v>1350</v>
      </c>
      <c r="K33" s="628">
        <f t="shared" si="2"/>
        <v>1350</v>
      </c>
      <c r="L33" s="628">
        <f t="shared" si="2"/>
        <v>1342.9166666666667</v>
      </c>
      <c r="M33" s="628">
        <f t="shared" si="2"/>
        <v>1343.1818181818182</v>
      </c>
      <c r="N33" s="628">
        <f t="shared" si="2"/>
        <v>1353.3333333333333</v>
      </c>
      <c r="O33" s="628">
        <f t="shared" si="2"/>
        <v>1343.3333333333333</v>
      </c>
      <c r="P33" s="628">
        <f t="shared" si="2"/>
        <v>1341.25</v>
      </c>
      <c r="Q33" s="628">
        <f t="shared" si="2"/>
        <v>1340</v>
      </c>
      <c r="R33" s="628">
        <f t="shared" si="2"/>
        <v>1340.46875</v>
      </c>
      <c r="S33" s="628">
        <f t="shared" si="2"/>
        <v>1341.5384615384614</v>
      </c>
      <c r="T33" s="628">
        <f t="shared" si="2"/>
        <v>1346.5555555555557</v>
      </c>
      <c r="U33" s="628">
        <f t="shared" si="2"/>
        <v>1345</v>
      </c>
      <c r="V33" s="618"/>
      <c r="Y33" s="627">
        <v>1342.8151260504201</v>
      </c>
      <c r="Z33" s="628">
        <v>1350</v>
      </c>
      <c r="AA33" s="628">
        <v>1350</v>
      </c>
      <c r="AB33" s="628">
        <v>1350</v>
      </c>
      <c r="AC33" s="628">
        <v>1350</v>
      </c>
      <c r="AD33" s="628">
        <v>1350</v>
      </c>
      <c r="AE33" s="628">
        <v>1342.9166666666667</v>
      </c>
      <c r="AF33" s="628">
        <v>1343.1818181818182</v>
      </c>
      <c r="AG33" s="628">
        <v>1353.3333333333333</v>
      </c>
      <c r="AH33" s="628">
        <v>1343.3333333333333</v>
      </c>
      <c r="AI33" s="628">
        <v>1341.25</v>
      </c>
      <c r="AJ33" s="628">
        <v>1340</v>
      </c>
      <c r="AK33" s="628">
        <v>1340.46875</v>
      </c>
      <c r="AL33" s="628">
        <v>1341.5384615384614</v>
      </c>
      <c r="AM33" s="628">
        <v>1346.5555555555557</v>
      </c>
      <c r="AN33" s="628">
        <v>1345</v>
      </c>
    </row>
    <row r="34" spans="1:40" x14ac:dyDescent="0.3">
      <c r="A34" s="489" t="s">
        <v>1561</v>
      </c>
      <c r="B34" s="489" t="s">
        <v>1562</v>
      </c>
      <c r="C34" s="489" t="s">
        <v>1563</v>
      </c>
      <c r="D34" s="489" t="s">
        <v>141</v>
      </c>
      <c r="E34" s="619">
        <v>237</v>
      </c>
      <c r="F34" s="627">
        <f t="shared" si="1"/>
        <v>1427.506329113924</v>
      </c>
      <c r="G34" s="628">
        <f t="shared" ref="G34:U49" si="3">IF(Z34&gt;0,Z34,IF(H34&gt;0,H34,0))</f>
        <v>1502</v>
      </c>
      <c r="H34" s="628">
        <f t="shared" si="3"/>
        <v>1502</v>
      </c>
      <c r="I34" s="628">
        <f t="shared" si="3"/>
        <v>1502</v>
      </c>
      <c r="J34" s="628">
        <f t="shared" si="3"/>
        <v>1502</v>
      </c>
      <c r="K34" s="628">
        <f t="shared" si="3"/>
        <v>1502</v>
      </c>
      <c r="L34" s="628">
        <f t="shared" si="3"/>
        <v>1441.6909090909091</v>
      </c>
      <c r="M34" s="628">
        <f t="shared" si="3"/>
        <v>1395</v>
      </c>
      <c r="N34" s="628">
        <f t="shared" si="3"/>
        <v>1395</v>
      </c>
      <c r="O34" s="628">
        <f t="shared" si="3"/>
        <v>1395</v>
      </c>
      <c r="P34" s="628">
        <f t="shared" si="3"/>
        <v>0</v>
      </c>
      <c r="Q34" s="628">
        <f t="shared" si="3"/>
        <v>0</v>
      </c>
      <c r="R34" s="628">
        <f t="shared" si="3"/>
        <v>0</v>
      </c>
      <c r="S34" s="628">
        <f t="shared" si="3"/>
        <v>0</v>
      </c>
      <c r="T34" s="628">
        <f t="shared" si="3"/>
        <v>0</v>
      </c>
      <c r="U34" s="628">
        <f t="shared" si="3"/>
        <v>0</v>
      </c>
      <c r="V34" s="618"/>
      <c r="Y34" s="627">
        <v>1427.506329113924</v>
      </c>
      <c r="Z34" s="628">
        <v>1502</v>
      </c>
      <c r="AA34" s="628">
        <v>0</v>
      </c>
      <c r="AB34" s="628">
        <v>1502</v>
      </c>
      <c r="AC34" s="628">
        <v>1502</v>
      </c>
      <c r="AD34" s="628">
        <v>1502</v>
      </c>
      <c r="AE34" s="628">
        <v>1441.6909090909091</v>
      </c>
      <c r="AF34" s="628">
        <v>1395</v>
      </c>
      <c r="AG34" s="628">
        <v>1395</v>
      </c>
      <c r="AH34" s="628">
        <v>1395</v>
      </c>
      <c r="AI34" s="628">
        <v>0</v>
      </c>
      <c r="AJ34" s="628">
        <v>0</v>
      </c>
      <c r="AK34" s="628">
        <v>0</v>
      </c>
      <c r="AL34" s="628">
        <v>0</v>
      </c>
      <c r="AM34" s="628">
        <v>0</v>
      </c>
      <c r="AN34" s="628">
        <v>0</v>
      </c>
    </row>
    <row r="35" spans="1:40" x14ac:dyDescent="0.3">
      <c r="A35" s="489" t="s">
        <v>1564</v>
      </c>
      <c r="B35" s="489" t="s">
        <v>1565</v>
      </c>
      <c r="C35" s="489" t="s">
        <v>1566</v>
      </c>
      <c r="D35" s="489" t="s">
        <v>141</v>
      </c>
      <c r="E35" s="619">
        <v>237</v>
      </c>
      <c r="F35" s="627">
        <f t="shared" si="1"/>
        <v>1725</v>
      </c>
      <c r="G35" s="628">
        <f t="shared" si="3"/>
        <v>1725</v>
      </c>
      <c r="H35" s="628">
        <f t="shared" si="3"/>
        <v>1725</v>
      </c>
      <c r="I35" s="628">
        <f t="shared" si="3"/>
        <v>0</v>
      </c>
      <c r="J35" s="628">
        <f t="shared" si="3"/>
        <v>0</v>
      </c>
      <c r="K35" s="628">
        <f t="shared" si="3"/>
        <v>0</v>
      </c>
      <c r="L35" s="628">
        <f t="shared" si="3"/>
        <v>0</v>
      </c>
      <c r="M35" s="628">
        <f t="shared" si="3"/>
        <v>0</v>
      </c>
      <c r="N35" s="628">
        <f t="shared" si="3"/>
        <v>0</v>
      </c>
      <c r="O35" s="628">
        <f t="shared" si="3"/>
        <v>0</v>
      </c>
      <c r="P35" s="628">
        <f t="shared" si="3"/>
        <v>0</v>
      </c>
      <c r="Q35" s="628">
        <f t="shared" si="3"/>
        <v>0</v>
      </c>
      <c r="R35" s="628">
        <f t="shared" si="3"/>
        <v>0</v>
      </c>
      <c r="S35" s="628">
        <f t="shared" si="3"/>
        <v>0</v>
      </c>
      <c r="T35" s="628">
        <f t="shared" si="3"/>
        <v>0</v>
      </c>
      <c r="U35" s="628">
        <f t="shared" si="3"/>
        <v>0</v>
      </c>
      <c r="V35" s="618"/>
      <c r="Y35" s="627">
        <v>1725</v>
      </c>
      <c r="Z35" s="628">
        <v>1725</v>
      </c>
      <c r="AA35" s="628">
        <v>1725</v>
      </c>
      <c r="AB35" s="628">
        <v>0</v>
      </c>
      <c r="AC35" s="628">
        <v>0</v>
      </c>
      <c r="AD35" s="628">
        <v>0</v>
      </c>
      <c r="AE35" s="628">
        <v>0</v>
      </c>
      <c r="AF35" s="628">
        <v>0</v>
      </c>
      <c r="AG35" s="628">
        <v>0</v>
      </c>
      <c r="AH35" s="628">
        <v>0</v>
      </c>
      <c r="AI35" s="628">
        <v>0</v>
      </c>
      <c r="AJ35" s="628">
        <v>0</v>
      </c>
      <c r="AK35" s="628">
        <v>0</v>
      </c>
      <c r="AL35" s="628">
        <v>0</v>
      </c>
      <c r="AM35" s="628">
        <v>0</v>
      </c>
      <c r="AN35" s="628">
        <v>0</v>
      </c>
    </row>
    <row r="36" spans="1:40" x14ac:dyDescent="0.3">
      <c r="A36" s="489" t="s">
        <v>1567</v>
      </c>
      <c r="B36" s="489">
        <v>508</v>
      </c>
      <c r="C36" s="489" t="s">
        <v>865</v>
      </c>
      <c r="D36" s="489" t="s">
        <v>46</v>
      </c>
      <c r="E36" s="619">
        <v>234</v>
      </c>
      <c r="F36" s="627">
        <f t="shared" si="1"/>
        <v>1411.4957264957266</v>
      </c>
      <c r="G36" s="628">
        <f t="shared" si="3"/>
        <v>1432.5</v>
      </c>
      <c r="H36" s="628">
        <f t="shared" si="3"/>
        <v>1515</v>
      </c>
      <c r="I36" s="628">
        <f t="shared" si="3"/>
        <v>1438.75</v>
      </c>
      <c r="J36" s="628">
        <f t="shared" si="3"/>
        <v>1517.5</v>
      </c>
      <c r="K36" s="628">
        <f t="shared" si="3"/>
        <v>1395</v>
      </c>
      <c r="L36" s="628">
        <f t="shared" si="3"/>
        <v>1432.8571428571429</v>
      </c>
      <c r="M36" s="628">
        <f t="shared" si="3"/>
        <v>1460</v>
      </c>
      <c r="N36" s="628">
        <f t="shared" si="3"/>
        <v>1406.25</v>
      </c>
      <c r="O36" s="628">
        <f t="shared" si="3"/>
        <v>1425.3125</v>
      </c>
      <c r="P36" s="628">
        <f t="shared" si="3"/>
        <v>1401.25</v>
      </c>
      <c r="Q36" s="628">
        <f t="shared" si="3"/>
        <v>1401.4705882352941</v>
      </c>
      <c r="R36" s="628">
        <f t="shared" si="3"/>
        <v>1403.7671232876712</v>
      </c>
      <c r="S36" s="628">
        <f t="shared" si="3"/>
        <v>1407.7450980392157</v>
      </c>
      <c r="T36" s="628">
        <f t="shared" si="3"/>
        <v>1410</v>
      </c>
      <c r="U36" s="628">
        <f t="shared" si="3"/>
        <v>0</v>
      </c>
      <c r="V36" s="618"/>
      <c r="Y36" s="627">
        <v>1411.4957264957266</v>
      </c>
      <c r="Z36" s="628">
        <v>1432.5</v>
      </c>
      <c r="AA36" s="628">
        <v>1515</v>
      </c>
      <c r="AB36" s="628">
        <v>1438.75</v>
      </c>
      <c r="AC36" s="628">
        <v>1517.5</v>
      </c>
      <c r="AD36" s="628">
        <v>1395</v>
      </c>
      <c r="AE36" s="628">
        <v>1432.8571428571429</v>
      </c>
      <c r="AF36" s="628">
        <v>1460</v>
      </c>
      <c r="AG36" s="628">
        <v>1406.25</v>
      </c>
      <c r="AH36" s="628">
        <v>1425.3125</v>
      </c>
      <c r="AI36" s="628">
        <v>1401.25</v>
      </c>
      <c r="AJ36" s="628">
        <v>1401.4705882352941</v>
      </c>
      <c r="AK36" s="628">
        <v>1403.7671232876712</v>
      </c>
      <c r="AL36" s="628">
        <v>1407.7450980392157</v>
      </c>
      <c r="AM36" s="628">
        <v>1410</v>
      </c>
      <c r="AN36" s="628">
        <v>0</v>
      </c>
    </row>
    <row r="37" spans="1:40" x14ac:dyDescent="0.3">
      <c r="A37" s="489" t="s">
        <v>1414</v>
      </c>
      <c r="B37" s="489" t="s">
        <v>1568</v>
      </c>
      <c r="C37" s="489" t="s">
        <v>1569</v>
      </c>
      <c r="D37" s="489" t="s">
        <v>46</v>
      </c>
      <c r="E37" s="619">
        <v>225</v>
      </c>
      <c r="F37" s="627">
        <f t="shared" si="1"/>
        <v>1912.0666666666666</v>
      </c>
      <c r="G37" s="628">
        <f t="shared" si="3"/>
        <v>2009</v>
      </c>
      <c r="H37" s="628">
        <f t="shared" si="3"/>
        <v>2097</v>
      </c>
      <c r="I37" s="628">
        <f t="shared" si="3"/>
        <v>1981.8333333333333</v>
      </c>
      <c r="J37" s="628">
        <f t="shared" si="3"/>
        <v>1876</v>
      </c>
      <c r="K37" s="628">
        <f t="shared" si="3"/>
        <v>1989.6666666666667</v>
      </c>
      <c r="L37" s="628">
        <f t="shared" si="3"/>
        <v>1989.6666666666667</v>
      </c>
      <c r="M37" s="628">
        <f t="shared" si="3"/>
        <v>1929.3333333333333</v>
      </c>
      <c r="N37" s="628">
        <f t="shared" si="3"/>
        <v>1935.6428571428571</v>
      </c>
      <c r="O37" s="628">
        <f t="shared" si="3"/>
        <v>1936.8181818181818</v>
      </c>
      <c r="P37" s="628">
        <f t="shared" si="3"/>
        <v>1921.7916666666667</v>
      </c>
      <c r="Q37" s="628">
        <f t="shared" si="3"/>
        <v>1876</v>
      </c>
      <c r="R37" s="628">
        <f t="shared" si="3"/>
        <v>1889.3125</v>
      </c>
      <c r="S37" s="628">
        <f t="shared" si="3"/>
        <v>1903.3548387096773</v>
      </c>
      <c r="T37" s="628">
        <f t="shared" si="3"/>
        <v>1893.125</v>
      </c>
      <c r="U37" s="628">
        <f t="shared" si="3"/>
        <v>1882.7272727272727</v>
      </c>
      <c r="V37" s="618"/>
      <c r="Y37" s="627">
        <v>1912.0666666666666</v>
      </c>
      <c r="Z37" s="628">
        <v>2009</v>
      </c>
      <c r="AA37" s="628">
        <v>2097</v>
      </c>
      <c r="AB37" s="628">
        <v>1981.8333333333333</v>
      </c>
      <c r="AC37" s="628">
        <v>1876</v>
      </c>
      <c r="AD37" s="628">
        <v>0</v>
      </c>
      <c r="AE37" s="628">
        <v>1989.6666666666667</v>
      </c>
      <c r="AF37" s="628">
        <v>1929.3333333333333</v>
      </c>
      <c r="AG37" s="628">
        <v>1935.6428571428571</v>
      </c>
      <c r="AH37" s="628">
        <v>1936.8181818181818</v>
      </c>
      <c r="AI37" s="628">
        <v>1921.7916666666667</v>
      </c>
      <c r="AJ37" s="628">
        <v>1876</v>
      </c>
      <c r="AK37" s="628">
        <v>1889.3125</v>
      </c>
      <c r="AL37" s="628">
        <v>1903.3548387096773</v>
      </c>
      <c r="AM37" s="628">
        <v>1893.125</v>
      </c>
      <c r="AN37" s="628">
        <v>1882.7272727272727</v>
      </c>
    </row>
    <row r="38" spans="1:40" x14ac:dyDescent="0.3">
      <c r="A38" s="489" t="s">
        <v>1414</v>
      </c>
      <c r="B38" s="489" t="s">
        <v>1570</v>
      </c>
      <c r="C38" s="489" t="s">
        <v>1571</v>
      </c>
      <c r="D38" s="489" t="s">
        <v>46</v>
      </c>
      <c r="E38" s="619">
        <v>222</v>
      </c>
      <c r="F38" s="627">
        <f t="shared" si="1"/>
        <v>1357.2567567567567</v>
      </c>
      <c r="G38" s="628">
        <f t="shared" si="3"/>
        <v>1536</v>
      </c>
      <c r="H38" s="628">
        <f t="shared" si="3"/>
        <v>1536</v>
      </c>
      <c r="I38" s="628">
        <f t="shared" si="3"/>
        <v>1536</v>
      </c>
      <c r="J38" s="628">
        <f t="shared" si="3"/>
        <v>1536</v>
      </c>
      <c r="K38" s="628">
        <f t="shared" si="3"/>
        <v>1295</v>
      </c>
      <c r="L38" s="628">
        <f t="shared" si="3"/>
        <v>1374.9</v>
      </c>
      <c r="M38" s="628">
        <f t="shared" si="3"/>
        <v>1385.0980392156862</v>
      </c>
      <c r="N38" s="628">
        <f t="shared" si="3"/>
        <v>1295</v>
      </c>
      <c r="O38" s="628">
        <f t="shared" si="3"/>
        <v>1301.25</v>
      </c>
      <c r="P38" s="628">
        <f t="shared" si="3"/>
        <v>1347.1904761904761</v>
      </c>
      <c r="Q38" s="628">
        <f t="shared" si="3"/>
        <v>1295</v>
      </c>
      <c r="R38" s="628">
        <f t="shared" si="3"/>
        <v>1295</v>
      </c>
      <c r="S38" s="628">
        <f t="shared" si="3"/>
        <v>0</v>
      </c>
      <c r="T38" s="628">
        <f t="shared" si="3"/>
        <v>0</v>
      </c>
      <c r="U38" s="628">
        <f t="shared" si="3"/>
        <v>0</v>
      </c>
      <c r="V38" s="618"/>
      <c r="Y38" s="627">
        <v>1357.2567567567567</v>
      </c>
      <c r="Z38" s="628">
        <v>0</v>
      </c>
      <c r="AA38" s="628">
        <v>1536</v>
      </c>
      <c r="AB38" s="628">
        <v>1536</v>
      </c>
      <c r="AC38" s="628">
        <v>1536</v>
      </c>
      <c r="AD38" s="628">
        <v>1295</v>
      </c>
      <c r="AE38" s="628">
        <v>1374.9</v>
      </c>
      <c r="AF38" s="628">
        <v>1385.0980392156862</v>
      </c>
      <c r="AG38" s="628">
        <v>1295</v>
      </c>
      <c r="AH38" s="628">
        <v>1301.25</v>
      </c>
      <c r="AI38" s="628">
        <v>1347.1904761904761</v>
      </c>
      <c r="AJ38" s="628">
        <v>1295</v>
      </c>
      <c r="AK38" s="628">
        <v>1295</v>
      </c>
      <c r="AL38" s="628">
        <v>0</v>
      </c>
      <c r="AM38" s="628">
        <v>0</v>
      </c>
      <c r="AN38" s="628">
        <v>0</v>
      </c>
    </row>
    <row r="39" spans="1:40" x14ac:dyDescent="0.3">
      <c r="A39" s="489" t="s">
        <v>1572</v>
      </c>
      <c r="B39" s="489" t="s">
        <v>1573</v>
      </c>
      <c r="C39" s="489" t="s">
        <v>1834</v>
      </c>
      <c r="D39" s="489" t="s">
        <v>1530</v>
      </c>
      <c r="E39" s="619">
        <v>221</v>
      </c>
      <c r="F39" s="627">
        <f t="shared" si="1"/>
        <v>2694.4298642533936</v>
      </c>
      <c r="G39" s="628">
        <f t="shared" si="3"/>
        <v>2560.5555555555557</v>
      </c>
      <c r="H39" s="628">
        <f t="shared" si="3"/>
        <v>2560.5555555555557</v>
      </c>
      <c r="I39" s="628">
        <f t="shared" si="3"/>
        <v>2560.5555555555557</v>
      </c>
      <c r="J39" s="628">
        <f t="shared" si="3"/>
        <v>2560.5555555555557</v>
      </c>
      <c r="K39" s="628">
        <f t="shared" si="3"/>
        <v>2560.5555555555557</v>
      </c>
      <c r="L39" s="628">
        <f t="shared" si="3"/>
        <v>2560.5555555555557</v>
      </c>
      <c r="M39" s="628">
        <f t="shared" si="3"/>
        <v>2773.5</v>
      </c>
      <c r="N39" s="628">
        <f t="shared" si="3"/>
        <v>2679.8541666666665</v>
      </c>
      <c r="O39" s="628">
        <f t="shared" si="3"/>
        <v>2635</v>
      </c>
      <c r="P39" s="628">
        <f t="shared" si="3"/>
        <v>2825</v>
      </c>
      <c r="Q39" s="628">
        <f t="shared" si="3"/>
        <v>2825</v>
      </c>
      <c r="R39" s="628">
        <f t="shared" si="3"/>
        <v>2825</v>
      </c>
      <c r="S39" s="628">
        <f t="shared" si="3"/>
        <v>2878.2258064516127</v>
      </c>
      <c r="T39" s="628">
        <f t="shared" si="3"/>
        <v>0</v>
      </c>
      <c r="U39" s="628">
        <f t="shared" si="3"/>
        <v>0</v>
      </c>
      <c r="V39" s="618"/>
      <c r="Y39" s="627">
        <v>2694.4298642533936</v>
      </c>
      <c r="Z39" s="628">
        <v>0</v>
      </c>
      <c r="AA39" s="628">
        <v>0</v>
      </c>
      <c r="AB39" s="628">
        <v>0</v>
      </c>
      <c r="AC39" s="628">
        <v>0</v>
      </c>
      <c r="AD39" s="628">
        <v>0</v>
      </c>
      <c r="AE39" s="628">
        <v>2560.5555555555557</v>
      </c>
      <c r="AF39" s="628">
        <v>2773.5</v>
      </c>
      <c r="AG39" s="628">
        <v>2679.8541666666665</v>
      </c>
      <c r="AH39" s="628">
        <v>2635</v>
      </c>
      <c r="AI39" s="628">
        <v>0</v>
      </c>
      <c r="AJ39" s="628">
        <v>0</v>
      </c>
      <c r="AK39" s="628">
        <v>2825</v>
      </c>
      <c r="AL39" s="628">
        <v>2878.2258064516127</v>
      </c>
      <c r="AM39" s="628">
        <v>0</v>
      </c>
      <c r="AN39" s="628">
        <v>0</v>
      </c>
    </row>
    <row r="40" spans="1:40" x14ac:dyDescent="0.3">
      <c r="A40" s="489" t="s">
        <v>1544</v>
      </c>
      <c r="B40" s="489" t="s">
        <v>1574</v>
      </c>
      <c r="C40" s="489" t="s">
        <v>1575</v>
      </c>
      <c r="D40" s="489" t="s">
        <v>141</v>
      </c>
      <c r="E40" s="619">
        <v>211</v>
      </c>
      <c r="F40" s="627">
        <f t="shared" si="1"/>
        <v>2784.350710900474</v>
      </c>
      <c r="G40" s="628">
        <f t="shared" si="3"/>
        <v>2786.8372093023254</v>
      </c>
      <c r="H40" s="628">
        <f t="shared" si="3"/>
        <v>2787.136752136752</v>
      </c>
      <c r="I40" s="628">
        <f t="shared" si="3"/>
        <v>2775.8627450980393</v>
      </c>
      <c r="J40" s="628">
        <f t="shared" si="3"/>
        <v>0</v>
      </c>
      <c r="K40" s="628">
        <f t="shared" si="3"/>
        <v>0</v>
      </c>
      <c r="L40" s="628">
        <f t="shared" si="3"/>
        <v>0</v>
      </c>
      <c r="M40" s="628">
        <f t="shared" si="3"/>
        <v>0</v>
      </c>
      <c r="N40" s="628">
        <f t="shared" si="3"/>
        <v>0</v>
      </c>
      <c r="O40" s="628">
        <f t="shared" si="3"/>
        <v>0</v>
      </c>
      <c r="P40" s="628">
        <f t="shared" si="3"/>
        <v>0</v>
      </c>
      <c r="Q40" s="628">
        <f t="shared" si="3"/>
        <v>0</v>
      </c>
      <c r="R40" s="628">
        <f t="shared" si="3"/>
        <v>0</v>
      </c>
      <c r="S40" s="628">
        <f t="shared" si="3"/>
        <v>0</v>
      </c>
      <c r="T40" s="628">
        <f t="shared" si="3"/>
        <v>0</v>
      </c>
      <c r="U40" s="628">
        <f t="shared" si="3"/>
        <v>0</v>
      </c>
      <c r="V40" s="618"/>
      <c r="Y40" s="627">
        <v>2784.350710900474</v>
      </c>
      <c r="Z40" s="628">
        <v>2786.8372093023254</v>
      </c>
      <c r="AA40" s="628">
        <v>2787.136752136752</v>
      </c>
      <c r="AB40" s="628">
        <v>2775.8627450980393</v>
      </c>
      <c r="AC40" s="628">
        <v>0</v>
      </c>
      <c r="AD40" s="628">
        <v>0</v>
      </c>
      <c r="AE40" s="628">
        <v>0</v>
      </c>
      <c r="AF40" s="628">
        <v>0</v>
      </c>
      <c r="AG40" s="628">
        <v>0</v>
      </c>
      <c r="AH40" s="628">
        <v>0</v>
      </c>
      <c r="AI40" s="628">
        <v>0</v>
      </c>
      <c r="AJ40" s="628">
        <v>0</v>
      </c>
      <c r="AK40" s="628">
        <v>0</v>
      </c>
      <c r="AL40" s="628">
        <v>0</v>
      </c>
      <c r="AM40" s="628">
        <v>0</v>
      </c>
      <c r="AN40" s="628">
        <v>0</v>
      </c>
    </row>
    <row r="41" spans="1:40" x14ac:dyDescent="0.3">
      <c r="A41" s="489" t="s">
        <v>1451</v>
      </c>
      <c r="B41" s="489" t="s">
        <v>1576</v>
      </c>
      <c r="C41" s="489" t="s">
        <v>1577</v>
      </c>
      <c r="D41" s="489" t="s">
        <v>46</v>
      </c>
      <c r="E41" s="619">
        <v>201</v>
      </c>
      <c r="F41" s="627">
        <f t="shared" si="1"/>
        <v>2713.5721393034828</v>
      </c>
      <c r="G41" s="628">
        <f t="shared" si="3"/>
        <v>2712.4129032258065</v>
      </c>
      <c r="H41" s="628">
        <f t="shared" si="3"/>
        <v>2712.4129032258065</v>
      </c>
      <c r="I41" s="628">
        <f t="shared" si="3"/>
        <v>2712.4129032258065</v>
      </c>
      <c r="J41" s="628">
        <f t="shared" si="3"/>
        <v>2712.4129032258065</v>
      </c>
      <c r="K41" s="628">
        <f t="shared" si="3"/>
        <v>2712.4129032258065</v>
      </c>
      <c r="L41" s="628">
        <f t="shared" si="3"/>
        <v>2712.4129032258065</v>
      </c>
      <c r="M41" s="628">
        <f t="shared" si="3"/>
        <v>2754.2093023255816</v>
      </c>
      <c r="N41" s="628">
        <f t="shared" si="3"/>
        <v>2526</v>
      </c>
      <c r="O41" s="628">
        <f t="shared" si="3"/>
        <v>2526</v>
      </c>
      <c r="P41" s="628">
        <f t="shared" si="3"/>
        <v>2105</v>
      </c>
      <c r="Q41" s="628">
        <f t="shared" si="3"/>
        <v>2105</v>
      </c>
      <c r="R41" s="628">
        <f t="shared" si="3"/>
        <v>2105</v>
      </c>
      <c r="S41" s="628">
        <f t="shared" si="3"/>
        <v>2105</v>
      </c>
      <c r="T41" s="628">
        <f t="shared" si="3"/>
        <v>0</v>
      </c>
      <c r="U41" s="628">
        <f t="shared" si="3"/>
        <v>0</v>
      </c>
      <c r="V41" s="618"/>
      <c r="Y41" s="627">
        <v>2713.5721393034828</v>
      </c>
      <c r="Z41" s="628">
        <v>0</v>
      </c>
      <c r="AA41" s="628">
        <v>0</v>
      </c>
      <c r="AB41" s="628">
        <v>0</v>
      </c>
      <c r="AC41" s="628">
        <v>0</v>
      </c>
      <c r="AD41" s="628">
        <v>0</v>
      </c>
      <c r="AE41" s="628">
        <v>2712.4129032258065</v>
      </c>
      <c r="AF41" s="628">
        <v>2754.2093023255816</v>
      </c>
      <c r="AG41" s="628">
        <v>0</v>
      </c>
      <c r="AH41" s="628">
        <v>2526</v>
      </c>
      <c r="AI41" s="628">
        <v>0</v>
      </c>
      <c r="AJ41" s="628">
        <v>0</v>
      </c>
      <c r="AK41" s="628">
        <v>0</v>
      </c>
      <c r="AL41" s="628">
        <v>2105</v>
      </c>
      <c r="AM41" s="628">
        <v>0</v>
      </c>
      <c r="AN41" s="628">
        <v>0</v>
      </c>
    </row>
    <row r="42" spans="1:40" x14ac:dyDescent="0.3">
      <c r="A42" s="489" t="s">
        <v>1544</v>
      </c>
      <c r="B42" s="489" t="s">
        <v>1578</v>
      </c>
      <c r="C42" s="489" t="s">
        <v>337</v>
      </c>
      <c r="D42" s="489" t="s">
        <v>46</v>
      </c>
      <c r="E42" s="619">
        <v>200</v>
      </c>
      <c r="F42" s="627">
        <f t="shared" si="1"/>
        <v>1305.905</v>
      </c>
      <c r="G42" s="628">
        <f t="shared" si="3"/>
        <v>1368.5555555555557</v>
      </c>
      <c r="H42" s="628">
        <f t="shared" si="3"/>
        <v>1336.6</v>
      </c>
      <c r="I42" s="628">
        <f t="shared" si="3"/>
        <v>1341.3333333333333</v>
      </c>
      <c r="J42" s="628">
        <f t="shared" si="3"/>
        <v>1342.2666666666667</v>
      </c>
      <c r="K42" s="628">
        <f t="shared" si="3"/>
        <v>1351.8</v>
      </c>
      <c r="L42" s="628">
        <f t="shared" si="3"/>
        <v>1333.9047619047619</v>
      </c>
      <c r="M42" s="628">
        <f t="shared" si="3"/>
        <v>1295.5769230769231</v>
      </c>
      <c r="N42" s="628">
        <f t="shared" si="3"/>
        <v>1288.6785714285713</v>
      </c>
      <c r="O42" s="628">
        <f t="shared" si="3"/>
        <v>1313.5454545454545</v>
      </c>
      <c r="P42" s="628">
        <f t="shared" si="3"/>
        <v>1277.4285714285713</v>
      </c>
      <c r="Q42" s="628">
        <f t="shared" si="3"/>
        <v>1271.2857142857142</v>
      </c>
      <c r="R42" s="628">
        <f t="shared" si="3"/>
        <v>1275.8648648648648</v>
      </c>
      <c r="S42" s="628">
        <f t="shared" si="3"/>
        <v>1264.875</v>
      </c>
      <c r="T42" s="628">
        <f t="shared" si="3"/>
        <v>1279.6666666666667</v>
      </c>
      <c r="U42" s="628">
        <f t="shared" si="3"/>
        <v>0</v>
      </c>
      <c r="V42" s="618"/>
      <c r="Y42" s="627">
        <v>1305.905</v>
      </c>
      <c r="Z42" s="628">
        <v>1368.5555555555557</v>
      </c>
      <c r="AA42" s="628">
        <v>1336.6</v>
      </c>
      <c r="AB42" s="628">
        <v>1341.3333333333333</v>
      </c>
      <c r="AC42" s="628">
        <v>1342.2666666666667</v>
      </c>
      <c r="AD42" s="628">
        <v>1351.8</v>
      </c>
      <c r="AE42" s="628">
        <v>1333.9047619047619</v>
      </c>
      <c r="AF42" s="628">
        <v>1295.5769230769231</v>
      </c>
      <c r="AG42" s="628">
        <v>1288.6785714285713</v>
      </c>
      <c r="AH42" s="628">
        <v>1313.5454545454545</v>
      </c>
      <c r="AI42" s="628">
        <v>1277.4285714285713</v>
      </c>
      <c r="AJ42" s="628">
        <v>1271.2857142857142</v>
      </c>
      <c r="AK42" s="628">
        <v>1275.8648648648648</v>
      </c>
      <c r="AL42" s="628">
        <v>1264.875</v>
      </c>
      <c r="AM42" s="628">
        <v>1279.6666666666667</v>
      </c>
      <c r="AN42" s="628">
        <v>0</v>
      </c>
    </row>
    <row r="43" spans="1:40" x14ac:dyDescent="0.3">
      <c r="A43" s="489" t="s">
        <v>1426</v>
      </c>
      <c r="B43" s="489" t="s">
        <v>1579</v>
      </c>
      <c r="C43" s="489" t="s">
        <v>1580</v>
      </c>
      <c r="D43" s="489" t="s">
        <v>46</v>
      </c>
      <c r="E43" s="619">
        <v>199</v>
      </c>
      <c r="F43" s="627">
        <f t="shared" si="1"/>
        <v>1678.7638190954774</v>
      </c>
      <c r="G43" s="628">
        <f t="shared" si="3"/>
        <v>1679</v>
      </c>
      <c r="H43" s="628">
        <f t="shared" si="3"/>
        <v>1679</v>
      </c>
      <c r="I43" s="628">
        <f t="shared" si="3"/>
        <v>1679</v>
      </c>
      <c r="J43" s="628">
        <f t="shared" si="3"/>
        <v>1679</v>
      </c>
      <c r="K43" s="628">
        <f t="shared" si="3"/>
        <v>1679</v>
      </c>
      <c r="L43" s="628">
        <f t="shared" si="3"/>
        <v>1705.3563218390805</v>
      </c>
      <c r="M43" s="628">
        <f t="shared" si="3"/>
        <v>1653.1162790697674</v>
      </c>
      <c r="N43" s="628">
        <f t="shared" si="3"/>
        <v>1641</v>
      </c>
      <c r="O43" s="628">
        <f t="shared" si="3"/>
        <v>0</v>
      </c>
      <c r="P43" s="628">
        <f t="shared" si="3"/>
        <v>0</v>
      </c>
      <c r="Q43" s="628">
        <f t="shared" si="3"/>
        <v>0</v>
      </c>
      <c r="R43" s="628">
        <f t="shared" si="3"/>
        <v>0</v>
      </c>
      <c r="S43" s="628">
        <f t="shared" si="3"/>
        <v>0</v>
      </c>
      <c r="T43" s="628">
        <f t="shared" si="3"/>
        <v>0</v>
      </c>
      <c r="U43" s="628">
        <f t="shared" si="3"/>
        <v>0</v>
      </c>
      <c r="V43" s="618"/>
      <c r="Y43" s="627">
        <v>1678.7638190954774</v>
      </c>
      <c r="Z43" s="628">
        <v>0</v>
      </c>
      <c r="AA43" s="628">
        <v>0</v>
      </c>
      <c r="AB43" s="628">
        <v>0</v>
      </c>
      <c r="AC43" s="628">
        <v>0</v>
      </c>
      <c r="AD43" s="628">
        <v>1679</v>
      </c>
      <c r="AE43" s="628">
        <v>1705.3563218390805</v>
      </c>
      <c r="AF43" s="628">
        <v>1653.1162790697674</v>
      </c>
      <c r="AG43" s="628">
        <v>1641</v>
      </c>
      <c r="AH43" s="628">
        <v>0</v>
      </c>
      <c r="AI43" s="628">
        <v>0</v>
      </c>
      <c r="AJ43" s="628">
        <v>0</v>
      </c>
      <c r="AK43" s="628">
        <v>0</v>
      </c>
      <c r="AL43" s="628">
        <v>0</v>
      </c>
      <c r="AM43" s="628">
        <v>0</v>
      </c>
      <c r="AN43" s="628">
        <v>0</v>
      </c>
    </row>
    <row r="44" spans="1:40" x14ac:dyDescent="0.3">
      <c r="A44" s="489" t="s">
        <v>1441</v>
      </c>
      <c r="B44" s="489" t="s">
        <v>1549</v>
      </c>
      <c r="C44" s="489" t="s">
        <v>1550</v>
      </c>
      <c r="D44" s="489" t="s">
        <v>1530</v>
      </c>
      <c r="E44" s="619">
        <v>189</v>
      </c>
      <c r="F44" s="627">
        <f t="shared" si="1"/>
        <v>1598.3756613756614</v>
      </c>
      <c r="G44" s="628">
        <f t="shared" si="3"/>
        <v>1592</v>
      </c>
      <c r="H44" s="628">
        <f t="shared" si="3"/>
        <v>1592</v>
      </c>
      <c r="I44" s="628">
        <f t="shared" si="3"/>
        <v>1592</v>
      </c>
      <c r="J44" s="628">
        <f t="shared" si="3"/>
        <v>1592</v>
      </c>
      <c r="K44" s="628">
        <f t="shared" si="3"/>
        <v>1592</v>
      </c>
      <c r="L44" s="628">
        <f t="shared" si="3"/>
        <v>1638.3</v>
      </c>
      <c r="M44" s="628">
        <f t="shared" si="3"/>
        <v>1573.7469879518073</v>
      </c>
      <c r="N44" s="628">
        <f t="shared" si="3"/>
        <v>1638.5185185185185</v>
      </c>
      <c r="O44" s="628">
        <f t="shared" si="3"/>
        <v>1552.7272727272727</v>
      </c>
      <c r="P44" s="628">
        <f t="shared" si="3"/>
        <v>1520.7142857142858</v>
      </c>
      <c r="Q44" s="628">
        <f t="shared" si="3"/>
        <v>1508</v>
      </c>
      <c r="R44" s="628">
        <f t="shared" si="3"/>
        <v>1696</v>
      </c>
      <c r="S44" s="628">
        <f t="shared" si="3"/>
        <v>1550.6666666666667</v>
      </c>
      <c r="T44" s="628">
        <f t="shared" si="3"/>
        <v>1684</v>
      </c>
      <c r="U44" s="628">
        <f t="shared" si="3"/>
        <v>0</v>
      </c>
      <c r="V44" s="618"/>
      <c r="Y44" s="627">
        <v>1598.3756613756614</v>
      </c>
      <c r="Z44" s="628">
        <v>0</v>
      </c>
      <c r="AA44" s="628">
        <v>0</v>
      </c>
      <c r="AB44" s="628">
        <v>0</v>
      </c>
      <c r="AC44" s="628">
        <v>0</v>
      </c>
      <c r="AD44" s="628">
        <v>1592</v>
      </c>
      <c r="AE44" s="628">
        <v>1638.3</v>
      </c>
      <c r="AF44" s="628">
        <v>1573.7469879518073</v>
      </c>
      <c r="AG44" s="628">
        <v>1638.5185185185185</v>
      </c>
      <c r="AH44" s="628">
        <v>1552.7272727272727</v>
      </c>
      <c r="AI44" s="628">
        <v>1520.7142857142858</v>
      </c>
      <c r="AJ44" s="628">
        <v>1508</v>
      </c>
      <c r="AK44" s="628">
        <v>1696</v>
      </c>
      <c r="AL44" s="628">
        <v>1550.6666666666667</v>
      </c>
      <c r="AM44" s="628">
        <v>1684</v>
      </c>
      <c r="AN44" s="628">
        <v>0</v>
      </c>
    </row>
    <row r="45" spans="1:40" x14ac:dyDescent="0.3">
      <c r="A45" s="489" t="s">
        <v>1426</v>
      </c>
      <c r="B45" s="489" t="s">
        <v>1579</v>
      </c>
      <c r="C45" s="489" t="s">
        <v>1580</v>
      </c>
      <c r="D45" s="489" t="s">
        <v>141</v>
      </c>
      <c r="E45" s="619">
        <v>188</v>
      </c>
      <c r="F45" s="627">
        <f t="shared" si="1"/>
        <v>2145.7180851063831</v>
      </c>
      <c r="G45" s="628">
        <f t="shared" si="3"/>
        <v>2040</v>
      </c>
      <c r="H45" s="628">
        <f t="shared" si="3"/>
        <v>2213</v>
      </c>
      <c r="I45" s="628">
        <f t="shared" si="3"/>
        <v>2107.876923076923</v>
      </c>
      <c r="J45" s="628">
        <f t="shared" si="3"/>
        <v>2165.9749999999999</v>
      </c>
      <c r="K45" s="628">
        <f t="shared" si="3"/>
        <v>0</v>
      </c>
      <c r="L45" s="628">
        <f t="shared" si="3"/>
        <v>0</v>
      </c>
      <c r="M45" s="628">
        <f t="shared" si="3"/>
        <v>0</v>
      </c>
      <c r="N45" s="628">
        <f t="shared" si="3"/>
        <v>0</v>
      </c>
      <c r="O45" s="628">
        <f t="shared" si="3"/>
        <v>0</v>
      </c>
      <c r="P45" s="628">
        <f t="shared" si="3"/>
        <v>0</v>
      </c>
      <c r="Q45" s="628">
        <f t="shared" si="3"/>
        <v>0</v>
      </c>
      <c r="R45" s="628">
        <f t="shared" si="3"/>
        <v>0</v>
      </c>
      <c r="S45" s="628">
        <f t="shared" si="3"/>
        <v>0</v>
      </c>
      <c r="T45" s="628">
        <f t="shared" si="3"/>
        <v>0</v>
      </c>
      <c r="U45" s="628">
        <f t="shared" si="3"/>
        <v>0</v>
      </c>
      <c r="V45" s="618"/>
      <c r="Y45" s="627">
        <v>2145.7180851063831</v>
      </c>
      <c r="Z45" s="628">
        <v>2040</v>
      </c>
      <c r="AA45" s="628">
        <v>2213</v>
      </c>
      <c r="AB45" s="628">
        <v>2107.876923076923</v>
      </c>
      <c r="AC45" s="628">
        <v>2165.9749999999999</v>
      </c>
      <c r="AD45" s="628">
        <v>0</v>
      </c>
      <c r="AE45" s="628">
        <v>0</v>
      </c>
      <c r="AF45" s="628">
        <v>0</v>
      </c>
      <c r="AG45" s="628">
        <v>0</v>
      </c>
      <c r="AH45" s="628">
        <v>0</v>
      </c>
      <c r="AI45" s="628">
        <v>0</v>
      </c>
      <c r="AJ45" s="628">
        <v>0</v>
      </c>
      <c r="AK45" s="628">
        <v>0</v>
      </c>
      <c r="AL45" s="628">
        <v>0</v>
      </c>
      <c r="AM45" s="628">
        <v>0</v>
      </c>
      <c r="AN45" s="628">
        <v>0</v>
      </c>
    </row>
    <row r="46" spans="1:40" x14ac:dyDescent="0.3">
      <c r="A46" s="489" t="s">
        <v>1414</v>
      </c>
      <c r="B46" s="489" t="s">
        <v>1581</v>
      </c>
      <c r="C46" s="489" t="s">
        <v>1582</v>
      </c>
      <c r="D46" s="489" t="s">
        <v>46</v>
      </c>
      <c r="E46" s="619">
        <v>185</v>
      </c>
      <c r="F46" s="627">
        <f t="shared" si="1"/>
        <v>1675.4301075268818</v>
      </c>
      <c r="G46" s="628">
        <f t="shared" si="3"/>
        <v>1716</v>
      </c>
      <c r="H46" s="628">
        <f t="shared" si="3"/>
        <v>1716</v>
      </c>
      <c r="I46" s="628">
        <f t="shared" si="3"/>
        <v>1745</v>
      </c>
      <c r="J46" s="628">
        <f t="shared" si="3"/>
        <v>1702.5</v>
      </c>
      <c r="K46" s="628">
        <f t="shared" si="3"/>
        <v>1702.5</v>
      </c>
      <c r="L46" s="628">
        <f t="shared" si="3"/>
        <v>1702.5</v>
      </c>
      <c r="M46" s="628">
        <f t="shared" si="3"/>
        <v>1726.6666666666667</v>
      </c>
      <c r="N46" s="628">
        <f t="shared" si="3"/>
        <v>1690.8333333333333</v>
      </c>
      <c r="O46" s="628">
        <f t="shared" si="3"/>
        <v>1689.3478260869565</v>
      </c>
      <c r="P46" s="628">
        <f t="shared" si="3"/>
        <v>1673.2608695652175</v>
      </c>
      <c r="Q46" s="628">
        <f t="shared" si="3"/>
        <v>1690</v>
      </c>
      <c r="R46" s="628">
        <f t="shared" si="3"/>
        <v>1665.5555555555557</v>
      </c>
      <c r="S46" s="628">
        <f t="shared" si="3"/>
        <v>1690</v>
      </c>
      <c r="T46" s="628">
        <f t="shared" si="3"/>
        <v>1650.4166666666667</v>
      </c>
      <c r="U46" s="628">
        <f t="shared" si="3"/>
        <v>1655</v>
      </c>
      <c r="V46" s="618"/>
      <c r="Y46" s="627">
        <v>1675.4301075268818</v>
      </c>
      <c r="Z46" s="628">
        <v>0</v>
      </c>
      <c r="AA46" s="628">
        <v>1716</v>
      </c>
      <c r="AB46" s="628">
        <v>1745</v>
      </c>
      <c r="AC46" s="628">
        <v>0</v>
      </c>
      <c r="AD46" s="628">
        <v>0</v>
      </c>
      <c r="AE46" s="628">
        <v>1702.5</v>
      </c>
      <c r="AF46" s="628">
        <v>1726.6666666666667</v>
      </c>
      <c r="AG46" s="628">
        <v>1690.8333333333333</v>
      </c>
      <c r="AH46" s="628">
        <v>1689.3478260869565</v>
      </c>
      <c r="AI46" s="628">
        <v>1673.2608695652175</v>
      </c>
      <c r="AJ46" s="628">
        <v>1690</v>
      </c>
      <c r="AK46" s="628">
        <v>1665.5555555555557</v>
      </c>
      <c r="AL46" s="628">
        <v>1690</v>
      </c>
      <c r="AM46" s="628">
        <v>1650.4166666666667</v>
      </c>
      <c r="AN46" s="628">
        <v>1655</v>
      </c>
    </row>
    <row r="47" spans="1:40" x14ac:dyDescent="0.3">
      <c r="A47" s="489" t="s">
        <v>1422</v>
      </c>
      <c r="B47" s="489" t="s">
        <v>1583</v>
      </c>
      <c r="C47" s="489" t="s">
        <v>1584</v>
      </c>
      <c r="D47" s="489" t="s">
        <v>141</v>
      </c>
      <c r="E47" s="619">
        <v>183</v>
      </c>
      <c r="F47" s="627">
        <f t="shared" si="1"/>
        <v>2021.6338797814208</v>
      </c>
      <c r="G47" s="628">
        <f t="shared" si="3"/>
        <v>2009</v>
      </c>
      <c r="H47" s="628">
        <f t="shared" si="3"/>
        <v>2013.301204819277</v>
      </c>
      <c r="I47" s="628">
        <f t="shared" si="3"/>
        <v>2031.4047619047619</v>
      </c>
      <c r="J47" s="628">
        <f t="shared" si="3"/>
        <v>2014.2142857142858</v>
      </c>
      <c r="K47" s="628">
        <f t="shared" si="3"/>
        <v>0</v>
      </c>
      <c r="L47" s="628">
        <f t="shared" si="3"/>
        <v>0</v>
      </c>
      <c r="M47" s="628">
        <f t="shared" si="3"/>
        <v>0</v>
      </c>
      <c r="N47" s="628">
        <f t="shared" si="3"/>
        <v>0</v>
      </c>
      <c r="O47" s="628">
        <f t="shared" si="3"/>
        <v>0</v>
      </c>
      <c r="P47" s="628">
        <f t="shared" si="3"/>
        <v>0</v>
      </c>
      <c r="Q47" s="628">
        <f t="shared" si="3"/>
        <v>0</v>
      </c>
      <c r="R47" s="628">
        <f t="shared" si="3"/>
        <v>0</v>
      </c>
      <c r="S47" s="628">
        <f t="shared" si="3"/>
        <v>0</v>
      </c>
      <c r="T47" s="628">
        <f t="shared" si="3"/>
        <v>0</v>
      </c>
      <c r="U47" s="628">
        <f t="shared" si="3"/>
        <v>0</v>
      </c>
      <c r="V47" s="618"/>
      <c r="Y47" s="627">
        <v>2021.6338797814208</v>
      </c>
      <c r="Z47" s="628">
        <v>2009</v>
      </c>
      <c r="AA47" s="628">
        <v>2013.301204819277</v>
      </c>
      <c r="AB47" s="628">
        <v>2031.4047619047619</v>
      </c>
      <c r="AC47" s="628">
        <v>2014.2142857142858</v>
      </c>
      <c r="AD47" s="628">
        <v>0</v>
      </c>
      <c r="AE47" s="628">
        <v>0</v>
      </c>
      <c r="AF47" s="628">
        <v>0</v>
      </c>
      <c r="AG47" s="628">
        <v>0</v>
      </c>
      <c r="AH47" s="628">
        <v>0</v>
      </c>
      <c r="AI47" s="628">
        <v>0</v>
      </c>
      <c r="AJ47" s="628">
        <v>0</v>
      </c>
      <c r="AK47" s="628">
        <v>0</v>
      </c>
      <c r="AL47" s="628">
        <v>0</v>
      </c>
      <c r="AM47" s="628">
        <v>0</v>
      </c>
      <c r="AN47" s="628">
        <v>0</v>
      </c>
    </row>
    <row r="48" spans="1:40" x14ac:dyDescent="0.3">
      <c r="A48" s="489" t="s">
        <v>1414</v>
      </c>
      <c r="B48" s="489" t="s">
        <v>1585</v>
      </c>
      <c r="C48" s="489" t="s">
        <v>1586</v>
      </c>
      <c r="D48" s="489" t="s">
        <v>46</v>
      </c>
      <c r="E48" s="619">
        <v>179</v>
      </c>
      <c r="F48" s="627">
        <f t="shared" si="1"/>
        <v>1687.0111731843576</v>
      </c>
      <c r="G48" s="628">
        <f t="shared" si="3"/>
        <v>1765</v>
      </c>
      <c r="H48" s="628">
        <f t="shared" si="3"/>
        <v>1765</v>
      </c>
      <c r="I48" s="628">
        <f t="shared" si="3"/>
        <v>1765</v>
      </c>
      <c r="J48" s="628">
        <f t="shared" si="3"/>
        <v>1765</v>
      </c>
      <c r="K48" s="628">
        <f t="shared" si="3"/>
        <v>1765</v>
      </c>
      <c r="L48" s="628">
        <f t="shared" si="3"/>
        <v>1723.125</v>
      </c>
      <c r="M48" s="628">
        <f t="shared" si="3"/>
        <v>1748.8888888888889</v>
      </c>
      <c r="N48" s="628">
        <f t="shared" si="3"/>
        <v>1683.75</v>
      </c>
      <c r="O48" s="628">
        <f t="shared" si="3"/>
        <v>1696.969696969697</v>
      </c>
      <c r="P48" s="628">
        <f t="shared" si="3"/>
        <v>1664</v>
      </c>
      <c r="Q48" s="628">
        <f t="shared" si="3"/>
        <v>1662.6923076923076</v>
      </c>
      <c r="R48" s="628">
        <f t="shared" si="3"/>
        <v>0</v>
      </c>
      <c r="S48" s="628">
        <f t="shared" si="3"/>
        <v>0</v>
      </c>
      <c r="T48" s="628">
        <f t="shared" si="3"/>
        <v>0</v>
      </c>
      <c r="U48" s="628">
        <f t="shared" si="3"/>
        <v>0</v>
      </c>
      <c r="V48" s="618"/>
      <c r="Y48" s="627">
        <v>1687.0111731843576</v>
      </c>
      <c r="Z48" s="628">
        <v>1765</v>
      </c>
      <c r="AA48" s="628">
        <v>1765</v>
      </c>
      <c r="AB48" s="628">
        <v>1765</v>
      </c>
      <c r="AC48" s="628">
        <v>1765</v>
      </c>
      <c r="AD48" s="628">
        <v>1765</v>
      </c>
      <c r="AE48" s="628">
        <v>1723.125</v>
      </c>
      <c r="AF48" s="628">
        <v>1748.8888888888889</v>
      </c>
      <c r="AG48" s="628">
        <v>1683.75</v>
      </c>
      <c r="AH48" s="628">
        <v>1696.969696969697</v>
      </c>
      <c r="AI48" s="628">
        <v>1664</v>
      </c>
      <c r="AJ48" s="628">
        <v>1662.6923076923076</v>
      </c>
      <c r="AK48" s="628">
        <v>0</v>
      </c>
      <c r="AL48" s="628">
        <v>0</v>
      </c>
      <c r="AM48" s="628">
        <v>0</v>
      </c>
      <c r="AN48" s="628">
        <v>0</v>
      </c>
    </row>
    <row r="49" spans="1:40" x14ac:dyDescent="0.3">
      <c r="A49" s="489" t="s">
        <v>1451</v>
      </c>
      <c r="B49" s="489" t="s">
        <v>1587</v>
      </c>
      <c r="C49" s="489" t="s">
        <v>1588</v>
      </c>
      <c r="D49" s="489" t="s">
        <v>46</v>
      </c>
      <c r="E49" s="619">
        <v>173</v>
      </c>
      <c r="F49" s="627">
        <f t="shared" si="1"/>
        <v>1800.4566473988439</v>
      </c>
      <c r="G49" s="628">
        <f t="shared" si="3"/>
        <v>1823</v>
      </c>
      <c r="H49" s="628">
        <f t="shared" si="3"/>
        <v>1823</v>
      </c>
      <c r="I49" s="628">
        <f t="shared" si="3"/>
        <v>1854.5</v>
      </c>
      <c r="J49" s="628">
        <f t="shared" si="3"/>
        <v>1823</v>
      </c>
      <c r="K49" s="628">
        <f t="shared" si="3"/>
        <v>1795</v>
      </c>
      <c r="L49" s="628">
        <f t="shared" si="3"/>
        <v>1795</v>
      </c>
      <c r="M49" s="628">
        <f t="shared" si="3"/>
        <v>1794.0096153846155</v>
      </c>
      <c r="N49" s="628">
        <f t="shared" si="3"/>
        <v>1800.6875</v>
      </c>
      <c r="O49" s="628">
        <f t="shared" si="3"/>
        <v>1821.3333333333333</v>
      </c>
      <c r="P49" s="628">
        <f t="shared" si="3"/>
        <v>1876</v>
      </c>
      <c r="Q49" s="628">
        <f t="shared" si="3"/>
        <v>0</v>
      </c>
      <c r="R49" s="628">
        <f t="shared" si="3"/>
        <v>0</v>
      </c>
      <c r="S49" s="628">
        <f t="shared" si="3"/>
        <v>0</v>
      </c>
      <c r="T49" s="628">
        <f t="shared" si="3"/>
        <v>0</v>
      </c>
      <c r="U49" s="628">
        <f t="shared" si="3"/>
        <v>0</v>
      </c>
      <c r="V49" s="618"/>
      <c r="Y49" s="627">
        <v>1800.4566473988439</v>
      </c>
      <c r="Z49" s="628">
        <v>0</v>
      </c>
      <c r="AA49" s="628">
        <v>1823</v>
      </c>
      <c r="AB49" s="628">
        <v>1854.5</v>
      </c>
      <c r="AC49" s="628">
        <v>1823</v>
      </c>
      <c r="AD49" s="628">
        <v>0</v>
      </c>
      <c r="AE49" s="628">
        <v>1795</v>
      </c>
      <c r="AF49" s="628">
        <v>1794.0096153846155</v>
      </c>
      <c r="AG49" s="628">
        <v>1800.6875</v>
      </c>
      <c r="AH49" s="628">
        <v>1821.3333333333333</v>
      </c>
      <c r="AI49" s="628">
        <v>1876</v>
      </c>
      <c r="AJ49" s="628">
        <v>0</v>
      </c>
      <c r="AK49" s="628">
        <v>0</v>
      </c>
      <c r="AL49" s="628">
        <v>0</v>
      </c>
      <c r="AM49" s="628">
        <v>0</v>
      </c>
      <c r="AN49" s="628">
        <v>0</v>
      </c>
    </row>
    <row r="50" spans="1:40" x14ac:dyDescent="0.3">
      <c r="A50" s="489" t="s">
        <v>1454</v>
      </c>
      <c r="B50" s="489" t="s">
        <v>1589</v>
      </c>
      <c r="C50" s="489" t="s">
        <v>1590</v>
      </c>
      <c r="D50" s="489" t="s">
        <v>46</v>
      </c>
      <c r="E50" s="619">
        <v>169</v>
      </c>
      <c r="F50" s="627">
        <f t="shared" si="1"/>
        <v>1831.0236686390533</v>
      </c>
      <c r="G50" s="628">
        <f t="shared" ref="G50:U65" si="4">IF(Z50&gt;0,Z50,IF(H50&gt;0,H50,0))</f>
        <v>1894.5</v>
      </c>
      <c r="H50" s="628">
        <f t="shared" si="4"/>
        <v>1894.5</v>
      </c>
      <c r="I50" s="628">
        <f t="shared" si="4"/>
        <v>1887</v>
      </c>
      <c r="J50" s="628">
        <f t="shared" si="4"/>
        <v>1854.5</v>
      </c>
      <c r="K50" s="628">
        <f t="shared" si="4"/>
        <v>1865.1219512195121</v>
      </c>
      <c r="L50" s="628">
        <f t="shared" si="4"/>
        <v>1865.1219512195121</v>
      </c>
      <c r="M50" s="628">
        <f t="shared" si="4"/>
        <v>1813.7407407407406</v>
      </c>
      <c r="N50" s="628">
        <f t="shared" si="4"/>
        <v>1823</v>
      </c>
      <c r="O50" s="628">
        <f t="shared" si="4"/>
        <v>1780.7</v>
      </c>
      <c r="P50" s="628">
        <f t="shared" si="4"/>
        <v>1887</v>
      </c>
      <c r="Q50" s="628">
        <f t="shared" si="4"/>
        <v>1887</v>
      </c>
      <c r="R50" s="628">
        <f t="shared" si="4"/>
        <v>1883.6666666666667</v>
      </c>
      <c r="S50" s="628">
        <f t="shared" si="4"/>
        <v>1887</v>
      </c>
      <c r="T50" s="628">
        <f t="shared" si="4"/>
        <v>1887</v>
      </c>
      <c r="U50" s="628">
        <f t="shared" si="4"/>
        <v>1887</v>
      </c>
      <c r="V50" s="618"/>
      <c r="Y50" s="627">
        <v>1831.0236686390533</v>
      </c>
      <c r="Z50" s="628">
        <v>0</v>
      </c>
      <c r="AA50" s="628">
        <v>1894.5</v>
      </c>
      <c r="AB50" s="628">
        <v>1887</v>
      </c>
      <c r="AC50" s="628">
        <v>1854.5</v>
      </c>
      <c r="AD50" s="628">
        <v>0</v>
      </c>
      <c r="AE50" s="628">
        <v>1865.1219512195121</v>
      </c>
      <c r="AF50" s="628">
        <v>1813.7407407407406</v>
      </c>
      <c r="AG50" s="628">
        <v>1823</v>
      </c>
      <c r="AH50" s="628">
        <v>1780.7</v>
      </c>
      <c r="AI50" s="628">
        <v>1887</v>
      </c>
      <c r="AJ50" s="628">
        <v>1887</v>
      </c>
      <c r="AK50" s="628">
        <v>1883.6666666666667</v>
      </c>
      <c r="AL50" s="628">
        <v>0</v>
      </c>
      <c r="AM50" s="628">
        <v>1887</v>
      </c>
      <c r="AN50" s="628">
        <v>1887</v>
      </c>
    </row>
    <row r="51" spans="1:40" x14ac:dyDescent="0.3">
      <c r="A51" s="489" t="s">
        <v>1417</v>
      </c>
      <c r="B51" s="489" t="s">
        <v>1418</v>
      </c>
      <c r="C51" s="489" t="s">
        <v>1232</v>
      </c>
      <c r="D51" s="489" t="s">
        <v>1936</v>
      </c>
      <c r="E51" s="619">
        <v>169</v>
      </c>
      <c r="F51" s="627">
        <f t="shared" si="1"/>
        <v>1395.396449704142</v>
      </c>
      <c r="G51" s="628">
        <f t="shared" si="4"/>
        <v>1379.3333333333333</v>
      </c>
      <c r="H51" s="628">
        <f t="shared" si="4"/>
        <v>1379.3333333333333</v>
      </c>
      <c r="I51" s="628">
        <f t="shared" si="4"/>
        <v>1386.8</v>
      </c>
      <c r="J51" s="628">
        <f t="shared" si="4"/>
        <v>1390</v>
      </c>
      <c r="K51" s="628">
        <f t="shared" si="4"/>
        <v>1390</v>
      </c>
      <c r="L51" s="628">
        <f t="shared" si="4"/>
        <v>1391.7538461538461</v>
      </c>
      <c r="M51" s="628">
        <f t="shared" si="4"/>
        <v>1403.3157894736842</v>
      </c>
      <c r="N51" s="628">
        <f t="shared" si="4"/>
        <v>1404.9411764705883</v>
      </c>
      <c r="O51" s="628">
        <f t="shared" si="4"/>
        <v>1407</v>
      </c>
      <c r="P51" s="628">
        <f t="shared" si="4"/>
        <v>0</v>
      </c>
      <c r="Q51" s="628">
        <f t="shared" si="4"/>
        <v>0</v>
      </c>
      <c r="R51" s="628">
        <f t="shared" si="4"/>
        <v>0</v>
      </c>
      <c r="S51" s="628">
        <f t="shared" si="4"/>
        <v>0</v>
      </c>
      <c r="T51" s="628">
        <f t="shared" si="4"/>
        <v>0</v>
      </c>
      <c r="U51" s="628">
        <f t="shared" si="4"/>
        <v>0</v>
      </c>
      <c r="V51" s="618"/>
      <c r="Y51" s="627">
        <v>1395.396449704142</v>
      </c>
      <c r="Z51" s="628">
        <v>0</v>
      </c>
      <c r="AA51" s="628">
        <v>1379.3333333333333</v>
      </c>
      <c r="AB51" s="628">
        <v>1386.8</v>
      </c>
      <c r="AC51" s="628">
        <v>1390</v>
      </c>
      <c r="AD51" s="628">
        <v>1390</v>
      </c>
      <c r="AE51" s="628">
        <v>1391.7538461538461</v>
      </c>
      <c r="AF51" s="628">
        <v>1403.3157894736842</v>
      </c>
      <c r="AG51" s="628">
        <v>1404.9411764705883</v>
      </c>
      <c r="AH51" s="628">
        <v>1407</v>
      </c>
      <c r="AI51" s="628">
        <v>0</v>
      </c>
      <c r="AJ51" s="628">
        <v>0</v>
      </c>
      <c r="AK51" s="628">
        <v>0</v>
      </c>
      <c r="AL51" s="628">
        <v>0</v>
      </c>
      <c r="AM51" s="628">
        <v>0</v>
      </c>
      <c r="AN51" s="628">
        <v>0</v>
      </c>
    </row>
    <row r="52" spans="1:40" x14ac:dyDescent="0.3">
      <c r="A52" s="489" t="s">
        <v>1591</v>
      </c>
      <c r="B52" s="489" t="s">
        <v>1592</v>
      </c>
      <c r="C52" s="489" t="s">
        <v>1592</v>
      </c>
      <c r="D52" s="489" t="s">
        <v>141</v>
      </c>
      <c r="E52" s="619">
        <v>168</v>
      </c>
      <c r="F52" s="627">
        <f t="shared" si="1"/>
        <v>1480</v>
      </c>
      <c r="G52" s="628">
        <f t="shared" si="4"/>
        <v>1480</v>
      </c>
      <c r="H52" s="628">
        <f t="shared" si="4"/>
        <v>1480</v>
      </c>
      <c r="I52" s="628">
        <f t="shared" si="4"/>
        <v>1480</v>
      </c>
      <c r="J52" s="628">
        <f t="shared" si="4"/>
        <v>1480</v>
      </c>
      <c r="K52" s="628">
        <f t="shared" si="4"/>
        <v>1480</v>
      </c>
      <c r="L52" s="628">
        <f t="shared" si="4"/>
        <v>1480</v>
      </c>
      <c r="M52" s="628">
        <f t="shared" si="4"/>
        <v>1480</v>
      </c>
      <c r="N52" s="628">
        <f t="shared" si="4"/>
        <v>0</v>
      </c>
      <c r="O52" s="628">
        <f t="shared" si="4"/>
        <v>0</v>
      </c>
      <c r="P52" s="628">
        <f t="shared" si="4"/>
        <v>0</v>
      </c>
      <c r="Q52" s="628">
        <f t="shared" si="4"/>
        <v>0</v>
      </c>
      <c r="R52" s="628">
        <f t="shared" si="4"/>
        <v>0</v>
      </c>
      <c r="S52" s="628">
        <f t="shared" si="4"/>
        <v>0</v>
      </c>
      <c r="T52" s="628">
        <f t="shared" si="4"/>
        <v>0</v>
      </c>
      <c r="U52" s="628">
        <f t="shared" si="4"/>
        <v>0</v>
      </c>
      <c r="V52" s="618"/>
      <c r="Y52" s="627">
        <v>1480</v>
      </c>
      <c r="Z52" s="628">
        <v>1480</v>
      </c>
      <c r="AA52" s="628">
        <v>0</v>
      </c>
      <c r="AB52" s="628">
        <v>1480</v>
      </c>
      <c r="AC52" s="628">
        <v>1480</v>
      </c>
      <c r="AD52" s="628">
        <v>1480</v>
      </c>
      <c r="AE52" s="628">
        <v>1480</v>
      </c>
      <c r="AF52" s="628">
        <v>1480</v>
      </c>
      <c r="AG52" s="628">
        <v>0</v>
      </c>
      <c r="AH52" s="628">
        <v>0</v>
      </c>
      <c r="AI52" s="628">
        <v>0</v>
      </c>
      <c r="AJ52" s="628">
        <v>0</v>
      </c>
      <c r="AK52" s="628">
        <v>0</v>
      </c>
      <c r="AL52" s="628">
        <v>0</v>
      </c>
      <c r="AM52" s="628">
        <v>0</v>
      </c>
      <c r="AN52" s="628">
        <v>0</v>
      </c>
    </row>
    <row r="53" spans="1:40" x14ac:dyDescent="0.3">
      <c r="A53" s="489" t="s">
        <v>1441</v>
      </c>
      <c r="B53" s="489" t="s">
        <v>1593</v>
      </c>
      <c r="C53" s="489" t="s">
        <v>1594</v>
      </c>
      <c r="D53" s="489" t="s">
        <v>141</v>
      </c>
      <c r="E53" s="619">
        <v>167</v>
      </c>
      <c r="F53" s="627">
        <f t="shared" si="1"/>
        <v>1705.1257485029939</v>
      </c>
      <c r="G53" s="628">
        <f t="shared" si="4"/>
        <v>1694</v>
      </c>
      <c r="H53" s="628">
        <f t="shared" si="4"/>
        <v>1712.7948717948718</v>
      </c>
      <c r="I53" s="628">
        <f t="shared" si="4"/>
        <v>1710.9230769230769</v>
      </c>
      <c r="J53" s="628">
        <f t="shared" si="4"/>
        <v>1705.2333333333333</v>
      </c>
      <c r="K53" s="628">
        <f t="shared" si="4"/>
        <v>1698.2777777777778</v>
      </c>
      <c r="L53" s="628">
        <f t="shared" si="4"/>
        <v>0</v>
      </c>
      <c r="M53" s="628">
        <f t="shared" si="4"/>
        <v>0</v>
      </c>
      <c r="N53" s="628">
        <f t="shared" si="4"/>
        <v>0</v>
      </c>
      <c r="O53" s="628">
        <f t="shared" si="4"/>
        <v>0</v>
      </c>
      <c r="P53" s="628">
        <f t="shared" si="4"/>
        <v>0</v>
      </c>
      <c r="Q53" s="628">
        <f t="shared" si="4"/>
        <v>0</v>
      </c>
      <c r="R53" s="628">
        <f t="shared" si="4"/>
        <v>0</v>
      </c>
      <c r="S53" s="628">
        <f t="shared" si="4"/>
        <v>0</v>
      </c>
      <c r="T53" s="628">
        <f t="shared" si="4"/>
        <v>0</v>
      </c>
      <c r="U53" s="628">
        <f t="shared" si="4"/>
        <v>0</v>
      </c>
      <c r="V53" s="618"/>
      <c r="Y53" s="627">
        <v>1705.1257485029939</v>
      </c>
      <c r="Z53" s="628">
        <v>1694</v>
      </c>
      <c r="AA53" s="628">
        <v>1712.7948717948718</v>
      </c>
      <c r="AB53" s="628">
        <v>1710.9230769230769</v>
      </c>
      <c r="AC53" s="628">
        <v>1705.2333333333333</v>
      </c>
      <c r="AD53" s="628">
        <v>1698.2777777777778</v>
      </c>
      <c r="AE53" s="628">
        <v>0</v>
      </c>
      <c r="AF53" s="628">
        <v>0</v>
      </c>
      <c r="AG53" s="628">
        <v>0</v>
      </c>
      <c r="AH53" s="628">
        <v>0</v>
      </c>
      <c r="AI53" s="628">
        <v>0</v>
      </c>
      <c r="AJ53" s="628">
        <v>0</v>
      </c>
      <c r="AK53" s="628">
        <v>0</v>
      </c>
      <c r="AL53" s="628">
        <v>0</v>
      </c>
      <c r="AM53" s="628">
        <v>0</v>
      </c>
      <c r="AN53" s="628">
        <v>0</v>
      </c>
    </row>
    <row r="54" spans="1:40" x14ac:dyDescent="0.3">
      <c r="A54" s="489" t="s">
        <v>1544</v>
      </c>
      <c r="B54" s="489" t="s">
        <v>1574</v>
      </c>
      <c r="C54" s="489" t="s">
        <v>1575</v>
      </c>
      <c r="D54" s="489" t="s">
        <v>46</v>
      </c>
      <c r="E54" s="619">
        <v>160</v>
      </c>
      <c r="F54" s="627">
        <f t="shared" si="1"/>
        <v>2620.4</v>
      </c>
      <c r="G54" s="628">
        <f t="shared" si="4"/>
        <v>2457.1999999999998</v>
      </c>
      <c r="H54" s="628">
        <f t="shared" si="4"/>
        <v>2457.1999999999998</v>
      </c>
      <c r="I54" s="628">
        <f t="shared" si="4"/>
        <v>2457.1999999999998</v>
      </c>
      <c r="J54" s="628">
        <f t="shared" si="4"/>
        <v>2103</v>
      </c>
      <c r="K54" s="628">
        <f t="shared" si="4"/>
        <v>2746</v>
      </c>
      <c r="L54" s="628">
        <f t="shared" si="4"/>
        <v>2694.7545454545457</v>
      </c>
      <c r="M54" s="628">
        <f t="shared" si="4"/>
        <v>2536.4545454545455</v>
      </c>
      <c r="N54" s="628">
        <f t="shared" si="4"/>
        <v>2334</v>
      </c>
      <c r="O54" s="628">
        <f t="shared" si="4"/>
        <v>2228</v>
      </c>
      <c r="P54" s="628">
        <f t="shared" si="4"/>
        <v>2228</v>
      </c>
      <c r="Q54" s="628">
        <f t="shared" si="4"/>
        <v>1969</v>
      </c>
      <c r="R54" s="628">
        <f t="shared" si="4"/>
        <v>1969</v>
      </c>
      <c r="S54" s="628">
        <f t="shared" si="4"/>
        <v>2326.5</v>
      </c>
      <c r="T54" s="628">
        <f t="shared" si="4"/>
        <v>0</v>
      </c>
      <c r="U54" s="628">
        <f t="shared" si="4"/>
        <v>0</v>
      </c>
      <c r="V54" s="618"/>
      <c r="Y54" s="627">
        <v>2620.4</v>
      </c>
      <c r="Z54" s="628">
        <v>0</v>
      </c>
      <c r="AA54" s="628">
        <v>0</v>
      </c>
      <c r="AB54" s="628">
        <v>2457.1999999999998</v>
      </c>
      <c r="AC54" s="628">
        <v>2103</v>
      </c>
      <c r="AD54" s="628">
        <v>2746</v>
      </c>
      <c r="AE54" s="628">
        <v>2694.7545454545457</v>
      </c>
      <c r="AF54" s="628">
        <v>2536.4545454545455</v>
      </c>
      <c r="AG54" s="628">
        <v>2334</v>
      </c>
      <c r="AH54" s="628">
        <v>0</v>
      </c>
      <c r="AI54" s="628">
        <v>2228</v>
      </c>
      <c r="AJ54" s="628">
        <v>0</v>
      </c>
      <c r="AK54" s="628">
        <v>1969</v>
      </c>
      <c r="AL54" s="628">
        <v>2326.5</v>
      </c>
      <c r="AM54" s="628">
        <v>0</v>
      </c>
      <c r="AN54" s="628">
        <v>0</v>
      </c>
    </row>
    <row r="55" spans="1:40" x14ac:dyDescent="0.3">
      <c r="A55" s="489" t="s">
        <v>1451</v>
      </c>
      <c r="B55" s="489" t="s">
        <v>1595</v>
      </c>
      <c r="C55" s="489" t="s">
        <v>1596</v>
      </c>
      <c r="D55" s="489" t="s">
        <v>46</v>
      </c>
      <c r="E55" s="619">
        <v>150</v>
      </c>
      <c r="F55" s="627">
        <f t="shared" si="1"/>
        <v>1406.7133333333334</v>
      </c>
      <c r="G55" s="628">
        <f t="shared" si="4"/>
        <v>1315</v>
      </c>
      <c r="H55" s="628">
        <f t="shared" si="4"/>
        <v>1466.4545454545455</v>
      </c>
      <c r="I55" s="628">
        <f t="shared" si="4"/>
        <v>1480.7647058823529</v>
      </c>
      <c r="J55" s="628">
        <f t="shared" si="4"/>
        <v>1345.625</v>
      </c>
      <c r="K55" s="628">
        <f t="shared" si="4"/>
        <v>1440.3333333333333</v>
      </c>
      <c r="L55" s="628">
        <f t="shared" si="4"/>
        <v>1369.5</v>
      </c>
      <c r="M55" s="628">
        <f t="shared" si="4"/>
        <v>1344.8095238095239</v>
      </c>
      <c r="N55" s="628">
        <f t="shared" si="4"/>
        <v>1293</v>
      </c>
      <c r="O55" s="628">
        <f t="shared" si="4"/>
        <v>1401.6666666666667</v>
      </c>
      <c r="P55" s="628">
        <f t="shared" si="4"/>
        <v>1444.25</v>
      </c>
      <c r="Q55" s="628">
        <f t="shared" si="4"/>
        <v>1426.5</v>
      </c>
      <c r="R55" s="628">
        <f t="shared" si="4"/>
        <v>1450</v>
      </c>
      <c r="S55" s="628">
        <f t="shared" si="4"/>
        <v>1500.4</v>
      </c>
      <c r="T55" s="628">
        <f t="shared" si="4"/>
        <v>1456.7142857142858</v>
      </c>
      <c r="U55" s="628">
        <f t="shared" si="4"/>
        <v>0</v>
      </c>
      <c r="V55" s="618"/>
      <c r="Y55" s="627">
        <v>1406.7133333333334</v>
      </c>
      <c r="Z55" s="628">
        <v>1315</v>
      </c>
      <c r="AA55" s="628">
        <v>1466.4545454545455</v>
      </c>
      <c r="AB55" s="628">
        <v>1480.7647058823529</v>
      </c>
      <c r="AC55" s="628">
        <v>1345.625</v>
      </c>
      <c r="AD55" s="628">
        <v>1440.3333333333333</v>
      </c>
      <c r="AE55" s="628">
        <v>1369.5</v>
      </c>
      <c r="AF55" s="628">
        <v>1344.8095238095239</v>
      </c>
      <c r="AG55" s="628">
        <v>1293</v>
      </c>
      <c r="AH55" s="628">
        <v>1401.6666666666667</v>
      </c>
      <c r="AI55" s="628">
        <v>1444.25</v>
      </c>
      <c r="AJ55" s="628">
        <v>1426.5</v>
      </c>
      <c r="AK55" s="628">
        <v>1450</v>
      </c>
      <c r="AL55" s="628">
        <v>1500.4</v>
      </c>
      <c r="AM55" s="628">
        <v>1456.7142857142858</v>
      </c>
      <c r="AN55" s="628">
        <v>0</v>
      </c>
    </row>
    <row r="56" spans="1:40" x14ac:dyDescent="0.3">
      <c r="A56" s="489" t="s">
        <v>1567</v>
      </c>
      <c r="B56" s="489">
        <v>308</v>
      </c>
      <c r="C56" s="489" t="s">
        <v>366</v>
      </c>
      <c r="D56" s="489" t="s">
        <v>46</v>
      </c>
      <c r="E56" s="619">
        <v>146</v>
      </c>
      <c r="F56" s="627">
        <f t="shared" si="1"/>
        <v>1302.8013698630136</v>
      </c>
      <c r="G56" s="628">
        <f t="shared" si="4"/>
        <v>1354.8</v>
      </c>
      <c r="H56" s="628">
        <f t="shared" si="4"/>
        <v>1354.8</v>
      </c>
      <c r="I56" s="628">
        <f t="shared" si="4"/>
        <v>1299.8333333333333</v>
      </c>
      <c r="J56" s="628">
        <f t="shared" si="4"/>
        <v>1313.6666666666667</v>
      </c>
      <c r="K56" s="628">
        <f t="shared" si="4"/>
        <v>1270</v>
      </c>
      <c r="L56" s="628">
        <f t="shared" si="4"/>
        <v>1255.5454545454545</v>
      </c>
      <c r="M56" s="628">
        <f t="shared" si="4"/>
        <v>1280.5</v>
      </c>
      <c r="N56" s="628">
        <f t="shared" si="4"/>
        <v>1313.75</v>
      </c>
      <c r="O56" s="628">
        <f t="shared" si="4"/>
        <v>1300.3636363636363</v>
      </c>
      <c r="P56" s="628">
        <f t="shared" si="4"/>
        <v>1297.5862068965516</v>
      </c>
      <c r="Q56" s="628">
        <f t="shared" si="4"/>
        <v>1297.3499999999999</v>
      </c>
      <c r="R56" s="628">
        <f t="shared" si="4"/>
        <v>1354</v>
      </c>
      <c r="S56" s="628">
        <f t="shared" si="4"/>
        <v>1374</v>
      </c>
      <c r="T56" s="628">
        <f t="shared" si="4"/>
        <v>1374</v>
      </c>
      <c r="U56" s="628">
        <f t="shared" si="4"/>
        <v>0</v>
      </c>
      <c r="V56" s="618"/>
      <c r="Y56" s="627">
        <v>1302.8013698630136</v>
      </c>
      <c r="Z56" s="628">
        <v>0</v>
      </c>
      <c r="AA56" s="628">
        <v>1354.8</v>
      </c>
      <c r="AB56" s="628">
        <v>1299.8333333333333</v>
      </c>
      <c r="AC56" s="628">
        <v>1313.6666666666667</v>
      </c>
      <c r="AD56" s="628">
        <v>1270</v>
      </c>
      <c r="AE56" s="628">
        <v>1255.5454545454545</v>
      </c>
      <c r="AF56" s="628">
        <v>1280.5</v>
      </c>
      <c r="AG56" s="628">
        <v>1313.75</v>
      </c>
      <c r="AH56" s="628">
        <v>1300.3636363636363</v>
      </c>
      <c r="AI56" s="628">
        <v>1297.5862068965516</v>
      </c>
      <c r="AJ56" s="628">
        <v>1297.3499999999999</v>
      </c>
      <c r="AK56" s="628">
        <v>1354</v>
      </c>
      <c r="AL56" s="628">
        <v>1374</v>
      </c>
      <c r="AM56" s="628">
        <v>1374</v>
      </c>
      <c r="AN56" s="628">
        <v>0</v>
      </c>
    </row>
    <row r="57" spans="1:40" x14ac:dyDescent="0.3">
      <c r="A57" s="489" t="s">
        <v>1426</v>
      </c>
      <c r="B57" s="489" t="s">
        <v>1597</v>
      </c>
      <c r="C57" s="489" t="s">
        <v>1598</v>
      </c>
      <c r="D57" s="489" t="s">
        <v>141</v>
      </c>
      <c r="E57" s="619">
        <v>145</v>
      </c>
      <c r="F57" s="627">
        <f t="shared" si="1"/>
        <v>2105</v>
      </c>
      <c r="G57" s="628">
        <f t="shared" si="4"/>
        <v>2105</v>
      </c>
      <c r="H57" s="628">
        <f t="shared" si="4"/>
        <v>2105</v>
      </c>
      <c r="I57" s="628">
        <f t="shared" si="4"/>
        <v>2105</v>
      </c>
      <c r="J57" s="628">
        <f t="shared" si="4"/>
        <v>0</v>
      </c>
      <c r="K57" s="628">
        <f t="shared" si="4"/>
        <v>0</v>
      </c>
      <c r="L57" s="628">
        <f t="shared" si="4"/>
        <v>0</v>
      </c>
      <c r="M57" s="628">
        <f t="shared" si="4"/>
        <v>0</v>
      </c>
      <c r="N57" s="628">
        <f t="shared" si="4"/>
        <v>0</v>
      </c>
      <c r="O57" s="628">
        <f t="shared" si="4"/>
        <v>0</v>
      </c>
      <c r="P57" s="628">
        <f t="shared" si="4"/>
        <v>0</v>
      </c>
      <c r="Q57" s="628">
        <f t="shared" si="4"/>
        <v>0</v>
      </c>
      <c r="R57" s="628">
        <f t="shared" si="4"/>
        <v>0</v>
      </c>
      <c r="S57" s="628">
        <f t="shared" si="4"/>
        <v>0</v>
      </c>
      <c r="T57" s="628">
        <f t="shared" si="4"/>
        <v>0</v>
      </c>
      <c r="U57" s="628">
        <f t="shared" si="4"/>
        <v>0</v>
      </c>
      <c r="V57" s="618"/>
      <c r="Y57" s="627">
        <v>2105</v>
      </c>
      <c r="Z57" s="628">
        <v>2105</v>
      </c>
      <c r="AA57" s="628">
        <v>2105</v>
      </c>
      <c r="AB57" s="628">
        <v>2105</v>
      </c>
      <c r="AC57" s="628">
        <v>0</v>
      </c>
      <c r="AD57" s="628">
        <v>0</v>
      </c>
      <c r="AE57" s="628">
        <v>0</v>
      </c>
      <c r="AF57" s="628">
        <v>0</v>
      </c>
      <c r="AG57" s="628">
        <v>0</v>
      </c>
      <c r="AH57" s="628">
        <v>0</v>
      </c>
      <c r="AI57" s="628">
        <v>0</v>
      </c>
      <c r="AJ57" s="628">
        <v>0</v>
      </c>
      <c r="AK57" s="628">
        <v>0</v>
      </c>
      <c r="AL57" s="628">
        <v>0</v>
      </c>
      <c r="AM57" s="628">
        <v>0</v>
      </c>
      <c r="AN57" s="628">
        <v>0</v>
      </c>
    </row>
    <row r="58" spans="1:40" x14ac:dyDescent="0.3">
      <c r="A58" s="489" t="s">
        <v>1414</v>
      </c>
      <c r="B58" s="489" t="s">
        <v>1599</v>
      </c>
      <c r="C58" s="489" t="s">
        <v>1600</v>
      </c>
      <c r="D58" s="489" t="s">
        <v>141</v>
      </c>
      <c r="E58" s="619">
        <v>140</v>
      </c>
      <c r="F58" s="627">
        <f t="shared" si="1"/>
        <v>2294.25</v>
      </c>
      <c r="G58" s="628">
        <f t="shared" si="4"/>
        <v>2301.7948717948716</v>
      </c>
      <c r="H58" s="628">
        <f t="shared" si="4"/>
        <v>2292.032967032967</v>
      </c>
      <c r="I58" s="628">
        <f t="shared" si="4"/>
        <v>2285</v>
      </c>
      <c r="J58" s="628">
        <f t="shared" si="4"/>
        <v>0</v>
      </c>
      <c r="K58" s="628">
        <f t="shared" si="4"/>
        <v>0</v>
      </c>
      <c r="L58" s="628">
        <f t="shared" si="4"/>
        <v>0</v>
      </c>
      <c r="M58" s="628">
        <f t="shared" si="4"/>
        <v>0</v>
      </c>
      <c r="N58" s="628">
        <f t="shared" si="4"/>
        <v>0</v>
      </c>
      <c r="O58" s="628">
        <f t="shared" si="4"/>
        <v>0</v>
      </c>
      <c r="P58" s="628">
        <f t="shared" si="4"/>
        <v>0</v>
      </c>
      <c r="Q58" s="628">
        <f t="shared" si="4"/>
        <v>0</v>
      </c>
      <c r="R58" s="628">
        <f t="shared" si="4"/>
        <v>0</v>
      </c>
      <c r="S58" s="628">
        <f t="shared" si="4"/>
        <v>0</v>
      </c>
      <c r="T58" s="628">
        <f t="shared" si="4"/>
        <v>0</v>
      </c>
      <c r="U58" s="628">
        <f t="shared" si="4"/>
        <v>0</v>
      </c>
      <c r="V58" s="618"/>
      <c r="Y58" s="627">
        <v>2294.25</v>
      </c>
      <c r="Z58" s="628">
        <v>2301.7948717948716</v>
      </c>
      <c r="AA58" s="628">
        <v>2292.032967032967</v>
      </c>
      <c r="AB58" s="628">
        <v>2285</v>
      </c>
      <c r="AC58" s="628">
        <v>0</v>
      </c>
      <c r="AD58" s="628">
        <v>0</v>
      </c>
      <c r="AE58" s="628">
        <v>0</v>
      </c>
      <c r="AF58" s="628">
        <v>0</v>
      </c>
      <c r="AG58" s="628">
        <v>0</v>
      </c>
      <c r="AH58" s="628">
        <v>0</v>
      </c>
      <c r="AI58" s="628">
        <v>0</v>
      </c>
      <c r="AJ58" s="628">
        <v>0</v>
      </c>
      <c r="AK58" s="628">
        <v>0</v>
      </c>
      <c r="AL58" s="628">
        <v>0</v>
      </c>
      <c r="AM58" s="628">
        <v>0</v>
      </c>
      <c r="AN58" s="628">
        <v>0</v>
      </c>
    </row>
    <row r="59" spans="1:40" x14ac:dyDescent="0.3">
      <c r="A59" s="489" t="s">
        <v>1414</v>
      </c>
      <c r="B59" s="489" t="s">
        <v>1601</v>
      </c>
      <c r="C59" s="489" t="s">
        <v>1602</v>
      </c>
      <c r="D59" s="489" t="s">
        <v>46</v>
      </c>
      <c r="E59" s="619">
        <v>136</v>
      </c>
      <c r="F59" s="627">
        <f t="shared" si="1"/>
        <v>1668.9705882352941</v>
      </c>
      <c r="G59" s="628">
        <f t="shared" si="4"/>
        <v>1690</v>
      </c>
      <c r="H59" s="628">
        <f t="shared" si="4"/>
        <v>1635</v>
      </c>
      <c r="I59" s="628">
        <f t="shared" si="4"/>
        <v>1690</v>
      </c>
      <c r="J59" s="628">
        <f t="shared" si="4"/>
        <v>1690</v>
      </c>
      <c r="K59" s="628">
        <f t="shared" si="4"/>
        <v>1690</v>
      </c>
      <c r="L59" s="628">
        <f t="shared" si="4"/>
        <v>1735</v>
      </c>
      <c r="M59" s="628">
        <f t="shared" si="4"/>
        <v>1683.8888888888889</v>
      </c>
      <c r="N59" s="628">
        <f t="shared" si="4"/>
        <v>1675</v>
      </c>
      <c r="O59" s="628">
        <f t="shared" si="4"/>
        <v>1659.4444444444443</v>
      </c>
      <c r="P59" s="628">
        <f t="shared" si="4"/>
        <v>1646.578947368421</v>
      </c>
      <c r="Q59" s="628">
        <f t="shared" si="4"/>
        <v>1662.5</v>
      </c>
      <c r="R59" s="628">
        <f t="shared" si="4"/>
        <v>0</v>
      </c>
      <c r="S59" s="628">
        <f t="shared" si="4"/>
        <v>0</v>
      </c>
      <c r="T59" s="628">
        <f t="shared" si="4"/>
        <v>0</v>
      </c>
      <c r="U59" s="628">
        <f t="shared" si="4"/>
        <v>0</v>
      </c>
      <c r="V59" s="618"/>
      <c r="Y59" s="627">
        <v>1668.9705882352941</v>
      </c>
      <c r="Z59" s="628">
        <v>1690</v>
      </c>
      <c r="AA59" s="628">
        <v>1635</v>
      </c>
      <c r="AB59" s="628">
        <v>1690</v>
      </c>
      <c r="AC59" s="628">
        <v>1690</v>
      </c>
      <c r="AD59" s="628">
        <v>1690</v>
      </c>
      <c r="AE59" s="628">
        <v>1735</v>
      </c>
      <c r="AF59" s="628">
        <v>1683.8888888888889</v>
      </c>
      <c r="AG59" s="628">
        <v>1675</v>
      </c>
      <c r="AH59" s="628">
        <v>1659.4444444444443</v>
      </c>
      <c r="AI59" s="628">
        <v>1646.578947368421</v>
      </c>
      <c r="AJ59" s="628">
        <v>1662.5</v>
      </c>
      <c r="AK59" s="628">
        <v>0</v>
      </c>
      <c r="AL59" s="628">
        <v>0</v>
      </c>
      <c r="AM59" s="628">
        <v>0</v>
      </c>
      <c r="AN59" s="628">
        <v>0</v>
      </c>
    </row>
    <row r="60" spans="1:40" x14ac:dyDescent="0.3">
      <c r="A60" s="489" t="s">
        <v>1417</v>
      </c>
      <c r="B60" s="489" t="s">
        <v>1603</v>
      </c>
      <c r="C60" s="489" t="s">
        <v>1604</v>
      </c>
      <c r="D60" s="489" t="s">
        <v>141</v>
      </c>
      <c r="E60" s="619">
        <v>128</v>
      </c>
      <c r="F60" s="627">
        <f t="shared" si="1"/>
        <v>1887.0703125</v>
      </c>
      <c r="G60" s="628">
        <f t="shared" si="4"/>
        <v>1892.5</v>
      </c>
      <c r="H60" s="628">
        <f t="shared" si="4"/>
        <v>1886.8478260869565</v>
      </c>
      <c r="I60" s="628">
        <f t="shared" si="4"/>
        <v>1888.0833333333333</v>
      </c>
      <c r="J60" s="628">
        <f t="shared" si="4"/>
        <v>1871.25</v>
      </c>
      <c r="K60" s="628">
        <f t="shared" si="4"/>
        <v>0</v>
      </c>
      <c r="L60" s="628">
        <f t="shared" si="4"/>
        <v>0</v>
      </c>
      <c r="M60" s="628">
        <f t="shared" si="4"/>
        <v>0</v>
      </c>
      <c r="N60" s="628">
        <f t="shared" si="4"/>
        <v>0</v>
      </c>
      <c r="O60" s="628">
        <f t="shared" si="4"/>
        <v>0</v>
      </c>
      <c r="P60" s="628">
        <f t="shared" si="4"/>
        <v>0</v>
      </c>
      <c r="Q60" s="628">
        <f t="shared" si="4"/>
        <v>0</v>
      </c>
      <c r="R60" s="628">
        <f t="shared" si="4"/>
        <v>0</v>
      </c>
      <c r="S60" s="628">
        <f t="shared" si="4"/>
        <v>0</v>
      </c>
      <c r="T60" s="628">
        <f t="shared" si="4"/>
        <v>0</v>
      </c>
      <c r="U60" s="628">
        <f t="shared" si="4"/>
        <v>0</v>
      </c>
      <c r="V60" s="618"/>
      <c r="Y60" s="627">
        <v>1887.0703125</v>
      </c>
      <c r="Z60" s="628">
        <v>1892.5</v>
      </c>
      <c r="AA60" s="628">
        <v>1886.8478260869565</v>
      </c>
      <c r="AB60" s="628">
        <v>1888.0833333333333</v>
      </c>
      <c r="AC60" s="628">
        <v>1871.25</v>
      </c>
      <c r="AD60" s="628">
        <v>0</v>
      </c>
      <c r="AE60" s="628">
        <v>0</v>
      </c>
      <c r="AF60" s="628">
        <v>0</v>
      </c>
      <c r="AG60" s="628">
        <v>0</v>
      </c>
      <c r="AH60" s="628">
        <v>0</v>
      </c>
      <c r="AI60" s="628">
        <v>0</v>
      </c>
      <c r="AJ60" s="628">
        <v>0</v>
      </c>
      <c r="AK60" s="628">
        <v>0</v>
      </c>
      <c r="AL60" s="628">
        <v>0</v>
      </c>
      <c r="AM60" s="628">
        <v>0</v>
      </c>
      <c r="AN60" s="628">
        <v>0</v>
      </c>
    </row>
    <row r="61" spans="1:40" x14ac:dyDescent="0.3">
      <c r="A61" s="489" t="s">
        <v>1422</v>
      </c>
      <c r="B61" s="489" t="s">
        <v>1547</v>
      </c>
      <c r="C61" s="489" t="s">
        <v>1548</v>
      </c>
      <c r="D61" s="489" t="s">
        <v>1529</v>
      </c>
      <c r="E61" s="619">
        <v>125</v>
      </c>
      <c r="F61" s="627">
        <f t="shared" si="1"/>
        <v>1305.44</v>
      </c>
      <c r="G61" s="628">
        <f t="shared" si="4"/>
        <v>1300.2857142857142</v>
      </c>
      <c r="H61" s="628">
        <f t="shared" si="4"/>
        <v>1300.2857142857142</v>
      </c>
      <c r="I61" s="628">
        <f t="shared" si="4"/>
        <v>1300.2857142857142</v>
      </c>
      <c r="J61" s="628">
        <f t="shared" si="4"/>
        <v>1300.2857142857142</v>
      </c>
      <c r="K61" s="628">
        <f t="shared" si="4"/>
        <v>1300.2857142857142</v>
      </c>
      <c r="L61" s="628">
        <f t="shared" si="4"/>
        <v>1300.2857142857142</v>
      </c>
      <c r="M61" s="628">
        <f t="shared" si="4"/>
        <v>1300.2857142857142</v>
      </c>
      <c r="N61" s="628">
        <f t="shared" si="4"/>
        <v>1304.4883720930231</v>
      </c>
      <c r="O61" s="628">
        <f t="shared" si="4"/>
        <v>1311.2173913043478</v>
      </c>
      <c r="P61" s="628">
        <f t="shared" si="4"/>
        <v>1316</v>
      </c>
      <c r="Q61" s="628">
        <f t="shared" si="4"/>
        <v>0</v>
      </c>
      <c r="R61" s="628">
        <f t="shared" si="4"/>
        <v>0</v>
      </c>
      <c r="S61" s="628">
        <f t="shared" si="4"/>
        <v>0</v>
      </c>
      <c r="T61" s="628">
        <f t="shared" si="4"/>
        <v>0</v>
      </c>
      <c r="U61" s="628">
        <f t="shared" si="4"/>
        <v>0</v>
      </c>
      <c r="V61" s="618"/>
      <c r="Y61" s="627">
        <v>1305.44</v>
      </c>
      <c r="Z61" s="628">
        <v>0</v>
      </c>
      <c r="AA61" s="628">
        <v>0</v>
      </c>
      <c r="AB61" s="628">
        <v>0</v>
      </c>
      <c r="AC61" s="628">
        <v>0</v>
      </c>
      <c r="AD61" s="628">
        <v>0</v>
      </c>
      <c r="AE61" s="628">
        <v>0</v>
      </c>
      <c r="AF61" s="628">
        <v>1300.2857142857142</v>
      </c>
      <c r="AG61" s="628">
        <v>1304.4883720930231</v>
      </c>
      <c r="AH61" s="628">
        <v>1311.2173913043478</v>
      </c>
      <c r="AI61" s="628">
        <v>1316</v>
      </c>
      <c r="AJ61" s="628">
        <v>0</v>
      </c>
      <c r="AK61" s="628">
        <v>0</v>
      </c>
      <c r="AL61" s="628">
        <v>0</v>
      </c>
      <c r="AM61" s="628">
        <v>0</v>
      </c>
      <c r="AN61" s="628">
        <v>0</v>
      </c>
    </row>
    <row r="62" spans="1:40" x14ac:dyDescent="0.3">
      <c r="A62" s="489" t="s">
        <v>1605</v>
      </c>
      <c r="B62" s="489" t="s">
        <v>1531</v>
      </c>
      <c r="C62" s="489" t="s">
        <v>873</v>
      </c>
      <c r="D62" s="489" t="s">
        <v>46</v>
      </c>
      <c r="E62" s="619">
        <v>123</v>
      </c>
      <c r="F62" s="627">
        <f t="shared" si="1"/>
        <v>1502.6666666666667</v>
      </c>
      <c r="G62" s="628">
        <f t="shared" si="4"/>
        <v>1603.8</v>
      </c>
      <c r="H62" s="628">
        <f t="shared" si="4"/>
        <v>1635.3333333333333</v>
      </c>
      <c r="I62" s="628">
        <f t="shared" si="4"/>
        <v>1545.25</v>
      </c>
      <c r="J62" s="628">
        <f t="shared" si="4"/>
        <v>1485</v>
      </c>
      <c r="K62" s="628">
        <f t="shared" si="4"/>
        <v>1494</v>
      </c>
      <c r="L62" s="628">
        <f t="shared" si="4"/>
        <v>1570.25</v>
      </c>
      <c r="M62" s="628">
        <f t="shared" si="4"/>
        <v>1486.5333333333333</v>
      </c>
      <c r="N62" s="628">
        <f t="shared" si="4"/>
        <v>1473.5714285714287</v>
      </c>
      <c r="O62" s="628">
        <f t="shared" si="4"/>
        <v>1475</v>
      </c>
      <c r="P62" s="628">
        <f t="shared" si="4"/>
        <v>1477.2222222222222</v>
      </c>
      <c r="Q62" s="628">
        <f t="shared" si="4"/>
        <v>1468.4375</v>
      </c>
      <c r="R62" s="628">
        <f t="shared" si="4"/>
        <v>1459.1538461538462</v>
      </c>
      <c r="S62" s="628">
        <f t="shared" si="4"/>
        <v>1466.2</v>
      </c>
      <c r="T62" s="628">
        <f t="shared" si="4"/>
        <v>1528.75</v>
      </c>
      <c r="U62" s="628">
        <f t="shared" si="4"/>
        <v>0</v>
      </c>
      <c r="V62" s="618"/>
      <c r="Y62" s="627">
        <v>1502.6666666666667</v>
      </c>
      <c r="Z62" s="628">
        <v>1603.8</v>
      </c>
      <c r="AA62" s="628">
        <v>1635.3333333333333</v>
      </c>
      <c r="AB62" s="628">
        <v>1545.25</v>
      </c>
      <c r="AC62" s="628">
        <v>1485</v>
      </c>
      <c r="AD62" s="628">
        <v>1494</v>
      </c>
      <c r="AE62" s="628">
        <v>1570.25</v>
      </c>
      <c r="AF62" s="628">
        <v>1486.5333333333333</v>
      </c>
      <c r="AG62" s="628">
        <v>1473.5714285714287</v>
      </c>
      <c r="AH62" s="628">
        <v>1475</v>
      </c>
      <c r="AI62" s="628">
        <v>1477.2222222222222</v>
      </c>
      <c r="AJ62" s="628">
        <v>1468.4375</v>
      </c>
      <c r="AK62" s="628">
        <v>1459.1538461538462</v>
      </c>
      <c r="AL62" s="628">
        <v>1466.2</v>
      </c>
      <c r="AM62" s="628">
        <v>1528.75</v>
      </c>
      <c r="AN62" s="628">
        <v>0</v>
      </c>
    </row>
    <row r="63" spans="1:40" x14ac:dyDescent="0.3">
      <c r="A63" s="489" t="s">
        <v>1414</v>
      </c>
      <c r="B63" s="489" t="s">
        <v>1532</v>
      </c>
      <c r="C63" s="489" t="s">
        <v>1606</v>
      </c>
      <c r="D63" s="489" t="s">
        <v>46</v>
      </c>
      <c r="E63" s="619">
        <v>123</v>
      </c>
      <c r="F63" s="627">
        <f t="shared" si="1"/>
        <v>1515.0325203252032</v>
      </c>
      <c r="G63" s="628">
        <f t="shared" si="4"/>
        <v>1520.7631578947369</v>
      </c>
      <c r="H63" s="628">
        <f t="shared" si="4"/>
        <v>1525.5</v>
      </c>
      <c r="I63" s="628">
        <f t="shared" si="4"/>
        <v>1517</v>
      </c>
      <c r="J63" s="628">
        <f t="shared" si="4"/>
        <v>1515</v>
      </c>
      <c r="K63" s="628">
        <f t="shared" si="4"/>
        <v>1504.2857142857142</v>
      </c>
      <c r="L63" s="628">
        <f t="shared" si="4"/>
        <v>1520.4545454545455</v>
      </c>
      <c r="M63" s="628">
        <f t="shared" si="4"/>
        <v>1506.875</v>
      </c>
      <c r="N63" s="628">
        <f t="shared" si="4"/>
        <v>1498.75</v>
      </c>
      <c r="O63" s="628">
        <f t="shared" si="4"/>
        <v>1503.75</v>
      </c>
      <c r="P63" s="628">
        <f t="shared" si="4"/>
        <v>1470</v>
      </c>
      <c r="Q63" s="628">
        <f t="shared" si="4"/>
        <v>0</v>
      </c>
      <c r="R63" s="628">
        <f t="shared" si="4"/>
        <v>0</v>
      </c>
      <c r="S63" s="628">
        <f t="shared" si="4"/>
        <v>0</v>
      </c>
      <c r="T63" s="628">
        <f t="shared" si="4"/>
        <v>0</v>
      </c>
      <c r="U63" s="628">
        <f t="shared" si="4"/>
        <v>0</v>
      </c>
      <c r="V63" s="618"/>
      <c r="Y63" s="627">
        <v>1515.0325203252032</v>
      </c>
      <c r="Z63" s="628">
        <v>1520.7631578947369</v>
      </c>
      <c r="AA63" s="628">
        <v>1525.5</v>
      </c>
      <c r="AB63" s="628">
        <v>1517</v>
      </c>
      <c r="AC63" s="628">
        <v>1515</v>
      </c>
      <c r="AD63" s="628">
        <v>1504.2857142857142</v>
      </c>
      <c r="AE63" s="628">
        <v>1520.4545454545455</v>
      </c>
      <c r="AF63" s="628">
        <v>1506.875</v>
      </c>
      <c r="AG63" s="628">
        <v>1498.75</v>
      </c>
      <c r="AH63" s="628">
        <v>1503.75</v>
      </c>
      <c r="AI63" s="628">
        <v>1470</v>
      </c>
      <c r="AJ63" s="628">
        <v>0</v>
      </c>
      <c r="AK63" s="628">
        <v>0</v>
      </c>
      <c r="AL63" s="628">
        <v>0</v>
      </c>
      <c r="AM63" s="628">
        <v>0</v>
      </c>
      <c r="AN63" s="628">
        <v>0</v>
      </c>
    </row>
    <row r="64" spans="1:40" x14ac:dyDescent="0.3">
      <c r="A64" s="489" t="s">
        <v>1607</v>
      </c>
      <c r="B64" s="489" t="s">
        <v>1608</v>
      </c>
      <c r="C64" s="489" t="s">
        <v>1609</v>
      </c>
      <c r="D64" s="489" t="s">
        <v>46</v>
      </c>
      <c r="E64" s="619">
        <v>121</v>
      </c>
      <c r="F64" s="627">
        <f t="shared" si="1"/>
        <v>1239.793388429752</v>
      </c>
      <c r="G64" s="628">
        <f t="shared" si="4"/>
        <v>1276.2105263157894</v>
      </c>
      <c r="H64" s="628">
        <f t="shared" si="4"/>
        <v>1259.4615384615386</v>
      </c>
      <c r="I64" s="628">
        <f t="shared" si="4"/>
        <v>1251</v>
      </c>
      <c r="J64" s="628">
        <f t="shared" si="4"/>
        <v>1259.2</v>
      </c>
      <c r="K64" s="628">
        <f t="shared" si="4"/>
        <v>1284</v>
      </c>
      <c r="L64" s="628">
        <f t="shared" si="4"/>
        <v>1264.6666666666667</v>
      </c>
      <c r="M64" s="628">
        <f t="shared" si="4"/>
        <v>1247.5454545454545</v>
      </c>
      <c r="N64" s="628">
        <f t="shared" si="4"/>
        <v>1247.8</v>
      </c>
      <c r="O64" s="628">
        <f t="shared" si="4"/>
        <v>1232.125</v>
      </c>
      <c r="P64" s="628">
        <f t="shared" si="4"/>
        <v>1230.25</v>
      </c>
      <c r="Q64" s="628">
        <f t="shared" si="4"/>
        <v>1200.8387096774193</v>
      </c>
      <c r="R64" s="628">
        <f t="shared" si="4"/>
        <v>0</v>
      </c>
      <c r="S64" s="628">
        <f t="shared" si="4"/>
        <v>0</v>
      </c>
      <c r="T64" s="628">
        <f t="shared" si="4"/>
        <v>0</v>
      </c>
      <c r="U64" s="628">
        <f t="shared" si="4"/>
        <v>0</v>
      </c>
      <c r="V64" s="618"/>
      <c r="Y64" s="627">
        <v>1239.793388429752</v>
      </c>
      <c r="Z64" s="628">
        <v>1276.2105263157894</v>
      </c>
      <c r="AA64" s="628">
        <v>1259.4615384615386</v>
      </c>
      <c r="AB64" s="628">
        <v>1251</v>
      </c>
      <c r="AC64" s="628">
        <v>1259.2</v>
      </c>
      <c r="AD64" s="628">
        <v>1284</v>
      </c>
      <c r="AE64" s="628">
        <v>1264.6666666666667</v>
      </c>
      <c r="AF64" s="628">
        <v>1247.5454545454545</v>
      </c>
      <c r="AG64" s="628">
        <v>1247.8</v>
      </c>
      <c r="AH64" s="628">
        <v>1232.125</v>
      </c>
      <c r="AI64" s="628">
        <v>1230.25</v>
      </c>
      <c r="AJ64" s="628">
        <v>1200.8387096774193</v>
      </c>
      <c r="AK64" s="628">
        <v>0</v>
      </c>
      <c r="AL64" s="628">
        <v>0</v>
      </c>
      <c r="AM64" s="628">
        <v>0</v>
      </c>
      <c r="AN64" s="628">
        <v>0</v>
      </c>
    </row>
    <row r="65" spans="1:40" x14ac:dyDescent="0.3">
      <c r="A65" s="489" t="s">
        <v>1414</v>
      </c>
      <c r="B65" s="489" t="s">
        <v>1533</v>
      </c>
      <c r="C65" s="489" t="s">
        <v>1610</v>
      </c>
      <c r="D65" s="489" t="s">
        <v>46</v>
      </c>
      <c r="E65" s="619">
        <v>113</v>
      </c>
      <c r="F65" s="627">
        <f t="shared" si="1"/>
        <v>1508.0088495575221</v>
      </c>
      <c r="G65" s="628">
        <f t="shared" si="4"/>
        <v>1515</v>
      </c>
      <c r="H65" s="628">
        <f t="shared" si="4"/>
        <v>1517.8947368421052</v>
      </c>
      <c r="I65" s="628">
        <f t="shared" si="4"/>
        <v>1501.6666666666667</v>
      </c>
      <c r="J65" s="628">
        <f t="shared" si="4"/>
        <v>1498.3333333333333</v>
      </c>
      <c r="K65" s="628">
        <f t="shared" si="4"/>
        <v>1504.6875</v>
      </c>
      <c r="L65" s="628">
        <f t="shared" si="4"/>
        <v>1515.25</v>
      </c>
      <c r="M65" s="628">
        <f t="shared" si="4"/>
        <v>1504.5</v>
      </c>
      <c r="N65" s="628">
        <f t="shared" si="4"/>
        <v>1503.3333333333333</v>
      </c>
      <c r="O65" s="628">
        <f t="shared" si="4"/>
        <v>1480</v>
      </c>
      <c r="P65" s="628">
        <f t="shared" si="4"/>
        <v>0</v>
      </c>
      <c r="Q65" s="628">
        <f t="shared" si="4"/>
        <v>0</v>
      </c>
      <c r="R65" s="628">
        <f t="shared" si="4"/>
        <v>0</v>
      </c>
      <c r="S65" s="628">
        <f t="shared" si="4"/>
        <v>0</v>
      </c>
      <c r="T65" s="628">
        <f t="shared" si="4"/>
        <v>0</v>
      </c>
      <c r="U65" s="628">
        <f t="shared" si="4"/>
        <v>0</v>
      </c>
      <c r="V65" s="618"/>
      <c r="Y65" s="627">
        <v>1508.0088495575221</v>
      </c>
      <c r="Z65" s="628">
        <v>1515</v>
      </c>
      <c r="AA65" s="628">
        <v>1517.8947368421052</v>
      </c>
      <c r="AB65" s="628">
        <v>1501.6666666666667</v>
      </c>
      <c r="AC65" s="628">
        <v>1498.3333333333333</v>
      </c>
      <c r="AD65" s="628">
        <v>1504.6875</v>
      </c>
      <c r="AE65" s="628">
        <v>1515.25</v>
      </c>
      <c r="AF65" s="628">
        <v>1504.5</v>
      </c>
      <c r="AG65" s="628">
        <v>1503.3333333333333</v>
      </c>
      <c r="AH65" s="628">
        <v>1480</v>
      </c>
      <c r="AI65" s="628">
        <v>0</v>
      </c>
      <c r="AJ65" s="628">
        <v>0</v>
      </c>
      <c r="AK65" s="628">
        <v>0</v>
      </c>
      <c r="AL65" s="628">
        <v>0</v>
      </c>
      <c r="AM65" s="628">
        <v>0</v>
      </c>
      <c r="AN65" s="628">
        <v>0</v>
      </c>
    </row>
    <row r="66" spans="1:40" x14ac:dyDescent="0.3">
      <c r="A66" s="489" t="s">
        <v>1591</v>
      </c>
      <c r="B66" s="489" t="s">
        <v>1611</v>
      </c>
      <c r="C66" s="489" t="s">
        <v>1611</v>
      </c>
      <c r="D66" s="489" t="s">
        <v>141</v>
      </c>
      <c r="E66" s="619">
        <v>109</v>
      </c>
      <c r="F66" s="627">
        <f t="shared" si="1"/>
        <v>1656</v>
      </c>
      <c r="G66" s="628">
        <f t="shared" ref="G66:U81" si="5">IF(Z66&gt;0,Z66,IF(H66&gt;0,H66,0))</f>
        <v>1656</v>
      </c>
      <c r="H66" s="628">
        <f t="shared" si="5"/>
        <v>1656</v>
      </c>
      <c r="I66" s="628">
        <f t="shared" si="5"/>
        <v>1656</v>
      </c>
      <c r="J66" s="628">
        <f t="shared" si="5"/>
        <v>1656</v>
      </c>
      <c r="K66" s="628">
        <f t="shared" si="5"/>
        <v>1656</v>
      </c>
      <c r="L66" s="628">
        <f t="shared" si="5"/>
        <v>1656</v>
      </c>
      <c r="M66" s="628">
        <f t="shared" si="5"/>
        <v>0</v>
      </c>
      <c r="N66" s="628">
        <f t="shared" si="5"/>
        <v>0</v>
      </c>
      <c r="O66" s="628">
        <f t="shared" si="5"/>
        <v>0</v>
      </c>
      <c r="P66" s="628">
        <f t="shared" si="5"/>
        <v>0</v>
      </c>
      <c r="Q66" s="628">
        <f t="shared" si="5"/>
        <v>0</v>
      </c>
      <c r="R66" s="628">
        <f t="shared" si="5"/>
        <v>0</v>
      </c>
      <c r="S66" s="628">
        <f t="shared" si="5"/>
        <v>0</v>
      </c>
      <c r="T66" s="628">
        <f t="shared" si="5"/>
        <v>0</v>
      </c>
      <c r="U66" s="628">
        <f t="shared" si="5"/>
        <v>0</v>
      </c>
      <c r="V66" s="618"/>
      <c r="Y66" s="627">
        <v>1656</v>
      </c>
      <c r="Z66" s="628">
        <v>0</v>
      </c>
      <c r="AA66" s="628">
        <v>1656</v>
      </c>
      <c r="AB66" s="628">
        <v>1656</v>
      </c>
      <c r="AC66" s="628">
        <v>1656</v>
      </c>
      <c r="AD66" s="628">
        <v>1656</v>
      </c>
      <c r="AE66" s="628">
        <v>1656</v>
      </c>
      <c r="AF66" s="628">
        <v>0</v>
      </c>
      <c r="AG66" s="628">
        <v>0</v>
      </c>
      <c r="AH66" s="628">
        <v>0</v>
      </c>
      <c r="AI66" s="628">
        <v>0</v>
      </c>
      <c r="AJ66" s="628">
        <v>0</v>
      </c>
      <c r="AK66" s="628">
        <v>0</v>
      </c>
      <c r="AL66" s="628">
        <v>0</v>
      </c>
      <c r="AM66" s="628">
        <v>0</v>
      </c>
      <c r="AN66" s="628">
        <v>0</v>
      </c>
    </row>
    <row r="67" spans="1:40" x14ac:dyDescent="0.3">
      <c r="A67" s="489" t="s">
        <v>1417</v>
      </c>
      <c r="B67" s="489" t="s">
        <v>1612</v>
      </c>
      <c r="C67" s="489" t="s">
        <v>1613</v>
      </c>
      <c r="D67" s="489" t="s">
        <v>141</v>
      </c>
      <c r="E67" s="619">
        <v>107</v>
      </c>
      <c r="F67" s="627">
        <f t="shared" ref="F67:F130" si="6">Y67</f>
        <v>1646.9345794392523</v>
      </c>
      <c r="G67" s="628">
        <f t="shared" si="5"/>
        <v>1657</v>
      </c>
      <c r="H67" s="628">
        <f t="shared" si="5"/>
        <v>1657</v>
      </c>
      <c r="I67" s="628">
        <f t="shared" si="5"/>
        <v>1657</v>
      </c>
      <c r="J67" s="628">
        <f t="shared" si="5"/>
        <v>1657</v>
      </c>
      <c r="K67" s="628">
        <f t="shared" si="5"/>
        <v>1657</v>
      </c>
      <c r="L67" s="628">
        <f t="shared" si="5"/>
        <v>1616.1538461538462</v>
      </c>
      <c r="M67" s="628">
        <f t="shared" si="5"/>
        <v>1480</v>
      </c>
      <c r="N67" s="628">
        <f t="shared" si="5"/>
        <v>1465</v>
      </c>
      <c r="O67" s="628">
        <f t="shared" si="5"/>
        <v>1465</v>
      </c>
      <c r="P67" s="628">
        <f t="shared" si="5"/>
        <v>0</v>
      </c>
      <c r="Q67" s="628">
        <f t="shared" si="5"/>
        <v>0</v>
      </c>
      <c r="R67" s="628">
        <f t="shared" si="5"/>
        <v>0</v>
      </c>
      <c r="S67" s="628">
        <f t="shared" si="5"/>
        <v>0</v>
      </c>
      <c r="T67" s="628">
        <f t="shared" si="5"/>
        <v>0</v>
      </c>
      <c r="U67" s="628">
        <f t="shared" si="5"/>
        <v>0</v>
      </c>
      <c r="V67" s="618"/>
      <c r="Y67" s="627">
        <v>1646.9345794392523</v>
      </c>
      <c r="Z67" s="628">
        <v>0</v>
      </c>
      <c r="AA67" s="628">
        <v>0</v>
      </c>
      <c r="AB67" s="628">
        <v>1657</v>
      </c>
      <c r="AC67" s="628">
        <v>1657</v>
      </c>
      <c r="AD67" s="628">
        <v>1657</v>
      </c>
      <c r="AE67" s="628">
        <v>1616.1538461538462</v>
      </c>
      <c r="AF67" s="628">
        <v>1480</v>
      </c>
      <c r="AG67" s="628">
        <v>0</v>
      </c>
      <c r="AH67" s="628">
        <v>1465</v>
      </c>
      <c r="AI67" s="628">
        <v>0</v>
      </c>
      <c r="AJ67" s="628">
        <v>0</v>
      </c>
      <c r="AK67" s="628">
        <v>0</v>
      </c>
      <c r="AL67" s="628">
        <v>0</v>
      </c>
      <c r="AM67" s="628">
        <v>0</v>
      </c>
      <c r="AN67" s="628">
        <v>0</v>
      </c>
    </row>
    <row r="68" spans="1:40" x14ac:dyDescent="0.3">
      <c r="A68" s="489" t="s">
        <v>1931</v>
      </c>
      <c r="B68" s="489" t="s">
        <v>1616</v>
      </c>
      <c r="C68" s="489" t="s">
        <v>1932</v>
      </c>
      <c r="D68" s="489" t="s">
        <v>141</v>
      </c>
      <c r="E68" s="619">
        <v>106</v>
      </c>
      <c r="F68" s="627">
        <f t="shared" si="6"/>
        <v>2092.3095238095239</v>
      </c>
      <c r="G68" s="628">
        <f t="shared" si="5"/>
        <v>2075</v>
      </c>
      <c r="H68" s="628">
        <f t="shared" si="5"/>
        <v>2118.3333333333335</v>
      </c>
      <c r="I68" s="628">
        <f t="shared" si="5"/>
        <v>2123</v>
      </c>
      <c r="J68" s="628">
        <f t="shared" si="5"/>
        <v>2190</v>
      </c>
      <c r="K68" s="628">
        <f t="shared" si="5"/>
        <v>2190</v>
      </c>
      <c r="L68" s="628">
        <f t="shared" si="5"/>
        <v>2141.8571428571427</v>
      </c>
      <c r="M68" s="628">
        <f t="shared" si="5"/>
        <v>2105.8857142857141</v>
      </c>
      <c r="N68" s="628">
        <f t="shared" si="5"/>
        <v>2086</v>
      </c>
      <c r="O68" s="628">
        <f t="shared" si="5"/>
        <v>2077.8076923076924</v>
      </c>
      <c r="P68" s="628">
        <f t="shared" si="5"/>
        <v>2033.6428571428571</v>
      </c>
      <c r="Q68" s="628">
        <f t="shared" si="5"/>
        <v>2075</v>
      </c>
      <c r="R68" s="628">
        <f t="shared" si="5"/>
        <v>2075</v>
      </c>
      <c r="S68" s="628">
        <f t="shared" si="5"/>
        <v>0</v>
      </c>
      <c r="T68" s="628">
        <f t="shared" si="5"/>
        <v>0</v>
      </c>
      <c r="U68" s="628">
        <f t="shared" si="5"/>
        <v>0</v>
      </c>
      <c r="V68" s="618"/>
      <c r="Y68" s="627">
        <v>2092.3095238095239</v>
      </c>
      <c r="Z68" s="628">
        <v>2075</v>
      </c>
      <c r="AA68" s="628">
        <v>2118.3333333333335</v>
      </c>
      <c r="AB68" s="628">
        <v>2123</v>
      </c>
      <c r="AC68" s="628">
        <v>0</v>
      </c>
      <c r="AD68" s="628">
        <v>2190</v>
      </c>
      <c r="AE68" s="628">
        <v>2141.8571428571427</v>
      </c>
      <c r="AF68" s="628">
        <v>2105.8857142857141</v>
      </c>
      <c r="AG68" s="628">
        <v>2086</v>
      </c>
      <c r="AH68" s="628">
        <v>2077.8076923076924</v>
      </c>
      <c r="AI68" s="628">
        <v>2033.6428571428571</v>
      </c>
      <c r="AJ68" s="628">
        <v>2075</v>
      </c>
      <c r="AK68" s="628">
        <v>2075</v>
      </c>
      <c r="AL68" s="628">
        <v>0</v>
      </c>
      <c r="AM68" s="628">
        <v>0</v>
      </c>
      <c r="AN68" s="628">
        <v>0</v>
      </c>
    </row>
    <row r="69" spans="1:40" x14ac:dyDescent="0.3">
      <c r="A69" s="489" t="s">
        <v>1561</v>
      </c>
      <c r="B69" s="489" t="s">
        <v>1614</v>
      </c>
      <c r="C69" s="489" t="s">
        <v>1615</v>
      </c>
      <c r="D69" s="489" t="s">
        <v>141</v>
      </c>
      <c r="E69" s="619">
        <v>105</v>
      </c>
      <c r="F69" s="627">
        <f t="shared" si="6"/>
        <v>1656.0857142857142</v>
      </c>
      <c r="G69" s="628">
        <f t="shared" si="5"/>
        <v>1666.5</v>
      </c>
      <c r="H69" s="628">
        <f t="shared" si="5"/>
        <v>1585</v>
      </c>
      <c r="I69" s="628">
        <f t="shared" si="5"/>
        <v>1660</v>
      </c>
      <c r="J69" s="628">
        <f t="shared" si="5"/>
        <v>1660</v>
      </c>
      <c r="K69" s="628">
        <f t="shared" si="5"/>
        <v>1660</v>
      </c>
      <c r="L69" s="628">
        <f t="shared" si="5"/>
        <v>1660</v>
      </c>
      <c r="M69" s="628">
        <f t="shared" si="5"/>
        <v>1660</v>
      </c>
      <c r="N69" s="628">
        <f t="shared" si="5"/>
        <v>0</v>
      </c>
      <c r="O69" s="628">
        <f t="shared" si="5"/>
        <v>0</v>
      </c>
      <c r="P69" s="628">
        <f t="shared" si="5"/>
        <v>0</v>
      </c>
      <c r="Q69" s="628">
        <f t="shared" si="5"/>
        <v>0</v>
      </c>
      <c r="R69" s="628">
        <f t="shared" si="5"/>
        <v>0</v>
      </c>
      <c r="S69" s="628">
        <f t="shared" si="5"/>
        <v>0</v>
      </c>
      <c r="T69" s="628">
        <f t="shared" si="5"/>
        <v>0</v>
      </c>
      <c r="U69" s="628">
        <f t="shared" si="5"/>
        <v>0</v>
      </c>
      <c r="V69" s="618"/>
      <c r="Y69" s="627">
        <v>1656.0857142857142</v>
      </c>
      <c r="Z69" s="628">
        <v>1666.5</v>
      </c>
      <c r="AA69" s="628">
        <v>1585</v>
      </c>
      <c r="AB69" s="628">
        <v>1660</v>
      </c>
      <c r="AC69" s="628">
        <v>1660</v>
      </c>
      <c r="AD69" s="628">
        <v>1660</v>
      </c>
      <c r="AE69" s="628">
        <v>1660</v>
      </c>
      <c r="AF69" s="628">
        <v>1660</v>
      </c>
      <c r="AG69" s="628">
        <v>0</v>
      </c>
      <c r="AH69" s="628">
        <v>0</v>
      </c>
      <c r="AI69" s="628">
        <v>0</v>
      </c>
      <c r="AJ69" s="628">
        <v>0</v>
      </c>
      <c r="AK69" s="628">
        <v>0</v>
      </c>
      <c r="AL69" s="628">
        <v>0</v>
      </c>
      <c r="AM69" s="628">
        <v>0</v>
      </c>
      <c r="AN69" s="628">
        <v>0</v>
      </c>
    </row>
    <row r="70" spans="1:40" x14ac:dyDescent="0.3">
      <c r="A70" s="489" t="s">
        <v>1419</v>
      </c>
      <c r="B70" s="489" t="s">
        <v>1616</v>
      </c>
      <c r="C70" s="489" t="s">
        <v>1222</v>
      </c>
      <c r="D70" s="489" t="s">
        <v>141</v>
      </c>
      <c r="E70" s="619">
        <v>104</v>
      </c>
      <c r="F70" s="627">
        <f t="shared" si="6"/>
        <v>2092.3095238095239</v>
      </c>
      <c r="G70" s="628">
        <f t="shared" si="5"/>
        <v>2075</v>
      </c>
      <c r="H70" s="628">
        <f t="shared" si="5"/>
        <v>2118.3333333333335</v>
      </c>
      <c r="I70" s="628">
        <f t="shared" si="5"/>
        <v>2123</v>
      </c>
      <c r="J70" s="628">
        <f t="shared" si="5"/>
        <v>2190</v>
      </c>
      <c r="K70" s="628">
        <f t="shared" si="5"/>
        <v>2190</v>
      </c>
      <c r="L70" s="628">
        <f t="shared" si="5"/>
        <v>2141.8571428571427</v>
      </c>
      <c r="M70" s="628">
        <f t="shared" si="5"/>
        <v>2105.8857142857141</v>
      </c>
      <c r="N70" s="628">
        <f t="shared" si="5"/>
        <v>2086</v>
      </c>
      <c r="O70" s="628">
        <f t="shared" si="5"/>
        <v>2077.8076923076924</v>
      </c>
      <c r="P70" s="628">
        <f t="shared" si="5"/>
        <v>2033.6428571428571</v>
      </c>
      <c r="Q70" s="628">
        <f t="shared" si="5"/>
        <v>2075</v>
      </c>
      <c r="R70" s="628">
        <f t="shared" si="5"/>
        <v>2075</v>
      </c>
      <c r="S70" s="628">
        <f t="shared" si="5"/>
        <v>0</v>
      </c>
      <c r="T70" s="628">
        <f t="shared" si="5"/>
        <v>0</v>
      </c>
      <c r="U70" s="628">
        <f t="shared" si="5"/>
        <v>0</v>
      </c>
      <c r="V70" s="618"/>
      <c r="Y70" s="627">
        <v>2092.3095238095239</v>
      </c>
      <c r="Z70" s="628">
        <v>2075</v>
      </c>
      <c r="AA70" s="628">
        <v>2118.3333333333335</v>
      </c>
      <c r="AB70" s="628">
        <v>2123</v>
      </c>
      <c r="AC70" s="628">
        <v>0</v>
      </c>
      <c r="AD70" s="628">
        <v>2190</v>
      </c>
      <c r="AE70" s="628">
        <v>2141.8571428571427</v>
      </c>
      <c r="AF70" s="628">
        <v>2105.8857142857141</v>
      </c>
      <c r="AG70" s="628">
        <v>2086</v>
      </c>
      <c r="AH70" s="628">
        <v>2077.8076923076924</v>
      </c>
      <c r="AI70" s="628">
        <v>2033.6428571428571</v>
      </c>
      <c r="AJ70" s="628">
        <v>2075</v>
      </c>
      <c r="AK70" s="628">
        <v>2075</v>
      </c>
      <c r="AL70" s="628">
        <v>0</v>
      </c>
      <c r="AM70" s="628">
        <v>0</v>
      </c>
      <c r="AN70" s="628">
        <v>0</v>
      </c>
    </row>
    <row r="71" spans="1:40" x14ac:dyDescent="0.3">
      <c r="A71" s="489" t="s">
        <v>1414</v>
      </c>
      <c r="B71" s="489" t="s">
        <v>1534</v>
      </c>
      <c r="C71" s="489" t="s">
        <v>1617</v>
      </c>
      <c r="D71" s="489" t="s">
        <v>46</v>
      </c>
      <c r="E71" s="619">
        <v>103</v>
      </c>
      <c r="F71" s="627">
        <f t="shared" si="6"/>
        <v>1360.3883495145631</v>
      </c>
      <c r="G71" s="628">
        <f t="shared" si="5"/>
        <v>1385</v>
      </c>
      <c r="H71" s="628">
        <f t="shared" si="5"/>
        <v>1380</v>
      </c>
      <c r="I71" s="628">
        <f t="shared" si="5"/>
        <v>1350</v>
      </c>
      <c r="J71" s="628">
        <f t="shared" si="5"/>
        <v>1373.3333333333333</v>
      </c>
      <c r="K71" s="628">
        <f t="shared" si="5"/>
        <v>1369</v>
      </c>
      <c r="L71" s="628">
        <f t="shared" si="5"/>
        <v>1374.7222222222222</v>
      </c>
      <c r="M71" s="628">
        <f t="shared" si="5"/>
        <v>1334.5454545454545</v>
      </c>
      <c r="N71" s="628">
        <f t="shared" si="5"/>
        <v>1342.4</v>
      </c>
      <c r="O71" s="628">
        <f t="shared" si="5"/>
        <v>1350</v>
      </c>
      <c r="P71" s="628">
        <f t="shared" si="5"/>
        <v>1350</v>
      </c>
      <c r="Q71" s="628">
        <f t="shared" si="5"/>
        <v>0</v>
      </c>
      <c r="R71" s="628">
        <f t="shared" si="5"/>
        <v>0</v>
      </c>
      <c r="S71" s="628">
        <f t="shared" si="5"/>
        <v>0</v>
      </c>
      <c r="T71" s="628">
        <f t="shared" si="5"/>
        <v>0</v>
      </c>
      <c r="U71" s="628">
        <f t="shared" si="5"/>
        <v>0</v>
      </c>
      <c r="Y71" s="627">
        <v>1360.3883495145631</v>
      </c>
      <c r="Z71" s="628">
        <v>1385</v>
      </c>
      <c r="AA71" s="628">
        <v>1380</v>
      </c>
      <c r="AB71" s="628">
        <v>1350</v>
      </c>
      <c r="AC71" s="628">
        <v>1373.3333333333333</v>
      </c>
      <c r="AD71" s="628">
        <v>1369</v>
      </c>
      <c r="AE71" s="628">
        <v>1374.7222222222222</v>
      </c>
      <c r="AF71" s="628">
        <v>1334.5454545454545</v>
      </c>
      <c r="AG71" s="628">
        <v>1342.4</v>
      </c>
      <c r="AH71" s="628">
        <v>1350</v>
      </c>
      <c r="AI71" s="628">
        <v>1350</v>
      </c>
      <c r="AJ71" s="628">
        <v>0</v>
      </c>
      <c r="AK71" s="628">
        <v>0</v>
      </c>
      <c r="AL71" s="628">
        <v>0</v>
      </c>
      <c r="AM71" s="628">
        <v>0</v>
      </c>
      <c r="AN71" s="628">
        <v>0</v>
      </c>
    </row>
    <row r="72" spans="1:40" x14ac:dyDescent="0.3">
      <c r="A72" s="489" t="s">
        <v>1544</v>
      </c>
      <c r="B72" s="489" t="s">
        <v>1676</v>
      </c>
      <c r="C72" s="489" t="s">
        <v>1802</v>
      </c>
      <c r="D72" s="489" t="s">
        <v>46</v>
      </c>
      <c r="E72" s="619">
        <v>91</v>
      </c>
      <c r="F72" s="627">
        <f t="shared" si="6"/>
        <v>1468.8791208791208</v>
      </c>
      <c r="G72" s="628">
        <f t="shared" si="5"/>
        <v>1510.3333333333333</v>
      </c>
      <c r="H72" s="628">
        <f t="shared" si="5"/>
        <v>1510.3333333333333</v>
      </c>
      <c r="I72" s="628">
        <f t="shared" si="5"/>
        <v>1467</v>
      </c>
      <c r="J72" s="628">
        <f t="shared" si="5"/>
        <v>1480</v>
      </c>
      <c r="K72" s="628">
        <f t="shared" si="5"/>
        <v>1496.9</v>
      </c>
      <c r="L72" s="628">
        <f t="shared" si="5"/>
        <v>1496.9</v>
      </c>
      <c r="M72" s="628">
        <f t="shared" si="5"/>
        <v>1496.9</v>
      </c>
      <c r="N72" s="628">
        <f t="shared" si="5"/>
        <v>1491.1333333333334</v>
      </c>
      <c r="O72" s="628">
        <f t="shared" si="5"/>
        <v>1456.3157894736842</v>
      </c>
      <c r="P72" s="628">
        <f t="shared" si="5"/>
        <v>1467.1111111111111</v>
      </c>
      <c r="Q72" s="628">
        <f t="shared" si="5"/>
        <v>1448.5</v>
      </c>
      <c r="R72" s="628">
        <f t="shared" si="5"/>
        <v>1443.75</v>
      </c>
      <c r="S72" s="628">
        <f t="shared" si="5"/>
        <v>1418</v>
      </c>
      <c r="T72" s="628">
        <f t="shared" si="5"/>
        <v>1436.4</v>
      </c>
      <c r="U72" s="628">
        <f t="shared" si="5"/>
        <v>1492</v>
      </c>
      <c r="Y72" s="627">
        <v>1468.8791208791208</v>
      </c>
      <c r="Z72" s="628">
        <v>0</v>
      </c>
      <c r="AA72" s="628">
        <v>1510.3333333333333</v>
      </c>
      <c r="AB72" s="628">
        <v>1467</v>
      </c>
      <c r="AC72" s="628">
        <v>1480</v>
      </c>
      <c r="AD72" s="628">
        <v>0</v>
      </c>
      <c r="AE72" s="628">
        <v>0</v>
      </c>
      <c r="AF72" s="628">
        <v>1496.9</v>
      </c>
      <c r="AG72" s="628">
        <v>1491.1333333333334</v>
      </c>
      <c r="AH72" s="628">
        <v>1456.3157894736842</v>
      </c>
      <c r="AI72" s="628">
        <v>1467.1111111111111</v>
      </c>
      <c r="AJ72" s="628">
        <v>1448.5</v>
      </c>
      <c r="AK72" s="628">
        <v>1443.75</v>
      </c>
      <c r="AL72" s="628">
        <v>1418</v>
      </c>
      <c r="AM72" s="628">
        <v>1436.4</v>
      </c>
      <c r="AN72" s="628">
        <v>1492</v>
      </c>
    </row>
    <row r="73" spans="1:40" x14ac:dyDescent="0.3">
      <c r="A73" s="489" t="s">
        <v>1677</v>
      </c>
      <c r="B73" s="489" t="s">
        <v>1678</v>
      </c>
      <c r="C73" s="489" t="s">
        <v>1803</v>
      </c>
      <c r="D73" s="489" t="s">
        <v>46</v>
      </c>
      <c r="E73" s="619">
        <v>89</v>
      </c>
      <c r="F73" s="627">
        <f t="shared" si="6"/>
        <v>1620.056179775281</v>
      </c>
      <c r="G73" s="628">
        <f t="shared" si="5"/>
        <v>1675</v>
      </c>
      <c r="H73" s="628">
        <f t="shared" si="5"/>
        <v>1591.25</v>
      </c>
      <c r="I73" s="628">
        <f t="shared" si="5"/>
        <v>1603.3333333333333</v>
      </c>
      <c r="J73" s="628">
        <f t="shared" si="5"/>
        <v>1685</v>
      </c>
      <c r="K73" s="628">
        <f t="shared" si="5"/>
        <v>1595</v>
      </c>
      <c r="L73" s="628">
        <f t="shared" si="5"/>
        <v>1633.75</v>
      </c>
      <c r="M73" s="628">
        <f t="shared" si="5"/>
        <v>1599.1176470588234</v>
      </c>
      <c r="N73" s="628">
        <f t="shared" si="5"/>
        <v>1590.5882352941176</v>
      </c>
      <c r="O73" s="628">
        <f t="shared" si="5"/>
        <v>1664.375</v>
      </c>
      <c r="P73" s="628">
        <f t="shared" si="5"/>
        <v>1633.5714285714287</v>
      </c>
      <c r="Q73" s="628">
        <f t="shared" si="5"/>
        <v>1647</v>
      </c>
      <c r="R73" s="628">
        <f t="shared" si="5"/>
        <v>1600</v>
      </c>
      <c r="S73" s="628">
        <f t="shared" si="5"/>
        <v>1595</v>
      </c>
      <c r="T73" s="628">
        <f t="shared" si="5"/>
        <v>1690</v>
      </c>
      <c r="U73" s="628">
        <f t="shared" si="5"/>
        <v>0</v>
      </c>
      <c r="Y73" s="627">
        <v>1620.056179775281</v>
      </c>
      <c r="Z73" s="628">
        <v>1675</v>
      </c>
      <c r="AA73" s="628">
        <v>1591.25</v>
      </c>
      <c r="AB73" s="628">
        <v>1603.3333333333333</v>
      </c>
      <c r="AC73" s="628">
        <v>1685</v>
      </c>
      <c r="AD73" s="628">
        <v>1595</v>
      </c>
      <c r="AE73" s="628">
        <v>1633.75</v>
      </c>
      <c r="AF73" s="628">
        <v>1599.1176470588234</v>
      </c>
      <c r="AG73" s="628">
        <v>1590.5882352941176</v>
      </c>
      <c r="AH73" s="628">
        <v>1664.375</v>
      </c>
      <c r="AI73" s="628">
        <v>1633.5714285714287</v>
      </c>
      <c r="AJ73" s="628">
        <v>1647</v>
      </c>
      <c r="AK73" s="628">
        <v>1600</v>
      </c>
      <c r="AL73" s="628">
        <v>1595</v>
      </c>
      <c r="AM73" s="628">
        <v>1690</v>
      </c>
      <c r="AN73" s="628">
        <v>0</v>
      </c>
    </row>
    <row r="74" spans="1:40" x14ac:dyDescent="0.3">
      <c r="A74" s="489" t="s">
        <v>1441</v>
      </c>
      <c r="B74" s="489" t="s">
        <v>1679</v>
      </c>
      <c r="C74" s="489" t="s">
        <v>1804</v>
      </c>
      <c r="D74" s="489" t="s">
        <v>46</v>
      </c>
      <c r="E74" s="619">
        <v>85</v>
      </c>
      <c r="F74" s="627">
        <f t="shared" si="6"/>
        <v>1745.870588235294</v>
      </c>
      <c r="G74" s="628">
        <f t="shared" si="5"/>
        <v>1749</v>
      </c>
      <c r="H74" s="628">
        <f t="shared" si="5"/>
        <v>1758.8571428571429</v>
      </c>
      <c r="I74" s="628">
        <f t="shared" si="5"/>
        <v>1741.1428571428571</v>
      </c>
      <c r="J74" s="628">
        <f t="shared" si="5"/>
        <v>1747.5</v>
      </c>
      <c r="K74" s="628">
        <f t="shared" si="5"/>
        <v>1739.75</v>
      </c>
      <c r="L74" s="628">
        <f t="shared" si="5"/>
        <v>1738.8333333333333</v>
      </c>
      <c r="M74" s="628">
        <f t="shared" si="5"/>
        <v>1760.4444444444443</v>
      </c>
      <c r="N74" s="628">
        <f t="shared" si="5"/>
        <v>1740.1052631578948</v>
      </c>
      <c r="O74" s="628">
        <f t="shared" si="5"/>
        <v>1745.7142857142858</v>
      </c>
      <c r="P74" s="628">
        <f t="shared" si="5"/>
        <v>1759.5</v>
      </c>
      <c r="Q74" s="628">
        <f t="shared" si="5"/>
        <v>1736.5</v>
      </c>
      <c r="R74" s="628">
        <f t="shared" si="5"/>
        <v>1753.3333333333333</v>
      </c>
      <c r="S74" s="628">
        <f t="shared" si="5"/>
        <v>1753.3333333333333</v>
      </c>
      <c r="T74" s="628">
        <f t="shared" si="5"/>
        <v>1751</v>
      </c>
      <c r="U74" s="628">
        <f t="shared" si="5"/>
        <v>1751</v>
      </c>
      <c r="Y74" s="627">
        <v>1745.870588235294</v>
      </c>
      <c r="Z74" s="628">
        <v>1749</v>
      </c>
      <c r="AA74" s="628">
        <v>1758.8571428571429</v>
      </c>
      <c r="AB74" s="628">
        <v>1741.1428571428571</v>
      </c>
      <c r="AC74" s="628">
        <v>1747.5</v>
      </c>
      <c r="AD74" s="628">
        <v>1739.75</v>
      </c>
      <c r="AE74" s="628">
        <v>1738.8333333333333</v>
      </c>
      <c r="AF74" s="628">
        <v>1760.4444444444443</v>
      </c>
      <c r="AG74" s="628">
        <v>1740.1052631578948</v>
      </c>
      <c r="AH74" s="628">
        <v>1745.7142857142858</v>
      </c>
      <c r="AI74" s="628">
        <v>1759.5</v>
      </c>
      <c r="AJ74" s="628">
        <v>1736.5</v>
      </c>
      <c r="AK74" s="628">
        <v>0</v>
      </c>
      <c r="AL74" s="628">
        <v>1753.3333333333333</v>
      </c>
      <c r="AM74" s="628">
        <v>1751</v>
      </c>
      <c r="AN74" s="628">
        <v>1751</v>
      </c>
    </row>
    <row r="75" spans="1:40" x14ac:dyDescent="0.3">
      <c r="A75" s="489" t="s">
        <v>1414</v>
      </c>
      <c r="B75" s="489" t="s">
        <v>1657</v>
      </c>
      <c r="C75" s="489" t="s">
        <v>1805</v>
      </c>
      <c r="D75" s="489" t="s">
        <v>46</v>
      </c>
      <c r="E75" s="619">
        <v>79</v>
      </c>
      <c r="F75" s="627">
        <f t="shared" si="6"/>
        <v>1903.0379746835442</v>
      </c>
      <c r="G75" s="628">
        <f t="shared" si="5"/>
        <v>1940</v>
      </c>
      <c r="H75" s="628">
        <f t="shared" si="5"/>
        <v>1940</v>
      </c>
      <c r="I75" s="628">
        <f t="shared" si="5"/>
        <v>1930</v>
      </c>
      <c r="J75" s="628">
        <f t="shared" si="5"/>
        <v>1918.75</v>
      </c>
      <c r="K75" s="628">
        <f t="shared" si="5"/>
        <v>1920</v>
      </c>
      <c r="L75" s="628">
        <f t="shared" si="5"/>
        <v>1912.7777777777778</v>
      </c>
      <c r="M75" s="628">
        <f t="shared" si="5"/>
        <v>1887.3529411764705</v>
      </c>
      <c r="N75" s="628">
        <f t="shared" si="5"/>
        <v>1873.3333333333333</v>
      </c>
      <c r="O75" s="628">
        <f t="shared" si="5"/>
        <v>1875</v>
      </c>
      <c r="P75" s="628">
        <f t="shared" si="5"/>
        <v>1875</v>
      </c>
      <c r="Q75" s="628">
        <f t="shared" si="5"/>
        <v>0</v>
      </c>
      <c r="R75" s="628">
        <f t="shared" si="5"/>
        <v>0</v>
      </c>
      <c r="S75" s="628">
        <f t="shared" si="5"/>
        <v>0</v>
      </c>
      <c r="T75" s="628">
        <f t="shared" si="5"/>
        <v>0</v>
      </c>
      <c r="U75" s="628">
        <f t="shared" si="5"/>
        <v>0</v>
      </c>
      <c r="Y75" s="627">
        <v>1903.0379746835442</v>
      </c>
      <c r="Z75" s="628">
        <v>1940</v>
      </c>
      <c r="AA75" s="628">
        <v>1940</v>
      </c>
      <c r="AB75" s="628">
        <v>1930</v>
      </c>
      <c r="AC75" s="628">
        <v>1918.75</v>
      </c>
      <c r="AD75" s="628">
        <v>1920</v>
      </c>
      <c r="AE75" s="628">
        <v>1912.7777777777778</v>
      </c>
      <c r="AF75" s="628">
        <v>1887.3529411764705</v>
      </c>
      <c r="AG75" s="628">
        <v>1873.3333333333333</v>
      </c>
      <c r="AH75" s="628">
        <v>1875</v>
      </c>
      <c r="AI75" s="628">
        <v>1875</v>
      </c>
      <c r="AJ75" s="628">
        <v>0</v>
      </c>
      <c r="AK75" s="628">
        <v>0</v>
      </c>
      <c r="AL75" s="628">
        <v>0</v>
      </c>
      <c r="AM75" s="628">
        <v>0</v>
      </c>
      <c r="AN75" s="628">
        <v>0</v>
      </c>
    </row>
    <row r="76" spans="1:40" x14ac:dyDescent="0.3">
      <c r="A76" s="489" t="s">
        <v>1544</v>
      </c>
      <c r="B76" s="489" t="s">
        <v>1680</v>
      </c>
      <c r="C76" s="489" t="s">
        <v>1806</v>
      </c>
      <c r="D76" s="489" t="s">
        <v>141</v>
      </c>
      <c r="E76" s="619">
        <v>79</v>
      </c>
      <c r="F76" s="627">
        <f t="shared" si="6"/>
        <v>1965.8227848101267</v>
      </c>
      <c r="G76" s="628">
        <f t="shared" si="5"/>
        <v>2115.3333333333335</v>
      </c>
      <c r="H76" s="628">
        <f t="shared" si="5"/>
        <v>1953.6666666666667</v>
      </c>
      <c r="I76" s="628">
        <f t="shared" si="5"/>
        <v>1946.32</v>
      </c>
      <c r="J76" s="628">
        <f t="shared" si="5"/>
        <v>2013.8571428571429</v>
      </c>
      <c r="K76" s="628">
        <f t="shared" si="5"/>
        <v>0</v>
      </c>
      <c r="L76" s="628">
        <f t="shared" si="5"/>
        <v>0</v>
      </c>
      <c r="M76" s="628">
        <f t="shared" si="5"/>
        <v>0</v>
      </c>
      <c r="N76" s="628">
        <f t="shared" si="5"/>
        <v>0</v>
      </c>
      <c r="O76" s="628">
        <f t="shared" si="5"/>
        <v>0</v>
      </c>
      <c r="P76" s="628">
        <f t="shared" si="5"/>
        <v>0</v>
      </c>
      <c r="Q76" s="628">
        <f t="shared" si="5"/>
        <v>0</v>
      </c>
      <c r="R76" s="628">
        <f t="shared" si="5"/>
        <v>0</v>
      </c>
      <c r="S76" s="628">
        <f t="shared" si="5"/>
        <v>0</v>
      </c>
      <c r="T76" s="628">
        <f t="shared" si="5"/>
        <v>0</v>
      </c>
      <c r="U76" s="628">
        <f t="shared" si="5"/>
        <v>0</v>
      </c>
      <c r="Y76" s="627">
        <v>1965.8227848101267</v>
      </c>
      <c r="Z76" s="628">
        <v>2115.3333333333335</v>
      </c>
      <c r="AA76" s="628">
        <v>1953.6666666666667</v>
      </c>
      <c r="AB76" s="628">
        <v>1946.32</v>
      </c>
      <c r="AC76" s="628">
        <v>2013.8571428571429</v>
      </c>
      <c r="AD76" s="628">
        <v>0</v>
      </c>
      <c r="AE76" s="628">
        <v>0</v>
      </c>
      <c r="AF76" s="628">
        <v>0</v>
      </c>
      <c r="AG76" s="628">
        <v>0</v>
      </c>
      <c r="AH76" s="628">
        <v>0</v>
      </c>
      <c r="AI76" s="628">
        <v>0</v>
      </c>
      <c r="AJ76" s="628">
        <v>0</v>
      </c>
      <c r="AK76" s="628">
        <v>0</v>
      </c>
      <c r="AL76" s="628">
        <v>0</v>
      </c>
      <c r="AM76" s="628">
        <v>0</v>
      </c>
      <c r="AN76" s="628">
        <v>0</v>
      </c>
    </row>
    <row r="77" spans="1:40" x14ac:dyDescent="0.3">
      <c r="A77" s="489" t="s">
        <v>1561</v>
      </c>
      <c r="B77" s="489" t="s">
        <v>1681</v>
      </c>
      <c r="C77" s="489" t="s">
        <v>1807</v>
      </c>
      <c r="D77" s="489" t="s">
        <v>141</v>
      </c>
      <c r="E77" s="619">
        <v>79</v>
      </c>
      <c r="F77" s="627">
        <f t="shared" si="6"/>
        <v>1846.2658227848101</v>
      </c>
      <c r="G77" s="628">
        <f t="shared" si="5"/>
        <v>1910</v>
      </c>
      <c r="H77" s="628">
        <f t="shared" si="5"/>
        <v>1830.4385964912281</v>
      </c>
      <c r="I77" s="628">
        <f t="shared" si="5"/>
        <v>1895.3846153846155</v>
      </c>
      <c r="J77" s="628">
        <f t="shared" si="5"/>
        <v>1858.3333333333333</v>
      </c>
      <c r="K77" s="628">
        <f t="shared" si="5"/>
        <v>0</v>
      </c>
      <c r="L77" s="628">
        <f t="shared" si="5"/>
        <v>0</v>
      </c>
      <c r="M77" s="628">
        <f t="shared" si="5"/>
        <v>0</v>
      </c>
      <c r="N77" s="628">
        <f t="shared" si="5"/>
        <v>0</v>
      </c>
      <c r="O77" s="628">
        <f t="shared" si="5"/>
        <v>0</v>
      </c>
      <c r="P77" s="628">
        <f t="shared" si="5"/>
        <v>0</v>
      </c>
      <c r="Q77" s="628">
        <f t="shared" si="5"/>
        <v>0</v>
      </c>
      <c r="R77" s="628">
        <f t="shared" si="5"/>
        <v>0</v>
      </c>
      <c r="S77" s="628">
        <f t="shared" si="5"/>
        <v>0</v>
      </c>
      <c r="T77" s="628">
        <f t="shared" si="5"/>
        <v>0</v>
      </c>
      <c r="U77" s="628">
        <f t="shared" si="5"/>
        <v>0</v>
      </c>
      <c r="Y77" s="627">
        <v>1846.2658227848101</v>
      </c>
      <c r="Z77" s="628">
        <v>1910</v>
      </c>
      <c r="AA77" s="628">
        <v>1830.4385964912281</v>
      </c>
      <c r="AB77" s="628">
        <v>1895.3846153846155</v>
      </c>
      <c r="AC77" s="628">
        <v>1858.3333333333333</v>
      </c>
      <c r="AD77" s="628">
        <v>0</v>
      </c>
      <c r="AE77" s="628">
        <v>0</v>
      </c>
      <c r="AF77" s="628">
        <v>0</v>
      </c>
      <c r="AG77" s="628">
        <v>0</v>
      </c>
      <c r="AH77" s="628">
        <v>0</v>
      </c>
      <c r="AI77" s="628">
        <v>0</v>
      </c>
      <c r="AJ77" s="628">
        <v>0</v>
      </c>
      <c r="AK77" s="628">
        <v>0</v>
      </c>
      <c r="AL77" s="628">
        <v>0</v>
      </c>
      <c r="AM77" s="628">
        <v>0</v>
      </c>
      <c r="AN77" s="628">
        <v>0</v>
      </c>
    </row>
    <row r="78" spans="1:40" x14ac:dyDescent="0.3">
      <c r="A78" s="489" t="s">
        <v>1426</v>
      </c>
      <c r="B78" s="489" t="s">
        <v>1440</v>
      </c>
      <c r="C78" s="489" t="s">
        <v>1440</v>
      </c>
      <c r="D78" s="489" t="s">
        <v>1929</v>
      </c>
      <c r="E78" s="619">
        <v>78</v>
      </c>
      <c r="F78" s="627">
        <f t="shared" si="6"/>
        <v>1471.6282051282051</v>
      </c>
      <c r="G78" s="628">
        <f t="shared" si="5"/>
        <v>1474.7</v>
      </c>
      <c r="H78" s="628">
        <f t="shared" si="5"/>
        <v>1474.7</v>
      </c>
      <c r="I78" s="628">
        <f t="shared" si="5"/>
        <v>1473.5714285714287</v>
      </c>
      <c r="J78" s="628">
        <f t="shared" si="5"/>
        <v>1475</v>
      </c>
      <c r="K78" s="628">
        <f t="shared" si="5"/>
        <v>1473.3333333333333</v>
      </c>
      <c r="L78" s="628">
        <f t="shared" si="5"/>
        <v>1472.5</v>
      </c>
      <c r="M78" s="628">
        <f t="shared" si="5"/>
        <v>1470</v>
      </c>
      <c r="N78" s="628">
        <f t="shared" si="5"/>
        <v>1470</v>
      </c>
      <c r="O78" s="628">
        <f t="shared" si="5"/>
        <v>1470</v>
      </c>
      <c r="P78" s="628">
        <f t="shared" si="5"/>
        <v>1470</v>
      </c>
      <c r="Q78" s="628">
        <f t="shared" si="5"/>
        <v>1470</v>
      </c>
      <c r="R78" s="628">
        <f t="shared" si="5"/>
        <v>1470</v>
      </c>
      <c r="S78" s="628">
        <f t="shared" si="5"/>
        <v>1470</v>
      </c>
      <c r="T78" s="628">
        <f t="shared" si="5"/>
        <v>0</v>
      </c>
      <c r="U78" s="628">
        <f t="shared" si="5"/>
        <v>0</v>
      </c>
      <c r="Y78" s="627">
        <v>1471.6282051282051</v>
      </c>
      <c r="Z78" s="628">
        <v>0</v>
      </c>
      <c r="AA78" s="628">
        <v>1474.7</v>
      </c>
      <c r="AB78" s="628">
        <v>1473.5714285714287</v>
      </c>
      <c r="AC78" s="628">
        <v>1475</v>
      </c>
      <c r="AD78" s="628">
        <v>1473.3333333333333</v>
      </c>
      <c r="AE78" s="628">
        <v>1472.5</v>
      </c>
      <c r="AF78" s="628">
        <v>0</v>
      </c>
      <c r="AG78" s="628">
        <v>1470</v>
      </c>
      <c r="AH78" s="628">
        <v>1470</v>
      </c>
      <c r="AI78" s="628">
        <v>1470</v>
      </c>
      <c r="AJ78" s="628">
        <v>0</v>
      </c>
      <c r="AK78" s="628">
        <v>1470</v>
      </c>
      <c r="AL78" s="628">
        <v>1470</v>
      </c>
      <c r="AM78" s="628">
        <v>0</v>
      </c>
      <c r="AN78" s="628">
        <v>0</v>
      </c>
    </row>
    <row r="79" spans="1:40" x14ac:dyDescent="0.3">
      <c r="A79" s="489" t="s">
        <v>1426</v>
      </c>
      <c r="B79" s="489" t="s">
        <v>1427</v>
      </c>
      <c r="C79" s="489" t="s">
        <v>1427</v>
      </c>
      <c r="D79" s="489" t="s">
        <v>1929</v>
      </c>
      <c r="E79" s="619">
        <v>77</v>
      </c>
      <c r="F79" s="627">
        <f t="shared" si="6"/>
        <v>1291.4675324675325</v>
      </c>
      <c r="G79" s="628">
        <f t="shared" si="5"/>
        <v>1281.6666666666667</v>
      </c>
      <c r="H79" s="628">
        <f t="shared" si="5"/>
        <v>1277.5</v>
      </c>
      <c r="I79" s="628">
        <f t="shared" si="5"/>
        <v>1309.1428571428571</v>
      </c>
      <c r="J79" s="628">
        <f t="shared" si="5"/>
        <v>1312.6666666666667</v>
      </c>
      <c r="K79" s="628">
        <f t="shared" si="5"/>
        <v>1291.9230769230769</v>
      </c>
      <c r="L79" s="628">
        <f t="shared" si="5"/>
        <v>1272.8260869565217</v>
      </c>
      <c r="M79" s="628">
        <f t="shared" si="5"/>
        <v>0</v>
      </c>
      <c r="N79" s="628">
        <f t="shared" si="5"/>
        <v>0</v>
      </c>
      <c r="O79" s="628">
        <f t="shared" si="5"/>
        <v>0</v>
      </c>
      <c r="P79" s="628">
        <f t="shared" si="5"/>
        <v>0</v>
      </c>
      <c r="Q79" s="628">
        <f t="shared" si="5"/>
        <v>0</v>
      </c>
      <c r="R79" s="628">
        <f t="shared" si="5"/>
        <v>0</v>
      </c>
      <c r="S79" s="628">
        <f t="shared" si="5"/>
        <v>0</v>
      </c>
      <c r="T79" s="628">
        <f t="shared" si="5"/>
        <v>0</v>
      </c>
      <c r="U79" s="628">
        <f t="shared" si="5"/>
        <v>0</v>
      </c>
      <c r="Y79" s="627">
        <v>1291.4675324675325</v>
      </c>
      <c r="Z79" s="628">
        <v>1281.6666666666667</v>
      </c>
      <c r="AA79" s="628">
        <v>1277.5</v>
      </c>
      <c r="AB79" s="628">
        <v>1309.1428571428571</v>
      </c>
      <c r="AC79" s="628">
        <v>1312.6666666666667</v>
      </c>
      <c r="AD79" s="628">
        <v>1291.9230769230769</v>
      </c>
      <c r="AE79" s="628">
        <v>1272.8260869565217</v>
      </c>
      <c r="AF79" s="628">
        <v>0</v>
      </c>
      <c r="AG79" s="628">
        <v>0</v>
      </c>
      <c r="AH79" s="628">
        <v>0</v>
      </c>
      <c r="AI79" s="628">
        <v>0</v>
      </c>
      <c r="AJ79" s="628">
        <v>0</v>
      </c>
      <c r="AK79" s="628">
        <v>0</v>
      </c>
      <c r="AL79" s="628">
        <v>0</v>
      </c>
      <c r="AM79" s="628">
        <v>0</v>
      </c>
      <c r="AN79" s="628">
        <v>0</v>
      </c>
    </row>
    <row r="80" spans="1:40" x14ac:dyDescent="0.3">
      <c r="A80" s="489" t="s">
        <v>1419</v>
      </c>
      <c r="B80" s="489" t="s">
        <v>1682</v>
      </c>
      <c r="C80" s="489" t="s">
        <v>1808</v>
      </c>
      <c r="D80" s="489" t="s">
        <v>141</v>
      </c>
      <c r="E80" s="619">
        <v>76</v>
      </c>
      <c r="F80" s="627">
        <f t="shared" si="6"/>
        <v>2421.5393258426966</v>
      </c>
      <c r="G80" s="628">
        <f t="shared" si="5"/>
        <v>2439</v>
      </c>
      <c r="H80" s="628">
        <f t="shared" si="5"/>
        <v>2364</v>
      </c>
      <c r="I80" s="628">
        <f t="shared" si="5"/>
        <v>2374</v>
      </c>
      <c r="J80" s="628">
        <f t="shared" si="5"/>
        <v>2380</v>
      </c>
      <c r="K80" s="628">
        <f t="shared" si="5"/>
        <v>2380</v>
      </c>
      <c r="L80" s="628">
        <f t="shared" si="5"/>
        <v>2380</v>
      </c>
      <c r="M80" s="628">
        <f t="shared" si="5"/>
        <v>2422.4</v>
      </c>
      <c r="N80" s="628">
        <f t="shared" si="5"/>
        <v>2427.1884057971015</v>
      </c>
      <c r="O80" s="628">
        <f t="shared" si="5"/>
        <v>2376</v>
      </c>
      <c r="P80" s="628">
        <f t="shared" si="5"/>
        <v>0</v>
      </c>
      <c r="Q80" s="628">
        <f t="shared" si="5"/>
        <v>0</v>
      </c>
      <c r="R80" s="628">
        <f t="shared" si="5"/>
        <v>0</v>
      </c>
      <c r="S80" s="628">
        <f t="shared" si="5"/>
        <v>0</v>
      </c>
      <c r="T80" s="628">
        <f t="shared" si="5"/>
        <v>0</v>
      </c>
      <c r="U80" s="628">
        <f t="shared" si="5"/>
        <v>0</v>
      </c>
      <c r="Y80" s="627">
        <v>2421.5393258426966</v>
      </c>
      <c r="Z80" s="628">
        <v>2439</v>
      </c>
      <c r="AA80" s="628">
        <v>2364</v>
      </c>
      <c r="AB80" s="628">
        <v>2374</v>
      </c>
      <c r="AC80" s="628">
        <v>0</v>
      </c>
      <c r="AD80" s="628">
        <v>0</v>
      </c>
      <c r="AE80" s="628">
        <v>2380</v>
      </c>
      <c r="AF80" s="628">
        <v>2422.4</v>
      </c>
      <c r="AG80" s="628">
        <v>2427.1884057971015</v>
      </c>
      <c r="AH80" s="628">
        <v>2376</v>
      </c>
      <c r="AI80" s="628">
        <v>0</v>
      </c>
      <c r="AJ80" s="628">
        <v>0</v>
      </c>
      <c r="AK80" s="628">
        <v>0</v>
      </c>
      <c r="AL80" s="628">
        <v>0</v>
      </c>
      <c r="AM80" s="628">
        <v>0</v>
      </c>
      <c r="AN80" s="628">
        <v>0</v>
      </c>
    </row>
    <row r="81" spans="1:40" x14ac:dyDescent="0.3">
      <c r="A81" s="489" t="s">
        <v>1441</v>
      </c>
      <c r="B81" s="489" t="s">
        <v>1683</v>
      </c>
      <c r="C81" s="489" t="s">
        <v>1809</v>
      </c>
      <c r="D81" s="489" t="s">
        <v>141</v>
      </c>
      <c r="E81" s="619">
        <v>75</v>
      </c>
      <c r="F81" s="627">
        <f t="shared" si="6"/>
        <v>2020.328947368421</v>
      </c>
      <c r="G81" s="628">
        <f t="shared" si="5"/>
        <v>2020.1666666666667</v>
      </c>
      <c r="H81" s="628">
        <f t="shared" si="5"/>
        <v>2020.2083333333333</v>
      </c>
      <c r="I81" s="628">
        <f t="shared" si="5"/>
        <v>2015.6</v>
      </c>
      <c r="J81" s="628">
        <f t="shared" si="5"/>
        <v>2022.655172413793</v>
      </c>
      <c r="K81" s="628">
        <f t="shared" si="5"/>
        <v>2024</v>
      </c>
      <c r="L81" s="628">
        <f t="shared" si="5"/>
        <v>0</v>
      </c>
      <c r="M81" s="628">
        <f t="shared" si="5"/>
        <v>0</v>
      </c>
      <c r="N81" s="628">
        <f t="shared" si="5"/>
        <v>0</v>
      </c>
      <c r="O81" s="628">
        <f t="shared" si="5"/>
        <v>0</v>
      </c>
      <c r="P81" s="628">
        <f t="shared" si="5"/>
        <v>0</v>
      </c>
      <c r="Q81" s="628">
        <f t="shared" si="5"/>
        <v>0</v>
      </c>
      <c r="R81" s="628">
        <f t="shared" si="5"/>
        <v>0</v>
      </c>
      <c r="S81" s="628">
        <f t="shared" si="5"/>
        <v>0</v>
      </c>
      <c r="T81" s="628">
        <f t="shared" si="5"/>
        <v>0</v>
      </c>
      <c r="U81" s="628">
        <f t="shared" si="5"/>
        <v>0</v>
      </c>
      <c r="Y81" s="627">
        <v>2020.328947368421</v>
      </c>
      <c r="Z81" s="628">
        <v>2020.1666666666667</v>
      </c>
      <c r="AA81" s="628">
        <v>2020.2083333333333</v>
      </c>
      <c r="AB81" s="628">
        <v>2015.6</v>
      </c>
      <c r="AC81" s="628">
        <v>2022.655172413793</v>
      </c>
      <c r="AD81" s="628">
        <v>2024</v>
      </c>
      <c r="AE81" s="628">
        <v>0</v>
      </c>
      <c r="AF81" s="628">
        <v>0</v>
      </c>
      <c r="AG81" s="628">
        <v>0</v>
      </c>
      <c r="AH81" s="628">
        <v>0</v>
      </c>
      <c r="AI81" s="628">
        <v>0</v>
      </c>
      <c r="AJ81" s="628">
        <v>0</v>
      </c>
      <c r="AK81" s="628">
        <v>0</v>
      </c>
      <c r="AL81" s="628">
        <v>0</v>
      </c>
      <c r="AM81" s="628">
        <v>0</v>
      </c>
      <c r="AN81" s="628">
        <v>0</v>
      </c>
    </row>
    <row r="82" spans="1:40" x14ac:dyDescent="0.3">
      <c r="A82" s="489" t="s">
        <v>1605</v>
      </c>
      <c r="B82" s="489" t="s">
        <v>1658</v>
      </c>
      <c r="C82" s="489" t="s">
        <v>1810</v>
      </c>
      <c r="D82" s="489" t="s">
        <v>46</v>
      </c>
      <c r="E82" s="619">
        <v>68</v>
      </c>
      <c r="F82" s="627">
        <f t="shared" si="6"/>
        <v>1560.1911764705883</v>
      </c>
      <c r="G82" s="628">
        <f t="shared" ref="G82:U97" si="7">IF(Z82&gt;0,Z82,IF(H82&gt;0,H82,0))</f>
        <v>1597</v>
      </c>
      <c r="H82" s="628">
        <f t="shared" si="7"/>
        <v>1597</v>
      </c>
      <c r="I82" s="628">
        <f t="shared" si="7"/>
        <v>1597</v>
      </c>
      <c r="J82" s="628">
        <f t="shared" si="7"/>
        <v>1597</v>
      </c>
      <c r="K82" s="628">
        <f t="shared" si="7"/>
        <v>1597</v>
      </c>
      <c r="L82" s="628">
        <f t="shared" si="7"/>
        <v>1587.5</v>
      </c>
      <c r="M82" s="628">
        <f t="shared" si="7"/>
        <v>1542</v>
      </c>
      <c r="N82" s="628">
        <f t="shared" si="7"/>
        <v>1542</v>
      </c>
      <c r="O82" s="628">
        <f t="shared" si="7"/>
        <v>1590.5555555555557</v>
      </c>
      <c r="P82" s="628">
        <f t="shared" si="7"/>
        <v>1567.2222222222222</v>
      </c>
      <c r="Q82" s="628">
        <f t="shared" si="7"/>
        <v>1523</v>
      </c>
      <c r="R82" s="628">
        <f t="shared" si="7"/>
        <v>1524.1428571428571</v>
      </c>
      <c r="S82" s="628">
        <f t="shared" si="7"/>
        <v>1578.3333333333333</v>
      </c>
      <c r="T82" s="628">
        <f t="shared" si="7"/>
        <v>1585.2</v>
      </c>
      <c r="U82" s="628">
        <f t="shared" si="7"/>
        <v>1580.4</v>
      </c>
      <c r="Y82" s="627">
        <v>1560.1911764705883</v>
      </c>
      <c r="Z82" s="628">
        <v>0</v>
      </c>
      <c r="AA82" s="628">
        <v>0</v>
      </c>
      <c r="AB82" s="628">
        <v>0</v>
      </c>
      <c r="AC82" s="628">
        <v>0</v>
      </c>
      <c r="AD82" s="628">
        <v>1597</v>
      </c>
      <c r="AE82" s="628">
        <v>1587.5</v>
      </c>
      <c r="AF82" s="628">
        <v>0</v>
      </c>
      <c r="AG82" s="628">
        <v>1542</v>
      </c>
      <c r="AH82" s="628">
        <v>1590.5555555555557</v>
      </c>
      <c r="AI82" s="628">
        <v>1567.2222222222222</v>
      </c>
      <c r="AJ82" s="628">
        <v>1523</v>
      </c>
      <c r="AK82" s="628">
        <v>1524.1428571428571</v>
      </c>
      <c r="AL82" s="628">
        <v>1578.3333333333333</v>
      </c>
      <c r="AM82" s="628">
        <v>1585.2</v>
      </c>
      <c r="AN82" s="628">
        <v>1580.4</v>
      </c>
    </row>
    <row r="83" spans="1:40" x14ac:dyDescent="0.3">
      <c r="A83" s="489" t="s">
        <v>1414</v>
      </c>
      <c r="B83" s="489" t="s">
        <v>1684</v>
      </c>
      <c r="C83" s="489" t="s">
        <v>1811</v>
      </c>
      <c r="D83" s="489" t="s">
        <v>141</v>
      </c>
      <c r="E83" s="619">
        <v>68</v>
      </c>
      <c r="F83" s="627">
        <f t="shared" si="6"/>
        <v>2408.8970588235293</v>
      </c>
      <c r="G83" s="628">
        <f t="shared" si="7"/>
        <v>2463.3333333333335</v>
      </c>
      <c r="H83" s="628">
        <f t="shared" si="7"/>
        <v>2428.6</v>
      </c>
      <c r="I83" s="628">
        <f t="shared" si="7"/>
        <v>2380</v>
      </c>
      <c r="J83" s="628">
        <f t="shared" si="7"/>
        <v>2380</v>
      </c>
      <c r="K83" s="628">
        <f t="shared" si="7"/>
        <v>0</v>
      </c>
      <c r="L83" s="628">
        <f t="shared" si="7"/>
        <v>0</v>
      </c>
      <c r="M83" s="628">
        <f t="shared" si="7"/>
        <v>0</v>
      </c>
      <c r="N83" s="628">
        <f t="shared" si="7"/>
        <v>0</v>
      </c>
      <c r="O83" s="628">
        <f t="shared" si="7"/>
        <v>0</v>
      </c>
      <c r="P83" s="628">
        <f t="shared" si="7"/>
        <v>0</v>
      </c>
      <c r="Q83" s="628">
        <f t="shared" si="7"/>
        <v>0</v>
      </c>
      <c r="R83" s="628">
        <f t="shared" si="7"/>
        <v>0</v>
      </c>
      <c r="S83" s="628">
        <f t="shared" si="7"/>
        <v>0</v>
      </c>
      <c r="T83" s="628">
        <f t="shared" si="7"/>
        <v>0</v>
      </c>
      <c r="U83" s="628">
        <f t="shared" si="7"/>
        <v>0</v>
      </c>
      <c r="Y83" s="627">
        <v>2408.8970588235293</v>
      </c>
      <c r="Z83" s="628">
        <v>2463.3333333333335</v>
      </c>
      <c r="AA83" s="628">
        <v>2428.6</v>
      </c>
      <c r="AB83" s="628">
        <v>2380</v>
      </c>
      <c r="AC83" s="628">
        <v>2380</v>
      </c>
      <c r="AD83" s="628">
        <v>0</v>
      </c>
      <c r="AE83" s="628">
        <v>0</v>
      </c>
      <c r="AF83" s="628">
        <v>0</v>
      </c>
      <c r="AG83" s="628">
        <v>0</v>
      </c>
      <c r="AH83" s="628">
        <v>0</v>
      </c>
      <c r="AI83" s="628">
        <v>0</v>
      </c>
      <c r="AJ83" s="628">
        <v>0</v>
      </c>
      <c r="AK83" s="628">
        <v>0</v>
      </c>
      <c r="AL83" s="628">
        <v>0</v>
      </c>
      <c r="AM83" s="628">
        <v>0</v>
      </c>
      <c r="AN83" s="628">
        <v>0</v>
      </c>
    </row>
    <row r="84" spans="1:40" x14ac:dyDescent="0.3">
      <c r="A84" s="489" t="s">
        <v>1441</v>
      </c>
      <c r="B84" s="489" t="s">
        <v>1542</v>
      </c>
      <c r="C84" s="489" t="s">
        <v>1543</v>
      </c>
      <c r="D84" s="489" t="s">
        <v>141</v>
      </c>
      <c r="E84" s="619">
        <v>66</v>
      </c>
      <c r="F84" s="627">
        <f t="shared" si="6"/>
        <v>2762.0151515151515</v>
      </c>
      <c r="G84" s="628">
        <f t="shared" si="7"/>
        <v>2766</v>
      </c>
      <c r="H84" s="628">
        <f t="shared" si="7"/>
        <v>2766</v>
      </c>
      <c r="I84" s="628">
        <f t="shared" si="7"/>
        <v>2766</v>
      </c>
      <c r="J84" s="628">
        <f t="shared" si="7"/>
        <v>2757.4590163934427</v>
      </c>
      <c r="K84" s="628">
        <f t="shared" si="7"/>
        <v>2757.4590163934427</v>
      </c>
      <c r="L84" s="628">
        <f t="shared" si="7"/>
        <v>2790</v>
      </c>
      <c r="M84" s="628">
        <f t="shared" si="7"/>
        <v>2898</v>
      </c>
      <c r="N84" s="628">
        <f t="shared" si="7"/>
        <v>2898</v>
      </c>
      <c r="O84" s="628">
        <f t="shared" si="7"/>
        <v>2898</v>
      </c>
      <c r="P84" s="628">
        <f t="shared" si="7"/>
        <v>2898</v>
      </c>
      <c r="Q84" s="628">
        <f t="shared" si="7"/>
        <v>2898</v>
      </c>
      <c r="R84" s="628">
        <f t="shared" si="7"/>
        <v>2898</v>
      </c>
      <c r="S84" s="628">
        <f t="shared" si="7"/>
        <v>2898</v>
      </c>
      <c r="T84" s="628">
        <f t="shared" si="7"/>
        <v>2868</v>
      </c>
      <c r="U84" s="628">
        <f t="shared" si="7"/>
        <v>2868</v>
      </c>
      <c r="Y84" s="627">
        <v>2762.0151515151515</v>
      </c>
      <c r="Z84" s="628">
        <v>0</v>
      </c>
      <c r="AA84" s="628">
        <v>0</v>
      </c>
      <c r="AB84" s="628">
        <v>2766</v>
      </c>
      <c r="AC84" s="628">
        <v>0</v>
      </c>
      <c r="AD84" s="628">
        <v>2757.4590163934427</v>
      </c>
      <c r="AE84" s="628">
        <v>2790</v>
      </c>
      <c r="AF84" s="628">
        <v>0</v>
      </c>
      <c r="AG84" s="628">
        <v>0</v>
      </c>
      <c r="AH84" s="628">
        <v>0</v>
      </c>
      <c r="AI84" s="628">
        <v>0</v>
      </c>
      <c r="AJ84" s="628">
        <v>0</v>
      </c>
      <c r="AK84" s="628">
        <v>0</v>
      </c>
      <c r="AL84" s="628">
        <v>2898</v>
      </c>
      <c r="AM84" s="628">
        <v>0</v>
      </c>
      <c r="AN84" s="628">
        <v>2868</v>
      </c>
    </row>
    <row r="85" spans="1:40" x14ac:dyDescent="0.3">
      <c r="A85" s="489" t="s">
        <v>1414</v>
      </c>
      <c r="B85" s="489" t="s">
        <v>1685</v>
      </c>
      <c r="C85" s="489" t="s">
        <v>1812</v>
      </c>
      <c r="D85" s="489" t="s">
        <v>141</v>
      </c>
      <c r="E85" s="619">
        <v>64</v>
      </c>
      <c r="F85" s="627">
        <f t="shared" si="6"/>
        <v>2012.34375</v>
      </c>
      <c r="G85" s="628">
        <f t="shared" si="7"/>
        <v>2008.2</v>
      </c>
      <c r="H85" s="628">
        <f t="shared" si="7"/>
        <v>2015</v>
      </c>
      <c r="I85" s="628">
        <f t="shared" si="7"/>
        <v>0</v>
      </c>
      <c r="J85" s="628">
        <f t="shared" si="7"/>
        <v>0</v>
      </c>
      <c r="K85" s="628">
        <f t="shared" si="7"/>
        <v>0</v>
      </c>
      <c r="L85" s="628">
        <f t="shared" si="7"/>
        <v>0</v>
      </c>
      <c r="M85" s="628">
        <f t="shared" si="7"/>
        <v>0</v>
      </c>
      <c r="N85" s="628">
        <f t="shared" si="7"/>
        <v>0</v>
      </c>
      <c r="O85" s="628">
        <f t="shared" si="7"/>
        <v>0</v>
      </c>
      <c r="P85" s="628">
        <f t="shared" si="7"/>
        <v>0</v>
      </c>
      <c r="Q85" s="628">
        <f t="shared" si="7"/>
        <v>0</v>
      </c>
      <c r="R85" s="628">
        <f t="shared" si="7"/>
        <v>0</v>
      </c>
      <c r="S85" s="628">
        <f t="shared" si="7"/>
        <v>0</v>
      </c>
      <c r="T85" s="628">
        <f t="shared" si="7"/>
        <v>0</v>
      </c>
      <c r="U85" s="628">
        <f t="shared" si="7"/>
        <v>0</v>
      </c>
      <c r="Y85" s="627">
        <v>2012.34375</v>
      </c>
      <c r="Z85" s="628">
        <v>2008.2</v>
      </c>
      <c r="AA85" s="628">
        <v>2015</v>
      </c>
      <c r="AB85" s="628">
        <v>0</v>
      </c>
      <c r="AC85" s="628">
        <v>0</v>
      </c>
      <c r="AD85" s="628">
        <v>0</v>
      </c>
      <c r="AE85" s="628">
        <v>0</v>
      </c>
      <c r="AF85" s="628">
        <v>0</v>
      </c>
      <c r="AG85" s="628">
        <v>0</v>
      </c>
      <c r="AH85" s="628">
        <v>0</v>
      </c>
      <c r="AI85" s="628">
        <v>0</v>
      </c>
      <c r="AJ85" s="628">
        <v>0</v>
      </c>
      <c r="AK85" s="628">
        <v>0</v>
      </c>
      <c r="AL85" s="628">
        <v>0</v>
      </c>
      <c r="AM85" s="628">
        <v>0</v>
      </c>
      <c r="AN85" s="628">
        <v>0</v>
      </c>
    </row>
    <row r="86" spans="1:40" x14ac:dyDescent="0.3">
      <c r="A86" s="489" t="s">
        <v>1454</v>
      </c>
      <c r="B86" s="489" t="s">
        <v>1686</v>
      </c>
      <c r="C86" s="489" t="s">
        <v>1813</v>
      </c>
      <c r="D86" s="489" t="s">
        <v>46</v>
      </c>
      <c r="E86" s="619">
        <v>63</v>
      </c>
      <c r="F86" s="627">
        <f t="shared" si="6"/>
        <v>1460.5238095238096</v>
      </c>
      <c r="G86" s="628">
        <f t="shared" si="7"/>
        <v>1515</v>
      </c>
      <c r="H86" s="628">
        <f t="shared" si="7"/>
        <v>1515</v>
      </c>
      <c r="I86" s="628">
        <f t="shared" si="7"/>
        <v>1495.3333333333333</v>
      </c>
      <c r="J86" s="628">
        <f t="shared" si="7"/>
        <v>1521.1666666666667</v>
      </c>
      <c r="K86" s="628">
        <f t="shared" si="7"/>
        <v>1521.1666666666667</v>
      </c>
      <c r="L86" s="628">
        <f t="shared" si="7"/>
        <v>1521.1666666666667</v>
      </c>
      <c r="M86" s="628">
        <f t="shared" si="7"/>
        <v>1447</v>
      </c>
      <c r="N86" s="628">
        <f t="shared" si="7"/>
        <v>1450.24</v>
      </c>
      <c r="O86" s="628">
        <f t="shared" si="7"/>
        <v>1451.090909090909</v>
      </c>
      <c r="P86" s="628">
        <f t="shared" si="7"/>
        <v>0</v>
      </c>
      <c r="Q86" s="628">
        <f t="shared" si="7"/>
        <v>0</v>
      </c>
      <c r="R86" s="628">
        <f t="shared" si="7"/>
        <v>0</v>
      </c>
      <c r="S86" s="628">
        <f t="shared" si="7"/>
        <v>0</v>
      </c>
      <c r="T86" s="628">
        <f t="shared" si="7"/>
        <v>0</v>
      </c>
      <c r="U86" s="628">
        <f t="shared" si="7"/>
        <v>0</v>
      </c>
      <c r="Y86" s="627">
        <v>1460.5238095238096</v>
      </c>
      <c r="Z86" s="628">
        <v>1515</v>
      </c>
      <c r="AA86" s="628">
        <v>1515</v>
      </c>
      <c r="AB86" s="628">
        <v>1495.3333333333333</v>
      </c>
      <c r="AC86" s="628">
        <v>0</v>
      </c>
      <c r="AD86" s="628">
        <v>0</v>
      </c>
      <c r="AE86" s="628">
        <v>1521.1666666666667</v>
      </c>
      <c r="AF86" s="628">
        <v>1447</v>
      </c>
      <c r="AG86" s="628">
        <v>1450.24</v>
      </c>
      <c r="AH86" s="628">
        <v>1451.090909090909</v>
      </c>
      <c r="AI86" s="628">
        <v>0</v>
      </c>
      <c r="AJ86" s="628">
        <v>0</v>
      </c>
      <c r="AK86" s="628">
        <v>0</v>
      </c>
      <c r="AL86" s="628">
        <v>0</v>
      </c>
      <c r="AM86" s="628">
        <v>0</v>
      </c>
      <c r="AN86" s="628">
        <v>0</v>
      </c>
    </row>
    <row r="87" spans="1:40" x14ac:dyDescent="0.3">
      <c r="A87" s="489" t="s">
        <v>1432</v>
      </c>
      <c r="B87" s="489" t="s">
        <v>1687</v>
      </c>
      <c r="C87" s="489" t="s">
        <v>1814</v>
      </c>
      <c r="D87" s="489" t="s">
        <v>46</v>
      </c>
      <c r="E87" s="619">
        <v>61</v>
      </c>
      <c r="F87" s="627">
        <f t="shared" si="6"/>
        <v>1367.9180327868853</v>
      </c>
      <c r="G87" s="628">
        <f t="shared" si="7"/>
        <v>1495</v>
      </c>
      <c r="H87" s="628">
        <f t="shared" si="7"/>
        <v>1495</v>
      </c>
      <c r="I87" s="628">
        <f t="shared" si="7"/>
        <v>1495</v>
      </c>
      <c r="J87" s="628">
        <f t="shared" si="7"/>
        <v>1330.75</v>
      </c>
      <c r="K87" s="628">
        <f t="shared" si="7"/>
        <v>1330.75</v>
      </c>
      <c r="L87" s="628">
        <f t="shared" si="7"/>
        <v>1330.75</v>
      </c>
      <c r="M87" s="628">
        <f t="shared" si="7"/>
        <v>1313.5</v>
      </c>
      <c r="N87" s="628">
        <f t="shared" si="7"/>
        <v>1392.1818181818182</v>
      </c>
      <c r="O87" s="628">
        <f t="shared" si="7"/>
        <v>1389.6666666666667</v>
      </c>
      <c r="P87" s="628">
        <f t="shared" si="7"/>
        <v>1329</v>
      </c>
      <c r="Q87" s="628">
        <f t="shared" si="7"/>
        <v>1328</v>
      </c>
      <c r="R87" s="628">
        <f t="shared" si="7"/>
        <v>1353.3333333333333</v>
      </c>
      <c r="S87" s="628">
        <f t="shared" si="7"/>
        <v>1490</v>
      </c>
      <c r="T87" s="628">
        <f t="shared" si="7"/>
        <v>1514</v>
      </c>
      <c r="U87" s="628">
        <f t="shared" si="7"/>
        <v>1514</v>
      </c>
      <c r="Y87" s="627">
        <v>1367.9180327868853</v>
      </c>
      <c r="Z87" s="628">
        <v>0</v>
      </c>
      <c r="AA87" s="628">
        <v>0</v>
      </c>
      <c r="AB87" s="628">
        <v>1495</v>
      </c>
      <c r="AC87" s="628">
        <v>0</v>
      </c>
      <c r="AD87" s="628">
        <v>0</v>
      </c>
      <c r="AE87" s="628">
        <v>1330.75</v>
      </c>
      <c r="AF87" s="628">
        <v>1313.5</v>
      </c>
      <c r="AG87" s="628">
        <v>1392.1818181818182</v>
      </c>
      <c r="AH87" s="628">
        <v>1389.6666666666667</v>
      </c>
      <c r="AI87" s="628">
        <v>1329</v>
      </c>
      <c r="AJ87" s="628">
        <v>1328</v>
      </c>
      <c r="AK87" s="628">
        <v>1353.3333333333333</v>
      </c>
      <c r="AL87" s="628">
        <v>1490</v>
      </c>
      <c r="AM87" s="628">
        <v>0</v>
      </c>
      <c r="AN87" s="628">
        <v>1514</v>
      </c>
    </row>
    <row r="88" spans="1:40" x14ac:dyDescent="0.3">
      <c r="A88" s="489" t="s">
        <v>1677</v>
      </c>
      <c r="B88" s="489" t="s">
        <v>1688</v>
      </c>
      <c r="C88" s="489" t="s">
        <v>1815</v>
      </c>
      <c r="D88" s="489" t="s">
        <v>141</v>
      </c>
      <c r="E88" s="619">
        <v>59</v>
      </c>
      <c r="F88" s="627">
        <f t="shared" si="6"/>
        <v>1840</v>
      </c>
      <c r="G88" s="628">
        <f t="shared" si="7"/>
        <v>1840</v>
      </c>
      <c r="H88" s="628">
        <f t="shared" si="7"/>
        <v>0</v>
      </c>
      <c r="I88" s="628">
        <f t="shared" si="7"/>
        <v>0</v>
      </c>
      <c r="J88" s="628">
        <f t="shared" si="7"/>
        <v>0</v>
      </c>
      <c r="K88" s="628">
        <f t="shared" si="7"/>
        <v>0</v>
      </c>
      <c r="L88" s="628">
        <f t="shared" si="7"/>
        <v>0</v>
      </c>
      <c r="M88" s="628">
        <f t="shared" si="7"/>
        <v>0</v>
      </c>
      <c r="N88" s="628">
        <f t="shared" si="7"/>
        <v>0</v>
      </c>
      <c r="O88" s="628">
        <f t="shared" si="7"/>
        <v>0</v>
      </c>
      <c r="P88" s="628">
        <f t="shared" si="7"/>
        <v>0</v>
      </c>
      <c r="Q88" s="628">
        <f t="shared" si="7"/>
        <v>0</v>
      </c>
      <c r="R88" s="628">
        <f t="shared" si="7"/>
        <v>0</v>
      </c>
      <c r="S88" s="628">
        <f t="shared" si="7"/>
        <v>0</v>
      </c>
      <c r="T88" s="628">
        <f t="shared" si="7"/>
        <v>0</v>
      </c>
      <c r="U88" s="628">
        <f t="shared" si="7"/>
        <v>0</v>
      </c>
      <c r="Y88" s="627">
        <v>1840</v>
      </c>
      <c r="Z88" s="628">
        <v>1840</v>
      </c>
      <c r="AA88" s="628">
        <v>0</v>
      </c>
      <c r="AB88" s="628">
        <v>0</v>
      </c>
      <c r="AC88" s="628">
        <v>0</v>
      </c>
      <c r="AD88" s="628">
        <v>0</v>
      </c>
      <c r="AE88" s="628">
        <v>0</v>
      </c>
      <c r="AF88" s="628">
        <v>0</v>
      </c>
      <c r="AG88" s="628">
        <v>0</v>
      </c>
      <c r="AH88" s="628">
        <v>0</v>
      </c>
      <c r="AI88" s="628">
        <v>0</v>
      </c>
      <c r="AJ88" s="628">
        <v>0</v>
      </c>
      <c r="AK88" s="628">
        <v>0</v>
      </c>
      <c r="AL88" s="628">
        <v>0</v>
      </c>
      <c r="AM88" s="628">
        <v>0</v>
      </c>
      <c r="AN88" s="628">
        <v>0</v>
      </c>
    </row>
    <row r="89" spans="1:40" x14ac:dyDescent="0.3">
      <c r="A89" s="489" t="s">
        <v>1414</v>
      </c>
      <c r="B89" s="489" t="s">
        <v>1689</v>
      </c>
      <c r="C89" s="489" t="s">
        <v>1816</v>
      </c>
      <c r="D89" s="489" t="s">
        <v>1929</v>
      </c>
      <c r="E89" s="619">
        <v>58</v>
      </c>
      <c r="F89" s="627">
        <f t="shared" si="6"/>
        <v>1775.2586206896551</v>
      </c>
      <c r="G89" s="628">
        <f t="shared" si="7"/>
        <v>1745</v>
      </c>
      <c r="H89" s="628">
        <f t="shared" si="7"/>
        <v>1745</v>
      </c>
      <c r="I89" s="628">
        <f t="shared" si="7"/>
        <v>1745</v>
      </c>
      <c r="J89" s="628">
        <f t="shared" si="7"/>
        <v>1745</v>
      </c>
      <c r="K89" s="628">
        <f t="shared" si="7"/>
        <v>1745</v>
      </c>
      <c r="L89" s="628">
        <f t="shared" si="7"/>
        <v>1745</v>
      </c>
      <c r="M89" s="628">
        <f t="shared" si="7"/>
        <v>1745</v>
      </c>
      <c r="N89" s="628">
        <f t="shared" si="7"/>
        <v>1797.5</v>
      </c>
      <c r="O89" s="628">
        <f t="shared" si="7"/>
        <v>1797.5</v>
      </c>
      <c r="P89" s="628">
        <f t="shared" si="7"/>
        <v>1805</v>
      </c>
      <c r="Q89" s="628">
        <f t="shared" si="7"/>
        <v>1761.9230769230769</v>
      </c>
      <c r="R89" s="628">
        <f t="shared" si="7"/>
        <v>1750.5</v>
      </c>
      <c r="S89" s="628">
        <f t="shared" si="7"/>
        <v>0</v>
      </c>
      <c r="T89" s="628">
        <f t="shared" si="7"/>
        <v>0</v>
      </c>
      <c r="U89" s="628">
        <f t="shared" si="7"/>
        <v>0</v>
      </c>
      <c r="Y89" s="627">
        <v>1775.2586206896551</v>
      </c>
      <c r="Z89" s="628">
        <v>0</v>
      </c>
      <c r="AA89" s="628">
        <v>0</v>
      </c>
      <c r="AB89" s="628">
        <v>0</v>
      </c>
      <c r="AC89" s="628">
        <v>0</v>
      </c>
      <c r="AD89" s="628">
        <v>0</v>
      </c>
      <c r="AE89" s="628">
        <v>0</v>
      </c>
      <c r="AF89" s="628">
        <v>1745</v>
      </c>
      <c r="AG89" s="628">
        <v>0</v>
      </c>
      <c r="AH89" s="628">
        <v>1797.5</v>
      </c>
      <c r="AI89" s="628">
        <v>1805</v>
      </c>
      <c r="AJ89" s="628">
        <v>1761.9230769230769</v>
      </c>
      <c r="AK89" s="628">
        <v>1750.5</v>
      </c>
      <c r="AL89" s="628">
        <v>0</v>
      </c>
      <c r="AM89" s="628">
        <v>0</v>
      </c>
      <c r="AN89" s="628">
        <v>0</v>
      </c>
    </row>
    <row r="90" spans="1:40" x14ac:dyDescent="0.3">
      <c r="A90" s="489" t="s">
        <v>1414</v>
      </c>
      <c r="B90" s="489" t="s">
        <v>1690</v>
      </c>
      <c r="C90" s="489" t="s">
        <v>1817</v>
      </c>
      <c r="D90" s="489" t="s">
        <v>46</v>
      </c>
      <c r="E90" s="619">
        <v>58</v>
      </c>
      <c r="F90" s="627">
        <f t="shared" si="6"/>
        <v>1531.8965517241379</v>
      </c>
      <c r="G90" s="628">
        <f t="shared" si="7"/>
        <v>1545</v>
      </c>
      <c r="H90" s="628">
        <f t="shared" si="7"/>
        <v>1545</v>
      </c>
      <c r="I90" s="628">
        <f t="shared" si="7"/>
        <v>1550</v>
      </c>
      <c r="J90" s="628">
        <f t="shared" si="7"/>
        <v>1545</v>
      </c>
      <c r="K90" s="628">
        <f t="shared" si="7"/>
        <v>1542.5</v>
      </c>
      <c r="L90" s="628">
        <f t="shared" si="7"/>
        <v>1542.5</v>
      </c>
      <c r="M90" s="628">
        <f t="shared" si="7"/>
        <v>1540</v>
      </c>
      <c r="N90" s="628">
        <f t="shared" si="7"/>
        <v>1542.5</v>
      </c>
      <c r="O90" s="628">
        <f t="shared" si="7"/>
        <v>1533.5714285714287</v>
      </c>
      <c r="P90" s="628">
        <f t="shared" si="7"/>
        <v>1536.4285714285713</v>
      </c>
      <c r="Q90" s="628">
        <f t="shared" si="7"/>
        <v>1546.6666666666667</v>
      </c>
      <c r="R90" s="628">
        <f t="shared" si="7"/>
        <v>1546.25</v>
      </c>
      <c r="S90" s="628">
        <f t="shared" si="7"/>
        <v>1534</v>
      </c>
      <c r="T90" s="628">
        <f t="shared" si="7"/>
        <v>1490</v>
      </c>
      <c r="U90" s="628">
        <f t="shared" si="7"/>
        <v>1545</v>
      </c>
      <c r="Y90" s="627">
        <v>1531.8965517241379</v>
      </c>
      <c r="Z90" s="628">
        <v>1545</v>
      </c>
      <c r="AA90" s="628">
        <v>1545</v>
      </c>
      <c r="AB90" s="628">
        <v>1550</v>
      </c>
      <c r="AC90" s="628">
        <v>1545</v>
      </c>
      <c r="AD90" s="628">
        <v>0</v>
      </c>
      <c r="AE90" s="628">
        <v>1542.5</v>
      </c>
      <c r="AF90" s="628">
        <v>1540</v>
      </c>
      <c r="AG90" s="628">
        <v>1542.5</v>
      </c>
      <c r="AH90" s="628">
        <v>1533.5714285714287</v>
      </c>
      <c r="AI90" s="628">
        <v>1536.4285714285713</v>
      </c>
      <c r="AJ90" s="628">
        <v>1546.6666666666667</v>
      </c>
      <c r="AK90" s="628">
        <v>1546.25</v>
      </c>
      <c r="AL90" s="628">
        <v>1534</v>
      </c>
      <c r="AM90" s="628">
        <v>1490</v>
      </c>
      <c r="AN90" s="628">
        <v>1545</v>
      </c>
    </row>
    <row r="91" spans="1:40" x14ac:dyDescent="0.3">
      <c r="A91" s="489" t="s">
        <v>1414</v>
      </c>
      <c r="B91" s="489" t="s">
        <v>1691</v>
      </c>
      <c r="C91" s="489" t="s">
        <v>1818</v>
      </c>
      <c r="D91" s="489" t="s">
        <v>46</v>
      </c>
      <c r="E91" s="619">
        <v>57</v>
      </c>
      <c r="F91" s="627">
        <f t="shared" si="6"/>
        <v>1550</v>
      </c>
      <c r="G91" s="628">
        <f t="shared" si="7"/>
        <v>1565</v>
      </c>
      <c r="H91" s="628">
        <f t="shared" si="7"/>
        <v>1565</v>
      </c>
      <c r="I91" s="628">
        <f t="shared" si="7"/>
        <v>1557.5</v>
      </c>
      <c r="J91" s="628">
        <f t="shared" si="7"/>
        <v>1562.8571428571429</v>
      </c>
      <c r="K91" s="628">
        <f t="shared" si="7"/>
        <v>1562.8571428571429</v>
      </c>
      <c r="L91" s="628">
        <f t="shared" si="7"/>
        <v>1562.8571428571429</v>
      </c>
      <c r="M91" s="628">
        <f t="shared" si="7"/>
        <v>1551.25</v>
      </c>
      <c r="N91" s="628">
        <f t="shared" si="7"/>
        <v>1555</v>
      </c>
      <c r="O91" s="628">
        <f t="shared" si="7"/>
        <v>1565</v>
      </c>
      <c r="P91" s="628">
        <f t="shared" si="7"/>
        <v>1551.25</v>
      </c>
      <c r="Q91" s="628">
        <f t="shared" si="7"/>
        <v>1565</v>
      </c>
      <c r="R91" s="628">
        <f t="shared" si="7"/>
        <v>1535.7142857142858</v>
      </c>
      <c r="S91" s="628">
        <f t="shared" si="7"/>
        <v>1529</v>
      </c>
      <c r="T91" s="628">
        <f t="shared" si="7"/>
        <v>1528.3333333333333</v>
      </c>
      <c r="U91" s="628">
        <f t="shared" si="7"/>
        <v>1565</v>
      </c>
      <c r="Y91" s="627">
        <v>1550</v>
      </c>
      <c r="Z91" s="628">
        <v>1565</v>
      </c>
      <c r="AA91" s="628">
        <v>1565</v>
      </c>
      <c r="AB91" s="628">
        <v>1557.5</v>
      </c>
      <c r="AC91" s="628">
        <v>0</v>
      </c>
      <c r="AD91" s="628">
        <v>0</v>
      </c>
      <c r="AE91" s="628">
        <v>1562.8571428571429</v>
      </c>
      <c r="AF91" s="628">
        <v>1551.25</v>
      </c>
      <c r="AG91" s="628">
        <v>1555</v>
      </c>
      <c r="AH91" s="628">
        <v>1565</v>
      </c>
      <c r="AI91" s="628">
        <v>1551.25</v>
      </c>
      <c r="AJ91" s="628">
        <v>1565</v>
      </c>
      <c r="AK91" s="628">
        <v>1535.7142857142858</v>
      </c>
      <c r="AL91" s="628">
        <v>1529</v>
      </c>
      <c r="AM91" s="628">
        <v>1528.3333333333333</v>
      </c>
      <c r="AN91" s="628">
        <v>1565</v>
      </c>
    </row>
    <row r="92" spans="1:40" x14ac:dyDescent="0.3">
      <c r="A92" s="489" t="s">
        <v>1605</v>
      </c>
      <c r="B92" s="489" t="s">
        <v>1659</v>
      </c>
      <c r="C92" s="489" t="s">
        <v>1819</v>
      </c>
      <c r="D92" s="489" t="s">
        <v>46</v>
      </c>
      <c r="E92" s="619">
        <v>56</v>
      </c>
      <c r="F92" s="627">
        <f t="shared" si="6"/>
        <v>1628.0892857142858</v>
      </c>
      <c r="G92" s="628">
        <f t="shared" si="7"/>
        <v>1659</v>
      </c>
      <c r="H92" s="628">
        <f t="shared" si="7"/>
        <v>1621.5714285714287</v>
      </c>
      <c r="I92" s="628">
        <f t="shared" si="7"/>
        <v>1653</v>
      </c>
      <c r="J92" s="628">
        <f t="shared" si="7"/>
        <v>1652.5</v>
      </c>
      <c r="K92" s="628">
        <f t="shared" si="7"/>
        <v>1629</v>
      </c>
      <c r="L92" s="628">
        <f t="shared" si="7"/>
        <v>1640.4615384615386</v>
      </c>
      <c r="M92" s="628">
        <f t="shared" si="7"/>
        <v>1627.3</v>
      </c>
      <c r="N92" s="628">
        <f t="shared" si="7"/>
        <v>1614.2631578947369</v>
      </c>
      <c r="O92" s="628">
        <f t="shared" si="7"/>
        <v>0</v>
      </c>
      <c r="P92" s="628">
        <f t="shared" si="7"/>
        <v>0</v>
      </c>
      <c r="Q92" s="628">
        <f t="shared" si="7"/>
        <v>0</v>
      </c>
      <c r="R92" s="628">
        <f t="shared" si="7"/>
        <v>0</v>
      </c>
      <c r="S92" s="628">
        <f t="shared" si="7"/>
        <v>0</v>
      </c>
      <c r="T92" s="628">
        <f t="shared" si="7"/>
        <v>0</v>
      </c>
      <c r="U92" s="628">
        <f t="shared" si="7"/>
        <v>0</v>
      </c>
      <c r="Y92" s="627">
        <v>1628.0892857142858</v>
      </c>
      <c r="Z92" s="628">
        <v>1659</v>
      </c>
      <c r="AA92" s="628">
        <v>1621.5714285714287</v>
      </c>
      <c r="AB92" s="628">
        <v>1653</v>
      </c>
      <c r="AC92" s="628">
        <v>1652.5</v>
      </c>
      <c r="AD92" s="628">
        <v>1629</v>
      </c>
      <c r="AE92" s="628">
        <v>1640.4615384615386</v>
      </c>
      <c r="AF92" s="628">
        <v>1627.3</v>
      </c>
      <c r="AG92" s="628">
        <v>1614.2631578947369</v>
      </c>
      <c r="AH92" s="628">
        <v>0</v>
      </c>
      <c r="AI92" s="628">
        <v>0</v>
      </c>
      <c r="AJ92" s="628">
        <v>0</v>
      </c>
      <c r="AK92" s="628">
        <v>0</v>
      </c>
      <c r="AL92" s="628">
        <v>0</v>
      </c>
      <c r="AM92" s="628">
        <v>0</v>
      </c>
      <c r="AN92" s="628">
        <v>0</v>
      </c>
    </row>
    <row r="93" spans="1:40" x14ac:dyDescent="0.3">
      <c r="A93" s="489" t="s">
        <v>1422</v>
      </c>
      <c r="B93" s="489" t="s">
        <v>1692</v>
      </c>
      <c r="C93" s="489" t="s">
        <v>1820</v>
      </c>
      <c r="D93" s="489" t="s">
        <v>46</v>
      </c>
      <c r="E93" s="619">
        <v>55</v>
      </c>
      <c r="F93" s="627">
        <f t="shared" si="6"/>
        <v>1110.1818181818182</v>
      </c>
      <c r="G93" s="628">
        <f t="shared" si="7"/>
        <v>1110</v>
      </c>
      <c r="H93" s="628">
        <f t="shared" si="7"/>
        <v>1110</v>
      </c>
      <c r="I93" s="628">
        <f t="shared" si="7"/>
        <v>1110</v>
      </c>
      <c r="J93" s="628">
        <f t="shared" si="7"/>
        <v>1110</v>
      </c>
      <c r="K93" s="628">
        <f t="shared" si="7"/>
        <v>1110</v>
      </c>
      <c r="L93" s="628">
        <f t="shared" si="7"/>
        <v>1099</v>
      </c>
      <c r="M93" s="628">
        <f t="shared" si="7"/>
        <v>1115</v>
      </c>
      <c r="N93" s="628">
        <f t="shared" si="7"/>
        <v>1089.625</v>
      </c>
      <c r="O93" s="628">
        <f t="shared" si="7"/>
        <v>1105</v>
      </c>
      <c r="P93" s="628">
        <f t="shared" si="7"/>
        <v>1099</v>
      </c>
      <c r="Q93" s="628">
        <f t="shared" si="7"/>
        <v>1119</v>
      </c>
      <c r="R93" s="628">
        <f t="shared" si="7"/>
        <v>1119</v>
      </c>
      <c r="S93" s="628">
        <f t="shared" si="7"/>
        <v>1119</v>
      </c>
      <c r="T93" s="628">
        <f t="shared" si="7"/>
        <v>1119</v>
      </c>
      <c r="U93" s="628">
        <f t="shared" si="7"/>
        <v>1119</v>
      </c>
      <c r="Y93" s="627">
        <v>1110.1818181818182</v>
      </c>
      <c r="Z93" s="628">
        <v>0</v>
      </c>
      <c r="AA93" s="628">
        <v>0</v>
      </c>
      <c r="AB93" s="628">
        <v>0</v>
      </c>
      <c r="AC93" s="628">
        <v>0</v>
      </c>
      <c r="AD93" s="628">
        <v>1110</v>
      </c>
      <c r="AE93" s="628">
        <v>1099</v>
      </c>
      <c r="AF93" s="628">
        <v>1115</v>
      </c>
      <c r="AG93" s="628">
        <v>1089.625</v>
      </c>
      <c r="AH93" s="628">
        <v>1105</v>
      </c>
      <c r="AI93" s="628">
        <v>1099</v>
      </c>
      <c r="AJ93" s="628">
        <v>1119</v>
      </c>
      <c r="AK93" s="628">
        <v>1119</v>
      </c>
      <c r="AL93" s="628">
        <v>1119</v>
      </c>
      <c r="AM93" s="628">
        <v>1119</v>
      </c>
      <c r="AN93" s="628">
        <v>1119</v>
      </c>
    </row>
    <row r="94" spans="1:40" x14ac:dyDescent="0.3">
      <c r="A94" s="489" t="s">
        <v>1451</v>
      </c>
      <c r="B94" s="489" t="s">
        <v>1693</v>
      </c>
      <c r="C94" s="489" t="s">
        <v>1821</v>
      </c>
      <c r="D94" s="489" t="s">
        <v>141</v>
      </c>
      <c r="E94" s="619">
        <v>54</v>
      </c>
      <c r="F94" s="627">
        <f t="shared" si="6"/>
        <v>1591.3703703703704</v>
      </c>
      <c r="G94" s="628">
        <f t="shared" si="7"/>
        <v>1591</v>
      </c>
      <c r="H94" s="628">
        <f t="shared" si="7"/>
        <v>1591</v>
      </c>
      <c r="I94" s="628">
        <f t="shared" si="7"/>
        <v>1591</v>
      </c>
      <c r="J94" s="628">
        <f t="shared" si="7"/>
        <v>1591</v>
      </c>
      <c r="K94" s="628">
        <f t="shared" si="7"/>
        <v>1591</v>
      </c>
      <c r="L94" s="628">
        <f t="shared" si="7"/>
        <v>1591</v>
      </c>
      <c r="M94" s="628">
        <f t="shared" si="7"/>
        <v>1591.625</v>
      </c>
      <c r="N94" s="628">
        <f t="shared" si="7"/>
        <v>1591</v>
      </c>
      <c r="O94" s="628">
        <f t="shared" si="7"/>
        <v>0</v>
      </c>
      <c r="P94" s="628">
        <f t="shared" si="7"/>
        <v>0</v>
      </c>
      <c r="Q94" s="628">
        <f t="shared" si="7"/>
        <v>0</v>
      </c>
      <c r="R94" s="628">
        <f t="shared" si="7"/>
        <v>0</v>
      </c>
      <c r="S94" s="628">
        <f t="shared" si="7"/>
        <v>0</v>
      </c>
      <c r="T94" s="628">
        <f t="shared" si="7"/>
        <v>0</v>
      </c>
      <c r="U94" s="628">
        <f t="shared" si="7"/>
        <v>0</v>
      </c>
      <c r="Y94" s="627">
        <v>1591.3703703703704</v>
      </c>
      <c r="Z94" s="628">
        <v>0</v>
      </c>
      <c r="AA94" s="628">
        <v>0</v>
      </c>
      <c r="AB94" s="628">
        <v>0</v>
      </c>
      <c r="AC94" s="628">
        <v>0</v>
      </c>
      <c r="AD94" s="628">
        <v>1591</v>
      </c>
      <c r="AE94" s="628">
        <v>1591</v>
      </c>
      <c r="AF94" s="628">
        <v>1591.625</v>
      </c>
      <c r="AG94" s="628">
        <v>1591</v>
      </c>
      <c r="AH94" s="628">
        <v>0</v>
      </c>
      <c r="AI94" s="628">
        <v>0</v>
      </c>
      <c r="AJ94" s="628">
        <v>0</v>
      </c>
      <c r="AK94" s="628">
        <v>0</v>
      </c>
      <c r="AL94" s="628">
        <v>0</v>
      </c>
      <c r="AM94" s="628">
        <v>0</v>
      </c>
      <c r="AN94" s="628">
        <v>0</v>
      </c>
    </row>
    <row r="95" spans="1:40" x14ac:dyDescent="0.3">
      <c r="A95" s="489" t="s">
        <v>1694</v>
      </c>
      <c r="B95" s="489" t="s">
        <v>1695</v>
      </c>
      <c r="C95" s="489" t="s">
        <v>1822</v>
      </c>
      <c r="D95" s="489" t="s">
        <v>46</v>
      </c>
      <c r="E95" s="619">
        <v>51</v>
      </c>
      <c r="F95" s="627">
        <f t="shared" si="6"/>
        <v>1531.1764705882354</v>
      </c>
      <c r="G95" s="628">
        <f t="shared" si="7"/>
        <v>1517.8571428571429</v>
      </c>
      <c r="H95" s="628">
        <f t="shared" si="7"/>
        <v>1526.25</v>
      </c>
      <c r="I95" s="628">
        <f t="shared" si="7"/>
        <v>1520</v>
      </c>
      <c r="J95" s="628">
        <f t="shared" si="7"/>
        <v>1502.5</v>
      </c>
      <c r="K95" s="628">
        <f t="shared" si="7"/>
        <v>1557</v>
      </c>
      <c r="L95" s="628">
        <f t="shared" si="7"/>
        <v>1557</v>
      </c>
      <c r="M95" s="628">
        <f t="shared" si="7"/>
        <v>1528</v>
      </c>
      <c r="N95" s="628">
        <f t="shared" si="7"/>
        <v>1546.25</v>
      </c>
      <c r="O95" s="628">
        <f t="shared" si="7"/>
        <v>1549</v>
      </c>
      <c r="P95" s="628">
        <f t="shared" si="7"/>
        <v>1550</v>
      </c>
      <c r="Q95" s="628">
        <f t="shared" si="7"/>
        <v>0</v>
      </c>
      <c r="R95" s="628">
        <f t="shared" si="7"/>
        <v>0</v>
      </c>
      <c r="S95" s="628">
        <f t="shared" si="7"/>
        <v>0</v>
      </c>
      <c r="T95" s="628">
        <f t="shared" si="7"/>
        <v>0</v>
      </c>
      <c r="U95" s="628">
        <f t="shared" si="7"/>
        <v>0</v>
      </c>
      <c r="Y95" s="627">
        <v>1531.1764705882354</v>
      </c>
      <c r="Z95" s="628">
        <v>1517.8571428571429</v>
      </c>
      <c r="AA95" s="628">
        <v>1526.25</v>
      </c>
      <c r="AB95" s="628">
        <v>1520</v>
      </c>
      <c r="AC95" s="628">
        <v>1502.5</v>
      </c>
      <c r="AD95" s="628">
        <v>0</v>
      </c>
      <c r="AE95" s="628">
        <v>1557</v>
      </c>
      <c r="AF95" s="628">
        <v>1528</v>
      </c>
      <c r="AG95" s="628">
        <v>1546.25</v>
      </c>
      <c r="AH95" s="628">
        <v>1549</v>
      </c>
      <c r="AI95" s="628">
        <v>1550</v>
      </c>
      <c r="AJ95" s="628">
        <v>0</v>
      </c>
      <c r="AK95" s="628">
        <v>0</v>
      </c>
      <c r="AL95" s="628">
        <v>0</v>
      </c>
      <c r="AM95" s="628">
        <v>0</v>
      </c>
      <c r="AN95" s="628">
        <v>0</v>
      </c>
    </row>
    <row r="96" spans="1:40" x14ac:dyDescent="0.3">
      <c r="A96" s="489" t="s">
        <v>1544</v>
      </c>
      <c r="B96" s="489" t="s">
        <v>1696</v>
      </c>
      <c r="C96" s="489" t="s">
        <v>1823</v>
      </c>
      <c r="D96" s="489" t="s">
        <v>46</v>
      </c>
      <c r="E96" s="619">
        <v>50</v>
      </c>
      <c r="F96" s="627">
        <f t="shared" si="6"/>
        <v>1990.2</v>
      </c>
      <c r="G96" s="628">
        <f t="shared" si="7"/>
        <v>1943</v>
      </c>
      <c r="H96" s="628">
        <f t="shared" si="7"/>
        <v>1943</v>
      </c>
      <c r="I96" s="628">
        <f t="shared" si="7"/>
        <v>1943</v>
      </c>
      <c r="J96" s="628">
        <f t="shared" si="7"/>
        <v>1943</v>
      </c>
      <c r="K96" s="628">
        <f t="shared" si="7"/>
        <v>1943</v>
      </c>
      <c r="L96" s="628">
        <f t="shared" si="7"/>
        <v>1943</v>
      </c>
      <c r="M96" s="628">
        <f t="shared" si="7"/>
        <v>1692</v>
      </c>
      <c r="N96" s="628">
        <f t="shared" si="7"/>
        <v>1692</v>
      </c>
      <c r="O96" s="628">
        <f t="shared" si="7"/>
        <v>1692</v>
      </c>
      <c r="P96" s="628">
        <f t="shared" si="7"/>
        <v>1692</v>
      </c>
      <c r="Q96" s="628">
        <f t="shared" si="7"/>
        <v>2152</v>
      </c>
      <c r="R96" s="628">
        <f t="shared" si="7"/>
        <v>2152</v>
      </c>
      <c r="S96" s="628">
        <f t="shared" si="7"/>
        <v>2152</v>
      </c>
      <c r="T96" s="628">
        <f t="shared" si="7"/>
        <v>2200.4666666666667</v>
      </c>
      <c r="U96" s="628">
        <f t="shared" si="7"/>
        <v>1834.4615384615386</v>
      </c>
      <c r="Y96" s="627">
        <v>1990.2</v>
      </c>
      <c r="Z96" s="628">
        <v>0</v>
      </c>
      <c r="AA96" s="628">
        <v>0</v>
      </c>
      <c r="AB96" s="628">
        <v>0</v>
      </c>
      <c r="AC96" s="628">
        <v>0</v>
      </c>
      <c r="AD96" s="628">
        <v>0</v>
      </c>
      <c r="AE96" s="628">
        <v>1943</v>
      </c>
      <c r="AF96" s="628">
        <v>0</v>
      </c>
      <c r="AG96" s="628">
        <v>0</v>
      </c>
      <c r="AH96" s="628">
        <v>0</v>
      </c>
      <c r="AI96" s="628">
        <v>1692</v>
      </c>
      <c r="AJ96" s="628">
        <v>0</v>
      </c>
      <c r="AK96" s="628">
        <v>0</v>
      </c>
      <c r="AL96" s="628">
        <v>2152</v>
      </c>
      <c r="AM96" s="628">
        <v>2200.4666666666667</v>
      </c>
      <c r="AN96" s="628">
        <v>1834.4615384615386</v>
      </c>
    </row>
    <row r="97" spans="1:40" x14ac:dyDescent="0.3">
      <c r="A97" s="489" t="s">
        <v>1544</v>
      </c>
      <c r="B97" s="489" t="s">
        <v>1697</v>
      </c>
      <c r="C97" s="489" t="s">
        <v>1824</v>
      </c>
      <c r="D97" s="489" t="s">
        <v>46</v>
      </c>
      <c r="E97" s="619">
        <v>50</v>
      </c>
      <c r="F97" s="627">
        <f t="shared" si="6"/>
        <v>2140.6999999999998</v>
      </c>
      <c r="G97" s="628">
        <f t="shared" si="7"/>
        <v>2278</v>
      </c>
      <c r="H97" s="628">
        <f t="shared" si="7"/>
        <v>2278</v>
      </c>
      <c r="I97" s="628">
        <f t="shared" si="7"/>
        <v>2230</v>
      </c>
      <c r="J97" s="628">
        <f t="shared" si="7"/>
        <v>2113.5</v>
      </c>
      <c r="K97" s="628">
        <f t="shared" si="7"/>
        <v>2113.5</v>
      </c>
      <c r="L97" s="628">
        <f t="shared" si="7"/>
        <v>2224.1538461538462</v>
      </c>
      <c r="M97" s="628">
        <f t="shared" si="7"/>
        <v>2213.6666666666665</v>
      </c>
      <c r="N97" s="628">
        <f t="shared" si="7"/>
        <v>2068</v>
      </c>
      <c r="O97" s="628">
        <f t="shared" si="7"/>
        <v>1965.7</v>
      </c>
      <c r="P97" s="628">
        <f t="shared" si="7"/>
        <v>1965.7</v>
      </c>
      <c r="Q97" s="628">
        <f t="shared" si="7"/>
        <v>2045</v>
      </c>
      <c r="R97" s="628">
        <f t="shared" si="7"/>
        <v>1898</v>
      </c>
      <c r="S97" s="628">
        <f t="shared" si="7"/>
        <v>0</v>
      </c>
      <c r="T97" s="628">
        <f t="shared" si="7"/>
        <v>0</v>
      </c>
      <c r="U97" s="628">
        <f t="shared" si="7"/>
        <v>0</v>
      </c>
      <c r="Y97" s="627">
        <v>2140.6999999999998</v>
      </c>
      <c r="Z97" s="628">
        <v>0</v>
      </c>
      <c r="AA97" s="628">
        <v>2278</v>
      </c>
      <c r="AB97" s="628">
        <v>2230</v>
      </c>
      <c r="AC97" s="628">
        <v>0</v>
      </c>
      <c r="AD97" s="628">
        <v>2113.5</v>
      </c>
      <c r="AE97" s="628">
        <v>2224.1538461538462</v>
      </c>
      <c r="AF97" s="628">
        <v>2213.6666666666665</v>
      </c>
      <c r="AG97" s="628">
        <v>2068</v>
      </c>
      <c r="AH97" s="628">
        <v>0</v>
      </c>
      <c r="AI97" s="628">
        <v>1965.7</v>
      </c>
      <c r="AJ97" s="628">
        <v>2045</v>
      </c>
      <c r="AK97" s="628">
        <v>1898</v>
      </c>
      <c r="AL97" s="628">
        <v>0</v>
      </c>
      <c r="AM97" s="628">
        <v>0</v>
      </c>
      <c r="AN97" s="628">
        <v>0</v>
      </c>
    </row>
    <row r="98" spans="1:40" x14ac:dyDescent="0.3">
      <c r="A98" s="489" t="s">
        <v>1417</v>
      </c>
      <c r="B98" s="489" t="s">
        <v>1698</v>
      </c>
      <c r="C98" s="489" t="s">
        <v>1825</v>
      </c>
      <c r="D98" s="489" t="s">
        <v>46</v>
      </c>
      <c r="E98" s="619">
        <v>49</v>
      </c>
      <c r="F98" s="627">
        <f t="shared" si="6"/>
        <v>1520.7551020408164</v>
      </c>
      <c r="G98" s="628">
        <f t="shared" ref="G98:U113" si="8">IF(Z98&gt;0,Z98,IF(H98&gt;0,H98,0))</f>
        <v>1530</v>
      </c>
      <c r="H98" s="628">
        <f t="shared" si="8"/>
        <v>1530</v>
      </c>
      <c r="I98" s="628">
        <f t="shared" si="8"/>
        <v>1530</v>
      </c>
      <c r="J98" s="628">
        <f t="shared" si="8"/>
        <v>1530</v>
      </c>
      <c r="K98" s="628">
        <f t="shared" si="8"/>
        <v>1530</v>
      </c>
      <c r="L98" s="628">
        <f t="shared" si="8"/>
        <v>1530</v>
      </c>
      <c r="M98" s="628">
        <f t="shared" si="8"/>
        <v>1529.375</v>
      </c>
      <c r="N98" s="628">
        <f t="shared" si="8"/>
        <v>1529.6428571428571</v>
      </c>
      <c r="O98" s="628">
        <f t="shared" si="8"/>
        <v>1502</v>
      </c>
      <c r="P98" s="628">
        <f t="shared" si="8"/>
        <v>1497</v>
      </c>
      <c r="Q98" s="628">
        <f t="shared" si="8"/>
        <v>1488</v>
      </c>
      <c r="R98" s="628">
        <f t="shared" si="8"/>
        <v>1488</v>
      </c>
      <c r="S98" s="628">
        <f t="shared" si="8"/>
        <v>1481</v>
      </c>
      <c r="T98" s="628">
        <f t="shared" si="8"/>
        <v>0</v>
      </c>
      <c r="U98" s="628">
        <f t="shared" si="8"/>
        <v>0</v>
      </c>
      <c r="Y98" s="627">
        <v>1520.7551020408164</v>
      </c>
      <c r="Z98" s="628">
        <v>0</v>
      </c>
      <c r="AA98" s="628">
        <v>0</v>
      </c>
      <c r="AB98" s="628">
        <v>0</v>
      </c>
      <c r="AC98" s="628">
        <v>0</v>
      </c>
      <c r="AD98" s="628">
        <v>0</v>
      </c>
      <c r="AE98" s="628">
        <v>1530</v>
      </c>
      <c r="AF98" s="628">
        <v>1529.375</v>
      </c>
      <c r="AG98" s="628">
        <v>1529.6428571428571</v>
      </c>
      <c r="AH98" s="628">
        <v>1502</v>
      </c>
      <c r="AI98" s="628">
        <v>1497</v>
      </c>
      <c r="AJ98" s="628">
        <v>0</v>
      </c>
      <c r="AK98" s="628">
        <v>1488</v>
      </c>
      <c r="AL98" s="628">
        <v>1481</v>
      </c>
      <c r="AM98" s="628">
        <v>0</v>
      </c>
      <c r="AN98" s="628">
        <v>0</v>
      </c>
    </row>
    <row r="99" spans="1:40" x14ac:dyDescent="0.3">
      <c r="A99" s="489" t="s">
        <v>1544</v>
      </c>
      <c r="B99" s="489" t="s">
        <v>1699</v>
      </c>
      <c r="C99" s="489" t="s">
        <v>1826</v>
      </c>
      <c r="D99" s="489" t="s">
        <v>46</v>
      </c>
      <c r="E99" s="619">
        <v>48</v>
      </c>
      <c r="F99" s="627">
        <f t="shared" si="6"/>
        <v>2060.2916666666665</v>
      </c>
      <c r="G99" s="628">
        <f t="shared" si="8"/>
        <v>2348.3333333333335</v>
      </c>
      <c r="H99" s="628">
        <f t="shared" si="8"/>
        <v>2348.3333333333335</v>
      </c>
      <c r="I99" s="628">
        <f t="shared" si="8"/>
        <v>2348.3333333333335</v>
      </c>
      <c r="J99" s="628">
        <f t="shared" si="8"/>
        <v>2348.3333333333335</v>
      </c>
      <c r="K99" s="628">
        <f t="shared" si="8"/>
        <v>2348.3333333333335</v>
      </c>
      <c r="L99" s="628">
        <f t="shared" si="8"/>
        <v>2348.3333333333335</v>
      </c>
      <c r="M99" s="628">
        <f t="shared" si="8"/>
        <v>2348.3333333333335</v>
      </c>
      <c r="N99" s="628">
        <f t="shared" si="8"/>
        <v>2348.3333333333335</v>
      </c>
      <c r="O99" s="628">
        <f t="shared" si="8"/>
        <v>2348.3333333333335</v>
      </c>
      <c r="P99" s="628">
        <f t="shared" si="8"/>
        <v>2348.3333333333335</v>
      </c>
      <c r="Q99" s="628">
        <f t="shared" si="8"/>
        <v>2348.3333333333335</v>
      </c>
      <c r="R99" s="628">
        <f t="shared" si="8"/>
        <v>1997.0555555555557</v>
      </c>
      <c r="S99" s="628">
        <f t="shared" si="8"/>
        <v>2083.375</v>
      </c>
      <c r="T99" s="628">
        <f t="shared" si="8"/>
        <v>1967</v>
      </c>
      <c r="U99" s="628">
        <f t="shared" si="8"/>
        <v>0</v>
      </c>
      <c r="Y99" s="627">
        <v>2060.2916666666665</v>
      </c>
      <c r="Z99" s="628">
        <v>0</v>
      </c>
      <c r="AA99" s="628">
        <v>0</v>
      </c>
      <c r="AB99" s="628">
        <v>0</v>
      </c>
      <c r="AC99" s="628">
        <v>0</v>
      </c>
      <c r="AD99" s="628">
        <v>0</v>
      </c>
      <c r="AE99" s="628">
        <v>0</v>
      </c>
      <c r="AF99" s="628">
        <v>0</v>
      </c>
      <c r="AG99" s="628">
        <v>0</v>
      </c>
      <c r="AH99" s="628">
        <v>0</v>
      </c>
      <c r="AI99" s="628">
        <v>0</v>
      </c>
      <c r="AJ99" s="628">
        <v>2348.3333333333335</v>
      </c>
      <c r="AK99" s="628">
        <v>1997.0555555555557</v>
      </c>
      <c r="AL99" s="628">
        <v>2083.375</v>
      </c>
      <c r="AM99" s="628">
        <v>1967</v>
      </c>
      <c r="AN99" s="628">
        <v>0</v>
      </c>
    </row>
    <row r="100" spans="1:40" x14ac:dyDescent="0.3">
      <c r="A100" s="489" t="s">
        <v>1451</v>
      </c>
      <c r="B100" s="489" t="s">
        <v>1452</v>
      </c>
      <c r="C100" s="489" t="s">
        <v>1453</v>
      </c>
      <c r="D100" s="489" t="s">
        <v>46</v>
      </c>
      <c r="E100" s="619">
        <v>48</v>
      </c>
      <c r="F100" s="627">
        <f t="shared" si="6"/>
        <v>1811.9791666666667</v>
      </c>
      <c r="G100" s="628">
        <f t="shared" si="8"/>
        <v>1667</v>
      </c>
      <c r="H100" s="628">
        <f t="shared" si="8"/>
        <v>1660</v>
      </c>
      <c r="I100" s="628">
        <f t="shared" si="8"/>
        <v>1660</v>
      </c>
      <c r="J100" s="628">
        <f t="shared" si="8"/>
        <v>1917</v>
      </c>
      <c r="K100" s="628">
        <f t="shared" si="8"/>
        <v>1917</v>
      </c>
      <c r="L100" s="628">
        <f t="shared" si="8"/>
        <v>1917</v>
      </c>
      <c r="M100" s="628">
        <f t="shared" si="8"/>
        <v>1917</v>
      </c>
      <c r="N100" s="628">
        <f t="shared" si="8"/>
        <v>1917</v>
      </c>
      <c r="O100" s="628">
        <f t="shared" si="8"/>
        <v>1885</v>
      </c>
      <c r="P100" s="628">
        <f t="shared" si="8"/>
        <v>1885</v>
      </c>
      <c r="Q100" s="628">
        <f t="shared" si="8"/>
        <v>1885</v>
      </c>
      <c r="R100" s="628">
        <f t="shared" si="8"/>
        <v>1943</v>
      </c>
      <c r="S100" s="628">
        <f t="shared" si="8"/>
        <v>1889</v>
      </c>
      <c r="T100" s="628">
        <f t="shared" si="8"/>
        <v>1881.5</v>
      </c>
      <c r="U100" s="628">
        <f t="shared" si="8"/>
        <v>1872</v>
      </c>
      <c r="Y100" s="627">
        <v>1811.9791666666667</v>
      </c>
      <c r="Z100" s="628">
        <v>1667</v>
      </c>
      <c r="AA100" s="628">
        <v>0</v>
      </c>
      <c r="AB100" s="628">
        <v>1660</v>
      </c>
      <c r="AC100" s="628">
        <v>0</v>
      </c>
      <c r="AD100" s="628">
        <v>0</v>
      </c>
      <c r="AE100" s="628">
        <v>0</v>
      </c>
      <c r="AF100" s="628">
        <v>0</v>
      </c>
      <c r="AG100" s="628">
        <v>1917</v>
      </c>
      <c r="AH100" s="628">
        <v>0</v>
      </c>
      <c r="AI100" s="628">
        <v>0</v>
      </c>
      <c r="AJ100" s="628">
        <v>1885</v>
      </c>
      <c r="AK100" s="628">
        <v>1943</v>
      </c>
      <c r="AL100" s="628">
        <v>1889</v>
      </c>
      <c r="AM100" s="628">
        <v>1881.5</v>
      </c>
      <c r="AN100" s="628">
        <v>1872</v>
      </c>
    </row>
    <row r="101" spans="1:40" x14ac:dyDescent="0.3">
      <c r="A101" s="489" t="s">
        <v>1605</v>
      </c>
      <c r="B101" s="489" t="s">
        <v>1660</v>
      </c>
      <c r="C101" s="489" t="s">
        <v>435</v>
      </c>
      <c r="D101" s="489" t="s">
        <v>46</v>
      </c>
      <c r="E101" s="619">
        <v>47</v>
      </c>
      <c r="F101" s="627">
        <f t="shared" si="6"/>
        <v>1524.0425531914893</v>
      </c>
      <c r="G101" s="628">
        <f t="shared" si="8"/>
        <v>1531</v>
      </c>
      <c r="H101" s="628">
        <f t="shared" si="8"/>
        <v>1531</v>
      </c>
      <c r="I101" s="628">
        <f t="shared" si="8"/>
        <v>1531</v>
      </c>
      <c r="J101" s="628">
        <f t="shared" si="8"/>
        <v>1535</v>
      </c>
      <c r="K101" s="628">
        <f t="shared" si="8"/>
        <v>1535</v>
      </c>
      <c r="L101" s="628">
        <f t="shared" si="8"/>
        <v>1535</v>
      </c>
      <c r="M101" s="628">
        <f t="shared" si="8"/>
        <v>1539.5</v>
      </c>
      <c r="N101" s="628">
        <f t="shared" si="8"/>
        <v>1539.5</v>
      </c>
      <c r="O101" s="628">
        <f t="shared" si="8"/>
        <v>1540</v>
      </c>
      <c r="P101" s="628">
        <f t="shared" si="8"/>
        <v>1540</v>
      </c>
      <c r="Q101" s="628">
        <f t="shared" si="8"/>
        <v>1489.6666666666667</v>
      </c>
      <c r="R101" s="628">
        <f t="shared" si="8"/>
        <v>1508.8571428571429</v>
      </c>
      <c r="S101" s="628">
        <f t="shared" si="8"/>
        <v>1522</v>
      </c>
      <c r="T101" s="628">
        <f t="shared" si="8"/>
        <v>1529.1666666666667</v>
      </c>
      <c r="U101" s="628">
        <f t="shared" si="8"/>
        <v>1534.75</v>
      </c>
      <c r="Y101" s="627">
        <v>1524.0425531914893</v>
      </c>
      <c r="Z101" s="628">
        <v>0</v>
      </c>
      <c r="AA101" s="628">
        <v>0</v>
      </c>
      <c r="AB101" s="628">
        <v>1531</v>
      </c>
      <c r="AC101" s="628">
        <v>0</v>
      </c>
      <c r="AD101" s="628">
        <v>0</v>
      </c>
      <c r="AE101" s="628">
        <v>1535</v>
      </c>
      <c r="AF101" s="628">
        <v>1539.5</v>
      </c>
      <c r="AG101" s="628">
        <v>1539.5</v>
      </c>
      <c r="AH101" s="628">
        <v>0</v>
      </c>
      <c r="AI101" s="628">
        <v>1540</v>
      </c>
      <c r="AJ101" s="628">
        <v>1489.6666666666667</v>
      </c>
      <c r="AK101" s="628">
        <v>1508.8571428571429</v>
      </c>
      <c r="AL101" s="628">
        <v>1522</v>
      </c>
      <c r="AM101" s="628">
        <v>1529.1666666666667</v>
      </c>
      <c r="AN101" s="628">
        <v>1534.75</v>
      </c>
    </row>
    <row r="102" spans="1:40" x14ac:dyDescent="0.3">
      <c r="A102" s="489" t="s">
        <v>1422</v>
      </c>
      <c r="B102" s="489" t="s">
        <v>1700</v>
      </c>
      <c r="C102" s="489" t="s">
        <v>1827</v>
      </c>
      <c r="D102" s="489" t="s">
        <v>141</v>
      </c>
      <c r="E102" s="619">
        <v>47</v>
      </c>
      <c r="F102" s="627">
        <f t="shared" si="6"/>
        <v>1891.2340425531916</v>
      </c>
      <c r="G102" s="628">
        <f t="shared" si="8"/>
        <v>1898</v>
      </c>
      <c r="H102" s="628">
        <f t="shared" si="8"/>
        <v>1898.5</v>
      </c>
      <c r="I102" s="628">
        <f t="shared" si="8"/>
        <v>1892</v>
      </c>
      <c r="J102" s="628">
        <f t="shared" si="8"/>
        <v>1889</v>
      </c>
      <c r="K102" s="628">
        <f t="shared" si="8"/>
        <v>0</v>
      </c>
      <c r="L102" s="628">
        <f t="shared" si="8"/>
        <v>0</v>
      </c>
      <c r="M102" s="628">
        <f t="shared" si="8"/>
        <v>0</v>
      </c>
      <c r="N102" s="628">
        <f t="shared" si="8"/>
        <v>0</v>
      </c>
      <c r="O102" s="628">
        <f t="shared" si="8"/>
        <v>0</v>
      </c>
      <c r="P102" s="628">
        <f t="shared" si="8"/>
        <v>0</v>
      </c>
      <c r="Q102" s="628">
        <f t="shared" si="8"/>
        <v>0</v>
      </c>
      <c r="R102" s="628">
        <f t="shared" si="8"/>
        <v>0</v>
      </c>
      <c r="S102" s="628">
        <f t="shared" si="8"/>
        <v>0</v>
      </c>
      <c r="T102" s="628">
        <f t="shared" si="8"/>
        <v>0</v>
      </c>
      <c r="U102" s="628">
        <f t="shared" si="8"/>
        <v>0</v>
      </c>
      <c r="Y102" s="627">
        <v>1891.2340425531916</v>
      </c>
      <c r="Z102" s="628">
        <v>1898</v>
      </c>
      <c r="AA102" s="628">
        <v>1898.5</v>
      </c>
      <c r="AB102" s="628">
        <v>1892</v>
      </c>
      <c r="AC102" s="628">
        <v>1889</v>
      </c>
      <c r="AD102" s="628">
        <v>0</v>
      </c>
      <c r="AE102" s="628">
        <v>0</v>
      </c>
      <c r="AF102" s="628">
        <v>0</v>
      </c>
      <c r="AG102" s="628">
        <v>0</v>
      </c>
      <c r="AH102" s="628">
        <v>0</v>
      </c>
      <c r="AI102" s="628">
        <v>0</v>
      </c>
      <c r="AJ102" s="628">
        <v>0</v>
      </c>
      <c r="AK102" s="628">
        <v>0</v>
      </c>
      <c r="AL102" s="628">
        <v>0</v>
      </c>
      <c r="AM102" s="628">
        <v>0</v>
      </c>
      <c r="AN102" s="628">
        <v>0</v>
      </c>
    </row>
    <row r="103" spans="1:40" x14ac:dyDescent="0.3">
      <c r="A103" s="489" t="s">
        <v>1605</v>
      </c>
      <c r="B103" s="489" t="s">
        <v>1661</v>
      </c>
      <c r="C103" s="489" t="s">
        <v>1828</v>
      </c>
      <c r="D103" s="489" t="s">
        <v>46</v>
      </c>
      <c r="E103" s="619">
        <v>46</v>
      </c>
      <c r="F103" s="627">
        <f t="shared" si="6"/>
        <v>1610.6739130434783</v>
      </c>
      <c r="G103" s="628">
        <f t="shared" si="8"/>
        <v>1714</v>
      </c>
      <c r="H103" s="628">
        <f t="shared" si="8"/>
        <v>1714</v>
      </c>
      <c r="I103" s="628">
        <f t="shared" si="8"/>
        <v>1714</v>
      </c>
      <c r="J103" s="628">
        <f t="shared" si="8"/>
        <v>1622</v>
      </c>
      <c r="K103" s="628">
        <f t="shared" si="8"/>
        <v>1633</v>
      </c>
      <c r="L103" s="628">
        <f t="shared" si="8"/>
        <v>1611.7142857142858</v>
      </c>
      <c r="M103" s="628">
        <f t="shared" si="8"/>
        <v>1603.1578947368421</v>
      </c>
      <c r="N103" s="628">
        <f t="shared" si="8"/>
        <v>1604.5714285714287</v>
      </c>
      <c r="O103" s="628">
        <f t="shared" si="8"/>
        <v>0</v>
      </c>
      <c r="P103" s="628">
        <f t="shared" si="8"/>
        <v>0</v>
      </c>
      <c r="Q103" s="628">
        <f t="shared" si="8"/>
        <v>0</v>
      </c>
      <c r="R103" s="628">
        <f t="shared" si="8"/>
        <v>0</v>
      </c>
      <c r="S103" s="628">
        <f t="shared" si="8"/>
        <v>0</v>
      </c>
      <c r="T103" s="628">
        <f t="shared" si="8"/>
        <v>0</v>
      </c>
      <c r="U103" s="628">
        <f t="shared" si="8"/>
        <v>0</v>
      </c>
      <c r="Y103" s="627">
        <v>1610.6739130434783</v>
      </c>
      <c r="Z103" s="628">
        <v>0</v>
      </c>
      <c r="AA103" s="628">
        <v>0</v>
      </c>
      <c r="AB103" s="628">
        <v>1714</v>
      </c>
      <c r="AC103" s="628">
        <v>1622</v>
      </c>
      <c r="AD103" s="628">
        <v>1633</v>
      </c>
      <c r="AE103" s="628">
        <v>1611.7142857142858</v>
      </c>
      <c r="AF103" s="628">
        <v>1603.1578947368421</v>
      </c>
      <c r="AG103" s="628">
        <v>1604.5714285714287</v>
      </c>
      <c r="AH103" s="628">
        <v>0</v>
      </c>
      <c r="AI103" s="628">
        <v>0</v>
      </c>
      <c r="AJ103" s="628">
        <v>0</v>
      </c>
      <c r="AK103" s="628">
        <v>0</v>
      </c>
      <c r="AL103" s="628">
        <v>0</v>
      </c>
      <c r="AM103" s="628">
        <v>0</v>
      </c>
      <c r="AN103" s="628">
        <v>0</v>
      </c>
    </row>
    <row r="104" spans="1:40" x14ac:dyDescent="0.3">
      <c r="A104" s="489" t="s">
        <v>1544</v>
      </c>
      <c r="B104" s="489" t="s">
        <v>1701</v>
      </c>
      <c r="C104" s="489" t="s">
        <v>1829</v>
      </c>
      <c r="D104" s="489" t="s">
        <v>46</v>
      </c>
      <c r="E104" s="619">
        <v>45</v>
      </c>
      <c r="F104" s="627">
        <f t="shared" si="6"/>
        <v>1691.2666666666667</v>
      </c>
      <c r="G104" s="628">
        <f t="shared" si="8"/>
        <v>1631</v>
      </c>
      <c r="H104" s="628">
        <f t="shared" si="8"/>
        <v>1793.4</v>
      </c>
      <c r="I104" s="628">
        <f t="shared" si="8"/>
        <v>1733.6666666666667</v>
      </c>
      <c r="J104" s="628">
        <f t="shared" si="8"/>
        <v>1704.1111111111111</v>
      </c>
      <c r="K104" s="628">
        <f t="shared" si="8"/>
        <v>1704.1111111111111</v>
      </c>
      <c r="L104" s="628">
        <f t="shared" si="8"/>
        <v>1704.1111111111111</v>
      </c>
      <c r="M104" s="628">
        <f t="shared" si="8"/>
        <v>1647</v>
      </c>
      <c r="N104" s="628">
        <f t="shared" si="8"/>
        <v>1642.6</v>
      </c>
      <c r="O104" s="628">
        <f t="shared" si="8"/>
        <v>1685</v>
      </c>
      <c r="P104" s="628">
        <f t="shared" si="8"/>
        <v>1641.3333333333333</v>
      </c>
      <c r="Q104" s="628">
        <f t="shared" si="8"/>
        <v>1633</v>
      </c>
      <c r="R104" s="628">
        <f t="shared" si="8"/>
        <v>1658.25</v>
      </c>
      <c r="S104" s="628">
        <f t="shared" si="8"/>
        <v>1631</v>
      </c>
      <c r="T104" s="628">
        <f t="shared" si="8"/>
        <v>1631</v>
      </c>
      <c r="U104" s="628">
        <f t="shared" si="8"/>
        <v>1706</v>
      </c>
      <c r="Y104" s="627">
        <v>1691.2666666666667</v>
      </c>
      <c r="Z104" s="628">
        <v>1631</v>
      </c>
      <c r="AA104" s="628">
        <v>1793.4</v>
      </c>
      <c r="AB104" s="628">
        <v>1733.6666666666667</v>
      </c>
      <c r="AC104" s="628">
        <v>0</v>
      </c>
      <c r="AD104" s="628">
        <v>0</v>
      </c>
      <c r="AE104" s="628">
        <v>1704.1111111111111</v>
      </c>
      <c r="AF104" s="628">
        <v>1647</v>
      </c>
      <c r="AG104" s="628">
        <v>1642.6</v>
      </c>
      <c r="AH104" s="628">
        <v>1685</v>
      </c>
      <c r="AI104" s="628">
        <v>1641.3333333333333</v>
      </c>
      <c r="AJ104" s="628">
        <v>1633</v>
      </c>
      <c r="AK104" s="628">
        <v>1658.25</v>
      </c>
      <c r="AL104" s="628">
        <v>0</v>
      </c>
      <c r="AM104" s="628">
        <v>1631</v>
      </c>
      <c r="AN104" s="628">
        <v>1706</v>
      </c>
    </row>
    <row r="105" spans="1:40" x14ac:dyDescent="0.3">
      <c r="A105" s="489" t="s">
        <v>1414</v>
      </c>
      <c r="B105" s="489" t="s">
        <v>1702</v>
      </c>
      <c r="C105" s="489" t="s">
        <v>1830</v>
      </c>
      <c r="D105" s="489" t="s">
        <v>1937</v>
      </c>
      <c r="E105" s="619">
        <v>44</v>
      </c>
      <c r="F105" s="627">
        <f t="shared" si="6"/>
        <v>2037.9545454545455</v>
      </c>
      <c r="G105" s="628">
        <f t="shared" si="8"/>
        <v>2111.6666666666665</v>
      </c>
      <c r="H105" s="628">
        <f t="shared" si="8"/>
        <v>2024.7058823529412</v>
      </c>
      <c r="I105" s="628">
        <f t="shared" si="8"/>
        <v>1994</v>
      </c>
      <c r="J105" s="628">
        <f t="shared" si="8"/>
        <v>2002.5</v>
      </c>
      <c r="K105" s="628">
        <f t="shared" si="8"/>
        <v>1960</v>
      </c>
      <c r="L105" s="628">
        <f t="shared" si="8"/>
        <v>0</v>
      </c>
      <c r="M105" s="628">
        <f t="shared" si="8"/>
        <v>0</v>
      </c>
      <c r="N105" s="628">
        <f t="shared" si="8"/>
        <v>0</v>
      </c>
      <c r="O105" s="628">
        <f t="shared" si="8"/>
        <v>0</v>
      </c>
      <c r="P105" s="628">
        <f t="shared" si="8"/>
        <v>0</v>
      </c>
      <c r="Q105" s="628">
        <f t="shared" si="8"/>
        <v>0</v>
      </c>
      <c r="R105" s="628">
        <f t="shared" si="8"/>
        <v>0</v>
      </c>
      <c r="S105" s="628">
        <f t="shared" si="8"/>
        <v>0</v>
      </c>
      <c r="T105" s="628">
        <f t="shared" si="8"/>
        <v>0</v>
      </c>
      <c r="U105" s="628">
        <f t="shared" si="8"/>
        <v>0</v>
      </c>
      <c r="Y105" s="627">
        <v>2037.9545454545455</v>
      </c>
      <c r="Z105" s="628">
        <v>2111.6666666666665</v>
      </c>
      <c r="AA105" s="628">
        <v>2024.7058823529412</v>
      </c>
      <c r="AB105" s="628">
        <v>1994</v>
      </c>
      <c r="AC105" s="628">
        <v>2002.5</v>
      </c>
      <c r="AD105" s="628">
        <v>1960</v>
      </c>
      <c r="AE105" s="628">
        <v>0</v>
      </c>
      <c r="AF105" s="628">
        <v>0</v>
      </c>
      <c r="AG105" s="628">
        <v>0</v>
      </c>
      <c r="AH105" s="628">
        <v>0</v>
      </c>
      <c r="AI105" s="628">
        <v>0</v>
      </c>
      <c r="AJ105" s="628">
        <v>0</v>
      </c>
      <c r="AK105" s="628">
        <v>0</v>
      </c>
      <c r="AL105" s="628">
        <v>0</v>
      </c>
      <c r="AM105" s="628">
        <v>0</v>
      </c>
      <c r="AN105" s="628">
        <v>0</v>
      </c>
    </row>
    <row r="106" spans="1:40" x14ac:dyDescent="0.3">
      <c r="A106" s="489" t="s">
        <v>1414</v>
      </c>
      <c r="B106" s="489" t="s">
        <v>1662</v>
      </c>
      <c r="C106" s="489" t="s">
        <v>1831</v>
      </c>
      <c r="D106" s="489" t="s">
        <v>46</v>
      </c>
      <c r="E106" s="619">
        <v>44</v>
      </c>
      <c r="F106" s="627">
        <f t="shared" si="6"/>
        <v>1465.6818181818182</v>
      </c>
      <c r="G106" s="628">
        <f t="shared" si="8"/>
        <v>1515</v>
      </c>
      <c r="H106" s="628">
        <f t="shared" si="8"/>
        <v>1492.1428571428571</v>
      </c>
      <c r="I106" s="628">
        <f t="shared" si="8"/>
        <v>1478.75</v>
      </c>
      <c r="J106" s="628">
        <f t="shared" si="8"/>
        <v>1465</v>
      </c>
      <c r="K106" s="628">
        <f t="shared" si="8"/>
        <v>1465</v>
      </c>
      <c r="L106" s="628">
        <f t="shared" si="8"/>
        <v>1456.4705882352941</v>
      </c>
      <c r="M106" s="628">
        <f t="shared" si="8"/>
        <v>1435</v>
      </c>
      <c r="N106" s="628">
        <f t="shared" si="8"/>
        <v>1435</v>
      </c>
      <c r="O106" s="628">
        <f t="shared" si="8"/>
        <v>1485</v>
      </c>
      <c r="P106" s="628">
        <f t="shared" si="8"/>
        <v>1450</v>
      </c>
      <c r="Q106" s="628">
        <f t="shared" si="8"/>
        <v>0</v>
      </c>
      <c r="R106" s="628">
        <f t="shared" si="8"/>
        <v>0</v>
      </c>
      <c r="S106" s="628">
        <f t="shared" si="8"/>
        <v>0</v>
      </c>
      <c r="T106" s="628">
        <f t="shared" si="8"/>
        <v>0</v>
      </c>
      <c r="U106" s="628">
        <f t="shared" si="8"/>
        <v>0</v>
      </c>
      <c r="Y106" s="627">
        <v>1465.6818181818182</v>
      </c>
      <c r="Z106" s="628">
        <v>1515</v>
      </c>
      <c r="AA106" s="628">
        <v>1492.1428571428571</v>
      </c>
      <c r="AB106" s="628">
        <v>1478.75</v>
      </c>
      <c r="AC106" s="628">
        <v>1465</v>
      </c>
      <c r="AD106" s="628">
        <v>1465</v>
      </c>
      <c r="AE106" s="628">
        <v>1456.4705882352941</v>
      </c>
      <c r="AF106" s="628">
        <v>1435</v>
      </c>
      <c r="AG106" s="628">
        <v>1435</v>
      </c>
      <c r="AH106" s="628">
        <v>1485</v>
      </c>
      <c r="AI106" s="628">
        <v>1450</v>
      </c>
      <c r="AJ106" s="628">
        <v>0</v>
      </c>
      <c r="AK106" s="628">
        <v>0</v>
      </c>
      <c r="AL106" s="628">
        <v>0</v>
      </c>
      <c r="AM106" s="628">
        <v>0</v>
      </c>
      <c r="AN106" s="628">
        <v>0</v>
      </c>
    </row>
    <row r="107" spans="1:40" x14ac:dyDescent="0.3">
      <c r="A107" s="489" t="s">
        <v>1607</v>
      </c>
      <c r="B107" s="489" t="s">
        <v>1703</v>
      </c>
      <c r="C107" s="489" t="s">
        <v>1832</v>
      </c>
      <c r="D107" s="489" t="s">
        <v>46</v>
      </c>
      <c r="E107" s="619">
        <v>43</v>
      </c>
      <c r="F107" s="627">
        <f t="shared" si="6"/>
        <v>1105</v>
      </c>
      <c r="G107" s="628">
        <f t="shared" si="8"/>
        <v>1105</v>
      </c>
      <c r="H107" s="628">
        <f t="shared" si="8"/>
        <v>1105</v>
      </c>
      <c r="I107" s="628">
        <f t="shared" si="8"/>
        <v>1105</v>
      </c>
      <c r="J107" s="628">
        <f t="shared" si="8"/>
        <v>1105</v>
      </c>
      <c r="K107" s="628">
        <f t="shared" si="8"/>
        <v>1105</v>
      </c>
      <c r="L107" s="628">
        <f t="shared" si="8"/>
        <v>1105</v>
      </c>
      <c r="M107" s="628">
        <f t="shared" si="8"/>
        <v>1105</v>
      </c>
      <c r="N107" s="628">
        <f t="shared" si="8"/>
        <v>1105</v>
      </c>
      <c r="O107" s="628">
        <f t="shared" si="8"/>
        <v>1105</v>
      </c>
      <c r="P107" s="628">
        <f t="shared" si="8"/>
        <v>1105</v>
      </c>
      <c r="Q107" s="628">
        <f t="shared" si="8"/>
        <v>1105</v>
      </c>
      <c r="R107" s="628">
        <f t="shared" si="8"/>
        <v>1105</v>
      </c>
      <c r="S107" s="628">
        <f t="shared" si="8"/>
        <v>1105</v>
      </c>
      <c r="T107" s="628">
        <f t="shared" si="8"/>
        <v>1105</v>
      </c>
      <c r="U107" s="628">
        <f t="shared" si="8"/>
        <v>1105</v>
      </c>
      <c r="Y107" s="627">
        <v>1105</v>
      </c>
      <c r="Z107" s="628">
        <v>0</v>
      </c>
      <c r="AA107" s="628">
        <v>0</v>
      </c>
      <c r="AB107" s="628">
        <v>0</v>
      </c>
      <c r="AC107" s="628">
        <v>0</v>
      </c>
      <c r="AD107" s="628">
        <v>0</v>
      </c>
      <c r="AE107" s="628">
        <v>0</v>
      </c>
      <c r="AF107" s="628">
        <v>0</v>
      </c>
      <c r="AG107" s="628">
        <v>0</v>
      </c>
      <c r="AH107" s="628">
        <v>0</v>
      </c>
      <c r="AI107" s="628">
        <v>1105</v>
      </c>
      <c r="AJ107" s="628">
        <v>1105</v>
      </c>
      <c r="AK107" s="628">
        <v>1105</v>
      </c>
      <c r="AL107" s="628">
        <v>1105</v>
      </c>
      <c r="AM107" s="628">
        <v>1105</v>
      </c>
      <c r="AN107" s="628">
        <v>1105</v>
      </c>
    </row>
    <row r="108" spans="1:40" x14ac:dyDescent="0.3">
      <c r="A108" s="489" t="s">
        <v>1451</v>
      </c>
      <c r="B108" s="489" t="s">
        <v>1704</v>
      </c>
      <c r="C108" s="489" t="s">
        <v>1833</v>
      </c>
      <c r="D108" s="489" t="s">
        <v>46</v>
      </c>
      <c r="E108" s="619">
        <v>42</v>
      </c>
      <c r="F108" s="627">
        <f t="shared" si="6"/>
        <v>1618.6904761904761</v>
      </c>
      <c r="G108" s="628">
        <f t="shared" si="8"/>
        <v>1617</v>
      </c>
      <c r="H108" s="628">
        <f t="shared" si="8"/>
        <v>1633</v>
      </c>
      <c r="I108" s="628">
        <f t="shared" si="8"/>
        <v>1633</v>
      </c>
      <c r="J108" s="628">
        <f t="shared" si="8"/>
        <v>1598.5</v>
      </c>
      <c r="K108" s="628">
        <f t="shared" si="8"/>
        <v>1623.8571428571429</v>
      </c>
      <c r="L108" s="628">
        <f t="shared" si="8"/>
        <v>1623.8571428571429</v>
      </c>
      <c r="M108" s="628">
        <f t="shared" si="8"/>
        <v>1617</v>
      </c>
      <c r="N108" s="628">
        <f t="shared" si="8"/>
        <v>1615.75</v>
      </c>
      <c r="O108" s="628">
        <f t="shared" si="8"/>
        <v>1599.125</v>
      </c>
      <c r="P108" s="628">
        <f t="shared" si="8"/>
        <v>1625</v>
      </c>
      <c r="Q108" s="628">
        <f t="shared" si="8"/>
        <v>1633</v>
      </c>
      <c r="R108" s="628">
        <f t="shared" si="8"/>
        <v>1633</v>
      </c>
      <c r="S108" s="628">
        <f t="shared" si="8"/>
        <v>1633</v>
      </c>
      <c r="T108" s="628">
        <f t="shared" si="8"/>
        <v>1633</v>
      </c>
      <c r="U108" s="628">
        <f t="shared" si="8"/>
        <v>1633</v>
      </c>
      <c r="Y108" s="627">
        <v>1618.6904761904761</v>
      </c>
      <c r="Z108" s="628">
        <v>1617</v>
      </c>
      <c r="AA108" s="628">
        <v>1633</v>
      </c>
      <c r="AB108" s="628">
        <v>1633</v>
      </c>
      <c r="AC108" s="628">
        <v>1598.5</v>
      </c>
      <c r="AD108" s="628">
        <v>0</v>
      </c>
      <c r="AE108" s="628">
        <v>1623.8571428571429</v>
      </c>
      <c r="AF108" s="628">
        <v>1617</v>
      </c>
      <c r="AG108" s="628">
        <v>1615.75</v>
      </c>
      <c r="AH108" s="628">
        <v>1599.125</v>
      </c>
      <c r="AI108" s="628">
        <v>1625</v>
      </c>
      <c r="AJ108" s="628">
        <v>1633</v>
      </c>
      <c r="AK108" s="628">
        <v>1633</v>
      </c>
      <c r="AL108" s="628">
        <v>1633</v>
      </c>
      <c r="AM108" s="628">
        <v>1633</v>
      </c>
      <c r="AN108" s="628">
        <v>1633</v>
      </c>
    </row>
    <row r="109" spans="1:40" x14ac:dyDescent="0.3">
      <c r="A109" s="489" t="s">
        <v>1572</v>
      </c>
      <c r="B109" s="489" t="s">
        <v>1573</v>
      </c>
      <c r="C109" s="489" t="s">
        <v>1834</v>
      </c>
      <c r="D109" s="489" t="s">
        <v>46</v>
      </c>
      <c r="E109" s="619">
        <v>42</v>
      </c>
      <c r="F109" s="627">
        <f t="shared" si="6"/>
        <v>2371.7142857142858</v>
      </c>
      <c r="G109" s="628">
        <f t="shared" si="8"/>
        <v>2523.6363636363635</v>
      </c>
      <c r="H109" s="628">
        <f t="shared" si="8"/>
        <v>2523.6363636363635</v>
      </c>
      <c r="I109" s="628">
        <f t="shared" si="8"/>
        <v>2523.6363636363635</v>
      </c>
      <c r="J109" s="628">
        <f t="shared" si="8"/>
        <v>2523.6363636363635</v>
      </c>
      <c r="K109" s="628">
        <f t="shared" si="8"/>
        <v>2523.6363636363635</v>
      </c>
      <c r="L109" s="628">
        <f t="shared" si="8"/>
        <v>2523.6363636363635</v>
      </c>
      <c r="M109" s="628">
        <f t="shared" si="8"/>
        <v>2523.6363636363635</v>
      </c>
      <c r="N109" s="628">
        <f t="shared" si="8"/>
        <v>1915</v>
      </c>
      <c r="O109" s="628">
        <f t="shared" si="8"/>
        <v>1915</v>
      </c>
      <c r="P109" s="628">
        <f t="shared" si="8"/>
        <v>1915</v>
      </c>
      <c r="Q109" s="628">
        <f t="shared" si="8"/>
        <v>2610</v>
      </c>
      <c r="R109" s="628">
        <f t="shared" si="8"/>
        <v>2015</v>
      </c>
      <c r="S109" s="628">
        <f t="shared" si="8"/>
        <v>2258.8000000000002</v>
      </c>
      <c r="T109" s="628">
        <f t="shared" si="8"/>
        <v>2035</v>
      </c>
      <c r="U109" s="628">
        <f t="shared" si="8"/>
        <v>2050</v>
      </c>
      <c r="Y109" s="627">
        <v>2371.7142857142858</v>
      </c>
      <c r="Z109" s="628">
        <v>0</v>
      </c>
      <c r="AA109" s="628">
        <v>0</v>
      </c>
      <c r="AB109" s="628">
        <v>0</v>
      </c>
      <c r="AC109" s="628">
        <v>0</v>
      </c>
      <c r="AD109" s="628">
        <v>0</v>
      </c>
      <c r="AE109" s="628">
        <v>0</v>
      </c>
      <c r="AF109" s="628">
        <v>2523.6363636363635</v>
      </c>
      <c r="AG109" s="628">
        <v>0</v>
      </c>
      <c r="AH109" s="628">
        <v>0</v>
      </c>
      <c r="AI109" s="628">
        <v>1915</v>
      </c>
      <c r="AJ109" s="628">
        <v>2610</v>
      </c>
      <c r="AK109" s="628">
        <v>2015</v>
      </c>
      <c r="AL109" s="628">
        <v>2258.8000000000002</v>
      </c>
      <c r="AM109" s="628">
        <v>2035</v>
      </c>
      <c r="AN109" s="628">
        <v>2050</v>
      </c>
    </row>
    <row r="110" spans="1:40" x14ac:dyDescent="0.3">
      <c r="A110" s="489" t="s">
        <v>1451</v>
      </c>
      <c r="B110" s="489" t="s">
        <v>1705</v>
      </c>
      <c r="C110" s="489" t="s">
        <v>1835</v>
      </c>
      <c r="D110" s="489" t="s">
        <v>46</v>
      </c>
      <c r="E110" s="619">
        <v>42</v>
      </c>
      <c r="F110" s="627">
        <f t="shared" si="6"/>
        <v>1628.1428571428571</v>
      </c>
      <c r="G110" s="628">
        <f t="shared" si="8"/>
        <v>1688</v>
      </c>
      <c r="H110" s="628">
        <f t="shared" si="8"/>
        <v>1688</v>
      </c>
      <c r="I110" s="628">
        <f t="shared" si="8"/>
        <v>1688</v>
      </c>
      <c r="J110" s="628">
        <f t="shared" si="8"/>
        <v>1688</v>
      </c>
      <c r="K110" s="628">
        <f t="shared" si="8"/>
        <v>1666.25</v>
      </c>
      <c r="L110" s="628">
        <f t="shared" si="8"/>
        <v>1666.25</v>
      </c>
      <c r="M110" s="628">
        <f t="shared" si="8"/>
        <v>1623.5384615384614</v>
      </c>
      <c r="N110" s="628">
        <f t="shared" si="8"/>
        <v>1601</v>
      </c>
      <c r="O110" s="628">
        <f t="shared" si="8"/>
        <v>1640.6666666666667</v>
      </c>
      <c r="P110" s="628">
        <f t="shared" si="8"/>
        <v>1601</v>
      </c>
      <c r="Q110" s="628">
        <f t="shared" si="8"/>
        <v>1601</v>
      </c>
      <c r="R110" s="628">
        <f t="shared" si="8"/>
        <v>1601</v>
      </c>
      <c r="S110" s="628">
        <f t="shared" si="8"/>
        <v>1633</v>
      </c>
      <c r="T110" s="628">
        <f t="shared" si="8"/>
        <v>0</v>
      </c>
      <c r="U110" s="628">
        <f t="shared" si="8"/>
        <v>0</v>
      </c>
      <c r="Y110" s="627">
        <v>1628.1428571428571</v>
      </c>
      <c r="Z110" s="628">
        <v>1688</v>
      </c>
      <c r="AA110" s="628">
        <v>1688</v>
      </c>
      <c r="AB110" s="628">
        <v>1688</v>
      </c>
      <c r="AC110" s="628">
        <v>1688</v>
      </c>
      <c r="AD110" s="628">
        <v>0</v>
      </c>
      <c r="AE110" s="628">
        <v>1666.25</v>
      </c>
      <c r="AF110" s="628">
        <v>1623.5384615384614</v>
      </c>
      <c r="AG110" s="628">
        <v>1601</v>
      </c>
      <c r="AH110" s="628">
        <v>1640.6666666666667</v>
      </c>
      <c r="AI110" s="628">
        <v>1601</v>
      </c>
      <c r="AJ110" s="628">
        <v>1601</v>
      </c>
      <c r="AK110" s="628">
        <v>1601</v>
      </c>
      <c r="AL110" s="628">
        <v>1633</v>
      </c>
      <c r="AM110" s="628">
        <v>0</v>
      </c>
      <c r="AN110" s="628">
        <v>0</v>
      </c>
    </row>
    <row r="111" spans="1:40" x14ac:dyDescent="0.3">
      <c r="A111" s="489" t="s">
        <v>1414</v>
      </c>
      <c r="B111" s="489" t="s">
        <v>1706</v>
      </c>
      <c r="C111" s="489" t="s">
        <v>1836</v>
      </c>
      <c r="D111" s="489" t="s">
        <v>46</v>
      </c>
      <c r="E111" s="619">
        <v>42</v>
      </c>
      <c r="F111" s="627">
        <f t="shared" si="6"/>
        <v>1493.2142857142858</v>
      </c>
      <c r="G111" s="628">
        <f t="shared" si="8"/>
        <v>1515</v>
      </c>
      <c r="H111" s="628">
        <f t="shared" si="8"/>
        <v>1515</v>
      </c>
      <c r="I111" s="628">
        <f t="shared" si="8"/>
        <v>1515</v>
      </c>
      <c r="J111" s="628">
        <f t="shared" si="8"/>
        <v>1492.5</v>
      </c>
      <c r="K111" s="628">
        <f t="shared" si="8"/>
        <v>1492.5</v>
      </c>
      <c r="L111" s="628">
        <f t="shared" si="8"/>
        <v>1492.5</v>
      </c>
      <c r="M111" s="628">
        <f t="shared" si="8"/>
        <v>1500</v>
      </c>
      <c r="N111" s="628">
        <f t="shared" si="8"/>
        <v>1515</v>
      </c>
      <c r="O111" s="628">
        <f t="shared" si="8"/>
        <v>1485</v>
      </c>
      <c r="P111" s="628">
        <f t="shared" si="8"/>
        <v>1489.090909090909</v>
      </c>
      <c r="Q111" s="628">
        <f t="shared" si="8"/>
        <v>1470</v>
      </c>
      <c r="R111" s="628">
        <f t="shared" si="8"/>
        <v>0</v>
      </c>
      <c r="S111" s="628">
        <f t="shared" si="8"/>
        <v>0</v>
      </c>
      <c r="T111" s="628">
        <f t="shared" si="8"/>
        <v>0</v>
      </c>
      <c r="U111" s="628">
        <f t="shared" si="8"/>
        <v>0</v>
      </c>
      <c r="Y111" s="627">
        <v>1493.2142857142858</v>
      </c>
      <c r="Z111" s="628">
        <v>0</v>
      </c>
      <c r="AA111" s="628">
        <v>0</v>
      </c>
      <c r="AB111" s="628">
        <v>1515</v>
      </c>
      <c r="AC111" s="628">
        <v>1492.5</v>
      </c>
      <c r="AD111" s="628">
        <v>0</v>
      </c>
      <c r="AE111" s="628">
        <v>1492.5</v>
      </c>
      <c r="AF111" s="628">
        <v>1500</v>
      </c>
      <c r="AG111" s="628">
        <v>1515</v>
      </c>
      <c r="AH111" s="628">
        <v>1485</v>
      </c>
      <c r="AI111" s="628">
        <v>1489.090909090909</v>
      </c>
      <c r="AJ111" s="628">
        <v>1470</v>
      </c>
      <c r="AK111" s="628">
        <v>0</v>
      </c>
      <c r="AL111" s="628">
        <v>0</v>
      </c>
      <c r="AM111" s="628">
        <v>0</v>
      </c>
      <c r="AN111" s="628">
        <v>0</v>
      </c>
    </row>
    <row r="112" spans="1:40" x14ac:dyDescent="0.3">
      <c r="A112" s="489" t="s">
        <v>1414</v>
      </c>
      <c r="B112" s="489" t="s">
        <v>1702</v>
      </c>
      <c r="C112" s="489" t="s">
        <v>1830</v>
      </c>
      <c r="D112" s="489" t="s">
        <v>1930</v>
      </c>
      <c r="E112" s="619">
        <v>42</v>
      </c>
      <c r="F112" s="627">
        <f t="shared" si="6"/>
        <v>2007.3809523809523</v>
      </c>
      <c r="G112" s="628">
        <f t="shared" si="8"/>
        <v>2043</v>
      </c>
      <c r="H112" s="628">
        <f t="shared" si="8"/>
        <v>2009.5</v>
      </c>
      <c r="I112" s="628">
        <f t="shared" si="8"/>
        <v>1984.2857142857142</v>
      </c>
      <c r="J112" s="628">
        <f t="shared" si="8"/>
        <v>2015</v>
      </c>
      <c r="K112" s="628">
        <f t="shared" si="8"/>
        <v>1960</v>
      </c>
      <c r="L112" s="628">
        <f t="shared" si="8"/>
        <v>1960</v>
      </c>
      <c r="M112" s="628">
        <f t="shared" si="8"/>
        <v>0</v>
      </c>
      <c r="N112" s="628">
        <f t="shared" si="8"/>
        <v>0</v>
      </c>
      <c r="O112" s="628">
        <f t="shared" si="8"/>
        <v>0</v>
      </c>
      <c r="P112" s="628">
        <f t="shared" si="8"/>
        <v>0</v>
      </c>
      <c r="Q112" s="628">
        <f t="shared" si="8"/>
        <v>0</v>
      </c>
      <c r="R112" s="628">
        <f t="shared" si="8"/>
        <v>0</v>
      </c>
      <c r="S112" s="628">
        <f t="shared" si="8"/>
        <v>0</v>
      </c>
      <c r="T112" s="628">
        <f t="shared" si="8"/>
        <v>0</v>
      </c>
      <c r="U112" s="628">
        <f t="shared" si="8"/>
        <v>0</v>
      </c>
      <c r="Y112" s="627">
        <v>2007.3809523809523</v>
      </c>
      <c r="Z112" s="628">
        <v>2043</v>
      </c>
      <c r="AA112" s="628">
        <v>2009.5</v>
      </c>
      <c r="AB112" s="628">
        <v>1984.2857142857142</v>
      </c>
      <c r="AC112" s="628">
        <v>2015</v>
      </c>
      <c r="AD112" s="628">
        <v>1960</v>
      </c>
      <c r="AE112" s="628">
        <v>1960</v>
      </c>
      <c r="AF112" s="628">
        <v>0</v>
      </c>
      <c r="AG112" s="628">
        <v>0</v>
      </c>
      <c r="AH112" s="628">
        <v>0</v>
      </c>
      <c r="AI112" s="628">
        <v>0</v>
      </c>
      <c r="AJ112" s="628">
        <v>0</v>
      </c>
      <c r="AK112" s="628">
        <v>0</v>
      </c>
      <c r="AL112" s="628">
        <v>0</v>
      </c>
      <c r="AM112" s="628">
        <v>0</v>
      </c>
      <c r="AN112" s="628">
        <v>0</v>
      </c>
    </row>
    <row r="113" spans="1:40" x14ac:dyDescent="0.3">
      <c r="A113" s="489" t="s">
        <v>1561</v>
      </c>
      <c r="B113" s="489" t="s">
        <v>1562</v>
      </c>
      <c r="C113" s="489" t="s">
        <v>1563</v>
      </c>
      <c r="D113" s="489" t="s">
        <v>1936</v>
      </c>
      <c r="E113" s="619">
        <v>42</v>
      </c>
      <c r="F113" s="627">
        <f t="shared" si="6"/>
        <v>1340.9285714285713</v>
      </c>
      <c r="G113" s="628">
        <f t="shared" si="8"/>
        <v>1336</v>
      </c>
      <c r="H113" s="628">
        <f t="shared" si="8"/>
        <v>1336</v>
      </c>
      <c r="I113" s="628">
        <f t="shared" si="8"/>
        <v>1336</v>
      </c>
      <c r="J113" s="628">
        <f t="shared" si="8"/>
        <v>1336</v>
      </c>
      <c r="K113" s="628">
        <f t="shared" si="8"/>
        <v>1336</v>
      </c>
      <c r="L113" s="628">
        <f t="shared" si="8"/>
        <v>1336</v>
      </c>
      <c r="M113" s="628">
        <f t="shared" si="8"/>
        <v>1339.6</v>
      </c>
      <c r="N113" s="628">
        <f t="shared" si="8"/>
        <v>1345</v>
      </c>
      <c r="O113" s="628">
        <f t="shared" si="8"/>
        <v>1345</v>
      </c>
      <c r="P113" s="628">
        <f t="shared" si="8"/>
        <v>0</v>
      </c>
      <c r="Q113" s="628">
        <f t="shared" si="8"/>
        <v>0</v>
      </c>
      <c r="R113" s="628">
        <f t="shared" si="8"/>
        <v>0</v>
      </c>
      <c r="S113" s="628">
        <f t="shared" si="8"/>
        <v>0</v>
      </c>
      <c r="T113" s="628">
        <f t="shared" si="8"/>
        <v>0</v>
      </c>
      <c r="U113" s="628">
        <f t="shared" si="8"/>
        <v>0</v>
      </c>
      <c r="Y113" s="627">
        <v>1340.9285714285713</v>
      </c>
      <c r="Z113" s="628">
        <v>0</v>
      </c>
      <c r="AA113" s="628">
        <v>0</v>
      </c>
      <c r="AB113" s="628">
        <v>0</v>
      </c>
      <c r="AC113" s="628">
        <v>0</v>
      </c>
      <c r="AD113" s="628">
        <v>1336</v>
      </c>
      <c r="AE113" s="628">
        <v>1336</v>
      </c>
      <c r="AF113" s="628">
        <v>1339.6</v>
      </c>
      <c r="AG113" s="628">
        <v>1345</v>
      </c>
      <c r="AH113" s="628">
        <v>1345</v>
      </c>
      <c r="AI113" s="628">
        <v>0</v>
      </c>
      <c r="AJ113" s="628">
        <v>0</v>
      </c>
      <c r="AK113" s="628">
        <v>0</v>
      </c>
      <c r="AL113" s="628">
        <v>0</v>
      </c>
      <c r="AM113" s="628">
        <v>0</v>
      </c>
      <c r="AN113" s="628">
        <v>0</v>
      </c>
    </row>
    <row r="114" spans="1:40" x14ac:dyDescent="0.3">
      <c r="A114" s="489" t="s">
        <v>1414</v>
      </c>
      <c r="B114" s="489" t="s">
        <v>1707</v>
      </c>
      <c r="C114" s="489" t="s">
        <v>1837</v>
      </c>
      <c r="D114" s="489" t="s">
        <v>46</v>
      </c>
      <c r="E114" s="619">
        <v>41</v>
      </c>
      <c r="F114" s="627">
        <f t="shared" si="6"/>
        <v>1366.5853658536585</v>
      </c>
      <c r="G114" s="628">
        <f t="shared" ref="G114:U129" si="9">IF(Z114&gt;0,Z114,IF(H114&gt;0,H114,0))</f>
        <v>1405</v>
      </c>
      <c r="H114" s="628">
        <f t="shared" si="9"/>
        <v>1405</v>
      </c>
      <c r="I114" s="628">
        <f t="shared" si="9"/>
        <v>1360</v>
      </c>
      <c r="J114" s="628">
        <f t="shared" si="9"/>
        <v>1360</v>
      </c>
      <c r="K114" s="628">
        <f t="shared" si="9"/>
        <v>1405</v>
      </c>
      <c r="L114" s="628">
        <f t="shared" si="9"/>
        <v>1362.5</v>
      </c>
      <c r="M114" s="628">
        <f t="shared" si="9"/>
        <v>1386.6666666666667</v>
      </c>
      <c r="N114" s="628">
        <f t="shared" si="9"/>
        <v>1405</v>
      </c>
      <c r="O114" s="628">
        <f t="shared" si="9"/>
        <v>1376.25</v>
      </c>
      <c r="P114" s="628">
        <f t="shared" si="9"/>
        <v>1333.5714285714287</v>
      </c>
      <c r="Q114" s="628">
        <f t="shared" si="9"/>
        <v>1365</v>
      </c>
      <c r="R114" s="628">
        <f t="shared" si="9"/>
        <v>1393.3333333333333</v>
      </c>
      <c r="S114" s="628">
        <f t="shared" si="9"/>
        <v>1390</v>
      </c>
      <c r="T114" s="628">
        <f t="shared" si="9"/>
        <v>1372.5</v>
      </c>
      <c r="U114" s="628">
        <f t="shared" si="9"/>
        <v>1370</v>
      </c>
      <c r="Y114" s="627">
        <v>1366.5853658536585</v>
      </c>
      <c r="Z114" s="628">
        <v>0</v>
      </c>
      <c r="AA114" s="628">
        <v>1405</v>
      </c>
      <c r="AB114" s="628">
        <v>0</v>
      </c>
      <c r="AC114" s="628">
        <v>1360</v>
      </c>
      <c r="AD114" s="628">
        <v>1405</v>
      </c>
      <c r="AE114" s="628">
        <v>1362.5</v>
      </c>
      <c r="AF114" s="628">
        <v>1386.6666666666667</v>
      </c>
      <c r="AG114" s="628">
        <v>1405</v>
      </c>
      <c r="AH114" s="628">
        <v>1376.25</v>
      </c>
      <c r="AI114" s="628">
        <v>1333.5714285714287</v>
      </c>
      <c r="AJ114" s="628">
        <v>1365</v>
      </c>
      <c r="AK114" s="628">
        <v>1393.3333333333333</v>
      </c>
      <c r="AL114" s="628">
        <v>1390</v>
      </c>
      <c r="AM114" s="628">
        <v>1372.5</v>
      </c>
      <c r="AN114" s="628">
        <v>1370</v>
      </c>
    </row>
    <row r="115" spans="1:40" x14ac:dyDescent="0.3">
      <c r="A115" s="489" t="s">
        <v>1426</v>
      </c>
      <c r="B115" s="489" t="s">
        <v>1708</v>
      </c>
      <c r="C115" s="489" t="s">
        <v>1708</v>
      </c>
      <c r="D115" s="489" t="s">
        <v>1938</v>
      </c>
      <c r="E115" s="619">
        <v>41</v>
      </c>
      <c r="F115" s="627">
        <f t="shared" si="6"/>
        <v>1828.4146341463415</v>
      </c>
      <c r="G115" s="628">
        <f t="shared" si="9"/>
        <v>1895</v>
      </c>
      <c r="H115" s="628">
        <f t="shared" si="9"/>
        <v>1895</v>
      </c>
      <c r="I115" s="628">
        <f t="shared" si="9"/>
        <v>1895</v>
      </c>
      <c r="J115" s="628">
        <f t="shared" si="9"/>
        <v>1895</v>
      </c>
      <c r="K115" s="628">
        <f t="shared" si="9"/>
        <v>1825</v>
      </c>
      <c r="L115" s="628">
        <f t="shared" si="9"/>
        <v>1825</v>
      </c>
      <c r="M115" s="628">
        <f t="shared" si="9"/>
        <v>0</v>
      </c>
      <c r="N115" s="628">
        <f t="shared" si="9"/>
        <v>0</v>
      </c>
      <c r="O115" s="628">
        <f t="shared" si="9"/>
        <v>0</v>
      </c>
      <c r="P115" s="628">
        <f t="shared" si="9"/>
        <v>0</v>
      </c>
      <c r="Q115" s="628">
        <f t="shared" si="9"/>
        <v>0</v>
      </c>
      <c r="R115" s="628">
        <f t="shared" si="9"/>
        <v>0</v>
      </c>
      <c r="S115" s="628">
        <f t="shared" si="9"/>
        <v>0</v>
      </c>
      <c r="T115" s="628">
        <f t="shared" si="9"/>
        <v>0</v>
      </c>
      <c r="U115" s="628">
        <f t="shared" si="9"/>
        <v>0</v>
      </c>
      <c r="Y115" s="627">
        <v>1828.4146341463415</v>
      </c>
      <c r="Z115" s="628">
        <v>0</v>
      </c>
      <c r="AA115" s="628">
        <v>0</v>
      </c>
      <c r="AB115" s="628">
        <v>1895</v>
      </c>
      <c r="AC115" s="628">
        <v>1895</v>
      </c>
      <c r="AD115" s="628">
        <v>0</v>
      </c>
      <c r="AE115" s="628">
        <v>1825</v>
      </c>
      <c r="AF115" s="628">
        <v>0</v>
      </c>
      <c r="AG115" s="628">
        <v>0</v>
      </c>
      <c r="AH115" s="628">
        <v>0</v>
      </c>
      <c r="AI115" s="628">
        <v>0</v>
      </c>
      <c r="AJ115" s="628">
        <v>0</v>
      </c>
      <c r="AK115" s="628">
        <v>0</v>
      </c>
      <c r="AL115" s="628">
        <v>0</v>
      </c>
      <c r="AM115" s="628">
        <v>0</v>
      </c>
      <c r="AN115" s="628">
        <v>0</v>
      </c>
    </row>
    <row r="116" spans="1:40" x14ac:dyDescent="0.3">
      <c r="A116" s="489" t="s">
        <v>1422</v>
      </c>
      <c r="B116" s="489" t="s">
        <v>1423</v>
      </c>
      <c r="C116" s="489" t="s">
        <v>1424</v>
      </c>
      <c r="D116" s="489" t="s">
        <v>45</v>
      </c>
      <c r="E116" s="619">
        <v>40</v>
      </c>
      <c r="F116" s="627">
        <f t="shared" si="6"/>
        <v>1407.625</v>
      </c>
      <c r="G116" s="628">
        <f t="shared" si="9"/>
        <v>1394.7692307692307</v>
      </c>
      <c r="H116" s="628">
        <f t="shared" si="9"/>
        <v>1394.7692307692307</v>
      </c>
      <c r="I116" s="628">
        <f t="shared" si="9"/>
        <v>1394.7692307692307</v>
      </c>
      <c r="J116" s="628">
        <f t="shared" si="9"/>
        <v>1389.6666666666667</v>
      </c>
      <c r="K116" s="628">
        <f t="shared" si="9"/>
        <v>1392</v>
      </c>
      <c r="L116" s="628">
        <f t="shared" si="9"/>
        <v>1488.6666666666667</v>
      </c>
      <c r="M116" s="628">
        <f t="shared" si="9"/>
        <v>1357.5</v>
      </c>
      <c r="N116" s="628">
        <f t="shared" si="9"/>
        <v>1515</v>
      </c>
      <c r="O116" s="628">
        <f t="shared" si="9"/>
        <v>1515</v>
      </c>
      <c r="P116" s="628">
        <f t="shared" si="9"/>
        <v>1382</v>
      </c>
      <c r="Q116" s="628">
        <f t="shared" si="9"/>
        <v>1382</v>
      </c>
      <c r="R116" s="628">
        <f t="shared" si="9"/>
        <v>1382</v>
      </c>
      <c r="S116" s="628">
        <f t="shared" si="9"/>
        <v>0</v>
      </c>
      <c r="T116" s="628">
        <f t="shared" si="9"/>
        <v>0</v>
      </c>
      <c r="U116" s="628">
        <f t="shared" si="9"/>
        <v>0</v>
      </c>
      <c r="Y116" s="627">
        <v>1407.625</v>
      </c>
      <c r="Z116" s="628">
        <v>0</v>
      </c>
      <c r="AA116" s="628">
        <v>0</v>
      </c>
      <c r="AB116" s="628">
        <v>1394.7692307692307</v>
      </c>
      <c r="AC116" s="628">
        <v>1389.6666666666667</v>
      </c>
      <c r="AD116" s="628">
        <v>1392</v>
      </c>
      <c r="AE116" s="628">
        <v>1488.6666666666667</v>
      </c>
      <c r="AF116" s="628">
        <v>1357.5</v>
      </c>
      <c r="AG116" s="628">
        <v>0</v>
      </c>
      <c r="AH116" s="628">
        <v>1515</v>
      </c>
      <c r="AI116" s="628">
        <v>0</v>
      </c>
      <c r="AJ116" s="628">
        <v>0</v>
      </c>
      <c r="AK116" s="628">
        <v>1382</v>
      </c>
      <c r="AL116" s="628">
        <v>0</v>
      </c>
      <c r="AM116" s="628">
        <v>0</v>
      </c>
      <c r="AN116" s="628">
        <v>0</v>
      </c>
    </row>
    <row r="117" spans="1:40" x14ac:dyDescent="0.3">
      <c r="A117" s="489" t="s">
        <v>1561</v>
      </c>
      <c r="B117" s="489" t="s">
        <v>1709</v>
      </c>
      <c r="C117" s="489" t="s">
        <v>1838</v>
      </c>
      <c r="D117" s="489" t="s">
        <v>1938</v>
      </c>
      <c r="E117" s="619">
        <v>40</v>
      </c>
      <c r="F117" s="627">
        <f t="shared" si="6"/>
        <v>1789</v>
      </c>
      <c r="G117" s="628">
        <f t="shared" si="9"/>
        <v>1789</v>
      </c>
      <c r="H117" s="628">
        <f t="shared" si="9"/>
        <v>1789</v>
      </c>
      <c r="I117" s="628">
        <f t="shared" si="9"/>
        <v>1789</v>
      </c>
      <c r="J117" s="628">
        <f t="shared" si="9"/>
        <v>1789</v>
      </c>
      <c r="K117" s="628">
        <f t="shared" si="9"/>
        <v>1789</v>
      </c>
      <c r="L117" s="628">
        <f t="shared" si="9"/>
        <v>1789</v>
      </c>
      <c r="M117" s="628">
        <f t="shared" si="9"/>
        <v>1789</v>
      </c>
      <c r="N117" s="628">
        <f t="shared" si="9"/>
        <v>0</v>
      </c>
      <c r="O117" s="628">
        <f t="shared" si="9"/>
        <v>0</v>
      </c>
      <c r="P117" s="628">
        <f t="shared" si="9"/>
        <v>0</v>
      </c>
      <c r="Q117" s="628">
        <f t="shared" si="9"/>
        <v>0</v>
      </c>
      <c r="R117" s="628">
        <f t="shared" si="9"/>
        <v>0</v>
      </c>
      <c r="S117" s="628">
        <f t="shared" si="9"/>
        <v>0</v>
      </c>
      <c r="T117" s="628">
        <f t="shared" si="9"/>
        <v>0</v>
      </c>
      <c r="U117" s="628">
        <f t="shared" si="9"/>
        <v>0</v>
      </c>
      <c r="Y117" s="627">
        <v>1789</v>
      </c>
      <c r="Z117" s="628">
        <v>0</v>
      </c>
      <c r="AA117" s="628">
        <v>0</v>
      </c>
      <c r="AB117" s="628">
        <v>1789</v>
      </c>
      <c r="AC117" s="628">
        <v>0</v>
      </c>
      <c r="AD117" s="628">
        <v>1789</v>
      </c>
      <c r="AE117" s="628">
        <v>0</v>
      </c>
      <c r="AF117" s="628">
        <v>1789</v>
      </c>
      <c r="AG117" s="628">
        <v>0</v>
      </c>
      <c r="AH117" s="628">
        <v>0</v>
      </c>
      <c r="AI117" s="628">
        <v>0</v>
      </c>
      <c r="AJ117" s="628">
        <v>0</v>
      </c>
      <c r="AK117" s="628">
        <v>0</v>
      </c>
      <c r="AL117" s="628">
        <v>0</v>
      </c>
      <c r="AM117" s="628">
        <v>0</v>
      </c>
      <c r="AN117" s="628">
        <v>0</v>
      </c>
    </row>
    <row r="118" spans="1:40" x14ac:dyDescent="0.3">
      <c r="A118" s="489" t="s">
        <v>1607</v>
      </c>
      <c r="B118" s="489" t="s">
        <v>1710</v>
      </c>
      <c r="C118" s="489" t="s">
        <v>1839</v>
      </c>
      <c r="D118" s="489" t="s">
        <v>46</v>
      </c>
      <c r="E118" s="619">
        <v>39</v>
      </c>
      <c r="F118" s="627">
        <f t="shared" si="6"/>
        <v>1734.7692307692307</v>
      </c>
      <c r="G118" s="628">
        <f t="shared" si="9"/>
        <v>1755</v>
      </c>
      <c r="H118" s="628">
        <f t="shared" si="9"/>
        <v>1751.5714285714287</v>
      </c>
      <c r="I118" s="628">
        <f t="shared" si="9"/>
        <v>1760</v>
      </c>
      <c r="J118" s="628">
        <f t="shared" si="9"/>
        <v>1753</v>
      </c>
      <c r="K118" s="628">
        <f t="shared" si="9"/>
        <v>1753</v>
      </c>
      <c r="L118" s="628">
        <f t="shared" si="9"/>
        <v>1753</v>
      </c>
      <c r="M118" s="628">
        <f t="shared" si="9"/>
        <v>1751</v>
      </c>
      <c r="N118" s="628">
        <f t="shared" si="9"/>
        <v>1744</v>
      </c>
      <c r="O118" s="628">
        <f t="shared" si="9"/>
        <v>1736.6666666666667</v>
      </c>
      <c r="P118" s="628">
        <f t="shared" si="9"/>
        <v>1796.5</v>
      </c>
      <c r="Q118" s="628">
        <f t="shared" si="9"/>
        <v>1796.5</v>
      </c>
      <c r="R118" s="628">
        <f t="shared" si="9"/>
        <v>1751</v>
      </c>
      <c r="S118" s="628">
        <f t="shared" si="9"/>
        <v>1741.3333333333333</v>
      </c>
      <c r="T118" s="628">
        <f t="shared" si="9"/>
        <v>1751</v>
      </c>
      <c r="U118" s="628">
        <f t="shared" si="9"/>
        <v>1640</v>
      </c>
      <c r="Y118" s="627">
        <v>1734.7692307692307</v>
      </c>
      <c r="Z118" s="628">
        <v>1755</v>
      </c>
      <c r="AA118" s="628">
        <v>1751.5714285714287</v>
      </c>
      <c r="AB118" s="628">
        <v>1760</v>
      </c>
      <c r="AC118" s="628">
        <v>0</v>
      </c>
      <c r="AD118" s="628">
        <v>0</v>
      </c>
      <c r="AE118" s="628">
        <v>1753</v>
      </c>
      <c r="AF118" s="628">
        <v>1751</v>
      </c>
      <c r="AG118" s="628">
        <v>1744</v>
      </c>
      <c r="AH118" s="628">
        <v>1736.6666666666667</v>
      </c>
      <c r="AI118" s="628">
        <v>0</v>
      </c>
      <c r="AJ118" s="628">
        <v>1796.5</v>
      </c>
      <c r="AK118" s="628">
        <v>1751</v>
      </c>
      <c r="AL118" s="628">
        <v>1741.3333333333333</v>
      </c>
      <c r="AM118" s="628">
        <v>1751</v>
      </c>
      <c r="AN118" s="628">
        <v>1640</v>
      </c>
    </row>
    <row r="119" spans="1:40" x14ac:dyDescent="0.3">
      <c r="A119" s="489" t="s">
        <v>1414</v>
      </c>
      <c r="B119" s="489" t="s">
        <v>1711</v>
      </c>
      <c r="C119" s="489" t="s">
        <v>1840</v>
      </c>
      <c r="D119" s="489" t="s">
        <v>46</v>
      </c>
      <c r="E119" s="619">
        <v>39</v>
      </c>
      <c r="F119" s="627">
        <f t="shared" si="6"/>
        <v>2027.5384615384614</v>
      </c>
      <c r="G119" s="628">
        <f t="shared" si="9"/>
        <v>1950</v>
      </c>
      <c r="H119" s="628">
        <f t="shared" si="9"/>
        <v>1950</v>
      </c>
      <c r="I119" s="628">
        <f t="shared" si="9"/>
        <v>2086</v>
      </c>
      <c r="J119" s="628">
        <f t="shared" si="9"/>
        <v>2255</v>
      </c>
      <c r="K119" s="628">
        <f t="shared" si="9"/>
        <v>2255</v>
      </c>
      <c r="L119" s="628">
        <f t="shared" si="9"/>
        <v>2255</v>
      </c>
      <c r="M119" s="628">
        <f t="shared" si="9"/>
        <v>1962.5</v>
      </c>
      <c r="N119" s="628">
        <f t="shared" si="9"/>
        <v>1962.5</v>
      </c>
      <c r="O119" s="628">
        <f t="shared" si="9"/>
        <v>2116</v>
      </c>
      <c r="P119" s="628">
        <f t="shared" si="9"/>
        <v>2089.625</v>
      </c>
      <c r="Q119" s="628">
        <f t="shared" si="9"/>
        <v>2033.4</v>
      </c>
      <c r="R119" s="628">
        <f t="shared" si="9"/>
        <v>1995.3333333333333</v>
      </c>
      <c r="S119" s="628">
        <f t="shared" si="9"/>
        <v>1988.3333333333333</v>
      </c>
      <c r="T119" s="628">
        <f t="shared" si="9"/>
        <v>1968.75</v>
      </c>
      <c r="U119" s="628">
        <f t="shared" si="9"/>
        <v>0</v>
      </c>
      <c r="Y119" s="627">
        <v>2027.5384615384614</v>
      </c>
      <c r="Z119" s="628">
        <v>0</v>
      </c>
      <c r="AA119" s="628">
        <v>1950</v>
      </c>
      <c r="AB119" s="628">
        <v>2086</v>
      </c>
      <c r="AC119" s="628">
        <v>0</v>
      </c>
      <c r="AD119" s="628">
        <v>0</v>
      </c>
      <c r="AE119" s="628">
        <v>2255</v>
      </c>
      <c r="AF119" s="628">
        <v>0</v>
      </c>
      <c r="AG119" s="628">
        <v>1962.5</v>
      </c>
      <c r="AH119" s="628">
        <v>2116</v>
      </c>
      <c r="AI119" s="628">
        <v>2089.625</v>
      </c>
      <c r="AJ119" s="628">
        <v>2033.4</v>
      </c>
      <c r="AK119" s="628">
        <v>1995.3333333333333</v>
      </c>
      <c r="AL119" s="628">
        <v>1988.3333333333333</v>
      </c>
      <c r="AM119" s="628">
        <v>1968.75</v>
      </c>
      <c r="AN119" s="628">
        <v>0</v>
      </c>
    </row>
    <row r="120" spans="1:40" x14ac:dyDescent="0.3">
      <c r="A120" s="489" t="s">
        <v>1591</v>
      </c>
      <c r="B120" s="489" t="s">
        <v>1712</v>
      </c>
      <c r="C120" s="489" t="s">
        <v>1712</v>
      </c>
      <c r="D120" s="489" t="s">
        <v>141</v>
      </c>
      <c r="E120" s="619">
        <v>39</v>
      </c>
      <c r="F120" s="627">
        <f t="shared" si="6"/>
        <v>1609.0769230769231</v>
      </c>
      <c r="G120" s="628">
        <f t="shared" si="9"/>
        <v>1609.5294117647059</v>
      </c>
      <c r="H120" s="628">
        <f t="shared" si="9"/>
        <v>1609.5294117647059</v>
      </c>
      <c r="I120" s="628">
        <f t="shared" si="9"/>
        <v>1609.5294117647059</v>
      </c>
      <c r="J120" s="628">
        <f t="shared" si="9"/>
        <v>1609.5294117647059</v>
      </c>
      <c r="K120" s="628">
        <f t="shared" si="9"/>
        <v>1609.5294117647059</v>
      </c>
      <c r="L120" s="628">
        <f t="shared" si="9"/>
        <v>1620</v>
      </c>
      <c r="M120" s="628">
        <f t="shared" si="9"/>
        <v>1617.4285714285713</v>
      </c>
      <c r="N120" s="628">
        <f t="shared" si="9"/>
        <v>1514</v>
      </c>
      <c r="O120" s="628">
        <f t="shared" si="9"/>
        <v>1514</v>
      </c>
      <c r="P120" s="628">
        <f t="shared" si="9"/>
        <v>1514</v>
      </c>
      <c r="Q120" s="628">
        <f t="shared" si="9"/>
        <v>1514</v>
      </c>
      <c r="R120" s="628">
        <f t="shared" si="9"/>
        <v>0</v>
      </c>
      <c r="S120" s="628">
        <f t="shared" si="9"/>
        <v>0</v>
      </c>
      <c r="T120" s="628">
        <f t="shared" si="9"/>
        <v>0</v>
      </c>
      <c r="U120" s="628">
        <f t="shared" si="9"/>
        <v>0</v>
      </c>
      <c r="Y120" s="627">
        <v>1609.0769230769231</v>
      </c>
      <c r="Z120" s="628">
        <v>0</v>
      </c>
      <c r="AA120" s="628">
        <v>0</v>
      </c>
      <c r="AB120" s="628">
        <v>0</v>
      </c>
      <c r="AC120" s="628">
        <v>0</v>
      </c>
      <c r="AD120" s="628">
        <v>1609.5294117647059</v>
      </c>
      <c r="AE120" s="628">
        <v>1620</v>
      </c>
      <c r="AF120" s="628">
        <v>1617.4285714285713</v>
      </c>
      <c r="AG120" s="628">
        <v>0</v>
      </c>
      <c r="AH120" s="628">
        <v>0</v>
      </c>
      <c r="AI120" s="628">
        <v>0</v>
      </c>
      <c r="AJ120" s="628">
        <v>1514</v>
      </c>
      <c r="AK120" s="628">
        <v>0</v>
      </c>
      <c r="AL120" s="628">
        <v>0</v>
      </c>
      <c r="AM120" s="628">
        <v>0</v>
      </c>
      <c r="AN120" s="628">
        <v>0</v>
      </c>
    </row>
    <row r="121" spans="1:40" x14ac:dyDescent="0.3">
      <c r="A121" s="489" t="s">
        <v>1417</v>
      </c>
      <c r="B121" s="489" t="s">
        <v>1418</v>
      </c>
      <c r="C121" s="489" t="s">
        <v>1232</v>
      </c>
      <c r="D121" s="489" t="s">
        <v>1929</v>
      </c>
      <c r="E121" s="619">
        <v>39</v>
      </c>
      <c r="F121" s="627">
        <f t="shared" si="6"/>
        <v>1398.1025641025642</v>
      </c>
      <c r="G121" s="628">
        <f t="shared" si="9"/>
        <v>1392.5</v>
      </c>
      <c r="H121" s="628">
        <f t="shared" si="9"/>
        <v>1390</v>
      </c>
      <c r="I121" s="628">
        <f t="shared" si="9"/>
        <v>1408</v>
      </c>
      <c r="J121" s="628">
        <f t="shared" si="9"/>
        <v>1390</v>
      </c>
      <c r="K121" s="628">
        <f t="shared" si="9"/>
        <v>1390</v>
      </c>
      <c r="L121" s="628">
        <f t="shared" si="9"/>
        <v>1390</v>
      </c>
      <c r="M121" s="628">
        <f t="shared" si="9"/>
        <v>1406</v>
      </c>
      <c r="N121" s="628">
        <f t="shared" si="9"/>
        <v>1406</v>
      </c>
      <c r="O121" s="628">
        <f t="shared" si="9"/>
        <v>1400</v>
      </c>
      <c r="P121" s="628">
        <f t="shared" si="9"/>
        <v>0</v>
      </c>
      <c r="Q121" s="628">
        <f t="shared" si="9"/>
        <v>0</v>
      </c>
      <c r="R121" s="628">
        <f t="shared" si="9"/>
        <v>0</v>
      </c>
      <c r="S121" s="628">
        <f t="shared" si="9"/>
        <v>0</v>
      </c>
      <c r="T121" s="628">
        <f t="shared" si="9"/>
        <v>0</v>
      </c>
      <c r="U121" s="628">
        <f t="shared" si="9"/>
        <v>0</v>
      </c>
      <c r="Y121" s="627">
        <v>1398.1025641025642</v>
      </c>
      <c r="Z121" s="628">
        <v>1392.5</v>
      </c>
      <c r="AA121" s="628">
        <v>1390</v>
      </c>
      <c r="AB121" s="628">
        <v>1408</v>
      </c>
      <c r="AC121" s="628">
        <v>0</v>
      </c>
      <c r="AD121" s="628">
        <v>1390</v>
      </c>
      <c r="AE121" s="628">
        <v>1390</v>
      </c>
      <c r="AF121" s="628">
        <v>1406</v>
      </c>
      <c r="AG121" s="628">
        <v>1406</v>
      </c>
      <c r="AH121" s="628">
        <v>1400</v>
      </c>
      <c r="AI121" s="628">
        <v>0</v>
      </c>
      <c r="AJ121" s="628">
        <v>0</v>
      </c>
      <c r="AK121" s="628">
        <v>0</v>
      </c>
      <c r="AL121" s="628">
        <v>0</v>
      </c>
      <c r="AM121" s="628">
        <v>0</v>
      </c>
      <c r="AN121" s="628">
        <v>0</v>
      </c>
    </row>
    <row r="122" spans="1:40" x14ac:dyDescent="0.3">
      <c r="A122" s="489" t="s">
        <v>1713</v>
      </c>
      <c r="B122" s="489" t="s">
        <v>1714</v>
      </c>
      <c r="C122" s="489" t="s">
        <v>1841</v>
      </c>
      <c r="D122" s="489" t="s">
        <v>1929</v>
      </c>
      <c r="E122" s="619">
        <v>38</v>
      </c>
      <c r="F122" s="627">
        <f t="shared" si="6"/>
        <v>1175.2631578947369</v>
      </c>
      <c r="G122" s="628">
        <f t="shared" si="9"/>
        <v>1176</v>
      </c>
      <c r="H122" s="628">
        <f t="shared" si="9"/>
        <v>1176</v>
      </c>
      <c r="I122" s="628">
        <f t="shared" si="9"/>
        <v>1176</v>
      </c>
      <c r="J122" s="628">
        <f t="shared" si="9"/>
        <v>1176</v>
      </c>
      <c r="K122" s="628">
        <f t="shared" si="9"/>
        <v>1176</v>
      </c>
      <c r="L122" s="628">
        <f t="shared" si="9"/>
        <v>1176</v>
      </c>
      <c r="M122" s="628">
        <f t="shared" si="9"/>
        <v>1176</v>
      </c>
      <c r="N122" s="628">
        <f t="shared" si="9"/>
        <v>1176</v>
      </c>
      <c r="O122" s="628">
        <f t="shared" si="9"/>
        <v>1176</v>
      </c>
      <c r="P122" s="628">
        <f t="shared" si="9"/>
        <v>1176</v>
      </c>
      <c r="Q122" s="628">
        <f t="shared" si="9"/>
        <v>1176</v>
      </c>
      <c r="R122" s="628">
        <f t="shared" si="9"/>
        <v>1176</v>
      </c>
      <c r="S122" s="628">
        <f t="shared" si="9"/>
        <v>1173.2</v>
      </c>
      <c r="T122" s="628">
        <f t="shared" si="9"/>
        <v>1174.5999999999999</v>
      </c>
      <c r="U122" s="628">
        <f t="shared" si="9"/>
        <v>1176</v>
      </c>
      <c r="Y122" s="627">
        <v>1175.2631578947369</v>
      </c>
      <c r="Z122" s="628">
        <v>0</v>
      </c>
      <c r="AA122" s="628">
        <v>0</v>
      </c>
      <c r="AB122" s="628">
        <v>0</v>
      </c>
      <c r="AC122" s="628">
        <v>0</v>
      </c>
      <c r="AD122" s="628">
        <v>0</v>
      </c>
      <c r="AE122" s="628">
        <v>0</v>
      </c>
      <c r="AF122" s="628">
        <v>0</v>
      </c>
      <c r="AG122" s="628">
        <v>0</v>
      </c>
      <c r="AH122" s="628">
        <v>0</v>
      </c>
      <c r="AI122" s="628">
        <v>0</v>
      </c>
      <c r="AJ122" s="628">
        <v>1176</v>
      </c>
      <c r="AK122" s="628">
        <v>1176</v>
      </c>
      <c r="AL122" s="628">
        <v>1173.2</v>
      </c>
      <c r="AM122" s="628">
        <v>1174.5999999999999</v>
      </c>
      <c r="AN122" s="628">
        <v>1176</v>
      </c>
    </row>
    <row r="123" spans="1:40" x14ac:dyDescent="0.3">
      <c r="A123" s="489" t="s">
        <v>1715</v>
      </c>
      <c r="B123" s="489" t="s">
        <v>1716</v>
      </c>
      <c r="C123" s="489" t="s">
        <v>1716</v>
      </c>
      <c r="D123" s="489" t="s">
        <v>141</v>
      </c>
      <c r="E123" s="619">
        <v>38</v>
      </c>
      <c r="F123" s="627">
        <f t="shared" si="6"/>
        <v>1578.8947368421052</v>
      </c>
      <c r="G123" s="628">
        <f t="shared" si="9"/>
        <v>1595</v>
      </c>
      <c r="H123" s="628">
        <f t="shared" si="9"/>
        <v>1595</v>
      </c>
      <c r="I123" s="628">
        <f t="shared" si="9"/>
        <v>1567.625</v>
      </c>
      <c r="J123" s="628">
        <f t="shared" si="9"/>
        <v>1507</v>
      </c>
      <c r="K123" s="628">
        <f t="shared" si="9"/>
        <v>1507</v>
      </c>
      <c r="L123" s="628">
        <f t="shared" si="9"/>
        <v>1466</v>
      </c>
      <c r="M123" s="628">
        <f t="shared" si="9"/>
        <v>0</v>
      </c>
      <c r="N123" s="628">
        <f t="shared" si="9"/>
        <v>0</v>
      </c>
      <c r="O123" s="628">
        <f t="shared" si="9"/>
        <v>0</v>
      </c>
      <c r="P123" s="628">
        <f t="shared" si="9"/>
        <v>0</v>
      </c>
      <c r="Q123" s="628">
        <f t="shared" si="9"/>
        <v>0</v>
      </c>
      <c r="R123" s="628">
        <f t="shared" si="9"/>
        <v>0</v>
      </c>
      <c r="S123" s="628">
        <f t="shared" si="9"/>
        <v>0</v>
      </c>
      <c r="T123" s="628">
        <f t="shared" si="9"/>
        <v>0</v>
      </c>
      <c r="U123" s="628">
        <f t="shared" si="9"/>
        <v>0</v>
      </c>
      <c r="Y123" s="627">
        <v>1578.8947368421052</v>
      </c>
      <c r="Z123" s="628">
        <v>1595</v>
      </c>
      <c r="AA123" s="628">
        <v>1595</v>
      </c>
      <c r="AB123" s="628">
        <v>1567.625</v>
      </c>
      <c r="AC123" s="628">
        <v>1507</v>
      </c>
      <c r="AD123" s="628">
        <v>1507</v>
      </c>
      <c r="AE123" s="628">
        <v>1466</v>
      </c>
      <c r="AF123" s="628">
        <v>0</v>
      </c>
      <c r="AG123" s="628">
        <v>0</v>
      </c>
      <c r="AH123" s="628">
        <v>0</v>
      </c>
      <c r="AI123" s="628">
        <v>0</v>
      </c>
      <c r="AJ123" s="628">
        <v>0</v>
      </c>
      <c r="AK123" s="628">
        <v>0</v>
      </c>
      <c r="AL123" s="628">
        <v>0</v>
      </c>
      <c r="AM123" s="628">
        <v>0</v>
      </c>
      <c r="AN123" s="628">
        <v>0</v>
      </c>
    </row>
    <row r="124" spans="1:40" x14ac:dyDescent="0.3">
      <c r="A124" s="489" t="s">
        <v>1414</v>
      </c>
      <c r="B124" s="489" t="s">
        <v>1717</v>
      </c>
      <c r="C124" s="489" t="s">
        <v>1842</v>
      </c>
      <c r="D124" s="489" t="s">
        <v>141</v>
      </c>
      <c r="E124" s="619">
        <v>38</v>
      </c>
      <c r="F124" s="627">
        <f t="shared" si="6"/>
        <v>2271.3157894736842</v>
      </c>
      <c r="G124" s="628">
        <f t="shared" si="9"/>
        <v>2321.4285714285716</v>
      </c>
      <c r="H124" s="628">
        <f t="shared" si="9"/>
        <v>2264.6875</v>
      </c>
      <c r="I124" s="628">
        <f t="shared" si="9"/>
        <v>2255</v>
      </c>
      <c r="J124" s="628">
        <f t="shared" si="9"/>
        <v>0</v>
      </c>
      <c r="K124" s="628">
        <f t="shared" si="9"/>
        <v>0</v>
      </c>
      <c r="L124" s="628">
        <f t="shared" si="9"/>
        <v>0</v>
      </c>
      <c r="M124" s="628">
        <f t="shared" si="9"/>
        <v>0</v>
      </c>
      <c r="N124" s="628">
        <f t="shared" si="9"/>
        <v>0</v>
      </c>
      <c r="O124" s="628">
        <f t="shared" si="9"/>
        <v>0</v>
      </c>
      <c r="P124" s="628">
        <f t="shared" si="9"/>
        <v>0</v>
      </c>
      <c r="Q124" s="628">
        <f t="shared" si="9"/>
        <v>0</v>
      </c>
      <c r="R124" s="628">
        <f t="shared" si="9"/>
        <v>0</v>
      </c>
      <c r="S124" s="628">
        <f t="shared" si="9"/>
        <v>0</v>
      </c>
      <c r="T124" s="628">
        <f t="shared" si="9"/>
        <v>0</v>
      </c>
      <c r="U124" s="628">
        <f t="shared" si="9"/>
        <v>0</v>
      </c>
      <c r="Y124" s="627">
        <v>2271.3157894736842</v>
      </c>
      <c r="Z124" s="628">
        <v>2321.4285714285716</v>
      </c>
      <c r="AA124" s="628">
        <v>2264.6875</v>
      </c>
      <c r="AB124" s="628">
        <v>2255</v>
      </c>
      <c r="AC124" s="628">
        <v>0</v>
      </c>
      <c r="AD124" s="628">
        <v>0</v>
      </c>
      <c r="AE124" s="628">
        <v>0</v>
      </c>
      <c r="AF124" s="628">
        <v>0</v>
      </c>
      <c r="AG124" s="628">
        <v>0</v>
      </c>
      <c r="AH124" s="628">
        <v>0</v>
      </c>
      <c r="AI124" s="628">
        <v>0</v>
      </c>
      <c r="AJ124" s="628">
        <v>0</v>
      </c>
      <c r="AK124" s="628">
        <v>0</v>
      </c>
      <c r="AL124" s="628">
        <v>0</v>
      </c>
      <c r="AM124" s="628">
        <v>0</v>
      </c>
      <c r="AN124" s="628">
        <v>0</v>
      </c>
    </row>
    <row r="125" spans="1:40" x14ac:dyDescent="0.3">
      <c r="A125" s="489" t="s">
        <v>1441</v>
      </c>
      <c r="B125" s="489" t="s">
        <v>1718</v>
      </c>
      <c r="C125" s="489" t="s">
        <v>1843</v>
      </c>
      <c r="D125" s="489" t="s">
        <v>46</v>
      </c>
      <c r="E125" s="619">
        <v>37</v>
      </c>
      <c r="F125" s="627">
        <f t="shared" si="6"/>
        <v>1626.2432432432433</v>
      </c>
      <c r="G125" s="628">
        <f t="shared" si="9"/>
        <v>1621.5</v>
      </c>
      <c r="H125" s="628">
        <f t="shared" si="9"/>
        <v>1627.5517241379309</v>
      </c>
      <c r="I125" s="628">
        <f t="shared" si="9"/>
        <v>0</v>
      </c>
      <c r="J125" s="628">
        <f t="shared" si="9"/>
        <v>0</v>
      </c>
      <c r="K125" s="628">
        <f t="shared" si="9"/>
        <v>0</v>
      </c>
      <c r="L125" s="628">
        <f t="shared" si="9"/>
        <v>0</v>
      </c>
      <c r="M125" s="628">
        <f t="shared" si="9"/>
        <v>0</v>
      </c>
      <c r="N125" s="628">
        <f t="shared" si="9"/>
        <v>0</v>
      </c>
      <c r="O125" s="628">
        <f t="shared" si="9"/>
        <v>0</v>
      </c>
      <c r="P125" s="628">
        <f t="shared" si="9"/>
        <v>0</v>
      </c>
      <c r="Q125" s="628">
        <f t="shared" si="9"/>
        <v>0</v>
      </c>
      <c r="R125" s="628">
        <f t="shared" si="9"/>
        <v>0</v>
      </c>
      <c r="S125" s="628">
        <f t="shared" si="9"/>
        <v>0</v>
      </c>
      <c r="T125" s="628">
        <f t="shared" si="9"/>
        <v>0</v>
      </c>
      <c r="U125" s="628">
        <f t="shared" si="9"/>
        <v>0</v>
      </c>
      <c r="Y125" s="627">
        <v>1626.2432432432433</v>
      </c>
      <c r="Z125" s="628">
        <v>1621.5</v>
      </c>
      <c r="AA125" s="628">
        <v>1627.5517241379309</v>
      </c>
      <c r="AB125" s="628">
        <v>0</v>
      </c>
      <c r="AC125" s="628">
        <v>0</v>
      </c>
      <c r="AD125" s="628">
        <v>0</v>
      </c>
      <c r="AE125" s="628">
        <v>0</v>
      </c>
      <c r="AF125" s="628">
        <v>0</v>
      </c>
      <c r="AG125" s="628">
        <v>0</v>
      </c>
      <c r="AH125" s="628">
        <v>0</v>
      </c>
      <c r="AI125" s="628">
        <v>0</v>
      </c>
      <c r="AJ125" s="628">
        <v>0</v>
      </c>
      <c r="AK125" s="628">
        <v>0</v>
      </c>
      <c r="AL125" s="628">
        <v>0</v>
      </c>
      <c r="AM125" s="628">
        <v>0</v>
      </c>
      <c r="AN125" s="628">
        <v>0</v>
      </c>
    </row>
    <row r="126" spans="1:40" x14ac:dyDescent="0.3">
      <c r="A126" s="489" t="s">
        <v>1694</v>
      </c>
      <c r="B126" s="489" t="s">
        <v>1719</v>
      </c>
      <c r="C126" s="489" t="s">
        <v>1844</v>
      </c>
      <c r="D126" s="489" t="s">
        <v>46</v>
      </c>
      <c r="E126" s="619">
        <v>36</v>
      </c>
      <c r="F126" s="627">
        <f t="shared" si="6"/>
        <v>1697.9166666666667</v>
      </c>
      <c r="G126" s="628">
        <f t="shared" si="9"/>
        <v>1717.5</v>
      </c>
      <c r="H126" s="628">
        <f t="shared" si="9"/>
        <v>1785</v>
      </c>
      <c r="I126" s="628">
        <f t="shared" si="9"/>
        <v>1700</v>
      </c>
      <c r="J126" s="628">
        <f t="shared" si="9"/>
        <v>1662.5</v>
      </c>
      <c r="K126" s="628">
        <f t="shared" si="9"/>
        <v>1700</v>
      </c>
      <c r="L126" s="628">
        <f t="shared" si="9"/>
        <v>1700</v>
      </c>
      <c r="M126" s="628">
        <f t="shared" si="9"/>
        <v>1684.375</v>
      </c>
      <c r="N126" s="628">
        <f t="shared" si="9"/>
        <v>1711</v>
      </c>
      <c r="O126" s="628">
        <f t="shared" si="9"/>
        <v>1700</v>
      </c>
      <c r="P126" s="628">
        <f t="shared" si="9"/>
        <v>1662.5</v>
      </c>
      <c r="Q126" s="628">
        <f t="shared" si="9"/>
        <v>1625</v>
      </c>
      <c r="R126" s="628">
        <f t="shared" si="9"/>
        <v>1830</v>
      </c>
      <c r="S126" s="628">
        <f t="shared" si="9"/>
        <v>1765</v>
      </c>
      <c r="T126" s="628">
        <f t="shared" si="9"/>
        <v>0</v>
      </c>
      <c r="U126" s="628">
        <f t="shared" si="9"/>
        <v>0</v>
      </c>
      <c r="Y126" s="627">
        <v>1697.9166666666667</v>
      </c>
      <c r="Z126" s="628">
        <v>1717.5</v>
      </c>
      <c r="AA126" s="628">
        <v>1785</v>
      </c>
      <c r="AB126" s="628">
        <v>1700</v>
      </c>
      <c r="AC126" s="628">
        <v>1662.5</v>
      </c>
      <c r="AD126" s="628">
        <v>1700</v>
      </c>
      <c r="AE126" s="628">
        <v>1700</v>
      </c>
      <c r="AF126" s="628">
        <v>1684.375</v>
      </c>
      <c r="AG126" s="628">
        <v>1711</v>
      </c>
      <c r="AH126" s="628">
        <v>1700</v>
      </c>
      <c r="AI126" s="628">
        <v>1662.5</v>
      </c>
      <c r="AJ126" s="628">
        <v>1625</v>
      </c>
      <c r="AK126" s="628">
        <v>1830</v>
      </c>
      <c r="AL126" s="628">
        <v>1765</v>
      </c>
      <c r="AM126" s="628">
        <v>0</v>
      </c>
      <c r="AN126" s="628">
        <v>0</v>
      </c>
    </row>
    <row r="127" spans="1:40" x14ac:dyDescent="0.3">
      <c r="A127" s="489" t="s">
        <v>1544</v>
      </c>
      <c r="B127" s="489" t="s">
        <v>1720</v>
      </c>
      <c r="C127" s="489" t="s">
        <v>1845</v>
      </c>
      <c r="D127" s="489" t="s">
        <v>46</v>
      </c>
      <c r="E127" s="619">
        <v>36</v>
      </c>
      <c r="F127" s="627">
        <f t="shared" si="6"/>
        <v>1444.4166666666667</v>
      </c>
      <c r="G127" s="628">
        <f t="shared" si="9"/>
        <v>1497</v>
      </c>
      <c r="H127" s="628">
        <f t="shared" si="9"/>
        <v>1497</v>
      </c>
      <c r="I127" s="628">
        <f t="shared" si="9"/>
        <v>1497</v>
      </c>
      <c r="J127" s="628">
        <f t="shared" si="9"/>
        <v>1497</v>
      </c>
      <c r="K127" s="628">
        <f t="shared" si="9"/>
        <v>1497</v>
      </c>
      <c r="L127" s="628">
        <f t="shared" si="9"/>
        <v>1497</v>
      </c>
      <c r="M127" s="628">
        <f t="shared" si="9"/>
        <v>1498.8</v>
      </c>
      <c r="N127" s="628">
        <f t="shared" si="9"/>
        <v>1401</v>
      </c>
      <c r="O127" s="628">
        <f t="shared" si="9"/>
        <v>1401</v>
      </c>
      <c r="P127" s="628">
        <f t="shared" si="9"/>
        <v>1404</v>
      </c>
      <c r="Q127" s="628">
        <f t="shared" si="9"/>
        <v>1404</v>
      </c>
      <c r="R127" s="628">
        <f t="shared" si="9"/>
        <v>1404</v>
      </c>
      <c r="S127" s="628">
        <f t="shared" si="9"/>
        <v>0</v>
      </c>
      <c r="T127" s="628">
        <f t="shared" si="9"/>
        <v>0</v>
      </c>
      <c r="U127" s="628">
        <f t="shared" si="9"/>
        <v>0</v>
      </c>
      <c r="Y127" s="627">
        <v>1444.4166666666667</v>
      </c>
      <c r="Z127" s="628">
        <v>0</v>
      </c>
      <c r="AA127" s="628">
        <v>0</v>
      </c>
      <c r="AB127" s="628">
        <v>0</v>
      </c>
      <c r="AC127" s="628">
        <v>0</v>
      </c>
      <c r="AD127" s="628">
        <v>0</v>
      </c>
      <c r="AE127" s="628">
        <v>1497</v>
      </c>
      <c r="AF127" s="628">
        <v>1498.8</v>
      </c>
      <c r="AG127" s="628">
        <v>1401</v>
      </c>
      <c r="AH127" s="628">
        <v>1401</v>
      </c>
      <c r="AI127" s="628">
        <v>1404</v>
      </c>
      <c r="AJ127" s="628">
        <v>0</v>
      </c>
      <c r="AK127" s="628">
        <v>1404</v>
      </c>
      <c r="AL127" s="628">
        <v>0</v>
      </c>
      <c r="AM127" s="628">
        <v>0</v>
      </c>
      <c r="AN127" s="628">
        <v>0</v>
      </c>
    </row>
    <row r="128" spans="1:40" x14ac:dyDescent="0.3">
      <c r="A128" s="489" t="s">
        <v>1414</v>
      </c>
      <c r="B128" s="489" t="s">
        <v>1721</v>
      </c>
      <c r="C128" s="489" t="s">
        <v>1846</v>
      </c>
      <c r="D128" s="489" t="s">
        <v>46</v>
      </c>
      <c r="E128" s="619">
        <v>35</v>
      </c>
      <c r="F128" s="627">
        <f t="shared" si="6"/>
        <v>1532.1428571428571</v>
      </c>
      <c r="G128" s="628">
        <f t="shared" si="9"/>
        <v>1545</v>
      </c>
      <c r="H128" s="628">
        <f t="shared" si="9"/>
        <v>1545</v>
      </c>
      <c r="I128" s="628">
        <f t="shared" si="9"/>
        <v>1545</v>
      </c>
      <c r="J128" s="628">
        <f t="shared" si="9"/>
        <v>1545</v>
      </c>
      <c r="K128" s="628">
        <f t="shared" si="9"/>
        <v>1545</v>
      </c>
      <c r="L128" s="628">
        <f t="shared" si="9"/>
        <v>1550</v>
      </c>
      <c r="M128" s="628">
        <f t="shared" si="9"/>
        <v>1550</v>
      </c>
      <c r="N128" s="628">
        <f t="shared" si="9"/>
        <v>1530</v>
      </c>
      <c r="O128" s="628">
        <f t="shared" si="9"/>
        <v>1500</v>
      </c>
      <c r="P128" s="628">
        <f t="shared" si="9"/>
        <v>1531.25</v>
      </c>
      <c r="Q128" s="628">
        <f t="shared" si="9"/>
        <v>1531.25</v>
      </c>
      <c r="R128" s="628">
        <f t="shared" si="9"/>
        <v>1531.25</v>
      </c>
      <c r="S128" s="628">
        <f t="shared" si="9"/>
        <v>1533.3333333333333</v>
      </c>
      <c r="T128" s="628">
        <f t="shared" si="9"/>
        <v>1540</v>
      </c>
      <c r="U128" s="628">
        <f t="shared" si="9"/>
        <v>1520</v>
      </c>
      <c r="Y128" s="627">
        <v>1532.1428571428571</v>
      </c>
      <c r="Z128" s="628">
        <v>0</v>
      </c>
      <c r="AA128" s="628">
        <v>1545</v>
      </c>
      <c r="AB128" s="628">
        <v>0</v>
      </c>
      <c r="AC128" s="628">
        <v>0</v>
      </c>
      <c r="AD128" s="628">
        <v>1545</v>
      </c>
      <c r="AE128" s="628">
        <v>0</v>
      </c>
      <c r="AF128" s="628">
        <v>1550</v>
      </c>
      <c r="AG128" s="628">
        <v>1530</v>
      </c>
      <c r="AH128" s="628">
        <v>1500</v>
      </c>
      <c r="AI128" s="628">
        <v>0</v>
      </c>
      <c r="AJ128" s="628">
        <v>0</v>
      </c>
      <c r="AK128" s="628">
        <v>1531.25</v>
      </c>
      <c r="AL128" s="628">
        <v>1533.3333333333333</v>
      </c>
      <c r="AM128" s="628">
        <v>1540</v>
      </c>
      <c r="AN128" s="628">
        <v>1520</v>
      </c>
    </row>
    <row r="129" spans="1:40" x14ac:dyDescent="0.3">
      <c r="A129" s="489" t="s">
        <v>1677</v>
      </c>
      <c r="B129" s="489" t="s">
        <v>1722</v>
      </c>
      <c r="C129" s="489" t="s">
        <v>1847</v>
      </c>
      <c r="D129" s="489" t="s">
        <v>46</v>
      </c>
      <c r="E129" s="619">
        <v>35</v>
      </c>
      <c r="F129" s="627">
        <f t="shared" si="6"/>
        <v>1634.4285714285713</v>
      </c>
      <c r="G129" s="628">
        <f t="shared" si="9"/>
        <v>1690</v>
      </c>
      <c r="H129" s="628">
        <f t="shared" si="9"/>
        <v>1690</v>
      </c>
      <c r="I129" s="628">
        <f t="shared" si="9"/>
        <v>1690</v>
      </c>
      <c r="J129" s="628">
        <f t="shared" si="9"/>
        <v>1690</v>
      </c>
      <c r="K129" s="628">
        <f t="shared" si="9"/>
        <v>1495</v>
      </c>
      <c r="L129" s="628">
        <f t="shared" si="9"/>
        <v>1495</v>
      </c>
      <c r="M129" s="628">
        <f t="shared" si="9"/>
        <v>1665</v>
      </c>
      <c r="N129" s="628">
        <f t="shared" si="9"/>
        <v>1595</v>
      </c>
      <c r="O129" s="628">
        <f t="shared" si="9"/>
        <v>1765</v>
      </c>
      <c r="P129" s="628">
        <f t="shared" si="9"/>
        <v>1665</v>
      </c>
      <c r="Q129" s="628">
        <f t="shared" si="9"/>
        <v>1595</v>
      </c>
      <c r="R129" s="628">
        <f t="shared" si="9"/>
        <v>1656.3636363636363</v>
      </c>
      <c r="S129" s="628">
        <f t="shared" si="9"/>
        <v>1690</v>
      </c>
      <c r="T129" s="628">
        <f t="shared" si="9"/>
        <v>1600</v>
      </c>
      <c r="U129" s="628">
        <f t="shared" si="9"/>
        <v>1586.6666666666667</v>
      </c>
      <c r="Y129" s="627">
        <v>1634.4285714285713</v>
      </c>
      <c r="Z129" s="628">
        <v>0</v>
      </c>
      <c r="AA129" s="628">
        <v>0</v>
      </c>
      <c r="AB129" s="628">
        <v>0</v>
      </c>
      <c r="AC129" s="628">
        <v>1690</v>
      </c>
      <c r="AD129" s="628">
        <v>0</v>
      </c>
      <c r="AE129" s="628">
        <v>1495</v>
      </c>
      <c r="AF129" s="628">
        <v>1665</v>
      </c>
      <c r="AG129" s="628">
        <v>1595</v>
      </c>
      <c r="AH129" s="628">
        <v>1765</v>
      </c>
      <c r="AI129" s="628">
        <v>1665</v>
      </c>
      <c r="AJ129" s="628">
        <v>1595</v>
      </c>
      <c r="AK129" s="628">
        <v>1656.3636363636363</v>
      </c>
      <c r="AL129" s="628">
        <v>1690</v>
      </c>
      <c r="AM129" s="628">
        <v>1600</v>
      </c>
      <c r="AN129" s="628">
        <v>1586.6666666666667</v>
      </c>
    </row>
    <row r="130" spans="1:40" x14ac:dyDescent="0.3">
      <c r="A130" s="489" t="s">
        <v>1694</v>
      </c>
      <c r="B130" s="489" t="s">
        <v>1723</v>
      </c>
      <c r="C130" s="489" t="s">
        <v>1848</v>
      </c>
      <c r="D130" s="489" t="s">
        <v>46</v>
      </c>
      <c r="E130" s="619">
        <v>35</v>
      </c>
      <c r="F130" s="627">
        <f t="shared" si="6"/>
        <v>1699.4285714285713</v>
      </c>
      <c r="G130" s="628">
        <f t="shared" ref="G130:U145" si="10">IF(Z130&gt;0,Z130,IF(H130&gt;0,H130,0))</f>
        <v>1635</v>
      </c>
      <c r="H130" s="628">
        <f t="shared" si="10"/>
        <v>1687.5</v>
      </c>
      <c r="I130" s="628">
        <f t="shared" si="10"/>
        <v>1687.5</v>
      </c>
      <c r="J130" s="628">
        <f t="shared" si="10"/>
        <v>1687.5</v>
      </c>
      <c r="K130" s="628">
        <f t="shared" si="10"/>
        <v>1687.5</v>
      </c>
      <c r="L130" s="628">
        <f t="shared" si="10"/>
        <v>1687.5</v>
      </c>
      <c r="M130" s="628">
        <f t="shared" si="10"/>
        <v>1730.8333333333333</v>
      </c>
      <c r="N130" s="628">
        <f t="shared" si="10"/>
        <v>1756.1111111111111</v>
      </c>
      <c r="O130" s="628">
        <f t="shared" si="10"/>
        <v>1635</v>
      </c>
      <c r="P130" s="628">
        <f t="shared" si="10"/>
        <v>1635</v>
      </c>
      <c r="Q130" s="628">
        <f t="shared" si="10"/>
        <v>1590</v>
      </c>
      <c r="R130" s="628">
        <f t="shared" si="10"/>
        <v>0</v>
      </c>
      <c r="S130" s="628">
        <f t="shared" si="10"/>
        <v>0</v>
      </c>
      <c r="T130" s="628">
        <f t="shared" si="10"/>
        <v>0</v>
      </c>
      <c r="U130" s="628">
        <f t="shared" si="10"/>
        <v>0</v>
      </c>
      <c r="Y130" s="627">
        <v>1699.4285714285713</v>
      </c>
      <c r="Z130" s="628">
        <v>1635</v>
      </c>
      <c r="AA130" s="628">
        <v>0</v>
      </c>
      <c r="AB130" s="628">
        <v>0</v>
      </c>
      <c r="AC130" s="628">
        <v>0</v>
      </c>
      <c r="AD130" s="628">
        <v>0</v>
      </c>
      <c r="AE130" s="628">
        <v>1687.5</v>
      </c>
      <c r="AF130" s="628">
        <v>1730.8333333333333</v>
      </c>
      <c r="AG130" s="628">
        <v>1756.1111111111111</v>
      </c>
      <c r="AH130" s="628">
        <v>1635</v>
      </c>
      <c r="AI130" s="628">
        <v>1635</v>
      </c>
      <c r="AJ130" s="628">
        <v>1590</v>
      </c>
      <c r="AK130" s="628">
        <v>0</v>
      </c>
      <c r="AL130" s="628">
        <v>0</v>
      </c>
      <c r="AM130" s="628">
        <v>0</v>
      </c>
      <c r="AN130" s="628">
        <v>0</v>
      </c>
    </row>
    <row r="131" spans="1:40" x14ac:dyDescent="0.3">
      <c r="A131" s="489" t="s">
        <v>1414</v>
      </c>
      <c r="B131" s="489" t="s">
        <v>1724</v>
      </c>
      <c r="C131" s="489" t="s">
        <v>1849</v>
      </c>
      <c r="D131" s="489" t="s">
        <v>46</v>
      </c>
      <c r="E131" s="619">
        <v>34</v>
      </c>
      <c r="F131" s="627">
        <f t="shared" ref="F131:F194" si="11">Y131</f>
        <v>2692.2352941176468</v>
      </c>
      <c r="G131" s="628">
        <f t="shared" si="10"/>
        <v>0</v>
      </c>
      <c r="H131" s="628">
        <f t="shared" si="10"/>
        <v>0</v>
      </c>
      <c r="I131" s="628">
        <f t="shared" si="10"/>
        <v>0</v>
      </c>
      <c r="J131" s="628">
        <f t="shared" si="10"/>
        <v>0</v>
      </c>
      <c r="K131" s="628">
        <f t="shared" si="10"/>
        <v>0</v>
      </c>
      <c r="L131" s="628">
        <f t="shared" si="10"/>
        <v>0</v>
      </c>
      <c r="M131" s="628">
        <f t="shared" si="10"/>
        <v>0</v>
      </c>
      <c r="N131" s="628">
        <f t="shared" si="10"/>
        <v>0</v>
      </c>
      <c r="O131" s="628">
        <f t="shared" si="10"/>
        <v>0</v>
      </c>
      <c r="P131" s="628">
        <f t="shared" si="10"/>
        <v>0</v>
      </c>
      <c r="Q131" s="628">
        <f t="shared" si="10"/>
        <v>0</v>
      </c>
      <c r="R131" s="628">
        <f t="shared" si="10"/>
        <v>0</v>
      </c>
      <c r="S131" s="628">
        <f t="shared" si="10"/>
        <v>0</v>
      </c>
      <c r="T131" s="628">
        <f t="shared" si="10"/>
        <v>0</v>
      </c>
      <c r="U131" s="628">
        <f t="shared" si="10"/>
        <v>0</v>
      </c>
      <c r="Y131" s="627">
        <v>2692.2352941176468</v>
      </c>
      <c r="Z131" s="628">
        <v>0</v>
      </c>
      <c r="AA131" s="628">
        <v>0</v>
      </c>
      <c r="AB131" s="628">
        <v>0</v>
      </c>
      <c r="AC131" s="628">
        <v>0</v>
      </c>
      <c r="AD131" s="628">
        <v>0</v>
      </c>
      <c r="AE131" s="628">
        <v>0</v>
      </c>
      <c r="AF131" s="628">
        <v>0</v>
      </c>
      <c r="AG131" s="628">
        <v>0</v>
      </c>
      <c r="AH131" s="628">
        <v>0</v>
      </c>
      <c r="AI131" s="628">
        <v>0</v>
      </c>
      <c r="AJ131" s="628">
        <v>0</v>
      </c>
      <c r="AK131" s="628">
        <v>0</v>
      </c>
      <c r="AL131" s="628">
        <v>0</v>
      </c>
      <c r="AM131" s="628">
        <v>0</v>
      </c>
      <c r="AN131" s="628">
        <v>0</v>
      </c>
    </row>
    <row r="132" spans="1:40" x14ac:dyDescent="0.3">
      <c r="A132" s="489" t="s">
        <v>1414</v>
      </c>
      <c r="B132" s="489" t="s">
        <v>1725</v>
      </c>
      <c r="C132" s="489" t="s">
        <v>1850</v>
      </c>
      <c r="D132" s="489" t="s">
        <v>141</v>
      </c>
      <c r="E132" s="619">
        <v>34</v>
      </c>
      <c r="F132" s="627">
        <f t="shared" si="11"/>
        <v>1940</v>
      </c>
      <c r="G132" s="628">
        <f t="shared" si="10"/>
        <v>1940</v>
      </c>
      <c r="H132" s="628">
        <f t="shared" si="10"/>
        <v>1940</v>
      </c>
      <c r="I132" s="628">
        <f t="shared" si="10"/>
        <v>1940</v>
      </c>
      <c r="J132" s="628">
        <f t="shared" si="10"/>
        <v>1940</v>
      </c>
      <c r="K132" s="628">
        <f t="shared" si="10"/>
        <v>0</v>
      </c>
      <c r="L132" s="628">
        <f t="shared" si="10"/>
        <v>0</v>
      </c>
      <c r="M132" s="628">
        <f t="shared" si="10"/>
        <v>0</v>
      </c>
      <c r="N132" s="628">
        <f t="shared" si="10"/>
        <v>0</v>
      </c>
      <c r="O132" s="628">
        <f t="shared" si="10"/>
        <v>0</v>
      </c>
      <c r="P132" s="628">
        <f t="shared" si="10"/>
        <v>0</v>
      </c>
      <c r="Q132" s="628">
        <f t="shared" si="10"/>
        <v>0</v>
      </c>
      <c r="R132" s="628">
        <f t="shared" si="10"/>
        <v>0</v>
      </c>
      <c r="S132" s="628">
        <f t="shared" si="10"/>
        <v>0</v>
      </c>
      <c r="T132" s="628">
        <f t="shared" si="10"/>
        <v>0</v>
      </c>
      <c r="U132" s="628">
        <f t="shared" si="10"/>
        <v>0</v>
      </c>
      <c r="Y132" s="627">
        <v>1940</v>
      </c>
      <c r="Z132" s="628">
        <v>0</v>
      </c>
      <c r="AA132" s="628">
        <v>1940</v>
      </c>
      <c r="AB132" s="628">
        <v>1940</v>
      </c>
      <c r="AC132" s="628">
        <v>1940</v>
      </c>
      <c r="AD132" s="628">
        <v>0</v>
      </c>
      <c r="AE132" s="628">
        <v>0</v>
      </c>
      <c r="AF132" s="628">
        <v>0</v>
      </c>
      <c r="AG132" s="628">
        <v>0</v>
      </c>
      <c r="AH132" s="628">
        <v>0</v>
      </c>
      <c r="AI132" s="628">
        <v>0</v>
      </c>
      <c r="AJ132" s="628">
        <v>0</v>
      </c>
      <c r="AK132" s="628">
        <v>0</v>
      </c>
      <c r="AL132" s="628">
        <v>0</v>
      </c>
      <c r="AM132" s="628">
        <v>0</v>
      </c>
      <c r="AN132" s="628">
        <v>0</v>
      </c>
    </row>
    <row r="133" spans="1:40" x14ac:dyDescent="0.3">
      <c r="A133" s="489" t="s">
        <v>1426</v>
      </c>
      <c r="B133" s="489" t="s">
        <v>1726</v>
      </c>
      <c r="C133" s="489" t="s">
        <v>1726</v>
      </c>
      <c r="D133" s="489" t="s">
        <v>46</v>
      </c>
      <c r="E133" s="619">
        <v>33</v>
      </c>
      <c r="F133" s="627">
        <f t="shared" si="11"/>
        <v>1477.4848484848485</v>
      </c>
      <c r="G133" s="628">
        <f t="shared" si="10"/>
        <v>1592</v>
      </c>
      <c r="H133" s="628">
        <f t="shared" si="10"/>
        <v>1592</v>
      </c>
      <c r="I133" s="628">
        <f t="shared" si="10"/>
        <v>1450</v>
      </c>
      <c r="J133" s="628">
        <f t="shared" si="10"/>
        <v>1450</v>
      </c>
      <c r="K133" s="628">
        <f t="shared" si="10"/>
        <v>1450</v>
      </c>
      <c r="L133" s="628">
        <f t="shared" si="10"/>
        <v>1450</v>
      </c>
      <c r="M133" s="628">
        <f t="shared" si="10"/>
        <v>1469</v>
      </c>
      <c r="N133" s="628">
        <f t="shared" si="10"/>
        <v>1469</v>
      </c>
      <c r="O133" s="628">
        <f t="shared" si="10"/>
        <v>1462</v>
      </c>
      <c r="P133" s="628">
        <f t="shared" si="10"/>
        <v>1475</v>
      </c>
      <c r="Q133" s="628">
        <f t="shared" si="10"/>
        <v>1480</v>
      </c>
      <c r="R133" s="628">
        <f t="shared" si="10"/>
        <v>1480</v>
      </c>
      <c r="S133" s="628">
        <f t="shared" si="10"/>
        <v>1480</v>
      </c>
      <c r="T133" s="628">
        <f t="shared" si="10"/>
        <v>1530</v>
      </c>
      <c r="U133" s="628">
        <f t="shared" si="10"/>
        <v>1495</v>
      </c>
      <c r="Y133" s="627">
        <v>1477.4848484848485</v>
      </c>
      <c r="Z133" s="628">
        <v>0</v>
      </c>
      <c r="AA133" s="628">
        <v>1592</v>
      </c>
      <c r="AB133" s="628">
        <v>0</v>
      </c>
      <c r="AC133" s="628">
        <v>0</v>
      </c>
      <c r="AD133" s="628">
        <v>0</v>
      </c>
      <c r="AE133" s="628">
        <v>1450</v>
      </c>
      <c r="AF133" s="628">
        <v>0</v>
      </c>
      <c r="AG133" s="628">
        <v>1469</v>
      </c>
      <c r="AH133" s="628">
        <v>1462</v>
      </c>
      <c r="AI133" s="628">
        <v>1475</v>
      </c>
      <c r="AJ133" s="628">
        <v>0</v>
      </c>
      <c r="AK133" s="628">
        <v>0</v>
      </c>
      <c r="AL133" s="628">
        <v>1480</v>
      </c>
      <c r="AM133" s="628">
        <v>1530</v>
      </c>
      <c r="AN133" s="628">
        <v>1495</v>
      </c>
    </row>
    <row r="134" spans="1:40" x14ac:dyDescent="0.3">
      <c r="A134" s="489" t="s">
        <v>1414</v>
      </c>
      <c r="B134" s="489" t="s">
        <v>1727</v>
      </c>
      <c r="C134" s="489" t="s">
        <v>1851</v>
      </c>
      <c r="D134" s="489" t="s">
        <v>46</v>
      </c>
      <c r="E134" s="619">
        <v>33</v>
      </c>
      <c r="F134" s="627">
        <f t="shared" si="11"/>
        <v>1729.8484848484848</v>
      </c>
      <c r="G134" s="628">
        <f t="shared" si="10"/>
        <v>1730</v>
      </c>
      <c r="H134" s="628">
        <f t="shared" si="10"/>
        <v>1730</v>
      </c>
      <c r="I134" s="628">
        <f t="shared" si="10"/>
        <v>1730</v>
      </c>
      <c r="J134" s="628">
        <f t="shared" si="10"/>
        <v>1730</v>
      </c>
      <c r="K134" s="628">
        <f t="shared" si="10"/>
        <v>1730</v>
      </c>
      <c r="L134" s="628">
        <f t="shared" si="10"/>
        <v>1730</v>
      </c>
      <c r="M134" s="628">
        <f t="shared" si="10"/>
        <v>1771.6666666666667</v>
      </c>
      <c r="N134" s="628">
        <f t="shared" si="10"/>
        <v>1711</v>
      </c>
      <c r="O134" s="628">
        <f t="shared" si="10"/>
        <v>1785</v>
      </c>
      <c r="P134" s="628">
        <f t="shared" si="10"/>
        <v>1698.3333333333333</v>
      </c>
      <c r="Q134" s="628">
        <f t="shared" si="10"/>
        <v>1671.6666666666667</v>
      </c>
      <c r="R134" s="628">
        <f t="shared" si="10"/>
        <v>1745</v>
      </c>
      <c r="S134" s="628">
        <f t="shared" si="10"/>
        <v>1745</v>
      </c>
      <c r="T134" s="628">
        <f t="shared" si="10"/>
        <v>1871.25</v>
      </c>
      <c r="U134" s="628">
        <f t="shared" si="10"/>
        <v>1724.1666666666667</v>
      </c>
      <c r="Y134" s="627">
        <v>1729.8484848484848</v>
      </c>
      <c r="Z134" s="628">
        <v>0</v>
      </c>
      <c r="AA134" s="628">
        <v>0</v>
      </c>
      <c r="AB134" s="628">
        <v>0</v>
      </c>
      <c r="AC134" s="628">
        <v>0</v>
      </c>
      <c r="AD134" s="628">
        <v>0</v>
      </c>
      <c r="AE134" s="628">
        <v>1730</v>
      </c>
      <c r="AF134" s="628">
        <v>1771.6666666666667</v>
      </c>
      <c r="AG134" s="628">
        <v>1711</v>
      </c>
      <c r="AH134" s="628">
        <v>1785</v>
      </c>
      <c r="AI134" s="628">
        <v>1698.3333333333333</v>
      </c>
      <c r="AJ134" s="628">
        <v>1671.6666666666667</v>
      </c>
      <c r="AK134" s="628">
        <v>0</v>
      </c>
      <c r="AL134" s="628">
        <v>1745</v>
      </c>
      <c r="AM134" s="628">
        <v>1871.25</v>
      </c>
      <c r="AN134" s="628">
        <v>1724.1666666666667</v>
      </c>
    </row>
    <row r="135" spans="1:40" x14ac:dyDescent="0.3">
      <c r="A135" s="489" t="s">
        <v>1414</v>
      </c>
      <c r="B135" s="489" t="s">
        <v>1728</v>
      </c>
      <c r="C135" s="489" t="s">
        <v>1852</v>
      </c>
      <c r="D135" s="489" t="s">
        <v>46</v>
      </c>
      <c r="E135" s="619">
        <v>33</v>
      </c>
      <c r="F135" s="627">
        <f t="shared" si="11"/>
        <v>1880.1515151515152</v>
      </c>
      <c r="G135" s="628">
        <f t="shared" si="10"/>
        <v>1875</v>
      </c>
      <c r="H135" s="628">
        <f t="shared" si="10"/>
        <v>1875</v>
      </c>
      <c r="I135" s="628">
        <f t="shared" si="10"/>
        <v>1875</v>
      </c>
      <c r="J135" s="628">
        <f t="shared" si="10"/>
        <v>1970</v>
      </c>
      <c r="K135" s="628">
        <f t="shared" si="10"/>
        <v>1970</v>
      </c>
      <c r="L135" s="628">
        <f t="shared" si="10"/>
        <v>1875</v>
      </c>
      <c r="M135" s="628">
        <f t="shared" si="10"/>
        <v>1875</v>
      </c>
      <c r="N135" s="628">
        <f t="shared" si="10"/>
        <v>1875</v>
      </c>
      <c r="O135" s="628">
        <f t="shared" si="10"/>
        <v>1885</v>
      </c>
      <c r="P135" s="628">
        <f t="shared" si="10"/>
        <v>1867.5</v>
      </c>
      <c r="Q135" s="628">
        <f t="shared" si="10"/>
        <v>1881.1111111111111</v>
      </c>
      <c r="R135" s="628">
        <f t="shared" si="10"/>
        <v>1872.5</v>
      </c>
      <c r="S135" s="628">
        <f t="shared" si="10"/>
        <v>1905</v>
      </c>
      <c r="T135" s="628">
        <f t="shared" si="10"/>
        <v>0</v>
      </c>
      <c r="U135" s="628">
        <f t="shared" si="10"/>
        <v>0</v>
      </c>
      <c r="Y135" s="627">
        <v>1880.1515151515152</v>
      </c>
      <c r="Z135" s="628">
        <v>0</v>
      </c>
      <c r="AA135" s="628">
        <v>0</v>
      </c>
      <c r="AB135" s="628">
        <v>1875</v>
      </c>
      <c r="AC135" s="628">
        <v>0</v>
      </c>
      <c r="AD135" s="628">
        <v>1970</v>
      </c>
      <c r="AE135" s="628">
        <v>1875</v>
      </c>
      <c r="AF135" s="628">
        <v>0</v>
      </c>
      <c r="AG135" s="628">
        <v>1875</v>
      </c>
      <c r="AH135" s="628">
        <v>1885</v>
      </c>
      <c r="AI135" s="628">
        <v>1867.5</v>
      </c>
      <c r="AJ135" s="628">
        <v>1881.1111111111111</v>
      </c>
      <c r="AK135" s="628">
        <v>1872.5</v>
      </c>
      <c r="AL135" s="628">
        <v>1905</v>
      </c>
      <c r="AM135" s="628">
        <v>0</v>
      </c>
      <c r="AN135" s="628">
        <v>0</v>
      </c>
    </row>
    <row r="136" spans="1:40" x14ac:dyDescent="0.3">
      <c r="A136" s="489" t="s">
        <v>1414</v>
      </c>
      <c r="B136" s="489" t="s">
        <v>1729</v>
      </c>
      <c r="C136" s="489" t="s">
        <v>1853</v>
      </c>
      <c r="D136" s="489" t="s">
        <v>46</v>
      </c>
      <c r="E136" s="619">
        <v>33</v>
      </c>
      <c r="F136" s="627">
        <f t="shared" si="11"/>
        <v>1961.060606060606</v>
      </c>
      <c r="G136" s="628">
        <f t="shared" si="10"/>
        <v>1980</v>
      </c>
      <c r="H136" s="628">
        <f t="shared" si="10"/>
        <v>1980</v>
      </c>
      <c r="I136" s="628">
        <f t="shared" si="10"/>
        <v>1987.5</v>
      </c>
      <c r="J136" s="628">
        <f t="shared" si="10"/>
        <v>1975</v>
      </c>
      <c r="K136" s="628">
        <f t="shared" si="10"/>
        <v>1975</v>
      </c>
      <c r="L136" s="628">
        <f t="shared" si="10"/>
        <v>1958.3333333333333</v>
      </c>
      <c r="M136" s="628">
        <f t="shared" si="10"/>
        <v>1945.5555555555557</v>
      </c>
      <c r="N136" s="628">
        <f t="shared" si="10"/>
        <v>1945</v>
      </c>
      <c r="O136" s="628">
        <f t="shared" si="10"/>
        <v>0</v>
      </c>
      <c r="P136" s="628">
        <f t="shared" si="10"/>
        <v>0</v>
      </c>
      <c r="Q136" s="628">
        <f t="shared" si="10"/>
        <v>0</v>
      </c>
      <c r="R136" s="628">
        <f t="shared" si="10"/>
        <v>0</v>
      </c>
      <c r="S136" s="628">
        <f t="shared" si="10"/>
        <v>0</v>
      </c>
      <c r="T136" s="628">
        <f t="shared" si="10"/>
        <v>0</v>
      </c>
      <c r="U136" s="628">
        <f t="shared" si="10"/>
        <v>0</v>
      </c>
      <c r="Y136" s="627">
        <v>1961.060606060606</v>
      </c>
      <c r="Z136" s="628">
        <v>1980</v>
      </c>
      <c r="AA136" s="628">
        <v>1980</v>
      </c>
      <c r="AB136" s="628">
        <v>1987.5</v>
      </c>
      <c r="AC136" s="628">
        <v>1975</v>
      </c>
      <c r="AD136" s="628">
        <v>1975</v>
      </c>
      <c r="AE136" s="628">
        <v>1958.3333333333333</v>
      </c>
      <c r="AF136" s="628">
        <v>1945.5555555555557</v>
      </c>
      <c r="AG136" s="628">
        <v>1945</v>
      </c>
      <c r="AH136" s="628">
        <v>0</v>
      </c>
      <c r="AI136" s="628">
        <v>0</v>
      </c>
      <c r="AJ136" s="628">
        <v>0</v>
      </c>
      <c r="AK136" s="628">
        <v>0</v>
      </c>
      <c r="AL136" s="628">
        <v>0</v>
      </c>
      <c r="AM136" s="628">
        <v>0</v>
      </c>
      <c r="AN136" s="628">
        <v>0</v>
      </c>
    </row>
    <row r="137" spans="1:40" x14ac:dyDescent="0.3">
      <c r="A137" s="489" t="s">
        <v>1605</v>
      </c>
      <c r="B137" s="489" t="s">
        <v>1730</v>
      </c>
      <c r="C137" s="489" t="s">
        <v>1854</v>
      </c>
      <c r="D137" s="489" t="s">
        <v>46</v>
      </c>
      <c r="E137" s="619">
        <v>32</v>
      </c>
      <c r="F137" s="627">
        <f t="shared" si="11"/>
        <v>1717.21875</v>
      </c>
      <c r="G137" s="628">
        <f t="shared" si="10"/>
        <v>1691</v>
      </c>
      <c r="H137" s="628">
        <f t="shared" si="10"/>
        <v>1691</v>
      </c>
      <c r="I137" s="628">
        <f t="shared" si="10"/>
        <v>1691</v>
      </c>
      <c r="J137" s="628">
        <f t="shared" si="10"/>
        <v>1780.125</v>
      </c>
      <c r="K137" s="628">
        <f t="shared" si="10"/>
        <v>1780.125</v>
      </c>
      <c r="L137" s="628">
        <f t="shared" si="10"/>
        <v>1780.125</v>
      </c>
      <c r="M137" s="628">
        <f t="shared" si="10"/>
        <v>1749.5454545454545</v>
      </c>
      <c r="N137" s="628">
        <f t="shared" si="10"/>
        <v>1633.25</v>
      </c>
      <c r="O137" s="628">
        <f t="shared" si="10"/>
        <v>1633</v>
      </c>
      <c r="P137" s="628">
        <f t="shared" si="10"/>
        <v>1664.5</v>
      </c>
      <c r="Q137" s="628">
        <f t="shared" si="10"/>
        <v>1634</v>
      </c>
      <c r="R137" s="628">
        <f t="shared" si="10"/>
        <v>1630</v>
      </c>
      <c r="S137" s="628">
        <f t="shared" si="10"/>
        <v>1630</v>
      </c>
      <c r="T137" s="628">
        <f t="shared" si="10"/>
        <v>0</v>
      </c>
      <c r="U137" s="628">
        <f t="shared" si="10"/>
        <v>0</v>
      </c>
      <c r="Y137" s="627">
        <v>1717.21875</v>
      </c>
      <c r="Z137" s="628">
        <v>0</v>
      </c>
      <c r="AA137" s="628">
        <v>1691</v>
      </c>
      <c r="AB137" s="628">
        <v>1691</v>
      </c>
      <c r="AC137" s="628">
        <v>0</v>
      </c>
      <c r="AD137" s="628">
        <v>0</v>
      </c>
      <c r="AE137" s="628">
        <v>1780.125</v>
      </c>
      <c r="AF137" s="628">
        <v>1749.5454545454545</v>
      </c>
      <c r="AG137" s="628">
        <v>1633.25</v>
      </c>
      <c r="AH137" s="628">
        <v>1633</v>
      </c>
      <c r="AI137" s="628">
        <v>1664.5</v>
      </c>
      <c r="AJ137" s="628">
        <v>1634</v>
      </c>
      <c r="AK137" s="628">
        <v>0</v>
      </c>
      <c r="AL137" s="628">
        <v>1630</v>
      </c>
      <c r="AM137" s="628">
        <v>0</v>
      </c>
      <c r="AN137" s="628">
        <v>0</v>
      </c>
    </row>
    <row r="138" spans="1:40" x14ac:dyDescent="0.3">
      <c r="A138" s="489" t="s">
        <v>1451</v>
      </c>
      <c r="B138" s="489" t="s">
        <v>1731</v>
      </c>
      <c r="C138" s="489" t="s">
        <v>1855</v>
      </c>
      <c r="D138" s="489" t="s">
        <v>46</v>
      </c>
      <c r="E138" s="619">
        <v>32</v>
      </c>
      <c r="F138" s="627">
        <f t="shared" si="11"/>
        <v>1313.625</v>
      </c>
      <c r="G138" s="628">
        <f t="shared" si="10"/>
        <v>1321.3333333333333</v>
      </c>
      <c r="H138" s="628">
        <f t="shared" si="10"/>
        <v>1335.5</v>
      </c>
      <c r="I138" s="628">
        <f t="shared" si="10"/>
        <v>1325.3333333333333</v>
      </c>
      <c r="J138" s="628">
        <f t="shared" si="10"/>
        <v>1317.5</v>
      </c>
      <c r="K138" s="628">
        <f t="shared" si="10"/>
        <v>1327</v>
      </c>
      <c r="L138" s="628">
        <f t="shared" si="10"/>
        <v>1293</v>
      </c>
      <c r="M138" s="628">
        <f t="shared" si="10"/>
        <v>1293</v>
      </c>
      <c r="N138" s="628">
        <f t="shared" si="10"/>
        <v>1302.5</v>
      </c>
      <c r="O138" s="628">
        <f t="shared" si="10"/>
        <v>1298.3333333333333</v>
      </c>
      <c r="P138" s="628">
        <f t="shared" si="10"/>
        <v>0</v>
      </c>
      <c r="Q138" s="628">
        <f t="shared" si="10"/>
        <v>0</v>
      </c>
      <c r="R138" s="628">
        <f t="shared" si="10"/>
        <v>0</v>
      </c>
      <c r="S138" s="628">
        <f t="shared" si="10"/>
        <v>0</v>
      </c>
      <c r="T138" s="628">
        <f t="shared" si="10"/>
        <v>0</v>
      </c>
      <c r="U138" s="628">
        <f t="shared" si="10"/>
        <v>0</v>
      </c>
      <c r="Y138" s="627">
        <v>1313.625</v>
      </c>
      <c r="Z138" s="628">
        <v>1321.3333333333333</v>
      </c>
      <c r="AA138" s="628">
        <v>1335.5</v>
      </c>
      <c r="AB138" s="628">
        <v>1325.3333333333333</v>
      </c>
      <c r="AC138" s="628">
        <v>1317.5</v>
      </c>
      <c r="AD138" s="628">
        <v>1327</v>
      </c>
      <c r="AE138" s="628">
        <v>0</v>
      </c>
      <c r="AF138" s="628">
        <v>1293</v>
      </c>
      <c r="AG138" s="628">
        <v>1302.5</v>
      </c>
      <c r="AH138" s="628">
        <v>1298.3333333333333</v>
      </c>
      <c r="AI138" s="628">
        <v>0</v>
      </c>
      <c r="AJ138" s="628">
        <v>0</v>
      </c>
      <c r="AK138" s="628">
        <v>0</v>
      </c>
      <c r="AL138" s="628">
        <v>0</v>
      </c>
      <c r="AM138" s="628">
        <v>0</v>
      </c>
      <c r="AN138" s="628">
        <v>0</v>
      </c>
    </row>
    <row r="139" spans="1:40" x14ac:dyDescent="0.3">
      <c r="A139" s="489" t="s">
        <v>1414</v>
      </c>
      <c r="B139" s="489" t="s">
        <v>1732</v>
      </c>
      <c r="C139" s="489" t="s">
        <v>1856</v>
      </c>
      <c r="D139" s="489" t="s">
        <v>46</v>
      </c>
      <c r="E139" s="619">
        <v>31</v>
      </c>
      <c r="F139" s="627">
        <f t="shared" si="11"/>
        <v>2653.3870967741937</v>
      </c>
      <c r="G139" s="628">
        <f t="shared" si="10"/>
        <v>2620.5454545454545</v>
      </c>
      <c r="H139" s="628">
        <f t="shared" si="10"/>
        <v>2620.5454545454545</v>
      </c>
      <c r="I139" s="628">
        <f t="shared" si="10"/>
        <v>2620.5454545454545</v>
      </c>
      <c r="J139" s="628">
        <f t="shared" si="10"/>
        <v>2620.5454545454545</v>
      </c>
      <c r="K139" s="628">
        <f t="shared" si="10"/>
        <v>2620.5454545454545</v>
      </c>
      <c r="L139" s="628">
        <f t="shared" si="10"/>
        <v>2620.5454545454545</v>
      </c>
      <c r="M139" s="628">
        <f t="shared" si="10"/>
        <v>2620.5454545454545</v>
      </c>
      <c r="N139" s="628">
        <f t="shared" si="10"/>
        <v>2620.5454545454545</v>
      </c>
      <c r="O139" s="628">
        <f t="shared" si="10"/>
        <v>2620.5454545454545</v>
      </c>
      <c r="P139" s="628">
        <f t="shared" si="10"/>
        <v>2620.5454545454545</v>
      </c>
      <c r="Q139" s="628">
        <f t="shared" si="10"/>
        <v>2620.5454545454545</v>
      </c>
      <c r="R139" s="628">
        <f t="shared" si="10"/>
        <v>2620.5454545454545</v>
      </c>
      <c r="S139" s="628">
        <f t="shared" si="10"/>
        <v>2620.5454545454545</v>
      </c>
      <c r="T139" s="628">
        <f t="shared" si="10"/>
        <v>2671.45</v>
      </c>
      <c r="U139" s="628">
        <f t="shared" si="10"/>
        <v>0</v>
      </c>
      <c r="Y139" s="627">
        <v>2653.3870967741937</v>
      </c>
      <c r="Z139" s="628">
        <v>0</v>
      </c>
      <c r="AA139" s="628">
        <v>0</v>
      </c>
      <c r="AB139" s="628">
        <v>0</v>
      </c>
      <c r="AC139" s="628">
        <v>0</v>
      </c>
      <c r="AD139" s="628">
        <v>0</v>
      </c>
      <c r="AE139" s="628">
        <v>0</v>
      </c>
      <c r="AF139" s="628">
        <v>0</v>
      </c>
      <c r="AG139" s="628">
        <v>0</v>
      </c>
      <c r="AH139" s="628">
        <v>0</v>
      </c>
      <c r="AI139" s="628">
        <v>0</v>
      </c>
      <c r="AJ139" s="628">
        <v>0</v>
      </c>
      <c r="AK139" s="628">
        <v>0</v>
      </c>
      <c r="AL139" s="628">
        <v>2620.5454545454545</v>
      </c>
      <c r="AM139" s="628">
        <v>2671.45</v>
      </c>
      <c r="AN139" s="628">
        <v>0</v>
      </c>
    </row>
    <row r="140" spans="1:40" x14ac:dyDescent="0.3">
      <c r="A140" s="489" t="s">
        <v>1567</v>
      </c>
      <c r="B140" s="489">
        <v>5008</v>
      </c>
      <c r="C140" s="489" t="s">
        <v>1857</v>
      </c>
      <c r="D140" s="489" t="s">
        <v>46</v>
      </c>
      <c r="E140" s="619">
        <v>30</v>
      </c>
      <c r="F140" s="627">
        <f t="shared" si="11"/>
        <v>1429.8666666666666</v>
      </c>
      <c r="G140" s="628">
        <f t="shared" si="10"/>
        <v>1511</v>
      </c>
      <c r="H140" s="628">
        <f t="shared" si="10"/>
        <v>1458</v>
      </c>
      <c r="I140" s="628">
        <f t="shared" si="10"/>
        <v>1458</v>
      </c>
      <c r="J140" s="628">
        <f t="shared" si="10"/>
        <v>1355</v>
      </c>
      <c r="K140" s="628">
        <f t="shared" si="10"/>
        <v>1405</v>
      </c>
      <c r="L140" s="628">
        <f t="shared" si="10"/>
        <v>1405</v>
      </c>
      <c r="M140" s="628">
        <f t="shared" si="10"/>
        <v>1425</v>
      </c>
      <c r="N140" s="628">
        <f t="shared" si="10"/>
        <v>1411</v>
      </c>
      <c r="O140" s="628">
        <f t="shared" si="10"/>
        <v>1445</v>
      </c>
      <c r="P140" s="628">
        <f t="shared" si="10"/>
        <v>1465</v>
      </c>
      <c r="Q140" s="628">
        <f t="shared" si="10"/>
        <v>1405</v>
      </c>
      <c r="R140" s="628">
        <f t="shared" si="10"/>
        <v>1405</v>
      </c>
      <c r="S140" s="628">
        <f t="shared" si="10"/>
        <v>1405</v>
      </c>
      <c r="T140" s="628">
        <f t="shared" si="10"/>
        <v>1535.5</v>
      </c>
      <c r="U140" s="628">
        <f t="shared" si="10"/>
        <v>1478</v>
      </c>
      <c r="Y140" s="627">
        <v>1429.8666666666666</v>
      </c>
      <c r="Z140" s="628">
        <v>1511</v>
      </c>
      <c r="AA140" s="628">
        <v>0</v>
      </c>
      <c r="AB140" s="628">
        <v>1458</v>
      </c>
      <c r="AC140" s="628">
        <v>1355</v>
      </c>
      <c r="AD140" s="628">
        <v>0</v>
      </c>
      <c r="AE140" s="628">
        <v>1405</v>
      </c>
      <c r="AF140" s="628">
        <v>1425</v>
      </c>
      <c r="AG140" s="628">
        <v>1411</v>
      </c>
      <c r="AH140" s="628">
        <v>1445</v>
      </c>
      <c r="AI140" s="628">
        <v>1465</v>
      </c>
      <c r="AJ140" s="628">
        <v>1405</v>
      </c>
      <c r="AK140" s="628">
        <v>1405</v>
      </c>
      <c r="AL140" s="628">
        <v>1405</v>
      </c>
      <c r="AM140" s="628">
        <v>1535.5</v>
      </c>
      <c r="AN140" s="628">
        <v>1478</v>
      </c>
    </row>
    <row r="141" spans="1:40" x14ac:dyDescent="0.3">
      <c r="A141" s="489" t="s">
        <v>1414</v>
      </c>
      <c r="B141" s="489" t="s">
        <v>1371</v>
      </c>
      <c r="C141" s="489" t="s">
        <v>1425</v>
      </c>
      <c r="D141" s="489" t="s">
        <v>45</v>
      </c>
      <c r="E141" s="619">
        <v>30</v>
      </c>
      <c r="F141" s="627">
        <f t="shared" si="11"/>
        <v>2136.6666666666665</v>
      </c>
      <c r="G141" s="628">
        <f t="shared" si="10"/>
        <v>2235</v>
      </c>
      <c r="H141" s="628">
        <f t="shared" si="10"/>
        <v>2235</v>
      </c>
      <c r="I141" s="628">
        <f t="shared" si="10"/>
        <v>2235</v>
      </c>
      <c r="J141" s="628">
        <f t="shared" si="10"/>
        <v>2235</v>
      </c>
      <c r="K141" s="628">
        <f t="shared" si="10"/>
        <v>2235</v>
      </c>
      <c r="L141" s="628">
        <f t="shared" si="10"/>
        <v>2085</v>
      </c>
      <c r="M141" s="628">
        <f t="shared" si="10"/>
        <v>2085</v>
      </c>
      <c r="N141" s="628">
        <f t="shared" si="10"/>
        <v>2110</v>
      </c>
      <c r="O141" s="628">
        <f t="shared" si="10"/>
        <v>2110</v>
      </c>
      <c r="P141" s="628">
        <f t="shared" si="10"/>
        <v>2110</v>
      </c>
      <c r="Q141" s="628">
        <f t="shared" si="10"/>
        <v>2110</v>
      </c>
      <c r="R141" s="628">
        <f t="shared" si="10"/>
        <v>0</v>
      </c>
      <c r="S141" s="628">
        <f t="shared" si="10"/>
        <v>0</v>
      </c>
      <c r="T141" s="628">
        <f t="shared" si="10"/>
        <v>0</v>
      </c>
      <c r="U141" s="628">
        <f t="shared" si="10"/>
        <v>0</v>
      </c>
      <c r="Y141" s="627">
        <v>2136.6666666666665</v>
      </c>
      <c r="Z141" s="628">
        <v>0</v>
      </c>
      <c r="AA141" s="628">
        <v>0</v>
      </c>
      <c r="AB141" s="628">
        <v>0</v>
      </c>
      <c r="AC141" s="628">
        <v>2235</v>
      </c>
      <c r="AD141" s="628">
        <v>2235</v>
      </c>
      <c r="AE141" s="628">
        <v>2085</v>
      </c>
      <c r="AF141" s="628">
        <v>2085</v>
      </c>
      <c r="AG141" s="628">
        <v>0</v>
      </c>
      <c r="AH141" s="628">
        <v>0</v>
      </c>
      <c r="AI141" s="628">
        <v>0</v>
      </c>
      <c r="AJ141" s="628">
        <v>2110</v>
      </c>
      <c r="AK141" s="628">
        <v>0</v>
      </c>
      <c r="AL141" s="628">
        <v>0</v>
      </c>
      <c r="AM141" s="628">
        <v>0</v>
      </c>
      <c r="AN141" s="628">
        <v>0</v>
      </c>
    </row>
    <row r="142" spans="1:40" x14ac:dyDescent="0.3">
      <c r="A142" s="489" t="s">
        <v>1432</v>
      </c>
      <c r="B142" s="489" t="s">
        <v>1663</v>
      </c>
      <c r="C142" s="489" t="s">
        <v>1858</v>
      </c>
      <c r="D142" s="489" t="s">
        <v>46</v>
      </c>
      <c r="E142" s="619">
        <v>29</v>
      </c>
      <c r="F142" s="627">
        <f t="shared" si="11"/>
        <v>1556.1724137931035</v>
      </c>
      <c r="G142" s="628">
        <f t="shared" si="10"/>
        <v>1549.5</v>
      </c>
      <c r="H142" s="628">
        <f t="shared" si="10"/>
        <v>1549.5</v>
      </c>
      <c r="I142" s="628">
        <f t="shared" si="10"/>
        <v>1515</v>
      </c>
      <c r="J142" s="628">
        <f t="shared" si="10"/>
        <v>1515</v>
      </c>
      <c r="K142" s="628">
        <f t="shared" si="10"/>
        <v>1592.5</v>
      </c>
      <c r="L142" s="628">
        <f t="shared" si="10"/>
        <v>1592.5</v>
      </c>
      <c r="M142" s="628">
        <f t="shared" si="10"/>
        <v>1592.5</v>
      </c>
      <c r="N142" s="628">
        <f t="shared" si="10"/>
        <v>1592.5</v>
      </c>
      <c r="O142" s="628">
        <f t="shared" si="10"/>
        <v>1549.2</v>
      </c>
      <c r="P142" s="628">
        <f t="shared" si="10"/>
        <v>1515</v>
      </c>
      <c r="Q142" s="628">
        <f t="shared" si="10"/>
        <v>1525.2857142857142</v>
      </c>
      <c r="R142" s="628">
        <f t="shared" si="10"/>
        <v>1617</v>
      </c>
      <c r="S142" s="628">
        <f t="shared" si="10"/>
        <v>1628.5</v>
      </c>
      <c r="T142" s="628">
        <f t="shared" si="10"/>
        <v>1560.4</v>
      </c>
      <c r="U142" s="628">
        <f t="shared" si="10"/>
        <v>1600.5</v>
      </c>
      <c r="Y142" s="627">
        <v>1556.1724137931035</v>
      </c>
      <c r="Z142" s="628">
        <v>0</v>
      </c>
      <c r="AA142" s="628">
        <v>1549.5</v>
      </c>
      <c r="AB142" s="628">
        <v>0</v>
      </c>
      <c r="AC142" s="628">
        <v>1515</v>
      </c>
      <c r="AD142" s="628">
        <v>0</v>
      </c>
      <c r="AE142" s="628">
        <v>0</v>
      </c>
      <c r="AF142" s="628">
        <v>0</v>
      </c>
      <c r="AG142" s="628">
        <v>1592.5</v>
      </c>
      <c r="AH142" s="628">
        <v>1549.2</v>
      </c>
      <c r="AI142" s="628">
        <v>1515</v>
      </c>
      <c r="AJ142" s="628">
        <v>1525.2857142857142</v>
      </c>
      <c r="AK142" s="628">
        <v>1617</v>
      </c>
      <c r="AL142" s="628">
        <v>1628.5</v>
      </c>
      <c r="AM142" s="628">
        <v>1560.4</v>
      </c>
      <c r="AN142" s="628">
        <v>1600.5</v>
      </c>
    </row>
    <row r="143" spans="1:40" x14ac:dyDescent="0.3">
      <c r="A143" s="489" t="s">
        <v>1414</v>
      </c>
      <c r="B143" s="489" t="s">
        <v>1664</v>
      </c>
      <c r="C143" s="489" t="s">
        <v>1859</v>
      </c>
      <c r="D143" s="489" t="s">
        <v>46</v>
      </c>
      <c r="E143" s="619">
        <v>29</v>
      </c>
      <c r="F143" s="627">
        <f t="shared" si="11"/>
        <v>1730.5172413793102</v>
      </c>
      <c r="G143" s="628">
        <f t="shared" si="10"/>
        <v>1790</v>
      </c>
      <c r="H143" s="628">
        <f t="shared" si="10"/>
        <v>1790</v>
      </c>
      <c r="I143" s="628">
        <f t="shared" si="10"/>
        <v>1700</v>
      </c>
      <c r="J143" s="628">
        <f t="shared" si="10"/>
        <v>1700</v>
      </c>
      <c r="K143" s="628">
        <f t="shared" si="10"/>
        <v>1745</v>
      </c>
      <c r="L143" s="628">
        <f t="shared" si="10"/>
        <v>1736.4285714285713</v>
      </c>
      <c r="M143" s="628">
        <f t="shared" si="10"/>
        <v>1725.7142857142858</v>
      </c>
      <c r="N143" s="628">
        <f t="shared" si="10"/>
        <v>1736</v>
      </c>
      <c r="O143" s="628">
        <f t="shared" si="10"/>
        <v>1700</v>
      </c>
      <c r="P143" s="628">
        <f t="shared" si="10"/>
        <v>0</v>
      </c>
      <c r="Q143" s="628">
        <f t="shared" si="10"/>
        <v>0</v>
      </c>
      <c r="R143" s="628">
        <f t="shared" si="10"/>
        <v>0</v>
      </c>
      <c r="S143" s="628">
        <f t="shared" si="10"/>
        <v>0</v>
      </c>
      <c r="T143" s="628">
        <f t="shared" si="10"/>
        <v>0</v>
      </c>
      <c r="U143" s="628">
        <f t="shared" si="10"/>
        <v>0</v>
      </c>
      <c r="Y143" s="627">
        <v>1730.5172413793102</v>
      </c>
      <c r="Z143" s="628">
        <v>1790</v>
      </c>
      <c r="AA143" s="628">
        <v>1790</v>
      </c>
      <c r="AB143" s="628">
        <v>0</v>
      </c>
      <c r="AC143" s="628">
        <v>1700</v>
      </c>
      <c r="AD143" s="628">
        <v>1745</v>
      </c>
      <c r="AE143" s="628">
        <v>1736.4285714285713</v>
      </c>
      <c r="AF143" s="628">
        <v>1725.7142857142858</v>
      </c>
      <c r="AG143" s="628">
        <v>1736</v>
      </c>
      <c r="AH143" s="628">
        <v>1700</v>
      </c>
      <c r="AI143" s="628">
        <v>0</v>
      </c>
      <c r="AJ143" s="628">
        <v>0</v>
      </c>
      <c r="AK143" s="628">
        <v>0</v>
      </c>
      <c r="AL143" s="628">
        <v>0</v>
      </c>
      <c r="AM143" s="628">
        <v>0</v>
      </c>
      <c r="AN143" s="628">
        <v>0</v>
      </c>
    </row>
    <row r="144" spans="1:40" x14ac:dyDescent="0.3">
      <c r="A144" s="489" t="s">
        <v>1441</v>
      </c>
      <c r="B144" s="489" t="s">
        <v>1733</v>
      </c>
      <c r="C144" s="489" t="s">
        <v>1860</v>
      </c>
      <c r="D144" s="489" t="s">
        <v>46</v>
      </c>
      <c r="E144" s="619">
        <v>28</v>
      </c>
      <c r="F144" s="627">
        <f t="shared" si="11"/>
        <v>1791.6428571428571</v>
      </c>
      <c r="G144" s="628">
        <f t="shared" si="10"/>
        <v>2021</v>
      </c>
      <c r="H144" s="628">
        <f t="shared" si="10"/>
        <v>2021</v>
      </c>
      <c r="I144" s="628">
        <f t="shared" si="10"/>
        <v>2021</v>
      </c>
      <c r="J144" s="628">
        <f t="shared" si="10"/>
        <v>2021</v>
      </c>
      <c r="K144" s="628">
        <f t="shared" si="10"/>
        <v>2021</v>
      </c>
      <c r="L144" s="628">
        <f t="shared" si="10"/>
        <v>2021</v>
      </c>
      <c r="M144" s="628">
        <f t="shared" si="10"/>
        <v>2021</v>
      </c>
      <c r="N144" s="628">
        <f t="shared" si="10"/>
        <v>2021</v>
      </c>
      <c r="O144" s="628">
        <f t="shared" si="10"/>
        <v>2021</v>
      </c>
      <c r="P144" s="628">
        <f t="shared" si="10"/>
        <v>2021</v>
      </c>
      <c r="Q144" s="628">
        <f t="shared" si="10"/>
        <v>0</v>
      </c>
      <c r="R144" s="628">
        <f t="shared" si="10"/>
        <v>0</v>
      </c>
      <c r="S144" s="628">
        <f t="shared" si="10"/>
        <v>0</v>
      </c>
      <c r="T144" s="628">
        <f t="shared" si="10"/>
        <v>0</v>
      </c>
      <c r="U144" s="628">
        <f t="shared" si="10"/>
        <v>0</v>
      </c>
      <c r="Y144" s="627">
        <v>1791.6428571428571</v>
      </c>
      <c r="Z144" s="628">
        <v>0</v>
      </c>
      <c r="AA144" s="628">
        <v>0</v>
      </c>
      <c r="AB144" s="628">
        <v>0</v>
      </c>
      <c r="AC144" s="628">
        <v>0</v>
      </c>
      <c r="AD144" s="628">
        <v>0</v>
      </c>
      <c r="AE144" s="628">
        <v>0</v>
      </c>
      <c r="AF144" s="628">
        <v>0</v>
      </c>
      <c r="AG144" s="628">
        <v>0</v>
      </c>
      <c r="AH144" s="628">
        <v>0</v>
      </c>
      <c r="AI144" s="628">
        <v>2021</v>
      </c>
      <c r="AJ144" s="628">
        <v>0</v>
      </c>
      <c r="AK144" s="628">
        <v>0</v>
      </c>
      <c r="AL144" s="628">
        <v>0</v>
      </c>
      <c r="AM144" s="628">
        <v>0</v>
      </c>
      <c r="AN144" s="628">
        <v>0</v>
      </c>
    </row>
    <row r="145" spans="1:40" x14ac:dyDescent="0.3">
      <c r="A145" s="489" t="s">
        <v>1605</v>
      </c>
      <c r="B145" s="489" t="s">
        <v>1734</v>
      </c>
      <c r="C145" s="489" t="s">
        <v>1861</v>
      </c>
      <c r="D145" s="489" t="s">
        <v>1930</v>
      </c>
      <c r="E145" s="619">
        <v>28</v>
      </c>
      <c r="F145" s="627">
        <f t="shared" si="11"/>
        <v>1848.8928571428571</v>
      </c>
      <c r="G145" s="628">
        <f t="shared" si="10"/>
        <v>1849</v>
      </c>
      <c r="H145" s="628">
        <f t="shared" si="10"/>
        <v>1849</v>
      </c>
      <c r="I145" s="628">
        <f t="shared" si="10"/>
        <v>1849</v>
      </c>
      <c r="J145" s="628">
        <f t="shared" si="10"/>
        <v>1849</v>
      </c>
      <c r="K145" s="628">
        <f t="shared" si="10"/>
        <v>1849</v>
      </c>
      <c r="L145" s="628">
        <f t="shared" si="10"/>
        <v>1849</v>
      </c>
      <c r="M145" s="628">
        <f t="shared" si="10"/>
        <v>1849</v>
      </c>
      <c r="N145" s="628">
        <f t="shared" si="10"/>
        <v>1849</v>
      </c>
      <c r="O145" s="628">
        <f t="shared" si="10"/>
        <v>1849</v>
      </c>
      <c r="P145" s="628">
        <f t="shared" si="10"/>
        <v>1849</v>
      </c>
      <c r="Q145" s="628">
        <f t="shared" si="10"/>
        <v>1849</v>
      </c>
      <c r="R145" s="628">
        <f t="shared" si="10"/>
        <v>1848.8125</v>
      </c>
      <c r="S145" s="628">
        <f t="shared" si="10"/>
        <v>0</v>
      </c>
      <c r="T145" s="628">
        <f t="shared" si="10"/>
        <v>0</v>
      </c>
      <c r="U145" s="628">
        <f t="shared" si="10"/>
        <v>0</v>
      </c>
      <c r="Y145" s="627">
        <v>1848.8928571428571</v>
      </c>
      <c r="Z145" s="628">
        <v>0</v>
      </c>
      <c r="AA145" s="628">
        <v>0</v>
      </c>
      <c r="AB145" s="628">
        <v>0</v>
      </c>
      <c r="AC145" s="628">
        <v>0</v>
      </c>
      <c r="AD145" s="628">
        <v>0</v>
      </c>
      <c r="AE145" s="628">
        <v>0</v>
      </c>
      <c r="AF145" s="628">
        <v>0</v>
      </c>
      <c r="AG145" s="628">
        <v>0</v>
      </c>
      <c r="AH145" s="628">
        <v>0</v>
      </c>
      <c r="AI145" s="628">
        <v>1849</v>
      </c>
      <c r="AJ145" s="628">
        <v>1849</v>
      </c>
      <c r="AK145" s="628">
        <v>1848.8125</v>
      </c>
      <c r="AL145" s="628">
        <v>0</v>
      </c>
      <c r="AM145" s="628">
        <v>0</v>
      </c>
      <c r="AN145" s="628">
        <v>0</v>
      </c>
    </row>
    <row r="146" spans="1:40" x14ac:dyDescent="0.3">
      <c r="A146" s="489" t="s">
        <v>1414</v>
      </c>
      <c r="B146" s="489" t="s">
        <v>1735</v>
      </c>
      <c r="C146" s="489" t="s">
        <v>1862</v>
      </c>
      <c r="D146" s="489" t="s">
        <v>141</v>
      </c>
      <c r="E146" s="619">
        <v>28</v>
      </c>
      <c r="F146" s="627">
        <f t="shared" si="11"/>
        <v>2010</v>
      </c>
      <c r="G146" s="628">
        <f t="shared" ref="G146:U161" si="12">IF(Z146&gt;0,Z146,IF(H146&gt;0,H146,0))</f>
        <v>2010</v>
      </c>
      <c r="H146" s="628">
        <f t="shared" si="12"/>
        <v>2010</v>
      </c>
      <c r="I146" s="628">
        <f t="shared" si="12"/>
        <v>2010</v>
      </c>
      <c r="J146" s="628">
        <f t="shared" si="12"/>
        <v>0</v>
      </c>
      <c r="K146" s="628">
        <f t="shared" si="12"/>
        <v>0</v>
      </c>
      <c r="L146" s="628">
        <f t="shared" si="12"/>
        <v>0</v>
      </c>
      <c r="M146" s="628">
        <f t="shared" si="12"/>
        <v>0</v>
      </c>
      <c r="N146" s="628">
        <f t="shared" si="12"/>
        <v>0</v>
      </c>
      <c r="O146" s="628">
        <f t="shared" si="12"/>
        <v>0</v>
      </c>
      <c r="P146" s="628">
        <f t="shared" si="12"/>
        <v>0</v>
      </c>
      <c r="Q146" s="628">
        <f t="shared" si="12"/>
        <v>0</v>
      </c>
      <c r="R146" s="628">
        <f t="shared" si="12"/>
        <v>0</v>
      </c>
      <c r="S146" s="628">
        <f t="shared" si="12"/>
        <v>0</v>
      </c>
      <c r="T146" s="628">
        <f t="shared" si="12"/>
        <v>0</v>
      </c>
      <c r="U146" s="628">
        <f t="shared" si="12"/>
        <v>0</v>
      </c>
      <c r="Y146" s="627">
        <v>2010</v>
      </c>
      <c r="Z146" s="628">
        <v>2010</v>
      </c>
      <c r="AA146" s="628">
        <v>2010</v>
      </c>
      <c r="AB146" s="628">
        <v>2010</v>
      </c>
      <c r="AC146" s="628">
        <v>0</v>
      </c>
      <c r="AD146" s="628">
        <v>0</v>
      </c>
      <c r="AE146" s="628">
        <v>0</v>
      </c>
      <c r="AF146" s="628">
        <v>0</v>
      </c>
      <c r="AG146" s="628">
        <v>0</v>
      </c>
      <c r="AH146" s="628">
        <v>0</v>
      </c>
      <c r="AI146" s="628">
        <v>0</v>
      </c>
      <c r="AJ146" s="628">
        <v>0</v>
      </c>
      <c r="AK146" s="628">
        <v>0</v>
      </c>
      <c r="AL146" s="628">
        <v>0</v>
      </c>
      <c r="AM146" s="628">
        <v>0</v>
      </c>
      <c r="AN146" s="628">
        <v>0</v>
      </c>
    </row>
    <row r="147" spans="1:40" x14ac:dyDescent="0.3">
      <c r="A147" s="489" t="s">
        <v>1605</v>
      </c>
      <c r="B147" s="489" t="s">
        <v>1730</v>
      </c>
      <c r="C147" s="489" t="s">
        <v>1854</v>
      </c>
      <c r="D147" s="489" t="s">
        <v>1936</v>
      </c>
      <c r="E147" s="619">
        <v>27</v>
      </c>
      <c r="F147" s="627">
        <f t="shared" si="11"/>
        <v>2051.4074074074074</v>
      </c>
      <c r="G147" s="628">
        <f t="shared" si="12"/>
        <v>2050</v>
      </c>
      <c r="H147" s="628">
        <f t="shared" si="12"/>
        <v>2050</v>
      </c>
      <c r="I147" s="628">
        <f t="shared" si="12"/>
        <v>2050</v>
      </c>
      <c r="J147" s="628">
        <f t="shared" si="12"/>
        <v>2069</v>
      </c>
      <c r="K147" s="628">
        <f t="shared" si="12"/>
        <v>0</v>
      </c>
      <c r="L147" s="628">
        <f t="shared" si="12"/>
        <v>0</v>
      </c>
      <c r="M147" s="628">
        <f t="shared" si="12"/>
        <v>0</v>
      </c>
      <c r="N147" s="628">
        <f t="shared" si="12"/>
        <v>0</v>
      </c>
      <c r="O147" s="628">
        <f t="shared" si="12"/>
        <v>0</v>
      </c>
      <c r="P147" s="628">
        <f t="shared" si="12"/>
        <v>0</v>
      </c>
      <c r="Q147" s="628">
        <f t="shared" si="12"/>
        <v>0</v>
      </c>
      <c r="R147" s="628">
        <f t="shared" si="12"/>
        <v>0</v>
      </c>
      <c r="S147" s="628">
        <f t="shared" si="12"/>
        <v>0</v>
      </c>
      <c r="T147" s="628">
        <f t="shared" si="12"/>
        <v>0</v>
      </c>
      <c r="U147" s="628">
        <f t="shared" si="12"/>
        <v>0</v>
      </c>
      <c r="Y147" s="627">
        <v>2051.4074074074074</v>
      </c>
      <c r="Z147" s="628">
        <v>2050</v>
      </c>
      <c r="AA147" s="628">
        <v>2050</v>
      </c>
      <c r="AB147" s="628">
        <v>2050</v>
      </c>
      <c r="AC147" s="628">
        <v>2069</v>
      </c>
      <c r="AD147" s="628">
        <v>0</v>
      </c>
      <c r="AE147" s="628">
        <v>0</v>
      </c>
      <c r="AF147" s="628">
        <v>0</v>
      </c>
      <c r="AG147" s="628">
        <v>0</v>
      </c>
      <c r="AH147" s="628">
        <v>0</v>
      </c>
      <c r="AI147" s="628">
        <v>0</v>
      </c>
      <c r="AJ147" s="628">
        <v>0</v>
      </c>
      <c r="AK147" s="628">
        <v>0</v>
      </c>
      <c r="AL147" s="628">
        <v>0</v>
      </c>
      <c r="AM147" s="628">
        <v>0</v>
      </c>
      <c r="AN147" s="628">
        <v>0</v>
      </c>
    </row>
    <row r="148" spans="1:40" x14ac:dyDescent="0.3">
      <c r="A148" s="489" t="s">
        <v>1677</v>
      </c>
      <c r="B148" s="489" t="s">
        <v>1736</v>
      </c>
      <c r="C148" s="489" t="s">
        <v>1863</v>
      </c>
      <c r="D148" s="489" t="s">
        <v>46</v>
      </c>
      <c r="E148" s="619">
        <v>26</v>
      </c>
      <c r="F148" s="627">
        <f t="shared" si="11"/>
        <v>1501.3461538461538</v>
      </c>
      <c r="G148" s="628">
        <f t="shared" si="12"/>
        <v>1447.5</v>
      </c>
      <c r="H148" s="628">
        <f t="shared" si="12"/>
        <v>1447.5</v>
      </c>
      <c r="I148" s="628">
        <f t="shared" si="12"/>
        <v>1495</v>
      </c>
      <c r="J148" s="628">
        <f t="shared" si="12"/>
        <v>1500</v>
      </c>
      <c r="K148" s="628">
        <f t="shared" si="12"/>
        <v>1565</v>
      </c>
      <c r="L148" s="628">
        <f t="shared" si="12"/>
        <v>1512</v>
      </c>
      <c r="M148" s="628">
        <f t="shared" si="12"/>
        <v>1482.5</v>
      </c>
      <c r="N148" s="628">
        <f t="shared" si="12"/>
        <v>1482.5</v>
      </c>
      <c r="O148" s="628">
        <f t="shared" si="12"/>
        <v>1535</v>
      </c>
      <c r="P148" s="628">
        <f t="shared" si="12"/>
        <v>1450</v>
      </c>
      <c r="Q148" s="628">
        <f t="shared" si="12"/>
        <v>1502.5</v>
      </c>
      <c r="R148" s="628">
        <f t="shared" si="12"/>
        <v>1535</v>
      </c>
      <c r="S148" s="628">
        <f t="shared" si="12"/>
        <v>1480</v>
      </c>
      <c r="T148" s="628">
        <f t="shared" si="12"/>
        <v>1480</v>
      </c>
      <c r="U148" s="628">
        <f t="shared" si="12"/>
        <v>0</v>
      </c>
      <c r="Y148" s="627">
        <v>1501.3461538461538</v>
      </c>
      <c r="Z148" s="628">
        <v>0</v>
      </c>
      <c r="AA148" s="628">
        <v>1447.5</v>
      </c>
      <c r="AB148" s="628">
        <v>1495</v>
      </c>
      <c r="AC148" s="628">
        <v>1500</v>
      </c>
      <c r="AD148" s="628">
        <v>1565</v>
      </c>
      <c r="AE148" s="628">
        <v>1512</v>
      </c>
      <c r="AF148" s="628">
        <v>0</v>
      </c>
      <c r="AG148" s="628">
        <v>1482.5</v>
      </c>
      <c r="AH148" s="628">
        <v>1535</v>
      </c>
      <c r="AI148" s="628">
        <v>1450</v>
      </c>
      <c r="AJ148" s="628">
        <v>1502.5</v>
      </c>
      <c r="AK148" s="628">
        <v>1535</v>
      </c>
      <c r="AL148" s="628">
        <v>0</v>
      </c>
      <c r="AM148" s="628">
        <v>1480</v>
      </c>
      <c r="AN148" s="628">
        <v>0</v>
      </c>
    </row>
    <row r="149" spans="1:40" x14ac:dyDescent="0.3">
      <c r="A149" s="489" t="s">
        <v>1414</v>
      </c>
      <c r="B149" s="489" t="s">
        <v>1737</v>
      </c>
      <c r="C149" s="489" t="s">
        <v>1864</v>
      </c>
      <c r="D149" s="489" t="s">
        <v>46</v>
      </c>
      <c r="E149" s="619">
        <v>26</v>
      </c>
      <c r="F149" s="627">
        <f t="shared" si="11"/>
        <v>1591.1538461538462</v>
      </c>
      <c r="G149" s="628">
        <f t="shared" si="12"/>
        <v>1615</v>
      </c>
      <c r="H149" s="628">
        <f t="shared" si="12"/>
        <v>1650</v>
      </c>
      <c r="I149" s="628">
        <f t="shared" si="12"/>
        <v>1582.0454545454545</v>
      </c>
      <c r="J149" s="628">
        <f t="shared" si="12"/>
        <v>1582.0454545454545</v>
      </c>
      <c r="K149" s="628">
        <f t="shared" si="12"/>
        <v>1582.0454545454545</v>
      </c>
      <c r="L149" s="628">
        <f t="shared" si="12"/>
        <v>1582.0454545454545</v>
      </c>
      <c r="M149" s="628">
        <f t="shared" si="12"/>
        <v>0</v>
      </c>
      <c r="N149" s="628">
        <f t="shared" si="12"/>
        <v>0</v>
      </c>
      <c r="O149" s="628">
        <f t="shared" si="12"/>
        <v>0</v>
      </c>
      <c r="P149" s="628">
        <f t="shared" si="12"/>
        <v>0</v>
      </c>
      <c r="Q149" s="628">
        <f t="shared" si="12"/>
        <v>0</v>
      </c>
      <c r="R149" s="628">
        <f t="shared" si="12"/>
        <v>0</v>
      </c>
      <c r="S149" s="628">
        <f t="shared" si="12"/>
        <v>0</v>
      </c>
      <c r="T149" s="628">
        <f t="shared" si="12"/>
        <v>0</v>
      </c>
      <c r="U149" s="628">
        <f t="shared" si="12"/>
        <v>0</v>
      </c>
      <c r="Y149" s="627">
        <v>1591.1538461538462</v>
      </c>
      <c r="Z149" s="628">
        <v>1615</v>
      </c>
      <c r="AA149" s="628">
        <v>1650</v>
      </c>
      <c r="AB149" s="628">
        <v>0</v>
      </c>
      <c r="AC149" s="628">
        <v>0</v>
      </c>
      <c r="AD149" s="628">
        <v>0</v>
      </c>
      <c r="AE149" s="628">
        <v>1582.0454545454545</v>
      </c>
      <c r="AF149" s="628">
        <v>0</v>
      </c>
      <c r="AG149" s="628">
        <v>0</v>
      </c>
      <c r="AH149" s="628">
        <v>0</v>
      </c>
      <c r="AI149" s="628">
        <v>0</v>
      </c>
      <c r="AJ149" s="628">
        <v>0</v>
      </c>
      <c r="AK149" s="628">
        <v>0</v>
      </c>
      <c r="AL149" s="628">
        <v>0</v>
      </c>
      <c r="AM149" s="628">
        <v>0</v>
      </c>
      <c r="AN149" s="628">
        <v>0</v>
      </c>
    </row>
    <row r="150" spans="1:40" x14ac:dyDescent="0.3">
      <c r="A150" s="489" t="s">
        <v>1414</v>
      </c>
      <c r="B150" s="489" t="s">
        <v>1430</v>
      </c>
      <c r="C150" s="489" t="s">
        <v>1431</v>
      </c>
      <c r="D150" s="489" t="s">
        <v>1665</v>
      </c>
      <c r="E150" s="619">
        <v>25</v>
      </c>
      <c r="F150" s="627">
        <f t="shared" si="11"/>
        <v>2719.2</v>
      </c>
      <c r="G150" s="628">
        <f t="shared" si="12"/>
        <v>2468</v>
      </c>
      <c r="H150" s="628">
        <f t="shared" si="12"/>
        <v>2468</v>
      </c>
      <c r="I150" s="628">
        <f t="shared" si="12"/>
        <v>2468</v>
      </c>
      <c r="J150" s="628">
        <f t="shared" si="12"/>
        <v>2468</v>
      </c>
      <c r="K150" s="628">
        <f t="shared" si="12"/>
        <v>2468</v>
      </c>
      <c r="L150" s="628">
        <f t="shared" si="12"/>
        <v>2468</v>
      </c>
      <c r="M150" s="628">
        <f t="shared" si="12"/>
        <v>2759</v>
      </c>
      <c r="N150" s="628">
        <f t="shared" si="12"/>
        <v>2795.8333333333335</v>
      </c>
      <c r="O150" s="628">
        <f t="shared" si="12"/>
        <v>2611</v>
      </c>
      <c r="P150" s="628">
        <f t="shared" si="12"/>
        <v>2611</v>
      </c>
      <c r="Q150" s="628">
        <f t="shared" si="12"/>
        <v>2761</v>
      </c>
      <c r="R150" s="628">
        <f t="shared" si="12"/>
        <v>2770</v>
      </c>
      <c r="S150" s="628">
        <f t="shared" si="12"/>
        <v>2756.25</v>
      </c>
      <c r="T150" s="628">
        <f t="shared" si="12"/>
        <v>2635</v>
      </c>
      <c r="U150" s="628">
        <f t="shared" si="12"/>
        <v>0</v>
      </c>
      <c r="Y150" s="627">
        <v>2719.2</v>
      </c>
      <c r="Z150" s="628">
        <v>0</v>
      </c>
      <c r="AA150" s="628">
        <v>0</v>
      </c>
      <c r="AB150" s="628">
        <v>0</v>
      </c>
      <c r="AC150" s="628">
        <v>0</v>
      </c>
      <c r="AD150" s="628">
        <v>0</v>
      </c>
      <c r="AE150" s="628">
        <v>2468</v>
      </c>
      <c r="AF150" s="628">
        <v>2759</v>
      </c>
      <c r="AG150" s="628">
        <v>2795.8333333333335</v>
      </c>
      <c r="AH150" s="628">
        <v>0</v>
      </c>
      <c r="AI150" s="628">
        <v>2611</v>
      </c>
      <c r="AJ150" s="628">
        <v>2761</v>
      </c>
      <c r="AK150" s="628">
        <v>2770</v>
      </c>
      <c r="AL150" s="628">
        <v>2756.25</v>
      </c>
      <c r="AM150" s="628">
        <v>2635</v>
      </c>
      <c r="AN150" s="628">
        <v>0</v>
      </c>
    </row>
    <row r="151" spans="1:40" x14ac:dyDescent="0.3">
      <c r="A151" s="489" t="s">
        <v>1414</v>
      </c>
      <c r="B151" s="489" t="s">
        <v>1738</v>
      </c>
      <c r="C151" s="489" t="s">
        <v>1865</v>
      </c>
      <c r="D151" s="489" t="s">
        <v>46</v>
      </c>
      <c r="E151" s="619">
        <v>25</v>
      </c>
      <c r="F151" s="627">
        <f t="shared" si="11"/>
        <v>1998</v>
      </c>
      <c r="G151" s="628">
        <f t="shared" si="12"/>
        <v>1982.5</v>
      </c>
      <c r="H151" s="628">
        <f t="shared" si="12"/>
        <v>1996</v>
      </c>
      <c r="I151" s="628">
        <f t="shared" si="12"/>
        <v>1995</v>
      </c>
      <c r="J151" s="628">
        <f t="shared" si="12"/>
        <v>1990</v>
      </c>
      <c r="K151" s="628">
        <f t="shared" si="12"/>
        <v>2036</v>
      </c>
      <c r="L151" s="628">
        <f t="shared" si="12"/>
        <v>2036</v>
      </c>
      <c r="M151" s="628">
        <f t="shared" si="12"/>
        <v>1982.5</v>
      </c>
      <c r="N151" s="628">
        <f t="shared" si="12"/>
        <v>1960</v>
      </c>
      <c r="O151" s="628">
        <f t="shared" si="12"/>
        <v>0</v>
      </c>
      <c r="P151" s="628">
        <f t="shared" si="12"/>
        <v>0</v>
      </c>
      <c r="Q151" s="628">
        <f t="shared" si="12"/>
        <v>0</v>
      </c>
      <c r="R151" s="628">
        <f t="shared" si="12"/>
        <v>0</v>
      </c>
      <c r="S151" s="628">
        <f t="shared" si="12"/>
        <v>0</v>
      </c>
      <c r="T151" s="628">
        <f t="shared" si="12"/>
        <v>0</v>
      </c>
      <c r="U151" s="628">
        <f t="shared" si="12"/>
        <v>0</v>
      </c>
      <c r="Y151" s="627">
        <v>1998</v>
      </c>
      <c r="Z151" s="628">
        <v>1982.5</v>
      </c>
      <c r="AA151" s="628">
        <v>1996</v>
      </c>
      <c r="AB151" s="628">
        <v>1995</v>
      </c>
      <c r="AC151" s="628">
        <v>1990</v>
      </c>
      <c r="AD151" s="628">
        <v>0</v>
      </c>
      <c r="AE151" s="628">
        <v>2036</v>
      </c>
      <c r="AF151" s="628">
        <v>1982.5</v>
      </c>
      <c r="AG151" s="628">
        <v>1960</v>
      </c>
      <c r="AH151" s="628">
        <v>0</v>
      </c>
      <c r="AI151" s="628">
        <v>0</v>
      </c>
      <c r="AJ151" s="628">
        <v>0</v>
      </c>
      <c r="AK151" s="628">
        <v>0</v>
      </c>
      <c r="AL151" s="628">
        <v>0</v>
      </c>
      <c r="AM151" s="628">
        <v>0</v>
      </c>
      <c r="AN151" s="628">
        <v>0</v>
      </c>
    </row>
    <row r="152" spans="1:40" x14ac:dyDescent="0.3">
      <c r="A152" s="489" t="s">
        <v>1273</v>
      </c>
      <c r="B152" s="489" t="s">
        <v>1739</v>
      </c>
      <c r="C152" s="489" t="s">
        <v>1739</v>
      </c>
      <c r="D152" s="489" t="s">
        <v>141</v>
      </c>
      <c r="E152" s="619">
        <v>25</v>
      </c>
      <c r="F152" s="627">
        <f t="shared" si="11"/>
        <v>1968.04</v>
      </c>
      <c r="G152" s="628">
        <f t="shared" si="12"/>
        <v>1962.3478260869565</v>
      </c>
      <c r="H152" s="628">
        <f t="shared" si="12"/>
        <v>1962.3478260869565</v>
      </c>
      <c r="I152" s="628">
        <f t="shared" si="12"/>
        <v>1969</v>
      </c>
      <c r="J152" s="628">
        <f t="shared" si="12"/>
        <v>2098</v>
      </c>
      <c r="K152" s="628">
        <f t="shared" si="12"/>
        <v>0</v>
      </c>
      <c r="L152" s="628">
        <f t="shared" si="12"/>
        <v>0</v>
      </c>
      <c r="M152" s="628">
        <f t="shared" si="12"/>
        <v>0</v>
      </c>
      <c r="N152" s="628">
        <f t="shared" si="12"/>
        <v>0</v>
      </c>
      <c r="O152" s="628">
        <f t="shared" si="12"/>
        <v>0</v>
      </c>
      <c r="P152" s="628">
        <f t="shared" si="12"/>
        <v>0</v>
      </c>
      <c r="Q152" s="628">
        <f t="shared" si="12"/>
        <v>0</v>
      </c>
      <c r="R152" s="628">
        <f t="shared" si="12"/>
        <v>0</v>
      </c>
      <c r="S152" s="628">
        <f t="shared" si="12"/>
        <v>0</v>
      </c>
      <c r="T152" s="628">
        <f t="shared" si="12"/>
        <v>0</v>
      </c>
      <c r="U152" s="628">
        <f t="shared" si="12"/>
        <v>0</v>
      </c>
      <c r="Y152" s="627">
        <v>1968.04</v>
      </c>
      <c r="Z152" s="628">
        <v>0</v>
      </c>
      <c r="AA152" s="628">
        <v>1962.3478260869565</v>
      </c>
      <c r="AB152" s="628">
        <v>1969</v>
      </c>
      <c r="AC152" s="628">
        <v>2098</v>
      </c>
      <c r="AD152" s="628">
        <v>0</v>
      </c>
      <c r="AE152" s="628">
        <v>0</v>
      </c>
      <c r="AF152" s="628">
        <v>0</v>
      </c>
      <c r="AG152" s="628">
        <v>0</v>
      </c>
      <c r="AH152" s="628">
        <v>0</v>
      </c>
      <c r="AI152" s="628">
        <v>0</v>
      </c>
      <c r="AJ152" s="628">
        <v>0</v>
      </c>
      <c r="AK152" s="628">
        <v>0</v>
      </c>
      <c r="AL152" s="628">
        <v>0</v>
      </c>
      <c r="AM152" s="628">
        <v>0</v>
      </c>
      <c r="AN152" s="628">
        <v>0</v>
      </c>
    </row>
    <row r="153" spans="1:40" x14ac:dyDescent="0.3">
      <c r="A153" s="489" t="s">
        <v>1454</v>
      </c>
      <c r="B153" s="489" t="s">
        <v>1740</v>
      </c>
      <c r="C153" s="489" t="s">
        <v>304</v>
      </c>
      <c r="D153" s="489" t="s">
        <v>46</v>
      </c>
      <c r="E153" s="619">
        <v>24</v>
      </c>
      <c r="F153" s="627">
        <f t="shared" si="11"/>
        <v>1130.3333333333333</v>
      </c>
      <c r="G153" s="628">
        <f t="shared" si="12"/>
        <v>1157</v>
      </c>
      <c r="H153" s="628">
        <f t="shared" si="12"/>
        <v>1157</v>
      </c>
      <c r="I153" s="628">
        <f t="shared" si="12"/>
        <v>1157</v>
      </c>
      <c r="J153" s="628">
        <f t="shared" si="12"/>
        <v>1157</v>
      </c>
      <c r="K153" s="628">
        <f t="shared" si="12"/>
        <v>1157</v>
      </c>
      <c r="L153" s="628">
        <f t="shared" si="12"/>
        <v>1157</v>
      </c>
      <c r="M153" s="628">
        <f t="shared" si="12"/>
        <v>1157</v>
      </c>
      <c r="N153" s="628">
        <f t="shared" si="12"/>
        <v>1146.75</v>
      </c>
      <c r="O153" s="628">
        <f t="shared" si="12"/>
        <v>1160</v>
      </c>
      <c r="P153" s="628">
        <f t="shared" si="12"/>
        <v>1112</v>
      </c>
      <c r="Q153" s="628">
        <f t="shared" si="12"/>
        <v>1119.5999999999999</v>
      </c>
      <c r="R153" s="628">
        <f t="shared" si="12"/>
        <v>1096</v>
      </c>
      <c r="S153" s="628">
        <f t="shared" si="12"/>
        <v>0</v>
      </c>
      <c r="T153" s="628">
        <f t="shared" si="12"/>
        <v>0</v>
      </c>
      <c r="U153" s="628">
        <f t="shared" si="12"/>
        <v>0</v>
      </c>
      <c r="Y153" s="627">
        <v>1130.3333333333333</v>
      </c>
      <c r="Z153" s="628">
        <v>0</v>
      </c>
      <c r="AA153" s="628">
        <v>0</v>
      </c>
      <c r="AB153" s="628">
        <v>0</v>
      </c>
      <c r="AC153" s="628">
        <v>0</v>
      </c>
      <c r="AD153" s="628">
        <v>0</v>
      </c>
      <c r="AE153" s="628">
        <v>0</v>
      </c>
      <c r="AF153" s="628">
        <v>1157</v>
      </c>
      <c r="AG153" s="628">
        <v>1146.75</v>
      </c>
      <c r="AH153" s="628">
        <v>1160</v>
      </c>
      <c r="AI153" s="628">
        <v>1112</v>
      </c>
      <c r="AJ153" s="628">
        <v>1119.5999999999999</v>
      </c>
      <c r="AK153" s="628">
        <v>1096</v>
      </c>
      <c r="AL153" s="628">
        <v>0</v>
      </c>
      <c r="AM153" s="628">
        <v>0</v>
      </c>
      <c r="AN153" s="628">
        <v>0</v>
      </c>
    </row>
    <row r="154" spans="1:40" x14ac:dyDescent="0.3">
      <c r="A154" s="489" t="s">
        <v>1561</v>
      </c>
      <c r="B154" s="489" t="s">
        <v>1562</v>
      </c>
      <c r="C154" s="489" t="s">
        <v>1563</v>
      </c>
      <c r="D154" s="489" t="s">
        <v>1929</v>
      </c>
      <c r="E154" s="619">
        <v>24</v>
      </c>
      <c r="F154" s="627">
        <f t="shared" si="11"/>
        <v>1338.625</v>
      </c>
      <c r="G154" s="628">
        <f t="shared" si="12"/>
        <v>1337.5</v>
      </c>
      <c r="H154" s="628">
        <f t="shared" si="12"/>
        <v>1336</v>
      </c>
      <c r="I154" s="628">
        <f t="shared" si="12"/>
        <v>1345</v>
      </c>
      <c r="J154" s="628">
        <f t="shared" si="12"/>
        <v>1336</v>
      </c>
      <c r="K154" s="628">
        <f t="shared" si="12"/>
        <v>1345</v>
      </c>
      <c r="L154" s="628">
        <f t="shared" si="12"/>
        <v>1336</v>
      </c>
      <c r="M154" s="628">
        <f t="shared" si="12"/>
        <v>1341.4</v>
      </c>
      <c r="N154" s="628">
        <f t="shared" si="12"/>
        <v>1345</v>
      </c>
      <c r="O154" s="628">
        <f t="shared" si="12"/>
        <v>0</v>
      </c>
      <c r="P154" s="628">
        <f t="shared" si="12"/>
        <v>0</v>
      </c>
      <c r="Q154" s="628">
        <f t="shared" si="12"/>
        <v>0</v>
      </c>
      <c r="R154" s="628">
        <f t="shared" si="12"/>
        <v>0</v>
      </c>
      <c r="S154" s="628">
        <f t="shared" si="12"/>
        <v>0</v>
      </c>
      <c r="T154" s="628">
        <f t="shared" si="12"/>
        <v>0</v>
      </c>
      <c r="U154" s="628">
        <f t="shared" si="12"/>
        <v>0</v>
      </c>
      <c r="Y154" s="627">
        <v>1338.625</v>
      </c>
      <c r="Z154" s="628">
        <v>1337.5</v>
      </c>
      <c r="AA154" s="628">
        <v>1336</v>
      </c>
      <c r="AB154" s="628">
        <v>1345</v>
      </c>
      <c r="AC154" s="628">
        <v>1336</v>
      </c>
      <c r="AD154" s="628">
        <v>1345</v>
      </c>
      <c r="AE154" s="628">
        <v>1336</v>
      </c>
      <c r="AF154" s="628">
        <v>1341.4</v>
      </c>
      <c r="AG154" s="628">
        <v>1345</v>
      </c>
      <c r="AH154" s="628">
        <v>0</v>
      </c>
      <c r="AI154" s="628">
        <v>0</v>
      </c>
      <c r="AJ154" s="628">
        <v>0</v>
      </c>
      <c r="AK154" s="628">
        <v>0</v>
      </c>
      <c r="AL154" s="628">
        <v>0</v>
      </c>
      <c r="AM154" s="628">
        <v>0</v>
      </c>
      <c r="AN154" s="628">
        <v>0</v>
      </c>
    </row>
    <row r="155" spans="1:40" x14ac:dyDescent="0.3">
      <c r="A155" s="489" t="s">
        <v>1422</v>
      </c>
      <c r="B155" s="489" t="s">
        <v>1741</v>
      </c>
      <c r="C155" s="489" t="s">
        <v>1866</v>
      </c>
      <c r="D155" s="489" t="s">
        <v>46</v>
      </c>
      <c r="E155" s="619">
        <v>24</v>
      </c>
      <c r="F155" s="627">
        <f t="shared" si="11"/>
        <v>1616</v>
      </c>
      <c r="G155" s="628">
        <f t="shared" si="12"/>
        <v>1622.6666666666667</v>
      </c>
      <c r="H155" s="628">
        <f t="shared" si="12"/>
        <v>1579</v>
      </c>
      <c r="I155" s="628">
        <f t="shared" si="12"/>
        <v>1585.3333333333333</v>
      </c>
      <c r="J155" s="628">
        <f t="shared" si="12"/>
        <v>1582.5</v>
      </c>
      <c r="K155" s="628">
        <f t="shared" si="12"/>
        <v>1579</v>
      </c>
      <c r="L155" s="628">
        <f t="shared" si="12"/>
        <v>1642</v>
      </c>
      <c r="M155" s="628">
        <f t="shared" si="12"/>
        <v>1624</v>
      </c>
      <c r="N155" s="628">
        <f t="shared" si="12"/>
        <v>1609.6666666666667</v>
      </c>
      <c r="O155" s="628">
        <f t="shared" si="12"/>
        <v>0</v>
      </c>
      <c r="P155" s="628">
        <f t="shared" si="12"/>
        <v>0</v>
      </c>
      <c r="Q155" s="628">
        <f t="shared" si="12"/>
        <v>0</v>
      </c>
      <c r="R155" s="628">
        <f t="shared" si="12"/>
        <v>0</v>
      </c>
      <c r="S155" s="628">
        <f t="shared" si="12"/>
        <v>0</v>
      </c>
      <c r="T155" s="628">
        <f t="shared" si="12"/>
        <v>0</v>
      </c>
      <c r="U155" s="628">
        <f t="shared" si="12"/>
        <v>0</v>
      </c>
      <c r="Y155" s="627">
        <v>1616</v>
      </c>
      <c r="Z155" s="628">
        <v>1622.6666666666667</v>
      </c>
      <c r="AA155" s="628">
        <v>1579</v>
      </c>
      <c r="AB155" s="628">
        <v>1585.3333333333333</v>
      </c>
      <c r="AC155" s="628">
        <v>1582.5</v>
      </c>
      <c r="AD155" s="628">
        <v>1579</v>
      </c>
      <c r="AE155" s="628">
        <v>1642</v>
      </c>
      <c r="AF155" s="628">
        <v>1624</v>
      </c>
      <c r="AG155" s="628">
        <v>1609.6666666666667</v>
      </c>
      <c r="AH155" s="628">
        <v>0</v>
      </c>
      <c r="AI155" s="628">
        <v>0</v>
      </c>
      <c r="AJ155" s="628">
        <v>0</v>
      </c>
      <c r="AK155" s="628">
        <v>0</v>
      </c>
      <c r="AL155" s="628">
        <v>0</v>
      </c>
      <c r="AM155" s="628">
        <v>0</v>
      </c>
      <c r="AN155" s="628">
        <v>0</v>
      </c>
    </row>
    <row r="156" spans="1:40" x14ac:dyDescent="0.3">
      <c r="A156" s="489" t="s">
        <v>1414</v>
      </c>
      <c r="B156" s="489" t="s">
        <v>1666</v>
      </c>
      <c r="C156" s="489" t="s">
        <v>1867</v>
      </c>
      <c r="D156" s="489" t="s">
        <v>46</v>
      </c>
      <c r="E156" s="619">
        <v>24</v>
      </c>
      <c r="F156" s="627">
        <f t="shared" si="11"/>
        <v>1407.5</v>
      </c>
      <c r="G156" s="628">
        <f t="shared" si="12"/>
        <v>1435</v>
      </c>
      <c r="H156" s="628">
        <f t="shared" si="12"/>
        <v>1405</v>
      </c>
      <c r="I156" s="628">
        <f t="shared" si="12"/>
        <v>1405</v>
      </c>
      <c r="J156" s="628">
        <f t="shared" si="12"/>
        <v>1405</v>
      </c>
      <c r="K156" s="628">
        <f t="shared" si="12"/>
        <v>1405</v>
      </c>
      <c r="L156" s="628">
        <f t="shared" si="12"/>
        <v>1405</v>
      </c>
      <c r="M156" s="628">
        <f t="shared" si="12"/>
        <v>1405</v>
      </c>
      <c r="N156" s="628">
        <f t="shared" si="12"/>
        <v>1405</v>
      </c>
      <c r="O156" s="628">
        <f t="shared" si="12"/>
        <v>0</v>
      </c>
      <c r="P156" s="628">
        <f t="shared" si="12"/>
        <v>0</v>
      </c>
      <c r="Q156" s="628">
        <f t="shared" si="12"/>
        <v>0</v>
      </c>
      <c r="R156" s="628">
        <f t="shared" si="12"/>
        <v>0</v>
      </c>
      <c r="S156" s="628">
        <f t="shared" si="12"/>
        <v>0</v>
      </c>
      <c r="T156" s="628">
        <f t="shared" si="12"/>
        <v>0</v>
      </c>
      <c r="U156" s="628">
        <f t="shared" si="12"/>
        <v>0</v>
      </c>
      <c r="Y156" s="627">
        <v>1407.5</v>
      </c>
      <c r="Z156" s="628">
        <v>1435</v>
      </c>
      <c r="AA156" s="628">
        <v>0</v>
      </c>
      <c r="AB156" s="628">
        <v>0</v>
      </c>
      <c r="AC156" s="628">
        <v>0</v>
      </c>
      <c r="AD156" s="628">
        <v>1405</v>
      </c>
      <c r="AE156" s="628">
        <v>1405</v>
      </c>
      <c r="AF156" s="628">
        <v>1405</v>
      </c>
      <c r="AG156" s="628">
        <v>1405</v>
      </c>
      <c r="AH156" s="628">
        <v>0</v>
      </c>
      <c r="AI156" s="628">
        <v>0</v>
      </c>
      <c r="AJ156" s="628">
        <v>0</v>
      </c>
      <c r="AK156" s="628">
        <v>0</v>
      </c>
      <c r="AL156" s="628">
        <v>0</v>
      </c>
      <c r="AM156" s="628">
        <v>0</v>
      </c>
      <c r="AN156" s="628">
        <v>0</v>
      </c>
    </row>
    <row r="157" spans="1:40" x14ac:dyDescent="0.3">
      <c r="A157" s="489" t="s">
        <v>1742</v>
      </c>
      <c r="B157" s="489" t="s">
        <v>1743</v>
      </c>
      <c r="C157" s="489" t="s">
        <v>1868</v>
      </c>
      <c r="D157" s="489" t="s">
        <v>141</v>
      </c>
      <c r="E157" s="619">
        <v>24</v>
      </c>
      <c r="F157" s="627">
        <f t="shared" si="11"/>
        <v>2354</v>
      </c>
      <c r="G157" s="628">
        <f t="shared" si="12"/>
        <v>2354</v>
      </c>
      <c r="H157" s="628">
        <f t="shared" si="12"/>
        <v>2354</v>
      </c>
      <c r="I157" s="628">
        <f t="shared" si="12"/>
        <v>0</v>
      </c>
      <c r="J157" s="628">
        <f t="shared" si="12"/>
        <v>0</v>
      </c>
      <c r="K157" s="628">
        <f t="shared" si="12"/>
        <v>0</v>
      </c>
      <c r="L157" s="628">
        <f t="shared" si="12"/>
        <v>0</v>
      </c>
      <c r="M157" s="628">
        <f t="shared" si="12"/>
        <v>0</v>
      </c>
      <c r="N157" s="628">
        <f t="shared" si="12"/>
        <v>0</v>
      </c>
      <c r="O157" s="628">
        <f t="shared" si="12"/>
        <v>0</v>
      </c>
      <c r="P157" s="628">
        <f t="shared" si="12"/>
        <v>0</v>
      </c>
      <c r="Q157" s="628">
        <f t="shared" si="12"/>
        <v>0</v>
      </c>
      <c r="R157" s="628">
        <f t="shared" si="12"/>
        <v>0</v>
      </c>
      <c r="S157" s="628">
        <f t="shared" si="12"/>
        <v>0</v>
      </c>
      <c r="T157" s="628">
        <f t="shared" si="12"/>
        <v>0</v>
      </c>
      <c r="U157" s="628">
        <f t="shared" si="12"/>
        <v>0</v>
      </c>
      <c r="Y157" s="627">
        <v>2354</v>
      </c>
      <c r="Z157" s="628">
        <v>2354</v>
      </c>
      <c r="AA157" s="628">
        <v>2354</v>
      </c>
      <c r="AB157" s="628">
        <v>0</v>
      </c>
      <c r="AC157" s="628">
        <v>0</v>
      </c>
      <c r="AD157" s="628">
        <v>0</v>
      </c>
      <c r="AE157" s="628">
        <v>0</v>
      </c>
      <c r="AF157" s="628">
        <v>0</v>
      </c>
      <c r="AG157" s="628">
        <v>0</v>
      </c>
      <c r="AH157" s="628">
        <v>0</v>
      </c>
      <c r="AI157" s="628">
        <v>0</v>
      </c>
      <c r="AJ157" s="628">
        <v>0</v>
      </c>
      <c r="AK157" s="628">
        <v>0</v>
      </c>
      <c r="AL157" s="628">
        <v>0</v>
      </c>
      <c r="AM157" s="628">
        <v>0</v>
      </c>
      <c r="AN157" s="628">
        <v>0</v>
      </c>
    </row>
    <row r="158" spans="1:40" x14ac:dyDescent="0.3">
      <c r="A158" s="489" t="s">
        <v>1605</v>
      </c>
      <c r="B158" s="489" t="s">
        <v>1744</v>
      </c>
      <c r="C158" s="489" t="s">
        <v>1869</v>
      </c>
      <c r="D158" s="489" t="s">
        <v>1936</v>
      </c>
      <c r="E158" s="619">
        <v>24</v>
      </c>
      <c r="F158" s="627">
        <f t="shared" si="11"/>
        <v>1712</v>
      </c>
      <c r="G158" s="628">
        <f t="shared" si="12"/>
        <v>1712</v>
      </c>
      <c r="H158" s="628">
        <f t="shared" si="12"/>
        <v>1712</v>
      </c>
      <c r="I158" s="628">
        <f t="shared" si="12"/>
        <v>1712</v>
      </c>
      <c r="J158" s="628">
        <f t="shared" si="12"/>
        <v>1712</v>
      </c>
      <c r="K158" s="628">
        <f t="shared" si="12"/>
        <v>0</v>
      </c>
      <c r="L158" s="628">
        <f t="shared" si="12"/>
        <v>0</v>
      </c>
      <c r="M158" s="628">
        <f t="shared" si="12"/>
        <v>0</v>
      </c>
      <c r="N158" s="628">
        <f t="shared" si="12"/>
        <v>0</v>
      </c>
      <c r="O158" s="628">
        <f t="shared" si="12"/>
        <v>0</v>
      </c>
      <c r="P158" s="628">
        <f t="shared" si="12"/>
        <v>0</v>
      </c>
      <c r="Q158" s="628">
        <f t="shared" si="12"/>
        <v>0</v>
      </c>
      <c r="R158" s="628">
        <f t="shared" si="12"/>
        <v>0</v>
      </c>
      <c r="S158" s="628">
        <f t="shared" si="12"/>
        <v>0</v>
      </c>
      <c r="T158" s="628">
        <f t="shared" si="12"/>
        <v>0</v>
      </c>
      <c r="U158" s="628">
        <f t="shared" si="12"/>
        <v>0</v>
      </c>
      <c r="Y158" s="627">
        <v>1712</v>
      </c>
      <c r="Z158" s="628">
        <v>1712</v>
      </c>
      <c r="AA158" s="628">
        <v>1712</v>
      </c>
      <c r="AB158" s="628">
        <v>1712</v>
      </c>
      <c r="AC158" s="628">
        <v>1712</v>
      </c>
      <c r="AD158" s="628">
        <v>0</v>
      </c>
      <c r="AE158" s="628">
        <v>0</v>
      </c>
      <c r="AF158" s="628">
        <v>0</v>
      </c>
      <c r="AG158" s="628">
        <v>0</v>
      </c>
      <c r="AH158" s="628">
        <v>0</v>
      </c>
      <c r="AI158" s="628">
        <v>0</v>
      </c>
      <c r="AJ158" s="628">
        <v>0</v>
      </c>
      <c r="AK158" s="628">
        <v>0</v>
      </c>
      <c r="AL158" s="628">
        <v>0</v>
      </c>
      <c r="AM158" s="628">
        <v>0</v>
      </c>
      <c r="AN158" s="628">
        <v>0</v>
      </c>
    </row>
    <row r="159" spans="1:40" x14ac:dyDescent="0.3">
      <c r="A159" s="489" t="s">
        <v>1605</v>
      </c>
      <c r="B159" s="489" t="s">
        <v>1667</v>
      </c>
      <c r="C159" s="489" t="s">
        <v>349</v>
      </c>
      <c r="D159" s="489" t="s">
        <v>46</v>
      </c>
      <c r="E159" s="619">
        <v>23</v>
      </c>
      <c r="F159" s="627">
        <f t="shared" si="11"/>
        <v>1323.7826086956522</v>
      </c>
      <c r="G159" s="628">
        <f t="shared" si="12"/>
        <v>1353</v>
      </c>
      <c r="H159" s="628">
        <f t="shared" si="12"/>
        <v>1353</v>
      </c>
      <c r="I159" s="628">
        <f t="shared" si="12"/>
        <v>1383</v>
      </c>
      <c r="J159" s="628">
        <f t="shared" si="12"/>
        <v>1353</v>
      </c>
      <c r="K159" s="628">
        <f t="shared" si="12"/>
        <v>1295</v>
      </c>
      <c r="L159" s="628">
        <f t="shared" si="12"/>
        <v>1295</v>
      </c>
      <c r="M159" s="628">
        <f t="shared" si="12"/>
        <v>1295</v>
      </c>
      <c r="N159" s="628">
        <f t="shared" si="12"/>
        <v>1324</v>
      </c>
      <c r="O159" s="628">
        <f t="shared" si="12"/>
        <v>1324</v>
      </c>
      <c r="P159" s="628">
        <f t="shared" si="12"/>
        <v>1303.1666666666667</v>
      </c>
      <c r="Q159" s="628">
        <f t="shared" si="12"/>
        <v>1353.375</v>
      </c>
      <c r="R159" s="628">
        <f t="shared" si="12"/>
        <v>1266</v>
      </c>
      <c r="S159" s="628">
        <f t="shared" si="12"/>
        <v>0</v>
      </c>
      <c r="T159" s="628">
        <f t="shared" si="12"/>
        <v>0</v>
      </c>
      <c r="U159" s="628">
        <f t="shared" si="12"/>
        <v>0</v>
      </c>
      <c r="Y159" s="627">
        <v>1323.7826086956522</v>
      </c>
      <c r="Z159" s="628">
        <v>0</v>
      </c>
      <c r="AA159" s="628">
        <v>1353</v>
      </c>
      <c r="AB159" s="628">
        <v>1383</v>
      </c>
      <c r="AC159" s="628">
        <v>1353</v>
      </c>
      <c r="AD159" s="628">
        <v>0</v>
      </c>
      <c r="AE159" s="628">
        <v>0</v>
      </c>
      <c r="AF159" s="628">
        <v>1295</v>
      </c>
      <c r="AG159" s="628">
        <v>0</v>
      </c>
      <c r="AH159" s="628">
        <v>1324</v>
      </c>
      <c r="AI159" s="628">
        <v>1303.1666666666667</v>
      </c>
      <c r="AJ159" s="628">
        <v>1353.375</v>
      </c>
      <c r="AK159" s="628">
        <v>1266</v>
      </c>
      <c r="AL159" s="628">
        <v>0</v>
      </c>
      <c r="AM159" s="628">
        <v>0</v>
      </c>
      <c r="AN159" s="628">
        <v>0</v>
      </c>
    </row>
    <row r="160" spans="1:40" x14ac:dyDescent="0.3">
      <c r="A160" s="489" t="s">
        <v>1605</v>
      </c>
      <c r="B160" s="489" t="s">
        <v>1744</v>
      </c>
      <c r="C160" s="489" t="s">
        <v>1869</v>
      </c>
      <c r="D160" s="489" t="s">
        <v>46</v>
      </c>
      <c r="E160" s="619">
        <v>23</v>
      </c>
      <c r="F160" s="627">
        <f t="shared" si="11"/>
        <v>1632.2608695652175</v>
      </c>
      <c r="G160" s="628">
        <f t="shared" si="12"/>
        <v>1574</v>
      </c>
      <c r="H160" s="628">
        <f t="shared" si="12"/>
        <v>1574</v>
      </c>
      <c r="I160" s="628">
        <f t="shared" si="12"/>
        <v>1574</v>
      </c>
      <c r="J160" s="628">
        <f t="shared" si="12"/>
        <v>1637.8095238095239</v>
      </c>
      <c r="K160" s="628">
        <f t="shared" si="12"/>
        <v>1637.8095238095239</v>
      </c>
      <c r="L160" s="628">
        <f t="shared" si="12"/>
        <v>1637.8095238095239</v>
      </c>
      <c r="M160" s="628">
        <f t="shared" si="12"/>
        <v>1574</v>
      </c>
      <c r="N160" s="628">
        <f t="shared" si="12"/>
        <v>0</v>
      </c>
      <c r="O160" s="628">
        <f t="shared" si="12"/>
        <v>0</v>
      </c>
      <c r="P160" s="628">
        <f t="shared" si="12"/>
        <v>0</v>
      </c>
      <c r="Q160" s="628">
        <f t="shared" si="12"/>
        <v>0</v>
      </c>
      <c r="R160" s="628">
        <f t="shared" si="12"/>
        <v>0</v>
      </c>
      <c r="S160" s="628">
        <f t="shared" si="12"/>
        <v>0</v>
      </c>
      <c r="T160" s="628">
        <f t="shared" si="12"/>
        <v>0</v>
      </c>
      <c r="U160" s="628">
        <f t="shared" si="12"/>
        <v>0</v>
      </c>
      <c r="Y160" s="627">
        <v>1632.2608695652175</v>
      </c>
      <c r="Z160" s="628">
        <v>0</v>
      </c>
      <c r="AA160" s="628">
        <v>0</v>
      </c>
      <c r="AB160" s="628">
        <v>1574</v>
      </c>
      <c r="AC160" s="628">
        <v>0</v>
      </c>
      <c r="AD160" s="628">
        <v>0</v>
      </c>
      <c r="AE160" s="628">
        <v>1637.8095238095239</v>
      </c>
      <c r="AF160" s="628">
        <v>1574</v>
      </c>
      <c r="AG160" s="628">
        <v>0</v>
      </c>
      <c r="AH160" s="628">
        <v>0</v>
      </c>
      <c r="AI160" s="628">
        <v>0</v>
      </c>
      <c r="AJ160" s="628">
        <v>0</v>
      </c>
      <c r="AK160" s="628">
        <v>0</v>
      </c>
      <c r="AL160" s="628">
        <v>0</v>
      </c>
      <c r="AM160" s="628">
        <v>0</v>
      </c>
      <c r="AN160" s="628">
        <v>0</v>
      </c>
    </row>
    <row r="161" spans="1:40" x14ac:dyDescent="0.3">
      <c r="A161" s="489" t="s">
        <v>1414</v>
      </c>
      <c r="B161" s="489" t="s">
        <v>1745</v>
      </c>
      <c r="C161" s="489" t="s">
        <v>1870</v>
      </c>
      <c r="D161" s="489" t="s">
        <v>46</v>
      </c>
      <c r="E161" s="619">
        <v>23</v>
      </c>
      <c r="F161" s="627">
        <f t="shared" si="11"/>
        <v>1744.1304347826087</v>
      </c>
      <c r="G161" s="628">
        <f t="shared" si="12"/>
        <v>1745</v>
      </c>
      <c r="H161" s="628">
        <f t="shared" si="12"/>
        <v>1745</v>
      </c>
      <c r="I161" s="628">
        <f t="shared" si="12"/>
        <v>1745</v>
      </c>
      <c r="J161" s="628">
        <f t="shared" si="12"/>
        <v>1745</v>
      </c>
      <c r="K161" s="628">
        <f t="shared" si="12"/>
        <v>1735</v>
      </c>
      <c r="L161" s="628">
        <f t="shared" si="12"/>
        <v>1743.8888888888889</v>
      </c>
      <c r="M161" s="628">
        <f t="shared" si="12"/>
        <v>1745</v>
      </c>
      <c r="N161" s="628">
        <f t="shared" si="12"/>
        <v>1745</v>
      </c>
      <c r="O161" s="628">
        <f t="shared" si="12"/>
        <v>1745</v>
      </c>
      <c r="P161" s="628">
        <f t="shared" si="12"/>
        <v>0</v>
      </c>
      <c r="Q161" s="628">
        <f t="shared" si="12"/>
        <v>0</v>
      </c>
      <c r="R161" s="628">
        <f t="shared" si="12"/>
        <v>0</v>
      </c>
      <c r="S161" s="628">
        <f t="shared" si="12"/>
        <v>0</v>
      </c>
      <c r="T161" s="628">
        <f t="shared" si="12"/>
        <v>0</v>
      </c>
      <c r="U161" s="628">
        <f t="shared" si="12"/>
        <v>0</v>
      </c>
      <c r="Y161" s="627">
        <v>1744.1304347826087</v>
      </c>
      <c r="Z161" s="628">
        <v>1745</v>
      </c>
      <c r="AA161" s="628">
        <v>0</v>
      </c>
      <c r="AB161" s="628">
        <v>1745</v>
      </c>
      <c r="AC161" s="628">
        <v>1745</v>
      </c>
      <c r="AD161" s="628">
        <v>1735</v>
      </c>
      <c r="AE161" s="628">
        <v>1743.8888888888889</v>
      </c>
      <c r="AF161" s="628">
        <v>1745</v>
      </c>
      <c r="AG161" s="628">
        <v>1745</v>
      </c>
      <c r="AH161" s="628">
        <v>1745</v>
      </c>
      <c r="AI161" s="628">
        <v>0</v>
      </c>
      <c r="AJ161" s="628">
        <v>0</v>
      </c>
      <c r="AK161" s="628">
        <v>0</v>
      </c>
      <c r="AL161" s="628">
        <v>0</v>
      </c>
      <c r="AM161" s="628">
        <v>0</v>
      </c>
      <c r="AN161" s="628">
        <v>0</v>
      </c>
    </row>
    <row r="162" spans="1:40" x14ac:dyDescent="0.3">
      <c r="A162" s="489" t="s">
        <v>1454</v>
      </c>
      <c r="B162" s="489" t="s">
        <v>1746</v>
      </c>
      <c r="C162" s="489" t="s">
        <v>1871</v>
      </c>
      <c r="D162" s="489" t="s">
        <v>46</v>
      </c>
      <c r="E162" s="619">
        <v>22</v>
      </c>
      <c r="F162" s="627">
        <f t="shared" si="11"/>
        <v>1453.909090909091</v>
      </c>
      <c r="G162" s="628">
        <f t="shared" ref="G162:U177" si="13">IF(Z162&gt;0,Z162,IF(H162&gt;0,H162,0))</f>
        <v>1551</v>
      </c>
      <c r="H162" s="628">
        <f t="shared" si="13"/>
        <v>1551</v>
      </c>
      <c r="I162" s="628">
        <f t="shared" si="13"/>
        <v>1551</v>
      </c>
      <c r="J162" s="628">
        <f t="shared" si="13"/>
        <v>1515</v>
      </c>
      <c r="K162" s="628">
        <f t="shared" si="13"/>
        <v>1405</v>
      </c>
      <c r="L162" s="628">
        <f t="shared" si="13"/>
        <v>1405</v>
      </c>
      <c r="M162" s="628">
        <f t="shared" si="13"/>
        <v>1405</v>
      </c>
      <c r="N162" s="628">
        <f t="shared" si="13"/>
        <v>1452</v>
      </c>
      <c r="O162" s="628">
        <f t="shared" si="13"/>
        <v>1451.5</v>
      </c>
      <c r="P162" s="628">
        <f t="shared" si="13"/>
        <v>1405</v>
      </c>
      <c r="Q162" s="628">
        <f t="shared" si="13"/>
        <v>1497</v>
      </c>
      <c r="R162" s="628">
        <f t="shared" si="13"/>
        <v>1451.5</v>
      </c>
      <c r="S162" s="628">
        <f t="shared" si="13"/>
        <v>1438</v>
      </c>
      <c r="T162" s="628">
        <f t="shared" si="13"/>
        <v>1385</v>
      </c>
      <c r="U162" s="628">
        <f t="shared" si="13"/>
        <v>1478</v>
      </c>
      <c r="Y162" s="627">
        <v>1453.909090909091</v>
      </c>
      <c r="Z162" s="628">
        <v>0</v>
      </c>
      <c r="AA162" s="628">
        <v>0</v>
      </c>
      <c r="AB162" s="628">
        <v>1551</v>
      </c>
      <c r="AC162" s="628">
        <v>1515</v>
      </c>
      <c r="AD162" s="628">
        <v>0</v>
      </c>
      <c r="AE162" s="628">
        <v>1405</v>
      </c>
      <c r="AF162" s="628">
        <v>1405</v>
      </c>
      <c r="AG162" s="628">
        <v>1452</v>
      </c>
      <c r="AH162" s="628">
        <v>1451.5</v>
      </c>
      <c r="AI162" s="628">
        <v>1405</v>
      </c>
      <c r="AJ162" s="628">
        <v>1497</v>
      </c>
      <c r="AK162" s="628">
        <v>1451.5</v>
      </c>
      <c r="AL162" s="628">
        <v>1438</v>
      </c>
      <c r="AM162" s="628">
        <v>1385</v>
      </c>
      <c r="AN162" s="628">
        <v>1478</v>
      </c>
    </row>
    <row r="163" spans="1:40" x14ac:dyDescent="0.3">
      <c r="A163" s="489" t="s">
        <v>1454</v>
      </c>
      <c r="B163" s="489" t="s">
        <v>1455</v>
      </c>
      <c r="C163" s="489" t="s">
        <v>1456</v>
      </c>
      <c r="D163" s="489" t="s">
        <v>46</v>
      </c>
      <c r="E163" s="619">
        <v>22</v>
      </c>
      <c r="F163" s="627">
        <f t="shared" si="11"/>
        <v>1754.5</v>
      </c>
      <c r="G163" s="628">
        <f t="shared" si="13"/>
        <v>1634</v>
      </c>
      <c r="H163" s="628">
        <f t="shared" si="13"/>
        <v>1634</v>
      </c>
      <c r="I163" s="628">
        <f t="shared" si="13"/>
        <v>1634</v>
      </c>
      <c r="J163" s="628">
        <f t="shared" si="13"/>
        <v>1635</v>
      </c>
      <c r="K163" s="628">
        <f t="shared" si="13"/>
        <v>1634</v>
      </c>
      <c r="L163" s="628">
        <f t="shared" si="13"/>
        <v>1635</v>
      </c>
      <c r="M163" s="628">
        <f t="shared" si="13"/>
        <v>1852</v>
      </c>
      <c r="N163" s="628">
        <f t="shared" si="13"/>
        <v>1634.5</v>
      </c>
      <c r="O163" s="628">
        <f t="shared" si="13"/>
        <v>1634.6666666666667</v>
      </c>
      <c r="P163" s="628">
        <f t="shared" si="13"/>
        <v>1782.5</v>
      </c>
      <c r="Q163" s="628">
        <f t="shared" si="13"/>
        <v>1930</v>
      </c>
      <c r="R163" s="628">
        <f t="shared" si="13"/>
        <v>1930</v>
      </c>
      <c r="S163" s="628">
        <f t="shared" si="13"/>
        <v>1930</v>
      </c>
      <c r="T163" s="628">
        <f t="shared" si="13"/>
        <v>1938</v>
      </c>
      <c r="U163" s="628">
        <f t="shared" si="13"/>
        <v>0</v>
      </c>
      <c r="Y163" s="627">
        <v>1754.5</v>
      </c>
      <c r="Z163" s="628">
        <v>0</v>
      </c>
      <c r="AA163" s="628">
        <v>1634</v>
      </c>
      <c r="AB163" s="628">
        <v>1634</v>
      </c>
      <c r="AC163" s="628">
        <v>1635</v>
      </c>
      <c r="AD163" s="628">
        <v>1634</v>
      </c>
      <c r="AE163" s="628">
        <v>1635</v>
      </c>
      <c r="AF163" s="628">
        <v>1852</v>
      </c>
      <c r="AG163" s="628">
        <v>1634.5</v>
      </c>
      <c r="AH163" s="628">
        <v>1634.6666666666667</v>
      </c>
      <c r="AI163" s="628">
        <v>1782.5</v>
      </c>
      <c r="AJ163" s="628">
        <v>1930</v>
      </c>
      <c r="AK163" s="628">
        <v>0</v>
      </c>
      <c r="AL163" s="628">
        <v>1930</v>
      </c>
      <c r="AM163" s="628">
        <v>1938</v>
      </c>
      <c r="AN163" s="628">
        <v>0</v>
      </c>
    </row>
    <row r="164" spans="1:40" x14ac:dyDescent="0.3">
      <c r="A164" s="489" t="s">
        <v>1414</v>
      </c>
      <c r="B164" s="489" t="s">
        <v>1668</v>
      </c>
      <c r="C164" s="489" t="s">
        <v>1872</v>
      </c>
      <c r="D164" s="489" t="s">
        <v>1936</v>
      </c>
      <c r="E164" s="619">
        <v>22</v>
      </c>
      <c r="F164" s="627">
        <f t="shared" si="11"/>
        <v>1990.6818181818182</v>
      </c>
      <c r="G164" s="628">
        <f t="shared" si="13"/>
        <v>2097.1428571428573</v>
      </c>
      <c r="H164" s="628">
        <f t="shared" si="13"/>
        <v>1949.5</v>
      </c>
      <c r="I164" s="628">
        <f t="shared" si="13"/>
        <v>1890</v>
      </c>
      <c r="J164" s="628">
        <f t="shared" si="13"/>
        <v>1975</v>
      </c>
      <c r="K164" s="628">
        <f t="shared" si="13"/>
        <v>1890</v>
      </c>
      <c r="L164" s="628">
        <f t="shared" si="13"/>
        <v>0</v>
      </c>
      <c r="M164" s="628">
        <f t="shared" si="13"/>
        <v>0</v>
      </c>
      <c r="N164" s="628">
        <f t="shared" si="13"/>
        <v>0</v>
      </c>
      <c r="O164" s="628">
        <f t="shared" si="13"/>
        <v>0</v>
      </c>
      <c r="P164" s="628">
        <f t="shared" si="13"/>
        <v>0</v>
      </c>
      <c r="Q164" s="628">
        <f t="shared" si="13"/>
        <v>0</v>
      </c>
      <c r="R164" s="628">
        <f t="shared" si="13"/>
        <v>0</v>
      </c>
      <c r="S164" s="628">
        <f t="shared" si="13"/>
        <v>0</v>
      </c>
      <c r="T164" s="628">
        <f t="shared" si="13"/>
        <v>0</v>
      </c>
      <c r="U164" s="628">
        <f t="shared" si="13"/>
        <v>0</v>
      </c>
      <c r="Y164" s="627">
        <v>1990.6818181818182</v>
      </c>
      <c r="Z164" s="628">
        <v>2097.1428571428573</v>
      </c>
      <c r="AA164" s="628">
        <v>1949.5</v>
      </c>
      <c r="AB164" s="628">
        <v>1890</v>
      </c>
      <c r="AC164" s="628">
        <v>1975</v>
      </c>
      <c r="AD164" s="628">
        <v>1890</v>
      </c>
      <c r="AE164" s="628">
        <v>0</v>
      </c>
      <c r="AF164" s="628">
        <v>0</v>
      </c>
      <c r="AG164" s="628">
        <v>0</v>
      </c>
      <c r="AH164" s="628">
        <v>0</v>
      </c>
      <c r="AI164" s="628">
        <v>0</v>
      </c>
      <c r="AJ164" s="628">
        <v>0</v>
      </c>
      <c r="AK164" s="628">
        <v>0</v>
      </c>
      <c r="AL164" s="628">
        <v>0</v>
      </c>
      <c r="AM164" s="628">
        <v>0</v>
      </c>
      <c r="AN164" s="628">
        <v>0</v>
      </c>
    </row>
    <row r="165" spans="1:40" x14ac:dyDescent="0.3">
      <c r="A165" s="489" t="s">
        <v>1451</v>
      </c>
      <c r="B165" s="489" t="s">
        <v>1747</v>
      </c>
      <c r="C165" s="489" t="s">
        <v>1873</v>
      </c>
      <c r="D165" s="489" t="s">
        <v>46</v>
      </c>
      <c r="E165" s="619">
        <v>21</v>
      </c>
      <c r="F165" s="627">
        <f t="shared" si="11"/>
        <v>1539.8571428571429</v>
      </c>
      <c r="G165" s="628">
        <f t="shared" si="13"/>
        <v>1498.5</v>
      </c>
      <c r="H165" s="628">
        <f t="shared" si="13"/>
        <v>1513.8571428571429</v>
      </c>
      <c r="I165" s="628">
        <f t="shared" si="13"/>
        <v>1515</v>
      </c>
      <c r="J165" s="628">
        <f t="shared" si="13"/>
        <v>1515</v>
      </c>
      <c r="K165" s="628">
        <f t="shared" si="13"/>
        <v>1515</v>
      </c>
      <c r="L165" s="628">
        <f t="shared" si="13"/>
        <v>1540.5</v>
      </c>
      <c r="M165" s="628">
        <f t="shared" si="13"/>
        <v>1452</v>
      </c>
      <c r="N165" s="628">
        <f t="shared" si="13"/>
        <v>1452</v>
      </c>
      <c r="O165" s="628">
        <f t="shared" si="13"/>
        <v>1633</v>
      </c>
      <c r="P165" s="628">
        <f t="shared" si="13"/>
        <v>1633</v>
      </c>
      <c r="Q165" s="628">
        <f t="shared" si="13"/>
        <v>1633</v>
      </c>
      <c r="R165" s="628">
        <f t="shared" si="13"/>
        <v>1633</v>
      </c>
      <c r="S165" s="628">
        <f t="shared" si="13"/>
        <v>1633</v>
      </c>
      <c r="T165" s="628">
        <f t="shared" si="13"/>
        <v>1633</v>
      </c>
      <c r="U165" s="628">
        <f t="shared" si="13"/>
        <v>1633</v>
      </c>
      <c r="Y165" s="627">
        <v>1539.8571428571429</v>
      </c>
      <c r="Z165" s="628">
        <v>1498.5</v>
      </c>
      <c r="AA165" s="628">
        <v>1513.8571428571429</v>
      </c>
      <c r="AB165" s="628">
        <v>0</v>
      </c>
      <c r="AC165" s="628">
        <v>0</v>
      </c>
      <c r="AD165" s="628">
        <v>1515</v>
      </c>
      <c r="AE165" s="628">
        <v>1540.5</v>
      </c>
      <c r="AF165" s="628">
        <v>0</v>
      </c>
      <c r="AG165" s="628">
        <v>1452</v>
      </c>
      <c r="AH165" s="628">
        <v>0</v>
      </c>
      <c r="AI165" s="628">
        <v>0</v>
      </c>
      <c r="AJ165" s="628">
        <v>1633</v>
      </c>
      <c r="AK165" s="628">
        <v>0</v>
      </c>
      <c r="AL165" s="628">
        <v>0</v>
      </c>
      <c r="AM165" s="628">
        <v>0</v>
      </c>
      <c r="AN165" s="628">
        <v>1633</v>
      </c>
    </row>
    <row r="166" spans="1:40" x14ac:dyDescent="0.3">
      <c r="A166" s="489" t="s">
        <v>1567</v>
      </c>
      <c r="B166" s="489">
        <v>508</v>
      </c>
      <c r="C166" s="489" t="s">
        <v>865</v>
      </c>
      <c r="D166" s="489" t="s">
        <v>1929</v>
      </c>
      <c r="E166" s="619">
        <v>21</v>
      </c>
      <c r="F166" s="627">
        <f t="shared" si="11"/>
        <v>1633.5714285714287</v>
      </c>
      <c r="G166" s="628">
        <f t="shared" si="13"/>
        <v>1495</v>
      </c>
      <c r="H166" s="628">
        <f t="shared" si="13"/>
        <v>1495</v>
      </c>
      <c r="I166" s="628">
        <f t="shared" si="13"/>
        <v>1495</v>
      </c>
      <c r="J166" s="628">
        <f t="shared" si="13"/>
        <v>1495</v>
      </c>
      <c r="K166" s="628">
        <f t="shared" si="13"/>
        <v>1495</v>
      </c>
      <c r="L166" s="628">
        <f t="shared" si="13"/>
        <v>1495</v>
      </c>
      <c r="M166" s="628">
        <f t="shared" si="13"/>
        <v>1635</v>
      </c>
      <c r="N166" s="628">
        <f t="shared" si="13"/>
        <v>1635</v>
      </c>
      <c r="O166" s="628">
        <f t="shared" si="13"/>
        <v>1635</v>
      </c>
      <c r="P166" s="628">
        <f t="shared" si="13"/>
        <v>1635</v>
      </c>
      <c r="Q166" s="628">
        <f t="shared" si="13"/>
        <v>1635</v>
      </c>
      <c r="R166" s="628">
        <f t="shared" si="13"/>
        <v>1647.2222222222222</v>
      </c>
      <c r="S166" s="628">
        <f t="shared" si="13"/>
        <v>1635</v>
      </c>
      <c r="T166" s="628">
        <f t="shared" si="13"/>
        <v>0</v>
      </c>
      <c r="U166" s="628">
        <f t="shared" si="13"/>
        <v>0</v>
      </c>
      <c r="Y166" s="627">
        <v>1633.5714285714287</v>
      </c>
      <c r="Z166" s="628">
        <v>0</v>
      </c>
      <c r="AA166" s="628">
        <v>0</v>
      </c>
      <c r="AB166" s="628">
        <v>0</v>
      </c>
      <c r="AC166" s="628">
        <v>0</v>
      </c>
      <c r="AD166" s="628">
        <v>0</v>
      </c>
      <c r="AE166" s="628">
        <v>1495</v>
      </c>
      <c r="AF166" s="628">
        <v>0</v>
      </c>
      <c r="AG166" s="628">
        <v>0</v>
      </c>
      <c r="AH166" s="628">
        <v>0</v>
      </c>
      <c r="AI166" s="628">
        <v>0</v>
      </c>
      <c r="AJ166" s="628">
        <v>1635</v>
      </c>
      <c r="AK166" s="628">
        <v>1647.2222222222222</v>
      </c>
      <c r="AL166" s="628">
        <v>1635</v>
      </c>
      <c r="AM166" s="628">
        <v>0</v>
      </c>
      <c r="AN166" s="628">
        <v>0</v>
      </c>
    </row>
    <row r="167" spans="1:40" x14ac:dyDescent="0.3">
      <c r="A167" s="489" t="s">
        <v>1414</v>
      </c>
      <c r="B167" s="489" t="s">
        <v>1748</v>
      </c>
      <c r="C167" s="489" t="s">
        <v>1874</v>
      </c>
      <c r="D167" s="489" t="s">
        <v>46</v>
      </c>
      <c r="E167" s="619">
        <v>21</v>
      </c>
      <c r="F167" s="627">
        <f t="shared" si="11"/>
        <v>1708.6190476190477</v>
      </c>
      <c r="G167" s="628">
        <f t="shared" si="13"/>
        <v>1715</v>
      </c>
      <c r="H167" s="628">
        <f t="shared" si="13"/>
        <v>1715</v>
      </c>
      <c r="I167" s="628">
        <f t="shared" si="13"/>
        <v>1748</v>
      </c>
      <c r="J167" s="628">
        <f t="shared" si="13"/>
        <v>1748</v>
      </c>
      <c r="K167" s="628">
        <f t="shared" si="13"/>
        <v>1748</v>
      </c>
      <c r="L167" s="628">
        <f t="shared" si="13"/>
        <v>1748</v>
      </c>
      <c r="M167" s="628">
        <f t="shared" si="13"/>
        <v>1748</v>
      </c>
      <c r="N167" s="628">
        <f t="shared" si="13"/>
        <v>1748</v>
      </c>
      <c r="O167" s="628">
        <f t="shared" si="13"/>
        <v>1748</v>
      </c>
      <c r="P167" s="628">
        <f t="shared" si="13"/>
        <v>1748</v>
      </c>
      <c r="Q167" s="628">
        <f t="shared" si="13"/>
        <v>1748</v>
      </c>
      <c r="R167" s="628">
        <f t="shared" si="13"/>
        <v>1748</v>
      </c>
      <c r="S167" s="628">
        <f t="shared" si="13"/>
        <v>1748</v>
      </c>
      <c r="T167" s="628">
        <f t="shared" si="13"/>
        <v>1748</v>
      </c>
      <c r="U167" s="628">
        <f t="shared" si="13"/>
        <v>1748</v>
      </c>
      <c r="Y167" s="627">
        <v>1708.6190476190477</v>
      </c>
      <c r="Z167" s="628">
        <v>0</v>
      </c>
      <c r="AA167" s="628">
        <v>1715</v>
      </c>
      <c r="AB167" s="628">
        <v>0</v>
      </c>
      <c r="AC167" s="628">
        <v>0</v>
      </c>
      <c r="AD167" s="628">
        <v>0</v>
      </c>
      <c r="AE167" s="628">
        <v>0</v>
      </c>
      <c r="AF167" s="628">
        <v>0</v>
      </c>
      <c r="AG167" s="628">
        <v>0</v>
      </c>
      <c r="AH167" s="628">
        <v>0</v>
      </c>
      <c r="AI167" s="628">
        <v>0</v>
      </c>
      <c r="AJ167" s="628">
        <v>0</v>
      </c>
      <c r="AK167" s="628">
        <v>0</v>
      </c>
      <c r="AL167" s="628">
        <v>0</v>
      </c>
      <c r="AM167" s="628">
        <v>0</v>
      </c>
      <c r="AN167" s="628">
        <v>1748</v>
      </c>
    </row>
    <row r="168" spans="1:40" x14ac:dyDescent="0.3">
      <c r="A168" s="489" t="s">
        <v>1426</v>
      </c>
      <c r="B168" s="489" t="s">
        <v>1749</v>
      </c>
      <c r="C168" s="489" t="s">
        <v>1749</v>
      </c>
      <c r="D168" s="489" t="s">
        <v>1930</v>
      </c>
      <c r="E168" s="619">
        <v>21</v>
      </c>
      <c r="F168" s="627">
        <f t="shared" si="11"/>
        <v>1400.6190476190477</v>
      </c>
      <c r="G168" s="628">
        <f t="shared" si="13"/>
        <v>1413</v>
      </c>
      <c r="H168" s="628">
        <f t="shared" si="13"/>
        <v>1413</v>
      </c>
      <c r="I168" s="628">
        <f t="shared" si="13"/>
        <v>1413</v>
      </c>
      <c r="J168" s="628">
        <f t="shared" si="13"/>
        <v>1413</v>
      </c>
      <c r="K168" s="628">
        <f t="shared" si="13"/>
        <v>1413</v>
      </c>
      <c r="L168" s="628">
        <f t="shared" si="13"/>
        <v>1413</v>
      </c>
      <c r="M168" s="628">
        <f t="shared" si="13"/>
        <v>1400</v>
      </c>
      <c r="N168" s="628">
        <f t="shared" si="13"/>
        <v>1400</v>
      </c>
      <c r="O168" s="628">
        <f t="shared" si="13"/>
        <v>1400</v>
      </c>
      <c r="P168" s="628">
        <f t="shared" si="13"/>
        <v>1400</v>
      </c>
      <c r="Q168" s="628">
        <f t="shared" si="13"/>
        <v>1400</v>
      </c>
      <c r="R168" s="628">
        <f t="shared" si="13"/>
        <v>1400</v>
      </c>
      <c r="S168" s="628">
        <f t="shared" si="13"/>
        <v>1400</v>
      </c>
      <c r="T168" s="628">
        <f t="shared" si="13"/>
        <v>0</v>
      </c>
      <c r="U168" s="628">
        <f t="shared" si="13"/>
        <v>0</v>
      </c>
      <c r="Y168" s="627">
        <v>1400.6190476190477</v>
      </c>
      <c r="Z168" s="628">
        <v>0</v>
      </c>
      <c r="AA168" s="628">
        <v>0</v>
      </c>
      <c r="AB168" s="628">
        <v>0</v>
      </c>
      <c r="AC168" s="628">
        <v>0</v>
      </c>
      <c r="AD168" s="628">
        <v>0</v>
      </c>
      <c r="AE168" s="628">
        <v>1413</v>
      </c>
      <c r="AF168" s="628">
        <v>0</v>
      </c>
      <c r="AG168" s="628">
        <v>0</v>
      </c>
      <c r="AH168" s="628">
        <v>0</v>
      </c>
      <c r="AI168" s="628">
        <v>0</v>
      </c>
      <c r="AJ168" s="628">
        <v>1400</v>
      </c>
      <c r="AK168" s="628">
        <v>1400</v>
      </c>
      <c r="AL168" s="628">
        <v>1400</v>
      </c>
      <c r="AM168" s="628">
        <v>0</v>
      </c>
      <c r="AN168" s="628">
        <v>0</v>
      </c>
    </row>
    <row r="169" spans="1:40" x14ac:dyDescent="0.3">
      <c r="A169" s="489" t="s">
        <v>1750</v>
      </c>
      <c r="B169" s="489" t="s">
        <v>1751</v>
      </c>
      <c r="C169" s="489" t="s">
        <v>1875</v>
      </c>
      <c r="D169" s="489" t="s">
        <v>46</v>
      </c>
      <c r="E169" s="619">
        <v>21</v>
      </c>
      <c r="F169" s="627">
        <f t="shared" si="11"/>
        <v>1065</v>
      </c>
      <c r="G169" s="628">
        <f t="shared" si="13"/>
        <v>1065</v>
      </c>
      <c r="H169" s="628">
        <f t="shared" si="13"/>
        <v>1065</v>
      </c>
      <c r="I169" s="628">
        <f t="shared" si="13"/>
        <v>1065</v>
      </c>
      <c r="J169" s="628">
        <f t="shared" si="13"/>
        <v>1065</v>
      </c>
      <c r="K169" s="628">
        <f t="shared" si="13"/>
        <v>1065</v>
      </c>
      <c r="L169" s="628">
        <f t="shared" si="13"/>
        <v>1065</v>
      </c>
      <c r="M169" s="628">
        <f t="shared" si="13"/>
        <v>1065</v>
      </c>
      <c r="N169" s="628">
        <f t="shared" si="13"/>
        <v>1065</v>
      </c>
      <c r="O169" s="628">
        <f t="shared" si="13"/>
        <v>1065</v>
      </c>
      <c r="P169" s="628">
        <f t="shared" si="13"/>
        <v>1065</v>
      </c>
      <c r="Q169" s="628">
        <f t="shared" si="13"/>
        <v>1065</v>
      </c>
      <c r="R169" s="628">
        <f t="shared" si="13"/>
        <v>0</v>
      </c>
      <c r="S169" s="628">
        <f t="shared" si="13"/>
        <v>0</v>
      </c>
      <c r="T169" s="628">
        <f t="shared" si="13"/>
        <v>0</v>
      </c>
      <c r="U169" s="628">
        <f t="shared" si="13"/>
        <v>0</v>
      </c>
      <c r="Y169" s="627">
        <v>1065</v>
      </c>
      <c r="Z169" s="628">
        <v>0</v>
      </c>
      <c r="AA169" s="628">
        <v>0</v>
      </c>
      <c r="AB169" s="628">
        <v>0</v>
      </c>
      <c r="AC169" s="628">
        <v>0</v>
      </c>
      <c r="AD169" s="628">
        <v>0</v>
      </c>
      <c r="AE169" s="628">
        <v>0</v>
      </c>
      <c r="AF169" s="628">
        <v>1065</v>
      </c>
      <c r="AG169" s="628">
        <v>1065</v>
      </c>
      <c r="AH169" s="628">
        <v>1065</v>
      </c>
      <c r="AI169" s="628">
        <v>1065</v>
      </c>
      <c r="AJ169" s="628">
        <v>1065</v>
      </c>
      <c r="AK169" s="628">
        <v>0</v>
      </c>
      <c r="AL169" s="628">
        <v>0</v>
      </c>
      <c r="AM169" s="628">
        <v>0</v>
      </c>
      <c r="AN169" s="628">
        <v>0</v>
      </c>
    </row>
    <row r="170" spans="1:40" x14ac:dyDescent="0.3">
      <c r="A170" s="489" t="s">
        <v>1422</v>
      </c>
      <c r="B170" s="489" t="s">
        <v>1752</v>
      </c>
      <c r="C170" s="489" t="s">
        <v>1876</v>
      </c>
      <c r="D170" s="489" t="s">
        <v>46</v>
      </c>
      <c r="E170" s="619">
        <v>21</v>
      </c>
      <c r="F170" s="627">
        <f t="shared" si="11"/>
        <v>1154.7619047619048</v>
      </c>
      <c r="G170" s="628">
        <f t="shared" si="13"/>
        <v>1155</v>
      </c>
      <c r="H170" s="628">
        <f t="shared" si="13"/>
        <v>1155</v>
      </c>
      <c r="I170" s="628">
        <f t="shared" si="13"/>
        <v>1155</v>
      </c>
      <c r="J170" s="628">
        <f t="shared" si="13"/>
        <v>1155</v>
      </c>
      <c r="K170" s="628">
        <f t="shared" si="13"/>
        <v>1155</v>
      </c>
      <c r="L170" s="628">
        <f t="shared" si="13"/>
        <v>1155</v>
      </c>
      <c r="M170" s="628">
        <f t="shared" si="13"/>
        <v>1150</v>
      </c>
      <c r="N170" s="628">
        <f t="shared" si="13"/>
        <v>1158.8888888888889</v>
      </c>
      <c r="O170" s="628">
        <f t="shared" si="13"/>
        <v>1150</v>
      </c>
      <c r="P170" s="628">
        <f t="shared" si="13"/>
        <v>1150</v>
      </c>
      <c r="Q170" s="628">
        <f t="shared" si="13"/>
        <v>1160</v>
      </c>
      <c r="R170" s="628">
        <f t="shared" si="13"/>
        <v>0</v>
      </c>
      <c r="S170" s="628">
        <f t="shared" si="13"/>
        <v>0</v>
      </c>
      <c r="T170" s="628">
        <f t="shared" si="13"/>
        <v>0</v>
      </c>
      <c r="U170" s="628">
        <f t="shared" si="13"/>
        <v>0</v>
      </c>
      <c r="Y170" s="627">
        <v>1154.7619047619048</v>
      </c>
      <c r="Z170" s="628">
        <v>0</v>
      </c>
      <c r="AA170" s="628">
        <v>0</v>
      </c>
      <c r="AB170" s="628">
        <v>0</v>
      </c>
      <c r="AC170" s="628">
        <v>0</v>
      </c>
      <c r="AD170" s="628">
        <v>0</v>
      </c>
      <c r="AE170" s="628">
        <v>1155</v>
      </c>
      <c r="AF170" s="628">
        <v>1150</v>
      </c>
      <c r="AG170" s="628">
        <v>1158.8888888888889</v>
      </c>
      <c r="AH170" s="628">
        <v>1150</v>
      </c>
      <c r="AI170" s="628">
        <v>1150</v>
      </c>
      <c r="AJ170" s="628">
        <v>1160</v>
      </c>
      <c r="AK170" s="628">
        <v>0</v>
      </c>
      <c r="AL170" s="628">
        <v>0</v>
      </c>
      <c r="AM170" s="628">
        <v>0</v>
      </c>
      <c r="AN170" s="628">
        <v>0</v>
      </c>
    </row>
    <row r="171" spans="1:40" x14ac:dyDescent="0.3">
      <c r="A171" s="489" t="s">
        <v>1605</v>
      </c>
      <c r="B171" s="489" t="s">
        <v>1669</v>
      </c>
      <c r="C171" s="489" t="s">
        <v>1877</v>
      </c>
      <c r="D171" s="489" t="s">
        <v>46</v>
      </c>
      <c r="E171" s="619">
        <v>20</v>
      </c>
      <c r="F171" s="627">
        <f t="shared" si="11"/>
        <v>1378.05</v>
      </c>
      <c r="G171" s="628">
        <f t="shared" si="13"/>
        <v>1396</v>
      </c>
      <c r="H171" s="628">
        <f t="shared" si="13"/>
        <v>1396</v>
      </c>
      <c r="I171" s="628">
        <f t="shared" si="13"/>
        <v>1396</v>
      </c>
      <c r="J171" s="628">
        <f t="shared" si="13"/>
        <v>1396</v>
      </c>
      <c r="K171" s="628">
        <f t="shared" si="13"/>
        <v>1396</v>
      </c>
      <c r="L171" s="628">
        <f t="shared" si="13"/>
        <v>1423</v>
      </c>
      <c r="M171" s="628">
        <f t="shared" si="13"/>
        <v>1423</v>
      </c>
      <c r="N171" s="628">
        <f t="shared" si="13"/>
        <v>1423</v>
      </c>
      <c r="O171" s="628">
        <f t="shared" si="13"/>
        <v>1415</v>
      </c>
      <c r="P171" s="628">
        <f t="shared" si="13"/>
        <v>1396</v>
      </c>
      <c r="Q171" s="628">
        <f t="shared" si="13"/>
        <v>1396</v>
      </c>
      <c r="R171" s="628">
        <f t="shared" si="13"/>
        <v>1356.5</v>
      </c>
      <c r="S171" s="628">
        <f t="shared" si="13"/>
        <v>1356.5</v>
      </c>
      <c r="T171" s="628">
        <f t="shared" si="13"/>
        <v>1318.25</v>
      </c>
      <c r="U171" s="628">
        <f t="shared" si="13"/>
        <v>1396</v>
      </c>
      <c r="Y171" s="627">
        <v>1378.05</v>
      </c>
      <c r="Z171" s="628">
        <v>0</v>
      </c>
      <c r="AA171" s="628">
        <v>0</v>
      </c>
      <c r="AB171" s="628">
        <v>0</v>
      </c>
      <c r="AC171" s="628">
        <v>0</v>
      </c>
      <c r="AD171" s="628">
        <v>1396</v>
      </c>
      <c r="AE171" s="628">
        <v>1423</v>
      </c>
      <c r="AF171" s="628">
        <v>0</v>
      </c>
      <c r="AG171" s="628">
        <v>1423</v>
      </c>
      <c r="AH171" s="628">
        <v>1415</v>
      </c>
      <c r="AI171" s="628">
        <v>0</v>
      </c>
      <c r="AJ171" s="628">
        <v>1396</v>
      </c>
      <c r="AK171" s="628">
        <v>0</v>
      </c>
      <c r="AL171" s="628">
        <v>1356.5</v>
      </c>
      <c r="AM171" s="628">
        <v>1318.25</v>
      </c>
      <c r="AN171" s="628">
        <v>1396</v>
      </c>
    </row>
    <row r="172" spans="1:40" x14ac:dyDescent="0.3">
      <c r="A172" s="489" t="s">
        <v>1677</v>
      </c>
      <c r="B172" s="489" t="s">
        <v>1753</v>
      </c>
      <c r="C172" s="489" t="s">
        <v>1878</v>
      </c>
      <c r="D172" s="489" t="s">
        <v>46</v>
      </c>
      <c r="E172" s="619">
        <v>20</v>
      </c>
      <c r="F172" s="627">
        <f t="shared" si="11"/>
        <v>1515.5</v>
      </c>
      <c r="G172" s="628">
        <f t="shared" si="13"/>
        <v>1560</v>
      </c>
      <c r="H172" s="628">
        <f t="shared" si="13"/>
        <v>1560</v>
      </c>
      <c r="I172" s="628">
        <f t="shared" si="13"/>
        <v>1505</v>
      </c>
      <c r="J172" s="628">
        <f t="shared" si="13"/>
        <v>1528.3333333333333</v>
      </c>
      <c r="K172" s="628">
        <f t="shared" si="13"/>
        <v>1528.3333333333333</v>
      </c>
      <c r="L172" s="628">
        <f t="shared" si="13"/>
        <v>1528.3333333333333</v>
      </c>
      <c r="M172" s="628">
        <f t="shared" si="13"/>
        <v>1541.6666666666667</v>
      </c>
      <c r="N172" s="628">
        <f t="shared" si="13"/>
        <v>1445</v>
      </c>
      <c r="O172" s="628">
        <f t="shared" si="13"/>
        <v>1509.1666666666667</v>
      </c>
      <c r="P172" s="628">
        <f t="shared" si="13"/>
        <v>1550</v>
      </c>
      <c r="Q172" s="628">
        <f t="shared" si="13"/>
        <v>1495</v>
      </c>
      <c r="R172" s="628">
        <f t="shared" si="13"/>
        <v>1495</v>
      </c>
      <c r="S172" s="628">
        <f t="shared" si="13"/>
        <v>0</v>
      </c>
      <c r="T172" s="628">
        <f t="shared" si="13"/>
        <v>0</v>
      </c>
      <c r="U172" s="628">
        <f t="shared" si="13"/>
        <v>0</v>
      </c>
      <c r="Y172" s="627">
        <v>1515.5</v>
      </c>
      <c r="Z172" s="628">
        <v>0</v>
      </c>
      <c r="AA172" s="628">
        <v>1560</v>
      </c>
      <c r="AB172" s="628">
        <v>1505</v>
      </c>
      <c r="AC172" s="628">
        <v>0</v>
      </c>
      <c r="AD172" s="628">
        <v>0</v>
      </c>
      <c r="AE172" s="628">
        <v>1528.3333333333333</v>
      </c>
      <c r="AF172" s="628">
        <v>1541.6666666666667</v>
      </c>
      <c r="AG172" s="628">
        <v>1445</v>
      </c>
      <c r="AH172" s="628">
        <v>1509.1666666666667</v>
      </c>
      <c r="AI172" s="628">
        <v>1550</v>
      </c>
      <c r="AJ172" s="628">
        <v>0</v>
      </c>
      <c r="AK172" s="628">
        <v>1495</v>
      </c>
      <c r="AL172" s="628">
        <v>0</v>
      </c>
      <c r="AM172" s="628">
        <v>0</v>
      </c>
      <c r="AN172" s="628">
        <v>0</v>
      </c>
    </row>
    <row r="173" spans="1:40" x14ac:dyDescent="0.3">
      <c r="A173" s="489" t="s">
        <v>1441</v>
      </c>
      <c r="B173" s="489" t="s">
        <v>1444</v>
      </c>
      <c r="C173" s="489" t="s">
        <v>870</v>
      </c>
      <c r="D173" s="489" t="s">
        <v>45</v>
      </c>
      <c r="E173" s="619">
        <v>20</v>
      </c>
      <c r="F173" s="627">
        <f t="shared" si="11"/>
        <v>1397.85</v>
      </c>
      <c r="G173" s="628">
        <f t="shared" si="13"/>
        <v>1374</v>
      </c>
      <c r="H173" s="628">
        <f t="shared" si="13"/>
        <v>1374</v>
      </c>
      <c r="I173" s="628">
        <f t="shared" si="13"/>
        <v>1341</v>
      </c>
      <c r="J173" s="628">
        <f t="shared" si="13"/>
        <v>1509.75</v>
      </c>
      <c r="K173" s="628">
        <f t="shared" si="13"/>
        <v>1509.75</v>
      </c>
      <c r="L173" s="628">
        <f t="shared" si="13"/>
        <v>1366.2</v>
      </c>
      <c r="M173" s="628">
        <f t="shared" si="13"/>
        <v>1353</v>
      </c>
      <c r="N173" s="628">
        <f t="shared" si="13"/>
        <v>1357</v>
      </c>
      <c r="O173" s="628">
        <f t="shared" si="13"/>
        <v>1407</v>
      </c>
      <c r="P173" s="628">
        <f t="shared" si="13"/>
        <v>1407</v>
      </c>
      <c r="Q173" s="628">
        <f t="shared" si="13"/>
        <v>1407</v>
      </c>
      <c r="R173" s="628">
        <f t="shared" si="13"/>
        <v>1407</v>
      </c>
      <c r="S173" s="628">
        <f t="shared" si="13"/>
        <v>1407</v>
      </c>
      <c r="T173" s="628">
        <f t="shared" si="13"/>
        <v>0</v>
      </c>
      <c r="U173" s="628">
        <f t="shared" si="13"/>
        <v>0</v>
      </c>
      <c r="Y173" s="627">
        <v>1397.85</v>
      </c>
      <c r="Z173" s="628">
        <v>0</v>
      </c>
      <c r="AA173" s="628">
        <v>1374</v>
      </c>
      <c r="AB173" s="628">
        <v>1341</v>
      </c>
      <c r="AC173" s="628">
        <v>0</v>
      </c>
      <c r="AD173" s="628">
        <v>1509.75</v>
      </c>
      <c r="AE173" s="628">
        <v>1366.2</v>
      </c>
      <c r="AF173" s="628">
        <v>1353</v>
      </c>
      <c r="AG173" s="628">
        <v>1357</v>
      </c>
      <c r="AH173" s="628">
        <v>0</v>
      </c>
      <c r="AI173" s="628">
        <v>0</v>
      </c>
      <c r="AJ173" s="628">
        <v>0</v>
      </c>
      <c r="AK173" s="628">
        <v>0</v>
      </c>
      <c r="AL173" s="628">
        <v>1407</v>
      </c>
      <c r="AM173" s="628">
        <v>0</v>
      </c>
      <c r="AN173" s="628">
        <v>0</v>
      </c>
    </row>
    <row r="174" spans="1:40" x14ac:dyDescent="0.3">
      <c r="A174" s="489" t="s">
        <v>1544</v>
      </c>
      <c r="B174" s="489" t="s">
        <v>1754</v>
      </c>
      <c r="C174" s="489" t="s">
        <v>1879</v>
      </c>
      <c r="D174" s="489" t="s">
        <v>46</v>
      </c>
      <c r="E174" s="619">
        <v>20</v>
      </c>
      <c r="F174" s="627">
        <f t="shared" si="11"/>
        <v>1617.15</v>
      </c>
      <c r="G174" s="628">
        <f t="shared" si="13"/>
        <v>1645.5</v>
      </c>
      <c r="H174" s="628">
        <f t="shared" si="13"/>
        <v>1645.5</v>
      </c>
      <c r="I174" s="628">
        <f t="shared" si="13"/>
        <v>1634</v>
      </c>
      <c r="J174" s="628">
        <f t="shared" si="13"/>
        <v>1634</v>
      </c>
      <c r="K174" s="628">
        <f t="shared" si="13"/>
        <v>1633</v>
      </c>
      <c r="L174" s="628">
        <f t="shared" si="13"/>
        <v>1596</v>
      </c>
      <c r="M174" s="628">
        <f t="shared" si="13"/>
        <v>1596</v>
      </c>
      <c r="N174" s="628">
        <f t="shared" si="13"/>
        <v>1641.6666666666667</v>
      </c>
      <c r="O174" s="628">
        <f t="shared" si="13"/>
        <v>1623.8</v>
      </c>
      <c r="P174" s="628">
        <f t="shared" si="13"/>
        <v>1590</v>
      </c>
      <c r="Q174" s="628">
        <f t="shared" si="13"/>
        <v>1589</v>
      </c>
      <c r="R174" s="628">
        <f t="shared" si="13"/>
        <v>1589</v>
      </c>
      <c r="S174" s="628">
        <f t="shared" si="13"/>
        <v>1589</v>
      </c>
      <c r="T174" s="628">
        <f t="shared" si="13"/>
        <v>1589</v>
      </c>
      <c r="U174" s="628">
        <f t="shared" si="13"/>
        <v>1589</v>
      </c>
      <c r="Y174" s="627">
        <v>1617.15</v>
      </c>
      <c r="Z174" s="628">
        <v>0</v>
      </c>
      <c r="AA174" s="628">
        <v>1645.5</v>
      </c>
      <c r="AB174" s="628">
        <v>0</v>
      </c>
      <c r="AC174" s="628">
        <v>1634</v>
      </c>
      <c r="AD174" s="628">
        <v>1633</v>
      </c>
      <c r="AE174" s="628">
        <v>0</v>
      </c>
      <c r="AF174" s="628">
        <v>1596</v>
      </c>
      <c r="AG174" s="628">
        <v>1641.6666666666667</v>
      </c>
      <c r="AH174" s="628">
        <v>1623.8</v>
      </c>
      <c r="AI174" s="628">
        <v>1590</v>
      </c>
      <c r="AJ174" s="628">
        <v>1589</v>
      </c>
      <c r="AK174" s="628">
        <v>1589</v>
      </c>
      <c r="AL174" s="628">
        <v>0</v>
      </c>
      <c r="AM174" s="628">
        <v>0</v>
      </c>
      <c r="AN174" s="628">
        <v>1589</v>
      </c>
    </row>
    <row r="175" spans="1:40" x14ac:dyDescent="0.3">
      <c r="A175" s="489" t="s">
        <v>1694</v>
      </c>
      <c r="B175" s="489" t="s">
        <v>1719</v>
      </c>
      <c r="C175" s="489" t="s">
        <v>1844</v>
      </c>
      <c r="D175" s="489" t="s">
        <v>1929</v>
      </c>
      <c r="E175" s="619">
        <v>20</v>
      </c>
      <c r="F175" s="627">
        <f t="shared" si="11"/>
        <v>1738</v>
      </c>
      <c r="G175" s="628">
        <f t="shared" si="13"/>
        <v>1728.75</v>
      </c>
      <c r="H175" s="628">
        <f t="shared" si="13"/>
        <v>1820</v>
      </c>
      <c r="I175" s="628">
        <f t="shared" si="13"/>
        <v>1684</v>
      </c>
      <c r="J175" s="628">
        <f t="shared" si="13"/>
        <v>1805</v>
      </c>
      <c r="K175" s="628">
        <f t="shared" si="13"/>
        <v>1685</v>
      </c>
      <c r="L175" s="628">
        <f t="shared" si="13"/>
        <v>1680</v>
      </c>
      <c r="M175" s="628">
        <f t="shared" si="13"/>
        <v>0</v>
      </c>
      <c r="N175" s="628">
        <f t="shared" si="13"/>
        <v>0</v>
      </c>
      <c r="O175" s="628">
        <f t="shared" si="13"/>
        <v>0</v>
      </c>
      <c r="P175" s="628">
        <f t="shared" si="13"/>
        <v>0</v>
      </c>
      <c r="Q175" s="628">
        <f t="shared" si="13"/>
        <v>0</v>
      </c>
      <c r="R175" s="628">
        <f t="shared" si="13"/>
        <v>0</v>
      </c>
      <c r="S175" s="628">
        <f t="shared" si="13"/>
        <v>0</v>
      </c>
      <c r="T175" s="628">
        <f t="shared" si="13"/>
        <v>0</v>
      </c>
      <c r="U175" s="628">
        <f t="shared" si="13"/>
        <v>0</v>
      </c>
      <c r="Y175" s="627">
        <v>1738</v>
      </c>
      <c r="Z175" s="628">
        <v>1728.75</v>
      </c>
      <c r="AA175" s="628">
        <v>1820</v>
      </c>
      <c r="AB175" s="628">
        <v>1684</v>
      </c>
      <c r="AC175" s="628">
        <v>1805</v>
      </c>
      <c r="AD175" s="628">
        <v>1685</v>
      </c>
      <c r="AE175" s="628">
        <v>1680</v>
      </c>
      <c r="AF175" s="628">
        <v>0</v>
      </c>
      <c r="AG175" s="628">
        <v>0</v>
      </c>
      <c r="AH175" s="628">
        <v>0</v>
      </c>
      <c r="AI175" s="628">
        <v>0</v>
      </c>
      <c r="AJ175" s="628">
        <v>0</v>
      </c>
      <c r="AK175" s="628">
        <v>0</v>
      </c>
      <c r="AL175" s="628">
        <v>0</v>
      </c>
      <c r="AM175" s="628">
        <v>0</v>
      </c>
      <c r="AN175" s="628">
        <v>0</v>
      </c>
    </row>
    <row r="176" spans="1:40" x14ac:dyDescent="0.3">
      <c r="A176" s="489" t="s">
        <v>1414</v>
      </c>
      <c r="B176" s="489" t="s">
        <v>1755</v>
      </c>
      <c r="C176" s="489" t="s">
        <v>1880</v>
      </c>
      <c r="D176" s="489" t="s">
        <v>46</v>
      </c>
      <c r="E176" s="619">
        <v>19</v>
      </c>
      <c r="F176" s="627">
        <f t="shared" si="11"/>
        <v>1761</v>
      </c>
      <c r="G176" s="628">
        <f t="shared" si="13"/>
        <v>1715</v>
      </c>
      <c r="H176" s="628">
        <f t="shared" si="13"/>
        <v>1715</v>
      </c>
      <c r="I176" s="628">
        <f t="shared" si="13"/>
        <v>1715</v>
      </c>
      <c r="J176" s="628">
        <f t="shared" si="13"/>
        <v>1715</v>
      </c>
      <c r="K176" s="628">
        <f t="shared" si="13"/>
        <v>1715</v>
      </c>
      <c r="L176" s="628">
        <f t="shared" si="13"/>
        <v>1715</v>
      </c>
      <c r="M176" s="628">
        <f t="shared" si="13"/>
        <v>1715</v>
      </c>
      <c r="N176" s="628">
        <f t="shared" si="13"/>
        <v>1715</v>
      </c>
      <c r="O176" s="628">
        <f t="shared" si="13"/>
        <v>1715</v>
      </c>
      <c r="P176" s="628">
        <f t="shared" si="13"/>
        <v>1708.75</v>
      </c>
      <c r="Q176" s="628">
        <f t="shared" si="13"/>
        <v>1715</v>
      </c>
      <c r="R176" s="628">
        <f t="shared" si="13"/>
        <v>1715</v>
      </c>
      <c r="S176" s="628">
        <f t="shared" si="13"/>
        <v>1715</v>
      </c>
      <c r="T176" s="628">
        <f t="shared" si="13"/>
        <v>1715</v>
      </c>
      <c r="U176" s="628">
        <f t="shared" si="13"/>
        <v>1829.6666666666667</v>
      </c>
      <c r="Y176" s="627">
        <v>1761</v>
      </c>
      <c r="Z176" s="628">
        <v>0</v>
      </c>
      <c r="AA176" s="628">
        <v>0</v>
      </c>
      <c r="AB176" s="628">
        <v>0</v>
      </c>
      <c r="AC176" s="628">
        <v>0</v>
      </c>
      <c r="AD176" s="628">
        <v>0</v>
      </c>
      <c r="AE176" s="628">
        <v>0</v>
      </c>
      <c r="AF176" s="628">
        <v>0</v>
      </c>
      <c r="AG176" s="628">
        <v>0</v>
      </c>
      <c r="AH176" s="628">
        <v>1715</v>
      </c>
      <c r="AI176" s="628">
        <v>1708.75</v>
      </c>
      <c r="AJ176" s="628">
        <v>0</v>
      </c>
      <c r="AK176" s="628">
        <v>0</v>
      </c>
      <c r="AL176" s="628">
        <v>1715</v>
      </c>
      <c r="AM176" s="628">
        <v>1715</v>
      </c>
      <c r="AN176" s="628">
        <v>1829.6666666666667</v>
      </c>
    </row>
    <row r="177" spans="1:40" x14ac:dyDescent="0.3">
      <c r="A177" s="489" t="s">
        <v>1437</v>
      </c>
      <c r="B177" s="489" t="s">
        <v>1438</v>
      </c>
      <c r="C177" s="489" t="s">
        <v>1439</v>
      </c>
      <c r="D177" s="489" t="s">
        <v>46</v>
      </c>
      <c r="E177" s="619">
        <v>19</v>
      </c>
      <c r="F177" s="627">
        <f t="shared" si="11"/>
        <v>1922.1052631578948</v>
      </c>
      <c r="G177" s="628">
        <f t="shared" si="13"/>
        <v>1845</v>
      </c>
      <c r="H177" s="628">
        <f t="shared" si="13"/>
        <v>1845</v>
      </c>
      <c r="I177" s="628">
        <f t="shared" si="13"/>
        <v>1845</v>
      </c>
      <c r="J177" s="628">
        <f t="shared" si="13"/>
        <v>2720</v>
      </c>
      <c r="K177" s="628">
        <f t="shared" si="13"/>
        <v>2720</v>
      </c>
      <c r="L177" s="628">
        <f t="shared" si="13"/>
        <v>2720</v>
      </c>
      <c r="M177" s="628">
        <f t="shared" si="13"/>
        <v>2720</v>
      </c>
      <c r="N177" s="628">
        <f t="shared" si="13"/>
        <v>2720</v>
      </c>
      <c r="O177" s="628">
        <f t="shared" si="13"/>
        <v>2720</v>
      </c>
      <c r="P177" s="628">
        <f t="shared" si="13"/>
        <v>2720</v>
      </c>
      <c r="Q177" s="628">
        <f t="shared" si="13"/>
        <v>1830</v>
      </c>
      <c r="R177" s="628">
        <f t="shared" si="13"/>
        <v>1830</v>
      </c>
      <c r="S177" s="628">
        <f t="shared" si="13"/>
        <v>1830</v>
      </c>
      <c r="T177" s="628">
        <f t="shared" si="13"/>
        <v>1830</v>
      </c>
      <c r="U177" s="628">
        <f t="shared" si="13"/>
        <v>1830</v>
      </c>
      <c r="Y177" s="627">
        <v>1922.1052631578948</v>
      </c>
      <c r="Z177" s="628">
        <v>0</v>
      </c>
      <c r="AA177" s="628">
        <v>0</v>
      </c>
      <c r="AB177" s="628">
        <v>1845</v>
      </c>
      <c r="AC177" s="628">
        <v>0</v>
      </c>
      <c r="AD177" s="628">
        <v>0</v>
      </c>
      <c r="AE177" s="628">
        <v>0</v>
      </c>
      <c r="AF177" s="628">
        <v>0</v>
      </c>
      <c r="AG177" s="628">
        <v>0</v>
      </c>
      <c r="AH177" s="628">
        <v>0</v>
      </c>
      <c r="AI177" s="628">
        <v>2720</v>
      </c>
      <c r="AJ177" s="628">
        <v>0</v>
      </c>
      <c r="AK177" s="628">
        <v>0</v>
      </c>
      <c r="AL177" s="628">
        <v>0</v>
      </c>
      <c r="AM177" s="628">
        <v>0</v>
      </c>
      <c r="AN177" s="628">
        <v>1830</v>
      </c>
    </row>
    <row r="178" spans="1:40" x14ac:dyDescent="0.3">
      <c r="A178" s="489" t="s">
        <v>1713</v>
      </c>
      <c r="B178" s="489" t="s">
        <v>1756</v>
      </c>
      <c r="C178" s="489" t="s">
        <v>1881</v>
      </c>
      <c r="D178" s="489" t="s">
        <v>1929</v>
      </c>
      <c r="E178" s="619">
        <v>19</v>
      </c>
      <c r="F178" s="627">
        <f t="shared" si="11"/>
        <v>1268</v>
      </c>
      <c r="G178" s="628">
        <f t="shared" ref="G178:U193" si="14">IF(Z178&gt;0,Z178,IF(H178&gt;0,H178,0))</f>
        <v>1268</v>
      </c>
      <c r="H178" s="628">
        <f t="shared" si="14"/>
        <v>1268</v>
      </c>
      <c r="I178" s="628">
        <f t="shared" si="14"/>
        <v>1268</v>
      </c>
      <c r="J178" s="628">
        <f t="shared" si="14"/>
        <v>1268</v>
      </c>
      <c r="K178" s="628">
        <f t="shared" si="14"/>
        <v>1268</v>
      </c>
      <c r="L178" s="628">
        <f t="shared" si="14"/>
        <v>1268</v>
      </c>
      <c r="M178" s="628">
        <f t="shared" si="14"/>
        <v>1268</v>
      </c>
      <c r="N178" s="628">
        <f t="shared" si="14"/>
        <v>1268</v>
      </c>
      <c r="O178" s="628">
        <f t="shared" si="14"/>
        <v>1268</v>
      </c>
      <c r="P178" s="628">
        <f t="shared" si="14"/>
        <v>1268</v>
      </c>
      <c r="Q178" s="628">
        <f t="shared" si="14"/>
        <v>1268</v>
      </c>
      <c r="R178" s="628">
        <f t="shared" si="14"/>
        <v>1268</v>
      </c>
      <c r="S178" s="628">
        <f t="shared" si="14"/>
        <v>1268</v>
      </c>
      <c r="T178" s="628">
        <f t="shared" si="14"/>
        <v>1268</v>
      </c>
      <c r="U178" s="628">
        <f t="shared" si="14"/>
        <v>1268</v>
      </c>
      <c r="Y178" s="627">
        <v>1268</v>
      </c>
      <c r="Z178" s="628">
        <v>0</v>
      </c>
      <c r="AA178" s="628">
        <v>0</v>
      </c>
      <c r="AB178" s="628">
        <v>0</v>
      </c>
      <c r="AC178" s="628">
        <v>0</v>
      </c>
      <c r="AD178" s="628">
        <v>0</v>
      </c>
      <c r="AE178" s="628">
        <v>0</v>
      </c>
      <c r="AF178" s="628">
        <v>0</v>
      </c>
      <c r="AG178" s="628">
        <v>0</v>
      </c>
      <c r="AH178" s="628">
        <v>0</v>
      </c>
      <c r="AI178" s="628">
        <v>0</v>
      </c>
      <c r="AJ178" s="628">
        <v>0</v>
      </c>
      <c r="AK178" s="628">
        <v>0</v>
      </c>
      <c r="AL178" s="628">
        <v>0</v>
      </c>
      <c r="AM178" s="628">
        <v>1268</v>
      </c>
      <c r="AN178" s="628">
        <v>1268</v>
      </c>
    </row>
    <row r="179" spans="1:40" x14ac:dyDescent="0.3">
      <c r="A179" s="489" t="s">
        <v>1426</v>
      </c>
      <c r="B179" s="489" t="s">
        <v>816</v>
      </c>
      <c r="C179" s="489" t="s">
        <v>816</v>
      </c>
      <c r="D179" s="489" t="s">
        <v>1936</v>
      </c>
      <c r="E179" s="619">
        <v>19</v>
      </c>
      <c r="F179" s="627">
        <f t="shared" si="11"/>
        <v>1349.2105263157894</v>
      </c>
      <c r="G179" s="628">
        <f t="shared" si="14"/>
        <v>1350</v>
      </c>
      <c r="H179" s="628">
        <f t="shared" si="14"/>
        <v>1350</v>
      </c>
      <c r="I179" s="628">
        <f t="shared" si="14"/>
        <v>1350</v>
      </c>
      <c r="J179" s="628">
        <f t="shared" si="14"/>
        <v>1350</v>
      </c>
      <c r="K179" s="628">
        <f t="shared" si="14"/>
        <v>1350</v>
      </c>
      <c r="L179" s="628">
        <f t="shared" si="14"/>
        <v>1350</v>
      </c>
      <c r="M179" s="628">
        <f t="shared" si="14"/>
        <v>1350</v>
      </c>
      <c r="N179" s="628">
        <f t="shared" si="14"/>
        <v>1350</v>
      </c>
      <c r="O179" s="628">
        <f t="shared" si="14"/>
        <v>1350</v>
      </c>
      <c r="P179" s="628">
        <f t="shared" si="14"/>
        <v>1340</v>
      </c>
      <c r="Q179" s="628">
        <f t="shared" si="14"/>
        <v>1345</v>
      </c>
      <c r="R179" s="628">
        <f t="shared" si="14"/>
        <v>1345</v>
      </c>
      <c r="S179" s="628">
        <f t="shared" si="14"/>
        <v>1345</v>
      </c>
      <c r="T179" s="628">
        <f t="shared" si="14"/>
        <v>1345</v>
      </c>
      <c r="U179" s="628">
        <f t="shared" si="14"/>
        <v>1345</v>
      </c>
      <c r="Y179" s="627">
        <v>1349.2105263157894</v>
      </c>
      <c r="Z179" s="628">
        <v>0</v>
      </c>
      <c r="AA179" s="628">
        <v>0</v>
      </c>
      <c r="AB179" s="628">
        <v>0</v>
      </c>
      <c r="AC179" s="628">
        <v>0</v>
      </c>
      <c r="AD179" s="628">
        <v>0</v>
      </c>
      <c r="AE179" s="628">
        <v>1350</v>
      </c>
      <c r="AF179" s="628">
        <v>1350</v>
      </c>
      <c r="AG179" s="628">
        <v>1350</v>
      </c>
      <c r="AH179" s="628">
        <v>1350</v>
      </c>
      <c r="AI179" s="628">
        <v>1340</v>
      </c>
      <c r="AJ179" s="628">
        <v>0</v>
      </c>
      <c r="AK179" s="628">
        <v>0</v>
      </c>
      <c r="AL179" s="628">
        <v>0</v>
      </c>
      <c r="AM179" s="628">
        <v>0</v>
      </c>
      <c r="AN179" s="628">
        <v>1345</v>
      </c>
    </row>
    <row r="180" spans="1:40" x14ac:dyDescent="0.3">
      <c r="A180" s="489" t="s">
        <v>1715</v>
      </c>
      <c r="B180" s="489" t="s">
        <v>1757</v>
      </c>
      <c r="C180" s="489" t="s">
        <v>1757</v>
      </c>
      <c r="D180" s="489" t="s">
        <v>141</v>
      </c>
      <c r="E180" s="619">
        <v>19</v>
      </c>
      <c r="F180" s="627">
        <f t="shared" si="11"/>
        <v>1532.3684210526317</v>
      </c>
      <c r="G180" s="628">
        <f t="shared" si="14"/>
        <v>1526.6666666666667</v>
      </c>
      <c r="H180" s="628">
        <f t="shared" si="14"/>
        <v>1532.6153846153845</v>
      </c>
      <c r="I180" s="628">
        <f t="shared" si="14"/>
        <v>1537</v>
      </c>
      <c r="J180" s="628">
        <f t="shared" si="14"/>
        <v>0</v>
      </c>
      <c r="K180" s="628">
        <f t="shared" si="14"/>
        <v>0</v>
      </c>
      <c r="L180" s="628">
        <f t="shared" si="14"/>
        <v>0</v>
      </c>
      <c r="M180" s="628">
        <f t="shared" si="14"/>
        <v>0</v>
      </c>
      <c r="N180" s="628">
        <f t="shared" si="14"/>
        <v>0</v>
      </c>
      <c r="O180" s="628">
        <f t="shared" si="14"/>
        <v>0</v>
      </c>
      <c r="P180" s="628">
        <f t="shared" si="14"/>
        <v>0</v>
      </c>
      <c r="Q180" s="628">
        <f t="shared" si="14"/>
        <v>0</v>
      </c>
      <c r="R180" s="628">
        <f t="shared" si="14"/>
        <v>0</v>
      </c>
      <c r="S180" s="628">
        <f t="shared" si="14"/>
        <v>0</v>
      </c>
      <c r="T180" s="628">
        <f t="shared" si="14"/>
        <v>0</v>
      </c>
      <c r="U180" s="628">
        <f t="shared" si="14"/>
        <v>0</v>
      </c>
      <c r="Y180" s="627">
        <v>1532.3684210526317</v>
      </c>
      <c r="Z180" s="628">
        <v>1526.6666666666667</v>
      </c>
      <c r="AA180" s="628">
        <v>1532.6153846153845</v>
      </c>
      <c r="AB180" s="628">
        <v>1537</v>
      </c>
      <c r="AC180" s="628">
        <v>0</v>
      </c>
      <c r="AD180" s="628">
        <v>0</v>
      </c>
      <c r="AE180" s="628">
        <v>0</v>
      </c>
      <c r="AF180" s="628">
        <v>0</v>
      </c>
      <c r="AG180" s="628">
        <v>0</v>
      </c>
      <c r="AH180" s="628">
        <v>0</v>
      </c>
      <c r="AI180" s="628">
        <v>0</v>
      </c>
      <c r="AJ180" s="628">
        <v>0</v>
      </c>
      <c r="AK180" s="628">
        <v>0</v>
      </c>
      <c r="AL180" s="628">
        <v>0</v>
      </c>
      <c r="AM180" s="628">
        <v>0</v>
      </c>
      <c r="AN180" s="628">
        <v>0</v>
      </c>
    </row>
    <row r="181" spans="1:40" x14ac:dyDescent="0.3">
      <c r="A181" s="489" t="s">
        <v>1441</v>
      </c>
      <c r="B181" s="489" t="s">
        <v>1445</v>
      </c>
      <c r="C181" s="489" t="s">
        <v>346</v>
      </c>
      <c r="D181" s="489" t="s">
        <v>141</v>
      </c>
      <c r="E181" s="619">
        <v>19</v>
      </c>
      <c r="F181" s="627">
        <f t="shared" si="11"/>
        <v>1515</v>
      </c>
      <c r="G181" s="628">
        <f t="shared" si="14"/>
        <v>1515</v>
      </c>
      <c r="H181" s="628">
        <f t="shared" si="14"/>
        <v>1515</v>
      </c>
      <c r="I181" s="628">
        <f t="shared" si="14"/>
        <v>1515</v>
      </c>
      <c r="J181" s="628">
        <f t="shared" si="14"/>
        <v>1515</v>
      </c>
      <c r="K181" s="628">
        <f t="shared" si="14"/>
        <v>1515</v>
      </c>
      <c r="L181" s="628">
        <f t="shared" si="14"/>
        <v>1515</v>
      </c>
      <c r="M181" s="628">
        <f t="shared" si="14"/>
        <v>1515</v>
      </c>
      <c r="N181" s="628">
        <f t="shared" si="14"/>
        <v>0</v>
      </c>
      <c r="O181" s="628">
        <f t="shared" si="14"/>
        <v>0</v>
      </c>
      <c r="P181" s="628">
        <f t="shared" si="14"/>
        <v>0</v>
      </c>
      <c r="Q181" s="628">
        <f t="shared" si="14"/>
        <v>0</v>
      </c>
      <c r="R181" s="628">
        <f t="shared" si="14"/>
        <v>0</v>
      </c>
      <c r="S181" s="628">
        <f t="shared" si="14"/>
        <v>0</v>
      </c>
      <c r="T181" s="628">
        <f t="shared" si="14"/>
        <v>0</v>
      </c>
      <c r="U181" s="628">
        <f t="shared" si="14"/>
        <v>0</v>
      </c>
      <c r="Y181" s="627">
        <v>1515</v>
      </c>
      <c r="Z181" s="628">
        <v>0</v>
      </c>
      <c r="AA181" s="628">
        <v>0</v>
      </c>
      <c r="AB181" s="628">
        <v>0</v>
      </c>
      <c r="AC181" s="628">
        <v>0</v>
      </c>
      <c r="AD181" s="628">
        <v>1515</v>
      </c>
      <c r="AE181" s="628">
        <v>1515</v>
      </c>
      <c r="AF181" s="628">
        <v>1515</v>
      </c>
      <c r="AG181" s="628">
        <v>0</v>
      </c>
      <c r="AH181" s="628">
        <v>0</v>
      </c>
      <c r="AI181" s="628">
        <v>0</v>
      </c>
      <c r="AJ181" s="628">
        <v>0</v>
      </c>
      <c r="AK181" s="628">
        <v>0</v>
      </c>
      <c r="AL181" s="628">
        <v>0</v>
      </c>
      <c r="AM181" s="628">
        <v>0</v>
      </c>
      <c r="AN181" s="628">
        <v>0</v>
      </c>
    </row>
    <row r="182" spans="1:40" x14ac:dyDescent="0.3">
      <c r="A182" s="489" t="s">
        <v>1426</v>
      </c>
      <c r="B182" s="489" t="s">
        <v>307</v>
      </c>
      <c r="C182" s="489" t="s">
        <v>307</v>
      </c>
      <c r="D182" s="489" t="s">
        <v>46</v>
      </c>
      <c r="E182" s="619">
        <v>18</v>
      </c>
      <c r="F182" s="627">
        <f t="shared" si="11"/>
        <v>1031.3888888888889</v>
      </c>
      <c r="G182" s="628">
        <f t="shared" si="14"/>
        <v>1035</v>
      </c>
      <c r="H182" s="628">
        <f t="shared" si="14"/>
        <v>1035</v>
      </c>
      <c r="I182" s="628">
        <f t="shared" si="14"/>
        <v>1035</v>
      </c>
      <c r="J182" s="628">
        <f t="shared" si="14"/>
        <v>1035</v>
      </c>
      <c r="K182" s="628">
        <f t="shared" si="14"/>
        <v>1035</v>
      </c>
      <c r="L182" s="628">
        <f t="shared" si="14"/>
        <v>1035</v>
      </c>
      <c r="M182" s="628">
        <f t="shared" si="14"/>
        <v>1035</v>
      </c>
      <c r="N182" s="628">
        <f t="shared" si="14"/>
        <v>1035</v>
      </c>
      <c r="O182" s="628">
        <f t="shared" si="14"/>
        <v>1035</v>
      </c>
      <c r="P182" s="628">
        <f t="shared" si="14"/>
        <v>1035</v>
      </c>
      <c r="Q182" s="628">
        <f t="shared" si="14"/>
        <v>1035</v>
      </c>
      <c r="R182" s="628">
        <f t="shared" si="14"/>
        <v>1035</v>
      </c>
      <c r="S182" s="628">
        <f t="shared" si="14"/>
        <v>1035</v>
      </c>
      <c r="T182" s="628">
        <f t="shared" si="14"/>
        <v>1035</v>
      </c>
      <c r="U182" s="628">
        <f t="shared" si="14"/>
        <v>1035</v>
      </c>
      <c r="Y182" s="627">
        <v>1031.3888888888889</v>
      </c>
      <c r="Z182" s="628">
        <v>0</v>
      </c>
      <c r="AA182" s="628">
        <v>0</v>
      </c>
      <c r="AB182" s="628">
        <v>0</v>
      </c>
      <c r="AC182" s="628">
        <v>0</v>
      </c>
      <c r="AD182" s="628">
        <v>0</v>
      </c>
      <c r="AE182" s="628">
        <v>0</v>
      </c>
      <c r="AF182" s="628">
        <v>0</v>
      </c>
      <c r="AG182" s="628">
        <v>0</v>
      </c>
      <c r="AH182" s="628">
        <v>0</v>
      </c>
      <c r="AI182" s="628">
        <v>0</v>
      </c>
      <c r="AJ182" s="628">
        <v>0</v>
      </c>
      <c r="AK182" s="628">
        <v>0</v>
      </c>
      <c r="AL182" s="628">
        <v>1035</v>
      </c>
      <c r="AM182" s="628">
        <v>0</v>
      </c>
      <c r="AN182" s="628">
        <v>1035</v>
      </c>
    </row>
    <row r="183" spans="1:40" x14ac:dyDescent="0.3">
      <c r="A183" s="489" t="s">
        <v>1426</v>
      </c>
      <c r="B183" s="489" t="s">
        <v>1758</v>
      </c>
      <c r="C183" s="489" t="s">
        <v>1758</v>
      </c>
      <c r="D183" s="489" t="s">
        <v>1929</v>
      </c>
      <c r="E183" s="619">
        <v>18</v>
      </c>
      <c r="F183" s="627">
        <f t="shared" si="11"/>
        <v>1391.1111111111111</v>
      </c>
      <c r="G183" s="628">
        <f t="shared" si="14"/>
        <v>1460</v>
      </c>
      <c r="H183" s="628">
        <f t="shared" si="14"/>
        <v>1427.5</v>
      </c>
      <c r="I183" s="628">
        <f t="shared" si="14"/>
        <v>1379</v>
      </c>
      <c r="J183" s="628">
        <f t="shared" si="14"/>
        <v>1375</v>
      </c>
      <c r="K183" s="628">
        <f t="shared" si="14"/>
        <v>1395</v>
      </c>
      <c r="L183" s="628">
        <f t="shared" si="14"/>
        <v>1395</v>
      </c>
      <c r="M183" s="628">
        <f t="shared" si="14"/>
        <v>1395</v>
      </c>
      <c r="N183" s="628">
        <f t="shared" si="14"/>
        <v>1355</v>
      </c>
      <c r="O183" s="628">
        <f t="shared" si="14"/>
        <v>0</v>
      </c>
      <c r="P183" s="628">
        <f t="shared" si="14"/>
        <v>0</v>
      </c>
      <c r="Q183" s="628">
        <f t="shared" si="14"/>
        <v>0</v>
      </c>
      <c r="R183" s="628">
        <f t="shared" si="14"/>
        <v>0</v>
      </c>
      <c r="S183" s="628">
        <f t="shared" si="14"/>
        <v>0</v>
      </c>
      <c r="T183" s="628">
        <f t="shared" si="14"/>
        <v>0</v>
      </c>
      <c r="U183" s="628">
        <f t="shared" si="14"/>
        <v>0</v>
      </c>
      <c r="Y183" s="627">
        <v>1391.1111111111111</v>
      </c>
      <c r="Z183" s="628">
        <v>1460</v>
      </c>
      <c r="AA183" s="628">
        <v>1427.5</v>
      </c>
      <c r="AB183" s="628">
        <v>1379</v>
      </c>
      <c r="AC183" s="628">
        <v>1375</v>
      </c>
      <c r="AD183" s="628">
        <v>1395</v>
      </c>
      <c r="AE183" s="628">
        <v>1395</v>
      </c>
      <c r="AF183" s="628">
        <v>1395</v>
      </c>
      <c r="AG183" s="628">
        <v>1355</v>
      </c>
      <c r="AH183" s="628">
        <v>0</v>
      </c>
      <c r="AI183" s="628">
        <v>0</v>
      </c>
      <c r="AJ183" s="628">
        <v>0</v>
      </c>
      <c r="AK183" s="628">
        <v>0</v>
      </c>
      <c r="AL183" s="628">
        <v>0</v>
      </c>
      <c r="AM183" s="628">
        <v>0</v>
      </c>
      <c r="AN183" s="628">
        <v>0</v>
      </c>
    </row>
    <row r="184" spans="1:40" x14ac:dyDescent="0.3">
      <c r="A184" s="489" t="s">
        <v>1426</v>
      </c>
      <c r="B184" s="489" t="s">
        <v>1440</v>
      </c>
      <c r="C184" s="489" t="s">
        <v>1440</v>
      </c>
      <c r="D184" s="489" t="s">
        <v>1936</v>
      </c>
      <c r="E184" s="619">
        <v>17</v>
      </c>
      <c r="F184" s="627">
        <f t="shared" si="11"/>
        <v>1476.7647058823529</v>
      </c>
      <c r="G184" s="628">
        <f t="shared" si="14"/>
        <v>1475</v>
      </c>
      <c r="H184" s="628">
        <f t="shared" si="14"/>
        <v>1475</v>
      </c>
      <c r="I184" s="628">
        <f t="shared" si="14"/>
        <v>1475</v>
      </c>
      <c r="J184" s="628">
        <f t="shared" si="14"/>
        <v>1475</v>
      </c>
      <c r="K184" s="628">
        <f t="shared" si="14"/>
        <v>1475</v>
      </c>
      <c r="L184" s="628">
        <f t="shared" si="14"/>
        <v>1475</v>
      </c>
      <c r="M184" s="628">
        <f t="shared" si="14"/>
        <v>1475</v>
      </c>
      <c r="N184" s="628">
        <f t="shared" si="14"/>
        <v>1475</v>
      </c>
      <c r="O184" s="628">
        <f t="shared" si="14"/>
        <v>1475</v>
      </c>
      <c r="P184" s="628">
        <f t="shared" si="14"/>
        <v>1505</v>
      </c>
      <c r="Q184" s="628">
        <f t="shared" si="14"/>
        <v>0</v>
      </c>
      <c r="R184" s="628">
        <f t="shared" si="14"/>
        <v>0</v>
      </c>
      <c r="S184" s="628">
        <f t="shared" si="14"/>
        <v>0</v>
      </c>
      <c r="T184" s="628">
        <f t="shared" si="14"/>
        <v>0</v>
      </c>
      <c r="U184" s="628">
        <f t="shared" si="14"/>
        <v>0</v>
      </c>
      <c r="Y184" s="627">
        <v>1476.7647058823529</v>
      </c>
      <c r="Z184" s="628">
        <v>1475</v>
      </c>
      <c r="AA184" s="628">
        <v>0</v>
      </c>
      <c r="AB184" s="628">
        <v>0</v>
      </c>
      <c r="AC184" s="628">
        <v>0</v>
      </c>
      <c r="AD184" s="628">
        <v>1475</v>
      </c>
      <c r="AE184" s="628">
        <v>1475</v>
      </c>
      <c r="AF184" s="628">
        <v>1475</v>
      </c>
      <c r="AG184" s="628">
        <v>1475</v>
      </c>
      <c r="AH184" s="628">
        <v>1475</v>
      </c>
      <c r="AI184" s="628">
        <v>1505</v>
      </c>
      <c r="AJ184" s="628">
        <v>0</v>
      </c>
      <c r="AK184" s="628">
        <v>0</v>
      </c>
      <c r="AL184" s="628">
        <v>0</v>
      </c>
      <c r="AM184" s="628">
        <v>0</v>
      </c>
      <c r="AN184" s="628">
        <v>0</v>
      </c>
    </row>
    <row r="185" spans="1:40" x14ac:dyDescent="0.3">
      <c r="A185" s="489" t="s">
        <v>1441</v>
      </c>
      <c r="B185" s="489" t="s">
        <v>1444</v>
      </c>
      <c r="C185" s="489" t="s">
        <v>870</v>
      </c>
      <c r="D185" s="489" t="s">
        <v>1936</v>
      </c>
      <c r="E185" s="619">
        <v>17</v>
      </c>
      <c r="F185" s="627">
        <f t="shared" si="11"/>
        <v>1644</v>
      </c>
      <c r="G185" s="628">
        <f t="shared" si="14"/>
        <v>1659</v>
      </c>
      <c r="H185" s="628">
        <f t="shared" si="14"/>
        <v>1659</v>
      </c>
      <c r="I185" s="628">
        <f t="shared" si="14"/>
        <v>1628.5</v>
      </c>
      <c r="J185" s="628">
        <f t="shared" si="14"/>
        <v>1628.5</v>
      </c>
      <c r="K185" s="628">
        <f t="shared" si="14"/>
        <v>1628.5</v>
      </c>
      <c r="L185" s="628">
        <f t="shared" si="14"/>
        <v>1628.5</v>
      </c>
      <c r="M185" s="628">
        <f t="shared" si="14"/>
        <v>1628.5</v>
      </c>
      <c r="N185" s="628">
        <f t="shared" si="14"/>
        <v>1628.5</v>
      </c>
      <c r="O185" s="628">
        <f t="shared" si="14"/>
        <v>1628.5</v>
      </c>
      <c r="P185" s="628">
        <f t="shared" si="14"/>
        <v>1632.4</v>
      </c>
      <c r="Q185" s="628">
        <f t="shared" si="14"/>
        <v>0</v>
      </c>
      <c r="R185" s="628">
        <f t="shared" si="14"/>
        <v>0</v>
      </c>
      <c r="S185" s="628">
        <f t="shared" si="14"/>
        <v>0</v>
      </c>
      <c r="T185" s="628">
        <f t="shared" si="14"/>
        <v>0</v>
      </c>
      <c r="U185" s="628">
        <f t="shared" si="14"/>
        <v>0</v>
      </c>
      <c r="Y185" s="627">
        <v>1644</v>
      </c>
      <c r="Z185" s="628">
        <v>1659</v>
      </c>
      <c r="AA185" s="628">
        <v>1659</v>
      </c>
      <c r="AB185" s="628">
        <v>0</v>
      </c>
      <c r="AC185" s="628">
        <v>0</v>
      </c>
      <c r="AD185" s="628">
        <v>0</v>
      </c>
      <c r="AE185" s="628">
        <v>0</v>
      </c>
      <c r="AF185" s="628">
        <v>0</v>
      </c>
      <c r="AG185" s="628">
        <v>0</v>
      </c>
      <c r="AH185" s="628">
        <v>1628.5</v>
      </c>
      <c r="AI185" s="628">
        <v>1632.4</v>
      </c>
      <c r="AJ185" s="628">
        <v>0</v>
      </c>
      <c r="AK185" s="628">
        <v>0</v>
      </c>
      <c r="AL185" s="628">
        <v>0</v>
      </c>
      <c r="AM185" s="628">
        <v>0</v>
      </c>
      <c r="AN185" s="628">
        <v>0</v>
      </c>
    </row>
    <row r="186" spans="1:40" x14ac:dyDescent="0.3">
      <c r="A186" s="489" t="s">
        <v>1694</v>
      </c>
      <c r="B186" s="489" t="s">
        <v>1759</v>
      </c>
      <c r="C186" s="489" t="s">
        <v>1882</v>
      </c>
      <c r="D186" s="489" t="s">
        <v>141</v>
      </c>
      <c r="E186" s="619">
        <v>17</v>
      </c>
      <c r="F186" s="627">
        <f t="shared" si="11"/>
        <v>2025</v>
      </c>
      <c r="G186" s="628">
        <f t="shared" si="14"/>
        <v>2025</v>
      </c>
      <c r="H186" s="628">
        <f t="shared" si="14"/>
        <v>2025</v>
      </c>
      <c r="I186" s="628">
        <f t="shared" si="14"/>
        <v>2025</v>
      </c>
      <c r="J186" s="628">
        <f t="shared" si="14"/>
        <v>2025</v>
      </c>
      <c r="K186" s="628">
        <f t="shared" si="14"/>
        <v>0</v>
      </c>
      <c r="L186" s="628">
        <f t="shared" si="14"/>
        <v>0</v>
      </c>
      <c r="M186" s="628">
        <f t="shared" si="14"/>
        <v>0</v>
      </c>
      <c r="N186" s="628">
        <f t="shared" si="14"/>
        <v>0</v>
      </c>
      <c r="O186" s="628">
        <f t="shared" si="14"/>
        <v>0</v>
      </c>
      <c r="P186" s="628">
        <f t="shared" si="14"/>
        <v>0</v>
      </c>
      <c r="Q186" s="628">
        <f t="shared" si="14"/>
        <v>0</v>
      </c>
      <c r="R186" s="628">
        <f t="shared" si="14"/>
        <v>0</v>
      </c>
      <c r="S186" s="628">
        <f t="shared" si="14"/>
        <v>0</v>
      </c>
      <c r="T186" s="628">
        <f t="shared" si="14"/>
        <v>0</v>
      </c>
      <c r="U186" s="628">
        <f t="shared" si="14"/>
        <v>0</v>
      </c>
      <c r="Y186" s="627">
        <v>2025</v>
      </c>
      <c r="Z186" s="628">
        <v>0</v>
      </c>
      <c r="AA186" s="628">
        <v>2025</v>
      </c>
      <c r="AB186" s="628">
        <v>2025</v>
      </c>
      <c r="AC186" s="628">
        <v>2025</v>
      </c>
      <c r="AD186" s="628">
        <v>0</v>
      </c>
      <c r="AE186" s="628">
        <v>0</v>
      </c>
      <c r="AF186" s="628">
        <v>0</v>
      </c>
      <c r="AG186" s="628">
        <v>0</v>
      </c>
      <c r="AH186" s="628">
        <v>0</v>
      </c>
      <c r="AI186" s="628">
        <v>0</v>
      </c>
      <c r="AJ186" s="628">
        <v>0</v>
      </c>
      <c r="AK186" s="628">
        <v>0</v>
      </c>
      <c r="AL186" s="628">
        <v>0</v>
      </c>
      <c r="AM186" s="628">
        <v>0</v>
      </c>
      <c r="AN186" s="628">
        <v>0</v>
      </c>
    </row>
    <row r="187" spans="1:40" x14ac:dyDescent="0.3">
      <c r="A187" s="489" t="s">
        <v>1454</v>
      </c>
      <c r="B187" s="489" t="s">
        <v>1760</v>
      </c>
      <c r="C187" s="489" t="s">
        <v>1883</v>
      </c>
      <c r="D187" s="489" t="s">
        <v>46</v>
      </c>
      <c r="E187" s="619">
        <v>16</v>
      </c>
      <c r="F187" s="627">
        <f t="shared" si="11"/>
        <v>1422.25</v>
      </c>
      <c r="G187" s="628">
        <f t="shared" si="14"/>
        <v>1351</v>
      </c>
      <c r="H187" s="628">
        <f t="shared" si="14"/>
        <v>1351</v>
      </c>
      <c r="I187" s="628">
        <f t="shared" si="14"/>
        <v>1351</v>
      </c>
      <c r="J187" s="628">
        <f t="shared" si="14"/>
        <v>1351</v>
      </c>
      <c r="K187" s="628">
        <f t="shared" si="14"/>
        <v>1351</v>
      </c>
      <c r="L187" s="628">
        <f t="shared" si="14"/>
        <v>1351</v>
      </c>
      <c r="M187" s="628">
        <f t="shared" si="14"/>
        <v>1395</v>
      </c>
      <c r="N187" s="628">
        <f t="shared" si="14"/>
        <v>1395</v>
      </c>
      <c r="O187" s="628">
        <f t="shared" si="14"/>
        <v>1409.5</v>
      </c>
      <c r="P187" s="628">
        <f t="shared" si="14"/>
        <v>1409.5</v>
      </c>
      <c r="Q187" s="628">
        <f t="shared" si="14"/>
        <v>1332.3333333333333</v>
      </c>
      <c r="R187" s="628">
        <f t="shared" si="14"/>
        <v>1351</v>
      </c>
      <c r="S187" s="628">
        <f t="shared" si="14"/>
        <v>1450</v>
      </c>
      <c r="T187" s="628">
        <f t="shared" si="14"/>
        <v>1476</v>
      </c>
      <c r="U187" s="628">
        <f t="shared" si="14"/>
        <v>1476</v>
      </c>
      <c r="Y187" s="627">
        <v>1422.25</v>
      </c>
      <c r="Z187" s="628">
        <v>0</v>
      </c>
      <c r="AA187" s="628">
        <v>0</v>
      </c>
      <c r="AB187" s="628">
        <v>0</v>
      </c>
      <c r="AC187" s="628">
        <v>0</v>
      </c>
      <c r="AD187" s="628">
        <v>0</v>
      </c>
      <c r="AE187" s="628">
        <v>1351</v>
      </c>
      <c r="AF187" s="628">
        <v>0</v>
      </c>
      <c r="AG187" s="628">
        <v>1395</v>
      </c>
      <c r="AH187" s="628">
        <v>0</v>
      </c>
      <c r="AI187" s="628">
        <v>1409.5</v>
      </c>
      <c r="AJ187" s="628">
        <v>1332.3333333333333</v>
      </c>
      <c r="AK187" s="628">
        <v>1351</v>
      </c>
      <c r="AL187" s="628">
        <v>1450</v>
      </c>
      <c r="AM187" s="628">
        <v>0</v>
      </c>
      <c r="AN187" s="628">
        <v>1476</v>
      </c>
    </row>
    <row r="188" spans="1:40" x14ac:dyDescent="0.3">
      <c r="A188" s="489" t="s">
        <v>1441</v>
      </c>
      <c r="B188" s="489" t="s">
        <v>1445</v>
      </c>
      <c r="C188" s="489" t="s">
        <v>346</v>
      </c>
      <c r="D188" s="489" t="s">
        <v>45</v>
      </c>
      <c r="E188" s="619">
        <v>16</v>
      </c>
      <c r="F188" s="627">
        <f t="shared" si="11"/>
        <v>1231.3529411764705</v>
      </c>
      <c r="G188" s="628">
        <f t="shared" si="14"/>
        <v>1295</v>
      </c>
      <c r="H188" s="628">
        <f t="shared" si="14"/>
        <v>1230</v>
      </c>
      <c r="I188" s="628">
        <f t="shared" si="14"/>
        <v>1164</v>
      </c>
      <c r="J188" s="628">
        <f t="shared" si="14"/>
        <v>1171</v>
      </c>
      <c r="K188" s="628">
        <f t="shared" si="14"/>
        <v>1171</v>
      </c>
      <c r="L188" s="628">
        <f t="shared" si="14"/>
        <v>1157</v>
      </c>
      <c r="M188" s="628">
        <f t="shared" si="14"/>
        <v>1278</v>
      </c>
      <c r="N188" s="628">
        <f t="shared" si="14"/>
        <v>1137</v>
      </c>
      <c r="O188" s="628">
        <f t="shared" si="14"/>
        <v>1253.3333333333333</v>
      </c>
      <c r="P188" s="628">
        <f t="shared" si="14"/>
        <v>1253.3333333333333</v>
      </c>
      <c r="Q188" s="628">
        <f t="shared" si="14"/>
        <v>1253.3333333333333</v>
      </c>
      <c r="R188" s="628">
        <f t="shared" si="14"/>
        <v>1219.5</v>
      </c>
      <c r="S188" s="628">
        <f t="shared" si="14"/>
        <v>1309</v>
      </c>
      <c r="T188" s="628">
        <f t="shared" si="14"/>
        <v>1203</v>
      </c>
      <c r="U188" s="628">
        <f t="shared" si="14"/>
        <v>1203</v>
      </c>
      <c r="Y188" s="627">
        <v>1231.3529411764705</v>
      </c>
      <c r="Z188" s="628">
        <v>1295</v>
      </c>
      <c r="AA188" s="628">
        <v>1230</v>
      </c>
      <c r="AB188" s="628">
        <v>1164</v>
      </c>
      <c r="AC188" s="628">
        <v>0</v>
      </c>
      <c r="AD188" s="628">
        <v>1171</v>
      </c>
      <c r="AE188" s="628">
        <v>1157</v>
      </c>
      <c r="AF188" s="628">
        <v>1278</v>
      </c>
      <c r="AG188" s="628">
        <v>1137</v>
      </c>
      <c r="AH188" s="628">
        <v>0</v>
      </c>
      <c r="AI188" s="628">
        <v>0</v>
      </c>
      <c r="AJ188" s="628">
        <v>1253.3333333333333</v>
      </c>
      <c r="AK188" s="628">
        <v>1219.5</v>
      </c>
      <c r="AL188" s="628">
        <v>1309</v>
      </c>
      <c r="AM188" s="628">
        <v>0</v>
      </c>
      <c r="AN188" s="628">
        <v>1203</v>
      </c>
    </row>
    <row r="189" spans="1:40" x14ac:dyDescent="0.3">
      <c r="A189" s="489" t="s">
        <v>1432</v>
      </c>
      <c r="B189" s="489" t="s">
        <v>1761</v>
      </c>
      <c r="C189" s="489" t="s">
        <v>1884</v>
      </c>
      <c r="D189" s="489" t="s">
        <v>141</v>
      </c>
      <c r="E189" s="619">
        <v>16</v>
      </c>
      <c r="F189" s="627">
        <f t="shared" si="11"/>
        <v>2908.6875</v>
      </c>
      <c r="G189" s="628">
        <f t="shared" si="14"/>
        <v>2936</v>
      </c>
      <c r="H189" s="628">
        <f t="shared" si="14"/>
        <v>2936</v>
      </c>
      <c r="I189" s="628">
        <f t="shared" si="14"/>
        <v>2960</v>
      </c>
      <c r="J189" s="628">
        <f t="shared" si="14"/>
        <v>2898.6923076923076</v>
      </c>
      <c r="K189" s="628">
        <f t="shared" si="14"/>
        <v>0</v>
      </c>
      <c r="L189" s="628">
        <f t="shared" si="14"/>
        <v>0</v>
      </c>
      <c r="M189" s="628">
        <f t="shared" si="14"/>
        <v>0</v>
      </c>
      <c r="N189" s="628">
        <f t="shared" si="14"/>
        <v>0</v>
      </c>
      <c r="O189" s="628">
        <f t="shared" si="14"/>
        <v>0</v>
      </c>
      <c r="P189" s="628">
        <f t="shared" si="14"/>
        <v>0</v>
      </c>
      <c r="Q189" s="628">
        <f t="shared" si="14"/>
        <v>0</v>
      </c>
      <c r="R189" s="628">
        <f t="shared" si="14"/>
        <v>0</v>
      </c>
      <c r="S189" s="628">
        <f t="shared" si="14"/>
        <v>0</v>
      </c>
      <c r="T189" s="628">
        <f t="shared" si="14"/>
        <v>0</v>
      </c>
      <c r="U189" s="628">
        <f t="shared" si="14"/>
        <v>0</v>
      </c>
      <c r="Y189" s="627">
        <v>2908.6875</v>
      </c>
      <c r="Z189" s="628">
        <v>0</v>
      </c>
      <c r="AA189" s="628">
        <v>2936</v>
      </c>
      <c r="AB189" s="628">
        <v>2960</v>
      </c>
      <c r="AC189" s="628">
        <v>2898.6923076923076</v>
      </c>
      <c r="AD189" s="628">
        <v>0</v>
      </c>
      <c r="AE189" s="628">
        <v>0</v>
      </c>
      <c r="AF189" s="628">
        <v>0</v>
      </c>
      <c r="AG189" s="628">
        <v>0</v>
      </c>
      <c r="AH189" s="628">
        <v>0</v>
      </c>
      <c r="AI189" s="628">
        <v>0</v>
      </c>
      <c r="AJ189" s="628">
        <v>0</v>
      </c>
      <c r="AK189" s="628">
        <v>0</v>
      </c>
      <c r="AL189" s="628">
        <v>0</v>
      </c>
      <c r="AM189" s="628">
        <v>0</v>
      </c>
      <c r="AN189" s="628">
        <v>0</v>
      </c>
    </row>
    <row r="190" spans="1:40" x14ac:dyDescent="0.3">
      <c r="A190" s="489" t="s">
        <v>1414</v>
      </c>
      <c r="B190" s="489" t="s">
        <v>1762</v>
      </c>
      <c r="C190" s="489" t="s">
        <v>1885</v>
      </c>
      <c r="D190" s="489" t="s">
        <v>46</v>
      </c>
      <c r="E190" s="619">
        <v>15</v>
      </c>
      <c r="F190" s="627">
        <f t="shared" si="11"/>
        <v>1801.6666666666667</v>
      </c>
      <c r="G190" s="628">
        <f t="shared" si="14"/>
        <v>1745</v>
      </c>
      <c r="H190" s="628">
        <f t="shared" si="14"/>
        <v>1745</v>
      </c>
      <c r="I190" s="628">
        <f t="shared" si="14"/>
        <v>1745</v>
      </c>
      <c r="J190" s="628">
        <f t="shared" si="14"/>
        <v>1745</v>
      </c>
      <c r="K190" s="628">
        <f t="shared" si="14"/>
        <v>1745</v>
      </c>
      <c r="L190" s="628">
        <f t="shared" si="14"/>
        <v>1745</v>
      </c>
      <c r="M190" s="628">
        <f t="shared" si="14"/>
        <v>1765</v>
      </c>
      <c r="N190" s="628">
        <f t="shared" si="14"/>
        <v>1800</v>
      </c>
      <c r="O190" s="628">
        <f t="shared" si="14"/>
        <v>1805</v>
      </c>
      <c r="P190" s="628">
        <f t="shared" si="14"/>
        <v>1810</v>
      </c>
      <c r="Q190" s="628">
        <f t="shared" si="14"/>
        <v>1785</v>
      </c>
      <c r="R190" s="628">
        <f t="shared" si="14"/>
        <v>1855</v>
      </c>
      <c r="S190" s="628">
        <f t="shared" si="14"/>
        <v>0</v>
      </c>
      <c r="T190" s="628">
        <f t="shared" si="14"/>
        <v>0</v>
      </c>
      <c r="U190" s="628">
        <f t="shared" si="14"/>
        <v>0</v>
      </c>
      <c r="Y190" s="627">
        <v>1801.6666666666667</v>
      </c>
      <c r="Z190" s="628">
        <v>0</v>
      </c>
      <c r="AA190" s="628">
        <v>0</v>
      </c>
      <c r="AB190" s="628">
        <v>0</v>
      </c>
      <c r="AC190" s="628">
        <v>0</v>
      </c>
      <c r="AD190" s="628">
        <v>0</v>
      </c>
      <c r="AE190" s="628">
        <v>1745</v>
      </c>
      <c r="AF190" s="628">
        <v>1765</v>
      </c>
      <c r="AG190" s="628">
        <v>1800</v>
      </c>
      <c r="AH190" s="628">
        <v>1805</v>
      </c>
      <c r="AI190" s="628">
        <v>1810</v>
      </c>
      <c r="AJ190" s="628">
        <v>1785</v>
      </c>
      <c r="AK190" s="628">
        <v>1855</v>
      </c>
      <c r="AL190" s="628">
        <v>0</v>
      </c>
      <c r="AM190" s="628">
        <v>0</v>
      </c>
      <c r="AN190" s="628">
        <v>0</v>
      </c>
    </row>
    <row r="191" spans="1:40" x14ac:dyDescent="0.3">
      <c r="A191" s="489" t="s">
        <v>1544</v>
      </c>
      <c r="B191" s="489" t="s">
        <v>1763</v>
      </c>
      <c r="C191" s="489" t="s">
        <v>1886</v>
      </c>
      <c r="D191" s="489" t="s">
        <v>46</v>
      </c>
      <c r="E191" s="619">
        <v>15</v>
      </c>
      <c r="F191" s="627">
        <f t="shared" si="11"/>
        <v>1368.0666666666666</v>
      </c>
      <c r="G191" s="628">
        <f t="shared" si="14"/>
        <v>1419</v>
      </c>
      <c r="H191" s="628">
        <f t="shared" si="14"/>
        <v>1419</v>
      </c>
      <c r="I191" s="628">
        <f t="shared" si="14"/>
        <v>1419</v>
      </c>
      <c r="J191" s="628">
        <f t="shared" si="14"/>
        <v>1419</v>
      </c>
      <c r="K191" s="628">
        <f t="shared" si="14"/>
        <v>1350.5</v>
      </c>
      <c r="L191" s="628">
        <f t="shared" si="14"/>
        <v>1350.5</v>
      </c>
      <c r="M191" s="628">
        <f t="shared" si="14"/>
        <v>1411.5</v>
      </c>
      <c r="N191" s="628">
        <f t="shared" si="14"/>
        <v>1299.75</v>
      </c>
      <c r="O191" s="628">
        <f t="shared" si="14"/>
        <v>1291</v>
      </c>
      <c r="P191" s="628">
        <f t="shared" si="14"/>
        <v>1423</v>
      </c>
      <c r="Q191" s="628">
        <f t="shared" si="14"/>
        <v>1423</v>
      </c>
      <c r="R191" s="628">
        <f t="shared" si="14"/>
        <v>1423</v>
      </c>
      <c r="S191" s="628">
        <f t="shared" si="14"/>
        <v>0</v>
      </c>
      <c r="T191" s="628">
        <f t="shared" si="14"/>
        <v>0</v>
      </c>
      <c r="U191" s="628">
        <f t="shared" si="14"/>
        <v>0</v>
      </c>
      <c r="Y191" s="627">
        <v>1368.0666666666666</v>
      </c>
      <c r="Z191" s="628">
        <v>0</v>
      </c>
      <c r="AA191" s="628">
        <v>1419</v>
      </c>
      <c r="AB191" s="628">
        <v>0</v>
      </c>
      <c r="AC191" s="628">
        <v>1419</v>
      </c>
      <c r="AD191" s="628">
        <v>0</v>
      </c>
      <c r="AE191" s="628">
        <v>1350.5</v>
      </c>
      <c r="AF191" s="628">
        <v>1411.5</v>
      </c>
      <c r="AG191" s="628">
        <v>1299.75</v>
      </c>
      <c r="AH191" s="628">
        <v>1291</v>
      </c>
      <c r="AI191" s="628">
        <v>0</v>
      </c>
      <c r="AJ191" s="628">
        <v>0</v>
      </c>
      <c r="AK191" s="628">
        <v>1423</v>
      </c>
      <c r="AL191" s="628">
        <v>0</v>
      </c>
      <c r="AM191" s="628">
        <v>0</v>
      </c>
      <c r="AN191" s="628">
        <v>0</v>
      </c>
    </row>
    <row r="192" spans="1:40" x14ac:dyDescent="0.3">
      <c r="A192" s="489" t="s">
        <v>1441</v>
      </c>
      <c r="B192" s="489" t="s">
        <v>1764</v>
      </c>
      <c r="C192" s="489" t="s">
        <v>1887</v>
      </c>
      <c r="D192" s="489" t="s">
        <v>46</v>
      </c>
      <c r="E192" s="619">
        <v>15</v>
      </c>
      <c r="F192" s="627">
        <f t="shared" si="11"/>
        <v>1586.3333333333333</v>
      </c>
      <c r="G192" s="628">
        <f t="shared" si="14"/>
        <v>1625</v>
      </c>
      <c r="H192" s="628">
        <f t="shared" si="14"/>
        <v>1686.6666666666667</v>
      </c>
      <c r="I192" s="628">
        <f t="shared" si="14"/>
        <v>1540</v>
      </c>
      <c r="J192" s="628">
        <f t="shared" si="14"/>
        <v>1555</v>
      </c>
      <c r="K192" s="628">
        <f t="shared" si="14"/>
        <v>1555</v>
      </c>
      <c r="L192" s="628">
        <f t="shared" si="14"/>
        <v>1555</v>
      </c>
      <c r="M192" s="628">
        <f t="shared" si="14"/>
        <v>1515</v>
      </c>
      <c r="N192" s="628">
        <f t="shared" si="14"/>
        <v>1515</v>
      </c>
      <c r="O192" s="628">
        <f t="shared" si="14"/>
        <v>0</v>
      </c>
      <c r="P192" s="628">
        <f t="shared" si="14"/>
        <v>0</v>
      </c>
      <c r="Q192" s="628">
        <f t="shared" si="14"/>
        <v>0</v>
      </c>
      <c r="R192" s="628">
        <f t="shared" si="14"/>
        <v>0</v>
      </c>
      <c r="S192" s="628">
        <f t="shared" si="14"/>
        <v>0</v>
      </c>
      <c r="T192" s="628">
        <f t="shared" si="14"/>
        <v>0</v>
      </c>
      <c r="U192" s="628">
        <f t="shared" si="14"/>
        <v>0</v>
      </c>
      <c r="Y192" s="627">
        <v>1586.3333333333333</v>
      </c>
      <c r="Z192" s="628">
        <v>1625</v>
      </c>
      <c r="AA192" s="628">
        <v>1686.6666666666667</v>
      </c>
      <c r="AB192" s="628">
        <v>1540</v>
      </c>
      <c r="AC192" s="628">
        <v>0</v>
      </c>
      <c r="AD192" s="628">
        <v>0</v>
      </c>
      <c r="AE192" s="628">
        <v>1555</v>
      </c>
      <c r="AF192" s="628">
        <v>1515</v>
      </c>
      <c r="AG192" s="628">
        <v>1515</v>
      </c>
      <c r="AH192" s="628">
        <v>0</v>
      </c>
      <c r="AI192" s="628">
        <v>0</v>
      </c>
      <c r="AJ192" s="628">
        <v>0</v>
      </c>
      <c r="AK192" s="628">
        <v>0</v>
      </c>
      <c r="AL192" s="628">
        <v>0</v>
      </c>
      <c r="AM192" s="628">
        <v>0</v>
      </c>
      <c r="AN192" s="628">
        <v>0</v>
      </c>
    </row>
    <row r="193" spans="1:40" x14ac:dyDescent="0.3">
      <c r="A193" s="489" t="s">
        <v>1414</v>
      </c>
      <c r="B193" s="489" t="s">
        <v>1765</v>
      </c>
      <c r="C193" s="489" t="s">
        <v>1888</v>
      </c>
      <c r="D193" s="489" t="s">
        <v>141</v>
      </c>
      <c r="E193" s="619">
        <v>15</v>
      </c>
      <c r="F193" s="627">
        <f t="shared" si="11"/>
        <v>2395</v>
      </c>
      <c r="G193" s="628">
        <f t="shared" si="14"/>
        <v>2395</v>
      </c>
      <c r="H193" s="628">
        <f t="shared" si="14"/>
        <v>2395</v>
      </c>
      <c r="I193" s="628">
        <f t="shared" si="14"/>
        <v>2395</v>
      </c>
      <c r="J193" s="628">
        <f t="shared" si="14"/>
        <v>2395</v>
      </c>
      <c r="K193" s="628">
        <f t="shared" si="14"/>
        <v>2395</v>
      </c>
      <c r="L193" s="628">
        <f t="shared" si="14"/>
        <v>2395</v>
      </c>
      <c r="M193" s="628">
        <f t="shared" si="14"/>
        <v>0</v>
      </c>
      <c r="N193" s="628">
        <f t="shared" si="14"/>
        <v>0</v>
      </c>
      <c r="O193" s="628">
        <f t="shared" si="14"/>
        <v>0</v>
      </c>
      <c r="P193" s="628">
        <f t="shared" si="14"/>
        <v>0</v>
      </c>
      <c r="Q193" s="628">
        <f t="shared" si="14"/>
        <v>0</v>
      </c>
      <c r="R193" s="628">
        <f t="shared" si="14"/>
        <v>0</v>
      </c>
      <c r="S193" s="628">
        <f t="shared" si="14"/>
        <v>0</v>
      </c>
      <c r="T193" s="628">
        <f t="shared" si="14"/>
        <v>0</v>
      </c>
      <c r="U193" s="628">
        <f t="shared" si="14"/>
        <v>0</v>
      </c>
      <c r="Y193" s="627">
        <v>2395</v>
      </c>
      <c r="Z193" s="628">
        <v>2395</v>
      </c>
      <c r="AA193" s="628">
        <v>2395</v>
      </c>
      <c r="AB193" s="628">
        <v>2395</v>
      </c>
      <c r="AC193" s="628">
        <v>2395</v>
      </c>
      <c r="AD193" s="628">
        <v>2395</v>
      </c>
      <c r="AE193" s="628">
        <v>2395</v>
      </c>
      <c r="AF193" s="628">
        <v>0</v>
      </c>
      <c r="AG193" s="628">
        <v>0</v>
      </c>
      <c r="AH193" s="628">
        <v>0</v>
      </c>
      <c r="AI193" s="628">
        <v>0</v>
      </c>
      <c r="AJ193" s="628">
        <v>0</v>
      </c>
      <c r="AK193" s="628">
        <v>0</v>
      </c>
      <c r="AL193" s="628">
        <v>0</v>
      </c>
      <c r="AM193" s="628">
        <v>0</v>
      </c>
      <c r="AN193" s="628">
        <v>0</v>
      </c>
    </row>
    <row r="194" spans="1:40" x14ac:dyDescent="0.3">
      <c r="A194" s="489" t="s">
        <v>1414</v>
      </c>
      <c r="B194" s="489" t="s">
        <v>1766</v>
      </c>
      <c r="C194" s="489" t="s">
        <v>1889</v>
      </c>
      <c r="D194" s="489" t="s">
        <v>141</v>
      </c>
      <c r="E194" s="619">
        <v>15</v>
      </c>
      <c r="F194" s="627">
        <f t="shared" si="11"/>
        <v>2075</v>
      </c>
      <c r="G194" s="628">
        <f t="shared" ref="G194:U209" si="15">IF(Z194&gt;0,Z194,IF(H194&gt;0,H194,0))</f>
        <v>2075</v>
      </c>
      <c r="H194" s="628">
        <f t="shared" si="15"/>
        <v>2075</v>
      </c>
      <c r="I194" s="628">
        <f t="shared" si="15"/>
        <v>2075</v>
      </c>
      <c r="J194" s="628">
        <f t="shared" si="15"/>
        <v>0</v>
      </c>
      <c r="K194" s="628">
        <f t="shared" si="15"/>
        <v>0</v>
      </c>
      <c r="L194" s="628">
        <f t="shared" si="15"/>
        <v>0</v>
      </c>
      <c r="M194" s="628">
        <f t="shared" si="15"/>
        <v>0</v>
      </c>
      <c r="N194" s="628">
        <f t="shared" si="15"/>
        <v>0</v>
      </c>
      <c r="O194" s="628">
        <f t="shared" si="15"/>
        <v>0</v>
      </c>
      <c r="P194" s="628">
        <f t="shared" si="15"/>
        <v>0</v>
      </c>
      <c r="Q194" s="628">
        <f t="shared" si="15"/>
        <v>0</v>
      </c>
      <c r="R194" s="628">
        <f t="shared" si="15"/>
        <v>0</v>
      </c>
      <c r="S194" s="628">
        <f t="shared" si="15"/>
        <v>0</v>
      </c>
      <c r="T194" s="628">
        <f t="shared" si="15"/>
        <v>0</v>
      </c>
      <c r="U194" s="628">
        <f t="shared" si="15"/>
        <v>0</v>
      </c>
      <c r="Y194" s="627">
        <v>2075</v>
      </c>
      <c r="Z194" s="628">
        <v>2075</v>
      </c>
      <c r="AA194" s="628">
        <v>2075</v>
      </c>
      <c r="AB194" s="628">
        <v>2075</v>
      </c>
      <c r="AC194" s="628">
        <v>0</v>
      </c>
      <c r="AD194" s="628">
        <v>0</v>
      </c>
      <c r="AE194" s="628">
        <v>0</v>
      </c>
      <c r="AF194" s="628">
        <v>0</v>
      </c>
      <c r="AG194" s="628">
        <v>0</v>
      </c>
      <c r="AH194" s="628">
        <v>0</v>
      </c>
      <c r="AI194" s="628">
        <v>0</v>
      </c>
      <c r="AJ194" s="628">
        <v>0</v>
      </c>
      <c r="AK194" s="628">
        <v>0</v>
      </c>
      <c r="AL194" s="628">
        <v>0</v>
      </c>
      <c r="AM194" s="628">
        <v>0</v>
      </c>
      <c r="AN194" s="628">
        <v>0</v>
      </c>
    </row>
    <row r="195" spans="1:40" x14ac:dyDescent="0.3">
      <c r="A195" s="489" t="s">
        <v>1414</v>
      </c>
      <c r="B195" s="489" t="s">
        <v>1767</v>
      </c>
      <c r="C195" s="489" t="s">
        <v>1890</v>
      </c>
      <c r="D195" s="489" t="s">
        <v>46</v>
      </c>
      <c r="E195" s="619">
        <v>15</v>
      </c>
      <c r="F195" s="627">
        <f t="shared" ref="F195:F230" si="16">Y195</f>
        <v>1616.6666666666667</v>
      </c>
      <c r="G195" s="628">
        <f t="shared" si="15"/>
        <v>1620</v>
      </c>
      <c r="H195" s="628">
        <f t="shared" si="15"/>
        <v>1611.6666666666667</v>
      </c>
      <c r="I195" s="628">
        <f t="shared" si="15"/>
        <v>1620</v>
      </c>
      <c r="J195" s="628">
        <f t="shared" si="15"/>
        <v>1620</v>
      </c>
      <c r="K195" s="628">
        <f t="shared" si="15"/>
        <v>1620</v>
      </c>
      <c r="L195" s="628">
        <f t="shared" si="15"/>
        <v>1595</v>
      </c>
      <c r="M195" s="628">
        <f t="shared" si="15"/>
        <v>0</v>
      </c>
      <c r="N195" s="628">
        <f t="shared" si="15"/>
        <v>0</v>
      </c>
      <c r="O195" s="628">
        <f t="shared" si="15"/>
        <v>0</v>
      </c>
      <c r="P195" s="628">
        <f t="shared" si="15"/>
        <v>0</v>
      </c>
      <c r="Q195" s="628">
        <f t="shared" si="15"/>
        <v>0</v>
      </c>
      <c r="R195" s="628">
        <f t="shared" si="15"/>
        <v>0</v>
      </c>
      <c r="S195" s="628">
        <f t="shared" si="15"/>
        <v>0</v>
      </c>
      <c r="T195" s="628">
        <f t="shared" si="15"/>
        <v>0</v>
      </c>
      <c r="U195" s="628">
        <f t="shared" si="15"/>
        <v>0</v>
      </c>
      <c r="Y195" s="627">
        <v>1616.6666666666667</v>
      </c>
      <c r="Z195" s="628">
        <v>1620</v>
      </c>
      <c r="AA195" s="628">
        <v>1611.6666666666667</v>
      </c>
      <c r="AB195" s="628">
        <v>1620</v>
      </c>
      <c r="AC195" s="628">
        <v>0</v>
      </c>
      <c r="AD195" s="628">
        <v>1620</v>
      </c>
      <c r="AE195" s="628">
        <v>1595</v>
      </c>
      <c r="AF195" s="628">
        <v>0</v>
      </c>
      <c r="AG195" s="628">
        <v>0</v>
      </c>
      <c r="AH195" s="628">
        <v>0</v>
      </c>
      <c r="AI195" s="628">
        <v>0</v>
      </c>
      <c r="AJ195" s="628">
        <v>0</v>
      </c>
      <c r="AK195" s="628">
        <v>0</v>
      </c>
      <c r="AL195" s="628">
        <v>0</v>
      </c>
      <c r="AM195" s="628">
        <v>0</v>
      </c>
      <c r="AN195" s="628">
        <v>0</v>
      </c>
    </row>
    <row r="196" spans="1:40" x14ac:dyDescent="0.3">
      <c r="A196" s="489" t="s">
        <v>1441</v>
      </c>
      <c r="B196" s="489" t="s">
        <v>1768</v>
      </c>
      <c r="C196" s="489" t="s">
        <v>85</v>
      </c>
      <c r="D196" s="489" t="s">
        <v>1530</v>
      </c>
      <c r="E196" s="619">
        <v>15</v>
      </c>
      <c r="F196" s="627">
        <f t="shared" si="16"/>
        <v>932.73333333333335</v>
      </c>
      <c r="G196" s="628">
        <f t="shared" si="15"/>
        <v>933</v>
      </c>
      <c r="H196" s="628">
        <f t="shared" si="15"/>
        <v>933</v>
      </c>
      <c r="I196" s="628">
        <f t="shared" si="15"/>
        <v>933</v>
      </c>
      <c r="J196" s="628">
        <f t="shared" si="15"/>
        <v>933</v>
      </c>
      <c r="K196" s="628">
        <f t="shared" si="15"/>
        <v>933</v>
      </c>
      <c r="L196" s="628">
        <f t="shared" si="15"/>
        <v>933</v>
      </c>
      <c r="M196" s="628">
        <f t="shared" si="15"/>
        <v>933</v>
      </c>
      <c r="N196" s="628">
        <f t="shared" si="15"/>
        <v>933</v>
      </c>
      <c r="O196" s="628">
        <f t="shared" si="15"/>
        <v>931</v>
      </c>
      <c r="P196" s="628">
        <f t="shared" si="15"/>
        <v>931</v>
      </c>
      <c r="Q196" s="628">
        <f t="shared" si="15"/>
        <v>0</v>
      </c>
      <c r="R196" s="628">
        <f t="shared" si="15"/>
        <v>0</v>
      </c>
      <c r="S196" s="628">
        <f t="shared" si="15"/>
        <v>0</v>
      </c>
      <c r="T196" s="628">
        <f t="shared" si="15"/>
        <v>0</v>
      </c>
      <c r="U196" s="628">
        <f t="shared" si="15"/>
        <v>0</v>
      </c>
      <c r="Y196" s="627">
        <v>932.73333333333335</v>
      </c>
      <c r="Z196" s="628">
        <v>0</v>
      </c>
      <c r="AA196" s="628">
        <v>0</v>
      </c>
      <c r="AB196" s="628">
        <v>0</v>
      </c>
      <c r="AC196" s="628">
        <v>0</v>
      </c>
      <c r="AD196" s="628">
        <v>0</v>
      </c>
      <c r="AE196" s="628">
        <v>0</v>
      </c>
      <c r="AF196" s="628">
        <v>0</v>
      </c>
      <c r="AG196" s="628">
        <v>933</v>
      </c>
      <c r="AH196" s="628">
        <v>0</v>
      </c>
      <c r="AI196" s="628">
        <v>931</v>
      </c>
      <c r="AJ196" s="628">
        <v>0</v>
      </c>
      <c r="AK196" s="628">
        <v>0</v>
      </c>
      <c r="AL196" s="628">
        <v>0</v>
      </c>
      <c r="AM196" s="628">
        <v>0</v>
      </c>
      <c r="AN196" s="628">
        <v>0</v>
      </c>
    </row>
    <row r="197" spans="1:40" x14ac:dyDescent="0.3">
      <c r="A197" s="489" t="s">
        <v>1677</v>
      </c>
      <c r="B197" s="489" t="s">
        <v>1769</v>
      </c>
      <c r="C197" s="489" t="s">
        <v>1891</v>
      </c>
      <c r="D197" s="489" t="s">
        <v>46</v>
      </c>
      <c r="E197" s="619">
        <v>15</v>
      </c>
      <c r="F197" s="627">
        <f t="shared" si="16"/>
        <v>1458.3333333333333</v>
      </c>
      <c r="G197" s="628">
        <f t="shared" si="15"/>
        <v>1485</v>
      </c>
      <c r="H197" s="628">
        <f t="shared" si="15"/>
        <v>1485</v>
      </c>
      <c r="I197" s="628">
        <f t="shared" si="15"/>
        <v>1485</v>
      </c>
      <c r="J197" s="628">
        <f t="shared" si="15"/>
        <v>1485</v>
      </c>
      <c r="K197" s="628">
        <f t="shared" si="15"/>
        <v>1445</v>
      </c>
      <c r="L197" s="628">
        <f t="shared" si="15"/>
        <v>1445</v>
      </c>
      <c r="M197" s="628">
        <f t="shared" si="15"/>
        <v>1445</v>
      </c>
      <c r="N197" s="628">
        <f t="shared" si="15"/>
        <v>1445</v>
      </c>
      <c r="O197" s="628">
        <f t="shared" si="15"/>
        <v>1445</v>
      </c>
      <c r="P197" s="628">
        <f t="shared" si="15"/>
        <v>1485</v>
      </c>
      <c r="Q197" s="628">
        <f t="shared" si="15"/>
        <v>0</v>
      </c>
      <c r="R197" s="628">
        <f t="shared" si="15"/>
        <v>0</v>
      </c>
      <c r="S197" s="628">
        <f t="shared" si="15"/>
        <v>0</v>
      </c>
      <c r="T197" s="628">
        <f t="shared" si="15"/>
        <v>0</v>
      </c>
      <c r="U197" s="628">
        <f t="shared" si="15"/>
        <v>0</v>
      </c>
      <c r="Y197" s="627">
        <v>1458.3333333333333</v>
      </c>
      <c r="Z197" s="628">
        <v>0</v>
      </c>
      <c r="AA197" s="628">
        <v>0</v>
      </c>
      <c r="AB197" s="628">
        <v>0</v>
      </c>
      <c r="AC197" s="628">
        <v>1485</v>
      </c>
      <c r="AD197" s="628">
        <v>0</v>
      </c>
      <c r="AE197" s="628">
        <v>0</v>
      </c>
      <c r="AF197" s="628">
        <v>1445</v>
      </c>
      <c r="AG197" s="628">
        <v>1445</v>
      </c>
      <c r="AH197" s="628">
        <v>1445</v>
      </c>
      <c r="AI197" s="628">
        <v>1485</v>
      </c>
      <c r="AJ197" s="628">
        <v>0</v>
      </c>
      <c r="AK197" s="628">
        <v>0</v>
      </c>
      <c r="AL197" s="628">
        <v>0</v>
      </c>
      <c r="AM197" s="628">
        <v>0</v>
      </c>
      <c r="AN197" s="628">
        <v>0</v>
      </c>
    </row>
    <row r="198" spans="1:40" x14ac:dyDescent="0.3">
      <c r="A198" s="489" t="s">
        <v>1414</v>
      </c>
      <c r="B198" s="489" t="s">
        <v>1670</v>
      </c>
      <c r="C198" s="489" t="s">
        <v>1892</v>
      </c>
      <c r="D198" s="489" t="s">
        <v>1530</v>
      </c>
      <c r="E198" s="619">
        <v>15</v>
      </c>
      <c r="F198" s="627">
        <f t="shared" si="16"/>
        <v>1425</v>
      </c>
      <c r="G198" s="628">
        <f t="shared" si="15"/>
        <v>1405</v>
      </c>
      <c r="H198" s="628">
        <f t="shared" si="15"/>
        <v>1405</v>
      </c>
      <c r="I198" s="628">
        <f t="shared" si="15"/>
        <v>1405</v>
      </c>
      <c r="J198" s="628">
        <f t="shared" si="15"/>
        <v>1405</v>
      </c>
      <c r="K198" s="628">
        <f t="shared" si="15"/>
        <v>1405</v>
      </c>
      <c r="L198" s="628">
        <f t="shared" si="15"/>
        <v>1405</v>
      </c>
      <c r="M198" s="628">
        <f t="shared" si="15"/>
        <v>1405</v>
      </c>
      <c r="N198" s="628">
        <f t="shared" si="15"/>
        <v>1405</v>
      </c>
      <c r="O198" s="628">
        <f t="shared" si="15"/>
        <v>1432.2727272727273</v>
      </c>
      <c r="P198" s="628">
        <f t="shared" si="15"/>
        <v>0</v>
      </c>
      <c r="Q198" s="628">
        <f t="shared" si="15"/>
        <v>0</v>
      </c>
      <c r="R198" s="628">
        <f t="shared" si="15"/>
        <v>0</v>
      </c>
      <c r="S198" s="628">
        <f t="shared" si="15"/>
        <v>0</v>
      </c>
      <c r="T198" s="628">
        <f t="shared" si="15"/>
        <v>0</v>
      </c>
      <c r="U198" s="628">
        <f t="shared" si="15"/>
        <v>0</v>
      </c>
      <c r="Y198" s="627">
        <v>1425</v>
      </c>
      <c r="Z198" s="628">
        <v>0</v>
      </c>
      <c r="AA198" s="628">
        <v>0</v>
      </c>
      <c r="AB198" s="628">
        <v>0</v>
      </c>
      <c r="AC198" s="628">
        <v>0</v>
      </c>
      <c r="AD198" s="628">
        <v>0</v>
      </c>
      <c r="AE198" s="628">
        <v>0</v>
      </c>
      <c r="AF198" s="628">
        <v>1405</v>
      </c>
      <c r="AG198" s="628">
        <v>1405</v>
      </c>
      <c r="AH198" s="628">
        <v>1432.2727272727273</v>
      </c>
      <c r="AI198" s="628">
        <v>0</v>
      </c>
      <c r="AJ198" s="628">
        <v>0</v>
      </c>
      <c r="AK198" s="628">
        <v>0</v>
      </c>
      <c r="AL198" s="628">
        <v>0</v>
      </c>
      <c r="AM198" s="628">
        <v>0</v>
      </c>
      <c r="AN198" s="628">
        <v>0</v>
      </c>
    </row>
    <row r="199" spans="1:40" x14ac:dyDescent="0.3">
      <c r="A199" s="489" t="s">
        <v>1441</v>
      </c>
      <c r="B199" s="489" t="s">
        <v>1770</v>
      </c>
      <c r="C199" s="489" t="s">
        <v>1893</v>
      </c>
      <c r="D199" s="489" t="s">
        <v>46</v>
      </c>
      <c r="E199" s="619">
        <v>14</v>
      </c>
      <c r="F199" s="627">
        <f t="shared" si="16"/>
        <v>1374.2142857142858</v>
      </c>
      <c r="G199" s="628">
        <f t="shared" si="15"/>
        <v>1367</v>
      </c>
      <c r="H199" s="628">
        <f t="shared" si="15"/>
        <v>1367</v>
      </c>
      <c r="I199" s="628">
        <f t="shared" si="15"/>
        <v>1367</v>
      </c>
      <c r="J199" s="628">
        <f t="shared" si="15"/>
        <v>1367</v>
      </c>
      <c r="K199" s="628">
        <f t="shared" si="15"/>
        <v>1367</v>
      </c>
      <c r="L199" s="628">
        <f t="shared" si="15"/>
        <v>1367</v>
      </c>
      <c r="M199" s="628">
        <f t="shared" si="15"/>
        <v>1367</v>
      </c>
      <c r="N199" s="628">
        <f t="shared" si="15"/>
        <v>1367</v>
      </c>
      <c r="O199" s="628">
        <f t="shared" si="15"/>
        <v>1371</v>
      </c>
      <c r="P199" s="628">
        <f t="shared" si="15"/>
        <v>1383</v>
      </c>
      <c r="Q199" s="628">
        <f t="shared" si="15"/>
        <v>1383</v>
      </c>
      <c r="R199" s="628">
        <f t="shared" si="15"/>
        <v>1383</v>
      </c>
      <c r="S199" s="628">
        <f t="shared" si="15"/>
        <v>1383</v>
      </c>
      <c r="T199" s="628">
        <f t="shared" si="15"/>
        <v>1369</v>
      </c>
      <c r="U199" s="628">
        <f t="shared" si="15"/>
        <v>1371</v>
      </c>
      <c r="Y199" s="627">
        <v>1374.2142857142858</v>
      </c>
      <c r="Z199" s="628">
        <v>0</v>
      </c>
      <c r="AA199" s="628">
        <v>0</v>
      </c>
      <c r="AB199" s="628">
        <v>0</v>
      </c>
      <c r="AC199" s="628">
        <v>0</v>
      </c>
      <c r="AD199" s="628">
        <v>0</v>
      </c>
      <c r="AE199" s="628">
        <v>0</v>
      </c>
      <c r="AF199" s="628">
        <v>0</v>
      </c>
      <c r="AG199" s="628">
        <v>1367</v>
      </c>
      <c r="AH199" s="628">
        <v>1371</v>
      </c>
      <c r="AI199" s="628">
        <v>0</v>
      </c>
      <c r="AJ199" s="628">
        <v>0</v>
      </c>
      <c r="AK199" s="628">
        <v>0</v>
      </c>
      <c r="AL199" s="628">
        <v>1383</v>
      </c>
      <c r="AM199" s="628">
        <v>1369</v>
      </c>
      <c r="AN199" s="628">
        <v>1371</v>
      </c>
    </row>
    <row r="200" spans="1:40" x14ac:dyDescent="0.3">
      <c r="A200" s="489" t="s">
        <v>1677</v>
      </c>
      <c r="B200" s="489" t="s">
        <v>1771</v>
      </c>
      <c r="C200" s="489" t="s">
        <v>1894</v>
      </c>
      <c r="D200" s="489" t="s">
        <v>46</v>
      </c>
      <c r="E200" s="619">
        <v>14</v>
      </c>
      <c r="F200" s="627">
        <f t="shared" si="16"/>
        <v>1686.0714285714287</v>
      </c>
      <c r="G200" s="628">
        <f t="shared" si="15"/>
        <v>1725</v>
      </c>
      <c r="H200" s="628">
        <f t="shared" si="15"/>
        <v>1725</v>
      </c>
      <c r="I200" s="628">
        <f t="shared" si="15"/>
        <v>1685</v>
      </c>
      <c r="J200" s="628">
        <f t="shared" si="15"/>
        <v>1685</v>
      </c>
      <c r="K200" s="628">
        <f t="shared" si="15"/>
        <v>1679</v>
      </c>
      <c r="L200" s="628">
        <f t="shared" si="15"/>
        <v>1679</v>
      </c>
      <c r="M200" s="628">
        <f t="shared" si="15"/>
        <v>1679</v>
      </c>
      <c r="N200" s="628">
        <f t="shared" si="15"/>
        <v>1615</v>
      </c>
      <c r="O200" s="628">
        <f t="shared" si="15"/>
        <v>1672.5</v>
      </c>
      <c r="P200" s="628">
        <f t="shared" si="15"/>
        <v>1672.5</v>
      </c>
      <c r="Q200" s="628">
        <f t="shared" si="15"/>
        <v>1915</v>
      </c>
      <c r="R200" s="628">
        <f t="shared" si="15"/>
        <v>1695</v>
      </c>
      <c r="S200" s="628">
        <f t="shared" si="15"/>
        <v>1695</v>
      </c>
      <c r="T200" s="628">
        <f t="shared" si="15"/>
        <v>1695</v>
      </c>
      <c r="U200" s="628">
        <f t="shared" si="15"/>
        <v>1695</v>
      </c>
      <c r="Y200" s="627">
        <v>1686.0714285714287</v>
      </c>
      <c r="Z200" s="628">
        <v>0</v>
      </c>
      <c r="AA200" s="628">
        <v>1725</v>
      </c>
      <c r="AB200" s="628">
        <v>0</v>
      </c>
      <c r="AC200" s="628">
        <v>1685</v>
      </c>
      <c r="AD200" s="628">
        <v>0</v>
      </c>
      <c r="AE200" s="628">
        <v>0</v>
      </c>
      <c r="AF200" s="628">
        <v>1679</v>
      </c>
      <c r="AG200" s="628">
        <v>1615</v>
      </c>
      <c r="AH200" s="628">
        <v>0</v>
      </c>
      <c r="AI200" s="628">
        <v>1672.5</v>
      </c>
      <c r="AJ200" s="628">
        <v>1915</v>
      </c>
      <c r="AK200" s="628">
        <v>0</v>
      </c>
      <c r="AL200" s="628">
        <v>0</v>
      </c>
      <c r="AM200" s="628">
        <v>0</v>
      </c>
      <c r="AN200" s="628">
        <v>1695</v>
      </c>
    </row>
    <row r="201" spans="1:40" x14ac:dyDescent="0.3">
      <c r="A201" s="489" t="s">
        <v>1414</v>
      </c>
      <c r="B201" s="489" t="s">
        <v>1772</v>
      </c>
      <c r="C201" s="489" t="s">
        <v>1895</v>
      </c>
      <c r="D201" s="489" t="s">
        <v>46</v>
      </c>
      <c r="E201" s="619">
        <v>14</v>
      </c>
      <c r="F201" s="627">
        <f t="shared" si="16"/>
        <v>1729.2857142857142</v>
      </c>
      <c r="G201" s="628">
        <f t="shared" si="15"/>
        <v>1741.6666666666667</v>
      </c>
      <c r="H201" s="628">
        <f t="shared" si="15"/>
        <v>1765</v>
      </c>
      <c r="I201" s="628">
        <f t="shared" si="15"/>
        <v>1775</v>
      </c>
      <c r="J201" s="628">
        <f t="shared" si="15"/>
        <v>1707.5</v>
      </c>
      <c r="K201" s="628">
        <f t="shared" si="15"/>
        <v>1690</v>
      </c>
      <c r="L201" s="628">
        <f t="shared" si="15"/>
        <v>1690</v>
      </c>
      <c r="M201" s="628">
        <f t="shared" si="15"/>
        <v>1740</v>
      </c>
      <c r="N201" s="628">
        <f t="shared" si="15"/>
        <v>0</v>
      </c>
      <c r="O201" s="628">
        <f t="shared" si="15"/>
        <v>0</v>
      </c>
      <c r="P201" s="628">
        <f t="shared" si="15"/>
        <v>0</v>
      </c>
      <c r="Q201" s="628">
        <f t="shared" si="15"/>
        <v>0</v>
      </c>
      <c r="R201" s="628">
        <f t="shared" si="15"/>
        <v>0</v>
      </c>
      <c r="S201" s="628">
        <f t="shared" si="15"/>
        <v>0</v>
      </c>
      <c r="T201" s="628">
        <f t="shared" si="15"/>
        <v>0</v>
      </c>
      <c r="U201" s="628">
        <f t="shared" si="15"/>
        <v>0</v>
      </c>
      <c r="Y201" s="627">
        <v>1729.2857142857142</v>
      </c>
      <c r="Z201" s="628">
        <v>1741.6666666666667</v>
      </c>
      <c r="AA201" s="628">
        <v>1765</v>
      </c>
      <c r="AB201" s="628">
        <v>1775</v>
      </c>
      <c r="AC201" s="628">
        <v>1707.5</v>
      </c>
      <c r="AD201" s="628">
        <v>0</v>
      </c>
      <c r="AE201" s="628">
        <v>1690</v>
      </c>
      <c r="AF201" s="628">
        <v>1740</v>
      </c>
      <c r="AG201" s="628">
        <v>0</v>
      </c>
      <c r="AH201" s="628">
        <v>0</v>
      </c>
      <c r="AI201" s="628">
        <v>0</v>
      </c>
      <c r="AJ201" s="628">
        <v>0</v>
      </c>
      <c r="AK201" s="628">
        <v>0</v>
      </c>
      <c r="AL201" s="628">
        <v>0</v>
      </c>
      <c r="AM201" s="628">
        <v>0</v>
      </c>
      <c r="AN201" s="628">
        <v>0</v>
      </c>
    </row>
    <row r="202" spans="1:40" x14ac:dyDescent="0.3">
      <c r="A202" s="489" t="s">
        <v>1426</v>
      </c>
      <c r="B202" s="489" t="s">
        <v>1773</v>
      </c>
      <c r="C202" s="489" t="s">
        <v>1708</v>
      </c>
      <c r="D202" s="489" t="s">
        <v>1939</v>
      </c>
      <c r="E202" s="619">
        <v>14</v>
      </c>
      <c r="F202" s="627">
        <f t="shared" si="16"/>
        <v>1833.5714285714287</v>
      </c>
      <c r="G202" s="628">
        <f t="shared" si="15"/>
        <v>1945</v>
      </c>
      <c r="H202" s="628">
        <f t="shared" si="15"/>
        <v>1945</v>
      </c>
      <c r="I202" s="628">
        <f t="shared" si="15"/>
        <v>1825</v>
      </c>
      <c r="J202" s="628">
        <f t="shared" si="15"/>
        <v>1825</v>
      </c>
      <c r="K202" s="628">
        <f t="shared" si="15"/>
        <v>1825</v>
      </c>
      <c r="L202" s="628">
        <f t="shared" si="15"/>
        <v>0</v>
      </c>
      <c r="M202" s="628">
        <f t="shared" si="15"/>
        <v>0</v>
      </c>
      <c r="N202" s="628">
        <f t="shared" si="15"/>
        <v>0</v>
      </c>
      <c r="O202" s="628">
        <f t="shared" si="15"/>
        <v>0</v>
      </c>
      <c r="P202" s="628">
        <f t="shared" si="15"/>
        <v>0</v>
      </c>
      <c r="Q202" s="628">
        <f t="shared" si="15"/>
        <v>0</v>
      </c>
      <c r="R202" s="628">
        <f t="shared" si="15"/>
        <v>0</v>
      </c>
      <c r="S202" s="628">
        <f t="shared" si="15"/>
        <v>0</v>
      </c>
      <c r="T202" s="628">
        <f t="shared" si="15"/>
        <v>0</v>
      </c>
      <c r="U202" s="628">
        <f t="shared" si="15"/>
        <v>0</v>
      </c>
      <c r="Y202" s="627">
        <v>1833.5714285714287</v>
      </c>
      <c r="Z202" s="628">
        <v>0</v>
      </c>
      <c r="AA202" s="628">
        <v>1945</v>
      </c>
      <c r="AB202" s="628">
        <v>0</v>
      </c>
      <c r="AC202" s="628">
        <v>0</v>
      </c>
      <c r="AD202" s="628">
        <v>1825</v>
      </c>
      <c r="AE202" s="628">
        <v>0</v>
      </c>
      <c r="AF202" s="628">
        <v>0</v>
      </c>
      <c r="AG202" s="628">
        <v>0</v>
      </c>
      <c r="AH202" s="628">
        <v>0</v>
      </c>
      <c r="AI202" s="628">
        <v>0</v>
      </c>
      <c r="AJ202" s="628">
        <v>0</v>
      </c>
      <c r="AK202" s="628">
        <v>0</v>
      </c>
      <c r="AL202" s="628">
        <v>0</v>
      </c>
      <c r="AM202" s="628">
        <v>0</v>
      </c>
      <c r="AN202" s="628">
        <v>0</v>
      </c>
    </row>
    <row r="203" spans="1:40" x14ac:dyDescent="0.3">
      <c r="A203" s="489" t="s">
        <v>1677</v>
      </c>
      <c r="B203" s="489" t="s">
        <v>1774</v>
      </c>
      <c r="C203" s="489" t="s">
        <v>1896</v>
      </c>
      <c r="D203" s="489" t="s">
        <v>141</v>
      </c>
      <c r="E203" s="619">
        <v>14</v>
      </c>
      <c r="F203" s="627">
        <f t="shared" si="16"/>
        <v>2615</v>
      </c>
      <c r="G203" s="628">
        <f t="shared" si="15"/>
        <v>2615</v>
      </c>
      <c r="H203" s="628">
        <f t="shared" si="15"/>
        <v>2615</v>
      </c>
      <c r="I203" s="628">
        <f t="shared" si="15"/>
        <v>2615</v>
      </c>
      <c r="J203" s="628">
        <f t="shared" si="15"/>
        <v>0</v>
      </c>
      <c r="K203" s="628">
        <f t="shared" si="15"/>
        <v>0</v>
      </c>
      <c r="L203" s="628">
        <f t="shared" si="15"/>
        <v>0</v>
      </c>
      <c r="M203" s="628">
        <f t="shared" si="15"/>
        <v>0</v>
      </c>
      <c r="N203" s="628">
        <f t="shared" si="15"/>
        <v>0</v>
      </c>
      <c r="O203" s="628">
        <f t="shared" si="15"/>
        <v>0</v>
      </c>
      <c r="P203" s="628">
        <f t="shared" si="15"/>
        <v>0</v>
      </c>
      <c r="Q203" s="628">
        <f t="shared" si="15"/>
        <v>0</v>
      </c>
      <c r="R203" s="628">
        <f t="shared" si="15"/>
        <v>0</v>
      </c>
      <c r="S203" s="628">
        <f t="shared" si="15"/>
        <v>0</v>
      </c>
      <c r="T203" s="628">
        <f t="shared" si="15"/>
        <v>0</v>
      </c>
      <c r="U203" s="628">
        <f t="shared" si="15"/>
        <v>0</v>
      </c>
      <c r="Y203" s="627">
        <v>2615</v>
      </c>
      <c r="Z203" s="628">
        <v>2615</v>
      </c>
      <c r="AA203" s="628">
        <v>2615</v>
      </c>
      <c r="AB203" s="628">
        <v>2615</v>
      </c>
      <c r="AC203" s="628">
        <v>0</v>
      </c>
      <c r="AD203" s="628">
        <v>0</v>
      </c>
      <c r="AE203" s="628">
        <v>0</v>
      </c>
      <c r="AF203" s="628">
        <v>0</v>
      </c>
      <c r="AG203" s="628">
        <v>0</v>
      </c>
      <c r="AH203" s="628">
        <v>0</v>
      </c>
      <c r="AI203" s="628">
        <v>0</v>
      </c>
      <c r="AJ203" s="628">
        <v>0</v>
      </c>
      <c r="AK203" s="628">
        <v>0</v>
      </c>
      <c r="AL203" s="628">
        <v>0</v>
      </c>
      <c r="AM203" s="628">
        <v>0</v>
      </c>
      <c r="AN203" s="628">
        <v>0</v>
      </c>
    </row>
    <row r="204" spans="1:40" x14ac:dyDescent="0.3">
      <c r="A204" s="489" t="s">
        <v>1572</v>
      </c>
      <c r="B204" s="489" t="s">
        <v>1775</v>
      </c>
      <c r="C204" s="489" t="s">
        <v>1897</v>
      </c>
      <c r="D204" s="489" t="s">
        <v>46</v>
      </c>
      <c r="E204" s="619">
        <v>14</v>
      </c>
      <c r="F204" s="627">
        <f t="shared" si="16"/>
        <v>1917.2142857142858</v>
      </c>
      <c r="G204" s="628">
        <f t="shared" si="15"/>
        <v>1960</v>
      </c>
      <c r="H204" s="628">
        <f t="shared" si="15"/>
        <v>1960</v>
      </c>
      <c r="I204" s="628">
        <f t="shared" si="15"/>
        <v>1960</v>
      </c>
      <c r="J204" s="628">
        <f t="shared" si="15"/>
        <v>1960</v>
      </c>
      <c r="K204" s="628">
        <f t="shared" si="15"/>
        <v>1960</v>
      </c>
      <c r="L204" s="628">
        <f t="shared" si="15"/>
        <v>1962</v>
      </c>
      <c r="M204" s="628">
        <f t="shared" si="15"/>
        <v>1915.6666666666667</v>
      </c>
      <c r="N204" s="628">
        <f t="shared" si="15"/>
        <v>1901.25</v>
      </c>
      <c r="O204" s="628">
        <f t="shared" si="15"/>
        <v>0</v>
      </c>
      <c r="P204" s="628">
        <f t="shared" si="15"/>
        <v>0</v>
      </c>
      <c r="Q204" s="628">
        <f t="shared" si="15"/>
        <v>0</v>
      </c>
      <c r="R204" s="628">
        <f t="shared" si="15"/>
        <v>0</v>
      </c>
      <c r="S204" s="628">
        <f t="shared" si="15"/>
        <v>0</v>
      </c>
      <c r="T204" s="628">
        <f t="shared" si="15"/>
        <v>0</v>
      </c>
      <c r="U204" s="628">
        <f t="shared" si="15"/>
        <v>0</v>
      </c>
      <c r="Y204" s="627">
        <v>1917.2142857142858</v>
      </c>
      <c r="Z204" s="628">
        <v>0</v>
      </c>
      <c r="AA204" s="628">
        <v>0</v>
      </c>
      <c r="AB204" s="628">
        <v>0</v>
      </c>
      <c r="AC204" s="628">
        <v>0</v>
      </c>
      <c r="AD204" s="628">
        <v>1960</v>
      </c>
      <c r="AE204" s="628">
        <v>1962</v>
      </c>
      <c r="AF204" s="628">
        <v>1915.6666666666667</v>
      </c>
      <c r="AG204" s="628">
        <v>1901.25</v>
      </c>
      <c r="AH204" s="628">
        <v>0</v>
      </c>
      <c r="AI204" s="628">
        <v>0</v>
      </c>
      <c r="AJ204" s="628">
        <v>0</v>
      </c>
      <c r="AK204" s="628">
        <v>0</v>
      </c>
      <c r="AL204" s="628">
        <v>0</v>
      </c>
      <c r="AM204" s="628">
        <v>0</v>
      </c>
      <c r="AN204" s="628">
        <v>0</v>
      </c>
    </row>
    <row r="205" spans="1:40" x14ac:dyDescent="0.3">
      <c r="A205" s="489" t="s">
        <v>1567</v>
      </c>
      <c r="B205" s="489" t="s">
        <v>1776</v>
      </c>
      <c r="C205" s="489" t="s">
        <v>1898</v>
      </c>
      <c r="D205" s="489" t="s">
        <v>141</v>
      </c>
      <c r="E205" s="619">
        <v>14</v>
      </c>
      <c r="F205" s="627">
        <f t="shared" si="16"/>
        <v>2054.7857142857142</v>
      </c>
      <c r="G205" s="628">
        <f t="shared" si="15"/>
        <v>2200</v>
      </c>
      <c r="H205" s="628">
        <f t="shared" si="15"/>
        <v>2200</v>
      </c>
      <c r="I205" s="628">
        <f t="shared" si="15"/>
        <v>2200</v>
      </c>
      <c r="J205" s="628">
        <f t="shared" si="15"/>
        <v>2043.6153846153845</v>
      </c>
      <c r="K205" s="628">
        <f t="shared" si="15"/>
        <v>0</v>
      </c>
      <c r="L205" s="628">
        <f t="shared" si="15"/>
        <v>0</v>
      </c>
      <c r="M205" s="628">
        <f t="shared" si="15"/>
        <v>0</v>
      </c>
      <c r="N205" s="628">
        <f t="shared" si="15"/>
        <v>0</v>
      </c>
      <c r="O205" s="628">
        <f t="shared" si="15"/>
        <v>0</v>
      </c>
      <c r="P205" s="628">
        <f t="shared" si="15"/>
        <v>0</v>
      </c>
      <c r="Q205" s="628">
        <f t="shared" si="15"/>
        <v>0</v>
      </c>
      <c r="R205" s="628">
        <f t="shared" si="15"/>
        <v>0</v>
      </c>
      <c r="S205" s="628">
        <f t="shared" si="15"/>
        <v>0</v>
      </c>
      <c r="T205" s="628">
        <f t="shared" si="15"/>
        <v>0</v>
      </c>
      <c r="U205" s="628">
        <f t="shared" si="15"/>
        <v>0</v>
      </c>
      <c r="Y205" s="627">
        <v>2054.7857142857142</v>
      </c>
      <c r="Z205" s="628">
        <v>0</v>
      </c>
      <c r="AA205" s="628">
        <v>0</v>
      </c>
      <c r="AB205" s="628">
        <v>2200</v>
      </c>
      <c r="AC205" s="628">
        <v>2043.6153846153845</v>
      </c>
      <c r="AD205" s="628">
        <v>0</v>
      </c>
      <c r="AE205" s="628">
        <v>0</v>
      </c>
      <c r="AF205" s="628">
        <v>0</v>
      </c>
      <c r="AG205" s="628">
        <v>0</v>
      </c>
      <c r="AH205" s="628">
        <v>0</v>
      </c>
      <c r="AI205" s="628">
        <v>0</v>
      </c>
      <c r="AJ205" s="628">
        <v>0</v>
      </c>
      <c r="AK205" s="628">
        <v>0</v>
      </c>
      <c r="AL205" s="628">
        <v>0</v>
      </c>
      <c r="AM205" s="628">
        <v>0</v>
      </c>
      <c r="AN205" s="628">
        <v>0</v>
      </c>
    </row>
    <row r="206" spans="1:40" x14ac:dyDescent="0.3">
      <c r="A206" s="489" t="s">
        <v>1777</v>
      </c>
      <c r="B206" s="489" t="s">
        <v>1778</v>
      </c>
      <c r="C206" s="489" t="s">
        <v>1899</v>
      </c>
      <c r="D206" s="489" t="s">
        <v>46</v>
      </c>
      <c r="E206" s="619">
        <v>13</v>
      </c>
      <c r="F206" s="627">
        <f t="shared" si="16"/>
        <v>2148.7692307692309</v>
      </c>
      <c r="G206" s="628">
        <f t="shared" si="15"/>
        <v>2142</v>
      </c>
      <c r="H206" s="628">
        <f t="shared" si="15"/>
        <v>2142</v>
      </c>
      <c r="I206" s="628">
        <f t="shared" si="15"/>
        <v>2142</v>
      </c>
      <c r="J206" s="628">
        <f t="shared" si="15"/>
        <v>2142</v>
      </c>
      <c r="K206" s="628">
        <f t="shared" si="15"/>
        <v>2142</v>
      </c>
      <c r="L206" s="628">
        <f t="shared" si="15"/>
        <v>2142</v>
      </c>
      <c r="M206" s="628">
        <f t="shared" si="15"/>
        <v>2142</v>
      </c>
      <c r="N206" s="628">
        <f t="shared" si="15"/>
        <v>2142</v>
      </c>
      <c r="O206" s="628">
        <f t="shared" si="15"/>
        <v>2142</v>
      </c>
      <c r="P206" s="628">
        <f t="shared" si="15"/>
        <v>2142</v>
      </c>
      <c r="Q206" s="628">
        <f t="shared" si="15"/>
        <v>2142</v>
      </c>
      <c r="R206" s="628">
        <f t="shared" si="15"/>
        <v>2230</v>
      </c>
      <c r="S206" s="628">
        <f t="shared" si="15"/>
        <v>2142</v>
      </c>
      <c r="T206" s="628">
        <f t="shared" si="15"/>
        <v>0</v>
      </c>
      <c r="U206" s="628">
        <f t="shared" si="15"/>
        <v>0</v>
      </c>
      <c r="Y206" s="627">
        <v>2148.7692307692309</v>
      </c>
      <c r="Z206" s="628">
        <v>2142</v>
      </c>
      <c r="AA206" s="628">
        <v>0</v>
      </c>
      <c r="AB206" s="628">
        <v>2142</v>
      </c>
      <c r="AC206" s="628">
        <v>0</v>
      </c>
      <c r="AD206" s="628">
        <v>0</v>
      </c>
      <c r="AE206" s="628">
        <v>2142</v>
      </c>
      <c r="AF206" s="628">
        <v>2142</v>
      </c>
      <c r="AG206" s="628">
        <v>0</v>
      </c>
      <c r="AH206" s="628">
        <v>0</v>
      </c>
      <c r="AI206" s="628">
        <v>0</v>
      </c>
      <c r="AJ206" s="628">
        <v>2142</v>
      </c>
      <c r="AK206" s="628">
        <v>2230</v>
      </c>
      <c r="AL206" s="628">
        <v>2142</v>
      </c>
      <c r="AM206" s="628">
        <v>0</v>
      </c>
      <c r="AN206" s="628">
        <v>0</v>
      </c>
    </row>
    <row r="207" spans="1:40" x14ac:dyDescent="0.3">
      <c r="A207" s="489" t="s">
        <v>1677</v>
      </c>
      <c r="B207" s="489" t="s">
        <v>1779</v>
      </c>
      <c r="C207" s="489" t="s">
        <v>1900</v>
      </c>
      <c r="D207" s="489" t="s">
        <v>46</v>
      </c>
      <c r="E207" s="619">
        <v>13</v>
      </c>
      <c r="F207" s="627">
        <f t="shared" si="16"/>
        <v>1621.9230769230769</v>
      </c>
      <c r="G207" s="628">
        <f t="shared" si="15"/>
        <v>1600</v>
      </c>
      <c r="H207" s="628">
        <f t="shared" si="15"/>
        <v>1600</v>
      </c>
      <c r="I207" s="628">
        <f t="shared" si="15"/>
        <v>1600</v>
      </c>
      <c r="J207" s="628">
        <f t="shared" si="15"/>
        <v>1600</v>
      </c>
      <c r="K207" s="628">
        <f t="shared" si="15"/>
        <v>1600</v>
      </c>
      <c r="L207" s="628">
        <f t="shared" si="15"/>
        <v>1640</v>
      </c>
      <c r="M207" s="628">
        <f t="shared" si="15"/>
        <v>1555</v>
      </c>
      <c r="N207" s="628">
        <f t="shared" si="15"/>
        <v>1600</v>
      </c>
      <c r="O207" s="628">
        <f t="shared" si="15"/>
        <v>1600</v>
      </c>
      <c r="P207" s="628">
        <f t="shared" si="15"/>
        <v>1600</v>
      </c>
      <c r="Q207" s="628">
        <f t="shared" si="15"/>
        <v>1670</v>
      </c>
      <c r="R207" s="628">
        <f t="shared" si="15"/>
        <v>0</v>
      </c>
      <c r="S207" s="628">
        <f t="shared" si="15"/>
        <v>0</v>
      </c>
      <c r="T207" s="628">
        <f t="shared" si="15"/>
        <v>0</v>
      </c>
      <c r="U207" s="628">
        <f t="shared" si="15"/>
        <v>0</v>
      </c>
      <c r="Y207" s="627">
        <v>1621.9230769230769</v>
      </c>
      <c r="Z207" s="628">
        <v>0</v>
      </c>
      <c r="AA207" s="628">
        <v>0</v>
      </c>
      <c r="AB207" s="628">
        <v>0</v>
      </c>
      <c r="AC207" s="628">
        <v>0</v>
      </c>
      <c r="AD207" s="628">
        <v>1600</v>
      </c>
      <c r="AE207" s="628">
        <v>1640</v>
      </c>
      <c r="AF207" s="628">
        <v>1555</v>
      </c>
      <c r="AG207" s="628">
        <v>1600</v>
      </c>
      <c r="AH207" s="628">
        <v>1600</v>
      </c>
      <c r="AI207" s="628">
        <v>1600</v>
      </c>
      <c r="AJ207" s="628">
        <v>1670</v>
      </c>
      <c r="AK207" s="628">
        <v>0</v>
      </c>
      <c r="AL207" s="628">
        <v>0</v>
      </c>
      <c r="AM207" s="628">
        <v>0</v>
      </c>
      <c r="AN207" s="628">
        <v>0</v>
      </c>
    </row>
    <row r="208" spans="1:40" x14ac:dyDescent="0.3">
      <c r="A208" s="489" t="s">
        <v>1414</v>
      </c>
      <c r="B208" s="489" t="s">
        <v>1671</v>
      </c>
      <c r="C208" s="489" t="s">
        <v>1901</v>
      </c>
      <c r="D208" s="489" t="s">
        <v>45</v>
      </c>
      <c r="E208" s="619">
        <v>13</v>
      </c>
      <c r="F208" s="627">
        <f t="shared" si="16"/>
        <v>1369.2307692307693</v>
      </c>
      <c r="G208" s="628">
        <f t="shared" si="15"/>
        <v>1325</v>
      </c>
      <c r="H208" s="628">
        <f t="shared" si="15"/>
        <v>1325</v>
      </c>
      <c r="I208" s="628">
        <f t="shared" si="15"/>
        <v>1325</v>
      </c>
      <c r="J208" s="628">
        <f t="shared" si="15"/>
        <v>1395</v>
      </c>
      <c r="K208" s="628">
        <f t="shared" si="15"/>
        <v>1395</v>
      </c>
      <c r="L208" s="628">
        <f t="shared" si="15"/>
        <v>1366.25</v>
      </c>
      <c r="M208" s="628">
        <f t="shared" si="15"/>
        <v>1362.5</v>
      </c>
      <c r="N208" s="628">
        <f t="shared" si="15"/>
        <v>1325</v>
      </c>
      <c r="O208" s="628">
        <f t="shared" si="15"/>
        <v>1325</v>
      </c>
      <c r="P208" s="628">
        <f t="shared" si="15"/>
        <v>1325</v>
      </c>
      <c r="Q208" s="628">
        <f t="shared" si="15"/>
        <v>1387.5</v>
      </c>
      <c r="R208" s="628">
        <f t="shared" si="15"/>
        <v>1387.5</v>
      </c>
      <c r="S208" s="628">
        <f t="shared" si="15"/>
        <v>1387.5</v>
      </c>
      <c r="T208" s="628">
        <f t="shared" si="15"/>
        <v>0</v>
      </c>
      <c r="U208" s="628">
        <f t="shared" si="15"/>
        <v>0</v>
      </c>
      <c r="Y208" s="627">
        <v>1369.2307692307693</v>
      </c>
      <c r="Z208" s="628">
        <v>0</v>
      </c>
      <c r="AA208" s="628">
        <v>0</v>
      </c>
      <c r="AB208" s="628">
        <v>1325</v>
      </c>
      <c r="AC208" s="628">
        <v>0</v>
      </c>
      <c r="AD208" s="628">
        <v>1395</v>
      </c>
      <c r="AE208" s="628">
        <v>1366.25</v>
      </c>
      <c r="AF208" s="628">
        <v>1362.5</v>
      </c>
      <c r="AG208" s="628">
        <v>0</v>
      </c>
      <c r="AH208" s="628">
        <v>0</v>
      </c>
      <c r="AI208" s="628">
        <v>1325</v>
      </c>
      <c r="AJ208" s="628">
        <v>0</v>
      </c>
      <c r="AK208" s="628">
        <v>0</v>
      </c>
      <c r="AL208" s="628">
        <v>1387.5</v>
      </c>
      <c r="AM208" s="628">
        <v>0</v>
      </c>
      <c r="AN208" s="628">
        <v>0</v>
      </c>
    </row>
    <row r="209" spans="1:40" x14ac:dyDescent="0.3">
      <c r="A209" s="489" t="s">
        <v>1414</v>
      </c>
      <c r="B209" s="489" t="s">
        <v>1780</v>
      </c>
      <c r="C209" s="489" t="s">
        <v>1902</v>
      </c>
      <c r="D209" s="489" t="s">
        <v>46</v>
      </c>
      <c r="E209" s="619">
        <v>13</v>
      </c>
      <c r="F209" s="627">
        <f t="shared" si="16"/>
        <v>1748.0769230769231</v>
      </c>
      <c r="G209" s="628">
        <f t="shared" si="15"/>
        <v>1745</v>
      </c>
      <c r="H209" s="628">
        <f t="shared" si="15"/>
        <v>1745</v>
      </c>
      <c r="I209" s="628">
        <f t="shared" si="15"/>
        <v>1745</v>
      </c>
      <c r="J209" s="628">
        <f t="shared" si="15"/>
        <v>1752.5</v>
      </c>
      <c r="K209" s="628">
        <f t="shared" si="15"/>
        <v>1752.5</v>
      </c>
      <c r="L209" s="628">
        <f t="shared" si="15"/>
        <v>1752.5</v>
      </c>
      <c r="M209" s="628">
        <f t="shared" si="15"/>
        <v>1747</v>
      </c>
      <c r="N209" s="628">
        <f t="shared" si="15"/>
        <v>1745</v>
      </c>
      <c r="O209" s="628">
        <f t="shared" si="15"/>
        <v>1745</v>
      </c>
      <c r="P209" s="628">
        <f t="shared" si="15"/>
        <v>0</v>
      </c>
      <c r="Q209" s="628">
        <f t="shared" si="15"/>
        <v>0</v>
      </c>
      <c r="R209" s="628">
        <f t="shared" si="15"/>
        <v>0</v>
      </c>
      <c r="S209" s="628">
        <f t="shared" si="15"/>
        <v>0</v>
      </c>
      <c r="T209" s="628">
        <f t="shared" si="15"/>
        <v>0</v>
      </c>
      <c r="U209" s="628">
        <f t="shared" si="15"/>
        <v>0</v>
      </c>
      <c r="Y209" s="627">
        <v>1748.0769230769231</v>
      </c>
      <c r="Z209" s="628">
        <v>0</v>
      </c>
      <c r="AA209" s="628">
        <v>0</v>
      </c>
      <c r="AB209" s="628">
        <v>1745</v>
      </c>
      <c r="AC209" s="628">
        <v>0</v>
      </c>
      <c r="AD209" s="628">
        <v>0</v>
      </c>
      <c r="AE209" s="628">
        <v>1752.5</v>
      </c>
      <c r="AF209" s="628">
        <v>1747</v>
      </c>
      <c r="AG209" s="628">
        <v>1745</v>
      </c>
      <c r="AH209" s="628">
        <v>1745</v>
      </c>
      <c r="AI209" s="628">
        <v>0</v>
      </c>
      <c r="AJ209" s="628">
        <v>0</v>
      </c>
      <c r="AK209" s="628">
        <v>0</v>
      </c>
      <c r="AL209" s="628">
        <v>0</v>
      </c>
      <c r="AM209" s="628">
        <v>0</v>
      </c>
      <c r="AN209" s="628">
        <v>0</v>
      </c>
    </row>
    <row r="210" spans="1:40" x14ac:dyDescent="0.3">
      <c r="A210" s="489" t="s">
        <v>1672</v>
      </c>
      <c r="B210" s="489" t="s">
        <v>1781</v>
      </c>
      <c r="C210" s="489" t="s">
        <v>1903</v>
      </c>
      <c r="D210" s="489" t="s">
        <v>46</v>
      </c>
      <c r="E210" s="619">
        <v>13</v>
      </c>
      <c r="F210" s="627">
        <f t="shared" si="16"/>
        <v>2580.6923076923076</v>
      </c>
      <c r="G210" s="628">
        <f t="shared" ref="G210:U225" si="17">IF(Z210&gt;0,Z210,IF(H210&gt;0,H210,0))</f>
        <v>2566</v>
      </c>
      <c r="H210" s="628">
        <f t="shared" si="17"/>
        <v>2566</v>
      </c>
      <c r="I210" s="628">
        <f t="shared" si="17"/>
        <v>2566</v>
      </c>
      <c r="J210" s="628">
        <f t="shared" si="17"/>
        <v>2561</v>
      </c>
      <c r="K210" s="628">
        <f t="shared" si="17"/>
        <v>2561</v>
      </c>
      <c r="L210" s="628">
        <f t="shared" si="17"/>
        <v>2602</v>
      </c>
      <c r="M210" s="628">
        <f t="shared" si="17"/>
        <v>2602</v>
      </c>
      <c r="N210" s="628">
        <f t="shared" si="17"/>
        <v>0</v>
      </c>
      <c r="O210" s="628">
        <f t="shared" si="17"/>
        <v>0</v>
      </c>
      <c r="P210" s="628">
        <f t="shared" si="17"/>
        <v>0</v>
      </c>
      <c r="Q210" s="628">
        <f t="shared" si="17"/>
        <v>0</v>
      </c>
      <c r="R210" s="628">
        <f t="shared" si="17"/>
        <v>0</v>
      </c>
      <c r="S210" s="628">
        <f t="shared" si="17"/>
        <v>0</v>
      </c>
      <c r="T210" s="628">
        <f t="shared" si="17"/>
        <v>0</v>
      </c>
      <c r="U210" s="628">
        <f t="shared" si="17"/>
        <v>0</v>
      </c>
      <c r="Y210" s="627">
        <v>2580.6923076923076</v>
      </c>
      <c r="Z210" s="628">
        <v>0</v>
      </c>
      <c r="AA210" s="628">
        <v>0</v>
      </c>
      <c r="AB210" s="628">
        <v>2566</v>
      </c>
      <c r="AC210" s="628">
        <v>0</v>
      </c>
      <c r="AD210" s="628">
        <v>2561</v>
      </c>
      <c r="AE210" s="628">
        <v>0</v>
      </c>
      <c r="AF210" s="628">
        <v>2602</v>
      </c>
      <c r="AG210" s="628">
        <v>0</v>
      </c>
      <c r="AH210" s="628">
        <v>0</v>
      </c>
      <c r="AI210" s="628">
        <v>0</v>
      </c>
      <c r="AJ210" s="628">
        <v>0</v>
      </c>
      <c r="AK210" s="628">
        <v>0</v>
      </c>
      <c r="AL210" s="628">
        <v>0</v>
      </c>
      <c r="AM210" s="628">
        <v>0</v>
      </c>
      <c r="AN210" s="628">
        <v>0</v>
      </c>
    </row>
    <row r="211" spans="1:40" x14ac:dyDescent="0.3">
      <c r="A211" s="489" t="s">
        <v>1931</v>
      </c>
      <c r="B211" s="489" t="s">
        <v>1682</v>
      </c>
      <c r="C211" s="489" t="s">
        <v>1933</v>
      </c>
      <c r="D211" s="489" t="s">
        <v>141</v>
      </c>
      <c r="E211" s="619">
        <v>13</v>
      </c>
      <c r="F211" s="627">
        <f t="shared" si="16"/>
        <v>2421.5393258426966</v>
      </c>
      <c r="G211" s="628">
        <f t="shared" si="17"/>
        <v>2439</v>
      </c>
      <c r="H211" s="628">
        <f t="shared" si="17"/>
        <v>2364</v>
      </c>
      <c r="I211" s="628">
        <f t="shared" si="17"/>
        <v>2374</v>
      </c>
      <c r="J211" s="628">
        <f t="shared" si="17"/>
        <v>2380</v>
      </c>
      <c r="K211" s="628">
        <f t="shared" si="17"/>
        <v>2380</v>
      </c>
      <c r="L211" s="628">
        <f t="shared" si="17"/>
        <v>2380</v>
      </c>
      <c r="M211" s="628">
        <f t="shared" si="17"/>
        <v>2422.4</v>
      </c>
      <c r="N211" s="628">
        <f t="shared" si="17"/>
        <v>2427.1884057971015</v>
      </c>
      <c r="O211" s="628">
        <f t="shared" si="17"/>
        <v>2376</v>
      </c>
      <c r="P211" s="628">
        <f t="shared" si="17"/>
        <v>0</v>
      </c>
      <c r="Q211" s="628">
        <f t="shared" si="17"/>
        <v>0</v>
      </c>
      <c r="R211" s="628">
        <f t="shared" si="17"/>
        <v>0</v>
      </c>
      <c r="S211" s="628">
        <f t="shared" si="17"/>
        <v>0</v>
      </c>
      <c r="T211" s="628">
        <f t="shared" si="17"/>
        <v>0</v>
      </c>
      <c r="U211" s="628">
        <f t="shared" si="17"/>
        <v>0</v>
      </c>
      <c r="Y211" s="627">
        <v>2421.5393258426966</v>
      </c>
      <c r="Z211" s="628">
        <v>2439</v>
      </c>
      <c r="AA211" s="628">
        <v>2364</v>
      </c>
      <c r="AB211" s="628">
        <v>2374</v>
      </c>
      <c r="AC211" s="628">
        <v>0</v>
      </c>
      <c r="AD211" s="628">
        <v>0</v>
      </c>
      <c r="AE211" s="628">
        <v>2380</v>
      </c>
      <c r="AF211" s="628">
        <v>2422.4</v>
      </c>
      <c r="AG211" s="628">
        <v>2427.1884057971015</v>
      </c>
      <c r="AH211" s="628">
        <v>2376</v>
      </c>
      <c r="AI211" s="628">
        <v>0</v>
      </c>
      <c r="AJ211" s="628">
        <v>0</v>
      </c>
      <c r="AK211" s="628">
        <v>0</v>
      </c>
      <c r="AL211" s="628">
        <v>0</v>
      </c>
      <c r="AM211" s="628">
        <v>0</v>
      </c>
      <c r="AN211" s="628">
        <v>0</v>
      </c>
    </row>
    <row r="212" spans="1:40" x14ac:dyDescent="0.3">
      <c r="A212" s="489" t="s">
        <v>1426</v>
      </c>
      <c r="B212" s="489" t="s">
        <v>1758</v>
      </c>
      <c r="C212" s="489" t="s">
        <v>1758</v>
      </c>
      <c r="D212" s="489" t="s">
        <v>1936</v>
      </c>
      <c r="E212" s="619">
        <v>13</v>
      </c>
      <c r="F212" s="627"/>
      <c r="G212" s="628"/>
      <c r="H212" s="628"/>
      <c r="I212" s="628"/>
      <c r="J212" s="628"/>
      <c r="K212" s="628"/>
      <c r="L212" s="628"/>
      <c r="M212" s="628"/>
      <c r="N212" s="628"/>
      <c r="O212" s="628"/>
      <c r="P212" s="628"/>
      <c r="Q212" s="628"/>
      <c r="R212" s="628"/>
      <c r="S212" s="628"/>
      <c r="T212" s="628"/>
      <c r="U212" s="628"/>
      <c r="Y212" s="627">
        <v>1405</v>
      </c>
      <c r="Z212" s="628">
        <v>0</v>
      </c>
      <c r="AA212" s="628">
        <v>1395</v>
      </c>
      <c r="AB212" s="628">
        <v>1460</v>
      </c>
      <c r="AC212" s="628">
        <v>1460</v>
      </c>
      <c r="AD212" s="628">
        <v>0</v>
      </c>
      <c r="AE212" s="628">
        <v>1395</v>
      </c>
      <c r="AF212" s="628">
        <v>1395</v>
      </c>
      <c r="AG212" s="628">
        <v>1395</v>
      </c>
      <c r="AH212" s="628">
        <v>0</v>
      </c>
      <c r="AI212" s="628">
        <v>0</v>
      </c>
      <c r="AJ212" s="628">
        <v>0</v>
      </c>
      <c r="AK212" s="628">
        <v>0</v>
      </c>
      <c r="AL212" s="628">
        <v>0</v>
      </c>
      <c r="AM212" s="628">
        <v>0</v>
      </c>
      <c r="AN212" s="628">
        <v>0</v>
      </c>
    </row>
    <row r="213" spans="1:40" x14ac:dyDescent="0.3">
      <c r="A213" s="489" t="s">
        <v>1694</v>
      </c>
      <c r="B213" s="489" t="s">
        <v>438</v>
      </c>
      <c r="C213" s="489" t="s">
        <v>1907</v>
      </c>
      <c r="D213" s="489" t="s">
        <v>46</v>
      </c>
      <c r="E213" s="619">
        <v>12</v>
      </c>
      <c r="F213" s="627">
        <f t="shared" si="16"/>
        <v>1717.5</v>
      </c>
      <c r="G213" s="628">
        <f t="shared" si="17"/>
        <v>1615</v>
      </c>
      <c r="H213" s="628">
        <f t="shared" si="17"/>
        <v>1615</v>
      </c>
      <c r="I213" s="628">
        <f t="shared" si="17"/>
        <v>1615</v>
      </c>
      <c r="J213" s="628">
        <f t="shared" si="17"/>
        <v>1615</v>
      </c>
      <c r="K213" s="628">
        <f t="shared" si="17"/>
        <v>1615</v>
      </c>
      <c r="L213" s="628">
        <f t="shared" si="17"/>
        <v>1615</v>
      </c>
      <c r="M213" s="628">
        <f t="shared" si="17"/>
        <v>1615</v>
      </c>
      <c r="N213" s="628">
        <f t="shared" si="17"/>
        <v>1615</v>
      </c>
      <c r="O213" s="628">
        <f t="shared" si="17"/>
        <v>1615</v>
      </c>
      <c r="P213" s="628">
        <f t="shared" si="17"/>
        <v>1615</v>
      </c>
      <c r="Q213" s="628">
        <f t="shared" si="17"/>
        <v>1620</v>
      </c>
      <c r="R213" s="628">
        <f t="shared" si="17"/>
        <v>1740</v>
      </c>
      <c r="S213" s="628">
        <f t="shared" si="17"/>
        <v>1620</v>
      </c>
      <c r="T213" s="628">
        <f t="shared" si="17"/>
        <v>1620</v>
      </c>
      <c r="U213" s="628">
        <f t="shared" si="17"/>
        <v>1635</v>
      </c>
      <c r="Y213" s="627">
        <v>1717.5</v>
      </c>
      <c r="Z213" s="628">
        <v>0</v>
      </c>
      <c r="AA213" s="628">
        <v>0</v>
      </c>
      <c r="AB213" s="628">
        <v>0</v>
      </c>
      <c r="AC213" s="628">
        <v>0</v>
      </c>
      <c r="AD213" s="628">
        <v>0</v>
      </c>
      <c r="AE213" s="628">
        <v>0</v>
      </c>
      <c r="AF213" s="628">
        <v>0</v>
      </c>
      <c r="AG213" s="628">
        <v>0</v>
      </c>
      <c r="AH213" s="628">
        <v>0</v>
      </c>
      <c r="AI213" s="628">
        <v>1615</v>
      </c>
      <c r="AJ213" s="628">
        <v>1620</v>
      </c>
      <c r="AK213" s="628">
        <v>1740</v>
      </c>
      <c r="AL213" s="628">
        <v>0</v>
      </c>
      <c r="AM213" s="628">
        <v>1620</v>
      </c>
      <c r="AN213" s="628">
        <v>1635</v>
      </c>
    </row>
    <row r="214" spans="1:40" x14ac:dyDescent="0.3">
      <c r="A214" s="489" t="s">
        <v>1605</v>
      </c>
      <c r="B214" s="489" t="s">
        <v>1673</v>
      </c>
      <c r="C214" s="489" t="s">
        <v>1908</v>
      </c>
      <c r="D214" s="489" t="s">
        <v>46</v>
      </c>
      <c r="E214" s="619">
        <v>12</v>
      </c>
      <c r="F214" s="627">
        <f t="shared" si="16"/>
        <v>1435.3333333333333</v>
      </c>
      <c r="G214" s="628">
        <f t="shared" si="17"/>
        <v>1436</v>
      </c>
      <c r="H214" s="628">
        <f t="shared" si="17"/>
        <v>1436</v>
      </c>
      <c r="I214" s="628">
        <f t="shared" si="17"/>
        <v>1436</v>
      </c>
      <c r="J214" s="628">
        <f t="shared" si="17"/>
        <v>1436</v>
      </c>
      <c r="K214" s="628">
        <f t="shared" si="17"/>
        <v>1440.6</v>
      </c>
      <c r="L214" s="628">
        <f t="shared" si="17"/>
        <v>1440.6</v>
      </c>
      <c r="M214" s="628">
        <f t="shared" si="17"/>
        <v>1440.6</v>
      </c>
      <c r="N214" s="628">
        <f t="shared" si="17"/>
        <v>1440.6</v>
      </c>
      <c r="O214" s="628">
        <f t="shared" si="17"/>
        <v>1381</v>
      </c>
      <c r="P214" s="628">
        <f t="shared" si="17"/>
        <v>1469</v>
      </c>
      <c r="Q214" s="628">
        <f t="shared" si="17"/>
        <v>1413.3333333333333</v>
      </c>
      <c r="R214" s="628">
        <f t="shared" si="17"/>
        <v>1413.3333333333333</v>
      </c>
      <c r="S214" s="628">
        <f t="shared" si="17"/>
        <v>1413.3333333333333</v>
      </c>
      <c r="T214" s="628">
        <f t="shared" si="17"/>
        <v>0</v>
      </c>
      <c r="U214" s="628">
        <f t="shared" si="17"/>
        <v>0</v>
      </c>
      <c r="Y214" s="627">
        <v>1435.3333333333333</v>
      </c>
      <c r="Z214" s="628">
        <v>0</v>
      </c>
      <c r="AA214" s="628">
        <v>0</v>
      </c>
      <c r="AB214" s="628">
        <v>0</v>
      </c>
      <c r="AC214" s="628">
        <v>1436</v>
      </c>
      <c r="AD214" s="628">
        <v>0</v>
      </c>
      <c r="AE214" s="628">
        <v>0</v>
      </c>
      <c r="AF214" s="628">
        <v>0</v>
      </c>
      <c r="AG214" s="628">
        <v>1440.6</v>
      </c>
      <c r="AH214" s="628">
        <v>1381</v>
      </c>
      <c r="AI214" s="628">
        <v>1469</v>
      </c>
      <c r="AJ214" s="628">
        <v>0</v>
      </c>
      <c r="AK214" s="628">
        <v>0</v>
      </c>
      <c r="AL214" s="628">
        <v>1413.3333333333333</v>
      </c>
      <c r="AM214" s="628">
        <v>0</v>
      </c>
      <c r="AN214" s="628">
        <v>0</v>
      </c>
    </row>
    <row r="215" spans="1:40" x14ac:dyDescent="0.3">
      <c r="A215" s="489" t="s">
        <v>1441</v>
      </c>
      <c r="B215" s="489" t="s">
        <v>1782</v>
      </c>
      <c r="C215" s="489" t="s">
        <v>1909</v>
      </c>
      <c r="D215" s="489" t="s">
        <v>1929</v>
      </c>
      <c r="E215" s="619">
        <v>12</v>
      </c>
      <c r="F215" s="627">
        <f t="shared" si="16"/>
        <v>1405</v>
      </c>
      <c r="G215" s="628">
        <f t="shared" si="17"/>
        <v>1405</v>
      </c>
      <c r="H215" s="628">
        <f t="shared" si="17"/>
        <v>1405</v>
      </c>
      <c r="I215" s="628">
        <f t="shared" si="17"/>
        <v>1405</v>
      </c>
      <c r="J215" s="628">
        <f t="shared" si="17"/>
        <v>1405</v>
      </c>
      <c r="K215" s="628">
        <f t="shared" si="17"/>
        <v>1405</v>
      </c>
      <c r="L215" s="628">
        <f t="shared" si="17"/>
        <v>1405</v>
      </c>
      <c r="M215" s="628">
        <f t="shared" si="17"/>
        <v>1405</v>
      </c>
      <c r="N215" s="628">
        <f t="shared" si="17"/>
        <v>1405</v>
      </c>
      <c r="O215" s="628">
        <f t="shared" si="17"/>
        <v>1405</v>
      </c>
      <c r="P215" s="628">
        <f t="shared" si="17"/>
        <v>1405</v>
      </c>
      <c r="Q215" s="628">
        <f t="shared" si="17"/>
        <v>1405</v>
      </c>
      <c r="R215" s="628">
        <f t="shared" si="17"/>
        <v>1405</v>
      </c>
      <c r="S215" s="628">
        <f t="shared" si="17"/>
        <v>0</v>
      </c>
      <c r="T215" s="628">
        <f t="shared" si="17"/>
        <v>0</v>
      </c>
      <c r="U215" s="628">
        <f t="shared" si="17"/>
        <v>0</v>
      </c>
      <c r="Y215" s="627">
        <v>1405</v>
      </c>
      <c r="Z215" s="628">
        <v>0</v>
      </c>
      <c r="AA215" s="628">
        <v>0</v>
      </c>
      <c r="AB215" s="628">
        <v>0</v>
      </c>
      <c r="AC215" s="628">
        <v>0</v>
      </c>
      <c r="AD215" s="628">
        <v>0</v>
      </c>
      <c r="AE215" s="628">
        <v>0</v>
      </c>
      <c r="AF215" s="628">
        <v>0</v>
      </c>
      <c r="AG215" s="628">
        <v>0</v>
      </c>
      <c r="AH215" s="628">
        <v>0</v>
      </c>
      <c r="AI215" s="628">
        <v>0</v>
      </c>
      <c r="AJ215" s="628">
        <v>1405</v>
      </c>
      <c r="AK215" s="628">
        <v>1405</v>
      </c>
      <c r="AL215" s="628">
        <v>0</v>
      </c>
      <c r="AM215" s="628">
        <v>0</v>
      </c>
      <c r="AN215" s="628">
        <v>0</v>
      </c>
    </row>
    <row r="216" spans="1:40" x14ac:dyDescent="0.3">
      <c r="A216" s="489" t="s">
        <v>1677</v>
      </c>
      <c r="B216" s="489" t="s">
        <v>1783</v>
      </c>
      <c r="C216" s="489" t="s">
        <v>1910</v>
      </c>
      <c r="D216" s="489" t="s">
        <v>46</v>
      </c>
      <c r="E216" s="619">
        <v>12</v>
      </c>
      <c r="F216" s="627">
        <f t="shared" si="16"/>
        <v>1467.0833333333333</v>
      </c>
      <c r="G216" s="628">
        <f t="shared" si="17"/>
        <v>1470</v>
      </c>
      <c r="H216" s="628">
        <f t="shared" si="17"/>
        <v>1470</v>
      </c>
      <c r="I216" s="628">
        <f t="shared" si="17"/>
        <v>1470</v>
      </c>
      <c r="J216" s="628">
        <f t="shared" si="17"/>
        <v>1470</v>
      </c>
      <c r="K216" s="628">
        <f t="shared" si="17"/>
        <v>1470</v>
      </c>
      <c r="L216" s="628">
        <f t="shared" si="17"/>
        <v>1470</v>
      </c>
      <c r="M216" s="628">
        <f t="shared" si="17"/>
        <v>1475</v>
      </c>
      <c r="N216" s="628">
        <f t="shared" si="17"/>
        <v>1475</v>
      </c>
      <c r="O216" s="628">
        <f t="shared" si="17"/>
        <v>1445</v>
      </c>
      <c r="P216" s="628">
        <f t="shared" si="17"/>
        <v>1445</v>
      </c>
      <c r="Q216" s="628">
        <f t="shared" si="17"/>
        <v>1445</v>
      </c>
      <c r="R216" s="628">
        <f t="shared" si="17"/>
        <v>1471.25</v>
      </c>
      <c r="S216" s="628">
        <f t="shared" si="17"/>
        <v>0</v>
      </c>
      <c r="T216" s="628">
        <f t="shared" si="17"/>
        <v>0</v>
      </c>
      <c r="U216" s="628">
        <f t="shared" si="17"/>
        <v>0</v>
      </c>
      <c r="Y216" s="627">
        <v>1467.0833333333333</v>
      </c>
      <c r="Z216" s="628">
        <v>0</v>
      </c>
      <c r="AA216" s="628">
        <v>0</v>
      </c>
      <c r="AB216" s="628">
        <v>0</v>
      </c>
      <c r="AC216" s="628">
        <v>0</v>
      </c>
      <c r="AD216" s="628">
        <v>0</v>
      </c>
      <c r="AE216" s="628">
        <v>1470</v>
      </c>
      <c r="AF216" s="628">
        <v>0</v>
      </c>
      <c r="AG216" s="628">
        <v>1475</v>
      </c>
      <c r="AH216" s="628">
        <v>0</v>
      </c>
      <c r="AI216" s="628">
        <v>0</v>
      </c>
      <c r="AJ216" s="628">
        <v>1445</v>
      </c>
      <c r="AK216" s="628">
        <v>1471.25</v>
      </c>
      <c r="AL216" s="628">
        <v>0</v>
      </c>
      <c r="AM216" s="628">
        <v>0</v>
      </c>
      <c r="AN216" s="628">
        <v>0</v>
      </c>
    </row>
    <row r="217" spans="1:40" x14ac:dyDescent="0.3">
      <c r="A217" s="489" t="s">
        <v>1591</v>
      </c>
      <c r="B217" s="489" t="s">
        <v>1784</v>
      </c>
      <c r="C217" s="489" t="s">
        <v>1784</v>
      </c>
      <c r="D217" s="489" t="s">
        <v>46</v>
      </c>
      <c r="E217" s="619">
        <v>12</v>
      </c>
      <c r="F217" s="627">
        <f t="shared" si="16"/>
        <v>1323.8333333333333</v>
      </c>
      <c r="G217" s="628">
        <f t="shared" si="17"/>
        <v>1293</v>
      </c>
      <c r="H217" s="628">
        <f t="shared" si="17"/>
        <v>1293</v>
      </c>
      <c r="I217" s="628">
        <f t="shared" si="17"/>
        <v>1375</v>
      </c>
      <c r="J217" s="628">
        <f t="shared" si="17"/>
        <v>1375</v>
      </c>
      <c r="K217" s="628">
        <f t="shared" si="17"/>
        <v>1375</v>
      </c>
      <c r="L217" s="628">
        <f t="shared" si="17"/>
        <v>1328.75</v>
      </c>
      <c r="M217" s="628">
        <f t="shared" si="17"/>
        <v>1293</v>
      </c>
      <c r="N217" s="628">
        <f t="shared" si="17"/>
        <v>1285</v>
      </c>
      <c r="O217" s="628">
        <f t="shared" si="17"/>
        <v>1332.5</v>
      </c>
      <c r="P217" s="628">
        <f t="shared" si="17"/>
        <v>1332.5</v>
      </c>
      <c r="Q217" s="628">
        <f t="shared" si="17"/>
        <v>1332.5</v>
      </c>
      <c r="R217" s="628">
        <f t="shared" si="17"/>
        <v>0</v>
      </c>
      <c r="S217" s="628">
        <f t="shared" si="17"/>
        <v>0</v>
      </c>
      <c r="T217" s="628">
        <f t="shared" si="17"/>
        <v>0</v>
      </c>
      <c r="U217" s="628">
        <f t="shared" si="17"/>
        <v>0</v>
      </c>
      <c r="Y217" s="627">
        <v>1323.8333333333333</v>
      </c>
      <c r="Z217" s="628">
        <v>0</v>
      </c>
      <c r="AA217" s="628">
        <v>1293</v>
      </c>
      <c r="AB217" s="628">
        <v>1375</v>
      </c>
      <c r="AC217" s="628">
        <v>0</v>
      </c>
      <c r="AD217" s="628">
        <v>1375</v>
      </c>
      <c r="AE217" s="628">
        <v>1328.75</v>
      </c>
      <c r="AF217" s="628">
        <v>1293</v>
      </c>
      <c r="AG217" s="628">
        <v>1285</v>
      </c>
      <c r="AH217" s="628">
        <v>0</v>
      </c>
      <c r="AI217" s="628">
        <v>0</v>
      </c>
      <c r="AJ217" s="628">
        <v>1332.5</v>
      </c>
      <c r="AK217" s="628">
        <v>0</v>
      </c>
      <c r="AL217" s="628">
        <v>0</v>
      </c>
      <c r="AM217" s="628">
        <v>0</v>
      </c>
      <c r="AN217" s="628">
        <v>0</v>
      </c>
    </row>
    <row r="218" spans="1:40" x14ac:dyDescent="0.3">
      <c r="A218" s="489" t="s">
        <v>1414</v>
      </c>
      <c r="B218" s="489" t="s">
        <v>1674</v>
      </c>
      <c r="C218" s="489" t="s">
        <v>1911</v>
      </c>
      <c r="D218" s="489" t="s">
        <v>46</v>
      </c>
      <c r="E218" s="619">
        <v>12</v>
      </c>
      <c r="F218" s="627">
        <f t="shared" si="16"/>
        <v>1422.5</v>
      </c>
      <c r="G218" s="628">
        <f t="shared" si="17"/>
        <v>1425</v>
      </c>
      <c r="H218" s="628">
        <f t="shared" si="17"/>
        <v>1425</v>
      </c>
      <c r="I218" s="628">
        <f t="shared" si="17"/>
        <v>1427.5</v>
      </c>
      <c r="J218" s="628">
        <f t="shared" si="17"/>
        <v>1427.5</v>
      </c>
      <c r="K218" s="628">
        <f t="shared" si="17"/>
        <v>1427.5</v>
      </c>
      <c r="L218" s="628">
        <f t="shared" si="17"/>
        <v>1427.5</v>
      </c>
      <c r="M218" s="628">
        <f t="shared" si="17"/>
        <v>1405</v>
      </c>
      <c r="N218" s="628">
        <f t="shared" si="17"/>
        <v>1405</v>
      </c>
      <c r="O218" s="628">
        <f t="shared" si="17"/>
        <v>0</v>
      </c>
      <c r="P218" s="628">
        <f t="shared" si="17"/>
        <v>0</v>
      </c>
      <c r="Q218" s="628">
        <f t="shared" si="17"/>
        <v>0</v>
      </c>
      <c r="R218" s="628">
        <f t="shared" si="17"/>
        <v>0</v>
      </c>
      <c r="S218" s="628">
        <f t="shared" si="17"/>
        <v>0</v>
      </c>
      <c r="T218" s="628">
        <f t="shared" si="17"/>
        <v>0</v>
      </c>
      <c r="U218" s="628">
        <f t="shared" si="17"/>
        <v>0</v>
      </c>
      <c r="Y218" s="627">
        <v>1422.5</v>
      </c>
      <c r="Z218" s="628">
        <v>0</v>
      </c>
      <c r="AA218" s="628">
        <v>1425</v>
      </c>
      <c r="AB218" s="628">
        <v>0</v>
      </c>
      <c r="AC218" s="628">
        <v>0</v>
      </c>
      <c r="AD218" s="628">
        <v>0</v>
      </c>
      <c r="AE218" s="628">
        <v>1427.5</v>
      </c>
      <c r="AF218" s="628">
        <v>1405</v>
      </c>
      <c r="AG218" s="628">
        <v>1405</v>
      </c>
      <c r="AH218" s="628">
        <v>0</v>
      </c>
      <c r="AI218" s="628">
        <v>0</v>
      </c>
      <c r="AJ218" s="628">
        <v>0</v>
      </c>
      <c r="AK218" s="628">
        <v>0</v>
      </c>
      <c r="AL218" s="628">
        <v>0</v>
      </c>
      <c r="AM218" s="628">
        <v>0</v>
      </c>
      <c r="AN218" s="628">
        <v>0</v>
      </c>
    </row>
    <row r="219" spans="1:40" x14ac:dyDescent="0.3">
      <c r="A219" s="489" t="s">
        <v>1414</v>
      </c>
      <c r="B219" s="489" t="s">
        <v>1785</v>
      </c>
      <c r="C219" s="489" t="s">
        <v>1912</v>
      </c>
      <c r="D219" s="489" t="s">
        <v>46</v>
      </c>
      <c r="E219" s="619">
        <v>11</v>
      </c>
      <c r="F219" s="627">
        <f t="shared" si="16"/>
        <v>1569.5454545454545</v>
      </c>
      <c r="G219" s="628">
        <f t="shared" si="17"/>
        <v>1575</v>
      </c>
      <c r="H219" s="628">
        <f t="shared" si="17"/>
        <v>1575</v>
      </c>
      <c r="I219" s="628">
        <f t="shared" si="17"/>
        <v>1575</v>
      </c>
      <c r="J219" s="628">
        <f t="shared" si="17"/>
        <v>1575</v>
      </c>
      <c r="K219" s="628">
        <f t="shared" si="17"/>
        <v>1575</v>
      </c>
      <c r="L219" s="628">
        <f t="shared" si="17"/>
        <v>1575</v>
      </c>
      <c r="M219" s="628">
        <f t="shared" si="17"/>
        <v>1575</v>
      </c>
      <c r="N219" s="628">
        <f t="shared" si="17"/>
        <v>1575</v>
      </c>
      <c r="O219" s="628">
        <f t="shared" si="17"/>
        <v>1515</v>
      </c>
      <c r="P219" s="628">
        <f t="shared" si="17"/>
        <v>1575</v>
      </c>
      <c r="Q219" s="628">
        <f t="shared" si="17"/>
        <v>1575</v>
      </c>
      <c r="R219" s="628">
        <f t="shared" si="17"/>
        <v>1575</v>
      </c>
      <c r="S219" s="628">
        <f t="shared" si="17"/>
        <v>1575</v>
      </c>
      <c r="T219" s="628">
        <f t="shared" si="17"/>
        <v>1575</v>
      </c>
      <c r="U219" s="628">
        <f t="shared" si="17"/>
        <v>0</v>
      </c>
      <c r="Y219" s="627">
        <v>1569.5454545454545</v>
      </c>
      <c r="Z219" s="628">
        <v>1575</v>
      </c>
      <c r="AA219" s="628">
        <v>1575</v>
      </c>
      <c r="AB219" s="628">
        <v>0</v>
      </c>
      <c r="AC219" s="628">
        <v>1575</v>
      </c>
      <c r="AD219" s="628">
        <v>0</v>
      </c>
      <c r="AE219" s="628">
        <v>0</v>
      </c>
      <c r="AF219" s="628">
        <v>1575</v>
      </c>
      <c r="AG219" s="628">
        <v>1575</v>
      </c>
      <c r="AH219" s="628">
        <v>1515</v>
      </c>
      <c r="AI219" s="628">
        <v>1575</v>
      </c>
      <c r="AJ219" s="628">
        <v>0</v>
      </c>
      <c r="AK219" s="628">
        <v>0</v>
      </c>
      <c r="AL219" s="628">
        <v>1575</v>
      </c>
      <c r="AM219" s="628">
        <v>1575</v>
      </c>
      <c r="AN219" s="628">
        <v>0</v>
      </c>
    </row>
    <row r="220" spans="1:40" x14ac:dyDescent="0.3">
      <c r="A220" s="489" t="s">
        <v>1441</v>
      </c>
      <c r="B220" s="489" t="s">
        <v>1551</v>
      </c>
      <c r="C220" s="489" t="s">
        <v>1552</v>
      </c>
      <c r="D220" s="489" t="s">
        <v>1530</v>
      </c>
      <c r="E220" s="619">
        <v>11</v>
      </c>
      <c r="F220" s="627">
        <f t="shared" si="16"/>
        <v>1602</v>
      </c>
      <c r="G220" s="628">
        <f t="shared" si="17"/>
        <v>1621</v>
      </c>
      <c r="H220" s="628">
        <f t="shared" si="17"/>
        <v>1621</v>
      </c>
      <c r="I220" s="628">
        <f t="shared" si="17"/>
        <v>1621</v>
      </c>
      <c r="J220" s="628">
        <f t="shared" si="17"/>
        <v>1621</v>
      </c>
      <c r="K220" s="628">
        <f t="shared" si="17"/>
        <v>1621</v>
      </c>
      <c r="L220" s="628">
        <f t="shared" si="17"/>
        <v>1621</v>
      </c>
      <c r="M220" s="628">
        <f t="shared" si="17"/>
        <v>1621</v>
      </c>
      <c r="N220" s="628">
        <f t="shared" si="17"/>
        <v>1617.3333333333333</v>
      </c>
      <c r="O220" s="628">
        <f t="shared" si="17"/>
        <v>1581.5</v>
      </c>
      <c r="P220" s="628">
        <f t="shared" si="17"/>
        <v>1597</v>
      </c>
      <c r="Q220" s="628">
        <f t="shared" si="17"/>
        <v>1597</v>
      </c>
      <c r="R220" s="628">
        <f t="shared" si="17"/>
        <v>1597</v>
      </c>
      <c r="S220" s="628">
        <f t="shared" si="17"/>
        <v>1597</v>
      </c>
      <c r="T220" s="628">
        <f t="shared" si="17"/>
        <v>1598</v>
      </c>
      <c r="U220" s="628">
        <f t="shared" si="17"/>
        <v>0</v>
      </c>
      <c r="Y220" s="627">
        <v>1602</v>
      </c>
      <c r="Z220" s="628">
        <v>0</v>
      </c>
      <c r="AA220" s="628">
        <v>0</v>
      </c>
      <c r="AB220" s="628">
        <v>0</v>
      </c>
      <c r="AC220" s="628">
        <v>0</v>
      </c>
      <c r="AD220" s="628">
        <v>0</v>
      </c>
      <c r="AE220" s="628">
        <v>0</v>
      </c>
      <c r="AF220" s="628">
        <v>1621</v>
      </c>
      <c r="AG220" s="628">
        <v>1617.3333333333333</v>
      </c>
      <c r="AH220" s="628">
        <v>1581.5</v>
      </c>
      <c r="AI220" s="628">
        <v>0</v>
      </c>
      <c r="AJ220" s="628">
        <v>0</v>
      </c>
      <c r="AK220" s="628">
        <v>0</v>
      </c>
      <c r="AL220" s="628">
        <v>1597</v>
      </c>
      <c r="AM220" s="628">
        <v>1598</v>
      </c>
      <c r="AN220" s="628">
        <v>0</v>
      </c>
    </row>
    <row r="221" spans="1:40" x14ac:dyDescent="0.3">
      <c r="A221" s="489" t="s">
        <v>1441</v>
      </c>
      <c r="B221" s="489" t="s">
        <v>1786</v>
      </c>
      <c r="C221" s="489" t="s">
        <v>1913</v>
      </c>
      <c r="D221" s="489" t="s">
        <v>46</v>
      </c>
      <c r="E221" s="619">
        <v>11</v>
      </c>
      <c r="F221" s="627">
        <f t="shared" si="16"/>
        <v>2002.5454545454545</v>
      </c>
      <c r="G221" s="628">
        <f t="shared" si="17"/>
        <v>1946</v>
      </c>
      <c r="H221" s="628">
        <f t="shared" si="17"/>
        <v>1946</v>
      </c>
      <c r="I221" s="628">
        <f t="shared" si="17"/>
        <v>1946</v>
      </c>
      <c r="J221" s="628">
        <f t="shared" si="17"/>
        <v>1882</v>
      </c>
      <c r="K221" s="628">
        <f t="shared" si="17"/>
        <v>1882</v>
      </c>
      <c r="L221" s="628">
        <f t="shared" si="17"/>
        <v>1882</v>
      </c>
      <c r="M221" s="628">
        <f t="shared" si="17"/>
        <v>1882</v>
      </c>
      <c r="N221" s="628">
        <f t="shared" si="17"/>
        <v>1882</v>
      </c>
      <c r="O221" s="628">
        <f t="shared" si="17"/>
        <v>1880</v>
      </c>
      <c r="P221" s="628">
        <f t="shared" si="17"/>
        <v>1975</v>
      </c>
      <c r="Q221" s="628">
        <f t="shared" si="17"/>
        <v>2122.3333333333335</v>
      </c>
      <c r="R221" s="628">
        <f t="shared" si="17"/>
        <v>1946</v>
      </c>
      <c r="S221" s="628">
        <f t="shared" si="17"/>
        <v>2046</v>
      </c>
      <c r="T221" s="628">
        <f t="shared" si="17"/>
        <v>2046</v>
      </c>
      <c r="U221" s="628">
        <f t="shared" si="17"/>
        <v>2040</v>
      </c>
      <c r="Y221" s="627">
        <v>2002.5454545454545</v>
      </c>
      <c r="Z221" s="628">
        <v>0</v>
      </c>
      <c r="AA221" s="628">
        <v>0</v>
      </c>
      <c r="AB221" s="628">
        <v>1946</v>
      </c>
      <c r="AC221" s="628">
        <v>0</v>
      </c>
      <c r="AD221" s="628">
        <v>0</v>
      </c>
      <c r="AE221" s="628">
        <v>0</v>
      </c>
      <c r="AF221" s="628">
        <v>0</v>
      </c>
      <c r="AG221" s="628">
        <v>1882</v>
      </c>
      <c r="AH221" s="628">
        <v>1880</v>
      </c>
      <c r="AI221" s="628">
        <v>1975</v>
      </c>
      <c r="AJ221" s="628">
        <v>2122.3333333333335</v>
      </c>
      <c r="AK221" s="628">
        <v>1946</v>
      </c>
      <c r="AL221" s="628">
        <v>0</v>
      </c>
      <c r="AM221" s="628">
        <v>2046</v>
      </c>
      <c r="AN221" s="628">
        <v>2040</v>
      </c>
    </row>
    <row r="222" spans="1:40" x14ac:dyDescent="0.3">
      <c r="A222" s="489" t="s">
        <v>1441</v>
      </c>
      <c r="B222" s="489" t="s">
        <v>1787</v>
      </c>
      <c r="C222" s="489" t="s">
        <v>1914</v>
      </c>
      <c r="D222" s="489" t="s">
        <v>46</v>
      </c>
      <c r="E222" s="619">
        <v>11</v>
      </c>
      <c r="F222" s="627">
        <f t="shared" si="16"/>
        <v>1339.6363636363637</v>
      </c>
      <c r="G222" s="628">
        <f t="shared" si="17"/>
        <v>1336</v>
      </c>
      <c r="H222" s="628">
        <f t="shared" si="17"/>
        <v>1336</v>
      </c>
      <c r="I222" s="628">
        <f t="shared" si="17"/>
        <v>1336</v>
      </c>
      <c r="J222" s="628">
        <f t="shared" si="17"/>
        <v>1392</v>
      </c>
      <c r="K222" s="628">
        <f t="shared" si="17"/>
        <v>1392</v>
      </c>
      <c r="L222" s="628">
        <f t="shared" si="17"/>
        <v>1392</v>
      </c>
      <c r="M222" s="628">
        <f t="shared" si="17"/>
        <v>1392</v>
      </c>
      <c r="N222" s="628">
        <f t="shared" si="17"/>
        <v>1336</v>
      </c>
      <c r="O222" s="628">
        <f t="shared" si="17"/>
        <v>1336</v>
      </c>
      <c r="P222" s="628">
        <f t="shared" si="17"/>
        <v>1336</v>
      </c>
      <c r="Q222" s="628">
        <f t="shared" si="17"/>
        <v>1333.3333333333333</v>
      </c>
      <c r="R222" s="628">
        <f t="shared" si="17"/>
        <v>0</v>
      </c>
      <c r="S222" s="628">
        <f t="shared" si="17"/>
        <v>0</v>
      </c>
      <c r="T222" s="628">
        <f t="shared" si="17"/>
        <v>0</v>
      </c>
      <c r="U222" s="628">
        <f t="shared" si="17"/>
        <v>0</v>
      </c>
      <c r="Y222" s="627">
        <v>1339.6363636363637</v>
      </c>
      <c r="Z222" s="628">
        <v>0</v>
      </c>
      <c r="AA222" s="628">
        <v>0</v>
      </c>
      <c r="AB222" s="628">
        <v>1336</v>
      </c>
      <c r="AC222" s="628">
        <v>0</v>
      </c>
      <c r="AD222" s="628">
        <v>0</v>
      </c>
      <c r="AE222" s="628">
        <v>0</v>
      </c>
      <c r="AF222" s="628">
        <v>1392</v>
      </c>
      <c r="AG222" s="628">
        <v>0</v>
      </c>
      <c r="AH222" s="628">
        <v>1336</v>
      </c>
      <c r="AI222" s="628">
        <v>1336</v>
      </c>
      <c r="AJ222" s="628">
        <v>1333.3333333333333</v>
      </c>
      <c r="AK222" s="628">
        <v>0</v>
      </c>
      <c r="AL222" s="628">
        <v>0</v>
      </c>
      <c r="AM222" s="628">
        <v>0</v>
      </c>
      <c r="AN222" s="628">
        <v>0</v>
      </c>
    </row>
    <row r="223" spans="1:40" x14ac:dyDescent="0.3">
      <c r="A223" s="489" t="s">
        <v>1441</v>
      </c>
      <c r="B223" s="489" t="s">
        <v>1442</v>
      </c>
      <c r="C223" s="489" t="s">
        <v>1443</v>
      </c>
      <c r="D223" s="489" t="s">
        <v>46</v>
      </c>
      <c r="E223" s="619">
        <v>11</v>
      </c>
      <c r="F223" s="627">
        <f t="shared" si="16"/>
        <v>2069.6363636363635</v>
      </c>
      <c r="G223" s="628">
        <f t="shared" si="17"/>
        <v>2053</v>
      </c>
      <c r="H223" s="628">
        <f t="shared" si="17"/>
        <v>2053</v>
      </c>
      <c r="I223" s="628">
        <f t="shared" si="17"/>
        <v>2053</v>
      </c>
      <c r="J223" s="628">
        <f t="shared" si="17"/>
        <v>2076</v>
      </c>
      <c r="K223" s="628">
        <f t="shared" si="17"/>
        <v>2001.5</v>
      </c>
      <c r="L223" s="628">
        <f t="shared" si="17"/>
        <v>2001.5</v>
      </c>
      <c r="M223" s="628">
        <f t="shared" si="17"/>
        <v>2040</v>
      </c>
      <c r="N223" s="628">
        <f t="shared" si="17"/>
        <v>1947</v>
      </c>
      <c r="O223" s="628">
        <f t="shared" si="17"/>
        <v>2155</v>
      </c>
      <c r="P223" s="628">
        <f t="shared" si="17"/>
        <v>2155</v>
      </c>
      <c r="Q223" s="628">
        <f t="shared" si="17"/>
        <v>2106</v>
      </c>
      <c r="R223" s="628">
        <f t="shared" si="17"/>
        <v>2106</v>
      </c>
      <c r="S223" s="628">
        <f t="shared" si="17"/>
        <v>2106</v>
      </c>
      <c r="T223" s="628">
        <f t="shared" si="17"/>
        <v>0</v>
      </c>
      <c r="U223" s="628">
        <f t="shared" si="17"/>
        <v>0</v>
      </c>
      <c r="Y223" s="627">
        <v>2069.6363636363635</v>
      </c>
      <c r="Z223" s="628">
        <v>0</v>
      </c>
      <c r="AA223" s="628">
        <v>0</v>
      </c>
      <c r="AB223" s="628">
        <v>2053</v>
      </c>
      <c r="AC223" s="628">
        <v>2076</v>
      </c>
      <c r="AD223" s="628">
        <v>0</v>
      </c>
      <c r="AE223" s="628">
        <v>2001.5</v>
      </c>
      <c r="AF223" s="628">
        <v>2040</v>
      </c>
      <c r="AG223" s="628">
        <v>1947</v>
      </c>
      <c r="AH223" s="628">
        <v>0</v>
      </c>
      <c r="AI223" s="628">
        <v>2155</v>
      </c>
      <c r="AJ223" s="628">
        <v>0</v>
      </c>
      <c r="AK223" s="628">
        <v>0</v>
      </c>
      <c r="AL223" s="628">
        <v>2106</v>
      </c>
      <c r="AM223" s="628">
        <v>0</v>
      </c>
      <c r="AN223" s="628">
        <v>0</v>
      </c>
    </row>
    <row r="224" spans="1:40" x14ac:dyDescent="0.3">
      <c r="A224" s="489" t="s">
        <v>1694</v>
      </c>
      <c r="B224" s="489" t="s">
        <v>1788</v>
      </c>
      <c r="C224" s="489" t="s">
        <v>1915</v>
      </c>
      <c r="D224" s="489" t="s">
        <v>141</v>
      </c>
      <c r="E224" s="619">
        <v>11</v>
      </c>
      <c r="F224" s="627">
        <f t="shared" si="16"/>
        <v>2465</v>
      </c>
      <c r="G224" s="628">
        <f t="shared" si="17"/>
        <v>2465</v>
      </c>
      <c r="H224" s="628">
        <f t="shared" si="17"/>
        <v>2465</v>
      </c>
      <c r="I224" s="628">
        <f t="shared" si="17"/>
        <v>2465</v>
      </c>
      <c r="J224" s="628">
        <f t="shared" si="17"/>
        <v>2465</v>
      </c>
      <c r="K224" s="628">
        <f t="shared" si="17"/>
        <v>2465</v>
      </c>
      <c r="L224" s="628">
        <f t="shared" si="17"/>
        <v>2465</v>
      </c>
      <c r="M224" s="628">
        <f t="shared" si="17"/>
        <v>0</v>
      </c>
      <c r="N224" s="628">
        <f t="shared" si="17"/>
        <v>0</v>
      </c>
      <c r="O224" s="628">
        <f t="shared" si="17"/>
        <v>0</v>
      </c>
      <c r="P224" s="628">
        <f t="shared" si="17"/>
        <v>0</v>
      </c>
      <c r="Q224" s="628">
        <f t="shared" si="17"/>
        <v>0</v>
      </c>
      <c r="R224" s="628">
        <f t="shared" si="17"/>
        <v>0</v>
      </c>
      <c r="S224" s="628">
        <f t="shared" si="17"/>
        <v>0</v>
      </c>
      <c r="T224" s="628">
        <f t="shared" si="17"/>
        <v>0</v>
      </c>
      <c r="U224" s="628">
        <f t="shared" si="17"/>
        <v>0</v>
      </c>
      <c r="Y224" s="627">
        <v>2465</v>
      </c>
      <c r="Z224" s="628">
        <v>0</v>
      </c>
      <c r="AA224" s="628">
        <v>2465</v>
      </c>
      <c r="AB224" s="628">
        <v>0</v>
      </c>
      <c r="AC224" s="628">
        <v>2465</v>
      </c>
      <c r="AD224" s="628">
        <v>2465</v>
      </c>
      <c r="AE224" s="628">
        <v>2465</v>
      </c>
      <c r="AF224" s="628">
        <v>0</v>
      </c>
      <c r="AG224" s="628">
        <v>0</v>
      </c>
      <c r="AH224" s="628">
        <v>0</v>
      </c>
      <c r="AI224" s="628">
        <v>0</v>
      </c>
      <c r="AJ224" s="628">
        <v>0</v>
      </c>
      <c r="AK224" s="628">
        <v>0</v>
      </c>
      <c r="AL224" s="628">
        <v>0</v>
      </c>
      <c r="AM224" s="628">
        <v>0</v>
      </c>
      <c r="AN224" s="628">
        <v>0</v>
      </c>
    </row>
    <row r="225" spans="1:40" x14ac:dyDescent="0.3">
      <c r="A225" s="489" t="s">
        <v>1414</v>
      </c>
      <c r="B225" s="489" t="s">
        <v>1789</v>
      </c>
      <c r="C225" s="489" t="s">
        <v>1916</v>
      </c>
      <c r="D225" s="489" t="s">
        <v>46</v>
      </c>
      <c r="E225" s="619">
        <v>11</v>
      </c>
      <c r="F225" s="627">
        <f t="shared" si="16"/>
        <v>1396.8181818181818</v>
      </c>
      <c r="G225" s="628">
        <f t="shared" si="17"/>
        <v>1405</v>
      </c>
      <c r="H225" s="628">
        <f t="shared" si="17"/>
        <v>1405</v>
      </c>
      <c r="I225" s="628">
        <f t="shared" si="17"/>
        <v>1490</v>
      </c>
      <c r="J225" s="628">
        <f t="shared" si="17"/>
        <v>1407.5</v>
      </c>
      <c r="K225" s="628">
        <f t="shared" si="17"/>
        <v>1407.5</v>
      </c>
      <c r="L225" s="628">
        <f t="shared" si="17"/>
        <v>1407.5</v>
      </c>
      <c r="M225" s="628">
        <f t="shared" si="17"/>
        <v>1389</v>
      </c>
      <c r="N225" s="628">
        <f t="shared" si="17"/>
        <v>1355</v>
      </c>
      <c r="O225" s="628">
        <f t="shared" si="17"/>
        <v>0</v>
      </c>
      <c r="P225" s="628">
        <f t="shared" si="17"/>
        <v>0</v>
      </c>
      <c r="Q225" s="628">
        <f t="shared" si="17"/>
        <v>0</v>
      </c>
      <c r="R225" s="628">
        <f t="shared" si="17"/>
        <v>0</v>
      </c>
      <c r="S225" s="628">
        <f t="shared" si="17"/>
        <v>0</v>
      </c>
      <c r="T225" s="628">
        <f t="shared" si="17"/>
        <v>0</v>
      </c>
      <c r="U225" s="628">
        <f t="shared" si="17"/>
        <v>0</v>
      </c>
      <c r="Y225" s="627">
        <v>1396.8181818181818</v>
      </c>
      <c r="Z225" s="628">
        <v>0</v>
      </c>
      <c r="AA225" s="628">
        <v>1405</v>
      </c>
      <c r="AB225" s="628">
        <v>1490</v>
      </c>
      <c r="AC225" s="628">
        <v>0</v>
      </c>
      <c r="AD225" s="628">
        <v>0</v>
      </c>
      <c r="AE225" s="628">
        <v>1407.5</v>
      </c>
      <c r="AF225" s="628">
        <v>1389</v>
      </c>
      <c r="AG225" s="628">
        <v>1355</v>
      </c>
      <c r="AH225" s="628">
        <v>0</v>
      </c>
      <c r="AI225" s="628">
        <v>0</v>
      </c>
      <c r="AJ225" s="628">
        <v>0</v>
      </c>
      <c r="AK225" s="628">
        <v>0</v>
      </c>
      <c r="AL225" s="628">
        <v>0</v>
      </c>
      <c r="AM225" s="628">
        <v>0</v>
      </c>
      <c r="AN225" s="628">
        <v>0</v>
      </c>
    </row>
    <row r="226" spans="1:40" x14ac:dyDescent="0.3">
      <c r="A226" s="489" t="s">
        <v>1544</v>
      </c>
      <c r="B226" s="489" t="s">
        <v>1578</v>
      </c>
      <c r="C226" s="489" t="s">
        <v>337</v>
      </c>
      <c r="D226" s="489" t="s">
        <v>1936</v>
      </c>
      <c r="E226" s="619">
        <v>11</v>
      </c>
      <c r="F226" s="627">
        <f t="shared" si="16"/>
        <v>1344.3636363636363</v>
      </c>
      <c r="G226" s="628">
        <f t="shared" ref="G226:U230" si="18">IF(Z226&gt;0,Z226,IF(H226&gt;0,H226,0))</f>
        <v>1341</v>
      </c>
      <c r="H226" s="628">
        <f t="shared" si="18"/>
        <v>1378</v>
      </c>
      <c r="I226" s="628">
        <f t="shared" si="18"/>
        <v>0</v>
      </c>
      <c r="J226" s="628">
        <f t="shared" si="18"/>
        <v>0</v>
      </c>
      <c r="K226" s="628">
        <f t="shared" si="18"/>
        <v>0</v>
      </c>
      <c r="L226" s="628">
        <f t="shared" si="18"/>
        <v>0</v>
      </c>
      <c r="M226" s="628">
        <f t="shared" si="18"/>
        <v>0</v>
      </c>
      <c r="N226" s="628">
        <f t="shared" si="18"/>
        <v>0</v>
      </c>
      <c r="O226" s="628">
        <f t="shared" si="18"/>
        <v>0</v>
      </c>
      <c r="P226" s="628">
        <f t="shared" si="18"/>
        <v>0</v>
      </c>
      <c r="Q226" s="628">
        <f t="shared" si="18"/>
        <v>0</v>
      </c>
      <c r="R226" s="628">
        <f t="shared" si="18"/>
        <v>0</v>
      </c>
      <c r="S226" s="628">
        <f t="shared" si="18"/>
        <v>0</v>
      </c>
      <c r="T226" s="628">
        <f t="shared" si="18"/>
        <v>0</v>
      </c>
      <c r="U226" s="628">
        <f t="shared" si="18"/>
        <v>0</v>
      </c>
      <c r="Y226" s="627">
        <v>1344.3636363636363</v>
      </c>
      <c r="Z226" s="628">
        <v>1341</v>
      </c>
      <c r="AA226" s="628">
        <v>1378</v>
      </c>
      <c r="AB226" s="628">
        <v>0</v>
      </c>
      <c r="AC226" s="628">
        <v>0</v>
      </c>
      <c r="AD226" s="628">
        <v>0</v>
      </c>
      <c r="AE226" s="628">
        <v>0</v>
      </c>
      <c r="AF226" s="628">
        <v>0</v>
      </c>
      <c r="AG226" s="628">
        <v>0</v>
      </c>
      <c r="AH226" s="628">
        <v>0</v>
      </c>
      <c r="AI226" s="628">
        <v>0</v>
      </c>
      <c r="AJ226" s="628">
        <v>0</v>
      </c>
      <c r="AK226" s="628">
        <v>0</v>
      </c>
      <c r="AL226" s="628">
        <v>0</v>
      </c>
      <c r="AM226" s="628">
        <v>0</v>
      </c>
      <c r="AN226" s="628">
        <v>0</v>
      </c>
    </row>
    <row r="227" spans="1:40" x14ac:dyDescent="0.3">
      <c r="A227" s="489" t="s">
        <v>1414</v>
      </c>
      <c r="B227" s="489" t="s">
        <v>1370</v>
      </c>
      <c r="C227" s="489" t="s">
        <v>1416</v>
      </c>
      <c r="D227" s="489" t="s">
        <v>1937</v>
      </c>
      <c r="E227" s="619">
        <v>11</v>
      </c>
      <c r="F227" s="627">
        <f t="shared" si="16"/>
        <v>1755.909090909091</v>
      </c>
      <c r="G227" s="628">
        <f t="shared" si="18"/>
        <v>1777.5</v>
      </c>
      <c r="H227" s="628">
        <f t="shared" si="18"/>
        <v>1751.1111111111111</v>
      </c>
      <c r="I227" s="628">
        <f t="shared" si="18"/>
        <v>0</v>
      </c>
      <c r="J227" s="628">
        <f t="shared" si="18"/>
        <v>0</v>
      </c>
      <c r="K227" s="628">
        <f t="shared" si="18"/>
        <v>0</v>
      </c>
      <c r="L227" s="628">
        <f t="shared" si="18"/>
        <v>0</v>
      </c>
      <c r="M227" s="628">
        <f t="shared" si="18"/>
        <v>0</v>
      </c>
      <c r="N227" s="628">
        <f t="shared" si="18"/>
        <v>0</v>
      </c>
      <c r="O227" s="628">
        <f t="shared" si="18"/>
        <v>0</v>
      </c>
      <c r="P227" s="628">
        <f t="shared" si="18"/>
        <v>0</v>
      </c>
      <c r="Q227" s="628">
        <f t="shared" si="18"/>
        <v>0</v>
      </c>
      <c r="R227" s="628">
        <f t="shared" si="18"/>
        <v>0</v>
      </c>
      <c r="S227" s="628">
        <f t="shared" si="18"/>
        <v>0</v>
      </c>
      <c r="T227" s="628">
        <f t="shared" si="18"/>
        <v>0</v>
      </c>
      <c r="U227" s="628">
        <f t="shared" si="18"/>
        <v>0</v>
      </c>
      <c r="Y227" s="627">
        <v>1755.909090909091</v>
      </c>
      <c r="Z227" s="628">
        <v>1777.5</v>
      </c>
      <c r="AA227" s="628">
        <v>1751.1111111111111</v>
      </c>
      <c r="AB227" s="628">
        <v>0</v>
      </c>
      <c r="AC227" s="628">
        <v>0</v>
      </c>
      <c r="AD227" s="628">
        <v>0</v>
      </c>
      <c r="AE227" s="628">
        <v>0</v>
      </c>
      <c r="AF227" s="628">
        <v>0</v>
      </c>
      <c r="AG227" s="628">
        <v>0</v>
      </c>
      <c r="AH227" s="628">
        <v>0</v>
      </c>
      <c r="AI227" s="628">
        <v>0</v>
      </c>
      <c r="AJ227" s="628">
        <v>0</v>
      </c>
      <c r="AK227" s="628">
        <v>0</v>
      </c>
      <c r="AL227" s="628">
        <v>0</v>
      </c>
      <c r="AM227" s="628">
        <v>0</v>
      </c>
      <c r="AN227" s="628">
        <v>0</v>
      </c>
    </row>
    <row r="228" spans="1:40" x14ac:dyDescent="0.3">
      <c r="A228" s="489" t="s">
        <v>1422</v>
      </c>
      <c r="B228" s="489" t="s">
        <v>1547</v>
      </c>
      <c r="C228" s="489" t="s">
        <v>1548</v>
      </c>
      <c r="D228" s="489" t="s">
        <v>1665</v>
      </c>
      <c r="E228" s="619">
        <v>11</v>
      </c>
      <c r="F228" s="627">
        <f t="shared" si="16"/>
        <v>1316</v>
      </c>
      <c r="G228" s="628">
        <f t="shared" si="18"/>
        <v>1316</v>
      </c>
      <c r="H228" s="628">
        <f t="shared" si="18"/>
        <v>1316</v>
      </c>
      <c r="I228" s="628">
        <f t="shared" si="18"/>
        <v>1316</v>
      </c>
      <c r="J228" s="628">
        <f t="shared" si="18"/>
        <v>1316</v>
      </c>
      <c r="K228" s="628">
        <f t="shared" si="18"/>
        <v>1316</v>
      </c>
      <c r="L228" s="628">
        <f t="shared" si="18"/>
        <v>1316</v>
      </c>
      <c r="M228" s="628">
        <f t="shared" si="18"/>
        <v>1316</v>
      </c>
      <c r="N228" s="628">
        <f t="shared" si="18"/>
        <v>1316</v>
      </c>
      <c r="O228" s="628">
        <f t="shared" si="18"/>
        <v>1316</v>
      </c>
      <c r="P228" s="628">
        <f t="shared" si="18"/>
        <v>1316</v>
      </c>
      <c r="Q228" s="628">
        <f t="shared" si="18"/>
        <v>0</v>
      </c>
      <c r="R228" s="628">
        <f t="shared" si="18"/>
        <v>0</v>
      </c>
      <c r="S228" s="628">
        <f t="shared" si="18"/>
        <v>0</v>
      </c>
      <c r="T228" s="628">
        <f t="shared" si="18"/>
        <v>0</v>
      </c>
      <c r="U228" s="628">
        <f t="shared" si="18"/>
        <v>0</v>
      </c>
      <c r="Y228" s="627">
        <v>1316</v>
      </c>
      <c r="Z228" s="628">
        <v>0</v>
      </c>
      <c r="AA228" s="628">
        <v>0</v>
      </c>
      <c r="AB228" s="628">
        <v>0</v>
      </c>
      <c r="AC228" s="628">
        <v>0</v>
      </c>
      <c r="AD228" s="628">
        <v>0</v>
      </c>
      <c r="AE228" s="628">
        <v>0</v>
      </c>
      <c r="AF228" s="628">
        <v>1316</v>
      </c>
      <c r="AG228" s="628">
        <v>0</v>
      </c>
      <c r="AH228" s="628">
        <v>0</v>
      </c>
      <c r="AI228" s="628">
        <v>1316</v>
      </c>
      <c r="AJ228" s="628">
        <v>0</v>
      </c>
      <c r="AK228" s="628">
        <v>0</v>
      </c>
      <c r="AL228" s="628">
        <v>0</v>
      </c>
      <c r="AM228" s="628">
        <v>0</v>
      </c>
      <c r="AN228" s="628">
        <v>0</v>
      </c>
    </row>
    <row r="229" spans="1:40" x14ac:dyDescent="0.3">
      <c r="A229" s="489" t="s">
        <v>1414</v>
      </c>
      <c r="B229" s="489" t="s">
        <v>1675</v>
      </c>
      <c r="C229" s="489" t="s">
        <v>1917</v>
      </c>
      <c r="D229" s="489" t="s">
        <v>1936</v>
      </c>
      <c r="E229" s="619">
        <v>11</v>
      </c>
      <c r="F229" s="627">
        <f t="shared" si="16"/>
        <v>1718.1818181818182</v>
      </c>
      <c r="G229" s="628">
        <f t="shared" si="18"/>
        <v>1717.5</v>
      </c>
      <c r="H229" s="628">
        <f t="shared" si="18"/>
        <v>1717.5</v>
      </c>
      <c r="I229" s="628">
        <f t="shared" si="18"/>
        <v>1717.5</v>
      </c>
      <c r="J229" s="628">
        <f t="shared" si="18"/>
        <v>1717.5</v>
      </c>
      <c r="K229" s="628">
        <f t="shared" si="18"/>
        <v>1717.5</v>
      </c>
      <c r="L229" s="628">
        <f t="shared" si="18"/>
        <v>1717.5</v>
      </c>
      <c r="M229" s="628">
        <f t="shared" si="18"/>
        <v>1717.5</v>
      </c>
      <c r="N229" s="628">
        <f t="shared" si="18"/>
        <v>1717.5</v>
      </c>
      <c r="O229" s="628">
        <f t="shared" si="18"/>
        <v>1717.5</v>
      </c>
      <c r="P229" s="628">
        <f t="shared" si="18"/>
        <v>1720</v>
      </c>
      <c r="Q229" s="628">
        <f t="shared" si="18"/>
        <v>0</v>
      </c>
      <c r="R229" s="628">
        <f t="shared" si="18"/>
        <v>0</v>
      </c>
      <c r="S229" s="628">
        <f t="shared" si="18"/>
        <v>0</v>
      </c>
      <c r="T229" s="628">
        <f t="shared" si="18"/>
        <v>0</v>
      </c>
      <c r="U229" s="628">
        <f t="shared" si="18"/>
        <v>0</v>
      </c>
      <c r="Y229" s="627">
        <v>1718.1818181818182</v>
      </c>
      <c r="Z229" s="628">
        <v>0</v>
      </c>
      <c r="AA229" s="628">
        <v>0</v>
      </c>
      <c r="AB229" s="628">
        <v>0</v>
      </c>
      <c r="AC229" s="628">
        <v>0</v>
      </c>
      <c r="AD229" s="628">
        <v>0</v>
      </c>
      <c r="AE229" s="628">
        <v>0</v>
      </c>
      <c r="AF229" s="628">
        <v>0</v>
      </c>
      <c r="AG229" s="628">
        <v>0</v>
      </c>
      <c r="AH229" s="628">
        <v>1717.5</v>
      </c>
      <c r="AI229" s="628">
        <v>1720</v>
      </c>
      <c r="AJ229" s="628">
        <v>0</v>
      </c>
      <c r="AK229" s="628">
        <v>0</v>
      </c>
      <c r="AL229" s="628">
        <v>0</v>
      </c>
      <c r="AM229" s="628">
        <v>0</v>
      </c>
      <c r="AN229" s="628">
        <v>0</v>
      </c>
    </row>
    <row r="230" spans="1:40" x14ac:dyDescent="0.3">
      <c r="A230" s="489" t="s">
        <v>1414</v>
      </c>
      <c r="B230" s="489" t="s">
        <v>1675</v>
      </c>
      <c r="C230" s="489" t="s">
        <v>1917</v>
      </c>
      <c r="D230" s="489" t="s">
        <v>1936</v>
      </c>
      <c r="E230" s="619">
        <v>11</v>
      </c>
      <c r="F230" s="627">
        <f t="shared" si="16"/>
        <v>1718.1818181818182</v>
      </c>
      <c r="G230" s="628">
        <f t="shared" si="18"/>
        <v>1717.5</v>
      </c>
      <c r="H230" s="628">
        <f t="shared" si="18"/>
        <v>1717.5</v>
      </c>
      <c r="I230" s="628">
        <f t="shared" si="18"/>
        <v>1717.5</v>
      </c>
      <c r="J230" s="628">
        <f t="shared" si="18"/>
        <v>1717.5</v>
      </c>
      <c r="K230" s="628">
        <f t="shared" si="18"/>
        <v>1717.5</v>
      </c>
      <c r="L230" s="628">
        <f t="shared" si="18"/>
        <v>1717.5</v>
      </c>
      <c r="M230" s="628">
        <f t="shared" si="18"/>
        <v>1717.5</v>
      </c>
      <c r="N230" s="628">
        <f t="shared" si="18"/>
        <v>1717.5</v>
      </c>
      <c r="O230" s="628">
        <f t="shared" si="18"/>
        <v>1717.5</v>
      </c>
      <c r="P230" s="628">
        <f t="shared" si="18"/>
        <v>1720</v>
      </c>
      <c r="Q230" s="628">
        <f t="shared" si="18"/>
        <v>0</v>
      </c>
      <c r="R230" s="628">
        <f t="shared" si="18"/>
        <v>0</v>
      </c>
      <c r="S230" s="628">
        <f t="shared" si="18"/>
        <v>0</v>
      </c>
      <c r="T230" s="628">
        <f t="shared" si="18"/>
        <v>0</v>
      </c>
      <c r="U230" s="628">
        <f t="shared" si="18"/>
        <v>0</v>
      </c>
      <c r="Y230" s="627">
        <v>1718.1818181818182</v>
      </c>
      <c r="Z230" s="628">
        <v>0</v>
      </c>
      <c r="AA230" s="628">
        <v>0</v>
      </c>
      <c r="AB230" s="628">
        <v>0</v>
      </c>
      <c r="AC230" s="628">
        <v>0</v>
      </c>
      <c r="AD230" s="628">
        <v>0</v>
      </c>
      <c r="AE230" s="628">
        <v>0</v>
      </c>
      <c r="AF230" s="628">
        <v>0</v>
      </c>
      <c r="AG230" s="628">
        <v>0</v>
      </c>
      <c r="AH230" s="628">
        <v>1717.5</v>
      </c>
      <c r="AI230" s="628">
        <v>1720</v>
      </c>
      <c r="AJ230" s="628">
        <v>0</v>
      </c>
      <c r="AK230" s="628">
        <v>0</v>
      </c>
      <c r="AL230" s="628">
        <v>0</v>
      </c>
      <c r="AM230" s="628">
        <v>0</v>
      </c>
      <c r="AN230" s="628">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dbd5932-394e-4ae8-b738-07521f3061d5" xsi:nil="true"/>
    <lcf76f155ced4ddcb4097134ff3c332f xmlns="b19e220f-b252-4f3c-9171-4a816b99607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F19F63AF6AAB347BEC6DFAEB4D96530" ma:contentTypeVersion="12" ma:contentTypeDescription="Een nieuw document maken." ma:contentTypeScope="" ma:versionID="84cd58192ff7d1228d2b9d55739c9012">
  <xsd:schema xmlns:xsd="http://www.w3.org/2001/XMLSchema" xmlns:xs="http://www.w3.org/2001/XMLSchema" xmlns:p="http://schemas.microsoft.com/office/2006/metadata/properties" xmlns:ns2="b19e220f-b252-4f3c-9171-4a816b99607f" xmlns:ns3="3dbd5932-394e-4ae8-b738-07521f3061d5" targetNamespace="http://schemas.microsoft.com/office/2006/metadata/properties" ma:root="true" ma:fieldsID="e353cb90c3824fe24cb7ddea5338284f" ns2:_="" ns3:_="">
    <xsd:import namespace="b19e220f-b252-4f3c-9171-4a816b99607f"/>
    <xsd:import namespace="3dbd5932-394e-4ae8-b738-07521f3061d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9e220f-b252-4f3c-9171-4a816b9960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08ce881e-de94-4a0f-8e3f-1ab24747485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d5932-394e-4ae8-b738-07521f3061d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c48e494-8b46-4e7e-a91f-7399872948fb}" ma:internalName="TaxCatchAll" ma:showField="CatchAllData" ma:web="3dbd5932-394e-4ae8-b738-07521f3061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6735BC-B7B1-4890-9897-22430BA4F3E6}">
  <ds:schemaRefs>
    <ds:schemaRef ds:uri="http://purl.org/dc/terms/"/>
    <ds:schemaRef ds:uri="3dbd5932-394e-4ae8-b738-07521f3061d5"/>
    <ds:schemaRef ds:uri="b19e220f-b252-4f3c-9171-4a816b99607f"/>
    <ds:schemaRef ds:uri="http://purl.org/dc/dcmitype/"/>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81DC642-7D36-4775-BE03-57A9F1D07FD1}">
  <ds:schemaRefs>
    <ds:schemaRef ds:uri="http://schemas.microsoft.com/sharepoint/v3/contenttype/forms"/>
  </ds:schemaRefs>
</ds:datastoreItem>
</file>

<file path=customXml/itemProps3.xml><?xml version="1.0" encoding="utf-8"?>
<ds:datastoreItem xmlns:ds="http://schemas.openxmlformats.org/officeDocument/2006/customXml" ds:itemID="{C35CAF77-C738-4FEA-B188-7B5D4BDC94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9e220f-b252-4f3c-9171-4a816b99607f"/>
    <ds:schemaRef ds:uri="3dbd5932-394e-4ae8-b738-07521f3061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29</vt:i4>
      </vt:variant>
      <vt:variant>
        <vt:lpstr>Benoemde bereiken</vt:lpstr>
      </vt:variant>
      <vt:variant>
        <vt:i4>81</vt:i4>
      </vt:variant>
    </vt:vector>
  </HeadingPairs>
  <TitlesOfParts>
    <vt:vector size="110" baseType="lpstr">
      <vt:lpstr>Voorblad</vt:lpstr>
      <vt:lpstr>Info</vt:lpstr>
      <vt:lpstr>Keuzemenu</vt:lpstr>
      <vt:lpstr>Resultaten</vt:lpstr>
      <vt:lpstr>Resultaten_tabellen</vt:lpstr>
      <vt:lpstr>Input_lists</vt:lpstr>
      <vt:lpstr>Selectie_voertuigen</vt:lpstr>
      <vt:lpstr>Input_voertuig</vt:lpstr>
      <vt:lpstr>Input_massa</vt:lpstr>
      <vt:lpstr>Input_EVverbruik</vt:lpstr>
      <vt:lpstr>Input_WLTP</vt:lpstr>
      <vt:lpstr>Input_voertuigprijzen</vt:lpstr>
      <vt:lpstr>calc_COSTREAM</vt:lpstr>
      <vt:lpstr>calc_TCO</vt:lpstr>
      <vt:lpstr>input_data</vt:lpstr>
      <vt:lpstr>control panel</vt:lpstr>
      <vt:lpstr>scenario_module</vt:lpstr>
      <vt:lpstr>input_voertuigen</vt:lpstr>
      <vt:lpstr>input_names</vt:lpstr>
      <vt:lpstr>voertuigen_module</vt:lpstr>
      <vt:lpstr>voertuigen_database</vt:lpstr>
      <vt:lpstr>brandstofkosten</vt:lpstr>
      <vt:lpstr>BPM</vt:lpstr>
      <vt:lpstr>MRB_module</vt:lpstr>
      <vt:lpstr>afschrijving</vt:lpstr>
      <vt:lpstr>verzekering</vt:lpstr>
      <vt:lpstr>banden</vt:lpstr>
      <vt:lpstr>onderhoud</vt:lpstr>
      <vt:lpstr>brandstofverbruik</vt:lpstr>
      <vt:lpstr>Aantal_voertuigen</vt:lpstr>
      <vt:lpstr>default_afschrijving_a</vt:lpstr>
      <vt:lpstr>default_afschrijving_c</vt:lpstr>
      <vt:lpstr>default_afschrijving_var</vt:lpstr>
      <vt:lpstr>default_banden</vt:lpstr>
      <vt:lpstr>default_kmax</vt:lpstr>
      <vt:lpstr>default_kstart</vt:lpstr>
      <vt:lpstr>default_testwaardeCO2</vt:lpstr>
      <vt:lpstr>default_verbruikelektrisch</vt:lpstr>
      <vt:lpstr>default_verzekering</vt:lpstr>
      <vt:lpstr>Inflatiecorrectie</vt:lpstr>
      <vt:lpstr>input_afname_voertuigkosten</vt:lpstr>
      <vt:lpstr>input_basisjaar</vt:lpstr>
      <vt:lpstr>input_batterij_levensduur</vt:lpstr>
      <vt:lpstr>input_batterijkosten</vt:lpstr>
      <vt:lpstr>input_BPM</vt:lpstr>
      <vt:lpstr>input_btw</vt:lpstr>
      <vt:lpstr>input_CO2_norm</vt:lpstr>
      <vt:lpstr>input_eenheid</vt:lpstr>
      <vt:lpstr>input_efficiencyverbetering_EV</vt:lpstr>
      <vt:lpstr>input_efficiencyverbetering_ICEV</vt:lpstr>
      <vt:lpstr>input_gebruik</vt:lpstr>
      <vt:lpstr>input_gebruiksduur</vt:lpstr>
      <vt:lpstr>input_jaarkilometrage</vt:lpstr>
      <vt:lpstr>input_jaarkm</vt:lpstr>
      <vt:lpstr>input_jaarkm_anders</vt:lpstr>
      <vt:lpstr>input_kosten_CO2reductie</vt:lpstr>
      <vt:lpstr>input_laadverlies</vt:lpstr>
      <vt:lpstr>input_levensduur_batterij</vt:lpstr>
      <vt:lpstr>input_MRB_EV</vt:lpstr>
      <vt:lpstr>input_olieprijs</vt:lpstr>
      <vt:lpstr>input_onderhoud_EV</vt:lpstr>
      <vt:lpstr>input_onderhoud_PHEV</vt:lpstr>
      <vt:lpstr>input_onderhoudkosten</vt:lpstr>
      <vt:lpstr>input_PHEV_perc_elektrisch</vt:lpstr>
      <vt:lpstr>input_range_doelbereik</vt:lpstr>
      <vt:lpstr>input_range_ratiokostenreductie</vt:lpstr>
      <vt:lpstr>input_rente</vt:lpstr>
      <vt:lpstr>input_rentevoet</vt:lpstr>
      <vt:lpstr>input_RPE_EV</vt:lpstr>
      <vt:lpstr>input_RPE_EV_over_15_jaar</vt:lpstr>
      <vt:lpstr>input_RPE_ICEV</vt:lpstr>
      <vt:lpstr>input_segment</vt:lpstr>
      <vt:lpstr>input_thuisladen</vt:lpstr>
      <vt:lpstr>input_value_laadverlies</vt:lpstr>
      <vt:lpstr>input_verzekering</vt:lpstr>
      <vt:lpstr>input_zichtjaar</vt:lpstr>
      <vt:lpstr>list_afname_voertuigkosten</vt:lpstr>
      <vt:lpstr>list_batterij_levensduur</vt:lpstr>
      <vt:lpstr>list_batterijkosten</vt:lpstr>
      <vt:lpstr>list_BPM</vt:lpstr>
      <vt:lpstr>list_brandstoftype</vt:lpstr>
      <vt:lpstr>list_costclasses</vt:lpstr>
      <vt:lpstr>list_eenheid</vt:lpstr>
      <vt:lpstr>list_efficiencyverbetering_EV</vt:lpstr>
      <vt:lpstr>list_efficiencyverbetering_ICEV</vt:lpstr>
      <vt:lpstr>list_gebruiksduur</vt:lpstr>
      <vt:lpstr>list_jaarkm</vt:lpstr>
      <vt:lpstr>list_laadverlies</vt:lpstr>
      <vt:lpstr>list_MRB_EV</vt:lpstr>
      <vt:lpstr>list_olieprijs</vt:lpstr>
      <vt:lpstr>list_onderhoud</vt:lpstr>
      <vt:lpstr>list_rentevoet</vt:lpstr>
      <vt:lpstr>list_scenario_input</vt:lpstr>
      <vt:lpstr>list_segment</vt:lpstr>
      <vt:lpstr>naam_scenario</vt:lpstr>
      <vt:lpstr>Olieprijs2010_2050</vt:lpstr>
      <vt:lpstr>range_end</vt:lpstr>
      <vt:lpstr>range_start</vt:lpstr>
      <vt:lpstr>scenario_nr</vt:lpstr>
      <vt:lpstr>scenario_start</vt:lpstr>
      <vt:lpstr>SegmentPersonenauto</vt:lpstr>
      <vt:lpstr>SegmentTaxibusje</vt:lpstr>
      <vt:lpstr>Selecteer_beginjaar</vt:lpstr>
      <vt:lpstr>Selecteer_eindjaar</vt:lpstr>
      <vt:lpstr>tabel_WLTP</vt:lpstr>
      <vt:lpstr>value_laadpaalkosten</vt:lpstr>
      <vt:lpstr>value_MRB</vt:lpstr>
      <vt:lpstr>value_prijselektrisch</vt:lpstr>
      <vt:lpstr>value_prijsfossiel</vt:lpstr>
      <vt:lpstr>WLTP_EV</vt:lpstr>
    </vt:vector>
  </TitlesOfParts>
  <Company>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Maarten t Hoen (CE Delft)</dc:creator>
  <cp:keywords/>
  <cp:lastModifiedBy>Daan van Seters (CE Delft)</cp:lastModifiedBy>
  <cp:lastPrinted>2020-10-01T07:07:55Z</cp:lastPrinted>
  <dcterms:created xsi:type="dcterms:W3CDTF">2016-02-22T10:15:33Z</dcterms:created>
  <dcterms:modified xsi:type="dcterms:W3CDTF">2025-02-19T09:49:33Z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0x0101001F19F63AF6AAB347BEC6DFAEB4D96530</vt:lpwstr>
  </property>
  <property fmtid="{D5CDD505-2E9C-101B-9397-08002B2CF9AE}" pid="3" name="Sector">
    <vt:lpwstr>4;#Mobiliteit ＆ Transport|c3705134-e099-4a37-9351-36208a087c02</vt:lpwstr>
  </property>
  <property fmtid="{D5CDD505-2E9C-101B-9397-08002B2CF9AE}" pid="4" name="TaxKeyword">
    <vt:lpwstr/>
  </property>
  <property fmtid="{D5CDD505-2E9C-101B-9397-08002B2CF9AE}" pid="5" name="Thema">
    <vt:lpwstr/>
  </property>
  <property fmtid="{D5CDD505-2E9C-101B-9397-08002B2CF9AE}" pid="6" name="SureECM_ProjectFase">
    <vt:lpwstr>1;#1|344ddbc6-b8ca-4407-8593-4a569d0d2a68</vt:lpwstr>
  </property>
  <property fmtid="{D5CDD505-2E9C-101B-9397-08002B2CF9AE}" pid="7" name="lcac597a5b49440ea6babd04cf3d5f6f">
    <vt:lpwstr/>
  </property>
  <property fmtid="{D5CDD505-2E9C-101B-9397-08002B2CF9AE}" pid="8" name="CE bieb trefwoord">
    <vt:lpwstr/>
  </property>
  <property fmtid="{D5CDD505-2E9C-101B-9397-08002B2CF9AE}" pid="9" name="CE bieb brontype">
    <vt:lpwstr/>
  </property>
  <property fmtid="{D5CDD505-2E9C-101B-9397-08002B2CF9AE}" pid="10" name="l12fe84a36864949a59878b19da0c598">
    <vt:lpwstr/>
  </property>
  <property fmtid="{D5CDD505-2E9C-101B-9397-08002B2CF9AE}" pid="11" name="k9f5989c231d40f9901a89ca9b8aa92c">
    <vt:lpwstr/>
  </property>
  <property fmtid="{D5CDD505-2E9C-101B-9397-08002B2CF9AE}" pid="12" name="Afdeling CE">
    <vt:lpwstr/>
  </property>
  <property fmtid="{D5CDD505-2E9C-101B-9397-08002B2CF9AE}" pid="13" name="Projectsite status">
    <vt:lpwstr>Actief</vt:lpwstr>
  </property>
  <property fmtid="{D5CDD505-2E9C-101B-9397-08002B2CF9AE}" pid="14" name="Klant">
    <vt:lpwstr>PBL, Gerben Geilenkirchen</vt:lpwstr>
  </property>
  <property fmtid="{D5CDD505-2E9C-101B-9397-08002B2CF9AE}" pid="15" name="_dlc_DocIdItemGuid">
    <vt:lpwstr>3dd07b16-81cb-4fe5-9294-e9b2dd2da7d2</vt:lpwstr>
  </property>
  <property fmtid="{D5CDD505-2E9C-101B-9397-08002B2CF9AE}" pid="16" name="MediaServiceImageTags">
    <vt:lpwstr/>
  </property>
</Properties>
</file>